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style1.xml" ContentType="application/vnd.ms-office.chartstyle+xml"/>
  <Override PartName="/xl/charts/colors1.xml" ContentType="application/vnd.ms-office.chartcolorstyle+xml"/>
  <Override PartName="/xl/charts/chart4.xml" ContentType="application/vnd.openxmlformats-officedocument.drawingml.chart+xml"/>
  <Override PartName="/xl/drawings/drawing2.xml" ContentType="application/vnd.openxmlformats-officedocument.drawingml.chartshapes+xml"/>
  <Override PartName="/xl/charts/chart5.xml" ContentType="application/vnd.openxmlformats-officedocument.drawingml.chart+xml"/>
  <Override PartName="/xl/charts/style2.xml" ContentType="application/vnd.ms-office.chartstyle+xml"/>
  <Override PartName="/xl/charts/colors2.xml" ContentType="application/vnd.ms-office.chartcolorstyle+xml"/>
  <Override PartName="/xl/drawings/drawing3.xml" ContentType="application/vnd.openxmlformats-officedocument.drawing+xml"/>
  <Override PartName="/xl/comments1.xml" ContentType="application/vnd.openxmlformats-officedocument.spreadsheetml.comments+xml"/>
  <Override PartName="/xl/threadedComments/threadedComment1.xml" ContentType="application/vnd.ms-excel.threadedcomments+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style4.xml" ContentType="application/vnd.ms-office.chartstyle+xml"/>
  <Override PartName="/xl/charts/colors4.xml" ContentType="application/vnd.ms-office.chartcolorstyle+xml"/>
  <Override PartName="/xl/charts/chart8.xml" ContentType="application/vnd.openxmlformats-officedocument.drawingml.chart+xml"/>
  <Override PartName="/xl/charts/style5.xml" ContentType="application/vnd.ms-office.chartstyle+xml"/>
  <Override PartName="/xl/charts/colors5.xml" ContentType="application/vnd.ms-office.chartcolorstyle+xml"/>
  <Override PartName="/xl/charts/chart9.xml" ContentType="application/vnd.openxmlformats-officedocument.drawingml.chart+xml"/>
  <Override PartName="/xl/drawings/drawing4.xml" ContentType="application/vnd.openxmlformats-officedocument.drawingml.chartshapes+xml"/>
  <Override PartName="/xl/charts/chart10.xml" ContentType="application/vnd.openxmlformats-officedocument.drawingml.chart+xml"/>
  <Override PartName="/xl/charts/style6.xml" ContentType="application/vnd.ms-office.chartstyle+xml"/>
  <Override PartName="/xl/charts/colors6.xml" ContentType="application/vnd.ms-office.chartcolorstyle+xml"/>
  <Override PartName="/xl/charts/chart11.xml" ContentType="application/vnd.openxmlformats-officedocument.drawingml.chart+xml"/>
  <Override PartName="/xl/charts/chart12.xml" ContentType="application/vnd.openxmlformats-officedocument.drawingml.chart+xml"/>
  <Override PartName="/xl/charts/style7.xml" ContentType="application/vnd.ms-office.chartstyle+xml"/>
  <Override PartName="/xl/charts/colors7.xml" ContentType="application/vnd.ms-office.chartcolorstyle+xml"/>
  <Override PartName="/xl/charts/chart13.xml" ContentType="application/vnd.openxmlformats-officedocument.drawingml.chart+xml"/>
  <Override PartName="/xl/charts/style8.xml" ContentType="application/vnd.ms-office.chartstyle+xml"/>
  <Override PartName="/xl/charts/colors8.xml" ContentType="application/vnd.ms-office.chartcolorstyle+xml"/>
  <Override PartName="/xl/charts/chart14.xml" ContentType="application/vnd.openxmlformats-officedocument.drawingml.chart+xml"/>
  <Override PartName="/xl/charts/style9.xml" ContentType="application/vnd.ms-office.chartstyle+xml"/>
  <Override PartName="/xl/charts/colors9.xml" ContentType="application/vnd.ms-office.chartcolorstyle+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style10.xml" ContentType="application/vnd.ms-office.chartstyle+xml"/>
  <Override PartName="/xl/charts/colors10.xml" ContentType="application/vnd.ms-office.chartcolorstyle+xml"/>
  <Override PartName="/xl/charts/chart18.xml" ContentType="application/vnd.openxmlformats-officedocument.drawingml.chart+xml"/>
  <Override PartName="/xl/charts/style11.xml" ContentType="application/vnd.ms-office.chartstyle+xml"/>
  <Override PartName="/xl/charts/colors11.xml" ContentType="application/vnd.ms-office.chartcolorstyle+xml"/>
  <Override PartName="/xl/charts/chart19.xml" ContentType="application/vnd.openxmlformats-officedocument.drawingml.chart+xml"/>
  <Override PartName="/xl/charts/chart20.xml" ContentType="application/vnd.openxmlformats-officedocument.drawingml.chart+xml"/>
  <Override PartName="/xl/charts/chart21.xml" ContentType="application/vnd.openxmlformats-officedocument.drawingml.chart+xml"/>
  <Override PartName="/xl/charts/chart22.xml" ContentType="application/vnd.openxmlformats-officedocument.drawingml.chart+xml"/>
  <Override PartName="/xl/charts/style12.xml" ContentType="application/vnd.ms-office.chartstyle+xml"/>
  <Override PartName="/xl/charts/colors12.xml" ContentType="application/vnd.ms-office.chartcolorstyle+xml"/>
  <Override PartName="/xl/charts/chart23.xml" ContentType="application/vnd.openxmlformats-officedocument.drawingml.chart+xml"/>
  <Override PartName="/xl/charts/style13.xml" ContentType="application/vnd.ms-office.chartstyle+xml"/>
  <Override PartName="/xl/charts/colors13.xml" ContentType="application/vnd.ms-office.chartcolorstyle+xml"/>
  <Override PartName="/xl/charts/chart24.xml" ContentType="application/vnd.openxmlformats-officedocument.drawingml.chart+xml"/>
  <Override PartName="/xl/drawings/drawing5.xml" ContentType="application/vnd.openxmlformats-officedocument.drawingml.chartshapes+xml"/>
  <Override PartName="/xl/charts/chart25.xml" ContentType="application/vnd.openxmlformats-officedocument.drawingml.chart+xml"/>
  <Override PartName="/xl/charts/style14.xml" ContentType="application/vnd.ms-office.chartstyle+xml"/>
  <Override PartName="/xl/charts/colors14.xml" ContentType="application/vnd.ms-office.chartcolorstyle+xml"/>
  <Override PartName="/xl/charts/chart26.xml" ContentType="application/vnd.openxmlformats-officedocument.drawingml.chart+xml"/>
  <Override PartName="/xl/drawings/drawing6.xml" ContentType="application/vnd.openxmlformats-officedocument.drawingml.chartshapes+xml"/>
  <Override PartName="/xl/charts/chart27.xml" ContentType="application/vnd.openxmlformats-officedocument.drawingml.chart+xml"/>
  <Override PartName="/xl/charts/style15.xml" ContentType="application/vnd.ms-office.chartstyle+xml"/>
  <Override PartName="/xl/charts/colors15.xml" ContentType="application/vnd.ms-office.chartcolorstyle+xml"/>
  <Override PartName="/xl/charts/chart28.xml" ContentType="application/vnd.openxmlformats-officedocument.drawingml.chart+xml"/>
  <Override PartName="/xl/charts/style16.xml" ContentType="application/vnd.ms-office.chartstyle+xml"/>
  <Override PartName="/xl/charts/colors16.xml" ContentType="application/vnd.ms-office.chartcolorstyle+xml"/>
  <Override PartName="/xl/charts/chart29.xml" ContentType="application/vnd.openxmlformats-officedocument.drawingml.chart+xml"/>
  <Override PartName="/xl/charts/style17.xml" ContentType="application/vnd.ms-office.chartstyle+xml"/>
  <Override PartName="/xl/charts/colors17.xml" ContentType="application/vnd.ms-office.chartcolorstyle+xml"/>
  <Override PartName="/xl/charts/chart30.xml" ContentType="application/vnd.openxmlformats-officedocument.drawingml.chart+xml"/>
  <Override PartName="/xl/charts/style18.xml" ContentType="application/vnd.ms-office.chartstyle+xml"/>
  <Override PartName="/xl/charts/colors18.xml" ContentType="application/vnd.ms-office.chartcolorstyle+xml"/>
  <Override PartName="/xl/charts/chart31.xml" ContentType="application/vnd.openxmlformats-officedocument.drawingml.chart+xml"/>
  <Override PartName="/xl/charts/style19.xml" ContentType="application/vnd.ms-office.chartstyle+xml"/>
  <Override PartName="/xl/charts/colors19.xml" ContentType="application/vnd.ms-office.chartcolorstyle+xml"/>
  <Override PartName="/xl/charts/chart32.xml" ContentType="application/vnd.openxmlformats-officedocument.drawingml.chart+xml"/>
  <Override PartName="/xl/charts/style20.xml" ContentType="application/vnd.ms-office.chartstyle+xml"/>
  <Override PartName="/xl/charts/colors20.xml" ContentType="application/vnd.ms-office.chartcolorstyle+xml"/>
  <Override PartName="/xl/charts/chart33.xml" ContentType="application/vnd.openxmlformats-officedocument.drawingml.chart+xml"/>
  <Override PartName="/xl/charts/style21.xml" ContentType="application/vnd.ms-office.chartstyle+xml"/>
  <Override PartName="/xl/charts/colors21.xml" ContentType="application/vnd.ms-office.chartcolorstyle+xml"/>
  <Override PartName="/xl/charts/chart34.xml" ContentType="application/vnd.openxmlformats-officedocument.drawingml.chart+xml"/>
  <Override PartName="/xl/drawings/drawing7.xml" ContentType="application/vnd.openxmlformats-officedocument.drawingml.chartshapes+xml"/>
  <Override PartName="/xl/charts/chart35.xml" ContentType="application/vnd.openxmlformats-officedocument.drawingml.chart+xml"/>
  <Override PartName="/xl/charts/style22.xml" ContentType="application/vnd.ms-office.chartstyle+xml"/>
  <Override PartName="/xl/charts/colors22.xml" ContentType="application/vnd.ms-office.chartcolorstyle+xml"/>
  <Override PartName="/xl/drawings/drawing8.xml" ContentType="application/vnd.openxmlformats-officedocument.drawing+xml"/>
  <Override PartName="/xl/charts/chart36.xml" ContentType="application/vnd.openxmlformats-officedocument.drawingml.chart+xml"/>
  <Override PartName="/xl/charts/style23.xml" ContentType="application/vnd.ms-office.chartstyle+xml"/>
  <Override PartName="/xl/charts/colors23.xml" ContentType="application/vnd.ms-office.chartcolorstyle+xml"/>
  <Override PartName="/xl/charts/chart37.xml" ContentType="application/vnd.openxmlformats-officedocument.drawingml.chart+xml"/>
  <Override PartName="/xl/charts/style24.xml" ContentType="application/vnd.ms-office.chartstyle+xml"/>
  <Override PartName="/xl/charts/colors24.xml" ContentType="application/vnd.ms-office.chartcolorstyle+xml"/>
  <Override PartName="/xl/charts/chart38.xml" ContentType="application/vnd.openxmlformats-officedocument.drawingml.chart+xml"/>
  <Override PartName="/xl/charts/style25.xml" ContentType="application/vnd.ms-office.chartstyle+xml"/>
  <Override PartName="/xl/charts/colors25.xml" ContentType="application/vnd.ms-office.chartcolorstyle+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comments4.xml" ContentType="application/vnd.openxmlformats-officedocument.spreadsheetml.comments+xml"/>
  <Override PartName="/xl/threadedComments/threadedComment3.xml" ContentType="application/vnd.ms-excel.threadedcomments+xml"/>
  <Override PartName="/xl/comments5.xml" ContentType="application/vnd.openxmlformats-officedocument.spreadsheetml.comments+xml"/>
  <Override PartName="/xl/drawings/drawing9.xml" ContentType="application/vnd.openxmlformats-officedocument.drawing+xml"/>
  <Override PartName="/xl/charts/chart39.xml" ContentType="application/vnd.openxmlformats-officedocument.drawingml.chart+xml"/>
  <Override PartName="/xl/charts/style26.xml" ContentType="application/vnd.ms-office.chartstyle+xml"/>
  <Override PartName="/xl/charts/colors26.xml" ContentType="application/vnd.ms-office.chartcolorstyle+xml"/>
  <Override PartName="/xl/charts/chart40.xml" ContentType="application/vnd.openxmlformats-officedocument.drawingml.chart+xml"/>
  <Override PartName="/xl/charts/style27.xml" ContentType="application/vnd.ms-office.chartstyle+xml"/>
  <Override PartName="/xl/charts/colors27.xml" ContentType="application/vnd.ms-office.chartcolorstyle+xml"/>
  <Override PartName="/xl/charts/chart41.xml" ContentType="application/vnd.openxmlformats-officedocument.drawingml.chart+xml"/>
  <Override PartName="/xl/charts/style28.xml" ContentType="application/vnd.ms-office.chartstyle+xml"/>
  <Override PartName="/xl/charts/colors28.xml" ContentType="application/vnd.ms-office.chartcolorstyle+xml"/>
  <Override PartName="/xl/charts/chart42.xml" ContentType="application/vnd.openxmlformats-officedocument.drawingml.chart+xml"/>
  <Override PartName="/xl/charts/style29.xml" ContentType="application/vnd.ms-office.chartstyle+xml"/>
  <Override PartName="/xl/charts/colors29.xml" ContentType="application/vnd.ms-office.chartcolorstyle+xml"/>
  <Override PartName="/xl/charts/chart43.xml" ContentType="application/vnd.openxmlformats-officedocument.drawingml.chart+xml"/>
  <Override PartName="/xl/charts/style30.xml" ContentType="application/vnd.ms-office.chartstyle+xml"/>
  <Override PartName="/xl/charts/colors30.xml" ContentType="application/vnd.ms-office.chartcolorstyle+xml"/>
  <Override PartName="/xl/charts/chart44.xml" ContentType="application/vnd.openxmlformats-officedocument.drawingml.chart+xml"/>
  <Override PartName="/xl/charts/style31.xml" ContentType="application/vnd.ms-office.chartstyle+xml"/>
  <Override PartName="/xl/charts/colors31.xml" ContentType="application/vnd.ms-office.chartcolorstyle+xml"/>
  <Override PartName="/xl/comments6.xml" ContentType="application/vnd.openxmlformats-officedocument.spreadsheetml.comments+xml"/>
  <Override PartName="/xl/threadedComments/threadedComment4.xml" ContentType="application/vnd.ms-excel.threadedcomments+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231"/>
  <workbookPr codeName="ThisWorkbook"/>
  <mc:AlternateContent xmlns:mc="http://schemas.openxmlformats.org/markup-compatibility/2006">
    <mc:Choice Requires="x15">
      <x15ac:absPath xmlns:x15ac="http://schemas.microsoft.com/office/spreadsheetml/2010/11/ac" url="https://trinomics.sharepoint.com/Ong/TEC8345EU REFORM - Renovation wave Estonia/Implementation/Reno wave Estonia (External)/DLV 3 - EE pathways/9 - FINAL FINAL report &amp; XLS/"/>
    </mc:Choice>
  </mc:AlternateContent>
  <xr:revisionPtr revIDLastSave="11019" documentId="8_{52D1F82E-B86B-4334-948D-886820B3A4C0}" xr6:coauthVersionLast="47" xr6:coauthVersionMax="47" xr10:uidLastSave="{67D1FA3F-B28D-4A3C-9A62-996DBDA666DF}"/>
  <bookViews>
    <workbookView xWindow="31035" yWindow="-5265" windowWidth="35865" windowHeight="18135" tabRatio="899" firstSheet="1" activeTab="4" xr2:uid="{C006BA73-42FE-4F71-91DF-66A3565A8536}"/>
  </bookViews>
  <sheets>
    <sheet name="Exec. Sum" sheetId="48" r:id="rId1"/>
    <sheet name="INTRO" sheetId="50" r:id="rId2"/>
    <sheet name="Pathway Comparison" sheetId="51" r:id="rId3"/>
    <sheet name="Pathway Analysis" sheetId="37" r:id="rId4"/>
    <sheet name="EE Measures" sheetId="28" r:id="rId5"/>
    <sheet name="Baseline" sheetId="33" r:id="rId6"/>
    <sheet name="TalTech" sheetId="43" r:id="rId7"/>
    <sheet name="Table" sheetId="41" state="hidden" r:id="rId8"/>
    <sheet name="MKM 2014-20" sheetId="40" r:id="rId9"/>
    <sheet name="KLIM 2021-30" sheetId="42" r:id="rId10"/>
    <sheet name="CF" sheetId="39" r:id="rId11"/>
    <sheet name="Sources" sheetId="34" r:id="rId12"/>
    <sheet name="Charts" sheetId="26" state="hidden" r:id="rId13"/>
    <sheet name="Styles" sheetId="27" state="hidden" r:id="rId14"/>
    <sheet name="Assumptions" sheetId="38" r:id="rId15"/>
    <sheet name="Admin" sheetId="32" r:id="rId16"/>
  </sheets>
  <definedNames>
    <definedName name="_xlnm._FilterDatabase" localSheetId="10" hidden="1">CF!$A$6:$AC$171</definedName>
    <definedName name="_xlnm._FilterDatabase" localSheetId="4" hidden="1">'EE Measures'!$C$5:$ID$40</definedName>
    <definedName name="_ftnref1" localSheetId="4">'EE Measures'!$E$21</definedName>
    <definedName name="_Ref141195673" localSheetId="2">'Pathway Comparison'!$J$132</definedName>
    <definedName name="_Ref141260331" localSheetId="2">'Pathway Comparison'!$B$903</definedName>
    <definedName name="_Ref141269581" localSheetId="2">'Pathway Comparison'!$B$393</definedName>
    <definedName name="_Ref141270668" localSheetId="2">'Pathway Comparison'!$W$599</definedName>
    <definedName name="_Ref141272321" localSheetId="2">'Pathway Comparison'!$K$528</definedName>
    <definedName name="_Ref141272914" localSheetId="2">'Pathway Comparison'!$B$643</definedName>
    <definedName name="_Ref141280059" localSheetId="2">'Pathway Comparison'!$K$453</definedName>
    <definedName name="_Ref145324120" localSheetId="2">'Pathway Comparison'!$B$474</definedName>
    <definedName name="_Ref145337372" localSheetId="2">'Pathway Comparison'!$B$777</definedName>
    <definedName name="_Toc134003956" localSheetId="2">'Pathway Comparison'!$B$92</definedName>
    <definedName name="Enabling">Admin!$B$24:$B$30</definedName>
    <definedName name="Main">Admin!$B$14:$B$21</definedName>
    <definedName name="_xlnm.Print_Area" localSheetId="10">CF!$B$1:$AC$170</definedName>
    <definedName name="Z_085BD364_22C9_4C37_8967_69E7083BA285_.wvu.Cols" localSheetId="10" hidden="1">CF!$U:$AC</definedName>
    <definedName name="Z_085BD364_22C9_4C37_8967_69E7083BA285_.wvu.FilterData" localSheetId="10" hidden="1">CF!$B$6:$AC$169</definedName>
    <definedName name="Z_0F08BA13_250B_484D_86DC_B97A7FE2E80A_.wvu.FilterData" localSheetId="10" hidden="1">CF!$A$6:$AC$169</definedName>
    <definedName name="Z_0F871120_17F1_4BC7_BD2C_6A87C495E241_.wvu.FilterData" localSheetId="10" hidden="1">CF!$A$6:$AC$169</definedName>
    <definedName name="Z_0FD82637_EB8D_4F92_A3D2_EE620902C548_.wvu.FilterData" localSheetId="10" hidden="1">CF!$B$6:$AC$169</definedName>
    <definedName name="Z_126C14DD_B9FB_4443_9CF0_7F367852B1CA_.wvu.Cols" localSheetId="10" hidden="1">CF!$H:$H,CF!#REF!,CF!$N:$AC,CF!$L:$AC</definedName>
    <definedName name="Z_126C14DD_B9FB_4443_9CF0_7F367852B1CA_.wvu.FilterData" localSheetId="10" hidden="1">CF!$B$6:$AC$169</definedName>
    <definedName name="Z_18EB08BC_2F76_4B9E_B127_EAA92FB31E11_.wvu.FilterData" localSheetId="10" hidden="1">CF!$B$6:$AC$169</definedName>
    <definedName name="Z_1D8AACAB_D94C_4B8D_AE26_A4A8ECEB8833_.wvu.FilterData" localSheetId="10" hidden="1">CF!$B$6:$AC$169</definedName>
    <definedName name="Z_27B43D79_B5BD_4A5C_9BF9_6BD995D162E8_.wvu.FilterData" localSheetId="10" hidden="1">CF!$B$6:$AC$169</definedName>
    <definedName name="Z_287EE175_551F_4E5F_BC2F_2E21107D0516_.wvu.FilterData" localSheetId="10" hidden="1">CF!$B$6:$AC$169</definedName>
    <definedName name="Z_2939B6CF_7461_4737_B2A1_01350CF3D98B_.wvu.FilterData" localSheetId="10" hidden="1">CF!$B$6:$AC$169</definedName>
    <definedName name="Z_29EA33D6_ECED_4A58_A7C7_07AA8AF541B5_.wvu.FilterData" localSheetId="10" hidden="1">CF!$A$6:$AC$169</definedName>
    <definedName name="Z_29EA33D6_ECED_4A58_A7C7_07AA8AF541B5_.wvu.Rows" localSheetId="10" hidden="1">CF!#REF!</definedName>
    <definedName name="Z_2FB7D5E7_3612_4B06_857D_198B61788B70_.wvu.FilterData" localSheetId="10" hidden="1">CF!$B$6:$AC$169</definedName>
    <definedName name="Z_3148510B_422F_487F_ADDE_DB18AA385B47_.wvu.FilterData" localSheetId="10" hidden="1">CF!$B$6:$AC$169</definedName>
    <definedName name="Z_31738574_F70E_4F8B_8071_316C6EE3CA36_.wvu.FilterData" localSheetId="10" hidden="1">CF!$B$6:$AC$169</definedName>
    <definedName name="Z_33D55B3B_554D_4D01_95A6_2CF4B6440813_.wvu.FilterData" localSheetId="10" hidden="1">CF!$B$6:$AC$169</definedName>
    <definedName name="Z_34B1C868_782F_4F01_8EDB_79A1DF3684DD_.wvu.Cols" localSheetId="10" hidden="1">CF!$P:$AC,CF!#REF!</definedName>
    <definedName name="Z_34B1C868_782F_4F01_8EDB_79A1DF3684DD_.wvu.FilterData" localSheetId="10" hidden="1">CF!$B$6:$AC$173</definedName>
    <definedName name="Z_36F218A2_0028_4695_A597_915489DBB5E8_.wvu.FilterData" localSheetId="10" hidden="1">CF!$B$6:$AC$169</definedName>
    <definedName name="Z_3D48BD5A_B4AD_4B94_876D_3152A8FB584F_.wvu.FilterData" localSheetId="10" hidden="1">CF!$B$6:$AC$169</definedName>
    <definedName name="Z_3DE50375_79BF_4F4E_B1D5_3B25AC6DCDA0_.wvu.Cols" localSheetId="10" hidden="1">CF!$H:$H,CF!#REF!,CF!$N:$AC,CF!$L:$AC</definedName>
    <definedName name="Z_3DE50375_79BF_4F4E_B1D5_3B25AC6DCDA0_.wvu.FilterData" localSheetId="10" hidden="1">CF!$B$6:$AC$169</definedName>
    <definedName name="Z_4AAF0E0B_EE88_4C97_9A43_913ED3E7650C_.wvu.FilterData" localSheetId="10" hidden="1">CF!$B$6:$AC$169</definedName>
    <definedName name="Z_4F86051E_CA3B_42C0_9EB7_42C1D5EB4E49_.wvu.FilterData" localSheetId="10" hidden="1">CF!$B$6:$AC$169</definedName>
    <definedName name="Z_57166A3B_7FBA_477B_B102_F8EF92AE91B7_.wvu.Cols" localSheetId="10" hidden="1">CF!$P:$AC,CF!#REF!</definedName>
    <definedName name="Z_57166A3B_7FBA_477B_B102_F8EF92AE91B7_.wvu.FilterData" localSheetId="10" hidden="1">CF!$B$6:$AC$173</definedName>
    <definedName name="Z_5A183DED_BE4C_48EE_A9BD_0316174D2372_.wvu.FilterData" localSheetId="10" hidden="1">CF!$A$6:$AC$169</definedName>
    <definedName name="Z_5A183DED_BE4C_48EE_A9BD_0316174D2372_.wvu.Rows" localSheetId="10" hidden="1">CF!#REF!</definedName>
    <definedName name="Z_5ACAC28B_8497_487B_8F8B_7341C6D6255E_.wvu.FilterData" localSheetId="10" hidden="1">CF!$B$6:$AC$169</definedName>
    <definedName name="Z_650B02B9_C85C_410B_8AB7_B1816C2A20FF_.wvu.FilterData" localSheetId="10" hidden="1">CF!$B$6:$AC$169</definedName>
    <definedName name="Z_655918CC_1933_4A4F_B01A_1E34B97C8A7E_.wvu.FilterData" localSheetId="10" hidden="1">CF!$A$6:$AC$169</definedName>
    <definedName name="Z_655918CC_1933_4A4F_B01A_1E34B97C8A7E_.wvu.Rows" localSheetId="10" hidden="1">CF!#REF!</definedName>
    <definedName name="Z_6581E3D0_AACD_4C03_A702_5DFCAA28AA8D_.wvu.FilterData" localSheetId="10" hidden="1">CF!$B$6:$AC$169</definedName>
    <definedName name="Z_6D62647B_AEF9_4416_95C2_5106D04A175E_.wvu.FilterData" localSheetId="10" hidden="1">CF!$B$6:$AC$169</definedName>
    <definedName name="Z_75D9E842_069D_4A23_95B7_C06ADE451736_.wvu.FilterData" localSheetId="10" hidden="1">CF!$B$6:$AC$169</definedName>
    <definedName name="Z_811DF956_6445_4812_BFCC_5C0B8335C5F5_.wvu.FilterData" localSheetId="10" hidden="1">CF!$A$6:$AC$169</definedName>
    <definedName name="Z_811DF956_6445_4812_BFCC_5C0B8335C5F5_.wvu.Rows" localSheetId="10" hidden="1">CF!#REF!</definedName>
    <definedName name="Z_848550B6_0ACA_40F6_A3FE_09420C40CCEF_.wvu.FilterData" localSheetId="10" hidden="1">CF!$B$6:$AC$169</definedName>
    <definedName name="Z_857782B7_E95D_4ADC_A03F_11B2F1C0BF76_.wvu.FilterData" localSheetId="10" hidden="1">CF!$B$6:$AC$169</definedName>
    <definedName name="Z_86745385_72B5_481C_8780_64596F44BF20_.wvu.FilterData" localSheetId="10" hidden="1">CF!$B$6:$AC$169</definedName>
    <definedName name="Z_86E08035_582D_43DC_9B6F_710BCCADF50E_.wvu.FilterData" localSheetId="10" hidden="1">CF!$A$6:$AC$169</definedName>
    <definedName name="Z_901A5094_99F7_4FC0_9CB2_3CFB225580A8_.wvu.FilterData" localSheetId="10" hidden="1">CF!$A$6:$AC$169</definedName>
    <definedName name="Z_95019123_7D97_4CB7_96B7_ECC02C0901B7_.wvu.FilterData" localSheetId="10" hidden="1">CF!$B$6:$AC$169</definedName>
    <definedName name="Z_95A0D24A_F5D1_4E44_AF4B_102B56B499C8_.wvu.FilterData" localSheetId="10" hidden="1">CF!$B$6:$AC$169</definedName>
    <definedName name="Z_9C986FCE_9D6B_4B08_AD54_1AB55975BE04_.wvu.FilterData" localSheetId="10" hidden="1">CF!$B$6:$AC$169</definedName>
    <definedName name="Z_A807E32F_BAE2_4680_9F4F_3BC13624941E_.wvu.FilterData" localSheetId="10" hidden="1">CF!$B$6:$AC$169</definedName>
    <definedName name="Z_BB10A11C_FDBE_475F_B7BE_08D3EDB9669E_.wvu.FilterData" localSheetId="10" hidden="1">CF!$A$6:$AC$169</definedName>
    <definedName name="Z_D35B506E_AEBD_4CBB_A657_0045809F0B15_.wvu.FilterData" localSheetId="10" hidden="1">CF!$B$6:$AC$169</definedName>
    <definedName name="Z_E2B4C594_959C_4769_8D7D_0D94220716E3_.wvu.Cols" localSheetId="10" hidden="1">CF!#REF!,CF!$I:$I</definedName>
    <definedName name="Z_E2B4C594_959C_4769_8D7D_0D94220716E3_.wvu.FilterData" localSheetId="10" hidden="1">CF!$A$6:$AC$169</definedName>
    <definedName name="Z_E2B4C594_959C_4769_8D7D_0D94220716E3_.wvu.Rows" localSheetId="10" hidden="1">CF!#REF!</definedName>
    <definedName name="Z_E6D11EA0_96CA_4601_89F3_96233F82F34A_.wvu.Cols" localSheetId="10" hidden="1">CF!#REF!</definedName>
    <definedName name="Z_E6D11EA0_96CA_4601_89F3_96233F82F34A_.wvu.FilterData" localSheetId="10" hidden="1">CF!$B$6:$AC$173</definedName>
    <definedName name="Z_EA5AA414_A7F8_40A6_BB94_3D19C5D22F1C_.wvu.FilterData" localSheetId="10" hidden="1">CF!$B$6:$AC$169</definedName>
    <definedName name="Z_F1DB52CA_A6A8_4FA6_BFB8_3DB223BDCE4B_.wvu.FilterData" localSheetId="10" hidden="1">CF!$B$6:$AC$169</definedName>
    <definedName name="Z_F547089E_EE33_42A1_A57D_CAE241112E21_.wvu.FilterData" localSheetId="10" hidden="1">CF!$B$6:$AC$169</definedName>
    <definedName name="Z_F8B72538_1549_4C60_99E1_727D05AB0EE9_.wvu.FilterData" localSheetId="10" hidden="1">CF!$B$6:$AC$169</definedName>
    <definedName name="Z_FC8CB4B0_8B0D_4E22_A837_DDD04DFEFD34_.wvu.FilterData" localSheetId="10" hidden="1">CF!$B$6:$AC$169</definedName>
    <definedName name="Z_FCA9887C_0065_4A20_9CC4_C796C75E44AF_.wvu.FilterData" localSheetId="10" hidden="1">CF!$B$6:$AC$169</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30" i="37" l="1"/>
  <c r="AC29" i="37"/>
  <c r="AC35" i="37"/>
  <c r="I35" i="37" s="1"/>
  <c r="H28" i="37"/>
  <c r="H24" i="37"/>
  <c r="H23" i="37"/>
  <c r="F922" i="51"/>
  <c r="F784" i="51"/>
  <c r="F785" i="51"/>
  <c r="D785" i="51"/>
  <c r="D784" i="51"/>
  <c r="F783" i="51"/>
  <c r="D783" i="51"/>
  <c r="F780" i="51"/>
  <c r="F781" i="51"/>
  <c r="F782" i="51"/>
  <c r="D781" i="51"/>
  <c r="D782" i="51"/>
  <c r="D780" i="51"/>
  <c r="E102" i="51"/>
  <c r="K264" i="51" a="1"/>
  <c r="K264" i="51" s="1"/>
  <c r="F905" i="51"/>
  <c r="F102" i="51" s="1"/>
  <c r="CO10" i="28"/>
  <c r="CO17" i="28"/>
  <c r="CO23" i="28"/>
  <c r="CO25" i="28"/>
  <c r="CO26" i="28"/>
  <c r="CO27" i="28"/>
  <c r="CO34" i="28"/>
  <c r="CO37" i="28"/>
  <c r="CO38" i="28"/>
  <c r="CO39" i="28"/>
  <c r="CO40" i="28"/>
  <c r="C521" i="51"/>
  <c r="C483" i="51"/>
  <c r="F912" i="51"/>
  <c r="F104" i="51" s="1"/>
  <c r="Y76" i="28" a="1"/>
  <c r="Y76" i="28" s="1"/>
  <c r="Y75" i="28" a="1"/>
  <c r="Y75" i="28" s="1"/>
  <c r="Y72" i="28" a="1"/>
  <c r="Y72" i="28" s="1"/>
  <c r="Y65" i="28" a="1"/>
  <c r="Y65" i="28" s="1"/>
  <c r="C485" i="51"/>
  <c r="C484" i="51"/>
  <c r="C479" i="51"/>
  <c r="C478" i="51"/>
  <c r="C477" i="51"/>
  <c r="C476" i="51"/>
  <c r="B857" i="51"/>
  <c r="B856" i="51"/>
  <c r="B855" i="51"/>
  <c r="B854" i="51"/>
  <c r="B852" i="51"/>
  <c r="B851" i="51"/>
  <c r="B823" i="51"/>
  <c r="B822" i="51"/>
  <c r="B821" i="51"/>
  <c r="B820" i="51"/>
  <c r="B818" i="51"/>
  <c r="B817" i="51"/>
  <c r="C745" i="51" a="1"/>
  <c r="C745" i="51" s="1"/>
  <c r="B264" i="51" a="1"/>
  <c r="B264" i="51" s="1"/>
  <c r="L263" i="51" s="1" a="1"/>
  <c r="L263" i="51" s="1"/>
  <c r="B528" i="51"/>
  <c r="B554" i="51" s="1"/>
  <c r="H186" i="51"/>
  <c r="H183" i="51"/>
  <c r="B257" i="51"/>
  <c r="B256" i="51"/>
  <c r="B255" i="51"/>
  <c r="E254" i="51"/>
  <c r="B253" i="51"/>
  <c r="B252" i="51"/>
  <c r="B251" i="51"/>
  <c r="J430" i="51"/>
  <c r="J431" i="51" s="1"/>
  <c r="J432" i="51" s="1"/>
  <c r="J433" i="51" s="1"/>
  <c r="J434" i="51" s="1"/>
  <c r="J435" i="51" s="1"/>
  <c r="J436" i="51" s="1"/>
  <c r="J437" i="51" s="1"/>
  <c r="J438" i="51" s="1"/>
  <c r="J439" i="51" s="1"/>
  <c r="B250" i="51"/>
  <c r="B249" i="51"/>
  <c r="D247" i="51"/>
  <c r="B241" i="51"/>
  <c r="B240" i="51"/>
  <c r="A227" i="51"/>
  <c r="A226" i="51"/>
  <c r="A225" i="51"/>
  <c r="A224" i="51"/>
  <c r="C457" i="51"/>
  <c r="D457" i="51" s="1"/>
  <c r="E457" i="51" s="1"/>
  <c r="F457" i="51" s="1"/>
  <c r="G457" i="51" s="1"/>
  <c r="H457" i="51" s="1"/>
  <c r="I457" i="51" s="1"/>
  <c r="J457" i="51" s="1"/>
  <c r="B219" i="51" a="1"/>
  <c r="B219" i="51" s="1"/>
  <c r="C215" i="51"/>
  <c r="D154" i="51"/>
  <c r="C343" i="51"/>
  <c r="D343" i="51" s="1"/>
  <c r="E343" i="51" s="1"/>
  <c r="F343" i="51" s="1"/>
  <c r="G343" i="51" s="1"/>
  <c r="H343" i="51" s="1"/>
  <c r="I343" i="51" s="1"/>
  <c r="J343" i="51" s="1"/>
  <c r="C337" i="51"/>
  <c r="C131" i="51" a="1"/>
  <c r="C131" i="51" s="1"/>
  <c r="C305" i="51"/>
  <c r="C111" i="51" a="1"/>
  <c r="C111" i="51" s="1"/>
  <c r="D381" i="51"/>
  <c r="E381" i="51" s="1"/>
  <c r="F381" i="51" s="1"/>
  <c r="G381" i="51" s="1"/>
  <c r="H381" i="51" s="1"/>
  <c r="I381" i="51" s="1"/>
  <c r="D380" i="51"/>
  <c r="E380" i="51" s="1"/>
  <c r="F380" i="51" s="1"/>
  <c r="G380" i="51" s="1"/>
  <c r="H380" i="51" s="1"/>
  <c r="I380" i="51" s="1"/>
  <c r="E103" i="51"/>
  <c r="F101" i="51"/>
  <c r="E101" i="51" s="1"/>
  <c r="E100" i="51"/>
  <c r="D99" i="51"/>
  <c r="H189" i="51" s="1" a="1"/>
  <c r="B370" i="51" a="1"/>
  <c r="B370" i="51" s="1"/>
  <c r="K369" i="51" a="1"/>
  <c r="K369" i="51" s="1"/>
  <c r="B67" i="51"/>
  <c r="B66" i="51"/>
  <c r="B65" i="51"/>
  <c r="P913" i="51"/>
  <c r="B64" i="51"/>
  <c r="B63" i="51"/>
  <c r="P911" i="51"/>
  <c r="P910" i="51"/>
  <c r="P909" i="51"/>
  <c r="F909" i="51"/>
  <c r="F103" i="51" s="1"/>
  <c r="P908" i="51"/>
  <c r="F908" i="51"/>
  <c r="E907" i="51"/>
  <c r="F907" i="51" s="1"/>
  <c r="P906" i="51"/>
  <c r="B966" i="51" a="1"/>
  <c r="B974" i="51" s="1"/>
  <c r="B980" i="51" s="1"/>
  <c r="I54" i="51"/>
  <c r="I428" i="51" s="1"/>
  <c r="H54" i="51"/>
  <c r="G54" i="51"/>
  <c r="F54" i="51"/>
  <c r="G337" i="51" s="1"/>
  <c r="E54" i="51"/>
  <c r="E368" i="51" s="1"/>
  <c r="D54" i="51"/>
  <c r="C54" i="51"/>
  <c r="M965" i="51"/>
  <c r="L965" i="51"/>
  <c r="K965" i="51"/>
  <c r="J965" i="51"/>
  <c r="I965" i="51"/>
  <c r="H965" i="51"/>
  <c r="G965" i="51"/>
  <c r="F965" i="51"/>
  <c r="E965" i="51"/>
  <c r="D965" i="51"/>
  <c r="B977" i="51" l="1"/>
  <c r="B983" i="51" s="1"/>
  <c r="K271" i="51" a="1"/>
  <c r="K271" i="51" s="1"/>
  <c r="K278" i="51" s="1" a="1"/>
  <c r="K278" i="51" s="1"/>
  <c r="P912" i="51"/>
  <c r="D215" i="51"/>
  <c r="H428" i="51"/>
  <c r="I337" i="51"/>
  <c r="F428" i="51"/>
  <c r="B975" i="51"/>
  <c r="B981" i="51" s="1"/>
  <c r="B976" i="51"/>
  <c r="B982" i="51" s="1"/>
  <c r="C428" i="51"/>
  <c r="D305" i="51"/>
  <c r="D337" i="51"/>
  <c r="B966" i="51"/>
  <c r="C62" i="51" a="1"/>
  <c r="C62" i="51" s="1"/>
  <c r="I368" i="51"/>
  <c r="J337" i="51"/>
  <c r="J305" i="51"/>
  <c r="J455" i="51" s="1"/>
  <c r="D428" i="51"/>
  <c r="E305" i="51"/>
  <c r="E455" i="51" s="1"/>
  <c r="D368" i="51"/>
  <c r="E337" i="51"/>
  <c r="H368" i="51"/>
  <c r="B431" i="51" a="1"/>
  <c r="F305" i="51"/>
  <c r="F455" i="51" s="1"/>
  <c r="F337" i="51"/>
  <c r="E428" i="51"/>
  <c r="I305" i="51"/>
  <c r="I455" i="51" s="1"/>
  <c r="G305" i="51"/>
  <c r="G455" i="51" s="1"/>
  <c r="F368" i="51"/>
  <c r="G368" i="51"/>
  <c r="H337" i="51"/>
  <c r="G428" i="51"/>
  <c r="H305" i="51"/>
  <c r="H455" i="51" s="1"/>
  <c r="C368" i="51"/>
  <c r="H189" i="51"/>
  <c r="K285" i="51" l="1" a="1"/>
  <c r="K285" i="51" s="1"/>
  <c r="D455" i="51"/>
  <c r="C527" i="51" a="1"/>
  <c r="B531" i="51"/>
  <c r="B557" i="51" s="1"/>
  <c r="B530" i="51"/>
  <c r="B556" i="51" s="1"/>
  <c r="B535" i="51"/>
  <c r="B561" i="51" s="1"/>
  <c r="B532" i="51"/>
  <c r="B558" i="51" s="1"/>
  <c r="B537" i="51"/>
  <c r="B563" i="51" s="1"/>
  <c r="B534" i="51"/>
  <c r="B560" i="51" s="1"/>
  <c r="B533" i="51"/>
  <c r="B559" i="51" s="1"/>
  <c r="B536" i="51"/>
  <c r="B562" i="51" s="1"/>
  <c r="B431" i="51"/>
  <c r="B973" i="51"/>
  <c r="B979" i="51" s="1"/>
  <c r="C180" i="48" a="1"/>
  <c r="C180" i="48" s="1"/>
  <c r="C185" i="48" s="1" a="1"/>
  <c r="C185" i="48" s="1"/>
  <c r="C190" i="48" s="1" a="1"/>
  <c r="C190" i="48" s="1"/>
  <c r="B161" i="48" a="1"/>
  <c r="B161" i="48" s="1"/>
  <c r="C113" i="48" a="1"/>
  <c r="C113" i="48" s="1"/>
  <c r="I26" i="51" l="1"/>
  <c r="E553" i="51"/>
  <c r="H627" i="51"/>
  <c r="H26" i="51"/>
  <c r="D553" i="51"/>
  <c r="G627" i="51"/>
  <c r="G26" i="51"/>
  <c r="F627" i="51"/>
  <c r="C527" i="51"/>
  <c r="E26" i="51"/>
  <c r="I553" i="51"/>
  <c r="D627" i="51"/>
  <c r="D26" i="51"/>
  <c r="H553" i="51"/>
  <c r="C627" i="51"/>
  <c r="F553" i="51"/>
  <c r="F26" i="51"/>
  <c r="G553" i="51"/>
  <c r="E627" i="51"/>
  <c r="B529" i="51"/>
  <c r="P74" i="48"/>
  <c r="P73" i="48"/>
  <c r="P71" i="48"/>
  <c r="P70" i="48"/>
  <c r="P69" i="48"/>
  <c r="P67" i="48"/>
  <c r="P72" i="48"/>
  <c r="D43" i="48"/>
  <c r="E43" i="48"/>
  <c r="F43" i="48"/>
  <c r="G43" i="48"/>
  <c r="H43" i="48"/>
  <c r="I43" i="48"/>
  <c r="C43" i="48"/>
  <c r="D19" i="48"/>
  <c r="E19" i="48" s="1"/>
  <c r="F19" i="48" s="1"/>
  <c r="G19" i="48" s="1"/>
  <c r="H19" i="48" s="1"/>
  <c r="I19" i="48" s="1"/>
  <c r="D18" i="48"/>
  <c r="E18" i="48" s="1"/>
  <c r="F18" i="48" s="1"/>
  <c r="G18" i="48" s="1"/>
  <c r="H18" i="48" s="1"/>
  <c r="I18" i="48" s="1"/>
  <c r="K7" i="48" a="1"/>
  <c r="K7" i="48" s="1"/>
  <c r="B555" i="51" l="1"/>
  <c r="B568" i="51" s="1" a="1"/>
  <c r="B568" i="51" s="1"/>
  <c r="B541" i="51" a="1"/>
  <c r="B541" i="51" s="1"/>
  <c r="C553" i="51"/>
  <c r="C26" i="51"/>
  <c r="C540" i="51" a="1"/>
  <c r="C540" i="51" s="1"/>
  <c r="B627" i="51"/>
  <c r="BM12" i="43"/>
  <c r="C567" i="51" l="1" a="1"/>
  <c r="C567" i="51" s="1"/>
  <c r="S367" i="38"/>
  <c r="S366" i="38"/>
  <c r="S365" i="38"/>
  <c r="S364" i="38"/>
  <c r="S363" i="38"/>
  <c r="S362" i="38"/>
  <c r="S361" i="38"/>
  <c r="S360" i="38"/>
  <c r="S359" i="38"/>
  <c r="S358" i="38"/>
  <c r="S357" i="38"/>
  <c r="S356" i="38"/>
  <c r="S355" i="38"/>
  <c r="S354" i="38"/>
  <c r="S353" i="38"/>
  <c r="S352" i="38"/>
  <c r="S351" i="38"/>
  <c r="S350" i="38"/>
  <c r="BM18" i="43" l="1"/>
  <c r="BM17" i="43"/>
  <c r="F18" i="43"/>
  <c r="F17" i="43"/>
  <c r="F11" i="43"/>
  <c r="F10" i="43"/>
  <c r="BM15" i="43"/>
  <c r="E308" i="38"/>
  <c r="F308" i="38"/>
  <c r="G308" i="38"/>
  <c r="H308" i="38"/>
  <c r="I308" i="38"/>
  <c r="J308" i="38"/>
  <c r="K308" i="38"/>
  <c r="L308" i="38"/>
  <c r="M308" i="38"/>
  <c r="N308" i="38"/>
  <c r="O308" i="38"/>
  <c r="P308" i="38"/>
  <c r="Q308" i="38"/>
  <c r="R308" i="38"/>
  <c r="E309" i="38"/>
  <c r="F309" i="38"/>
  <c r="G309" i="38"/>
  <c r="H309" i="38"/>
  <c r="I309" i="38"/>
  <c r="J309" i="38"/>
  <c r="K309" i="38"/>
  <c r="L309" i="38"/>
  <c r="M309" i="38"/>
  <c r="N309" i="38"/>
  <c r="O309" i="38"/>
  <c r="P309" i="38"/>
  <c r="Q309" i="38"/>
  <c r="R309" i="38"/>
  <c r="E310" i="38"/>
  <c r="F310" i="38"/>
  <c r="G310" i="38"/>
  <c r="H310" i="38"/>
  <c r="I310" i="38"/>
  <c r="J310" i="38"/>
  <c r="K310" i="38"/>
  <c r="L310" i="38"/>
  <c r="M310" i="38"/>
  <c r="N310" i="38"/>
  <c r="O310" i="38"/>
  <c r="P310" i="38"/>
  <c r="Q310" i="38"/>
  <c r="R310" i="38"/>
  <c r="E311" i="38"/>
  <c r="F311" i="38"/>
  <c r="G311" i="38"/>
  <c r="H311" i="38"/>
  <c r="I311" i="38"/>
  <c r="J311" i="38"/>
  <c r="K311" i="38"/>
  <c r="L311" i="38"/>
  <c r="M311" i="38"/>
  <c r="N311" i="38"/>
  <c r="O311" i="38"/>
  <c r="P311" i="38"/>
  <c r="Q311" i="38"/>
  <c r="R311" i="38"/>
  <c r="E312" i="38"/>
  <c r="F312" i="38"/>
  <c r="G312" i="38"/>
  <c r="H312" i="38"/>
  <c r="I312" i="38"/>
  <c r="J312" i="38"/>
  <c r="K312" i="38"/>
  <c r="L312" i="38"/>
  <c r="M312" i="38"/>
  <c r="N312" i="38"/>
  <c r="O312" i="38"/>
  <c r="P312" i="38"/>
  <c r="Q312" i="38"/>
  <c r="R312" i="38"/>
  <c r="E313" i="38"/>
  <c r="F313" i="38"/>
  <c r="G313" i="38"/>
  <c r="H313" i="38"/>
  <c r="I313" i="38"/>
  <c r="J313" i="38"/>
  <c r="K313" i="38"/>
  <c r="L313" i="38"/>
  <c r="M313" i="38"/>
  <c r="N313" i="38"/>
  <c r="O313" i="38"/>
  <c r="P313" i="38"/>
  <c r="Q313" i="38"/>
  <c r="R313" i="38"/>
  <c r="E314" i="38"/>
  <c r="F314" i="38"/>
  <c r="G314" i="38"/>
  <c r="H314" i="38"/>
  <c r="I314" i="38"/>
  <c r="J314" i="38"/>
  <c r="K314" i="38"/>
  <c r="L314" i="38"/>
  <c r="M314" i="38"/>
  <c r="N314" i="38"/>
  <c r="O314" i="38"/>
  <c r="P314" i="38"/>
  <c r="Q314" i="38"/>
  <c r="R314" i="38"/>
  <c r="E315" i="38"/>
  <c r="F315" i="38"/>
  <c r="G315" i="38"/>
  <c r="H315" i="38"/>
  <c r="I315" i="38"/>
  <c r="J315" i="38"/>
  <c r="K315" i="38"/>
  <c r="L315" i="38"/>
  <c r="M315" i="38"/>
  <c r="N315" i="38"/>
  <c r="O315" i="38"/>
  <c r="P315" i="38"/>
  <c r="Q315" i="38"/>
  <c r="R315" i="38"/>
  <c r="E316" i="38"/>
  <c r="F316" i="38"/>
  <c r="G316" i="38"/>
  <c r="H316" i="38"/>
  <c r="I316" i="38"/>
  <c r="J316" i="38"/>
  <c r="K316" i="38"/>
  <c r="L316" i="38"/>
  <c r="M316" i="38"/>
  <c r="N316" i="38"/>
  <c r="O316" i="38"/>
  <c r="P316" i="38"/>
  <c r="Q316" i="38"/>
  <c r="R316" i="38"/>
  <c r="E317" i="38"/>
  <c r="F317" i="38"/>
  <c r="G317" i="38"/>
  <c r="H317" i="38"/>
  <c r="I317" i="38"/>
  <c r="J317" i="38"/>
  <c r="K317" i="38"/>
  <c r="L317" i="38"/>
  <c r="M317" i="38"/>
  <c r="N317" i="38"/>
  <c r="O317" i="38"/>
  <c r="P317" i="38"/>
  <c r="Q317" i="38"/>
  <c r="R317" i="38"/>
  <c r="E318" i="38"/>
  <c r="F318" i="38"/>
  <c r="G318" i="38"/>
  <c r="H318" i="38"/>
  <c r="I318" i="38"/>
  <c r="J318" i="38"/>
  <c r="K318" i="38"/>
  <c r="L318" i="38"/>
  <c r="M318" i="38"/>
  <c r="N318" i="38"/>
  <c r="O318" i="38"/>
  <c r="P318" i="38"/>
  <c r="Q318" i="38"/>
  <c r="R318" i="38"/>
  <c r="E319" i="38"/>
  <c r="F319" i="38"/>
  <c r="G319" i="38"/>
  <c r="H319" i="38"/>
  <c r="I319" i="38"/>
  <c r="J319" i="38"/>
  <c r="K319" i="38"/>
  <c r="L319" i="38"/>
  <c r="M319" i="38"/>
  <c r="N319" i="38"/>
  <c r="O319" i="38"/>
  <c r="P319" i="38"/>
  <c r="Q319" i="38"/>
  <c r="R319" i="38"/>
  <c r="E320" i="38"/>
  <c r="F320" i="38"/>
  <c r="G320" i="38"/>
  <c r="H320" i="38"/>
  <c r="I320" i="38"/>
  <c r="J320" i="38"/>
  <c r="K320" i="38"/>
  <c r="L320" i="38"/>
  <c r="M320" i="38"/>
  <c r="N320" i="38"/>
  <c r="O320" i="38"/>
  <c r="P320" i="38"/>
  <c r="Q320" i="38"/>
  <c r="R320" i="38"/>
  <c r="E321" i="38"/>
  <c r="F321" i="38"/>
  <c r="G321" i="38"/>
  <c r="H321" i="38"/>
  <c r="I321" i="38"/>
  <c r="J321" i="38"/>
  <c r="K321" i="38"/>
  <c r="L321" i="38"/>
  <c r="M321" i="38"/>
  <c r="N321" i="38"/>
  <c r="O321" i="38"/>
  <c r="P321" i="38"/>
  <c r="Q321" i="38"/>
  <c r="R321" i="38"/>
  <c r="E322" i="38"/>
  <c r="F322" i="38"/>
  <c r="G322" i="38"/>
  <c r="H322" i="38"/>
  <c r="I322" i="38"/>
  <c r="J322" i="38"/>
  <c r="K322" i="38"/>
  <c r="L322" i="38"/>
  <c r="M322" i="38"/>
  <c r="N322" i="38"/>
  <c r="O322" i="38"/>
  <c r="P322" i="38"/>
  <c r="Q322" i="38"/>
  <c r="R322" i="38"/>
  <c r="E323" i="38"/>
  <c r="F323" i="38"/>
  <c r="G323" i="38"/>
  <c r="H323" i="38"/>
  <c r="I323" i="38"/>
  <c r="J323" i="38"/>
  <c r="K323" i="38"/>
  <c r="L323" i="38"/>
  <c r="M323" i="38"/>
  <c r="N323" i="38"/>
  <c r="O323" i="38"/>
  <c r="P323" i="38"/>
  <c r="Q323" i="38"/>
  <c r="R323" i="38"/>
  <c r="E324" i="38"/>
  <c r="F324" i="38"/>
  <c r="G324" i="38"/>
  <c r="H324" i="38"/>
  <c r="I324" i="38"/>
  <c r="J324" i="38"/>
  <c r="K324" i="38"/>
  <c r="L324" i="38"/>
  <c r="M324" i="38"/>
  <c r="N324" i="38"/>
  <c r="O324" i="38"/>
  <c r="P324" i="38"/>
  <c r="Q324" i="38"/>
  <c r="R324" i="38"/>
  <c r="E325" i="38"/>
  <c r="F325" i="38"/>
  <c r="G325" i="38"/>
  <c r="H325" i="38"/>
  <c r="I325" i="38"/>
  <c r="J325" i="38"/>
  <c r="K325" i="38"/>
  <c r="L325" i="38"/>
  <c r="M325" i="38"/>
  <c r="N325" i="38"/>
  <c r="O325" i="38"/>
  <c r="P325" i="38"/>
  <c r="Q325" i="38"/>
  <c r="R325" i="38"/>
  <c r="F307" i="38"/>
  <c r="G307" i="38"/>
  <c r="H307" i="38"/>
  <c r="I307" i="38"/>
  <c r="J307" i="38"/>
  <c r="K307" i="38"/>
  <c r="L307" i="38"/>
  <c r="M307" i="38"/>
  <c r="N307" i="38"/>
  <c r="O307" i="38"/>
  <c r="P307" i="38"/>
  <c r="Q307" i="38"/>
  <c r="R307" i="38"/>
  <c r="E307" i="38"/>
  <c r="D415" i="38"/>
  <c r="D407" i="38"/>
  <c r="D409" i="38"/>
  <c r="X295" i="38" l="1"/>
  <c r="Y295" i="38"/>
  <c r="Z295" i="38"/>
  <c r="AA295" i="38"/>
  <c r="AB295" i="38"/>
  <c r="AC295" i="38"/>
  <c r="AD295" i="38"/>
  <c r="AE295" i="38"/>
  <c r="AF295" i="38"/>
  <c r="W295" i="38"/>
  <c r="X287" i="38"/>
  <c r="E291" i="38" s="1"/>
  <c r="Y287" i="38"/>
  <c r="F291" i="38" s="1"/>
  <c r="Z287" i="38"/>
  <c r="G291" i="38" s="1"/>
  <c r="AA287" i="38"/>
  <c r="H291" i="38" s="1"/>
  <c r="AB287" i="38"/>
  <c r="I291" i="38" s="1"/>
  <c r="AC287" i="38"/>
  <c r="J291" i="38" s="1"/>
  <c r="AD287" i="38"/>
  <c r="K291" i="38" s="1"/>
  <c r="AE287" i="38"/>
  <c r="L291" i="38" s="1"/>
  <c r="AF287" i="38"/>
  <c r="M291" i="38" s="1"/>
  <c r="W287" i="38"/>
  <c r="D291" i="38" s="1"/>
  <c r="X289" i="38"/>
  <c r="Y289" i="38"/>
  <c r="Z289" i="38"/>
  <c r="AA289" i="38"/>
  <c r="AB289" i="38"/>
  <c r="AC289" i="38"/>
  <c r="AD289" i="38"/>
  <c r="AE289" i="38"/>
  <c r="AF289" i="38"/>
  <c r="W289" i="38"/>
  <c r="V26" i="32"/>
  <c r="V25" i="32"/>
  <c r="V29" i="32"/>
  <c r="V30" i="32" s="1"/>
  <c r="W43" i="28" l="1"/>
  <c r="X43" i="28" s="1"/>
  <c r="W44" i="28"/>
  <c r="X44" i="28" s="1"/>
  <c r="W45" i="28"/>
  <c r="W9" i="28" s="1"/>
  <c r="W46" i="28"/>
  <c r="X46" i="28" s="1"/>
  <c r="W47" i="28"/>
  <c r="W8" i="28" s="1"/>
  <c r="W48" i="28"/>
  <c r="X48" i="28" s="1"/>
  <c r="W49" i="28"/>
  <c r="X49" i="28" s="1"/>
  <c r="W50" i="28"/>
  <c r="X50" i="28" s="1"/>
  <c r="W51" i="28"/>
  <c r="X51" i="28" s="1"/>
  <c r="W52" i="28"/>
  <c r="X52" i="28" s="1"/>
  <c r="W53" i="28"/>
  <c r="X53" i="28" s="1"/>
  <c r="W54" i="28"/>
  <c r="X54" i="28" s="1"/>
  <c r="W55" i="28"/>
  <c r="X55" i="28" s="1"/>
  <c r="W56" i="28"/>
  <c r="X56" i="28" s="1"/>
  <c r="W57" i="28"/>
  <c r="X57" i="28" s="1"/>
  <c r="AZ5" i="43"/>
  <c r="BA5" i="43"/>
  <c r="AZ6" i="43"/>
  <c r="BA6" i="43" s="1"/>
  <c r="AZ7" i="43"/>
  <c r="BA7" i="43" s="1"/>
  <c r="AZ8" i="43"/>
  <c r="BA8" i="43" s="1"/>
  <c r="AZ9" i="43"/>
  <c r="BA9" i="43"/>
  <c r="AZ10" i="43"/>
  <c r="BA10" i="43" s="1"/>
  <c r="AZ11" i="43"/>
  <c r="BA11" i="43" s="1"/>
  <c r="AZ12" i="43"/>
  <c r="BA12" i="43" s="1"/>
  <c r="AZ13" i="43"/>
  <c r="BA13" i="43"/>
  <c r="AZ14" i="43"/>
  <c r="BA14" i="43" s="1"/>
  <c r="AZ15" i="43"/>
  <c r="BA15" i="43" s="1"/>
  <c r="AZ16" i="43"/>
  <c r="BA16" i="43" s="1"/>
  <c r="AZ17" i="43"/>
  <c r="BA17" i="43"/>
  <c r="AZ18" i="43"/>
  <c r="BA18" i="43" s="1"/>
  <c r="AZ19" i="43"/>
  <c r="BA19" i="43" s="1"/>
  <c r="S284" i="38"/>
  <c r="D385" i="38"/>
  <c r="D417" i="38"/>
  <c r="E416" i="38"/>
  <c r="F416" i="38" s="1"/>
  <c r="G416" i="38" s="1"/>
  <c r="H416" i="38" s="1"/>
  <c r="I416" i="38" s="1"/>
  <c r="J416" i="38" s="1"/>
  <c r="K416" i="38" s="1"/>
  <c r="L416" i="38" s="1"/>
  <c r="M416" i="38" s="1"/>
  <c r="N416" i="38" s="1"/>
  <c r="O416" i="38" s="1"/>
  <c r="P416" i="38" s="1"/>
  <c r="Q416" i="38" s="1"/>
  <c r="R416" i="38" s="1"/>
  <c r="R417" i="38" s="1"/>
  <c r="E303" i="38"/>
  <c r="F303" i="38"/>
  <c r="G303" i="38"/>
  <c r="H303" i="38"/>
  <c r="I303" i="38"/>
  <c r="J303" i="38"/>
  <c r="K303" i="38"/>
  <c r="L303" i="38"/>
  <c r="M303" i="38"/>
  <c r="D303" i="38"/>
  <c r="T395" i="38"/>
  <c r="T394" i="38"/>
  <c r="T393" i="38"/>
  <c r="D302" i="38"/>
  <c r="E421" i="38"/>
  <c r="F421" i="38" s="1"/>
  <c r="G421" i="38" s="1"/>
  <c r="H421" i="38" s="1"/>
  <c r="I421" i="38" s="1"/>
  <c r="J421" i="38" s="1"/>
  <c r="K421" i="38" s="1"/>
  <c r="L421" i="38" s="1"/>
  <c r="M421" i="38" s="1"/>
  <c r="N421" i="38" s="1"/>
  <c r="O421" i="38" s="1"/>
  <c r="P421" i="38" s="1"/>
  <c r="Q421" i="38" s="1"/>
  <c r="R421" i="38" s="1"/>
  <c r="R302" i="38" s="1"/>
  <c r="CG35" i="28"/>
  <c r="CH35" i="28"/>
  <c r="CI35" i="28"/>
  <c r="CJ35" i="28"/>
  <c r="CK35" i="28"/>
  <c r="CL35" i="28"/>
  <c r="CM35" i="28"/>
  <c r="CN35" i="28"/>
  <c r="CG36" i="28"/>
  <c r="CH36" i="28"/>
  <c r="CI36" i="28"/>
  <c r="CJ36" i="28"/>
  <c r="CK36" i="28"/>
  <c r="CL36" i="28"/>
  <c r="CM36" i="28"/>
  <c r="CN36" i="28"/>
  <c r="CG29" i="28"/>
  <c r="CH29" i="28"/>
  <c r="CI29" i="28"/>
  <c r="CJ29" i="28"/>
  <c r="CK29" i="28"/>
  <c r="CL29" i="28"/>
  <c r="CM29" i="28"/>
  <c r="CN29" i="28"/>
  <c r="CG30" i="28"/>
  <c r="CH30" i="28"/>
  <c r="CI30" i="28"/>
  <c r="CJ30" i="28"/>
  <c r="CK30" i="28"/>
  <c r="CL30" i="28"/>
  <c r="CM30" i="28"/>
  <c r="CN30" i="28"/>
  <c r="CG31" i="28"/>
  <c r="CH31" i="28"/>
  <c r="CI31" i="28"/>
  <c r="CJ31" i="28"/>
  <c r="CK31" i="28"/>
  <c r="CL31" i="28"/>
  <c r="CM31" i="28"/>
  <c r="CN31" i="28"/>
  <c r="CG32" i="28"/>
  <c r="CH32" i="28"/>
  <c r="CI32" i="28"/>
  <c r="CJ32" i="28"/>
  <c r="CK32" i="28"/>
  <c r="CL32" i="28"/>
  <c r="CM32" i="28"/>
  <c r="CN32" i="28"/>
  <c r="CG33" i="28"/>
  <c r="CH33" i="28"/>
  <c r="CI33" i="28"/>
  <c r="CJ33" i="28"/>
  <c r="CK33" i="28"/>
  <c r="CL33" i="28"/>
  <c r="CM33" i="28"/>
  <c r="CN33" i="28"/>
  <c r="CG28" i="28"/>
  <c r="CH28" i="28"/>
  <c r="CI28" i="28"/>
  <c r="CJ28" i="28"/>
  <c r="CK28" i="28"/>
  <c r="CL28" i="28"/>
  <c r="CM28" i="28"/>
  <c r="CN28" i="28"/>
  <c r="D301" i="38"/>
  <c r="E420" i="38"/>
  <c r="F420" i="38" s="1"/>
  <c r="G420" i="38" s="1"/>
  <c r="H420" i="38" s="1"/>
  <c r="I420" i="38" s="1"/>
  <c r="J420" i="38" s="1"/>
  <c r="K420" i="38" s="1"/>
  <c r="L420" i="38" s="1"/>
  <c r="M420" i="38" s="1"/>
  <c r="N420" i="38" s="1"/>
  <c r="O420" i="38" s="1"/>
  <c r="P420" i="38" s="1"/>
  <c r="Q420" i="38" s="1"/>
  <c r="R420" i="38" s="1"/>
  <c r="R301" i="38" s="1"/>
  <c r="D345" i="38" l="1"/>
  <c r="E345" i="38"/>
  <c r="E344" i="38"/>
  <c r="X47" i="28"/>
  <c r="X8" i="28" s="1"/>
  <c r="X45" i="28"/>
  <c r="X9" i="28" s="1"/>
  <c r="J417" i="38"/>
  <c r="J346" i="38" s="1"/>
  <c r="J367" i="38" s="1"/>
  <c r="J385" i="38" s="1"/>
  <c r="Q417" i="38"/>
  <c r="Q346" i="38" s="1"/>
  <c r="I417" i="38"/>
  <c r="I346" i="38" s="1"/>
  <c r="I367" i="38" s="1"/>
  <c r="I385" i="38" s="1"/>
  <c r="P417" i="38"/>
  <c r="P346" i="38" s="1"/>
  <c r="H417" i="38"/>
  <c r="H346" i="38" s="1"/>
  <c r="H367" i="38" s="1"/>
  <c r="H385" i="38" s="1"/>
  <c r="L417" i="38"/>
  <c r="L346" i="38" s="1"/>
  <c r="L367" i="38" s="1"/>
  <c r="L385" i="38" s="1"/>
  <c r="K417" i="38"/>
  <c r="K346" i="38" s="1"/>
  <c r="K367" i="38" s="1"/>
  <c r="K385" i="38" s="1"/>
  <c r="O417" i="38"/>
  <c r="O346" i="38" s="1"/>
  <c r="G417" i="38"/>
  <c r="G346" i="38" s="1"/>
  <c r="G367" i="38" s="1"/>
  <c r="G385" i="38" s="1"/>
  <c r="N417" i="38"/>
  <c r="N346" i="38" s="1"/>
  <c r="F417" i="38"/>
  <c r="F346" i="38" s="1"/>
  <c r="F367" i="38" s="1"/>
  <c r="F385" i="38" s="1"/>
  <c r="M417" i="38"/>
  <c r="M346" i="38" s="1"/>
  <c r="M367" i="38" s="1"/>
  <c r="M385" i="38" s="1"/>
  <c r="E417" i="38"/>
  <c r="E346" i="38" s="1"/>
  <c r="S303" i="38"/>
  <c r="D346" i="38"/>
  <c r="R346" i="38"/>
  <c r="I344" i="38"/>
  <c r="D344" i="38"/>
  <c r="D395" i="38"/>
  <c r="Q302" i="38"/>
  <c r="R344" i="38"/>
  <c r="P302" i="38"/>
  <c r="Q344" i="38"/>
  <c r="J302" i="38"/>
  <c r="K344" i="38"/>
  <c r="I302" i="38"/>
  <c r="J344" i="38"/>
  <c r="H302" i="38"/>
  <c r="S302" i="38" s="1"/>
  <c r="P344" i="38"/>
  <c r="H344" i="38"/>
  <c r="O302" i="38"/>
  <c r="G302" i="38"/>
  <c r="O344" i="38"/>
  <c r="G344" i="38"/>
  <c r="N302" i="38"/>
  <c r="F302" i="38"/>
  <c r="N344" i="38"/>
  <c r="M302" i="38"/>
  <c r="M344" i="38"/>
  <c r="L302" i="38"/>
  <c r="F344" i="38"/>
  <c r="E302" i="38"/>
  <c r="L344" i="38"/>
  <c r="K302" i="38"/>
  <c r="Q301" i="38"/>
  <c r="G301" i="38"/>
  <c r="F301" i="38"/>
  <c r="M345" i="38"/>
  <c r="P301" i="38"/>
  <c r="F345" i="38"/>
  <c r="L345" i="38"/>
  <c r="K301" i="38"/>
  <c r="Q345" i="38"/>
  <c r="I345" i="38"/>
  <c r="O301" i="38"/>
  <c r="K345" i="38"/>
  <c r="N301" i="38"/>
  <c r="R345" i="38"/>
  <c r="J345" i="38"/>
  <c r="J301" i="38"/>
  <c r="P345" i="38"/>
  <c r="H345" i="38"/>
  <c r="I301" i="38"/>
  <c r="O345" i="38"/>
  <c r="G345" i="38"/>
  <c r="H301" i="38"/>
  <c r="S301" i="38" s="1"/>
  <c r="N345" i="38"/>
  <c r="M301" i="38"/>
  <c r="E301" i="38"/>
  <c r="L301" i="38"/>
  <c r="AR36" i="28" l="1"/>
  <c r="F395" i="38"/>
  <c r="I395" i="38"/>
  <c r="G395" i="38"/>
  <c r="J395" i="38"/>
  <c r="K395" i="38"/>
  <c r="L395" i="38"/>
  <c r="H395" i="38"/>
  <c r="M395" i="38"/>
  <c r="P365" i="38"/>
  <c r="E365" i="38"/>
  <c r="Q365" i="38"/>
  <c r="N365" i="38"/>
  <c r="K365" i="38"/>
  <c r="R365" i="38"/>
  <c r="G366" i="38"/>
  <c r="F365" i="38"/>
  <c r="J365" i="38"/>
  <c r="I365" i="38"/>
  <c r="O365" i="38"/>
  <c r="G365" i="38"/>
  <c r="M365" i="38"/>
  <c r="H365" i="38"/>
  <c r="L365" i="38"/>
  <c r="R366" i="38"/>
  <c r="L366" i="38"/>
  <c r="J366" i="38"/>
  <c r="M366" i="38"/>
  <c r="K366" i="38"/>
  <c r="H366" i="38"/>
  <c r="N366" i="38"/>
  <c r="P366" i="38"/>
  <c r="I366" i="38"/>
  <c r="O366" i="38"/>
  <c r="Q366" i="38"/>
  <c r="F366" i="38"/>
  <c r="AV36" i="28" l="1"/>
  <c r="AU36" i="28"/>
  <c r="AZ36" i="28"/>
  <c r="AW36" i="28"/>
  <c r="AY36" i="28"/>
  <c r="AT36" i="28"/>
  <c r="BA36" i="28"/>
  <c r="AX36" i="28"/>
  <c r="AG301" i="38"/>
  <c r="AH301" i="38" s="1"/>
  <c r="E283" i="38"/>
  <c r="F283" i="38"/>
  <c r="G283" i="38"/>
  <c r="H283" i="38"/>
  <c r="I283" i="38"/>
  <c r="J283" i="38"/>
  <c r="K283" i="38"/>
  <c r="L283" i="38"/>
  <c r="M283" i="38"/>
  <c r="D283" i="38"/>
  <c r="X293" i="38"/>
  <c r="Y293" i="38"/>
  <c r="Z293" i="38"/>
  <c r="AA293" i="38"/>
  <c r="AB293" i="38"/>
  <c r="AC293" i="38"/>
  <c r="AD293" i="38"/>
  <c r="AE293" i="38"/>
  <c r="AF293" i="38"/>
  <c r="W293" i="38"/>
  <c r="X292" i="38"/>
  <c r="Y292" i="38"/>
  <c r="Z292" i="38"/>
  <c r="AA292" i="38"/>
  <c r="AB292" i="38"/>
  <c r="AC292" i="38"/>
  <c r="AD292" i="38"/>
  <c r="AE292" i="38"/>
  <c r="AF292" i="38"/>
  <c r="W292" i="38"/>
  <c r="D288" i="38"/>
  <c r="D372" i="38"/>
  <c r="D373" i="38"/>
  <c r="D374" i="38"/>
  <c r="D375" i="38"/>
  <c r="D376" i="38"/>
  <c r="D377" i="38"/>
  <c r="D378" i="38"/>
  <c r="D380" i="38"/>
  <c r="D381" i="38"/>
  <c r="D371" i="38"/>
  <c r="N283" i="38" l="1"/>
  <c r="S283" i="38"/>
  <c r="O283" i="38"/>
  <c r="AI301" i="38"/>
  <c r="P283" i="38" l="1"/>
  <c r="AJ301" i="38"/>
  <c r="Q283" i="38" l="1"/>
  <c r="AK301" i="38"/>
  <c r="R283" i="38" s="1"/>
  <c r="ET46" i="28" l="1"/>
  <c r="ET70" i="28"/>
  <c r="ET71" i="28"/>
  <c r="CJ75" i="28" l="1"/>
  <c r="CK75" i="28"/>
  <c r="CL75" i="28"/>
  <c r="CM75" i="28"/>
  <c r="CN75" i="28"/>
  <c r="CO84" i="28"/>
  <c r="CO86" i="28"/>
  <c r="BG76" i="28"/>
  <c r="BG84" i="28"/>
  <c r="BG86" i="28"/>
  <c r="F301" i="37" l="1"/>
  <c r="F303" i="37"/>
  <c r="F305" i="37"/>
  <c r="E341" i="37"/>
  <c r="E334" i="37"/>
  <c r="E327" i="37"/>
  <c r="E320" i="37"/>
  <c r="E306" i="37"/>
  <c r="E299" i="37"/>
  <c r="AK43" i="28"/>
  <c r="AK44" i="28"/>
  <c r="AK45" i="28"/>
  <c r="AK46" i="28"/>
  <c r="AK47" i="28"/>
  <c r="AK48" i="28"/>
  <c r="AK49" i="28"/>
  <c r="AK51" i="28"/>
  <c r="AK52" i="28"/>
  <c r="AK53" i="28"/>
  <c r="AK54" i="28"/>
  <c r="AK58" i="28"/>
  <c r="AK59" i="28"/>
  <c r="AK60" i="28"/>
  <c r="AK61" i="28"/>
  <c r="AK62" i="28"/>
  <c r="AK63" i="28"/>
  <c r="AK64" i="28"/>
  <c r="AK65" i="28"/>
  <c r="AK66" i="28"/>
  <c r="AK67" i="28"/>
  <c r="AK68" i="28"/>
  <c r="AK69" i="28"/>
  <c r="AK70" i="28"/>
  <c r="AK71" i="28"/>
  <c r="AK72" i="28"/>
  <c r="AK73" i="28"/>
  <c r="AK74" i="28"/>
  <c r="AK75" i="28"/>
  <c r="AK76" i="28"/>
  <c r="AK77" i="28"/>
  <c r="AK78" i="28"/>
  <c r="AK79" i="28"/>
  <c r="AK80" i="28"/>
  <c r="AK81" i="28"/>
  <c r="AK82" i="28"/>
  <c r="AK83" i="28"/>
  <c r="AK84" i="28"/>
  <c r="AK85" i="28"/>
  <c r="AK86" i="28"/>
  <c r="AK42" i="28"/>
  <c r="AK9" i="28"/>
  <c r="AK10" i="28"/>
  <c r="AK11" i="28"/>
  <c r="AK13" i="28"/>
  <c r="AK19" i="28"/>
  <c r="AK20" i="28"/>
  <c r="AK21" i="28"/>
  <c r="AK22" i="28"/>
  <c r="AK23" i="28"/>
  <c r="AK24" i="28"/>
  <c r="AK25" i="28"/>
  <c r="AK26" i="28"/>
  <c r="AK27" i="28"/>
  <c r="AK28" i="28"/>
  <c r="AK29" i="28"/>
  <c r="AK30" i="28"/>
  <c r="AK31" i="28"/>
  <c r="AK32" i="28"/>
  <c r="AK33" i="28"/>
  <c r="AK34" i="28"/>
  <c r="AK35" i="28"/>
  <c r="AK36" i="28"/>
  <c r="AK37" i="28"/>
  <c r="AK38" i="28"/>
  <c r="AK39" i="28"/>
  <c r="AK40" i="28"/>
  <c r="AK8" i="28"/>
  <c r="Y100" i="37"/>
  <c r="Y99" i="37"/>
  <c r="Y98" i="37"/>
  <c r="Y97" i="37"/>
  <c r="Y95" i="37"/>
  <c r="Y94" i="37"/>
  <c r="E100" i="37"/>
  <c r="E99" i="37"/>
  <c r="E98" i="37"/>
  <c r="E97" i="37"/>
  <c r="E95" i="37"/>
  <c r="E94" i="37"/>
  <c r="E88" i="37" l="1"/>
  <c r="E87" i="37"/>
  <c r="E86" i="37"/>
  <c r="E85" i="37"/>
  <c r="E83" i="37"/>
  <c r="E82" i="37"/>
  <c r="E78" i="37"/>
  <c r="E77" i="37"/>
  <c r="E76" i="37"/>
  <c r="E75" i="37"/>
  <c r="E73" i="37"/>
  <c r="E72" i="37"/>
  <c r="BS42" i="43"/>
  <c r="BT42" i="43"/>
  <c r="BU42" i="43"/>
  <c r="BV42" i="43"/>
  <c r="BW42" i="43"/>
  <c r="BS43" i="43"/>
  <c r="BT43" i="43"/>
  <c r="BU43" i="43"/>
  <c r="BV43" i="43"/>
  <c r="BW43" i="43"/>
  <c r="Q689" i="37" l="1"/>
  <c r="R689" i="37"/>
  <c r="S689" i="37"/>
  <c r="T689" i="37"/>
  <c r="U689" i="37"/>
  <c r="BJ4" i="43"/>
  <c r="BD42" i="28" s="1"/>
  <c r="GJ77" i="28"/>
  <c r="GK77" i="28"/>
  <c r="GL77" i="28"/>
  <c r="GM77" i="28"/>
  <c r="GN77" i="28"/>
  <c r="GJ78" i="28"/>
  <c r="GK78" i="28"/>
  <c r="GL78" i="28"/>
  <c r="GM78" i="28"/>
  <c r="GN78" i="28"/>
  <c r="GJ74" i="28"/>
  <c r="GK74" i="28"/>
  <c r="GJ73" i="28"/>
  <c r="GK73" i="28"/>
  <c r="GL73" i="28"/>
  <c r="GM73" i="28"/>
  <c r="GN73" i="28"/>
  <c r="GG8" i="28"/>
  <c r="GH8" i="28"/>
  <c r="GI8" i="28"/>
  <c r="GJ8" i="28"/>
  <c r="GK8" i="28"/>
  <c r="GL8" i="28"/>
  <c r="GM8" i="28"/>
  <c r="GN8" i="28"/>
  <c r="GG9" i="28"/>
  <c r="GH9" i="28"/>
  <c r="GI9" i="28"/>
  <c r="GJ9" i="28"/>
  <c r="GK9" i="28"/>
  <c r="GL9" i="28"/>
  <c r="GM9" i="28"/>
  <c r="GN9" i="28"/>
  <c r="GG10" i="28"/>
  <c r="GH10" i="28"/>
  <c r="GI10" i="28"/>
  <c r="GJ10" i="28"/>
  <c r="GK10" i="28"/>
  <c r="GL10" i="28"/>
  <c r="GM10" i="28"/>
  <c r="GN10" i="28"/>
  <c r="GG11" i="28"/>
  <c r="GH11" i="28"/>
  <c r="GI11" i="28"/>
  <c r="GJ11" i="28"/>
  <c r="GK11" i="28"/>
  <c r="GL11" i="28"/>
  <c r="GM11" i="28"/>
  <c r="GN11" i="28"/>
  <c r="GG12" i="28"/>
  <c r="GH12" i="28"/>
  <c r="GI12" i="28"/>
  <c r="GJ12" i="28"/>
  <c r="GK12" i="28"/>
  <c r="GL12" i="28"/>
  <c r="GM12" i="28"/>
  <c r="GN12" i="28"/>
  <c r="GG13" i="28"/>
  <c r="GH13" i="28"/>
  <c r="GI13" i="28"/>
  <c r="GJ13" i="28"/>
  <c r="GK13" i="28"/>
  <c r="GL13" i="28"/>
  <c r="GM13" i="28"/>
  <c r="GN13" i="28"/>
  <c r="GG14" i="28"/>
  <c r="GH14" i="28"/>
  <c r="GI14" i="28"/>
  <c r="GJ14" i="28"/>
  <c r="GK14" i="28"/>
  <c r="GL14" i="28"/>
  <c r="GM14" i="28"/>
  <c r="GN14" i="28"/>
  <c r="GG15" i="28"/>
  <c r="GH15" i="28"/>
  <c r="GI15" i="28"/>
  <c r="GJ15" i="28"/>
  <c r="GK15" i="28"/>
  <c r="GL15" i="28"/>
  <c r="GM15" i="28"/>
  <c r="GN15" i="28"/>
  <c r="GG16" i="28"/>
  <c r="GH16" i="28"/>
  <c r="GI16" i="28"/>
  <c r="GJ16" i="28"/>
  <c r="GK16" i="28"/>
  <c r="GL16" i="28"/>
  <c r="GM16" i="28"/>
  <c r="GN16" i="28"/>
  <c r="GG17" i="28"/>
  <c r="GH17" i="28"/>
  <c r="GI17" i="28"/>
  <c r="GJ17" i="28"/>
  <c r="GK17" i="28"/>
  <c r="GL17" i="28"/>
  <c r="GM17" i="28"/>
  <c r="GN17" i="28"/>
  <c r="GG18" i="28"/>
  <c r="GH18" i="28"/>
  <c r="GI18" i="28"/>
  <c r="GJ18" i="28"/>
  <c r="GK18" i="28"/>
  <c r="GL18" i="28"/>
  <c r="GM18" i="28"/>
  <c r="GN18" i="28"/>
  <c r="GG19" i="28"/>
  <c r="GH19" i="28"/>
  <c r="GI19" i="28"/>
  <c r="GJ19" i="28"/>
  <c r="GK19" i="28"/>
  <c r="GL19" i="28"/>
  <c r="GM19" i="28"/>
  <c r="GN19" i="28"/>
  <c r="GG20" i="28"/>
  <c r="GH20" i="28"/>
  <c r="GI20" i="28"/>
  <c r="GJ20" i="28"/>
  <c r="GK20" i="28"/>
  <c r="GL20" i="28"/>
  <c r="GM20" i="28"/>
  <c r="GN20" i="28"/>
  <c r="GG22" i="28"/>
  <c r="GH22" i="28"/>
  <c r="GI22" i="28"/>
  <c r="GJ22" i="28"/>
  <c r="GK22" i="28"/>
  <c r="GL22" i="28"/>
  <c r="GM22" i="28"/>
  <c r="GN22" i="28"/>
  <c r="N577" i="38"/>
  <c r="N578" i="38" s="1"/>
  <c r="O577" i="38"/>
  <c r="O578" i="38" s="1"/>
  <c r="P577" i="38"/>
  <c r="P578" i="38" s="1"/>
  <c r="Q577" i="38"/>
  <c r="Q578" i="38" s="1"/>
  <c r="R577" i="38"/>
  <c r="R578" i="38" s="1"/>
  <c r="Z534" i="38"/>
  <c r="Z535" i="38"/>
  <c r="AG285" i="38"/>
  <c r="AH285" i="38" s="1"/>
  <c r="AI285" i="38" s="1"/>
  <c r="AJ285" i="38" s="1"/>
  <c r="AK285" i="38" s="1"/>
  <c r="R447" i="38" s="1"/>
  <c r="AG286" i="38"/>
  <c r="AG287" i="38" s="1"/>
  <c r="N291" i="38" s="1"/>
  <c r="AG288" i="38"/>
  <c r="AG289" i="38" s="1"/>
  <c r="AG290" i="38"/>
  <c r="AH290" i="38" s="1"/>
  <c r="AI290" i="38" s="1"/>
  <c r="AJ290" i="38" s="1"/>
  <c r="AK290" i="38" s="1"/>
  <c r="AG291" i="38"/>
  <c r="AH291" i="38" s="1"/>
  <c r="AI291" i="38" s="1"/>
  <c r="AJ291" i="38" s="1"/>
  <c r="AK291" i="38" s="1"/>
  <c r="AG292" i="38"/>
  <c r="N282" i="38" s="1"/>
  <c r="AG293" i="38"/>
  <c r="N297" i="38" s="1"/>
  <c r="AG294" i="38"/>
  <c r="AG295" i="38" s="1"/>
  <c r="AG296" i="38"/>
  <c r="N285" i="38" s="1"/>
  <c r="AG297" i="38"/>
  <c r="AH297" i="38" s="1"/>
  <c r="AI297" i="38" s="1"/>
  <c r="AJ297" i="38" s="1"/>
  <c r="AK297" i="38" s="1"/>
  <c r="AG298" i="38"/>
  <c r="AH298" i="38" s="1"/>
  <c r="AI298" i="38" s="1"/>
  <c r="AJ298" i="38" s="1"/>
  <c r="AK298" i="38" s="1"/>
  <c r="AG299" i="38"/>
  <c r="AH299" i="38" s="1"/>
  <c r="AI299" i="38" s="1"/>
  <c r="AJ299" i="38" s="1"/>
  <c r="AK299" i="38" s="1"/>
  <c r="R293" i="38" s="1"/>
  <c r="AG300" i="38"/>
  <c r="AH300" i="38" s="1"/>
  <c r="AI300" i="38" s="1"/>
  <c r="AJ300" i="38" s="1"/>
  <c r="AK300" i="38" s="1"/>
  <c r="R294" i="38" s="1"/>
  <c r="AG284" i="38"/>
  <c r="N446" i="38" s="1"/>
  <c r="N244" i="38"/>
  <c r="O244" i="38" s="1"/>
  <c r="P244" i="38" s="1"/>
  <c r="Q244" i="38" s="1"/>
  <c r="R244" i="38" s="1"/>
  <c r="N245" i="38"/>
  <c r="O245" i="38" s="1"/>
  <c r="P245" i="38" s="1"/>
  <c r="Q245" i="38" s="1"/>
  <c r="R245" i="38" s="1"/>
  <c r="N246" i="38"/>
  <c r="O246" i="38" s="1"/>
  <c r="P246" i="38" s="1"/>
  <c r="Q246" i="38" s="1"/>
  <c r="R246" i="38" s="1"/>
  <c r="N243" i="38"/>
  <c r="O243" i="38" s="1"/>
  <c r="P243" i="38" s="1"/>
  <c r="Q243" i="38" s="1"/>
  <c r="R243" i="38" s="1"/>
  <c r="N242" i="38"/>
  <c r="O242" i="38" s="1"/>
  <c r="P242" i="38" s="1"/>
  <c r="Q242" i="38" s="1"/>
  <c r="R242" i="38" s="1"/>
  <c r="N241" i="38"/>
  <c r="O241" i="38" s="1"/>
  <c r="P241" i="38" s="1"/>
  <c r="Q241" i="38" s="1"/>
  <c r="R241" i="38" s="1"/>
  <c r="N240" i="38"/>
  <c r="O240" i="38" s="1"/>
  <c r="P240" i="38" s="1"/>
  <c r="Q240" i="38" s="1"/>
  <c r="R240" i="38" s="1"/>
  <c r="N239" i="38"/>
  <c r="O239" i="38" s="1"/>
  <c r="P239" i="38" s="1"/>
  <c r="Q239" i="38" s="1"/>
  <c r="R239" i="38" s="1"/>
  <c r="N238" i="38"/>
  <c r="O238" i="38" s="1"/>
  <c r="P238" i="38" s="1"/>
  <c r="Q238" i="38" s="1"/>
  <c r="R238" i="38" s="1"/>
  <c r="N227" i="38"/>
  <c r="O227" i="38" s="1"/>
  <c r="P227" i="38" s="1"/>
  <c r="Q227" i="38" s="1"/>
  <c r="R227" i="38" s="1"/>
  <c r="N228" i="38"/>
  <c r="O228" i="38" s="1"/>
  <c r="P228" i="38" s="1"/>
  <c r="Q228" i="38" s="1"/>
  <c r="R228" i="38" s="1"/>
  <c r="N229" i="38"/>
  <c r="O229" i="38" s="1"/>
  <c r="P229" i="38" s="1"/>
  <c r="Q229" i="38" s="1"/>
  <c r="R229" i="38" s="1"/>
  <c r="N230" i="38"/>
  <c r="O230" i="38" s="1"/>
  <c r="P230" i="38" s="1"/>
  <c r="Q230" i="38" s="1"/>
  <c r="R230" i="38" s="1"/>
  <c r="N231" i="38"/>
  <c r="O231" i="38" s="1"/>
  <c r="P231" i="38" s="1"/>
  <c r="Q231" i="38" s="1"/>
  <c r="R231" i="38" s="1"/>
  <c r="N226" i="38"/>
  <c r="N187" i="38"/>
  <c r="O187" i="38" s="1"/>
  <c r="P187" i="38" s="1"/>
  <c r="Q187" i="38" s="1"/>
  <c r="R187" i="38" s="1"/>
  <c r="N185" i="38"/>
  <c r="O185" i="38" s="1"/>
  <c r="P185" i="38" s="1"/>
  <c r="Q185" i="38" s="1"/>
  <c r="R185" i="38" s="1"/>
  <c r="N177" i="38"/>
  <c r="O177" i="38" s="1"/>
  <c r="P177" i="38" s="1"/>
  <c r="Q177" i="38" s="1"/>
  <c r="R177" i="38" s="1"/>
  <c r="N176" i="38"/>
  <c r="O176" i="38" s="1"/>
  <c r="P176" i="38" s="1"/>
  <c r="Q176" i="38" s="1"/>
  <c r="R176" i="38" s="1"/>
  <c r="N175" i="38"/>
  <c r="O175" i="38" s="1"/>
  <c r="P175" i="38" s="1"/>
  <c r="Q175" i="38" s="1"/>
  <c r="R175" i="38" s="1"/>
  <c r="N174" i="38"/>
  <c r="O174" i="38" s="1"/>
  <c r="P174" i="38" s="1"/>
  <c r="Q174" i="38" s="1"/>
  <c r="R174" i="38" s="1"/>
  <c r="N168" i="38"/>
  <c r="O168" i="38" s="1"/>
  <c r="P168" i="38" s="1"/>
  <c r="Q168" i="38" s="1"/>
  <c r="R168" i="38" s="1"/>
  <c r="N167" i="38"/>
  <c r="O167" i="38" s="1"/>
  <c r="P167" i="38" s="1"/>
  <c r="Q167" i="38" s="1"/>
  <c r="R167" i="38" s="1"/>
  <c r="N166" i="38"/>
  <c r="O166" i="38" s="1"/>
  <c r="P166" i="38" s="1"/>
  <c r="Q166" i="38" s="1"/>
  <c r="R166" i="38" s="1"/>
  <c r="N165" i="38"/>
  <c r="O165" i="38" s="1"/>
  <c r="P165" i="38" s="1"/>
  <c r="Q165" i="38" s="1"/>
  <c r="R165" i="38" s="1"/>
  <c r="N157" i="38"/>
  <c r="O157" i="38" s="1"/>
  <c r="P157" i="38" s="1"/>
  <c r="Q157" i="38" s="1"/>
  <c r="R157" i="38" s="1"/>
  <c r="N158" i="38"/>
  <c r="O158" i="38" s="1"/>
  <c r="P158" i="38" s="1"/>
  <c r="Q158" i="38" s="1"/>
  <c r="R158" i="38" s="1"/>
  <c r="N159" i="38"/>
  <c r="O159" i="38" s="1"/>
  <c r="P159" i="38" s="1"/>
  <c r="Q159" i="38" s="1"/>
  <c r="R159" i="38" s="1"/>
  <c r="N160" i="38"/>
  <c r="O160" i="38" s="1"/>
  <c r="P160" i="38" s="1"/>
  <c r="Q160" i="38" s="1"/>
  <c r="R160" i="38" s="1"/>
  <c r="N161" i="38"/>
  <c r="O161" i="38" s="1"/>
  <c r="P161" i="38" s="1"/>
  <c r="Q161" i="38" s="1"/>
  <c r="R161" i="38" s="1"/>
  <c r="N156" i="38"/>
  <c r="O156" i="38" s="1"/>
  <c r="P156" i="38" s="1"/>
  <c r="Q156" i="38" s="1"/>
  <c r="R156" i="38" s="1"/>
  <c r="M21" i="38"/>
  <c r="N21" i="38"/>
  <c r="O21" i="38"/>
  <c r="P21" i="38"/>
  <c r="Q21" i="38"/>
  <c r="GL74" i="28"/>
  <c r="GN74" i="28"/>
  <c r="CJ76" i="28"/>
  <c r="CJ79" i="28"/>
  <c r="GJ79" i="28" s="1"/>
  <c r="CK79" i="28"/>
  <c r="GK79" i="28" s="1"/>
  <c r="CL79" i="28"/>
  <c r="GL79" i="28" s="1"/>
  <c r="CM79" i="28"/>
  <c r="CN79" i="28"/>
  <c r="CJ80" i="28"/>
  <c r="CK80" i="28"/>
  <c r="CL80" i="28"/>
  <c r="CM80" i="28"/>
  <c r="CN80" i="28"/>
  <c r="CJ81" i="28"/>
  <c r="CK81" i="28"/>
  <c r="CL81" i="28"/>
  <c r="CM81" i="28"/>
  <c r="CN81" i="28"/>
  <c r="CJ82" i="28"/>
  <c r="CK82" i="28"/>
  <c r="CL82" i="28"/>
  <c r="CM82" i="28"/>
  <c r="CN82" i="28"/>
  <c r="CJ83" i="28"/>
  <c r="CK83" i="28"/>
  <c r="CL83" i="28"/>
  <c r="CM83" i="28"/>
  <c r="CN83" i="28"/>
  <c r="CK67" i="28"/>
  <c r="GN59" i="28"/>
  <c r="BB79" i="28"/>
  <c r="BC79" i="28"/>
  <c r="BD79" i="28"/>
  <c r="BE79" i="28"/>
  <c r="BF79" i="28"/>
  <c r="BB80" i="28"/>
  <c r="BC80" i="28"/>
  <c r="BD80" i="28"/>
  <c r="BE80" i="28"/>
  <c r="BF80" i="28"/>
  <c r="BD82" i="28"/>
  <c r="BB83" i="28"/>
  <c r="BC83" i="28"/>
  <c r="BD83" i="28"/>
  <c r="BE83" i="28"/>
  <c r="BF83" i="28"/>
  <c r="BB67" i="28"/>
  <c r="BB58" i="28"/>
  <c r="BC58" i="28"/>
  <c r="BD58" i="28"/>
  <c r="BE58" i="28"/>
  <c r="BF58" i="28"/>
  <c r="BB60" i="28"/>
  <c r="BC60" i="28"/>
  <c r="BD60" i="28"/>
  <c r="BE60" i="28"/>
  <c r="BF60" i="28"/>
  <c r="BH38" i="43"/>
  <c r="BB75" i="28" s="1"/>
  <c r="BI38" i="43"/>
  <c r="BC75" i="28" s="1"/>
  <c r="BJ38" i="43"/>
  <c r="BD75" i="28" s="1"/>
  <c r="BK38" i="43"/>
  <c r="BE75" i="28" s="1"/>
  <c r="BL38" i="43"/>
  <c r="BF75" i="28" s="1"/>
  <c r="BH44" i="43"/>
  <c r="BB81" i="28" s="1"/>
  <c r="BI44" i="43"/>
  <c r="BC81" i="28" s="1"/>
  <c r="BJ44" i="43"/>
  <c r="BD81" i="28" s="1"/>
  <c r="BK44" i="43"/>
  <c r="BE81" i="28" s="1"/>
  <c r="BL44" i="43"/>
  <c r="BF81" i="28" s="1"/>
  <c r="BH45" i="43"/>
  <c r="BB82" i="28" s="1"/>
  <c r="BI45" i="43"/>
  <c r="BC82" i="28" s="1"/>
  <c r="BJ45" i="43"/>
  <c r="BK45" i="43"/>
  <c r="BE82" i="28" s="1"/>
  <c r="BL45" i="43"/>
  <c r="BF82" i="28" s="1"/>
  <c r="BH27" i="43"/>
  <c r="BB64" i="28" s="1"/>
  <c r="BI27" i="43"/>
  <c r="BC64" i="28" s="1"/>
  <c r="BJ27" i="43"/>
  <c r="BD64" i="28" s="1"/>
  <c r="BK27" i="43"/>
  <c r="BE64" i="28" s="1"/>
  <c r="BL27" i="43"/>
  <c r="BF64" i="28" s="1"/>
  <c r="BH29" i="43"/>
  <c r="BB66" i="28" s="1"/>
  <c r="BI29" i="43"/>
  <c r="BC66" i="28" s="1"/>
  <c r="BJ29" i="43"/>
  <c r="BD66" i="28" s="1"/>
  <c r="BK29" i="43"/>
  <c r="BE66" i="28" s="1"/>
  <c r="BL29" i="43"/>
  <c r="BF66" i="28" s="1"/>
  <c r="BH30" i="43"/>
  <c r="BI30" i="43"/>
  <c r="BC67" i="28" s="1"/>
  <c r="BJ30" i="43"/>
  <c r="BD67" i="28" s="1"/>
  <c r="BK30" i="43"/>
  <c r="BE67" i="28" s="1"/>
  <c r="BL30" i="43"/>
  <c r="BF67" i="28" s="1"/>
  <c r="BH31" i="43"/>
  <c r="BB68" i="28" s="1"/>
  <c r="BI31" i="43"/>
  <c r="BC68" i="28" s="1"/>
  <c r="BJ31" i="43"/>
  <c r="BD68" i="28" s="1"/>
  <c r="BK31" i="43"/>
  <c r="BE68" i="28" s="1"/>
  <c r="BL31" i="43"/>
  <c r="BF68" i="28" s="1"/>
  <c r="BH32" i="43"/>
  <c r="BB69" i="28" s="1"/>
  <c r="BI32" i="43"/>
  <c r="BC69" i="28" s="1"/>
  <c r="BJ32" i="43"/>
  <c r="BD69" i="28" s="1"/>
  <c r="BK32" i="43"/>
  <c r="BE69" i="28" s="1"/>
  <c r="BL32" i="43"/>
  <c r="BF69" i="28" s="1"/>
  <c r="BH33" i="43"/>
  <c r="BB70" i="28" s="1"/>
  <c r="BI33" i="43"/>
  <c r="BC70" i="28" s="1"/>
  <c r="BJ33" i="43"/>
  <c r="BD70" i="28" s="1"/>
  <c r="BK33" i="43"/>
  <c r="BE70" i="28" s="1"/>
  <c r="BL33" i="43"/>
  <c r="BF70" i="28" s="1"/>
  <c r="BH34" i="43"/>
  <c r="BB71" i="28" s="1"/>
  <c r="BI34" i="43"/>
  <c r="BC71" i="28" s="1"/>
  <c r="BJ34" i="43"/>
  <c r="BD71" i="28" s="1"/>
  <c r="BK34" i="43"/>
  <c r="BE71" i="28" s="1"/>
  <c r="BL34" i="43"/>
  <c r="BF71" i="28" s="1"/>
  <c r="BH4" i="43"/>
  <c r="BB42" i="28" s="1"/>
  <c r="BI4" i="43"/>
  <c r="BC42" i="28" s="1"/>
  <c r="BK4" i="43"/>
  <c r="BE42" i="28" s="1"/>
  <c r="BL4" i="43"/>
  <c r="BF42" i="28" s="1"/>
  <c r="BH5" i="43"/>
  <c r="BB43" i="28" s="1"/>
  <c r="BI5" i="43"/>
  <c r="BC43" i="28" s="1"/>
  <c r="BJ5" i="43"/>
  <c r="BD43" i="28" s="1"/>
  <c r="BK5" i="43"/>
  <c r="BE43" i="28" s="1"/>
  <c r="BL5" i="43"/>
  <c r="BF43" i="28" s="1"/>
  <c r="BH6" i="43"/>
  <c r="BB44" i="28" s="1"/>
  <c r="BI6" i="43"/>
  <c r="BC44" i="28" s="1"/>
  <c r="BJ6" i="43"/>
  <c r="BD44" i="28" s="1"/>
  <c r="BK6" i="43"/>
  <c r="BE44" i="28" s="1"/>
  <c r="BL6" i="43"/>
  <c r="BF44" i="28" s="1"/>
  <c r="BH7" i="43"/>
  <c r="BB45" i="28" s="1"/>
  <c r="BI7" i="43"/>
  <c r="BC45" i="28" s="1"/>
  <c r="BJ7" i="43"/>
  <c r="BD45" i="28" s="1"/>
  <c r="BK7" i="43"/>
  <c r="BE45" i="28" s="1"/>
  <c r="BL7" i="43"/>
  <c r="BF45" i="28" s="1"/>
  <c r="BH8" i="43"/>
  <c r="BB46" i="28" s="1"/>
  <c r="BI8" i="43"/>
  <c r="BC46" i="28" s="1"/>
  <c r="BJ8" i="43"/>
  <c r="BD46" i="28" s="1"/>
  <c r="BK8" i="43"/>
  <c r="BE46" i="28" s="1"/>
  <c r="BL8" i="43"/>
  <c r="BF46" i="28" s="1"/>
  <c r="BH9" i="43"/>
  <c r="BB47" i="28" s="1"/>
  <c r="BI9" i="43"/>
  <c r="BC47" i="28" s="1"/>
  <c r="BJ9" i="43"/>
  <c r="BD47" i="28" s="1"/>
  <c r="BK9" i="43"/>
  <c r="BE47" i="28" s="1"/>
  <c r="BL9" i="43"/>
  <c r="BF47" i="28" s="1"/>
  <c r="BH10" i="43"/>
  <c r="BB48" i="28" s="1"/>
  <c r="BI10" i="43"/>
  <c r="BC48" i="28" s="1"/>
  <c r="BJ10" i="43"/>
  <c r="BD48" i="28" s="1"/>
  <c r="BK10" i="43"/>
  <c r="BE48" i="28" s="1"/>
  <c r="BL10" i="43"/>
  <c r="BF48" i="28" s="1"/>
  <c r="BH11" i="43"/>
  <c r="BB49" i="28" s="1"/>
  <c r="BI11" i="43"/>
  <c r="BC49" i="28" s="1"/>
  <c r="BJ11" i="43"/>
  <c r="BD49" i="28" s="1"/>
  <c r="BK11" i="43"/>
  <c r="BE49" i="28" s="1"/>
  <c r="BL11" i="43"/>
  <c r="BF49" i="28" s="1"/>
  <c r="BH12" i="43"/>
  <c r="BB50" i="28" s="1"/>
  <c r="BI12" i="43"/>
  <c r="BC50" i="28" s="1"/>
  <c r="BJ12" i="43"/>
  <c r="BD50" i="28" s="1"/>
  <c r="BK12" i="43"/>
  <c r="BE50" i="28" s="1"/>
  <c r="BL12" i="43"/>
  <c r="BF50" i="28" s="1"/>
  <c r="BH13" i="43"/>
  <c r="BB51" i="28" s="1"/>
  <c r="BI13" i="43"/>
  <c r="BC51" i="28" s="1"/>
  <c r="BJ13" i="43"/>
  <c r="BD51" i="28" s="1"/>
  <c r="BK13" i="43"/>
  <c r="BE51" i="28" s="1"/>
  <c r="BL13" i="43"/>
  <c r="BF51" i="28" s="1"/>
  <c r="BH14" i="43"/>
  <c r="BB52" i="28" s="1"/>
  <c r="BI14" i="43"/>
  <c r="BC52" i="28" s="1"/>
  <c r="BJ14" i="43"/>
  <c r="BD52" i="28" s="1"/>
  <c r="BK14" i="43"/>
  <c r="BE52" i="28" s="1"/>
  <c r="BL14" i="43"/>
  <c r="BF52" i="28" s="1"/>
  <c r="BH15" i="43"/>
  <c r="BB53" i="28" s="1"/>
  <c r="BI15" i="43"/>
  <c r="BC53" i="28" s="1"/>
  <c r="BJ15" i="43"/>
  <c r="BD53" i="28" s="1"/>
  <c r="BK15" i="43"/>
  <c r="BE53" i="28" s="1"/>
  <c r="BL15" i="43"/>
  <c r="BF53" i="28" s="1"/>
  <c r="BH16" i="43"/>
  <c r="BB54" i="28" s="1"/>
  <c r="BI16" i="43"/>
  <c r="BC54" i="28" s="1"/>
  <c r="BJ16" i="43"/>
  <c r="BD54" i="28" s="1"/>
  <c r="BK16" i="43"/>
  <c r="BE54" i="28" s="1"/>
  <c r="BL16" i="43"/>
  <c r="BF54" i="28" s="1"/>
  <c r="BH17" i="43"/>
  <c r="BB55" i="28" s="1"/>
  <c r="BI17" i="43"/>
  <c r="BC55" i="28" s="1"/>
  <c r="BJ17" i="43"/>
  <c r="BD55" i="28" s="1"/>
  <c r="BK17" i="43"/>
  <c r="BE55" i="28" s="1"/>
  <c r="BL17" i="43"/>
  <c r="BF55" i="28" s="1"/>
  <c r="BH18" i="43"/>
  <c r="BB56" i="28" s="1"/>
  <c r="BI18" i="43"/>
  <c r="BC56" i="28" s="1"/>
  <c r="BJ18" i="43"/>
  <c r="BD56" i="28" s="1"/>
  <c r="BK18" i="43"/>
  <c r="BE56" i="28" s="1"/>
  <c r="BL18" i="43"/>
  <c r="BF56" i="28" s="1"/>
  <c r="BH19" i="43"/>
  <c r="BB57" i="28" s="1"/>
  <c r="BI19" i="43"/>
  <c r="BC57" i="28" s="1"/>
  <c r="BJ19" i="43"/>
  <c r="BD57" i="28" s="1"/>
  <c r="BK19" i="43"/>
  <c r="BE57" i="28" s="1"/>
  <c r="BL19" i="43"/>
  <c r="BF57" i="28" s="1"/>
  <c r="BS28" i="43"/>
  <c r="CJ65" i="28" s="1"/>
  <c r="BT28" i="43"/>
  <c r="CK65" i="28" s="1"/>
  <c r="GK65" i="28" s="1"/>
  <c r="BU28" i="43"/>
  <c r="CL65" i="28" s="1"/>
  <c r="BV28" i="43"/>
  <c r="CM65" i="28" s="1"/>
  <c r="GM65" i="28" s="1"/>
  <c r="BW28" i="43"/>
  <c r="CN65" i="28" s="1"/>
  <c r="BS29" i="43"/>
  <c r="CJ66" i="28" s="1"/>
  <c r="GJ66" i="28" s="1"/>
  <c r="BT29" i="43"/>
  <c r="CK66" i="28" s="1"/>
  <c r="BU29" i="43"/>
  <c r="CL66" i="28" s="1"/>
  <c r="BV29" i="43"/>
  <c r="CM66" i="28" s="1"/>
  <c r="BW29" i="43"/>
  <c r="CN66" i="28" s="1"/>
  <c r="BS30" i="43"/>
  <c r="CJ67" i="28" s="1"/>
  <c r="BT30" i="43"/>
  <c r="BU30" i="43"/>
  <c r="CL67" i="28" s="1"/>
  <c r="BV30" i="43"/>
  <c r="CM67" i="28" s="1"/>
  <c r="BW30" i="43"/>
  <c r="CN67" i="28" s="1"/>
  <c r="BS31" i="43"/>
  <c r="CJ68" i="28" s="1"/>
  <c r="BT31" i="43"/>
  <c r="CK68" i="28" s="1"/>
  <c r="BU31" i="43"/>
  <c r="CL68" i="28" s="1"/>
  <c r="BV31" i="43"/>
  <c r="CM68" i="28" s="1"/>
  <c r="BW31" i="43"/>
  <c r="CN68" i="28" s="1"/>
  <c r="BS32" i="43"/>
  <c r="CJ69" i="28" s="1"/>
  <c r="BT32" i="43"/>
  <c r="CK69" i="28" s="1"/>
  <c r="BU32" i="43"/>
  <c r="CL69" i="28" s="1"/>
  <c r="BV32" i="43"/>
  <c r="CM69" i="28" s="1"/>
  <c r="BW32" i="43"/>
  <c r="CN69" i="28" s="1"/>
  <c r="G776" i="38"/>
  <c r="G777" i="38"/>
  <c r="G778" i="38"/>
  <c r="D765" i="38"/>
  <c r="D764" i="38"/>
  <c r="D763" i="38"/>
  <c r="D762" i="38"/>
  <c r="D761" i="38"/>
  <c r="D760" i="38"/>
  <c r="D759" i="38"/>
  <c r="D757" i="38"/>
  <c r="D756" i="38"/>
  <c r="E782" i="38" a="1"/>
  <c r="E782" i="38" s="1"/>
  <c r="E790" i="38" s="1"/>
  <c r="I767" i="38"/>
  <c r="I766" i="38"/>
  <c r="C766" i="38"/>
  <c r="H766" i="38"/>
  <c r="AH288" i="38" l="1"/>
  <c r="AH289" i="38" s="1"/>
  <c r="AH286" i="38"/>
  <c r="AH287" i="38" s="1"/>
  <c r="O291" i="38" s="1"/>
  <c r="AH294" i="38"/>
  <c r="AH295" i="38" s="1"/>
  <c r="N303" i="38"/>
  <c r="N367" i="38" s="1"/>
  <c r="N385" i="38" s="1"/>
  <c r="O226" i="38"/>
  <c r="N428" i="38"/>
  <c r="GM74" i="28"/>
  <c r="GK59" i="28"/>
  <c r="GM79" i="28"/>
  <c r="GM59" i="28"/>
  <c r="GL66" i="28"/>
  <c r="GL59" i="28"/>
  <c r="GN65" i="28"/>
  <c r="GK66" i="28"/>
  <c r="GJ59" i="28"/>
  <c r="GL65" i="28"/>
  <c r="GN79" i="28"/>
  <c r="GJ65" i="28"/>
  <c r="GN66" i="28"/>
  <c r="GM66" i="28"/>
  <c r="T690" i="37"/>
  <c r="U690" i="37"/>
  <c r="R690" i="37"/>
  <c r="S690" i="37"/>
  <c r="AH296" i="38"/>
  <c r="O285" i="38" s="1"/>
  <c r="N295" i="38"/>
  <c r="N294" i="38"/>
  <c r="Q293" i="38"/>
  <c r="P293" i="38"/>
  <c r="AH292" i="38"/>
  <c r="N288" i="38"/>
  <c r="P447" i="38"/>
  <c r="O293" i="38"/>
  <c r="O447" i="38"/>
  <c r="Q447" i="38"/>
  <c r="Q294" i="38"/>
  <c r="N293" i="38"/>
  <c r="N286" i="38"/>
  <c r="N447" i="38"/>
  <c r="AH284" i="38"/>
  <c r="O288" i="38" s="1"/>
  <c r="AH293" i="38"/>
  <c r="P294" i="38"/>
  <c r="O294" i="38"/>
  <c r="N429" i="38"/>
  <c r="D767" i="38"/>
  <c r="D758" i="38"/>
  <c r="D766" i="38"/>
  <c r="E778" i="38"/>
  <c r="E776" i="38"/>
  <c r="E779" i="38"/>
  <c r="E777" i="38"/>
  <c r="D782" i="38" a="1"/>
  <c r="O295" i="38" l="1"/>
  <c r="AI286" i="38"/>
  <c r="AI287" i="38" s="1"/>
  <c r="P291" i="38" s="1"/>
  <c r="N395" i="38"/>
  <c r="AI288" i="38"/>
  <c r="AI289" i="38" s="1"/>
  <c r="AI294" i="38"/>
  <c r="AI295" i="38" s="1"/>
  <c r="O303" i="38"/>
  <c r="O367" i="38" s="1"/>
  <c r="O385" i="38" s="1"/>
  <c r="P226" i="38"/>
  <c r="AI296" i="38"/>
  <c r="AI293" i="38"/>
  <c r="O297" i="38"/>
  <c r="AI292" i="38"/>
  <c r="O282" i="38"/>
  <c r="O446" i="38"/>
  <c r="AI284" i="38"/>
  <c r="O286" i="38"/>
  <c r="AJ286" i="38"/>
  <c r="AJ287" i="38" s="1"/>
  <c r="Q291" i="38" s="1"/>
  <c r="C789" i="38"/>
  <c r="D777" i="38"/>
  <c r="D778" i="38"/>
  <c r="C784" i="38"/>
  <c r="C786" i="38"/>
  <c r="C783" i="38"/>
  <c r="C785" i="38"/>
  <c r="C778" i="38" s="1"/>
  <c r="N785" i="38" s="1"/>
  <c r="C788" i="38"/>
  <c r="D779" i="38"/>
  <c r="D782" i="38"/>
  <c r="HV43" i="28"/>
  <c r="O395" i="38" l="1"/>
  <c r="BB36" i="28"/>
  <c r="AJ288" i="38"/>
  <c r="AJ289" i="38" s="1"/>
  <c r="P295" i="38"/>
  <c r="AJ294" i="38"/>
  <c r="AJ295" i="38" s="1"/>
  <c r="P303" i="38"/>
  <c r="P367" i="38" s="1"/>
  <c r="P385" i="38" s="1"/>
  <c r="Q226" i="38"/>
  <c r="M785" i="38"/>
  <c r="L785" i="38"/>
  <c r="O428" i="38"/>
  <c r="AJ296" i="38"/>
  <c r="P285" i="38"/>
  <c r="AJ284" i="38"/>
  <c r="P286" i="38"/>
  <c r="P446" i="38"/>
  <c r="P288" i="38"/>
  <c r="AJ292" i="38"/>
  <c r="P282" i="38"/>
  <c r="AK286" i="38"/>
  <c r="AK287" i="38" s="1"/>
  <c r="R291" i="38" s="1"/>
  <c r="O429" i="38"/>
  <c r="AJ293" i="38"/>
  <c r="P297" i="38"/>
  <c r="C777" i="38"/>
  <c r="L784" i="38" s="1"/>
  <c r="HS43" i="28"/>
  <c r="HP43" i="28"/>
  <c r="HQ43" i="28"/>
  <c r="HT43" i="28"/>
  <c r="HR43" i="28"/>
  <c r="D790" i="38"/>
  <c r="C782" i="38"/>
  <c r="C776" i="38" s="1"/>
  <c r="D776" i="38"/>
  <c r="HV42" i="28"/>
  <c r="HV44" i="28"/>
  <c r="HV45" i="28"/>
  <c r="HV46" i="28"/>
  <c r="HV47" i="28"/>
  <c r="HV48" i="28"/>
  <c r="HV49" i="28"/>
  <c r="P395" i="38" l="1"/>
  <c r="BC36" i="28"/>
  <c r="AK288" i="38"/>
  <c r="AK289" i="38" s="1"/>
  <c r="Q295" i="38"/>
  <c r="AK294" i="38"/>
  <c r="Q303" i="38"/>
  <c r="Q367" i="38" s="1"/>
  <c r="Q385" i="38" s="1"/>
  <c r="R226" i="38"/>
  <c r="L783" i="38"/>
  <c r="O785" i="38"/>
  <c r="P428" i="38"/>
  <c r="N783" i="38"/>
  <c r="M783" i="38"/>
  <c r="N784" i="38"/>
  <c r="M784" i="38"/>
  <c r="O784" i="38" s="1"/>
  <c r="AK296" i="38"/>
  <c r="R285" i="38" s="1"/>
  <c r="Q285" i="38"/>
  <c r="P429" i="38"/>
  <c r="AK293" i="38"/>
  <c r="R297" i="38" s="1"/>
  <c r="Q297" i="38"/>
  <c r="AK292" i="38"/>
  <c r="R282" i="38" s="1"/>
  <c r="Q282" i="38"/>
  <c r="AK284" i="38"/>
  <c r="Q446" i="38"/>
  <c r="Q286" i="38"/>
  <c r="Q288" i="38"/>
  <c r="HR49" i="28"/>
  <c r="HS49" i="28"/>
  <c r="HP49" i="28"/>
  <c r="HQ49" i="28"/>
  <c r="HT49" i="28"/>
  <c r="HR48" i="28"/>
  <c r="HT48" i="28"/>
  <c r="HQ48" i="28"/>
  <c r="HS48" i="28"/>
  <c r="HP48" i="28"/>
  <c r="HQ47" i="28"/>
  <c r="HS47" i="28"/>
  <c r="HT47" i="28"/>
  <c r="HP47" i="28"/>
  <c r="HR47" i="28"/>
  <c r="HT46" i="28"/>
  <c r="HQ46" i="28"/>
  <c r="HR46" i="28"/>
  <c r="HP46" i="28"/>
  <c r="HS46" i="28"/>
  <c r="HQ45" i="28"/>
  <c r="HS45" i="28"/>
  <c r="HP45" i="28"/>
  <c r="HR45" i="28"/>
  <c r="HT45" i="28"/>
  <c r="HQ44" i="28"/>
  <c r="HR44" i="28"/>
  <c r="HP44" i="28"/>
  <c r="HS44" i="28"/>
  <c r="HT44" i="28"/>
  <c r="HP42" i="28"/>
  <c r="HR42" i="28"/>
  <c r="HQ42" i="28"/>
  <c r="HS42" i="28"/>
  <c r="HT42" i="28"/>
  <c r="Q395" i="38" l="1"/>
  <c r="BD36" i="28"/>
  <c r="R303" i="38"/>
  <c r="R367" i="38" s="1"/>
  <c r="R385" i="38" s="1"/>
  <c r="AK295" i="38"/>
  <c r="R295" i="38"/>
  <c r="R429" i="38"/>
  <c r="O783" i="38"/>
  <c r="Q428" i="38"/>
  <c r="R428" i="38"/>
  <c r="Q429" i="38"/>
  <c r="R446" i="38"/>
  <c r="R286" i="38"/>
  <c r="R288" i="38"/>
  <c r="AX73" i="28"/>
  <c r="C120" i="37"/>
  <c r="C121" i="37" s="1"/>
  <c r="C122" i="37" s="1"/>
  <c r="C123" i="37" s="1"/>
  <c r="C124" i="37" s="1"/>
  <c r="C125" i="37" s="1"/>
  <c r="BH53" i="28"/>
  <c r="HV50" i="28"/>
  <c r="HV51" i="28"/>
  <c r="HV52" i="28"/>
  <c r="HV54" i="28"/>
  <c r="HV55" i="28"/>
  <c r="HV56" i="28"/>
  <c r="HV57" i="28"/>
  <c r="HV53" i="28"/>
  <c r="X639" i="37"/>
  <c r="Y639" i="37"/>
  <c r="Y640" i="37"/>
  <c r="Y641" i="37"/>
  <c r="Y642" i="37"/>
  <c r="Y643" i="37"/>
  <c r="Y644" i="37"/>
  <c r="Y645" i="37"/>
  <c r="Y646" i="37"/>
  <c r="Y647" i="37"/>
  <c r="Y648" i="37"/>
  <c r="Y649" i="37"/>
  <c r="Y650" i="37"/>
  <c r="Y651" i="37"/>
  <c r="Y652" i="37"/>
  <c r="X653" i="37"/>
  <c r="Y653" i="37"/>
  <c r="Y654" i="37"/>
  <c r="Y655" i="37"/>
  <c r="Y656" i="37"/>
  <c r="Y657" i="37"/>
  <c r="Y658" i="37"/>
  <c r="Y659" i="37"/>
  <c r="Y660" i="37"/>
  <c r="Y661" i="37"/>
  <c r="Y662" i="37"/>
  <c r="Y663" i="37"/>
  <c r="E67" i="37"/>
  <c r="E66" i="37"/>
  <c r="E65" i="37"/>
  <c r="E64" i="37"/>
  <c r="E62" i="37"/>
  <c r="E61" i="37"/>
  <c r="R395" i="38" l="1"/>
  <c r="BE36" i="28"/>
  <c r="BG73" i="28"/>
  <c r="HT54" i="28"/>
  <c r="HP54" i="28"/>
  <c r="HR54" i="28"/>
  <c r="HS54" i="28"/>
  <c r="HQ54" i="28"/>
  <c r="HS52" i="28"/>
  <c r="HP52" i="28"/>
  <c r="HQ52" i="28"/>
  <c r="HR52" i="28"/>
  <c r="HT52" i="28"/>
  <c r="HS51" i="28"/>
  <c r="HQ51" i="28"/>
  <c r="HR51" i="28"/>
  <c r="HT51" i="28"/>
  <c r="HP51" i="28"/>
  <c r="HP50" i="28"/>
  <c r="HR50" i="28"/>
  <c r="HS50" i="28"/>
  <c r="HT50" i="28"/>
  <c r="HQ50" i="28"/>
  <c r="HQ53" i="28"/>
  <c r="HS53" i="28"/>
  <c r="HT53" i="28"/>
  <c r="HR53" i="28"/>
  <c r="HP53" i="28"/>
  <c r="HP57" i="28"/>
  <c r="HR57" i="28"/>
  <c r="HS57" i="28"/>
  <c r="HT57" i="28"/>
  <c r="HQ57" i="28"/>
  <c r="HR56" i="28"/>
  <c r="HT56" i="28"/>
  <c r="HS56" i="28"/>
  <c r="HP56" i="28"/>
  <c r="HQ56" i="28"/>
  <c r="HQ55" i="28"/>
  <c r="HT55" i="28"/>
  <c r="HP55" i="28"/>
  <c r="HR55" i="28"/>
  <c r="HS55" i="28"/>
  <c r="BI53" i="28"/>
  <c r="BF36" i="28" l="1"/>
  <c r="BJ53" i="28"/>
  <c r="S345" i="37"/>
  <c r="S338" i="37"/>
  <c r="S324" i="37"/>
  <c r="S331" i="37"/>
  <c r="S336" i="37"/>
  <c r="S329" i="37"/>
  <c r="S310" i="37"/>
  <c r="S343" i="37"/>
  <c r="S322" i="37"/>
  <c r="S317" i="37"/>
  <c r="S308" i="37"/>
  <c r="S315" i="37"/>
  <c r="Q345" i="37"/>
  <c r="Q338" i="37"/>
  <c r="Q343" i="37"/>
  <c r="Q336" i="37"/>
  <c r="Q308" i="37"/>
  <c r="Q322" i="37"/>
  <c r="Q317" i="37"/>
  <c r="Q315" i="37"/>
  <c r="Q329" i="37"/>
  <c r="Q310" i="37"/>
  <c r="Q331" i="37"/>
  <c r="Q324" i="37"/>
  <c r="R310" i="37"/>
  <c r="R324" i="37"/>
  <c r="R331" i="37"/>
  <c r="R315" i="37"/>
  <c r="R343" i="37"/>
  <c r="R308" i="37"/>
  <c r="R345" i="37"/>
  <c r="R329" i="37"/>
  <c r="R338" i="37"/>
  <c r="R336" i="37"/>
  <c r="R317" i="37"/>
  <c r="R322" i="37"/>
  <c r="U308" i="37"/>
  <c r="U310" i="37"/>
  <c r="U315" i="37"/>
  <c r="U338" i="37"/>
  <c r="U331" i="37"/>
  <c r="U317" i="37"/>
  <c r="U324" i="37"/>
  <c r="U329" i="37"/>
  <c r="U343" i="37"/>
  <c r="U345" i="37"/>
  <c r="U322" i="37"/>
  <c r="U336" i="37"/>
  <c r="T308" i="37"/>
  <c r="T322" i="37"/>
  <c r="T338" i="37"/>
  <c r="T315" i="37"/>
  <c r="T317" i="37"/>
  <c r="T331" i="37"/>
  <c r="T336" i="37"/>
  <c r="T345" i="37"/>
  <c r="T343" i="37"/>
  <c r="T324" i="37"/>
  <c r="T329" i="37"/>
  <c r="T310" i="37"/>
  <c r="BK53" i="28" l="1"/>
  <c r="U340" i="37"/>
  <c r="S326" i="37"/>
  <c r="S333" i="37"/>
  <c r="Q319" i="37"/>
  <c r="T312" i="37"/>
  <c r="R333" i="37"/>
  <c r="Q340" i="37"/>
  <c r="T340" i="37"/>
  <c r="U326" i="37"/>
  <c r="U319" i="37"/>
  <c r="Q347" i="37"/>
  <c r="S340" i="37"/>
  <c r="T319" i="37"/>
  <c r="R326" i="37"/>
  <c r="R319" i="37"/>
  <c r="S319" i="37"/>
  <c r="S347" i="37"/>
  <c r="Q312" i="37"/>
  <c r="U347" i="37"/>
  <c r="U312" i="37"/>
  <c r="R347" i="37"/>
  <c r="Q333" i="37"/>
  <c r="T347" i="37"/>
  <c r="U333" i="37"/>
  <c r="T333" i="37"/>
  <c r="S312" i="37"/>
  <c r="R312" i="37"/>
  <c r="T326" i="37"/>
  <c r="R340" i="37"/>
  <c r="Q326" i="37"/>
  <c r="I4" i="43"/>
  <c r="Y115" i="37"/>
  <c r="Y114" i="37"/>
  <c r="Y113" i="37"/>
  <c r="Y112" i="37"/>
  <c r="Y110" i="37"/>
  <c r="E115" i="37"/>
  <c r="E114" i="37"/>
  <c r="E113" i="37"/>
  <c r="E112" i="37"/>
  <c r="E110" i="37"/>
  <c r="E109" i="37"/>
  <c r="Y109" i="37"/>
  <c r="AB818" i="33"/>
  <c r="AB819" i="33"/>
  <c r="AB820" i="33"/>
  <c r="AB821" i="33"/>
  <c r="G767" i="37"/>
  <c r="G689" i="37"/>
  <c r="IP49" i="28"/>
  <c r="IQ49" i="28"/>
  <c r="IR49" i="28"/>
  <c r="IS49" i="28"/>
  <c r="IT49" i="28"/>
  <c r="IU49" i="28"/>
  <c r="IO49" i="28"/>
  <c r="IP57" i="28"/>
  <c r="IQ57" i="28"/>
  <c r="IR57" i="28"/>
  <c r="IS57" i="28"/>
  <c r="IT57" i="28"/>
  <c r="IO57" i="28"/>
  <c r="IP63" i="28"/>
  <c r="IQ63" i="28"/>
  <c r="IR63" i="28"/>
  <c r="IS63" i="28"/>
  <c r="IT63" i="28"/>
  <c r="IU63" i="28"/>
  <c r="IO63" i="28"/>
  <c r="IP83" i="28"/>
  <c r="IQ83" i="28"/>
  <c r="IR83" i="28"/>
  <c r="IS83" i="28"/>
  <c r="IT83" i="28"/>
  <c r="IU83" i="28"/>
  <c r="IO83" i="28"/>
  <c r="IU57" i="28"/>
  <c r="W290" i="37"/>
  <c r="W283" i="37"/>
  <c r="W276" i="37"/>
  <c r="W269" i="37"/>
  <c r="W255" i="37"/>
  <c r="W248" i="37"/>
  <c r="J764" i="38"/>
  <c r="J763" i="38"/>
  <c r="AM12" i="28" s="1"/>
  <c r="J761" i="38"/>
  <c r="J760" i="38"/>
  <c r="J759" i="38"/>
  <c r="J757" i="38"/>
  <c r="J756" i="38"/>
  <c r="AM17" i="28" s="1"/>
  <c r="L755" i="38"/>
  <c r="I758" i="38"/>
  <c r="H758" i="38"/>
  <c r="H755" i="38"/>
  <c r="C765" i="38"/>
  <c r="C758" i="38"/>
  <c r="HH43" i="28"/>
  <c r="HF44" i="28"/>
  <c r="HH45" i="28"/>
  <c r="HI46" i="28"/>
  <c r="HH47" i="28"/>
  <c r="HF48" i="28"/>
  <c r="HF49" i="28"/>
  <c r="HH50" i="28"/>
  <c r="HH51" i="28"/>
  <c r="HF52" i="28"/>
  <c r="HI53" i="28"/>
  <c r="HH55" i="28"/>
  <c r="HF56" i="28"/>
  <c r="HF57" i="28"/>
  <c r="HV9" i="28"/>
  <c r="HV12" i="28"/>
  <c r="HV14" i="28"/>
  <c r="HV15" i="28"/>
  <c r="HV8" i="28"/>
  <c r="E290" i="37"/>
  <c r="E283" i="37"/>
  <c r="E276" i="37"/>
  <c r="E269" i="37"/>
  <c r="E255" i="37"/>
  <c r="E248" i="37"/>
  <c r="C755" i="38"/>
  <c r="L757" i="38"/>
  <c r="M757" i="38" s="1"/>
  <c r="L759" i="38"/>
  <c r="M759" i="38" s="1"/>
  <c r="L760" i="38"/>
  <c r="M760" i="38" s="1"/>
  <c r="L761" i="38"/>
  <c r="M761" i="38" s="1"/>
  <c r="L762" i="38"/>
  <c r="L763" i="38"/>
  <c r="M763" i="38" s="1"/>
  <c r="L764" i="38"/>
  <c r="M764" i="38" s="1"/>
  <c r="G756" i="38"/>
  <c r="HM15" i="28" l="1"/>
  <c r="HR15" i="28"/>
  <c r="HS15" i="28"/>
  <c r="HT15" i="28"/>
  <c r="HP15" i="28"/>
  <c r="HQ15" i="28"/>
  <c r="HV10" i="28"/>
  <c r="HN10" i="28" s="1"/>
  <c r="HS8" i="28"/>
  <c r="HT8" i="28"/>
  <c r="HO8" i="28"/>
  <c r="HP8" i="28"/>
  <c r="HQ8" i="28"/>
  <c r="HR8" i="28"/>
  <c r="HO14" i="28"/>
  <c r="HR14" i="28"/>
  <c r="HP14" i="28"/>
  <c r="HQ14" i="28"/>
  <c r="HS14" i="28"/>
  <c r="HT14" i="28"/>
  <c r="HO12" i="28"/>
  <c r="HT12" i="28"/>
  <c r="HP12" i="28"/>
  <c r="HQ12" i="28"/>
  <c r="HS12" i="28"/>
  <c r="HR12" i="28"/>
  <c r="HO9" i="28"/>
  <c r="HP9" i="28"/>
  <c r="HQ9" i="28"/>
  <c r="HR9" i="28"/>
  <c r="HS9" i="28"/>
  <c r="HT9" i="28"/>
  <c r="D780" i="38"/>
  <c r="E780" i="38"/>
  <c r="AM15" i="28"/>
  <c r="AM14" i="28"/>
  <c r="G761" i="38"/>
  <c r="AM18" i="28"/>
  <c r="AL18" i="28"/>
  <c r="AL16" i="28"/>
  <c r="AL17" i="28"/>
  <c r="AL15" i="28"/>
  <c r="G763" i="38"/>
  <c r="AM16" i="28"/>
  <c r="L756" i="38"/>
  <c r="M756" i="38" s="1"/>
  <c r="G757" i="38"/>
  <c r="G759" i="38"/>
  <c r="G764" i="38"/>
  <c r="G760" i="38"/>
  <c r="HI42" i="28"/>
  <c r="HV16" i="28"/>
  <c r="HI56" i="28"/>
  <c r="HG55" i="28"/>
  <c r="HF55" i="28"/>
  <c r="HN12" i="28"/>
  <c r="HG50" i="28"/>
  <c r="HM12" i="28"/>
  <c r="HN9" i="28"/>
  <c r="HF50" i="28"/>
  <c r="HG43" i="28"/>
  <c r="HM9" i="28"/>
  <c r="HI49" i="28"/>
  <c r="HF43" i="28"/>
  <c r="HH49" i="28"/>
  <c r="HI57" i="28"/>
  <c r="HG51" i="28"/>
  <c r="HG49" i="28"/>
  <c r="HH57" i="28"/>
  <c r="HF51" i="28"/>
  <c r="HI48" i="28"/>
  <c r="HG57" i="28"/>
  <c r="HN15" i="28"/>
  <c r="HI50" i="28"/>
  <c r="HG47" i="28"/>
  <c r="HO15" i="28"/>
  <c r="HF47" i="28"/>
  <c r="L766" i="38"/>
  <c r="L765" i="38"/>
  <c r="F784" i="38"/>
  <c r="HG46" i="28"/>
  <c r="HF46" i="28"/>
  <c r="HH46" i="28"/>
  <c r="HH54" i="28"/>
  <c r="HF54" i="28"/>
  <c r="HG54" i="28"/>
  <c r="HI54" i="28"/>
  <c r="HI45" i="28"/>
  <c r="HH53" i="28"/>
  <c r="HG53" i="28"/>
  <c r="HG45" i="28"/>
  <c r="HM14" i="28"/>
  <c r="HH56" i="28"/>
  <c r="HF53" i="28"/>
  <c r="HH52" i="28"/>
  <c r="HH48" i="28"/>
  <c r="HF45" i="28"/>
  <c r="HH44" i="28"/>
  <c r="HI52" i="28"/>
  <c r="HN14" i="28"/>
  <c r="HG56" i="28"/>
  <c r="HI55" i="28"/>
  <c r="HG52" i="28"/>
  <c r="HI51" i="28"/>
  <c r="HG48" i="28"/>
  <c r="HI47" i="28"/>
  <c r="HG44" i="28"/>
  <c r="HI43" i="28"/>
  <c r="HI44" i="28"/>
  <c r="HN8" i="28"/>
  <c r="HM8" i="28"/>
  <c r="E25" i="43"/>
  <c r="CA20" i="43"/>
  <c r="AC24" i="43"/>
  <c r="BC25" i="43" l="1"/>
  <c r="BJ25" i="43"/>
  <c r="BL25" i="43"/>
  <c r="BH25" i="43"/>
  <c r="BI25" i="43"/>
  <c r="BK25" i="43"/>
  <c r="HO10" i="28"/>
  <c r="J338" i="37"/>
  <c r="J317" i="37"/>
  <c r="J345" i="37"/>
  <c r="J343" i="37"/>
  <c r="J310" i="37"/>
  <c r="J324" i="37"/>
  <c r="J331" i="37"/>
  <c r="J329" i="37"/>
  <c r="J308" i="37"/>
  <c r="J336" i="37"/>
  <c r="J322" i="37"/>
  <c r="J315" i="37"/>
  <c r="AK18" i="28"/>
  <c r="AK15" i="28"/>
  <c r="AK16" i="28"/>
  <c r="AN17" i="28"/>
  <c r="AK17" i="28"/>
  <c r="HM10" i="28"/>
  <c r="HQ10" i="28"/>
  <c r="HT10" i="28"/>
  <c r="HR10" i="28"/>
  <c r="HS10" i="28"/>
  <c r="HP10" i="28"/>
  <c r="HM16" i="28"/>
  <c r="HP16" i="28"/>
  <c r="HQ16" i="28"/>
  <c r="HR16" i="28"/>
  <c r="HS16" i="28"/>
  <c r="HT16" i="28"/>
  <c r="AN15" i="28"/>
  <c r="AN18" i="28"/>
  <c r="AN16" i="28"/>
  <c r="F783" i="38"/>
  <c r="F777" i="38" s="1"/>
  <c r="F789" i="38"/>
  <c r="F785" i="38"/>
  <c r="F778" i="38" s="1"/>
  <c r="AL14" i="28"/>
  <c r="AL12" i="28"/>
  <c r="AK12" i="28" s="1"/>
  <c r="F786" i="38"/>
  <c r="F787" i="38"/>
  <c r="F788" i="38"/>
  <c r="BD25" i="43"/>
  <c r="BO25" i="43" s="1"/>
  <c r="BB25" i="43"/>
  <c r="HG42" i="28"/>
  <c r="HF42" i="28"/>
  <c r="HH42" i="28"/>
  <c r="HN16" i="28"/>
  <c r="HO16" i="28"/>
  <c r="HV17" i="28"/>
  <c r="M777" i="38"/>
  <c r="M778" i="38"/>
  <c r="M776" i="38"/>
  <c r="L758" i="38"/>
  <c r="BF25" i="43"/>
  <c r="BE25" i="43"/>
  <c r="BP25" i="43" s="1"/>
  <c r="BG25" i="43"/>
  <c r="BC33" i="43"/>
  <c r="AC20" i="43"/>
  <c r="BB17" i="43"/>
  <c r="BX63" i="28"/>
  <c r="BX62" i="28"/>
  <c r="BX59" i="28"/>
  <c r="BX60" i="28"/>
  <c r="AC22" i="43"/>
  <c r="BD9" i="43"/>
  <c r="BD8" i="43"/>
  <c r="BC32" i="43"/>
  <c r="BC31" i="43"/>
  <c r="BC30" i="43"/>
  <c r="BC29" i="43"/>
  <c r="BC27" i="43"/>
  <c r="CQ58" i="28"/>
  <c r="CR58" i="28" s="1"/>
  <c r="BX58" i="28"/>
  <c r="BD19" i="43"/>
  <c r="BD18" i="43"/>
  <c r="BD17" i="43"/>
  <c r="BG27" i="43"/>
  <c r="BR32" i="43"/>
  <c r="BQ32" i="43"/>
  <c r="BN31" i="43"/>
  <c r="BN30" i="43"/>
  <c r="BN29" i="43"/>
  <c r="BN28" i="43"/>
  <c r="E21" i="43"/>
  <c r="E26" i="43"/>
  <c r="E24" i="43"/>
  <c r="E22" i="43"/>
  <c r="D708" i="37"/>
  <c r="W584" i="37"/>
  <c r="W538" i="37"/>
  <c r="W492" i="37"/>
  <c r="W445" i="37"/>
  <c r="W353" i="37"/>
  <c r="W399" i="37"/>
  <c r="CA24" i="28"/>
  <c r="CB24" i="28"/>
  <c r="CC24" i="28"/>
  <c r="CD24" i="28"/>
  <c r="CE24" i="28"/>
  <c r="CF24" i="28"/>
  <c r="BZ24" i="28"/>
  <c r="I19" i="34"/>
  <c r="CO24" i="28" l="1"/>
  <c r="BQ25" i="43"/>
  <c r="BN23" i="43"/>
  <c r="BV23" i="43"/>
  <c r="BM26" i="43"/>
  <c r="BU26" i="43"/>
  <c r="BS22" i="43"/>
  <c r="CJ60" i="28" s="1"/>
  <c r="GJ60" i="28" s="1"/>
  <c r="BO23" i="43"/>
  <c r="BW23" i="43"/>
  <c r="BN26" i="43"/>
  <c r="BV26" i="43"/>
  <c r="BT22" i="43"/>
  <c r="CK60" i="28" s="1"/>
  <c r="GK60" i="28" s="1"/>
  <c r="BP23" i="43"/>
  <c r="BO26" i="43"/>
  <c r="BW26" i="43"/>
  <c r="BU22" i="43"/>
  <c r="CL60" i="28" s="1"/>
  <c r="GL60" i="28" s="1"/>
  <c r="BQ23" i="43"/>
  <c r="BP26" i="43"/>
  <c r="BN22" i="43"/>
  <c r="BV22" i="43"/>
  <c r="CM60" i="28" s="1"/>
  <c r="GM60" i="28" s="1"/>
  <c r="BU23" i="43"/>
  <c r="BR22" i="43"/>
  <c r="BR23" i="43"/>
  <c r="BQ26" i="43"/>
  <c r="BO22" i="43"/>
  <c r="BW22" i="43"/>
  <c r="CN60" i="28" s="1"/>
  <c r="GN60" i="28" s="1"/>
  <c r="BQ22" i="43"/>
  <c r="BS23" i="43"/>
  <c r="BR26" i="43"/>
  <c r="BP22" i="43"/>
  <c r="BM22" i="43"/>
  <c r="BT23" i="43"/>
  <c r="BS26" i="43"/>
  <c r="BM23" i="43"/>
  <c r="BT26" i="43"/>
  <c r="BR25" i="43"/>
  <c r="BV25" i="43"/>
  <c r="BE63" i="28"/>
  <c r="BT25" i="43"/>
  <c r="BC63" i="28"/>
  <c r="BS25" i="43"/>
  <c r="BB63" i="28"/>
  <c r="BP21" i="43"/>
  <c r="BM21" i="43"/>
  <c r="BQ21" i="43"/>
  <c r="BS20" i="43"/>
  <c r="CJ58" i="28" s="1"/>
  <c r="GJ58" i="28" s="1"/>
  <c r="BV21" i="43"/>
  <c r="BW21" i="43"/>
  <c r="BR21" i="43"/>
  <c r="BT20" i="43"/>
  <c r="CK58" i="28" s="1"/>
  <c r="GK58" i="28" s="1"/>
  <c r="BS21" i="43"/>
  <c r="BU20" i="43"/>
  <c r="CL58" i="28" s="1"/>
  <c r="GL58" i="28" s="1"/>
  <c r="BN21" i="43"/>
  <c r="BT21" i="43"/>
  <c r="BV20" i="43"/>
  <c r="CM58" i="28" s="1"/>
  <c r="GM58" i="28" s="1"/>
  <c r="BO21" i="43"/>
  <c r="BU21" i="43"/>
  <c r="BW20" i="43"/>
  <c r="CN58" i="28" s="1"/>
  <c r="GN58" i="28" s="1"/>
  <c r="BW25" i="43"/>
  <c r="BF63" i="28"/>
  <c r="BU25" i="43"/>
  <c r="BD63" i="28"/>
  <c r="BC24" i="43"/>
  <c r="BN24" i="43" s="1"/>
  <c r="BI24" i="43"/>
  <c r="BH24" i="43"/>
  <c r="BL24" i="43"/>
  <c r="BJ24" i="43"/>
  <c r="BK24" i="43"/>
  <c r="BM25" i="43"/>
  <c r="BN25" i="43"/>
  <c r="J312" i="37"/>
  <c r="I345" i="37"/>
  <c r="I336" i="37"/>
  <c r="I322" i="37"/>
  <c r="I315" i="37"/>
  <c r="I310" i="37"/>
  <c r="I324" i="37"/>
  <c r="I343" i="37"/>
  <c r="I331" i="37"/>
  <c r="I308" i="37"/>
  <c r="I329" i="37"/>
  <c r="I317" i="37"/>
  <c r="I338" i="37"/>
  <c r="G310" i="37"/>
  <c r="G329" i="37"/>
  <c r="G336" i="37"/>
  <c r="G322" i="37"/>
  <c r="G315" i="37"/>
  <c r="G338" i="37"/>
  <c r="G317" i="37"/>
  <c r="G343" i="37"/>
  <c r="G345" i="37"/>
  <c r="G331" i="37"/>
  <c r="G324" i="37"/>
  <c r="G308" i="37"/>
  <c r="J319" i="37"/>
  <c r="J347" i="37"/>
  <c r="H329" i="37"/>
  <c r="H310" i="37"/>
  <c r="H324" i="37"/>
  <c r="H336" i="37"/>
  <c r="H322" i="37"/>
  <c r="H315" i="37"/>
  <c r="H331" i="37"/>
  <c r="H343" i="37"/>
  <c r="H308" i="37"/>
  <c r="H345" i="37"/>
  <c r="H317" i="37"/>
  <c r="H338" i="37"/>
  <c r="J326" i="37"/>
  <c r="J340" i="37"/>
  <c r="J333" i="37"/>
  <c r="AN14" i="28"/>
  <c r="AK14" i="28"/>
  <c r="HO17" i="28"/>
  <c r="HP17" i="28"/>
  <c r="HS17" i="28"/>
  <c r="HQ17" i="28"/>
  <c r="HR17" i="28"/>
  <c r="HT17" i="28"/>
  <c r="AN12" i="28"/>
  <c r="EP58" i="28"/>
  <c r="HV18" i="28"/>
  <c r="HO18" i="28" s="1"/>
  <c r="F779" i="38"/>
  <c r="F782" i="38"/>
  <c r="AC26" i="43"/>
  <c r="L17" i="43"/>
  <c r="HM17" i="28"/>
  <c r="HN17" i="28"/>
  <c r="M779" i="38"/>
  <c r="BD24" i="43"/>
  <c r="BO24" i="43" s="1"/>
  <c r="BE24" i="43"/>
  <c r="BP24" i="43" s="1"/>
  <c r="BF24" i="43"/>
  <c r="BQ24" i="43" s="1"/>
  <c r="BG24" i="43"/>
  <c r="BR24" i="43" s="1"/>
  <c r="BB24" i="43"/>
  <c r="BM24" i="43" s="1"/>
  <c r="BY84" i="28"/>
  <c r="BY86" i="28"/>
  <c r="E840" i="38"/>
  <c r="F840" i="38"/>
  <c r="G840" i="38"/>
  <c r="H840" i="38"/>
  <c r="I840" i="38"/>
  <c r="J840" i="38"/>
  <c r="K840" i="38"/>
  <c r="L840" i="38"/>
  <c r="DZ32" i="28" s="1"/>
  <c r="M840" i="38"/>
  <c r="DZ70" i="28" s="1"/>
  <c r="N840" i="38"/>
  <c r="O840" i="38"/>
  <c r="P840" i="38"/>
  <c r="Q840" i="38"/>
  <c r="R840" i="38"/>
  <c r="S840" i="38"/>
  <c r="T840" i="38"/>
  <c r="D840" i="38"/>
  <c r="E846" i="38"/>
  <c r="D846" i="38"/>
  <c r="E845" i="38"/>
  <c r="D845" i="38"/>
  <c r="E844" i="38"/>
  <c r="E842" i="38"/>
  <c r="D844" i="38"/>
  <c r="D842" i="38"/>
  <c r="F842" i="38"/>
  <c r="G842" i="38"/>
  <c r="H842" i="38"/>
  <c r="I842" i="38"/>
  <c r="J842" i="38"/>
  <c r="K842" i="38"/>
  <c r="L842" i="38"/>
  <c r="M842" i="38"/>
  <c r="N842" i="38"/>
  <c r="O842" i="38"/>
  <c r="P842" i="38"/>
  <c r="Q842" i="38"/>
  <c r="R842" i="38"/>
  <c r="S842" i="38"/>
  <c r="T842" i="38"/>
  <c r="F843" i="38"/>
  <c r="G843" i="38"/>
  <c r="H843" i="38"/>
  <c r="I843" i="38"/>
  <c r="J843" i="38"/>
  <c r="K843" i="38"/>
  <c r="L843" i="38"/>
  <c r="M843" i="38"/>
  <c r="N843" i="38"/>
  <c r="O843" i="38"/>
  <c r="P843" i="38"/>
  <c r="Q843" i="38"/>
  <c r="R843" i="38"/>
  <c r="S843" i="38"/>
  <c r="T843" i="38"/>
  <c r="F844" i="38"/>
  <c r="G844" i="38"/>
  <c r="H844" i="38"/>
  <c r="I844" i="38"/>
  <c r="J844" i="38"/>
  <c r="K844" i="38"/>
  <c r="L844" i="38"/>
  <c r="M844" i="38"/>
  <c r="N844" i="38"/>
  <c r="O844" i="38"/>
  <c r="P844" i="38"/>
  <c r="Q844" i="38"/>
  <c r="R844" i="38"/>
  <c r="S844" i="38"/>
  <c r="T844" i="38"/>
  <c r="F845" i="38"/>
  <c r="G845" i="38"/>
  <c r="H845" i="38"/>
  <c r="I845" i="38"/>
  <c r="J845" i="38"/>
  <c r="K845" i="38"/>
  <c r="L845" i="38"/>
  <c r="M845" i="38"/>
  <c r="N845" i="38"/>
  <c r="O845" i="38"/>
  <c r="P845" i="38"/>
  <c r="Q845" i="38"/>
  <c r="R845" i="38"/>
  <c r="S845" i="38"/>
  <c r="T845" i="38"/>
  <c r="D838" i="38"/>
  <c r="E838" i="38"/>
  <c r="F838" i="38"/>
  <c r="G838" i="38"/>
  <c r="H838" i="38"/>
  <c r="I838" i="38"/>
  <c r="J838" i="38"/>
  <c r="K838" i="38"/>
  <c r="L838" i="38"/>
  <c r="M838" i="38"/>
  <c r="N838" i="38"/>
  <c r="O838" i="38"/>
  <c r="P838" i="38"/>
  <c r="Q838" i="38"/>
  <c r="R838" i="38"/>
  <c r="S838" i="38"/>
  <c r="T838" i="38"/>
  <c r="D839" i="38"/>
  <c r="E839" i="38"/>
  <c r="F839" i="38"/>
  <c r="G839" i="38"/>
  <c r="H839" i="38"/>
  <c r="I839" i="38"/>
  <c r="J839" i="38"/>
  <c r="K839" i="38"/>
  <c r="L839" i="38"/>
  <c r="M839" i="38"/>
  <c r="N839" i="38"/>
  <c r="O839" i="38"/>
  <c r="P839" i="38"/>
  <c r="Q839" i="38"/>
  <c r="R839" i="38"/>
  <c r="S839" i="38"/>
  <c r="T839" i="38"/>
  <c r="U798" i="38"/>
  <c r="U799" i="38"/>
  <c r="U800" i="38"/>
  <c r="U801" i="38"/>
  <c r="U802" i="38"/>
  <c r="U803" i="38"/>
  <c r="U804" i="38"/>
  <c r="U805" i="38"/>
  <c r="U806" i="38"/>
  <c r="U807" i="38"/>
  <c r="U808" i="38"/>
  <c r="U809" i="38"/>
  <c r="U810" i="38"/>
  <c r="U811" i="38"/>
  <c r="U812" i="38"/>
  <c r="U813" i="38"/>
  <c r="U814" i="38"/>
  <c r="U815" i="38"/>
  <c r="U816" i="38"/>
  <c r="U817" i="38"/>
  <c r="U818" i="38"/>
  <c r="U819" i="38"/>
  <c r="U820" i="38"/>
  <c r="U821" i="38"/>
  <c r="U822" i="38"/>
  <c r="U823" i="38"/>
  <c r="U824" i="38"/>
  <c r="U825" i="38"/>
  <c r="U826" i="38"/>
  <c r="U827" i="38"/>
  <c r="U828" i="38"/>
  <c r="U829" i="38"/>
  <c r="U830" i="38"/>
  <c r="U831" i="38"/>
  <c r="U832" i="38"/>
  <c r="U833" i="38"/>
  <c r="U834" i="38"/>
  <c r="U835" i="38"/>
  <c r="U836" i="38"/>
  <c r="U797" i="38"/>
  <c r="S157" i="38"/>
  <c r="S158" i="38"/>
  <c r="S159" i="38"/>
  <c r="S160" i="38"/>
  <c r="S161" i="38"/>
  <c r="S156" i="38"/>
  <c r="AG51" i="28"/>
  <c r="Y51" i="28" a="1"/>
  <c r="Y51" i="28" s="1"/>
  <c r="H710" i="38"/>
  <c r="I710" i="38"/>
  <c r="J710" i="38"/>
  <c r="K710" i="38"/>
  <c r="L710" i="38"/>
  <c r="H711" i="38"/>
  <c r="I711" i="38"/>
  <c r="J711" i="38"/>
  <c r="K711" i="38"/>
  <c r="L711" i="38"/>
  <c r="H712" i="38"/>
  <c r="I712" i="38"/>
  <c r="J712" i="38"/>
  <c r="K712" i="38"/>
  <c r="L712" i="38"/>
  <c r="H713" i="38"/>
  <c r="I713" i="38"/>
  <c r="J713" i="38"/>
  <c r="K713" i="38"/>
  <c r="L713" i="38"/>
  <c r="H714" i="38"/>
  <c r="I714" i="38"/>
  <c r="J714" i="38"/>
  <c r="K714" i="38"/>
  <c r="L714" i="38"/>
  <c r="H715" i="38"/>
  <c r="I715" i="38"/>
  <c r="J715" i="38"/>
  <c r="K715" i="38"/>
  <c r="L715" i="38"/>
  <c r="H716" i="38"/>
  <c r="I716" i="38"/>
  <c r="J716" i="38"/>
  <c r="K716" i="38"/>
  <c r="L716" i="38"/>
  <c r="H717" i="38"/>
  <c r="I717" i="38"/>
  <c r="J717" i="38"/>
  <c r="K717" i="38"/>
  <c r="L717" i="38"/>
  <c r="H718" i="38"/>
  <c r="I718" i="38"/>
  <c r="J718" i="38"/>
  <c r="K718" i="38"/>
  <c r="L718" i="38"/>
  <c r="H719" i="38"/>
  <c r="I719" i="38"/>
  <c r="J719" i="38"/>
  <c r="K719" i="38"/>
  <c r="L719" i="38"/>
  <c r="H720" i="38"/>
  <c r="I720" i="38"/>
  <c r="J720" i="38"/>
  <c r="K720" i="38"/>
  <c r="L720" i="38"/>
  <c r="H721" i="38"/>
  <c r="I721" i="38"/>
  <c r="J721" i="38"/>
  <c r="K721" i="38"/>
  <c r="L721" i="38"/>
  <c r="H722" i="38"/>
  <c r="I722" i="38"/>
  <c r="J722" i="38"/>
  <c r="K722" i="38"/>
  <c r="L722" i="38"/>
  <c r="H723" i="38"/>
  <c r="I723" i="38"/>
  <c r="J723" i="38"/>
  <c r="K723" i="38"/>
  <c r="L723" i="38"/>
  <c r="H724" i="38"/>
  <c r="I724" i="38"/>
  <c r="J724" i="38"/>
  <c r="K724" i="38"/>
  <c r="L724" i="38"/>
  <c r="H725" i="38"/>
  <c r="I725" i="38"/>
  <c r="J725" i="38"/>
  <c r="K725" i="38"/>
  <c r="L725" i="38"/>
  <c r="H726" i="38"/>
  <c r="I726" i="38"/>
  <c r="J726" i="38"/>
  <c r="K726" i="38"/>
  <c r="L726" i="38"/>
  <c r="H727" i="38"/>
  <c r="I727" i="38"/>
  <c r="J727" i="38"/>
  <c r="K727" i="38"/>
  <c r="L727" i="38"/>
  <c r="H728" i="38"/>
  <c r="I728" i="38"/>
  <c r="J728" i="38"/>
  <c r="K728" i="38"/>
  <c r="L728" i="38"/>
  <c r="H729" i="38"/>
  <c r="I729" i="38"/>
  <c r="J729" i="38"/>
  <c r="K729" i="38"/>
  <c r="L729" i="38"/>
  <c r="H730" i="38"/>
  <c r="I730" i="38"/>
  <c r="J730" i="38"/>
  <c r="K730" i="38"/>
  <c r="L730" i="38"/>
  <c r="H731" i="38"/>
  <c r="I731" i="38"/>
  <c r="J731" i="38"/>
  <c r="K731" i="38"/>
  <c r="L731" i="38"/>
  <c r="H732" i="38"/>
  <c r="I732" i="38"/>
  <c r="J732" i="38"/>
  <c r="K732" i="38"/>
  <c r="L732" i="38"/>
  <c r="H733" i="38"/>
  <c r="I733" i="38"/>
  <c r="J733" i="38"/>
  <c r="K733" i="38"/>
  <c r="L733" i="38"/>
  <c r="I709" i="38"/>
  <c r="J709" i="38"/>
  <c r="K709" i="38"/>
  <c r="L709" i="38"/>
  <c r="H709" i="38"/>
  <c r="EQ58" i="28" l="1"/>
  <c r="EO58" i="28"/>
  <c r="ER58" i="28"/>
  <c r="BW24" i="43"/>
  <c r="CN62" i="28" s="1"/>
  <c r="GN62" i="28" s="1"/>
  <c r="BF62" i="28"/>
  <c r="BS24" i="43"/>
  <c r="CJ62" i="28" s="1"/>
  <c r="GJ62" i="28" s="1"/>
  <c r="BB62" i="28"/>
  <c r="ES58" i="28"/>
  <c r="BT24" i="43"/>
  <c r="CK62" i="28" s="1"/>
  <c r="GK62" i="28" s="1"/>
  <c r="BC62" i="28"/>
  <c r="BV24" i="43"/>
  <c r="CM62" i="28" s="1"/>
  <c r="GM62" i="28" s="1"/>
  <c r="BE62" i="28"/>
  <c r="BU24" i="43"/>
  <c r="CL62" i="28" s="1"/>
  <c r="GL62" i="28" s="1"/>
  <c r="BD62" i="28"/>
  <c r="AO32" i="28"/>
  <c r="D382" i="38"/>
  <c r="AO23" i="28"/>
  <c r="D379" i="38"/>
  <c r="G347" i="37"/>
  <c r="I319" i="37"/>
  <c r="H347" i="37"/>
  <c r="H319" i="37"/>
  <c r="G312" i="37"/>
  <c r="H326" i="37"/>
  <c r="G319" i="37"/>
  <c r="I326" i="37"/>
  <c r="H340" i="37"/>
  <c r="G326" i="37"/>
  <c r="I333" i="37"/>
  <c r="I340" i="37"/>
  <c r="G340" i="37"/>
  <c r="I312" i="37"/>
  <c r="G333" i="37"/>
  <c r="H312" i="37"/>
  <c r="H333" i="37"/>
  <c r="I347" i="37"/>
  <c r="HM18" i="28"/>
  <c r="HS18" i="28"/>
  <c r="HT18" i="28"/>
  <c r="HP18" i="28"/>
  <c r="HQ18" i="28"/>
  <c r="HR18" i="28"/>
  <c r="HN18" i="28"/>
  <c r="F790" i="38"/>
  <c r="F776" i="38"/>
  <c r="F780" i="38" s="1"/>
  <c r="L776" i="38"/>
  <c r="L777" i="38"/>
  <c r="L778" i="38"/>
  <c r="DZ24" i="28"/>
  <c r="E843" i="38"/>
  <c r="R846" i="38"/>
  <c r="J846" i="38"/>
  <c r="AO31" i="28"/>
  <c r="U840" i="38"/>
  <c r="V833" i="38" s="1"/>
  <c r="AO24" i="28"/>
  <c r="DZ71" i="28"/>
  <c r="DZ67" i="28"/>
  <c r="U839" i="38"/>
  <c r="DZ31" i="28"/>
  <c r="DZ23" i="28"/>
  <c r="Q846" i="38"/>
  <c r="U843" i="38"/>
  <c r="U845" i="38"/>
  <c r="P846" i="38"/>
  <c r="H846" i="38"/>
  <c r="U838" i="38"/>
  <c r="N846" i="38"/>
  <c r="U842" i="38"/>
  <c r="T846" i="38"/>
  <c r="S846" i="38"/>
  <c r="M846" i="38"/>
  <c r="I846" i="38"/>
  <c r="L846" i="38"/>
  <c r="U844" i="38"/>
  <c r="O846" i="38"/>
  <c r="G846" i="38"/>
  <c r="K846" i="38"/>
  <c r="F846" i="38"/>
  <c r="CP84" i="28"/>
  <c r="CP86" i="28"/>
  <c r="CP10" i="28"/>
  <c r="CP17" i="28"/>
  <c r="CP23" i="28"/>
  <c r="CP25" i="28"/>
  <c r="CP26" i="28"/>
  <c r="CP34" i="28"/>
  <c r="CP37" i="28"/>
  <c r="CP38" i="28"/>
  <c r="CP39" i="28"/>
  <c r="CP40" i="28"/>
  <c r="CS42" i="28" a="1"/>
  <c r="CS42" i="28" s="1"/>
  <c r="CB15" i="43"/>
  <c r="CB14" i="43"/>
  <c r="CB12" i="43"/>
  <c r="CB8" i="43"/>
  <c r="CB7" i="43"/>
  <c r="CB6" i="43"/>
  <c r="CB5" i="43"/>
  <c r="B635" i="38" a="1"/>
  <c r="B635" i="38" s="1"/>
  <c r="BR43" i="43"/>
  <c r="BQ43" i="43"/>
  <c r="BP43" i="43"/>
  <c r="BO43" i="43"/>
  <c r="BN43" i="43"/>
  <c r="BM43" i="43"/>
  <c r="BR42" i="43"/>
  <c r="BQ42" i="43"/>
  <c r="BP42" i="43"/>
  <c r="BO42" i="43"/>
  <c r="BN42" i="43"/>
  <c r="BM42" i="43"/>
  <c r="BP32" i="43"/>
  <c r="BO32" i="43"/>
  <c r="BN32" i="43"/>
  <c r="BM32" i="43"/>
  <c r="BR31" i="43"/>
  <c r="BQ31" i="43"/>
  <c r="BP31" i="43"/>
  <c r="BO31" i="43"/>
  <c r="BM31" i="43"/>
  <c r="BR30" i="43"/>
  <c r="BQ30" i="43"/>
  <c r="BP30" i="43"/>
  <c r="BO30" i="43"/>
  <c r="BM30" i="43"/>
  <c r="BR29" i="43"/>
  <c r="BQ29" i="43"/>
  <c r="BP29" i="43"/>
  <c r="BO29" i="43"/>
  <c r="BM29" i="43"/>
  <c r="BR28" i="43"/>
  <c r="BQ28" i="43"/>
  <c r="BP28" i="43"/>
  <c r="BO28" i="43"/>
  <c r="BM28" i="43"/>
  <c r="BM27" i="43"/>
  <c r="BN27" i="43" s="1"/>
  <c r="BO27" i="43" s="1"/>
  <c r="BP27" i="43" s="1"/>
  <c r="BQ27" i="43" s="1"/>
  <c r="BR27" i="43" s="1"/>
  <c r="BS27" i="43" s="1"/>
  <c r="BG45" i="43"/>
  <c r="BF45" i="43"/>
  <c r="BE45" i="43"/>
  <c r="BD45" i="43"/>
  <c r="BC45" i="43"/>
  <c r="BB45" i="43"/>
  <c r="BG44" i="43"/>
  <c r="BF44" i="43"/>
  <c r="BE44" i="43"/>
  <c r="BD44" i="43"/>
  <c r="BC44" i="43"/>
  <c r="BB44" i="43"/>
  <c r="BG38" i="43"/>
  <c r="BF38" i="43"/>
  <c r="BE38" i="43"/>
  <c r="BD38" i="43"/>
  <c r="BC38" i="43"/>
  <c r="BB38" i="43"/>
  <c r="BG34" i="43"/>
  <c r="BF34" i="43"/>
  <c r="BE34" i="43"/>
  <c r="BD34" i="43"/>
  <c r="BC34" i="43"/>
  <c r="BB34" i="43"/>
  <c r="BG33" i="43"/>
  <c r="BF33" i="43"/>
  <c r="BE33" i="43"/>
  <c r="BD33" i="43"/>
  <c r="BB33" i="43"/>
  <c r="BG32" i="43"/>
  <c r="BF32" i="43"/>
  <c r="BE32" i="43"/>
  <c r="BD32" i="43"/>
  <c r="BB32" i="43"/>
  <c r="BG31" i="43"/>
  <c r="BF31" i="43"/>
  <c r="BE31" i="43"/>
  <c r="BD31" i="43"/>
  <c r="BB31" i="43"/>
  <c r="BG30" i="43"/>
  <c r="BF30" i="43"/>
  <c r="BE30" i="43"/>
  <c r="BD30" i="43"/>
  <c r="BB30" i="43"/>
  <c r="BG29" i="43"/>
  <c r="BF29" i="43"/>
  <c r="BE29" i="43"/>
  <c r="BD29" i="43"/>
  <c r="BB29" i="43"/>
  <c r="BB28" i="43"/>
  <c r="BF27" i="43"/>
  <c r="BE27" i="43"/>
  <c r="BD27" i="43"/>
  <c r="BB27" i="43"/>
  <c r="BI28" i="43" l="1"/>
  <c r="BC65" i="28" s="1"/>
  <c r="BJ28" i="43"/>
  <c r="BD65" i="28" s="1"/>
  <c r="BK28" i="43"/>
  <c r="BE65" i="28" s="1"/>
  <c r="BL28" i="43"/>
  <c r="BF65" i="28" s="1"/>
  <c r="BH28" i="43"/>
  <c r="BB65" i="28" s="1"/>
  <c r="BT27" i="43"/>
  <c r="CJ64" i="28"/>
  <c r="N35" i="28" a="1"/>
  <c r="N35" i="28" s="1"/>
  <c r="D384" i="38"/>
  <c r="D394" i="38" s="1"/>
  <c r="R384" i="38"/>
  <c r="R394" i="38" s="1"/>
  <c r="BF35" i="28" s="1"/>
  <c r="L384" i="38"/>
  <c r="L394" i="38" s="1"/>
  <c r="P384" i="38"/>
  <c r="P394" i="38" s="1"/>
  <c r="BD35" i="28" s="1"/>
  <c r="G384" i="38"/>
  <c r="G394" i="38" s="1"/>
  <c r="Q384" i="38"/>
  <c r="Q394" i="38" s="1"/>
  <c r="BE35" i="28" s="1"/>
  <c r="H384" i="38"/>
  <c r="H394" i="38" s="1"/>
  <c r="AV35" i="28" s="1"/>
  <c r="J384" i="38"/>
  <c r="J394" i="38" s="1"/>
  <c r="K384" i="38"/>
  <c r="K394" i="38" s="1"/>
  <c r="N384" i="38"/>
  <c r="N394" i="38" s="1"/>
  <c r="BB35" i="28" s="1"/>
  <c r="F384" i="38"/>
  <c r="F394" i="38" s="1"/>
  <c r="M384" i="38"/>
  <c r="M394" i="38" s="1"/>
  <c r="BA35" i="28" s="1"/>
  <c r="I384" i="38"/>
  <c r="I394" i="38" s="1"/>
  <c r="O384" i="38"/>
  <c r="O394" i="38" s="1"/>
  <c r="BC35" i="28" s="1"/>
  <c r="G713" i="37" a="1"/>
  <c r="G713" i="37" s="1"/>
  <c r="L779" i="38"/>
  <c r="BG28" i="43"/>
  <c r="BC28" i="43"/>
  <c r="AW65" i="28" s="1"/>
  <c r="V826" i="38"/>
  <c r="V825" i="38"/>
  <c r="U846" i="38"/>
  <c r="V830" i="38"/>
  <c r="V832" i="38"/>
  <c r="V829" i="38"/>
  <c r="V831" i="38"/>
  <c r="V835" i="38"/>
  <c r="V828" i="38"/>
  <c r="V827" i="38"/>
  <c r="V834" i="38"/>
  <c r="CB9" i="43"/>
  <c r="BD28" i="43"/>
  <c r="AX65" i="28" s="1"/>
  <c r="BE28" i="43"/>
  <c r="AY65" i="28" s="1"/>
  <c r="BF28" i="43"/>
  <c r="AZ65" i="28" s="1"/>
  <c r="EA82" i="28"/>
  <c r="EA83" i="28"/>
  <c r="CR82" i="28"/>
  <c r="CD82" i="28"/>
  <c r="CE82" i="28"/>
  <c r="CF82" i="28"/>
  <c r="CG82" i="28"/>
  <c r="CH82" i="28"/>
  <c r="CI82" i="28"/>
  <c r="CD83" i="28"/>
  <c r="CE83" i="28"/>
  <c r="CF83" i="28"/>
  <c r="CG83" i="28"/>
  <c r="CH83" i="28"/>
  <c r="CI83" i="28"/>
  <c r="BH82" i="28"/>
  <c r="BH83" i="28"/>
  <c r="AV82" i="28"/>
  <c r="AW82" i="28"/>
  <c r="AX82" i="28"/>
  <c r="AY82" i="28"/>
  <c r="AZ82" i="28"/>
  <c r="BA82" i="28"/>
  <c r="AV83" i="28"/>
  <c r="AW83" i="28"/>
  <c r="AX83" i="28"/>
  <c r="AY83" i="28"/>
  <c r="AZ83" i="28"/>
  <c r="BA83" i="28"/>
  <c r="CQ75" i="28"/>
  <c r="CI85" i="28"/>
  <c r="CH85" i="28"/>
  <c r="CG85" i="28"/>
  <c r="CF85" i="28"/>
  <c r="CI81" i="28"/>
  <c r="CH81" i="28"/>
  <c r="CG81" i="28"/>
  <c r="CF81" i="28"/>
  <c r="CE81" i="28"/>
  <c r="CD81" i="28"/>
  <c r="CI80" i="28"/>
  <c r="CH80" i="28"/>
  <c r="CG80" i="28"/>
  <c r="CF80" i="28"/>
  <c r="CE80" i="28"/>
  <c r="CD80" i="28"/>
  <c r="CI79" i="28"/>
  <c r="GI79" i="28" s="1"/>
  <c r="CH79" i="28"/>
  <c r="GH79" i="28" s="1"/>
  <c r="CG79" i="28"/>
  <c r="GG79" i="28" s="1"/>
  <c r="CF79" i="28"/>
  <c r="GF79" i="28" s="1"/>
  <c r="CE79" i="28"/>
  <c r="GE79" i="28" s="1"/>
  <c r="CD79" i="28"/>
  <c r="CI75" i="28"/>
  <c r="CH75" i="28"/>
  <c r="CG75" i="28"/>
  <c r="CF75" i="28"/>
  <c r="CE75" i="28"/>
  <c r="CD75" i="28"/>
  <c r="CD71" i="28"/>
  <c r="CO71" i="28" s="1"/>
  <c r="CD70" i="28"/>
  <c r="CO70" i="28" s="1"/>
  <c r="CI69" i="28"/>
  <c r="CH69" i="28"/>
  <c r="CG69" i="28"/>
  <c r="CF69" i="28"/>
  <c r="CE69" i="28"/>
  <c r="CD69" i="28"/>
  <c r="CI68" i="28"/>
  <c r="CH68" i="28"/>
  <c r="CG68" i="28"/>
  <c r="CF68" i="28"/>
  <c r="CE68" i="28"/>
  <c r="CD68" i="28"/>
  <c r="CI67" i="28"/>
  <c r="CH67" i="28"/>
  <c r="CG67" i="28"/>
  <c r="CF67" i="28"/>
  <c r="CE67" i="28"/>
  <c r="CD67" i="28"/>
  <c r="CI66" i="28"/>
  <c r="GI66" i="28" s="1"/>
  <c r="CH66" i="28"/>
  <c r="GH66" i="28" s="1"/>
  <c r="CG66" i="28"/>
  <c r="GG66" i="28" s="1"/>
  <c r="CF66" i="28"/>
  <c r="GF66" i="28" s="1"/>
  <c r="CE66" i="28"/>
  <c r="GE66" i="28" s="1"/>
  <c r="CD66" i="28"/>
  <c r="CI65" i="28"/>
  <c r="CH65" i="28"/>
  <c r="CG65" i="28"/>
  <c r="CF65" i="28"/>
  <c r="CE65" i="28"/>
  <c r="CD65" i="28"/>
  <c r="CI64" i="28"/>
  <c r="CH64" i="28"/>
  <c r="CG64" i="28"/>
  <c r="CF64" i="28"/>
  <c r="CE64" i="28"/>
  <c r="CD64" i="28"/>
  <c r="BA85" i="28"/>
  <c r="AZ85" i="28"/>
  <c r="AY85" i="28"/>
  <c r="AX85" i="28"/>
  <c r="AV80" i="28"/>
  <c r="AW80" i="28"/>
  <c r="AX80" i="28"/>
  <c r="AY80" i="28"/>
  <c r="AZ80" i="28"/>
  <c r="BA80" i="28"/>
  <c r="AV81" i="28"/>
  <c r="AW81" i="28"/>
  <c r="AX81" i="28"/>
  <c r="AY81" i="28"/>
  <c r="AZ81" i="28"/>
  <c r="BA81" i="28"/>
  <c r="BA79" i="28"/>
  <c r="AZ79" i="28"/>
  <c r="AY79" i="28"/>
  <c r="AX79" i="28"/>
  <c r="AW79" i="28"/>
  <c r="AV79" i="28"/>
  <c r="BA75" i="28"/>
  <c r="AZ75" i="28"/>
  <c r="AY75" i="28"/>
  <c r="AX75" i="28"/>
  <c r="AW75" i="28"/>
  <c r="AV75" i="28"/>
  <c r="AV63" i="28"/>
  <c r="AW63" i="28"/>
  <c r="AX63" i="28"/>
  <c r="AY63" i="28"/>
  <c r="AZ63" i="28"/>
  <c r="BA63" i="28"/>
  <c r="AV64" i="28"/>
  <c r="AW64" i="28"/>
  <c r="AX64" i="28"/>
  <c r="AY64" i="28"/>
  <c r="AZ64" i="28"/>
  <c r="BA64" i="28"/>
  <c r="AV65" i="28"/>
  <c r="BA65" i="28"/>
  <c r="AV66" i="28"/>
  <c r="AW66" i="28"/>
  <c r="AX66" i="28"/>
  <c r="AY66" i="28"/>
  <c r="AZ66" i="28"/>
  <c r="BA66" i="28"/>
  <c r="AV67" i="28"/>
  <c r="AW67" i="28"/>
  <c r="AX67" i="28"/>
  <c r="AY67" i="28"/>
  <c r="AZ67" i="28"/>
  <c r="BA67" i="28"/>
  <c r="AV68" i="28"/>
  <c r="AW68" i="28"/>
  <c r="AX68" i="28"/>
  <c r="AY68" i="28"/>
  <c r="AZ68" i="28"/>
  <c r="BA68" i="28"/>
  <c r="AV69" i="28"/>
  <c r="AW69" i="28"/>
  <c r="AX69" i="28"/>
  <c r="AY69" i="28"/>
  <c r="AZ69" i="28"/>
  <c r="BA69" i="28"/>
  <c r="AV70" i="28"/>
  <c r="AW70" i="28"/>
  <c r="AX70" i="28"/>
  <c r="AY70" i="28"/>
  <c r="AZ70" i="28"/>
  <c r="BA70" i="28"/>
  <c r="AV71" i="28"/>
  <c r="AW71" i="28"/>
  <c r="AX71" i="28"/>
  <c r="AY71" i="28"/>
  <c r="AZ71" i="28"/>
  <c r="BA71" i="28"/>
  <c r="BA62" i="28"/>
  <c r="AZ62" i="28"/>
  <c r="AY62" i="28"/>
  <c r="AX62" i="28"/>
  <c r="AW62" i="28"/>
  <c r="AW60" i="28"/>
  <c r="AX60" i="28"/>
  <c r="AY60" i="28"/>
  <c r="AZ60" i="28"/>
  <c r="BA60" i="28"/>
  <c r="H43" i="43"/>
  <c r="H44" i="43"/>
  <c r="CQ81" i="28" s="1"/>
  <c r="H45" i="43"/>
  <c r="H46" i="43"/>
  <c r="CQ83" i="28" s="1"/>
  <c r="CR83" i="28" s="1"/>
  <c r="H42" i="43"/>
  <c r="CQ79" i="28" s="1"/>
  <c r="CQ61" i="28"/>
  <c r="CQ62" i="28"/>
  <c r="CQ63" i="28"/>
  <c r="CQ85" i="28"/>
  <c r="H27" i="43"/>
  <c r="CQ64" i="28" s="1"/>
  <c r="H28" i="43"/>
  <c r="CQ65" i="28" s="1"/>
  <c r="H29" i="43"/>
  <c r="CQ66" i="28" s="1"/>
  <c r="H30" i="43"/>
  <c r="CQ67" i="28" s="1"/>
  <c r="H31" i="43"/>
  <c r="CQ68" i="28" s="1"/>
  <c r="H32" i="43"/>
  <c r="CQ69" i="28" s="1"/>
  <c r="H33" i="43"/>
  <c r="CQ70" i="28" s="1"/>
  <c r="H34" i="43"/>
  <c r="CQ71" i="28" s="1"/>
  <c r="AC46" i="43"/>
  <c r="AC45" i="43"/>
  <c r="AC43" i="43"/>
  <c r="AC42" i="43"/>
  <c r="AC38" i="43"/>
  <c r="AC34" i="43"/>
  <c r="AC33" i="43"/>
  <c r="AC32" i="43"/>
  <c r="AC31" i="43"/>
  <c r="AC30" i="43"/>
  <c r="AC29" i="43"/>
  <c r="AC27" i="43"/>
  <c r="CI60" i="28"/>
  <c r="CH60" i="28"/>
  <c r="CG60" i="28"/>
  <c r="CF60" i="28"/>
  <c r="CE60" i="28"/>
  <c r="CD60" i="28"/>
  <c r="BM5" i="43"/>
  <c r="BM6" i="43"/>
  <c r="L6" i="43" s="1"/>
  <c r="BM7" i="43"/>
  <c r="BM8" i="43"/>
  <c r="L8" i="43" s="1"/>
  <c r="BM9" i="43"/>
  <c r="BM10" i="43"/>
  <c r="BM11" i="43"/>
  <c r="BM13" i="43"/>
  <c r="BM14" i="43"/>
  <c r="BM4" i="43"/>
  <c r="BB5" i="43"/>
  <c r="BC5" i="43"/>
  <c r="AW43" i="28" s="1"/>
  <c r="HK43" i="28" s="1"/>
  <c r="BD5" i="43"/>
  <c r="AX43" i="28" s="1"/>
  <c r="HL43" i="28" s="1"/>
  <c r="BE5" i="43"/>
  <c r="AY43" i="28" s="1"/>
  <c r="HM43" i="28" s="1"/>
  <c r="BF5" i="43"/>
  <c r="AZ43" i="28" s="1"/>
  <c r="HN43" i="28" s="1"/>
  <c r="BG5" i="43"/>
  <c r="BA43" i="28" s="1"/>
  <c r="HO43" i="28" s="1"/>
  <c r="BB6" i="43"/>
  <c r="BC6" i="43"/>
  <c r="AW44" i="28" s="1"/>
  <c r="HK44" i="28" s="1"/>
  <c r="BD6" i="43"/>
  <c r="AX44" i="28" s="1"/>
  <c r="HL44" i="28" s="1"/>
  <c r="BE6" i="43"/>
  <c r="AY44" i="28" s="1"/>
  <c r="HM44" i="28" s="1"/>
  <c r="BF6" i="43"/>
  <c r="AZ44" i="28" s="1"/>
  <c r="HN44" i="28" s="1"/>
  <c r="BG6" i="43"/>
  <c r="BA44" i="28" s="1"/>
  <c r="HO44" i="28" s="1"/>
  <c r="BB7" i="43"/>
  <c r="BC7" i="43"/>
  <c r="AW45" i="28" s="1"/>
  <c r="HK45" i="28" s="1"/>
  <c r="BD7" i="43"/>
  <c r="AX45" i="28" s="1"/>
  <c r="HL45" i="28" s="1"/>
  <c r="BE7" i="43"/>
  <c r="AY45" i="28" s="1"/>
  <c r="HM45" i="28" s="1"/>
  <c r="BF7" i="43"/>
  <c r="AZ45" i="28" s="1"/>
  <c r="HN45" i="28" s="1"/>
  <c r="BG7" i="43"/>
  <c r="BA45" i="28" s="1"/>
  <c r="HO45" i="28" s="1"/>
  <c r="BB8" i="43"/>
  <c r="BC8" i="43"/>
  <c r="AW46" i="28" s="1"/>
  <c r="HK46" i="28" s="1"/>
  <c r="AX46" i="28"/>
  <c r="HL46" i="28" s="1"/>
  <c r="BE8" i="43"/>
  <c r="AY46" i="28" s="1"/>
  <c r="HM46" i="28" s="1"/>
  <c r="BF8" i="43"/>
  <c r="AZ46" i="28" s="1"/>
  <c r="HN46" i="28" s="1"/>
  <c r="BG8" i="43"/>
  <c r="BA46" i="28" s="1"/>
  <c r="HO46" i="28" s="1"/>
  <c r="BB9" i="43"/>
  <c r="BC9" i="43"/>
  <c r="AW47" i="28" s="1"/>
  <c r="HK47" i="28" s="1"/>
  <c r="AX47" i="28"/>
  <c r="HL47" i="28" s="1"/>
  <c r="BE9" i="43"/>
  <c r="AY47" i="28" s="1"/>
  <c r="HM47" i="28" s="1"/>
  <c r="BF9" i="43"/>
  <c r="AZ47" i="28" s="1"/>
  <c r="HN47" i="28" s="1"/>
  <c r="BG9" i="43"/>
  <c r="BA47" i="28" s="1"/>
  <c r="HO47" i="28" s="1"/>
  <c r="BB10" i="43"/>
  <c r="BC10" i="43"/>
  <c r="AW48" i="28" s="1"/>
  <c r="HK48" i="28" s="1"/>
  <c r="BD10" i="43"/>
  <c r="AX48" i="28" s="1"/>
  <c r="HL48" i="28" s="1"/>
  <c r="BE10" i="43"/>
  <c r="AY48" i="28" s="1"/>
  <c r="HM48" i="28" s="1"/>
  <c r="BF10" i="43"/>
  <c r="AZ48" i="28" s="1"/>
  <c r="HN48" i="28" s="1"/>
  <c r="BG10" i="43"/>
  <c r="BA48" i="28" s="1"/>
  <c r="HO48" i="28" s="1"/>
  <c r="BB11" i="43"/>
  <c r="BC11" i="43"/>
  <c r="AW49" i="28" s="1"/>
  <c r="HK49" i="28" s="1"/>
  <c r="BD11" i="43"/>
  <c r="AX49" i="28" s="1"/>
  <c r="HL49" i="28" s="1"/>
  <c r="BE11" i="43"/>
  <c r="AY49" i="28" s="1"/>
  <c r="HM49" i="28" s="1"/>
  <c r="BF11" i="43"/>
  <c r="AZ49" i="28" s="1"/>
  <c r="HN49" i="28" s="1"/>
  <c r="BG11" i="43"/>
  <c r="BA49" i="28" s="1"/>
  <c r="HO49" i="28" s="1"/>
  <c r="BB12" i="43"/>
  <c r="BC12" i="43"/>
  <c r="AW50" i="28" s="1"/>
  <c r="HK50" i="28" s="1"/>
  <c r="BD12" i="43"/>
  <c r="AX50" i="28" s="1"/>
  <c r="HL50" i="28" s="1"/>
  <c r="BE12" i="43"/>
  <c r="AY50" i="28" s="1"/>
  <c r="HM50" i="28" s="1"/>
  <c r="BF12" i="43"/>
  <c r="AZ50" i="28" s="1"/>
  <c r="HN50" i="28" s="1"/>
  <c r="BG12" i="43"/>
  <c r="BA50" i="28" s="1"/>
  <c r="HO50" i="28" s="1"/>
  <c r="BB13" i="43"/>
  <c r="BC13" i="43"/>
  <c r="AW51" i="28" s="1"/>
  <c r="HK51" i="28" s="1"/>
  <c r="BD13" i="43"/>
  <c r="AX51" i="28" s="1"/>
  <c r="HL51" i="28" s="1"/>
  <c r="BE13" i="43"/>
  <c r="AY51" i="28" s="1"/>
  <c r="HM51" i="28" s="1"/>
  <c r="BF13" i="43"/>
  <c r="AZ51" i="28" s="1"/>
  <c r="HN51" i="28" s="1"/>
  <c r="BG13" i="43"/>
  <c r="BA51" i="28" s="1"/>
  <c r="HO51" i="28" s="1"/>
  <c r="BB14" i="43"/>
  <c r="BC14" i="43"/>
  <c r="AW52" i="28" s="1"/>
  <c r="HK52" i="28" s="1"/>
  <c r="BD14" i="43"/>
  <c r="AX52" i="28" s="1"/>
  <c r="HL52" i="28" s="1"/>
  <c r="BE14" i="43"/>
  <c r="AY52" i="28" s="1"/>
  <c r="HM52" i="28" s="1"/>
  <c r="BF14" i="43"/>
  <c r="AZ52" i="28" s="1"/>
  <c r="HN52" i="28" s="1"/>
  <c r="BG14" i="43"/>
  <c r="BA52" i="28" s="1"/>
  <c r="HO52" i="28" s="1"/>
  <c r="BB15" i="43"/>
  <c r="BC15" i="43"/>
  <c r="BD15" i="43"/>
  <c r="BE15" i="43"/>
  <c r="BF15" i="43"/>
  <c r="BG15" i="43"/>
  <c r="BB16" i="43"/>
  <c r="BC16" i="43"/>
  <c r="AW54" i="28" s="1"/>
  <c r="HK54" i="28" s="1"/>
  <c r="BD16" i="43"/>
  <c r="AX54" i="28" s="1"/>
  <c r="HL54" i="28" s="1"/>
  <c r="BE16" i="43"/>
  <c r="AY54" i="28" s="1"/>
  <c r="HM54" i="28" s="1"/>
  <c r="BF16" i="43"/>
  <c r="AZ54" i="28" s="1"/>
  <c r="HN54" i="28" s="1"/>
  <c r="BG16" i="43"/>
  <c r="BA54" i="28" s="1"/>
  <c r="HO54" i="28" s="1"/>
  <c r="BC17" i="43"/>
  <c r="AW55" i="28" s="1"/>
  <c r="HK55" i="28" s="1"/>
  <c r="AX55" i="28"/>
  <c r="HL55" i="28" s="1"/>
  <c r="BE17" i="43"/>
  <c r="AY55" i="28" s="1"/>
  <c r="HM55" i="28" s="1"/>
  <c r="BF17" i="43"/>
  <c r="AZ55" i="28" s="1"/>
  <c r="HN55" i="28" s="1"/>
  <c r="BG17" i="43"/>
  <c r="BA55" i="28" s="1"/>
  <c r="HO55" i="28" s="1"/>
  <c r="BB18" i="43"/>
  <c r="BC18" i="43"/>
  <c r="AW56" i="28" s="1"/>
  <c r="HK56" i="28" s="1"/>
  <c r="AX56" i="28"/>
  <c r="HL56" i="28" s="1"/>
  <c r="BE18" i="43"/>
  <c r="AY56" i="28" s="1"/>
  <c r="HM56" i="28" s="1"/>
  <c r="BF18" i="43"/>
  <c r="AZ56" i="28" s="1"/>
  <c r="HN56" i="28" s="1"/>
  <c r="BG18" i="43"/>
  <c r="BA56" i="28" s="1"/>
  <c r="HO56" i="28" s="1"/>
  <c r="BB19" i="43"/>
  <c r="BC19" i="43"/>
  <c r="AW57" i="28" s="1"/>
  <c r="HK57" i="28" s="1"/>
  <c r="AX57" i="28"/>
  <c r="HL57" i="28" s="1"/>
  <c r="BE19" i="43"/>
  <c r="AY57" i="28" s="1"/>
  <c r="HM57" i="28" s="1"/>
  <c r="BF19" i="43"/>
  <c r="AZ57" i="28" s="1"/>
  <c r="HN57" i="28" s="1"/>
  <c r="BG19" i="43"/>
  <c r="BA57" i="28" s="1"/>
  <c r="HO57" i="28" s="1"/>
  <c r="BC4" i="43"/>
  <c r="AW42" i="28" s="1"/>
  <c r="HK42" i="28" s="1"/>
  <c r="BD4" i="43"/>
  <c r="AX42" i="28" s="1"/>
  <c r="HL42" i="28" s="1"/>
  <c r="BE4" i="43"/>
  <c r="AY42" i="28" s="1"/>
  <c r="HM42" i="28" s="1"/>
  <c r="BF4" i="43"/>
  <c r="AZ42" i="28" s="1"/>
  <c r="HN42" i="28" s="1"/>
  <c r="BG4" i="43"/>
  <c r="BA42" i="28" s="1"/>
  <c r="HO42" i="28" s="1"/>
  <c r="BB4" i="43"/>
  <c r="AZ4" i="43" s="1"/>
  <c r="U492" i="38"/>
  <c r="U490" i="38"/>
  <c r="U491" i="38"/>
  <c r="U489" i="38"/>
  <c r="D418" i="38"/>
  <c r="E446" i="38"/>
  <c r="F446" i="38"/>
  <c r="G446" i="38"/>
  <c r="H446" i="38"/>
  <c r="I446" i="38"/>
  <c r="J446" i="38"/>
  <c r="K446" i="38"/>
  <c r="L446" i="38"/>
  <c r="M446" i="38"/>
  <c r="E447" i="38"/>
  <c r="F447" i="38"/>
  <c r="G447" i="38"/>
  <c r="H447" i="38"/>
  <c r="I447" i="38"/>
  <c r="J447" i="38"/>
  <c r="K447" i="38"/>
  <c r="L447" i="38"/>
  <c r="M447" i="38"/>
  <c r="D447" i="38"/>
  <c r="D464" i="38" s="1"/>
  <c r="D446" i="38"/>
  <c r="D458" i="38" s="1"/>
  <c r="E288" i="38"/>
  <c r="F288" i="38"/>
  <c r="G288" i="38"/>
  <c r="H288" i="38"/>
  <c r="I288" i="38"/>
  <c r="J288" i="38"/>
  <c r="K288" i="38"/>
  <c r="L288" i="38"/>
  <c r="M288" i="38"/>
  <c r="GF73" i="28"/>
  <c r="GG73" i="28"/>
  <c r="GH73" i="28"/>
  <c r="GI73" i="28"/>
  <c r="CA73" i="28"/>
  <c r="CB73" i="28"/>
  <c r="CC73" i="28"/>
  <c r="CD73" i="28"/>
  <c r="BH42" i="28"/>
  <c r="BH43" i="28"/>
  <c r="BH44" i="28"/>
  <c r="BH45" i="28"/>
  <c r="BH46" i="28"/>
  <c r="BH47" i="28"/>
  <c r="BH48" i="28"/>
  <c r="BH49" i="28"/>
  <c r="BX61" i="28" l="1"/>
  <c r="BA4" i="43"/>
  <c r="W42" i="28"/>
  <c r="X42" i="28" s="1"/>
  <c r="S288" i="38"/>
  <c r="BI83" i="28"/>
  <c r="BI82" i="28"/>
  <c r="BU27" i="43"/>
  <c r="CK64" i="28"/>
  <c r="D335" i="38"/>
  <c r="CO81" i="28"/>
  <c r="CO66" i="28"/>
  <c r="CO65" i="28"/>
  <c r="CO69" i="28"/>
  <c r="CO75" i="28"/>
  <c r="CO85" i="28"/>
  <c r="CO82" i="28"/>
  <c r="CO60" i="28"/>
  <c r="CO83" i="28"/>
  <c r="CO68" i="28"/>
  <c r="CO67" i="28"/>
  <c r="CO80" i="28"/>
  <c r="GD79" i="28"/>
  <c r="CO79" i="28"/>
  <c r="BG63" i="28"/>
  <c r="BG80" i="28"/>
  <c r="BG82" i="28"/>
  <c r="BG75" i="28"/>
  <c r="BG66" i="28"/>
  <c r="BG64" i="28"/>
  <c r="BG81" i="28"/>
  <c r="BG83" i="28"/>
  <c r="BG71" i="28"/>
  <c r="BG67" i="28"/>
  <c r="BG65" i="28"/>
  <c r="BG68" i="28"/>
  <c r="BG70" i="28"/>
  <c r="BG69" i="28"/>
  <c r="BG79" i="28"/>
  <c r="ES82" i="28"/>
  <c r="EQ82" i="28"/>
  <c r="ER82" i="28"/>
  <c r="EP82" i="28"/>
  <c r="EO82" i="28"/>
  <c r="ER83" i="28"/>
  <c r="EQ83" i="28"/>
  <c r="EP83" i="28"/>
  <c r="ES83" i="28"/>
  <c r="EO83" i="28"/>
  <c r="CL63" i="28"/>
  <c r="CM63" i="28"/>
  <c r="CK63" i="28"/>
  <c r="CJ63" i="28"/>
  <c r="CN63" i="28"/>
  <c r="CD51" i="28"/>
  <c r="L13" i="43"/>
  <c r="CD48" i="28"/>
  <c r="L10" i="43"/>
  <c r="CD47" i="28"/>
  <c r="L9" i="43"/>
  <c r="CD49" i="28"/>
  <c r="L11" i="43"/>
  <c r="CD46" i="28"/>
  <c r="BN7" i="43"/>
  <c r="BO7" i="43" s="1"/>
  <c r="BP7" i="43" s="1"/>
  <c r="CG45" i="28" s="1"/>
  <c r="L7" i="43"/>
  <c r="CD42" i="28"/>
  <c r="L4" i="43"/>
  <c r="CD52" i="28"/>
  <c r="L14" i="43"/>
  <c r="CD43" i="28"/>
  <c r="L5" i="43"/>
  <c r="BA53" i="28"/>
  <c r="AZ53" i="28"/>
  <c r="HN53" i="28" s="1"/>
  <c r="O315" i="37" s="1"/>
  <c r="AV53" i="28"/>
  <c r="AX53" i="28"/>
  <c r="HL53" i="28" s="1"/>
  <c r="M336" i="37" s="1"/>
  <c r="AY53" i="28"/>
  <c r="HM53" i="28" s="1"/>
  <c r="N331" i="37" s="1"/>
  <c r="AW53" i="28"/>
  <c r="HK53" i="28" s="1"/>
  <c r="L338" i="37" s="1"/>
  <c r="AC28" i="43"/>
  <c r="AV49" i="28"/>
  <c r="AV45" i="28"/>
  <c r="AV46" i="28"/>
  <c r="AV51" i="28"/>
  <c r="BG51" i="28" s="1"/>
  <c r="AV47" i="28"/>
  <c r="AV43" i="28"/>
  <c r="BM16" i="43"/>
  <c r="AV52" i="28"/>
  <c r="BG52" i="28" s="1"/>
  <c r="AV48" i="28"/>
  <c r="AV44" i="28"/>
  <c r="BG44" i="28" s="1"/>
  <c r="CP66" i="28"/>
  <c r="CP65" i="28"/>
  <c r="BY68" i="28"/>
  <c r="BY82" i="28"/>
  <c r="BY71" i="28"/>
  <c r="BY81" i="28"/>
  <c r="BY83" i="28"/>
  <c r="BY67" i="28"/>
  <c r="BY66" i="28"/>
  <c r="BY70" i="28"/>
  <c r="BY80" i="28"/>
  <c r="BY64" i="28"/>
  <c r="BY65" i="28"/>
  <c r="BY79" i="28"/>
  <c r="BY75" i="28"/>
  <c r="BY69" i="28"/>
  <c r="EK82" i="28"/>
  <c r="EN82" i="28"/>
  <c r="EM82" i="28"/>
  <c r="EL82" i="28"/>
  <c r="EJ82" i="28"/>
  <c r="CP67" i="28"/>
  <c r="CP71" i="28"/>
  <c r="CP81" i="28"/>
  <c r="CP83" i="28"/>
  <c r="CP70" i="28"/>
  <c r="CP80" i="28"/>
  <c r="CP69" i="28"/>
  <c r="CP79" i="28"/>
  <c r="CP60" i="28"/>
  <c r="CP64" i="28"/>
  <c r="CP68" i="28"/>
  <c r="CP75" i="28"/>
  <c r="CP85" i="28"/>
  <c r="EI82" i="28"/>
  <c r="CP82" i="28"/>
  <c r="AV57" i="28"/>
  <c r="BM19" i="43"/>
  <c r="L19" i="43" s="1"/>
  <c r="AV54" i="28"/>
  <c r="BG54" i="28" s="1"/>
  <c r="AV50" i="28"/>
  <c r="AV55" i="28"/>
  <c r="CD55" i="28"/>
  <c r="EI55" i="28" s="1"/>
  <c r="AV56" i="28"/>
  <c r="BN15" i="43"/>
  <c r="AV42" i="28"/>
  <c r="BG42" i="28" s="1"/>
  <c r="CB4" i="43"/>
  <c r="BI44" i="28"/>
  <c r="BI43" i="28"/>
  <c r="BI49" i="28"/>
  <c r="BI48" i="28"/>
  <c r="BI47" i="28"/>
  <c r="BI46" i="28"/>
  <c r="BI42" i="28"/>
  <c r="BI45" i="28"/>
  <c r="EN83" i="28"/>
  <c r="EM83" i="28"/>
  <c r="EL83" i="28"/>
  <c r="EK83" i="28"/>
  <c r="EJ83" i="28"/>
  <c r="EI83" i="28"/>
  <c r="BN8" i="43"/>
  <c r="CE46" i="28" s="1"/>
  <c r="BN11" i="43"/>
  <c r="BO11" i="43" s="1"/>
  <c r="BN4" i="43"/>
  <c r="BN10" i="43"/>
  <c r="BO10" i="43" s="1"/>
  <c r="BN5" i="43"/>
  <c r="BN14" i="43"/>
  <c r="BO14" i="43" s="1"/>
  <c r="CD45" i="28"/>
  <c r="CT82" i="28"/>
  <c r="CT83" i="28"/>
  <c r="AQ82" i="28"/>
  <c r="BN6" i="43"/>
  <c r="BN9" i="43"/>
  <c r="BN13" i="43"/>
  <c r="BO13" i="43" s="1"/>
  <c r="CD44" i="28"/>
  <c r="CQ60" i="28"/>
  <c r="AQ83" i="28"/>
  <c r="CG63" i="28"/>
  <c r="CH63" i="28"/>
  <c r="E458" i="38"/>
  <c r="F458" i="38" s="1"/>
  <c r="G458" i="38" s="1"/>
  <c r="H458" i="38" s="1"/>
  <c r="I458" i="38" s="1"/>
  <c r="J458" i="38" s="1"/>
  <c r="K458" i="38" s="1"/>
  <c r="L458" i="38" s="1"/>
  <c r="M458" i="38" s="1"/>
  <c r="N458" i="38" s="1"/>
  <c r="O458" i="38" s="1"/>
  <c r="P458" i="38" s="1"/>
  <c r="Q458" i="38" s="1"/>
  <c r="R458" i="38" s="1"/>
  <c r="E464" i="38"/>
  <c r="F464" i="38" s="1"/>
  <c r="G464" i="38" s="1"/>
  <c r="H464" i="38" s="1"/>
  <c r="I464" i="38" s="1"/>
  <c r="J464" i="38" s="1"/>
  <c r="K464" i="38" s="1"/>
  <c r="L464" i="38" s="1"/>
  <c r="M464" i="38" s="1"/>
  <c r="N464" i="38" s="1"/>
  <c r="O464" i="38" s="1"/>
  <c r="P464" i="38" s="1"/>
  <c r="Q464" i="38" s="1"/>
  <c r="R464" i="38" s="1"/>
  <c r="CF63" i="28"/>
  <c r="CE63" i="28"/>
  <c r="CD63" i="28"/>
  <c r="CI63" i="28"/>
  <c r="D457" i="38"/>
  <c r="E457" i="38" s="1"/>
  <c r="F457" i="38" s="1"/>
  <c r="G457" i="38" s="1"/>
  <c r="H457" i="38" s="1"/>
  <c r="I457" i="38" s="1"/>
  <c r="J457" i="38" s="1"/>
  <c r="K457" i="38" s="1"/>
  <c r="L457" i="38" s="1"/>
  <c r="M457" i="38" s="1"/>
  <c r="N457" i="38" s="1"/>
  <c r="O457" i="38" s="1"/>
  <c r="P457" i="38" s="1"/>
  <c r="Q457" i="38" s="1"/>
  <c r="R457" i="38" s="1"/>
  <c r="D462" i="38"/>
  <c r="E462" i="38" s="1"/>
  <c r="F462" i="38" s="1"/>
  <c r="G462" i="38" s="1"/>
  <c r="H462" i="38" s="1"/>
  <c r="I462" i="38" s="1"/>
  <c r="J462" i="38" s="1"/>
  <c r="K462" i="38" s="1"/>
  <c r="L462" i="38" s="1"/>
  <c r="M462" i="38" s="1"/>
  <c r="N462" i="38" s="1"/>
  <c r="O462" i="38" s="1"/>
  <c r="P462" i="38" s="1"/>
  <c r="Q462" i="38" s="1"/>
  <c r="R462" i="38" s="1"/>
  <c r="D461" i="38"/>
  <c r="E461" i="38" s="1"/>
  <c r="F461" i="38" s="1"/>
  <c r="G461" i="38" s="1"/>
  <c r="H461" i="38" s="1"/>
  <c r="I461" i="38" s="1"/>
  <c r="J461" i="38" s="1"/>
  <c r="K461" i="38" s="1"/>
  <c r="L461" i="38" s="1"/>
  <c r="M461" i="38" s="1"/>
  <c r="N461" i="38" s="1"/>
  <c r="O461" i="38" s="1"/>
  <c r="P461" i="38" s="1"/>
  <c r="Q461" i="38" s="1"/>
  <c r="R461" i="38" s="1"/>
  <c r="D463" i="38"/>
  <c r="E463" i="38" s="1"/>
  <c r="F463" i="38" s="1"/>
  <c r="G463" i="38" s="1"/>
  <c r="H463" i="38" s="1"/>
  <c r="I463" i="38" s="1"/>
  <c r="J463" i="38" s="1"/>
  <c r="K463" i="38" s="1"/>
  <c r="L463" i="38" s="1"/>
  <c r="M463" i="38" s="1"/>
  <c r="N463" i="38" s="1"/>
  <c r="O463" i="38" s="1"/>
  <c r="P463" i="38" s="1"/>
  <c r="Q463" i="38" s="1"/>
  <c r="R463" i="38" s="1"/>
  <c r="D460" i="38"/>
  <c r="E460" i="38" s="1"/>
  <c r="F460" i="38" s="1"/>
  <c r="G460" i="38" s="1"/>
  <c r="H460" i="38" s="1"/>
  <c r="I460" i="38" s="1"/>
  <c r="J460" i="38" s="1"/>
  <c r="K460" i="38" s="1"/>
  <c r="L460" i="38" s="1"/>
  <c r="M460" i="38" s="1"/>
  <c r="N460" i="38" s="1"/>
  <c r="O460" i="38" s="1"/>
  <c r="P460" i="38" s="1"/>
  <c r="Q460" i="38" s="1"/>
  <c r="R460" i="38" s="1"/>
  <c r="D459" i="38"/>
  <c r="E459" i="38" s="1"/>
  <c r="F459" i="38" s="1"/>
  <c r="G459" i="38" s="1"/>
  <c r="H459" i="38" s="1"/>
  <c r="I459" i="38" s="1"/>
  <c r="J459" i="38" s="1"/>
  <c r="K459" i="38" s="1"/>
  <c r="L459" i="38" s="1"/>
  <c r="M459" i="38" s="1"/>
  <c r="N459" i="38" s="1"/>
  <c r="O459" i="38" s="1"/>
  <c r="P459" i="38" s="1"/>
  <c r="Q459" i="38" s="1"/>
  <c r="R459" i="38" s="1"/>
  <c r="EI48" i="28" l="1"/>
  <c r="GG45" i="28"/>
  <c r="GE46" i="28"/>
  <c r="EI49" i="28"/>
  <c r="BG50" i="28"/>
  <c r="BG45" i="28"/>
  <c r="BG49" i="28"/>
  <c r="BG55" i="28"/>
  <c r="BG46" i="28"/>
  <c r="BG48" i="28"/>
  <c r="BG57" i="28"/>
  <c r="BG43" i="28"/>
  <c r="BG56" i="28"/>
  <c r="BG47" i="28"/>
  <c r="BJ82" i="28"/>
  <c r="BJ83" i="28"/>
  <c r="BV27" i="43"/>
  <c r="CL64" i="28"/>
  <c r="ET82" i="28"/>
  <c r="ET83" i="28"/>
  <c r="GD47" i="28"/>
  <c r="GD44" i="28"/>
  <c r="CO63" i="28"/>
  <c r="BG53" i="28"/>
  <c r="BL53" i="28"/>
  <c r="HJ54" i="28"/>
  <c r="HU54" i="28" s="1"/>
  <c r="GD55" i="28"/>
  <c r="GD49" i="28"/>
  <c r="L336" i="37"/>
  <c r="L340" i="37" s="1"/>
  <c r="HJ55" i="28"/>
  <c r="HU55" i="28" s="1"/>
  <c r="GD52" i="28"/>
  <c r="L317" i="37"/>
  <c r="L308" i="37"/>
  <c r="HJ50" i="28"/>
  <c r="HU50" i="28" s="1"/>
  <c r="HJ51" i="28"/>
  <c r="HU51" i="28" s="1"/>
  <c r="M345" i="37"/>
  <c r="O310" i="37"/>
  <c r="O343" i="37"/>
  <c r="L331" i="37"/>
  <c r="O322" i="37"/>
  <c r="HJ57" i="28"/>
  <c r="HU57" i="28" s="1"/>
  <c r="HJ48" i="28"/>
  <c r="HU48" i="28" s="1"/>
  <c r="HJ49" i="28"/>
  <c r="HU49" i="28" s="1"/>
  <c r="GD51" i="28"/>
  <c r="HJ56" i="28"/>
  <c r="HU56" i="28" s="1"/>
  <c r="HJ52" i="28"/>
  <c r="HU52" i="28" s="1"/>
  <c r="L322" i="37"/>
  <c r="O336" i="37"/>
  <c r="N345" i="37"/>
  <c r="L324" i="37"/>
  <c r="M331" i="37"/>
  <c r="M317" i="37"/>
  <c r="N317" i="37"/>
  <c r="O345" i="37"/>
  <c r="O329" i="37"/>
  <c r="L310" i="37"/>
  <c r="M343" i="37"/>
  <c r="M338" i="37"/>
  <c r="M340" i="37" s="1"/>
  <c r="N338" i="37"/>
  <c r="O317" i="37"/>
  <c r="O319" i="37" s="1"/>
  <c r="O331" i="37"/>
  <c r="M329" i="37"/>
  <c r="L329" i="37"/>
  <c r="M310" i="37"/>
  <c r="M308" i="37"/>
  <c r="N315" i="37"/>
  <c r="O338" i="37"/>
  <c r="O324" i="37"/>
  <c r="M324" i="37"/>
  <c r="L343" i="37"/>
  <c r="L345" i="37"/>
  <c r="M315" i="37"/>
  <c r="N310" i="37"/>
  <c r="N322" i="37"/>
  <c r="O308" i="37"/>
  <c r="N324" i="37"/>
  <c r="N336" i="37"/>
  <c r="M322" i="37"/>
  <c r="L315" i="37"/>
  <c r="N308" i="37"/>
  <c r="N329" i="37"/>
  <c r="N333" i="37" s="1"/>
  <c r="N343" i="37"/>
  <c r="HJ45" i="28"/>
  <c r="HU45" i="28" s="1"/>
  <c r="GD43" i="28"/>
  <c r="GD45" i="28"/>
  <c r="GD46" i="28"/>
  <c r="HJ43" i="28"/>
  <c r="HU43" i="28" s="1"/>
  <c r="HJ47" i="28"/>
  <c r="HU47" i="28" s="1"/>
  <c r="GD42" i="28"/>
  <c r="HJ44" i="28"/>
  <c r="HU44" i="28" s="1"/>
  <c r="HJ42" i="28"/>
  <c r="HU42" i="28" s="1"/>
  <c r="HJ46" i="28"/>
  <c r="HU46" i="28" s="1"/>
  <c r="GD48" i="28"/>
  <c r="GJ61" i="28"/>
  <c r="GN61" i="28"/>
  <c r="GM61" i="28"/>
  <c r="GL61" i="28"/>
  <c r="GK61" i="28"/>
  <c r="GL63" i="28"/>
  <c r="GN63" i="28"/>
  <c r="GJ63" i="28"/>
  <c r="GK63" i="28"/>
  <c r="GM63" i="28"/>
  <c r="CE45" i="28"/>
  <c r="HJ53" i="28"/>
  <c r="BN16" i="43"/>
  <c r="BO16" i="43" s="1"/>
  <c r="L16" i="43"/>
  <c r="BN12" i="43"/>
  <c r="BO12" i="43" s="1"/>
  <c r="CF50" i="28" s="1"/>
  <c r="GF50" i="28" s="1"/>
  <c r="L12" i="43"/>
  <c r="CD53" i="28"/>
  <c r="L15" i="43"/>
  <c r="BN18" i="43"/>
  <c r="CE56" i="28" s="1"/>
  <c r="L18" i="43"/>
  <c r="CD54" i="28"/>
  <c r="BO15" i="43"/>
  <c r="CF53" i="28" s="1"/>
  <c r="GF53" i="28" s="1"/>
  <c r="CE53" i="28"/>
  <c r="GE53" i="28" s="1"/>
  <c r="HO53" i="28"/>
  <c r="CD50" i="28"/>
  <c r="CD57" i="28"/>
  <c r="CD56" i="28"/>
  <c r="EI56" i="28" s="1"/>
  <c r="BN19" i="43"/>
  <c r="BO19" i="43" s="1"/>
  <c r="BP19" i="43" s="1"/>
  <c r="BQ19" i="43" s="1"/>
  <c r="BR19" i="43" s="1"/>
  <c r="BY63" i="28"/>
  <c r="CP63" i="28"/>
  <c r="BN17" i="43"/>
  <c r="CE55" i="28" s="1"/>
  <c r="CD4" i="43"/>
  <c r="CB10" i="43"/>
  <c r="CB11" i="43" s="1"/>
  <c r="BJ42" i="28"/>
  <c r="BJ46" i="28"/>
  <c r="BJ48" i="28"/>
  <c r="BJ49" i="28"/>
  <c r="BJ44" i="28"/>
  <c r="BJ45" i="28"/>
  <c r="BJ43" i="28"/>
  <c r="BJ47" i="28"/>
  <c r="BO8" i="43"/>
  <c r="BP8" i="43" s="1"/>
  <c r="BQ7" i="43"/>
  <c r="CH45" i="28" s="1"/>
  <c r="CF45" i="28"/>
  <c r="CE49" i="28"/>
  <c r="BO9" i="43"/>
  <c r="CE47" i="28"/>
  <c r="GE47" i="28" s="1"/>
  <c r="BO6" i="43"/>
  <c r="CE44" i="28"/>
  <c r="GE44" i="28" s="1"/>
  <c r="CE52" i="28"/>
  <c r="GE52" i="28" s="1"/>
  <c r="CH57" i="28"/>
  <c r="GH57" i="28" s="1"/>
  <c r="BP11" i="43"/>
  <c r="CF49" i="28"/>
  <c r="BO5" i="43"/>
  <c r="CE43" i="28"/>
  <c r="CE48" i="28"/>
  <c r="BO4" i="43"/>
  <c r="CE42" i="28"/>
  <c r="CE51" i="28"/>
  <c r="GE51" i="28" s="1"/>
  <c r="BX35" i="28"/>
  <c r="BX22" i="28"/>
  <c r="BX20" i="28"/>
  <c r="BX13" i="28"/>
  <c r="S45" i="42" a="1"/>
  <c r="S45" i="42" s="1"/>
  <c r="T45" i="42" s="1"/>
  <c r="V45" i="42" a="1"/>
  <c r="V45" i="42" s="1"/>
  <c r="W45" i="42" a="1"/>
  <c r="W45" i="42" s="1"/>
  <c r="X45" i="42" a="1"/>
  <c r="X45" i="42" s="1"/>
  <c r="Y45" i="42" a="1"/>
  <c r="Y45" i="42" s="1"/>
  <c r="Z45" i="42" a="1"/>
  <c r="Z45" i="42" s="1"/>
  <c r="AA45" i="42" a="1"/>
  <c r="AA45" i="42" s="1"/>
  <c r="AB45" i="42" a="1"/>
  <c r="AB45" i="42" s="1"/>
  <c r="AC45" i="42" a="1"/>
  <c r="AC45" i="42" s="1"/>
  <c r="U45" i="42" a="1"/>
  <c r="U45" i="42" s="1"/>
  <c r="BZ27" i="28"/>
  <c r="AX34" i="28"/>
  <c r="AW34" i="28"/>
  <c r="AV34" i="28"/>
  <c r="AU34" i="28"/>
  <c r="AT34" i="28"/>
  <c r="AS34" i="28"/>
  <c r="AR34" i="28"/>
  <c r="AX40" i="28"/>
  <c r="AW40" i="28"/>
  <c r="AV40" i="28"/>
  <c r="AU40" i="28"/>
  <c r="AT40" i="28"/>
  <c r="AS40" i="28"/>
  <c r="AR40" i="28"/>
  <c r="AX39" i="28"/>
  <c r="AW39" i="28"/>
  <c r="AV39" i="28"/>
  <c r="AU39" i="28"/>
  <c r="AT39" i="28"/>
  <c r="AS39" i="28"/>
  <c r="AR39" i="28"/>
  <c r="AX38" i="28"/>
  <c r="AW38" i="28"/>
  <c r="AV38" i="28"/>
  <c r="AU38" i="28"/>
  <c r="AT38" i="28"/>
  <c r="AS38" i="28"/>
  <c r="AR38" i="28"/>
  <c r="AX27" i="28"/>
  <c r="AW27" i="28"/>
  <c r="AV27" i="28"/>
  <c r="AU27" i="28"/>
  <c r="AT27" i="28"/>
  <c r="AS27" i="28"/>
  <c r="AX26" i="28"/>
  <c r="AW26" i="28"/>
  <c r="AV26" i="28"/>
  <c r="AU26" i="28"/>
  <c r="AT26" i="28"/>
  <c r="AS26" i="28"/>
  <c r="AR26" i="28"/>
  <c r="AC1312" i="33" s="1"/>
  <c r="AX23" i="28"/>
  <c r="AW23" i="28"/>
  <c r="AV23" i="28"/>
  <c r="AU23" i="28"/>
  <c r="AT23" i="28"/>
  <c r="AS23" i="28"/>
  <c r="AR23" i="28"/>
  <c r="AX17" i="28"/>
  <c r="HL17" i="28" s="1"/>
  <c r="AW17" i="28"/>
  <c r="HK17" i="28" s="1"/>
  <c r="AV17" i="28"/>
  <c r="HJ17" i="28" s="1"/>
  <c r="AU17" i="28"/>
  <c r="AT17" i="28"/>
  <c r="HH17" i="28" s="1"/>
  <c r="AS17" i="28"/>
  <c r="HG17" i="28" s="1"/>
  <c r="AR17" i="28"/>
  <c r="HF17" i="28" s="1"/>
  <c r="AS10" i="28"/>
  <c r="HG10" i="28" s="1"/>
  <c r="AT10" i="28"/>
  <c r="HH10" i="28" s="1"/>
  <c r="AU10" i="28"/>
  <c r="AV10" i="28"/>
  <c r="HJ10" i="28" s="1"/>
  <c r="AW10" i="28"/>
  <c r="HK10" i="28" s="1"/>
  <c r="AX10" i="28"/>
  <c r="HL10" i="28" s="1"/>
  <c r="AR10" i="28"/>
  <c r="HF10" i="28" s="1"/>
  <c r="M4" i="40"/>
  <c r="AA5" i="40"/>
  <c r="AA6" i="40"/>
  <c r="AA7" i="40"/>
  <c r="AA8" i="40"/>
  <c r="AA9" i="40"/>
  <c r="AA10" i="40"/>
  <c r="AA11" i="40"/>
  <c r="AA12" i="40"/>
  <c r="AA13" i="40"/>
  <c r="AA14" i="40"/>
  <c r="AA15" i="40"/>
  <c r="AA16" i="40"/>
  <c r="AA17" i="40"/>
  <c r="AA18" i="40"/>
  <c r="AA19" i="40"/>
  <c r="AA20" i="40"/>
  <c r="AA21" i="40"/>
  <c r="AA22" i="40"/>
  <c r="AA23" i="40"/>
  <c r="AA24" i="40"/>
  <c r="AA25" i="40"/>
  <c r="AA26" i="40"/>
  <c r="AA27" i="40"/>
  <c r="AA28" i="40"/>
  <c r="AA4" i="40"/>
  <c r="W27" i="40"/>
  <c r="W25" i="40"/>
  <c r="W15" i="40"/>
  <c r="W14" i="40"/>
  <c r="W13" i="40"/>
  <c r="W10" i="40"/>
  <c r="W9" i="40"/>
  <c r="W12" i="40"/>
  <c r="W11" i="40"/>
  <c r="W8" i="40"/>
  <c r="W7" i="40"/>
  <c r="W6" i="40"/>
  <c r="W5" i="40"/>
  <c r="W4" i="40"/>
  <c r="S4" i="42" a="1"/>
  <c r="T40" i="42" s="1"/>
  <c r="H14" i="42"/>
  <c r="I14" i="42"/>
  <c r="J14" i="42"/>
  <c r="K14" i="42"/>
  <c r="L14" i="42"/>
  <c r="M14" i="42"/>
  <c r="N14" i="42"/>
  <c r="O14" i="42"/>
  <c r="P14" i="42"/>
  <c r="Q14" i="42"/>
  <c r="R14" i="42"/>
  <c r="G14" i="42"/>
  <c r="CQ12" i="28"/>
  <c r="BX12" i="28"/>
  <c r="GE43" i="28" l="1"/>
  <c r="GF45" i="28"/>
  <c r="GH45" i="28"/>
  <c r="GE45" i="28"/>
  <c r="BP12" i="43"/>
  <c r="GE42" i="28"/>
  <c r="GE49" i="28"/>
  <c r="EJ49" i="28"/>
  <c r="GF49" i="28"/>
  <c r="EK49" i="28"/>
  <c r="GE55" i="28"/>
  <c r="EJ55" i="28"/>
  <c r="GE56" i="28"/>
  <c r="EJ56" i="28"/>
  <c r="GE48" i="28"/>
  <c r="EJ48" i="28"/>
  <c r="BM53" i="28"/>
  <c r="BN53" i="28" s="1"/>
  <c r="BK83" i="28"/>
  <c r="BK82" i="28"/>
  <c r="CI57" i="28"/>
  <c r="GI57" i="28" s="1"/>
  <c r="BS19" i="43"/>
  <c r="BW27" i="43"/>
  <c r="CN64" i="28" s="1"/>
  <c r="CM64" i="28"/>
  <c r="BG23" i="28"/>
  <c r="BG34" i="28"/>
  <c r="BG26" i="28"/>
  <c r="HI17" i="28"/>
  <c r="BG17" i="28"/>
  <c r="BG40" i="28"/>
  <c r="BG39" i="28"/>
  <c r="BG36" i="28"/>
  <c r="HI10" i="28"/>
  <c r="BG10" i="28"/>
  <c r="BG38" i="28"/>
  <c r="BG27" i="28"/>
  <c r="L319" i="37"/>
  <c r="GD54" i="28"/>
  <c r="GD53" i="28"/>
  <c r="L312" i="37"/>
  <c r="HU53" i="28"/>
  <c r="M312" i="37"/>
  <c r="M326" i="37"/>
  <c r="O312" i="37"/>
  <c r="L333" i="37"/>
  <c r="O347" i="37"/>
  <c r="O340" i="37"/>
  <c r="L326" i="37"/>
  <c r="O326" i="37"/>
  <c r="GD56" i="28"/>
  <c r="N312" i="37"/>
  <c r="M319" i="37"/>
  <c r="M347" i="37"/>
  <c r="GD50" i="28"/>
  <c r="L347" i="37"/>
  <c r="M333" i="37"/>
  <c r="GD57" i="28"/>
  <c r="N347" i="37"/>
  <c r="N326" i="37"/>
  <c r="K343" i="37"/>
  <c r="K308" i="37"/>
  <c r="K338" i="37"/>
  <c r="K317" i="37"/>
  <c r="K345" i="37"/>
  <c r="K324" i="37"/>
  <c r="K331" i="37"/>
  <c r="K329" i="37"/>
  <c r="K336" i="37"/>
  <c r="K322" i="37"/>
  <c r="K315" i="37"/>
  <c r="K310" i="37"/>
  <c r="N340" i="37"/>
  <c r="P329" i="37"/>
  <c r="P308" i="37"/>
  <c r="P310" i="37"/>
  <c r="P338" i="37"/>
  <c r="P324" i="37"/>
  <c r="P345" i="37"/>
  <c r="P336" i="37"/>
  <c r="P317" i="37"/>
  <c r="P322" i="37"/>
  <c r="P315" i="37"/>
  <c r="P331" i="37"/>
  <c r="P343" i="37"/>
  <c r="O333" i="37"/>
  <c r="N319" i="37"/>
  <c r="CE50" i="28"/>
  <c r="GE50" i="28" s="1"/>
  <c r="BO18" i="43"/>
  <c r="CF56" i="28" s="1"/>
  <c r="CF57" i="28"/>
  <c r="GF57" i="28" s="1"/>
  <c r="CG57" i="28"/>
  <c r="GG57" i="28" s="1"/>
  <c r="CE57" i="28"/>
  <c r="GE57" i="28" s="1"/>
  <c r="CE54" i="28"/>
  <c r="GE54" i="28" s="1"/>
  <c r="AC19" i="43"/>
  <c r="BY40" i="28"/>
  <c r="V4" i="42" a="1"/>
  <c r="BY10" i="28"/>
  <c r="BO17" i="43"/>
  <c r="CF55" i="28" s="1"/>
  <c r="BY39" i="28"/>
  <c r="BY26" i="28"/>
  <c r="BY38" i="28"/>
  <c r="BY23" i="28"/>
  <c r="CP27" i="28"/>
  <c r="BY17" i="28"/>
  <c r="BY34" i="28"/>
  <c r="CB13" i="43"/>
  <c r="CB17" i="43" s="1"/>
  <c r="CD7" i="43"/>
  <c r="CF46" i="28"/>
  <c r="BR7" i="43"/>
  <c r="H19" i="43"/>
  <c r="CQ57" i="28" s="1"/>
  <c r="BP16" i="43"/>
  <c r="CF54" i="28"/>
  <c r="GF54" i="28" s="1"/>
  <c r="CF51" i="28"/>
  <c r="GF51" i="28" s="1"/>
  <c r="BP13" i="43"/>
  <c r="BQ11" i="43"/>
  <c r="CG49" i="28"/>
  <c r="CG46" i="28"/>
  <c r="BQ8" i="43"/>
  <c r="BP14" i="43"/>
  <c r="CF52" i="28"/>
  <c r="GF52" i="28" s="1"/>
  <c r="BQ12" i="43"/>
  <c r="CG50" i="28"/>
  <c r="GG50" i="28" s="1"/>
  <c r="BP6" i="43"/>
  <c r="CF44" i="28"/>
  <c r="GF44" i="28" s="1"/>
  <c r="BP15" i="43"/>
  <c r="CG53" i="28" s="1"/>
  <c r="GG53" i="28" s="1"/>
  <c r="BP5" i="43"/>
  <c r="CF43" i="28"/>
  <c r="BP9" i="43"/>
  <c r="CF47" i="28"/>
  <c r="BP4" i="43"/>
  <c r="CF42" i="28"/>
  <c r="CF48" i="28"/>
  <c r="BP10" i="43"/>
  <c r="T50" i="42"/>
  <c r="T52" i="42"/>
  <c r="T57" i="42"/>
  <c r="T49" i="42"/>
  <c r="T48" i="42"/>
  <c r="T56" i="42"/>
  <c r="T55" i="42"/>
  <c r="T47" i="42"/>
  <c r="T54" i="42"/>
  <c r="T46" i="42"/>
  <c r="T51" i="42"/>
  <c r="T53" i="42"/>
  <c r="Z4" i="42" a="1"/>
  <c r="T14" i="42"/>
  <c r="AD14" i="42" s="1"/>
  <c r="AA4" i="42" a="1"/>
  <c r="S4" i="42"/>
  <c r="T4" i="42" s="1"/>
  <c r="T5" i="42"/>
  <c r="T13" i="42"/>
  <c r="AD13" i="42" s="1"/>
  <c r="T21" i="42"/>
  <c r="T29" i="42"/>
  <c r="T37" i="42"/>
  <c r="T12" i="42"/>
  <c r="AD12" i="42" s="1"/>
  <c r="T28" i="42"/>
  <c r="AR37" i="28" s="1"/>
  <c r="T36" i="42"/>
  <c r="T6" i="42"/>
  <c r="T22" i="42"/>
  <c r="AD22" i="42" s="1"/>
  <c r="T30" i="42"/>
  <c r="BH61" i="28" s="1"/>
  <c r="T38" i="42"/>
  <c r="T26" i="42"/>
  <c r="AR11" i="28" s="1"/>
  <c r="T20" i="42"/>
  <c r="AD20" i="42" s="1"/>
  <c r="T7" i="42"/>
  <c r="T15" i="42"/>
  <c r="AD15" i="42" s="1"/>
  <c r="T23" i="42"/>
  <c r="T31" i="42"/>
  <c r="T39" i="42"/>
  <c r="T8" i="42"/>
  <c r="T16" i="42"/>
  <c r="T24" i="42"/>
  <c r="AD24" i="42" s="1"/>
  <c r="T32" i="42"/>
  <c r="AR74" i="28" s="1"/>
  <c r="T10" i="42"/>
  <c r="AD10" i="42" s="1"/>
  <c r="T18" i="42"/>
  <c r="AD18" i="42" s="1"/>
  <c r="T34" i="42"/>
  <c r="AR22" i="28" s="1"/>
  <c r="AC4" i="42" a="1"/>
  <c r="U4" i="42" a="1"/>
  <c r="T35" i="42"/>
  <c r="T27" i="42"/>
  <c r="AR20" i="28" s="1"/>
  <c r="T19" i="42"/>
  <c r="AD19" i="42" s="1"/>
  <c r="T11" i="42"/>
  <c r="AD11" i="42" s="1"/>
  <c r="T33" i="42"/>
  <c r="T25" i="42"/>
  <c r="AR21" i="28" s="1"/>
  <c r="T17" i="42"/>
  <c r="AR13" i="28" s="1"/>
  <c r="T9" i="42"/>
  <c r="Y4" i="42" a="1"/>
  <c r="W4" i="42" a="1"/>
  <c r="X4" i="42" a="1"/>
  <c r="AB4" i="42" a="1"/>
  <c r="GF43" i="28" l="1"/>
  <c r="GG46" i="28"/>
  <c r="GF42" i="28"/>
  <c r="GF55" i="28"/>
  <c r="EK55" i="28"/>
  <c r="GF56" i="28"/>
  <c r="EK56" i="28"/>
  <c r="GF48" i="28"/>
  <c r="EK48" i="28"/>
  <c r="GG49" i="28"/>
  <c r="EL49" i="28"/>
  <c r="CO64" i="28"/>
  <c r="BL82" i="28"/>
  <c r="BL83" i="28"/>
  <c r="CJ57" i="28"/>
  <c r="GJ57" i="28" s="1"/>
  <c r="BT19" i="43"/>
  <c r="GF46" i="28"/>
  <c r="GF47" i="28"/>
  <c r="P333" i="37"/>
  <c r="AM22" i="42"/>
  <c r="AM18" i="42"/>
  <c r="AM23" i="42"/>
  <c r="AM14" i="42"/>
  <c r="AM16" i="42"/>
  <c r="AM19" i="42"/>
  <c r="AM10" i="42"/>
  <c r="AM21" i="42"/>
  <c r="AM11" i="42"/>
  <c r="AM15" i="42"/>
  <c r="AM12" i="42"/>
  <c r="AM24" i="42"/>
  <c r="AM20" i="42"/>
  <c r="AM13" i="42"/>
  <c r="AD21" i="42"/>
  <c r="AL14" i="42"/>
  <c r="AL10" i="42"/>
  <c r="AL23" i="42"/>
  <c r="AL22" i="42"/>
  <c r="AL18" i="42"/>
  <c r="AL19" i="42"/>
  <c r="AL11" i="42"/>
  <c r="AL15" i="42"/>
  <c r="AL13" i="42"/>
  <c r="AL21" i="42"/>
  <c r="AL24" i="42"/>
  <c r="AL20" i="42"/>
  <c r="AL12" i="42"/>
  <c r="AL16" i="42"/>
  <c r="AR25" i="28"/>
  <c r="AD23" i="42"/>
  <c r="AE22" i="42"/>
  <c r="AE18" i="42"/>
  <c r="AE14" i="42"/>
  <c r="AE23" i="42"/>
  <c r="AE21" i="42"/>
  <c r="AE12" i="42"/>
  <c r="AE13" i="42"/>
  <c r="AE11" i="42"/>
  <c r="AE15" i="42"/>
  <c r="AE16" i="42"/>
  <c r="AE19" i="42"/>
  <c r="AE10" i="42"/>
  <c r="AE24" i="42"/>
  <c r="AE20" i="42"/>
  <c r="AH12" i="42"/>
  <c r="AH16" i="42"/>
  <c r="AH22" i="42"/>
  <c r="AH15" i="42"/>
  <c r="AH24" i="42"/>
  <c r="AH20" i="42"/>
  <c r="AH10" i="42"/>
  <c r="AH13" i="42"/>
  <c r="AH11" i="42"/>
  <c r="AH21" i="42"/>
  <c r="AH23" i="42"/>
  <c r="AH19" i="42"/>
  <c r="AH14" i="42"/>
  <c r="AH18" i="42"/>
  <c r="AG21" i="42"/>
  <c r="AG10" i="42"/>
  <c r="AG13" i="42"/>
  <c r="AG11" i="42"/>
  <c r="AG12" i="42"/>
  <c r="AG16" i="42"/>
  <c r="AG24" i="42"/>
  <c r="AG20" i="42"/>
  <c r="AG15" i="42"/>
  <c r="AG14" i="42"/>
  <c r="AG22" i="42"/>
  <c r="AG23" i="42"/>
  <c r="AG19" i="42"/>
  <c r="AG18" i="42"/>
  <c r="AK23" i="42"/>
  <c r="AK19" i="42"/>
  <c r="AK13" i="42"/>
  <c r="AK20" i="42"/>
  <c r="AK11" i="42"/>
  <c r="AK15" i="42"/>
  <c r="AK14" i="42"/>
  <c r="AK22" i="42"/>
  <c r="AK18" i="42"/>
  <c r="AK12" i="42"/>
  <c r="AK16" i="42"/>
  <c r="AK21" i="42"/>
  <c r="AK10" i="42"/>
  <c r="AK24" i="42"/>
  <c r="AF13" i="42"/>
  <c r="AF19" i="42"/>
  <c r="AF12" i="42"/>
  <c r="AF21" i="42"/>
  <c r="AF14" i="42"/>
  <c r="AF23" i="42"/>
  <c r="AF16" i="42"/>
  <c r="AF18" i="42"/>
  <c r="AF10" i="42"/>
  <c r="AF24" i="42"/>
  <c r="AF20" i="42"/>
  <c r="AF11" i="42"/>
  <c r="AF15" i="42"/>
  <c r="AF22" i="42"/>
  <c r="AI24" i="42"/>
  <c r="AI20" i="42"/>
  <c r="AI11" i="42"/>
  <c r="AI15" i="42"/>
  <c r="AI12" i="42"/>
  <c r="AI16" i="42"/>
  <c r="AI23" i="42"/>
  <c r="AI19" i="42"/>
  <c r="AI10" i="42"/>
  <c r="AI21" i="42"/>
  <c r="AI13" i="42"/>
  <c r="AI22" i="42"/>
  <c r="AI18" i="42"/>
  <c r="AI14" i="42"/>
  <c r="AR19" i="28"/>
  <c r="AD16" i="42"/>
  <c r="AJ11" i="42"/>
  <c r="AJ15" i="42"/>
  <c r="AJ20" i="42"/>
  <c r="AJ23" i="42"/>
  <c r="AJ19" i="42"/>
  <c r="AJ12" i="42"/>
  <c r="AJ16" i="42"/>
  <c r="AJ24" i="42"/>
  <c r="AJ22" i="42"/>
  <c r="AJ18" i="42"/>
  <c r="AJ10" i="42"/>
  <c r="AJ14" i="42"/>
  <c r="AJ13" i="42"/>
  <c r="AJ21" i="42"/>
  <c r="F345" i="37"/>
  <c r="P340" i="37"/>
  <c r="P319" i="37"/>
  <c r="P312" i="37"/>
  <c r="F331" i="37"/>
  <c r="P326" i="37"/>
  <c r="F310" i="37"/>
  <c r="F317" i="37"/>
  <c r="P347" i="37"/>
  <c r="F324" i="37"/>
  <c r="K319" i="37"/>
  <c r="F315" i="37"/>
  <c r="F338" i="37"/>
  <c r="K326" i="37"/>
  <c r="F322" i="37"/>
  <c r="K312" i="37"/>
  <c r="F308" i="37"/>
  <c r="K340" i="37"/>
  <c r="F336" i="37"/>
  <c r="K347" i="37"/>
  <c r="F343" i="37"/>
  <c r="K333" i="37"/>
  <c r="F329" i="37"/>
  <c r="H7" i="43"/>
  <c r="CQ45" i="28" s="1"/>
  <c r="BS7" i="43"/>
  <c r="BP18" i="43"/>
  <c r="CG56" i="28" s="1"/>
  <c r="BY57" i="28"/>
  <c r="CP57" i="28"/>
  <c r="BO53" i="28"/>
  <c r="BP17" i="43"/>
  <c r="BQ17" i="43" s="1"/>
  <c r="AR12" i="28"/>
  <c r="HF12" i="28" s="1"/>
  <c r="AR15" i="28"/>
  <c r="HF15" i="28" s="1"/>
  <c r="AT19" i="28"/>
  <c r="AX9" i="28"/>
  <c r="HL9" i="28" s="1"/>
  <c r="AR9" i="28"/>
  <c r="HF9" i="28" s="1"/>
  <c r="AR8" i="28"/>
  <c r="HF8" i="28" s="1"/>
  <c r="AT11" i="28"/>
  <c r="AX11" i="28"/>
  <c r="AT22" i="28"/>
  <c r="AT8" i="28"/>
  <c r="HH8" i="28" s="1"/>
  <c r="AT21" i="28"/>
  <c r="AT74" i="28"/>
  <c r="AT9" i="28"/>
  <c r="HH9" i="28" s="1"/>
  <c r="AT12" i="28"/>
  <c r="HH12" i="28" s="1"/>
  <c r="AT20" i="28"/>
  <c r="AT37" i="28"/>
  <c r="AT15" i="28"/>
  <c r="HH15" i="28" s="1"/>
  <c r="AT25" i="28"/>
  <c r="AT13" i="28"/>
  <c r="V4" i="42"/>
  <c r="AT76" i="28"/>
  <c r="AX13" i="28"/>
  <c r="AX12" i="28"/>
  <c r="HL12" i="28" s="1"/>
  <c r="AX37" i="28"/>
  <c r="AX8" i="28"/>
  <c r="HL8" i="28" s="1"/>
  <c r="AY74" i="28"/>
  <c r="AV74" i="28"/>
  <c r="AV78" i="28"/>
  <c r="BG78" i="28" s="1"/>
  <c r="AV19" i="28"/>
  <c r="AV22" i="28"/>
  <c r="AV20" i="28"/>
  <c r="AV21" i="28"/>
  <c r="AV25" i="28"/>
  <c r="AV15" i="28"/>
  <c r="HJ15" i="28" s="1"/>
  <c r="AZ74" i="28"/>
  <c r="AU74" i="28"/>
  <c r="AU61" i="28"/>
  <c r="BG61" i="28" s="1"/>
  <c r="AU19" i="28"/>
  <c r="AU21" i="28"/>
  <c r="AU25" i="28"/>
  <c r="AU20" i="28"/>
  <c r="AU22" i="28"/>
  <c r="AU15" i="28"/>
  <c r="AS74" i="28"/>
  <c r="AS22" i="28"/>
  <c r="AS15" i="28"/>
  <c r="HG15" i="28" s="1"/>
  <c r="AS25" i="28"/>
  <c r="AS20" i="28"/>
  <c r="AS19" i="28"/>
  <c r="AS21" i="28"/>
  <c r="Z4" i="42"/>
  <c r="AX74" i="28"/>
  <c r="AX20" i="28"/>
  <c r="AX15" i="28"/>
  <c r="HL15" i="28" s="1"/>
  <c r="AX19" i="28"/>
  <c r="AX21" i="28"/>
  <c r="AX25" i="28"/>
  <c r="AX22" i="28"/>
  <c r="AW74" i="28"/>
  <c r="AW22" i="28"/>
  <c r="AW20" i="28"/>
  <c r="AW19" i="28"/>
  <c r="AW21" i="28"/>
  <c r="AW25" i="28"/>
  <c r="AW15" i="28"/>
  <c r="HK15" i="28" s="1"/>
  <c r="BA74" i="28"/>
  <c r="CD15" i="43"/>
  <c r="CB18" i="43"/>
  <c r="CD12" i="43"/>
  <c r="AC7" i="43"/>
  <c r="CI45" i="28"/>
  <c r="BQ16" i="43"/>
  <c r="CG54" i="28"/>
  <c r="GG54" i="28" s="1"/>
  <c r="BQ5" i="43"/>
  <c r="CG43" i="28"/>
  <c r="BQ18" i="43"/>
  <c r="BQ4" i="43"/>
  <c r="CG42" i="28"/>
  <c r="BQ6" i="43"/>
  <c r="CG44" i="28"/>
  <c r="GG44" i="28" s="1"/>
  <c r="BQ14" i="43"/>
  <c r="CG52" i="28"/>
  <c r="GG52" i="28" s="1"/>
  <c r="CG51" i="28"/>
  <c r="GG51" i="28" s="1"/>
  <c r="BQ13" i="43"/>
  <c r="BQ10" i="43"/>
  <c r="CG48" i="28"/>
  <c r="BQ15" i="43"/>
  <c r="CH53" i="28" s="1"/>
  <c r="BR12" i="43"/>
  <c r="CH50" i="28"/>
  <c r="GH50" i="28" s="1"/>
  <c r="BR8" i="43"/>
  <c r="CH46" i="28"/>
  <c r="BQ9" i="43"/>
  <c r="CG47" i="28"/>
  <c r="GG47" i="28" s="1"/>
  <c r="BR11" i="43"/>
  <c r="CH49" i="28"/>
  <c r="AA4" i="42"/>
  <c r="AC4" i="42"/>
  <c r="AB4" i="42"/>
  <c r="X4" i="42"/>
  <c r="AV13" i="28"/>
  <c r="AV37" i="28"/>
  <c r="AV11" i="28"/>
  <c r="AV8" i="28"/>
  <c r="HJ8" i="28" s="1"/>
  <c r="AV12" i="28"/>
  <c r="HJ12" i="28" s="1"/>
  <c r="AV9" i="28"/>
  <c r="HJ9" i="28" s="1"/>
  <c r="W4" i="42"/>
  <c r="AU13" i="28"/>
  <c r="AU9" i="28"/>
  <c r="AU12" i="28"/>
  <c r="AU37" i="28"/>
  <c r="AU8" i="28"/>
  <c r="AU11" i="28"/>
  <c r="Y4" i="42"/>
  <c r="AW12" i="28"/>
  <c r="HK12" i="28" s="1"/>
  <c r="AW8" i="28"/>
  <c r="HK8" i="28" s="1"/>
  <c r="AW37" i="28"/>
  <c r="AW11" i="28"/>
  <c r="AW9" i="28"/>
  <c r="HK9" i="28" s="1"/>
  <c r="AW13" i="28"/>
  <c r="U4" i="42"/>
  <c r="AS37" i="28"/>
  <c r="AS11" i="28"/>
  <c r="AS12" i="28"/>
  <c r="HG12" i="28" s="1"/>
  <c r="AS8" i="28"/>
  <c r="HG8" i="28" s="1"/>
  <c r="AS13" i="28"/>
  <c r="AS9" i="28"/>
  <c r="HG9" i="28" s="1"/>
  <c r="GI45" i="28" l="1"/>
  <c r="EM49" i="28"/>
  <c r="GH46" i="28"/>
  <c r="GG43" i="28"/>
  <c r="D161" i="48" a="1"/>
  <c r="D161" i="48" s="1"/>
  <c r="GG42" i="28"/>
  <c r="GG56" i="28"/>
  <c r="EL56" i="28"/>
  <c r="GG48" i="28"/>
  <c r="EL48" i="28"/>
  <c r="BM83" i="28"/>
  <c r="BM82" i="28"/>
  <c r="H12" i="43"/>
  <c r="CQ50" i="28" s="1"/>
  <c r="BS12" i="43"/>
  <c r="CK57" i="28"/>
  <c r="GK57" i="28" s="1"/>
  <c r="BU19" i="43"/>
  <c r="BG11" i="28"/>
  <c r="BG20" i="28"/>
  <c r="BG13" i="28"/>
  <c r="HI8" i="28"/>
  <c r="BG8" i="28"/>
  <c r="BG22" i="28"/>
  <c r="BG25" i="28"/>
  <c r="HI12" i="28"/>
  <c r="BG12" i="28"/>
  <c r="BG21" i="28"/>
  <c r="BG19" i="28"/>
  <c r="HI9" i="28"/>
  <c r="BG9" i="28"/>
  <c r="BG37" i="28"/>
  <c r="BG74" i="28"/>
  <c r="HI15" i="28"/>
  <c r="BG15" i="28"/>
  <c r="GH53" i="28"/>
  <c r="GH49" i="28"/>
  <c r="F333" i="37"/>
  <c r="F319" i="37"/>
  <c r="F326" i="37"/>
  <c r="F347" i="37"/>
  <c r="F340" i="37"/>
  <c r="F312" i="37"/>
  <c r="CI49" i="28"/>
  <c r="BS11" i="43"/>
  <c r="CI46" i="28"/>
  <c r="BS8" i="43"/>
  <c r="BT7" i="43"/>
  <c r="CJ45" i="28"/>
  <c r="CG55" i="28"/>
  <c r="EL55" i="28" s="1"/>
  <c r="BP53" i="28"/>
  <c r="CC15" i="28"/>
  <c r="CD15" i="28"/>
  <c r="BZ15" i="28"/>
  <c r="CF15" i="28"/>
  <c r="CF20" i="28"/>
  <c r="BY25" i="28"/>
  <c r="CE20" i="28"/>
  <c r="CF22" i="28"/>
  <c r="CD22" i="28"/>
  <c r="CC20" i="28"/>
  <c r="CA15" i="28"/>
  <c r="CD20" i="28"/>
  <c r="CC61" i="28"/>
  <c r="BZ22" i="28"/>
  <c r="CA22" i="28"/>
  <c r="CB15" i="28"/>
  <c r="BZ20" i="28"/>
  <c r="CE22" i="28"/>
  <c r="CE15" i="28"/>
  <c r="CA20" i="28"/>
  <c r="CC22" i="28"/>
  <c r="CB20" i="28"/>
  <c r="CB22" i="28"/>
  <c r="BY37" i="28"/>
  <c r="CP45" i="28"/>
  <c r="BY45" i="28"/>
  <c r="AC11" i="43"/>
  <c r="AC8" i="43"/>
  <c r="BR17" i="43"/>
  <c r="CH55" i="28"/>
  <c r="BR16" i="43"/>
  <c r="BS16" i="43" s="1"/>
  <c r="CH54" i="28"/>
  <c r="BR15" i="43"/>
  <c r="BR10" i="43"/>
  <c r="BS10" i="43" s="1"/>
  <c r="CH48" i="28"/>
  <c r="BR9" i="43"/>
  <c r="CH47" i="28"/>
  <c r="GH47" i="28" s="1"/>
  <c r="CI50" i="28"/>
  <c r="GI50" i="28" s="1"/>
  <c r="AC12" i="43"/>
  <c r="H8" i="43"/>
  <c r="CQ46" i="28" s="1"/>
  <c r="BR6" i="43"/>
  <c r="CH44" i="28"/>
  <c r="GH44" i="28" s="1"/>
  <c r="BR18" i="43"/>
  <c r="CH56" i="28"/>
  <c r="BR13" i="43"/>
  <c r="CH51" i="28"/>
  <c r="GH51" i="28" s="1"/>
  <c r="BR14" i="43"/>
  <c r="CH52" i="28"/>
  <c r="GH52" i="28" s="1"/>
  <c r="BR4" i="43"/>
  <c r="CH42" i="28"/>
  <c r="BR5" i="43"/>
  <c r="CH43" i="28"/>
  <c r="H11" i="43"/>
  <c r="AQ8" i="28"/>
  <c r="GI46" i="28" l="1"/>
  <c r="GH43" i="28"/>
  <c r="CO15" i="28"/>
  <c r="CO20" i="28"/>
  <c r="CO22" i="28"/>
  <c r="F161" i="48" a="1"/>
  <c r="F161" i="48" s="1"/>
  <c r="CO61" i="28"/>
  <c r="GH42" i="28"/>
  <c r="GH55" i="28"/>
  <c r="EM55" i="28"/>
  <c r="GH56" i="28"/>
  <c r="EM56" i="28"/>
  <c r="GH48" i="28"/>
  <c r="EM48" i="28"/>
  <c r="GI49" i="28"/>
  <c r="EN49" i="28"/>
  <c r="BN82" i="28"/>
  <c r="BN83" i="28"/>
  <c r="BV19" i="43"/>
  <c r="CL57" i="28"/>
  <c r="GL57" i="28" s="1"/>
  <c r="CI43" i="28"/>
  <c r="BS5" i="43"/>
  <c r="CI44" i="28"/>
  <c r="GI44" i="28" s="1"/>
  <c r="BS6" i="43"/>
  <c r="CI52" i="28"/>
  <c r="GI52" i="28" s="1"/>
  <c r="BS14" i="43"/>
  <c r="CI51" i="28"/>
  <c r="GI51" i="28" s="1"/>
  <c r="BS13" i="43"/>
  <c r="BT12" i="43"/>
  <c r="CJ50" i="28"/>
  <c r="GJ50" i="28" s="1"/>
  <c r="BY49" i="28"/>
  <c r="GH54" i="28"/>
  <c r="GG55" i="28"/>
  <c r="H18" i="43"/>
  <c r="BS18" i="43"/>
  <c r="AC17" i="43"/>
  <c r="BS17" i="43"/>
  <c r="CJ54" i="28"/>
  <c r="GJ54" i="28" s="1"/>
  <c r="BT16" i="43"/>
  <c r="CI53" i="28"/>
  <c r="CT53" i="28" s="1"/>
  <c r="BS15" i="43"/>
  <c r="BT11" i="43"/>
  <c r="CJ49" i="28"/>
  <c r="EO49" i="28" s="1"/>
  <c r="CP49" i="28"/>
  <c r="BT10" i="43"/>
  <c r="CJ48" i="28"/>
  <c r="EO48" i="28" s="1"/>
  <c r="AC9" i="43"/>
  <c r="BS9" i="43"/>
  <c r="BY46" i="28"/>
  <c r="CI42" i="28"/>
  <c r="BS4" i="43"/>
  <c r="CP46" i="28"/>
  <c r="CJ46" i="28"/>
  <c r="BT8" i="43"/>
  <c r="GJ45" i="28"/>
  <c r="BU7" i="43"/>
  <c r="CK45" i="28"/>
  <c r="BQ53" i="28"/>
  <c r="AC18" i="43"/>
  <c r="CP20" i="28"/>
  <c r="CP15" i="28"/>
  <c r="BY15" i="28"/>
  <c r="BY61" i="28"/>
  <c r="CP61" i="28"/>
  <c r="BY20" i="28"/>
  <c r="BY22" i="28"/>
  <c r="CP22" i="28"/>
  <c r="H17" i="43"/>
  <c r="CI54" i="28"/>
  <c r="AC16" i="43"/>
  <c r="CP50" i="28"/>
  <c r="BY50" i="28"/>
  <c r="H16" i="43"/>
  <c r="CQ54" i="28" s="1"/>
  <c r="H15" i="43"/>
  <c r="CQ53" i="28" s="1"/>
  <c r="CR53" i="28" s="1"/>
  <c r="AC6" i="43"/>
  <c r="AC15" i="43"/>
  <c r="AC4" i="43"/>
  <c r="H5" i="43"/>
  <c r="CQ43" i="28" s="1"/>
  <c r="CI55" i="28"/>
  <c r="H6" i="43"/>
  <c r="CQ44" i="28" s="1"/>
  <c r="H14" i="43"/>
  <c r="CQ52" i="28" s="1"/>
  <c r="CI48" i="28"/>
  <c r="H10" i="43"/>
  <c r="AC10" i="43"/>
  <c r="CI56" i="28"/>
  <c r="CI47" i="28"/>
  <c r="GI47" i="28" s="1"/>
  <c r="H9" i="43"/>
  <c r="CQ47" i="28" s="1"/>
  <c r="AC13" i="43"/>
  <c r="H13" i="43"/>
  <c r="CQ51" i="28" s="1"/>
  <c r="AC14" i="43"/>
  <c r="H4" i="43"/>
  <c r="CQ42" i="28" s="1"/>
  <c r="AC5" i="43"/>
  <c r="E419" i="38"/>
  <c r="F419" i="38" s="1"/>
  <c r="G419" i="38" s="1"/>
  <c r="H419" i="38" s="1"/>
  <c r="I419" i="38" s="1"/>
  <c r="J419" i="38" s="1"/>
  <c r="K419" i="38" s="1"/>
  <c r="L419" i="38" s="1"/>
  <c r="M419" i="38" s="1"/>
  <c r="N419" i="38" s="1"/>
  <c r="N289" i="38" s="1"/>
  <c r="E418" i="38"/>
  <c r="F418" i="38" s="1"/>
  <c r="G418" i="38" s="1"/>
  <c r="H418" i="38" s="1"/>
  <c r="I418" i="38" s="1"/>
  <c r="J418" i="38" s="1"/>
  <c r="K418" i="38" s="1"/>
  <c r="L418" i="38" s="1"/>
  <c r="M418" i="38" s="1"/>
  <c r="N418" i="38" s="1"/>
  <c r="N290" i="38" s="1"/>
  <c r="E412" i="38"/>
  <c r="E413" i="38" s="1"/>
  <c r="E410" i="38"/>
  <c r="E411" i="38" s="1"/>
  <c r="D413" i="38"/>
  <c r="D411" i="38"/>
  <c r="D404" i="38"/>
  <c r="V23" i="32"/>
  <c r="V24" i="32" s="1"/>
  <c r="V27" i="32"/>
  <c r="GI43" i="28" l="1"/>
  <c r="GI42" i="28"/>
  <c r="GI56" i="28"/>
  <c r="EN56" i="28"/>
  <c r="GI48" i="28"/>
  <c r="EN48" i="28"/>
  <c r="GI55" i="28"/>
  <c r="EN55" i="28"/>
  <c r="BR53" i="28"/>
  <c r="BS53" i="28" s="1"/>
  <c r="BO83" i="28"/>
  <c r="BO82" i="28"/>
  <c r="CP43" i="28"/>
  <c r="D292" i="38"/>
  <c r="BY43" i="28"/>
  <c r="CP44" i="28"/>
  <c r="BY51" i="28"/>
  <c r="CP51" i="28"/>
  <c r="CP52" i="28"/>
  <c r="BY52" i="28"/>
  <c r="BT14" i="43"/>
  <c r="CJ52" i="28"/>
  <c r="CJ44" i="28"/>
  <c r="BT6" i="43"/>
  <c r="BU12" i="43"/>
  <c r="CK50" i="28"/>
  <c r="GK50" i="28" s="1"/>
  <c r="CJ43" i="28"/>
  <c r="BT5" i="43"/>
  <c r="BT13" i="43"/>
  <c r="CJ51" i="28"/>
  <c r="GJ51" i="28" s="1"/>
  <c r="BY44" i="28"/>
  <c r="BW19" i="43"/>
  <c r="CN57" i="28" s="1"/>
  <c r="GN57" i="28" s="1"/>
  <c r="CM57" i="28"/>
  <c r="E404" i="38"/>
  <c r="E331" i="38" s="1"/>
  <c r="D331" i="38"/>
  <c r="GJ46" i="28"/>
  <c r="GJ49" i="28"/>
  <c r="GJ48" i="28"/>
  <c r="BT18" i="43"/>
  <c r="CJ56" i="28"/>
  <c r="EO56" i="28" s="1"/>
  <c r="CJ55" i="28"/>
  <c r="EO55" i="28" s="1"/>
  <c r="BT17" i="43"/>
  <c r="CP53" i="28"/>
  <c r="GI53" i="28"/>
  <c r="BY53" i="28"/>
  <c r="CK54" i="28"/>
  <c r="GK54" i="28" s="1"/>
  <c r="BU16" i="43"/>
  <c r="BT15" i="43"/>
  <c r="CJ53" i="28"/>
  <c r="BU11" i="43"/>
  <c r="CK49" i="28"/>
  <c r="BY42" i="28"/>
  <c r="CP42" i="28"/>
  <c r="BU10" i="43"/>
  <c r="CK48" i="28"/>
  <c r="BT4" i="43"/>
  <c r="CJ42" i="28"/>
  <c r="CJ47" i="28"/>
  <c r="BT9" i="43"/>
  <c r="CK46" i="28"/>
  <c r="GK46" i="28" s="1"/>
  <c r="BU8" i="43"/>
  <c r="GK45" i="28"/>
  <c r="BY54" i="28"/>
  <c r="GI54" i="28"/>
  <c r="BV7" i="43"/>
  <c r="CL45" i="28"/>
  <c r="O418" i="38"/>
  <c r="O290" i="38" s="1"/>
  <c r="O419" i="38"/>
  <c r="O289" i="38" s="1"/>
  <c r="CP54" i="28"/>
  <c r="CP56" i="28"/>
  <c r="BY56" i="28"/>
  <c r="CP55" i="28"/>
  <c r="BY55" i="28"/>
  <c r="CP48" i="28"/>
  <c r="BY48" i="28"/>
  <c r="CP47" i="28"/>
  <c r="BY47" i="28"/>
  <c r="CR42" i="28"/>
  <c r="EI42" i="28" s="1"/>
  <c r="F412" i="38"/>
  <c r="F413" i="38" s="1"/>
  <c r="E414" i="38"/>
  <c r="E415" i="38" s="1"/>
  <c r="E408" i="38"/>
  <c r="E409" i="38" s="1"/>
  <c r="F410" i="38"/>
  <c r="V28" i="32"/>
  <c r="D296" i="38" s="1"/>
  <c r="GK48" i="28" l="1"/>
  <c r="EP48" i="28"/>
  <c r="GK49" i="28"/>
  <c r="EP49" i="28"/>
  <c r="BP82" i="28"/>
  <c r="BP83" i="28"/>
  <c r="E343" i="38"/>
  <c r="GM57" i="28"/>
  <c r="CO57" i="28"/>
  <c r="GJ43" i="28"/>
  <c r="BV12" i="43"/>
  <c r="CL50" i="28"/>
  <c r="CK44" i="28"/>
  <c r="GK44" i="28" s="1"/>
  <c r="BU6" i="43"/>
  <c r="GJ44" i="28"/>
  <c r="CK51" i="28"/>
  <c r="BU13" i="43"/>
  <c r="GJ52" i="28"/>
  <c r="CK43" i="28"/>
  <c r="GK43" i="28" s="1"/>
  <c r="BU5" i="43"/>
  <c r="CK52" i="28"/>
  <c r="GK52" i="28" s="1"/>
  <c r="BU14" i="43"/>
  <c r="D485" i="38"/>
  <c r="D339" i="38"/>
  <c r="D343" i="38"/>
  <c r="F404" i="38"/>
  <c r="E352" i="38"/>
  <c r="E372" i="38" s="1"/>
  <c r="GJ47" i="28"/>
  <c r="GJ42" i="28"/>
  <c r="GJ55" i="28"/>
  <c r="GJ56" i="28"/>
  <c r="GJ53" i="28"/>
  <c r="BU18" i="43"/>
  <c r="CK56" i="28"/>
  <c r="BU17" i="43"/>
  <c r="CK55" i="28"/>
  <c r="CL54" i="28"/>
  <c r="GL54" i="28" s="1"/>
  <c r="BV16" i="43"/>
  <c r="EO53" i="28"/>
  <c r="BU15" i="43"/>
  <c r="CK53" i="28"/>
  <c r="BV11" i="43"/>
  <c r="CL49" i="28"/>
  <c r="BV10" i="43"/>
  <c r="CL48" i="28"/>
  <c r="EQ48" i="28" s="1"/>
  <c r="CK47" i="28"/>
  <c r="GK47" i="28" s="1"/>
  <c r="BU9" i="43"/>
  <c r="BU4" i="43"/>
  <c r="CK42" i="28"/>
  <c r="CL46" i="28"/>
  <c r="GL46" i="28" s="1"/>
  <c r="BV8" i="43"/>
  <c r="EJ42" i="28"/>
  <c r="EO42" i="28"/>
  <c r="GL45" i="28"/>
  <c r="BW7" i="43"/>
  <c r="CN45" i="28" s="1"/>
  <c r="CM45" i="28"/>
  <c r="BT53" i="28"/>
  <c r="P419" i="38"/>
  <c r="P289" i="38" s="1"/>
  <c r="P418" i="38"/>
  <c r="P290" i="38" s="1"/>
  <c r="EN42" i="28"/>
  <c r="EM42" i="28"/>
  <c r="EL42" i="28"/>
  <c r="EK42" i="28"/>
  <c r="F414" i="38"/>
  <c r="G412" i="38"/>
  <c r="G413" i="38" s="1"/>
  <c r="F408" i="38"/>
  <c r="F409" i="38" s="1"/>
  <c r="G410" i="38"/>
  <c r="F411" i="38"/>
  <c r="GK42" i="28" l="1"/>
  <c r="GK56" i="28"/>
  <c r="EP56" i="28"/>
  <c r="GL49" i="28"/>
  <c r="EQ49" i="28"/>
  <c r="GK55" i="28"/>
  <c r="EP55" i="28"/>
  <c r="F415" i="38"/>
  <c r="F343" i="38" s="1"/>
  <c r="BQ83" i="28"/>
  <c r="BQ82" i="28"/>
  <c r="E296" i="38"/>
  <c r="E338" i="38"/>
  <c r="E292" i="38"/>
  <c r="E339" i="38"/>
  <c r="BV5" i="43"/>
  <c r="CL43" i="28"/>
  <c r="CL44" i="28"/>
  <c r="GL44" i="28" s="1"/>
  <c r="BV6" i="43"/>
  <c r="GL50" i="28"/>
  <c r="BW12" i="43"/>
  <c r="CN50" i="28" s="1"/>
  <c r="GN50" i="28" s="1"/>
  <c r="CM50" i="28"/>
  <c r="GM50" i="28" s="1"/>
  <c r="BV13" i="43"/>
  <c r="CL51" i="28"/>
  <c r="GL51" i="28" s="1"/>
  <c r="GK51" i="28"/>
  <c r="BV14" i="43"/>
  <c r="CL52" i="28"/>
  <c r="F296" i="38"/>
  <c r="G404" i="38"/>
  <c r="F331" i="38"/>
  <c r="F352" i="38" s="1"/>
  <c r="F372" i="38" s="1"/>
  <c r="CO45" i="28"/>
  <c r="GL48" i="28"/>
  <c r="BV18" i="43"/>
  <c r="CL56" i="28"/>
  <c r="CL55" i="28"/>
  <c r="BV17" i="43"/>
  <c r="BW16" i="43"/>
  <c r="CN54" i="28" s="1"/>
  <c r="GN54" i="28" s="1"/>
  <c r="CM54" i="28"/>
  <c r="GM54" i="28" s="1"/>
  <c r="GK53" i="28"/>
  <c r="EP53" i="28"/>
  <c r="BV15" i="43"/>
  <c r="CL53" i="28"/>
  <c r="EP42" i="28"/>
  <c r="BW11" i="43"/>
  <c r="CN49" i="28" s="1"/>
  <c r="CM49" i="28"/>
  <c r="BW10" i="43"/>
  <c r="CN48" i="28" s="1"/>
  <c r="CM48" i="28"/>
  <c r="BV9" i="43"/>
  <c r="CL47" i="28"/>
  <c r="GL47" i="28" s="1"/>
  <c r="BV4" i="43"/>
  <c r="CL42" i="28"/>
  <c r="BW8" i="43"/>
  <c r="CN46" i="28" s="1"/>
  <c r="GN46" i="28" s="1"/>
  <c r="CM46" i="28"/>
  <c r="GM46" i="28" s="1"/>
  <c r="GM45" i="28"/>
  <c r="GN45" i="28"/>
  <c r="BU53" i="28"/>
  <c r="Q419" i="38"/>
  <c r="Q289" i="38" s="1"/>
  <c r="Q418" i="38"/>
  <c r="Q290" i="38" s="1"/>
  <c r="H412" i="38"/>
  <c r="I412" i="38" s="1"/>
  <c r="G414" i="38"/>
  <c r="G408" i="38"/>
  <c r="G409" i="38" s="1"/>
  <c r="G411" i="38"/>
  <c r="H410" i="38"/>
  <c r="GN48" i="28" l="1"/>
  <c r="ES48" i="28"/>
  <c r="GN49" i="28"/>
  <c r="ES49" i="28"/>
  <c r="GL55" i="28"/>
  <c r="EQ55" i="28"/>
  <c r="GL56" i="28"/>
  <c r="EQ56" i="28"/>
  <c r="GM49" i="28"/>
  <c r="ER49" i="28"/>
  <c r="GM48" i="28"/>
  <c r="ER48" i="28"/>
  <c r="E364" i="38"/>
  <c r="H414" i="38"/>
  <c r="H415" i="38" s="1"/>
  <c r="H343" i="38" s="1"/>
  <c r="G415" i="38"/>
  <c r="G343" i="38" s="1"/>
  <c r="F364" i="38"/>
  <c r="BR82" i="28"/>
  <c r="BR83" i="28"/>
  <c r="F339" i="38"/>
  <c r="F292" i="38"/>
  <c r="GL52" i="28"/>
  <c r="CO50" i="28"/>
  <c r="BW14" i="43"/>
  <c r="CN52" i="28" s="1"/>
  <c r="GN52" i="28" s="1"/>
  <c r="CM52" i="28"/>
  <c r="GM52" i="28" s="1"/>
  <c r="CM44" i="28"/>
  <c r="BW6" i="43"/>
  <c r="CN44" i="28" s="1"/>
  <c r="GN44" i="28" s="1"/>
  <c r="GL43" i="28"/>
  <c r="BW13" i="43"/>
  <c r="CN51" i="28" s="1"/>
  <c r="GN51" i="28" s="1"/>
  <c r="CM51" i="28"/>
  <c r="BW5" i="43"/>
  <c r="CN43" i="28" s="1"/>
  <c r="GN43" i="28" s="1"/>
  <c r="CM43" i="28"/>
  <c r="GM43" i="28" s="1"/>
  <c r="E485" i="38"/>
  <c r="E360" i="38"/>
  <c r="H404" i="38"/>
  <c r="G331" i="38"/>
  <c r="G352" i="38" s="1"/>
  <c r="G372" i="38" s="1"/>
  <c r="CO48" i="28"/>
  <c r="CO49" i="28"/>
  <c r="CO46" i="28"/>
  <c r="CO54" i="28"/>
  <c r="BW18" i="43"/>
  <c r="CN56" i="28" s="1"/>
  <c r="CM56" i="28"/>
  <c r="BW17" i="43"/>
  <c r="CN55" i="28" s="1"/>
  <c r="CM55" i="28"/>
  <c r="ER55" i="28" s="1"/>
  <c r="GL53" i="28"/>
  <c r="EQ53" i="28"/>
  <c r="BW15" i="43"/>
  <c r="CN53" i="28" s="1"/>
  <c r="CM53" i="28"/>
  <c r="GL42" i="28"/>
  <c r="EQ42" i="28"/>
  <c r="BW4" i="43"/>
  <c r="CN42" i="28" s="1"/>
  <c r="CM42" i="28"/>
  <c r="BW9" i="43"/>
  <c r="CN47" i="28" s="1"/>
  <c r="GN47" i="28" s="1"/>
  <c r="CM47" i="28"/>
  <c r="GM47" i="28" s="1"/>
  <c r="BV53" i="28"/>
  <c r="R418" i="38"/>
  <c r="R290" i="38" s="1"/>
  <c r="R419" i="38"/>
  <c r="R289" i="38" s="1"/>
  <c r="H413" i="38"/>
  <c r="H408" i="38"/>
  <c r="H409" i="38" s="1"/>
  <c r="I413" i="38"/>
  <c r="J412" i="38"/>
  <c r="H411" i="38"/>
  <c r="I410" i="38"/>
  <c r="ET49" i="28" l="1"/>
  <c r="ET48" i="28"/>
  <c r="GN55" i="28"/>
  <c r="ES55" i="28"/>
  <c r="ET55" i="28" s="1"/>
  <c r="GM56" i="28"/>
  <c r="ER56" i="28"/>
  <c r="GN56" i="28"/>
  <c r="ES56" i="28"/>
  <c r="I414" i="38"/>
  <c r="I415" i="38" s="1"/>
  <c r="F360" i="38"/>
  <c r="BS83" i="28"/>
  <c r="BS82" i="28"/>
  <c r="G339" i="38"/>
  <c r="G292" i="38"/>
  <c r="F485" i="38"/>
  <c r="GM44" i="28"/>
  <c r="CO44" i="28"/>
  <c r="GM51" i="28"/>
  <c r="CO51" i="28"/>
  <c r="CO52" i="28"/>
  <c r="CO43" i="28"/>
  <c r="G296" i="38"/>
  <c r="H296" i="38"/>
  <c r="I404" i="38"/>
  <c r="H331" i="38"/>
  <c r="H352" i="38" s="1"/>
  <c r="H372" i="38" s="1"/>
  <c r="CO53" i="28"/>
  <c r="CO56" i="28"/>
  <c r="CO42" i="28"/>
  <c r="CO47" i="28"/>
  <c r="GM55" i="28"/>
  <c r="CO55" i="28"/>
  <c r="GM53" i="28"/>
  <c r="ER53" i="28"/>
  <c r="GN53" i="28"/>
  <c r="ES53" i="28"/>
  <c r="GM42" i="28"/>
  <c r="ER42" i="28"/>
  <c r="GN42" i="28"/>
  <c r="ES42" i="28"/>
  <c r="I408" i="38"/>
  <c r="I409" i="38" s="1"/>
  <c r="J414" i="38"/>
  <c r="J415" i="38" s="1"/>
  <c r="I343" i="38"/>
  <c r="K412" i="38"/>
  <c r="J413" i="38"/>
  <c r="I411" i="38"/>
  <c r="J410" i="38"/>
  <c r="ET56" i="28" l="1"/>
  <c r="G364" i="38"/>
  <c r="BT82" i="28"/>
  <c r="BT83" i="28"/>
  <c r="H339" i="38"/>
  <c r="H292" i="38"/>
  <c r="H364" i="38"/>
  <c r="ET42" i="28"/>
  <c r="G485" i="38"/>
  <c r="G360" i="38"/>
  <c r="I296" i="38"/>
  <c r="S291" i="38"/>
  <c r="J404" i="38"/>
  <c r="I331" i="38"/>
  <c r="I352" i="38" s="1"/>
  <c r="I372" i="38" s="1"/>
  <c r="J408" i="38"/>
  <c r="J409" i="38" s="1"/>
  <c r="K414" i="38"/>
  <c r="K415" i="38" s="1"/>
  <c r="J343" i="38"/>
  <c r="L412" i="38"/>
  <c r="K413" i="38"/>
  <c r="K410" i="38"/>
  <c r="J411" i="38"/>
  <c r="I364" i="38" l="1"/>
  <c r="BU82" i="28"/>
  <c r="BU83" i="28"/>
  <c r="I339" i="38"/>
  <c r="I292" i="38"/>
  <c r="S292" i="38"/>
  <c r="H360" i="38"/>
  <c r="H485" i="38"/>
  <c r="J296" i="38"/>
  <c r="K404" i="38"/>
  <c r="J331" i="38"/>
  <c r="J352" i="38" s="1"/>
  <c r="J372" i="38" s="1"/>
  <c r="K408" i="38"/>
  <c r="K409" i="38" s="1"/>
  <c r="L414" i="38"/>
  <c r="L415" i="38" s="1"/>
  <c r="K343" i="38"/>
  <c r="M412" i="38"/>
  <c r="L413" i="38"/>
  <c r="K411" i="38"/>
  <c r="L410" i="38"/>
  <c r="J364" i="38" l="1"/>
  <c r="BV82" i="28"/>
  <c r="BV83" i="28"/>
  <c r="J339" i="38"/>
  <c r="J292" i="38"/>
  <c r="I485" i="38"/>
  <c r="I360" i="38"/>
  <c r="K296" i="38"/>
  <c r="L404" i="38"/>
  <c r="K331" i="38"/>
  <c r="K352" i="38" s="1"/>
  <c r="K372" i="38" s="1"/>
  <c r="M413" i="38"/>
  <c r="N412" i="38"/>
  <c r="L408" i="38"/>
  <c r="L409" i="38" s="1"/>
  <c r="M414" i="38"/>
  <c r="M415" i="38" s="1"/>
  <c r="L343" i="38"/>
  <c r="L411" i="38"/>
  <c r="M410" i="38"/>
  <c r="K364" i="38" l="1"/>
  <c r="K339" i="38"/>
  <c r="K292" i="38"/>
  <c r="J485" i="38"/>
  <c r="J360" i="38"/>
  <c r="L296" i="38"/>
  <c r="M404" i="38"/>
  <c r="L331" i="38"/>
  <c r="L352" i="38" s="1"/>
  <c r="L372" i="38" s="1"/>
  <c r="M411" i="38"/>
  <c r="N410" i="38"/>
  <c r="M343" i="38"/>
  <c r="N414" i="38"/>
  <c r="N415" i="38" s="1"/>
  <c r="O412" i="38"/>
  <c r="N413" i="38"/>
  <c r="N487" i="38" s="1"/>
  <c r="M408" i="38"/>
  <c r="M409" i="38" s="1"/>
  <c r="L364" i="38" l="1"/>
  <c r="L339" i="38"/>
  <c r="L292" i="38"/>
  <c r="K485" i="38"/>
  <c r="K360" i="38"/>
  <c r="M296" i="38"/>
  <c r="N404" i="38"/>
  <c r="M331" i="38"/>
  <c r="M352" i="38" s="1"/>
  <c r="M372" i="38" s="1"/>
  <c r="N408" i="38"/>
  <c r="N409" i="38" s="1"/>
  <c r="O413" i="38"/>
  <c r="O487" i="38" s="1"/>
  <c r="P412" i="38"/>
  <c r="N343" i="38"/>
  <c r="O414" i="38"/>
  <c r="O415" i="38" s="1"/>
  <c r="O410" i="38"/>
  <c r="N411" i="38"/>
  <c r="N486" i="38" s="1"/>
  <c r="W623" i="37"/>
  <c r="W617" i="37"/>
  <c r="W611" i="37"/>
  <c r="W605" i="37"/>
  <c r="W599" i="37"/>
  <c r="W593" i="37"/>
  <c r="W587" i="37"/>
  <c r="W577" i="37"/>
  <c r="W571" i="37"/>
  <c r="W565" i="37"/>
  <c r="W559" i="37"/>
  <c r="W553" i="37"/>
  <c r="W547" i="37"/>
  <c r="W541" i="37"/>
  <c r="W531" i="37"/>
  <c r="W525" i="37"/>
  <c r="W519" i="37"/>
  <c r="W513" i="37"/>
  <c r="W507" i="37"/>
  <c r="W501" i="37"/>
  <c r="W495" i="37"/>
  <c r="W484" i="37"/>
  <c r="W478" i="37"/>
  <c r="W472" i="37"/>
  <c r="W466" i="37"/>
  <c r="W460" i="37"/>
  <c r="W454" i="37"/>
  <c r="W448" i="37"/>
  <c r="W438" i="37"/>
  <c r="W432" i="37"/>
  <c r="W426" i="37"/>
  <c r="W420" i="37"/>
  <c r="W414" i="37"/>
  <c r="W408" i="37"/>
  <c r="W402" i="37"/>
  <c r="W392" i="37"/>
  <c r="W386" i="37"/>
  <c r="W380" i="37"/>
  <c r="W374" i="37"/>
  <c r="W368" i="37"/>
  <c r="W362" i="37"/>
  <c r="W356" i="37"/>
  <c r="S73" i="34"/>
  <c r="S74" i="34"/>
  <c r="T74" i="34" s="1"/>
  <c r="U74" i="34" s="1"/>
  <c r="V74" i="34" s="1"/>
  <c r="W74" i="34" s="1"/>
  <c r="X74" i="34" s="1"/>
  <c r="Y74" i="34" s="1"/>
  <c r="AE11" i="34" s="1" a="1"/>
  <c r="S75" i="34"/>
  <c r="T75" i="34" s="1"/>
  <c r="U75" i="34" s="1"/>
  <c r="V75" i="34" s="1"/>
  <c r="W75" i="34" s="1"/>
  <c r="X75" i="34" s="1"/>
  <c r="Y75" i="34" s="1"/>
  <c r="S76" i="34"/>
  <c r="T76" i="34" s="1"/>
  <c r="U76" i="34" s="1"/>
  <c r="V76" i="34" s="1"/>
  <c r="W76" i="34" s="1"/>
  <c r="X76" i="34" s="1"/>
  <c r="Y76" i="34" s="1"/>
  <c r="S77" i="34"/>
  <c r="T77" i="34" s="1"/>
  <c r="U77" i="34" s="1"/>
  <c r="V77" i="34" s="1"/>
  <c r="W77" i="34" s="1"/>
  <c r="X77" i="34" s="1"/>
  <c r="Y77" i="34" s="1"/>
  <c r="S78" i="34"/>
  <c r="S79" i="34"/>
  <c r="T79" i="34" s="1"/>
  <c r="U79" i="34" s="1"/>
  <c r="V79" i="34" s="1"/>
  <c r="W79" i="34" s="1"/>
  <c r="X79" i="34" s="1"/>
  <c r="Y79" i="34" s="1"/>
  <c r="S80" i="34"/>
  <c r="T80" i="34" s="1"/>
  <c r="U80" i="34" s="1"/>
  <c r="V80" i="34" s="1"/>
  <c r="W80" i="34" s="1"/>
  <c r="X80" i="34" s="1"/>
  <c r="Y80" i="34" s="1"/>
  <c r="S81" i="34"/>
  <c r="S82" i="34"/>
  <c r="T82" i="34" s="1"/>
  <c r="U82" i="34" s="1"/>
  <c r="V82" i="34" s="1"/>
  <c r="W82" i="34" s="1"/>
  <c r="X82" i="34" s="1"/>
  <c r="Y82" i="34" s="1"/>
  <c r="S83" i="34"/>
  <c r="T83" i="34" s="1"/>
  <c r="U83" i="34" s="1"/>
  <c r="V83" i="34" s="1"/>
  <c r="W83" i="34" s="1"/>
  <c r="X83" i="34" s="1"/>
  <c r="Y83" i="34" s="1"/>
  <c r="S84" i="34"/>
  <c r="T84" i="34" s="1"/>
  <c r="U84" i="34" s="1"/>
  <c r="V84" i="34" s="1"/>
  <c r="W84" i="34" s="1"/>
  <c r="X84" i="34" s="1"/>
  <c r="Y84" i="34" s="1"/>
  <c r="S85" i="34"/>
  <c r="T85" i="34" s="1"/>
  <c r="U85" i="34" s="1"/>
  <c r="V85" i="34" s="1"/>
  <c r="W85" i="34" s="1"/>
  <c r="X85" i="34" s="1"/>
  <c r="Y85" i="34" s="1"/>
  <c r="S86" i="34"/>
  <c r="T86" i="34" s="1"/>
  <c r="U86" i="34" s="1"/>
  <c r="V86" i="34" s="1"/>
  <c r="W86" i="34" s="1"/>
  <c r="X86" i="34" s="1"/>
  <c r="Y86" i="34" s="1"/>
  <c r="S87" i="34"/>
  <c r="T87" i="34" s="1"/>
  <c r="U87" i="34" s="1"/>
  <c r="V87" i="34" s="1"/>
  <c r="W87" i="34" s="1"/>
  <c r="X87" i="34" s="1"/>
  <c r="Y87" i="34" s="1"/>
  <c r="S88" i="34"/>
  <c r="T88" i="34" s="1"/>
  <c r="U88" i="34" s="1"/>
  <c r="V88" i="34" s="1"/>
  <c r="W88" i="34" s="1"/>
  <c r="X88" i="34" s="1"/>
  <c r="Y88" i="34" s="1"/>
  <c r="S89" i="34"/>
  <c r="S90" i="34"/>
  <c r="T90" i="34" s="1"/>
  <c r="U90" i="34" s="1"/>
  <c r="V90" i="34" s="1"/>
  <c r="W90" i="34" s="1"/>
  <c r="X90" i="34" s="1"/>
  <c r="Y90" i="34" s="1"/>
  <c r="S91" i="34"/>
  <c r="T91" i="34" s="1"/>
  <c r="U91" i="34" s="1"/>
  <c r="V91" i="34" s="1"/>
  <c r="W91" i="34" s="1"/>
  <c r="X91" i="34" s="1"/>
  <c r="Y91" i="34" s="1"/>
  <c r="S92" i="34"/>
  <c r="T92" i="34" s="1"/>
  <c r="U92" i="34" s="1"/>
  <c r="V92" i="34" s="1"/>
  <c r="W92" i="34" s="1"/>
  <c r="X92" i="34" s="1"/>
  <c r="Y92" i="34" s="1"/>
  <c r="S93" i="34"/>
  <c r="T93" i="34" s="1"/>
  <c r="U93" i="34" s="1"/>
  <c r="V93" i="34" s="1"/>
  <c r="W93" i="34" s="1"/>
  <c r="X93" i="34" s="1"/>
  <c r="Y93" i="34" s="1"/>
  <c r="S94" i="34"/>
  <c r="S95" i="34"/>
  <c r="T95" i="34" s="1"/>
  <c r="U95" i="34" s="1"/>
  <c r="V95" i="34" s="1"/>
  <c r="W95" i="34" s="1"/>
  <c r="X95" i="34" s="1"/>
  <c r="Y95" i="34" s="1"/>
  <c r="S96" i="34"/>
  <c r="T96" i="34" s="1"/>
  <c r="U96" i="34" s="1"/>
  <c r="V96" i="34" s="1"/>
  <c r="W96" i="34" s="1"/>
  <c r="X96" i="34" s="1"/>
  <c r="Y96" i="34" s="1"/>
  <c r="S97" i="34"/>
  <c r="S98" i="34"/>
  <c r="T98" i="34" s="1"/>
  <c r="U98" i="34" s="1"/>
  <c r="V98" i="34" s="1"/>
  <c r="W98" i="34" s="1"/>
  <c r="X98" i="34" s="1"/>
  <c r="Y98" i="34" s="1"/>
  <c r="S99" i="34"/>
  <c r="T99" i="34" s="1"/>
  <c r="U99" i="34" s="1"/>
  <c r="V99" i="34" s="1"/>
  <c r="W99" i="34" s="1"/>
  <c r="X99" i="34" s="1"/>
  <c r="Y99" i="34" s="1"/>
  <c r="S100" i="34"/>
  <c r="T100" i="34" s="1"/>
  <c r="U100" i="34" s="1"/>
  <c r="V100" i="34" s="1"/>
  <c r="W100" i="34" s="1"/>
  <c r="X100" i="34" s="1"/>
  <c r="Y100" i="34" s="1"/>
  <c r="S101" i="34"/>
  <c r="T101" i="34" s="1"/>
  <c r="U101" i="34" s="1"/>
  <c r="V101" i="34" s="1"/>
  <c r="W101" i="34" s="1"/>
  <c r="X101" i="34" s="1"/>
  <c r="Y101" i="34" s="1"/>
  <c r="S102" i="34"/>
  <c r="T102" i="34" s="1"/>
  <c r="U102" i="34" s="1"/>
  <c r="V102" i="34" s="1"/>
  <c r="W102" i="34" s="1"/>
  <c r="X102" i="34" s="1"/>
  <c r="Y102" i="34" s="1"/>
  <c r="S103" i="34"/>
  <c r="T103" i="34" s="1"/>
  <c r="U103" i="34" s="1"/>
  <c r="V103" i="34" s="1"/>
  <c r="W103" i="34" s="1"/>
  <c r="X103" i="34" s="1"/>
  <c r="Y103" i="34" s="1"/>
  <c r="S104" i="34"/>
  <c r="T104" i="34" s="1"/>
  <c r="U104" i="34" s="1"/>
  <c r="V104" i="34" s="1"/>
  <c r="W104" i="34" s="1"/>
  <c r="X104" i="34" s="1"/>
  <c r="Y104" i="34" s="1"/>
  <c r="T78" i="34"/>
  <c r="U78" i="34"/>
  <c r="V78" i="34" s="1"/>
  <c r="W78" i="34" s="1"/>
  <c r="X78" i="34" s="1"/>
  <c r="Y78" i="34" s="1"/>
  <c r="T81" i="34"/>
  <c r="U81" i="34"/>
  <c r="V81" i="34" s="1"/>
  <c r="W81" i="34" s="1"/>
  <c r="X81" i="34" s="1"/>
  <c r="Y81" i="34" s="1"/>
  <c r="T89" i="34"/>
  <c r="U89" i="34"/>
  <c r="V89" i="34" s="1"/>
  <c r="W89" i="34" s="1"/>
  <c r="X89" i="34" s="1"/>
  <c r="Y89" i="34" s="1"/>
  <c r="T94" i="34"/>
  <c r="U94" i="34"/>
  <c r="V94" i="34" s="1"/>
  <c r="W94" i="34" s="1"/>
  <c r="X94" i="34" s="1"/>
  <c r="Y94" i="34" s="1"/>
  <c r="T97" i="34"/>
  <c r="U97" i="34"/>
  <c r="V97" i="34" s="1"/>
  <c r="W97" i="34" s="1"/>
  <c r="X97" i="34" s="1"/>
  <c r="Y97" i="34" s="1"/>
  <c r="T73" i="34"/>
  <c r="U73" i="34" s="1"/>
  <c r="V73" i="34" s="1"/>
  <c r="W73" i="34" s="1"/>
  <c r="X73" i="34" s="1"/>
  <c r="Y73" i="34" s="1"/>
  <c r="BH9" i="28"/>
  <c r="BH11" i="28"/>
  <c r="BH19" i="28"/>
  <c r="BH20" i="28"/>
  <c r="BH21" i="28"/>
  <c r="BH22" i="28"/>
  <c r="BH25" i="28"/>
  <c r="BH37" i="28"/>
  <c r="BH8" i="28"/>
  <c r="BH50" i="28"/>
  <c r="BH51" i="28"/>
  <c r="BH52" i="28"/>
  <c r="BH54" i="28"/>
  <c r="BH55" i="28"/>
  <c r="BH56" i="28"/>
  <c r="BH57" i="28"/>
  <c r="BH58" i="28"/>
  <c r="BH59" i="28"/>
  <c r="BH60" i="28"/>
  <c r="BH62" i="28"/>
  <c r="BH63" i="28"/>
  <c r="BH64" i="28"/>
  <c r="BH65" i="28"/>
  <c r="BH66" i="28"/>
  <c r="BH67" i="28"/>
  <c r="BH68" i="28"/>
  <c r="BH69" i="28"/>
  <c r="BH70" i="28"/>
  <c r="BH71" i="28"/>
  <c r="BH72" i="28"/>
  <c r="BH73" i="28"/>
  <c r="BH74" i="28"/>
  <c r="BH75" i="28"/>
  <c r="BH76" i="28"/>
  <c r="BH78" i="28"/>
  <c r="BH79" i="28"/>
  <c r="BH80" i="28"/>
  <c r="BH81" i="28"/>
  <c r="BH84" i="28"/>
  <c r="BH85" i="28"/>
  <c r="BH86" i="28"/>
  <c r="A29" i="33"/>
  <c r="A30" i="33"/>
  <c r="A31" i="33"/>
  <c r="A32" i="33"/>
  <c r="A33" i="33"/>
  <c r="A34" i="33"/>
  <c r="A35" i="33"/>
  <c r="A36" i="33"/>
  <c r="A37" i="33"/>
  <c r="A38" i="33"/>
  <c r="A39" i="33"/>
  <c r="A40" i="33"/>
  <c r="A28" i="33"/>
  <c r="AE10" i="28"/>
  <c r="AF10" i="28" s="1"/>
  <c r="AE47" i="28"/>
  <c r="AF47" i="28" s="1"/>
  <c r="I652" i="38"/>
  <c r="I653" i="38"/>
  <c r="I654" i="38"/>
  <c r="I655" i="38"/>
  <c r="I656" i="38"/>
  <c r="I657" i="38"/>
  <c r="I658" i="38"/>
  <c r="I659" i="38"/>
  <c r="I660" i="38"/>
  <c r="I661" i="38"/>
  <c r="I662" i="38"/>
  <c r="I663" i="38"/>
  <c r="I664" i="38"/>
  <c r="I665" i="38"/>
  <c r="I666" i="38"/>
  <c r="I651" i="38"/>
  <c r="C698" i="38" a="1"/>
  <c r="C698" i="38" s="1"/>
  <c r="M364" i="38" l="1"/>
  <c r="D698" i="38" a="1"/>
  <c r="D698" i="38" s="1"/>
  <c r="Y69" i="28" s="1" a="1"/>
  <c r="Y69" i="28" s="1"/>
  <c r="Y52" i="28" a="1"/>
  <c r="Y52" i="28" s="1"/>
  <c r="M339" i="38"/>
  <c r="M292" i="38"/>
  <c r="L485" i="38"/>
  <c r="L360" i="38"/>
  <c r="N296" i="38"/>
  <c r="N331" i="38"/>
  <c r="N352" i="38" s="1"/>
  <c r="N372" i="38" s="1"/>
  <c r="N476" i="38"/>
  <c r="O404" i="38"/>
  <c r="P413" i="38"/>
  <c r="P487" i="38" s="1"/>
  <c r="Q412" i="38"/>
  <c r="P410" i="38"/>
  <c r="O411" i="38"/>
  <c r="O486" i="38" s="1"/>
  <c r="O408" i="38"/>
  <c r="O409" i="38" s="1"/>
  <c r="O343" i="38"/>
  <c r="P414" i="38"/>
  <c r="P415" i="38" s="1"/>
  <c r="E667" i="38"/>
  <c r="AD43" i="28" s="1"/>
  <c r="HW10" i="28"/>
  <c r="HW11" i="28"/>
  <c r="HW8" i="28"/>
  <c r="HW9" i="28"/>
  <c r="HW43" i="28"/>
  <c r="HW47" i="28"/>
  <c r="HW44" i="28"/>
  <c r="HW42" i="28"/>
  <c r="HW46" i="28"/>
  <c r="HW45" i="28"/>
  <c r="HW48" i="28"/>
  <c r="HW49" i="28"/>
  <c r="AC36" i="33"/>
  <c r="AC35" i="33"/>
  <c r="AC34" i="33"/>
  <c r="AC28" i="33"/>
  <c r="AC33" i="33"/>
  <c r="AC32" i="33"/>
  <c r="AC39" i="33"/>
  <c r="AC31" i="33"/>
  <c r="AC38" i="33"/>
  <c r="AC30" i="33"/>
  <c r="AC40" i="33"/>
  <c r="AC37" i="33"/>
  <c r="J29" i="33"/>
  <c r="AC29" i="33"/>
  <c r="F667" i="38"/>
  <c r="G667" i="38"/>
  <c r="F698" i="38" a="1"/>
  <c r="F698" i="38" s="1"/>
  <c r="Y60" i="28" s="1" a="1"/>
  <c r="Y60" i="28" s="1"/>
  <c r="E698" i="38" a="1"/>
  <c r="E698" i="38" s="1"/>
  <c r="Y27" i="28" s="1" a="1"/>
  <c r="Y27" i="28" s="1"/>
  <c r="Y68" i="28" a="1"/>
  <c r="Y68" i="28" s="1"/>
  <c r="Y22" i="28" a="1"/>
  <c r="Y22" i="28" s="1"/>
  <c r="Y67" i="28" a="1"/>
  <c r="Y67" i="28" s="1"/>
  <c r="AE11" i="34"/>
  <c r="U11" i="34" s="1"/>
  <c r="U12" i="34"/>
  <c r="U20" i="34"/>
  <c r="U21" i="34"/>
  <c r="U16" i="34"/>
  <c r="U17" i="34"/>
  <c r="U13" i="34"/>
  <c r="U14" i="34"/>
  <c r="U15" i="34"/>
  <c r="U18" i="34"/>
  <c r="U19" i="34"/>
  <c r="I29" i="33"/>
  <c r="H29" i="33"/>
  <c r="G29" i="33"/>
  <c r="E29" i="33"/>
  <c r="F29" i="33"/>
  <c r="M29" i="33"/>
  <c r="K29" i="33"/>
  <c r="AQ16" i="37" a="1"/>
  <c r="AQ16" i="37" s="1"/>
  <c r="C668" i="38" a="1"/>
  <c r="C668" i="38" s="1"/>
  <c r="Y79" i="28" l="1" a="1"/>
  <c r="Y79" i="28" s="1"/>
  <c r="Y64" i="28" a="1"/>
  <c r="Y64" i="28" s="1"/>
  <c r="Y77" i="28" a="1"/>
  <c r="Y77" i="28" s="1"/>
  <c r="Y23" i="28" a="1"/>
  <c r="Y23" i="28" s="1"/>
  <c r="Y24" i="28" a="1"/>
  <c r="Y24" i="28" s="1"/>
  <c r="Y74" i="28" a="1"/>
  <c r="Y74" i="28" s="1"/>
  <c r="Y21" i="28" a="1"/>
  <c r="Y21" i="28" s="1"/>
  <c r="Y70" i="28" a="1"/>
  <c r="Y70" i="28" s="1"/>
  <c r="Y66" i="28" a="1"/>
  <c r="Y66" i="28" s="1"/>
  <c r="Y25" i="28" a="1"/>
  <c r="Y25" i="28" s="1"/>
  <c r="Y71" i="28" a="1"/>
  <c r="Y71" i="28" s="1"/>
  <c r="N339" i="38"/>
  <c r="N292" i="38"/>
  <c r="N488" i="38"/>
  <c r="N364" i="38"/>
  <c r="M485" i="38"/>
  <c r="M360" i="38"/>
  <c r="O296" i="38"/>
  <c r="O331" i="38"/>
  <c r="O352" i="38" s="1"/>
  <c r="O372" i="38" s="1"/>
  <c r="P404" i="38"/>
  <c r="O476" i="38"/>
  <c r="P408" i="38"/>
  <c r="P409" i="38" s="1"/>
  <c r="P411" i="38"/>
  <c r="P486" i="38" s="1"/>
  <c r="Q410" i="38"/>
  <c r="Q413" i="38"/>
  <c r="Q487" i="38" s="1"/>
  <c r="R412" i="38"/>
  <c r="R413" i="38" s="1"/>
  <c r="R487" i="38" s="1"/>
  <c r="Q414" i="38"/>
  <c r="Q415" i="38" s="1"/>
  <c r="P343" i="38"/>
  <c r="AD44" i="28"/>
  <c r="AD49" i="28"/>
  <c r="AD11" i="28"/>
  <c r="AD48" i="28"/>
  <c r="AD42" i="28"/>
  <c r="AC41" i="33"/>
  <c r="AQ22" i="37" a="1"/>
  <c r="AQ22" i="37" s="1"/>
  <c r="AQ28" i="37" s="1" a="1"/>
  <c r="AQ28" i="37" s="1"/>
  <c r="AQ34" i="37" s="1" a="1"/>
  <c r="AQ34" i="37" s="1"/>
  <c r="AQ40" i="37" s="1" a="1"/>
  <c r="AQ40" i="37" s="1"/>
  <c r="AQ46" i="37" s="1" a="1"/>
  <c r="AQ46" i="37" s="1"/>
  <c r="AQ52" i="37" s="1" a="1"/>
  <c r="AQ52" i="37" s="1"/>
  <c r="AQ127" i="37" a="1"/>
  <c r="AQ127" i="37" s="1"/>
  <c r="AQ133" i="37" s="1" a="1"/>
  <c r="AQ133" i="37" s="1"/>
  <c r="AQ139" i="37" s="1" a="1"/>
  <c r="AQ139" i="37" s="1"/>
  <c r="AQ145" i="37" s="1" a="1"/>
  <c r="AQ145" i="37" s="1"/>
  <c r="AQ151" i="37" s="1" a="1"/>
  <c r="AQ151" i="37" s="1"/>
  <c r="AQ157" i="37" s="1" a="1"/>
  <c r="AQ157" i="37" s="1"/>
  <c r="AQ163" i="37" s="1" a="1"/>
  <c r="AQ163" i="37" s="1"/>
  <c r="AF42" i="28"/>
  <c r="AE43" i="28"/>
  <c r="Y16" i="28" a="1"/>
  <c r="Y16" i="28" s="1"/>
  <c r="Y15" i="28" a="1"/>
  <c r="Y15" i="28" s="1"/>
  <c r="Y12" i="28" a="1"/>
  <c r="Y12" i="28" s="1"/>
  <c r="Y18" i="28" a="1"/>
  <c r="Y18" i="28" s="1"/>
  <c r="Y17" i="28" a="1"/>
  <c r="Y17" i="28" s="1"/>
  <c r="Y13" i="28" a="1"/>
  <c r="Y13" i="28" s="1"/>
  <c r="AE42" i="28"/>
  <c r="Y20" i="28" a="1"/>
  <c r="Y20" i="28" s="1"/>
  <c r="AE11" i="28"/>
  <c r="AE44" i="28"/>
  <c r="AE49" i="28"/>
  <c r="Y19" i="28" a="1"/>
  <c r="Y19" i="28" s="1"/>
  <c r="Y26" i="28" a="1"/>
  <c r="Y26" i="28" s="1"/>
  <c r="AE48" i="28"/>
  <c r="AF49" i="28"/>
  <c r="AF44" i="28"/>
  <c r="AF11" i="28"/>
  <c r="AF48" i="28"/>
  <c r="AF43" i="28"/>
  <c r="Y85" i="28" a="1"/>
  <c r="Y85" i="28" s="1"/>
  <c r="Y59" i="28" a="1"/>
  <c r="Y59" i="28" s="1"/>
  <c r="Y58" i="28" a="1"/>
  <c r="Y58" i="28" s="1"/>
  <c r="Y63" i="28" a="1"/>
  <c r="Y63" i="28" s="1"/>
  <c r="Y62" i="28" a="1"/>
  <c r="Y62" i="28" s="1"/>
  <c r="Y84" i="28" a="1"/>
  <c r="Y84" i="28" s="1"/>
  <c r="Y61" i="28" a="1"/>
  <c r="Y61" i="28" s="1"/>
  <c r="W357" i="37" a="1"/>
  <c r="W357" i="37" s="1"/>
  <c r="G668" i="38" a="1"/>
  <c r="G668" i="38" s="1"/>
  <c r="H668" i="38" a="1"/>
  <c r="H668" i="38" s="1"/>
  <c r="I668" i="38" a="1"/>
  <c r="I668" i="38" s="1"/>
  <c r="D668" i="38" a="1"/>
  <c r="D668" i="38" s="1"/>
  <c r="F668" i="38" a="1"/>
  <c r="F668" i="38" s="1"/>
  <c r="E668" i="38" a="1"/>
  <c r="E668" i="38" s="1"/>
  <c r="O339" i="38" l="1"/>
  <c r="O292" i="38"/>
  <c r="N485" i="38"/>
  <c r="N360" i="38"/>
  <c r="O488" i="38"/>
  <c r="O364" i="38"/>
  <c r="P296" i="38"/>
  <c r="P488" i="38"/>
  <c r="P331" i="38"/>
  <c r="P352" i="38" s="1"/>
  <c r="P372" i="38" s="1"/>
  <c r="Q404" i="38"/>
  <c r="P476" i="38"/>
  <c r="Q411" i="38"/>
  <c r="Q486" i="38" s="1"/>
  <c r="R410" i="38"/>
  <c r="R411" i="38" s="1"/>
  <c r="R486" i="38" s="1"/>
  <c r="Q408" i="38"/>
  <c r="Q409" i="38" s="1"/>
  <c r="R414" i="38"/>
  <c r="Q343" i="38"/>
  <c r="W624" i="37" a="1"/>
  <c r="W624" i="37" s="1"/>
  <c r="W532" i="37" a="1"/>
  <c r="W532" i="37" s="1"/>
  <c r="W600" i="37" a="1"/>
  <c r="W600" i="37" s="1"/>
  <c r="W572" i="37" a="1"/>
  <c r="W572" i="37" s="1"/>
  <c r="W554" i="37" a="1"/>
  <c r="W554" i="37" s="1"/>
  <c r="W508" i="37" a="1"/>
  <c r="W508" i="37" s="1"/>
  <c r="W618" i="37" a="1"/>
  <c r="W618" i="37" s="1"/>
  <c r="W526" i="37" a="1"/>
  <c r="W526" i="37" s="1"/>
  <c r="W479" i="37" a="1"/>
  <c r="W479" i="37" s="1"/>
  <c r="W461" i="37" a="1"/>
  <c r="W461" i="37" s="1"/>
  <c r="W594" i="37" a="1"/>
  <c r="W594" i="37" s="1"/>
  <c r="W548" i="37" a="1"/>
  <c r="W548" i="37" s="1"/>
  <c r="W502" i="37" a="1"/>
  <c r="W502" i="37" s="1"/>
  <c r="W449" i="37" a="1"/>
  <c r="W449" i="37" s="1"/>
  <c r="W612" i="37" a="1"/>
  <c r="W612" i="37" s="1"/>
  <c r="W566" i="37" a="1"/>
  <c r="W566" i="37" s="1"/>
  <c r="W520" i="37" a="1"/>
  <c r="W520" i="37" s="1"/>
  <c r="W485" i="37" a="1"/>
  <c r="W485" i="37" s="1"/>
  <c r="W588" i="37" a="1"/>
  <c r="W588" i="37" s="1"/>
  <c r="W542" i="37" a="1"/>
  <c r="W542" i="37" s="1"/>
  <c r="W455" i="37" a="1"/>
  <c r="W455" i="37" s="1"/>
  <c r="W467" i="37" a="1"/>
  <c r="W467" i="37" s="1"/>
  <c r="W578" i="37" a="1"/>
  <c r="W578" i="37" s="1"/>
  <c r="W496" i="37" a="1"/>
  <c r="W496" i="37" s="1"/>
  <c r="W439" i="37" a="1"/>
  <c r="W439" i="37" s="1"/>
  <c r="W427" i="37" a="1"/>
  <c r="W427" i="37" s="1"/>
  <c r="W606" i="37" a="1"/>
  <c r="W606" i="37" s="1"/>
  <c r="W415" i="37" a="1"/>
  <c r="W415" i="37" s="1"/>
  <c r="W560" i="37" a="1"/>
  <c r="W560" i="37" s="1"/>
  <c r="W421" i="37" a="1"/>
  <c r="W421" i="37" s="1"/>
  <c r="W409" i="37" a="1"/>
  <c r="W409" i="37" s="1"/>
  <c r="W403" i="37" a="1"/>
  <c r="W403" i="37" s="1"/>
  <c r="W433" i="37" a="1"/>
  <c r="W433" i="37" s="1"/>
  <c r="W514" i="37" a="1"/>
  <c r="W514" i="37" s="1"/>
  <c r="W387" i="37" a="1"/>
  <c r="W387" i="37" s="1"/>
  <c r="W473" i="37" a="1"/>
  <c r="W473" i="37" s="1"/>
  <c r="W369" i="37" a="1"/>
  <c r="W369" i="37" s="1"/>
  <c r="W363" i="37" a="1"/>
  <c r="W363" i="37" s="1"/>
  <c r="W375" i="37" a="1"/>
  <c r="W375" i="37" s="1"/>
  <c r="W393" i="37" a="1"/>
  <c r="W393" i="37" s="1"/>
  <c r="W381" i="37" a="1"/>
  <c r="W381" i="37" s="1"/>
  <c r="Y44" i="28" a="1"/>
  <c r="Y44" i="28" s="1"/>
  <c r="Y11" i="28" a="1"/>
  <c r="Y11" i="28" s="1"/>
  <c r="Y49" i="28" a="1"/>
  <c r="Y49" i="28" s="1"/>
  <c r="Y46" i="28" a="1"/>
  <c r="Y46" i="28" s="1"/>
  <c r="Y47" i="28" a="1"/>
  <c r="Y47" i="28" s="1"/>
  <c r="Y48" i="28" a="1"/>
  <c r="Y48" i="28" s="1"/>
  <c r="Y8" i="28" a="1"/>
  <c r="Y10" i="28" a="1"/>
  <c r="Y10" i="28" s="1"/>
  <c r="Y43" i="28" a="1"/>
  <c r="Y43" i="28" s="1"/>
  <c r="Y9" i="28" a="1"/>
  <c r="Y9" i="28" s="1"/>
  <c r="Y45" i="28" a="1"/>
  <c r="Y45" i="28" s="1"/>
  <c r="Y42" i="28" a="1"/>
  <c r="Y42" i="28" s="1"/>
  <c r="Y54" i="28" a="1"/>
  <c r="Y54" i="28" s="1"/>
  <c r="Y56" i="28" a="1"/>
  <c r="Y56" i="28" s="1"/>
  <c r="Y55" i="28" a="1"/>
  <c r="Y55" i="28" s="1"/>
  <c r="Y50" i="28" a="1"/>
  <c r="Y50" i="28" s="1"/>
  <c r="Y14" i="28" a="1"/>
  <c r="Y14" i="28" s="1"/>
  <c r="Y53" i="28" a="1"/>
  <c r="Y53" i="28" s="1"/>
  <c r="Y57" i="28" a="1"/>
  <c r="Y57" i="28" s="1"/>
  <c r="P364" i="38" l="1"/>
  <c r="R415" i="38"/>
  <c r="R343" i="38" s="1"/>
  <c r="P339" i="38"/>
  <c r="P292" i="38"/>
  <c r="O485" i="38"/>
  <c r="O360" i="38"/>
  <c r="Q296" i="38"/>
  <c r="Q331" i="38"/>
  <c r="Q352" i="38" s="1"/>
  <c r="Q372" i="38" s="1"/>
  <c r="R404" i="38"/>
  <c r="Q476" i="38"/>
  <c r="R408" i="38"/>
  <c r="R409" i="38" s="1"/>
  <c r="Y8" i="28"/>
  <c r="R296" i="38" l="1"/>
  <c r="P360" i="38"/>
  <c r="Q339" i="38"/>
  <c r="Q292" i="38"/>
  <c r="R339" i="38"/>
  <c r="R292" i="38"/>
  <c r="P485" i="38"/>
  <c r="R488" i="38"/>
  <c r="R364" i="38"/>
  <c r="Q488" i="38"/>
  <c r="Q364" i="38"/>
  <c r="R476" i="38"/>
  <c r="R331" i="38"/>
  <c r="R352" i="38" s="1"/>
  <c r="R372" i="38" s="1"/>
  <c r="O535" i="38"/>
  <c r="AA535" i="38" s="1"/>
  <c r="O534" i="38"/>
  <c r="AA534" i="38" s="1"/>
  <c r="K534" i="38"/>
  <c r="O543" i="38"/>
  <c r="O544" i="38"/>
  <c r="O542" i="38"/>
  <c r="K537" i="38"/>
  <c r="O537" i="38" s="1"/>
  <c r="K538" i="38"/>
  <c r="O538" i="38" s="1"/>
  <c r="K539" i="38"/>
  <c r="O539" i="38" s="1"/>
  <c r="K540" i="38"/>
  <c r="O540" i="38" s="1"/>
  <c r="K541" i="38"/>
  <c r="O541" i="38" s="1"/>
  <c r="K542" i="38"/>
  <c r="K543" i="38"/>
  <c r="K544" i="38"/>
  <c r="K536" i="38"/>
  <c r="O536" i="38" s="1"/>
  <c r="K530" i="38"/>
  <c r="O530" i="38" s="1"/>
  <c r="R485" i="38" l="1"/>
  <c r="Q360" i="38"/>
  <c r="Q485" i="38"/>
  <c r="R360" i="38"/>
  <c r="Z541" i="38"/>
  <c r="AA541" i="38"/>
  <c r="AB541" i="38"/>
  <c r="AC541" i="38"/>
  <c r="AD541" i="38"/>
  <c r="Z538" i="38"/>
  <c r="AA538" i="38"/>
  <c r="AB538" i="38"/>
  <c r="AC538" i="38"/>
  <c r="AD538" i="38"/>
  <c r="AD540" i="38"/>
  <c r="Z540" i="38"/>
  <c r="AA540" i="38"/>
  <c r="AB540" i="38"/>
  <c r="AC540" i="38"/>
  <c r="AD537" i="38"/>
  <c r="AC537" i="38"/>
  <c r="Z537" i="38"/>
  <c r="AA537" i="38"/>
  <c r="AB537" i="38"/>
  <c r="Z530" i="38"/>
  <c r="AA530" i="38"/>
  <c r="AB530" i="38"/>
  <c r="AC530" i="38"/>
  <c r="AD530" i="38"/>
  <c r="AC542" i="38"/>
  <c r="AB542" i="38"/>
  <c r="AD542" i="38"/>
  <c r="Z542" i="38"/>
  <c r="AA542" i="38"/>
  <c r="AA544" i="38"/>
  <c r="AB544" i="38"/>
  <c r="AC544" i="38"/>
  <c r="AD544" i="38"/>
  <c r="Z544" i="38"/>
  <c r="AB539" i="38"/>
  <c r="AC539" i="38"/>
  <c r="AD539" i="38"/>
  <c r="AA539" i="38"/>
  <c r="Z539" i="38"/>
  <c r="AA536" i="38"/>
  <c r="AB536" i="38"/>
  <c r="AC536" i="38"/>
  <c r="AD536" i="38"/>
  <c r="Z536" i="38"/>
  <c r="Z543" i="38"/>
  <c r="AA543" i="38"/>
  <c r="AB543" i="38"/>
  <c r="AC543" i="38"/>
  <c r="AD543" i="38"/>
  <c r="J531" i="38"/>
  <c r="I531" i="38"/>
  <c r="C218" i="38"/>
  <c r="B199" i="38"/>
  <c r="B190" i="38"/>
  <c r="B181" i="38"/>
  <c r="B172" i="38"/>
  <c r="B163" i="38"/>
  <c r="B154" i="38"/>
  <c r="W190" i="37"/>
  <c r="W191" i="37" s="1"/>
  <c r="W192" i="37" s="1"/>
  <c r="W193" i="37" s="1"/>
  <c r="C530" i="38"/>
  <c r="C531" i="38"/>
  <c r="C536" i="38"/>
  <c r="C538" i="38"/>
  <c r="C539" i="38"/>
  <c r="C540" i="38"/>
  <c r="C541" i="38"/>
  <c r="C542" i="38"/>
  <c r="C543" i="38"/>
  <c r="C544" i="38"/>
  <c r="D530" i="38"/>
  <c r="E530" i="38"/>
  <c r="Y206" i="37"/>
  <c r="W206" i="37" s="1"/>
  <c r="W207" i="37" s="1"/>
  <c r="W208" i="37" s="1"/>
  <c r="W209" i="37" s="1"/>
  <c r="Y202" i="37"/>
  <c r="W202" i="37" s="1"/>
  <c r="W203" i="37" s="1"/>
  <c r="W204" i="37" s="1"/>
  <c r="W205" i="37" s="1"/>
  <c r="Y198" i="37"/>
  <c r="W198" i="37" s="1"/>
  <c r="W199" i="37" s="1"/>
  <c r="W200" i="37" s="1"/>
  <c r="W201" i="37" s="1"/>
  <c r="Y194" i="37"/>
  <c r="W194" i="37" s="1"/>
  <c r="W195" i="37" s="1"/>
  <c r="W196" i="37" s="1"/>
  <c r="W197" i="37" s="1"/>
  <c r="Y186" i="37"/>
  <c r="W186" i="37" s="1"/>
  <c r="W187" i="37" s="1"/>
  <c r="W188" i="37" s="1"/>
  <c r="W189" i="37" s="1"/>
  <c r="Y182" i="37"/>
  <c r="W182" i="37" s="1"/>
  <c r="W183" i="37" s="1"/>
  <c r="W184" i="37" s="1"/>
  <c r="W185" i="37" s="1"/>
  <c r="G263" i="38"/>
  <c r="H261" i="38" s="1"/>
  <c r="D263" i="38"/>
  <c r="L216" i="38"/>
  <c r="L217" i="38" s="1"/>
  <c r="E262" i="38" l="1"/>
  <c r="AA545" i="38"/>
  <c r="AB545" i="38"/>
  <c r="Z545" i="38"/>
  <c r="AD545" i="38"/>
  <c r="AC545" i="38"/>
  <c r="K531" i="38"/>
  <c r="O531" i="38" s="1"/>
  <c r="H257" i="38"/>
  <c r="H254" i="38"/>
  <c r="H262" i="38"/>
  <c r="H255" i="38"/>
  <c r="H256" i="38"/>
  <c r="H258" i="38"/>
  <c r="H259" i="38"/>
  <c r="H260" i="38"/>
  <c r="E260" i="38"/>
  <c r="E259" i="38"/>
  <c r="E257" i="38"/>
  <c r="E261" i="38"/>
  <c r="E256" i="38"/>
  <c r="E258" i="38"/>
  <c r="E254" i="38"/>
  <c r="E255" i="38"/>
  <c r="E539" i="38"/>
  <c r="E540" i="38"/>
  <c r="E541" i="38"/>
  <c r="E542" i="38"/>
  <c r="E532" i="38" s="1"/>
  <c r="E543" i="38"/>
  <c r="E544" i="38"/>
  <c r="E538" i="38"/>
  <c r="E536" i="38"/>
  <c r="E537" i="38"/>
  <c r="D539" i="38"/>
  <c r="D541" i="38"/>
  <c r="D542" i="38"/>
  <c r="D532" i="38" s="1"/>
  <c r="D543" i="38"/>
  <c r="D544" i="38"/>
  <c r="D538" i="38"/>
  <c r="D537" i="38"/>
  <c r="E531" i="38"/>
  <c r="D531" i="38"/>
  <c r="C537" i="38"/>
  <c r="C532" i="38"/>
  <c r="E556" i="38"/>
  <c r="D540" i="38" s="1"/>
  <c r="E552" i="38"/>
  <c r="D536" i="38" s="1"/>
  <c r="AB531" i="38" l="1"/>
  <c r="AA531" i="38"/>
  <c r="AC531" i="38"/>
  <c r="AD531" i="38"/>
  <c r="Z531" i="38"/>
  <c r="E534" i="38"/>
  <c r="C534" i="38"/>
  <c r="D534" i="38"/>
  <c r="E533" i="38"/>
  <c r="D533" i="38"/>
  <c r="C533" i="38"/>
  <c r="D545" i="38"/>
  <c r="E545" i="38"/>
  <c r="C545" i="38"/>
  <c r="FZ22" i="28" l="1"/>
  <c r="GA22" i="28"/>
  <c r="GB22" i="28"/>
  <c r="GC22" i="28"/>
  <c r="GE22" i="28"/>
  <c r="GF22" i="28"/>
  <c r="GD22" i="28"/>
  <c r="GD66" i="28"/>
  <c r="GE65" i="28"/>
  <c r="GF65" i="28"/>
  <c r="GG65" i="28"/>
  <c r="GH65" i="28"/>
  <c r="GI65" i="28"/>
  <c r="GD65" i="28"/>
  <c r="FZ61" i="28" l="1"/>
  <c r="GA61" i="28"/>
  <c r="GB61" i="28"/>
  <c r="GC61" i="28"/>
  <c r="GD61" i="28"/>
  <c r="GE61" i="28"/>
  <c r="GF61" i="28"/>
  <c r="GG61" i="28"/>
  <c r="GH61" i="28"/>
  <c r="GI61" i="28"/>
  <c r="FZ62" i="28"/>
  <c r="GA62" i="28"/>
  <c r="GB62" i="28"/>
  <c r="GC62" i="28"/>
  <c r="GA58" i="28"/>
  <c r="GB58" i="28"/>
  <c r="GC58" i="28"/>
  <c r="FZ58" i="28"/>
  <c r="C604" i="38"/>
  <c r="AC614" i="33"/>
  <c r="AC17" i="33" s="1"/>
  <c r="AC615" i="33"/>
  <c r="AC616" i="33"/>
  <c r="AB616" i="33"/>
  <c r="AB615" i="33"/>
  <c r="AB614" i="33"/>
  <c r="AB17" i="33" s="1"/>
  <c r="AC606" i="33" a="1"/>
  <c r="AC606" i="33" s="1"/>
  <c r="AB606" i="33" a="1"/>
  <c r="AB606" i="33" s="1"/>
  <c r="D188" i="38" l="1"/>
  <c r="E188" i="38"/>
  <c r="F188" i="38"/>
  <c r="G188" i="38"/>
  <c r="H188" i="38"/>
  <c r="I188" i="38"/>
  <c r="J188" i="38"/>
  <c r="K188" i="38"/>
  <c r="L188" i="38"/>
  <c r="M188" i="38"/>
  <c r="N188" i="38" s="1"/>
  <c r="O188" i="38" s="1"/>
  <c r="P188" i="38" s="1"/>
  <c r="Q188" i="38" s="1"/>
  <c r="R188" i="38" s="1"/>
  <c r="C188" i="38"/>
  <c r="D186" i="38"/>
  <c r="E186" i="38"/>
  <c r="F186" i="38"/>
  <c r="G186" i="38"/>
  <c r="H186" i="38"/>
  <c r="I186" i="38"/>
  <c r="J186" i="38"/>
  <c r="K186" i="38"/>
  <c r="L186" i="38"/>
  <c r="M186" i="38"/>
  <c r="N186" i="38" s="1"/>
  <c r="O186" i="38" s="1"/>
  <c r="P186" i="38" s="1"/>
  <c r="Q186" i="38" s="1"/>
  <c r="R186" i="38" s="1"/>
  <c r="C186" i="38"/>
  <c r="D184" i="38"/>
  <c r="E184" i="38"/>
  <c r="F184" i="38"/>
  <c r="G184" i="38"/>
  <c r="H184" i="38"/>
  <c r="I184" i="38"/>
  <c r="J184" i="38"/>
  <c r="K184" i="38"/>
  <c r="L184" i="38"/>
  <c r="M184" i="38"/>
  <c r="N184" i="38" s="1"/>
  <c r="O184" i="38" s="1"/>
  <c r="P184" i="38" s="1"/>
  <c r="Q184" i="38" s="1"/>
  <c r="R184" i="38" s="1"/>
  <c r="C184" i="38"/>
  <c r="D183" i="38"/>
  <c r="E183" i="38"/>
  <c r="F183" i="38"/>
  <c r="G183" i="38"/>
  <c r="H183" i="38"/>
  <c r="I183" i="38"/>
  <c r="J183" i="38"/>
  <c r="K183" i="38"/>
  <c r="L183" i="38"/>
  <c r="M183" i="38"/>
  <c r="N183" i="38" s="1"/>
  <c r="C183" i="38"/>
  <c r="O183" i="38" l="1"/>
  <c r="P183" i="38" s="1"/>
  <c r="Q183" i="38" s="1"/>
  <c r="R183" i="38" s="1"/>
  <c r="D22" i="38"/>
  <c r="D29" i="38"/>
  <c r="C22" i="38"/>
  <c r="C29" i="38"/>
  <c r="D964" i="37" l="1"/>
  <c r="D965" i="37" s="1"/>
  <c r="D966" i="37" s="1"/>
  <c r="D967" i="37" s="1"/>
  <c r="D968" i="37" s="1"/>
  <c r="D969" i="37" s="1"/>
  <c r="D970" i="37" s="1"/>
  <c r="D971" i="37" s="1"/>
  <c r="D972" i="37" s="1"/>
  <c r="D973" i="37" s="1"/>
  <c r="D974" i="37" s="1"/>
  <c r="D975" i="37" s="1"/>
  <c r="D976" i="37" s="1"/>
  <c r="D977" i="37" s="1"/>
  <c r="D950" i="37"/>
  <c r="D951" i="37" s="1"/>
  <c r="D952" i="37" s="1"/>
  <c r="D953" i="37" s="1"/>
  <c r="D954" i="37" s="1"/>
  <c r="D955" i="37" s="1"/>
  <c r="D956" i="37" s="1"/>
  <c r="D957" i="37" s="1"/>
  <c r="D958" i="37" s="1"/>
  <c r="D959" i="37" s="1"/>
  <c r="D960" i="37" s="1"/>
  <c r="D961" i="37" s="1"/>
  <c r="D962" i="37" s="1"/>
  <c r="D963" i="37" s="1"/>
  <c r="D936" i="37"/>
  <c r="D937" i="37" s="1"/>
  <c r="D938" i="37" s="1"/>
  <c r="D939" i="37" s="1"/>
  <c r="D940" i="37" s="1"/>
  <c r="D941" i="37" s="1"/>
  <c r="D942" i="37" s="1"/>
  <c r="D943" i="37" s="1"/>
  <c r="D944" i="37" s="1"/>
  <c r="D945" i="37" s="1"/>
  <c r="D946" i="37" s="1"/>
  <c r="D947" i="37" s="1"/>
  <c r="D948" i="37" s="1"/>
  <c r="D949" i="37" s="1"/>
  <c r="D922" i="37"/>
  <c r="D923" i="37" s="1"/>
  <c r="D924" i="37" s="1"/>
  <c r="D925" i="37" s="1"/>
  <c r="D926" i="37" s="1"/>
  <c r="D927" i="37" s="1"/>
  <c r="D928" i="37" s="1"/>
  <c r="D929" i="37" s="1"/>
  <c r="D930" i="37" s="1"/>
  <c r="D931" i="37" s="1"/>
  <c r="D932" i="37" s="1"/>
  <c r="D933" i="37" s="1"/>
  <c r="D934" i="37" s="1"/>
  <c r="D935" i="37" s="1"/>
  <c r="D908" i="37"/>
  <c r="D909" i="37" s="1"/>
  <c r="D910" i="37" s="1"/>
  <c r="D911" i="37" s="1"/>
  <c r="D912" i="37" s="1"/>
  <c r="D913" i="37" s="1"/>
  <c r="D914" i="37" s="1"/>
  <c r="D915" i="37" s="1"/>
  <c r="D916" i="37" s="1"/>
  <c r="D917" i="37" s="1"/>
  <c r="D918" i="37" s="1"/>
  <c r="D919" i="37" s="1"/>
  <c r="D920" i="37" s="1"/>
  <c r="D921" i="37" s="1"/>
  <c r="D894" i="37"/>
  <c r="D895" i="37" s="1"/>
  <c r="D896" i="37" s="1"/>
  <c r="D897" i="37" s="1"/>
  <c r="D898" i="37" s="1"/>
  <c r="D899" i="37" s="1"/>
  <c r="D900" i="37" s="1"/>
  <c r="D901" i="37" s="1"/>
  <c r="D902" i="37" s="1"/>
  <c r="D903" i="37" s="1"/>
  <c r="D904" i="37" s="1"/>
  <c r="D905" i="37" s="1"/>
  <c r="D906" i="37" s="1"/>
  <c r="D907" i="37" s="1"/>
  <c r="C823" i="37" l="1"/>
  <c r="C824" i="37" s="1"/>
  <c r="C825" i="37" s="1"/>
  <c r="C826" i="37" s="1"/>
  <c r="C827" i="37" s="1"/>
  <c r="C828" i="37" s="1"/>
  <c r="C829" i="37" s="1"/>
  <c r="C802" i="37"/>
  <c r="C803" i="37" s="1"/>
  <c r="C804" i="37" s="1"/>
  <c r="C805" i="37" s="1"/>
  <c r="C806" i="37" s="1"/>
  <c r="C807" i="37" s="1"/>
  <c r="C808" i="37" s="1"/>
  <c r="C776" i="37"/>
  <c r="C777" i="37" s="1"/>
  <c r="EA43" i="28"/>
  <c r="EA44" i="28"/>
  <c r="EA45" i="28"/>
  <c r="EA46" i="28"/>
  <c r="EA47" i="28"/>
  <c r="EA48" i="28"/>
  <c r="EA49" i="28"/>
  <c r="EA50" i="28"/>
  <c r="EA51" i="28"/>
  <c r="EA52" i="28"/>
  <c r="EA53" i="28"/>
  <c r="EA54" i="28"/>
  <c r="EA55" i="28"/>
  <c r="EA56" i="28"/>
  <c r="EA57" i="28"/>
  <c r="EA58" i="28"/>
  <c r="EA59" i="28"/>
  <c r="EA60" i="28"/>
  <c r="EA61" i="28"/>
  <c r="EA62" i="28"/>
  <c r="EA63" i="28"/>
  <c r="EA64" i="28"/>
  <c r="EA65" i="28"/>
  <c r="EA66" i="28"/>
  <c r="EA67" i="28"/>
  <c r="EA68" i="28"/>
  <c r="EA69" i="28"/>
  <c r="EA70" i="28"/>
  <c r="EA71" i="28"/>
  <c r="EA72" i="28"/>
  <c r="EA73" i="28"/>
  <c r="EA75" i="28"/>
  <c r="EA77" i="28"/>
  <c r="EA78" i="28"/>
  <c r="EA79" i="28"/>
  <c r="EA80" i="28"/>
  <c r="EA81" i="28"/>
  <c r="EA84" i="28"/>
  <c r="EA85" i="28"/>
  <c r="EA86" i="28"/>
  <c r="EA42" i="28"/>
  <c r="C779" i="37" l="1"/>
  <c r="C778" i="37"/>
  <c r="H217" i="38" l="1"/>
  <c r="C219" i="38"/>
  <c r="D218" i="38" s="1"/>
  <c r="Z801" i="37" a="1"/>
  <c r="Z801" i="37" s="1"/>
  <c r="D213" i="38" l="1"/>
  <c r="D219" i="38"/>
  <c r="I214" i="38"/>
  <c r="I217" i="38"/>
  <c r="I213" i="38"/>
  <c r="I216" i="38"/>
  <c r="I215" i="38"/>
  <c r="D217" i="38"/>
  <c r="D216" i="38"/>
  <c r="D215" i="38"/>
  <c r="D214" i="38"/>
  <c r="CI72" i="28"/>
  <c r="CH72" i="28"/>
  <c r="CG72" i="28"/>
  <c r="CF72" i="28"/>
  <c r="CE72" i="28"/>
  <c r="CE73" i="28"/>
  <c r="BZ73" i="28"/>
  <c r="CD72" i="28"/>
  <c r="D591" i="38"/>
  <c r="C591" i="38"/>
  <c r="E590" i="38"/>
  <c r="E589" i="38"/>
  <c r="E588" i="38"/>
  <c r="AO82" i="28" s="1"/>
  <c r="E587" i="38"/>
  <c r="AO71" i="28" s="1"/>
  <c r="E476" i="38"/>
  <c r="F476" i="38"/>
  <c r="G476" i="38"/>
  <c r="H476" i="38"/>
  <c r="I476" i="38"/>
  <c r="J476" i="38"/>
  <c r="K476" i="38"/>
  <c r="L476" i="38"/>
  <c r="M476" i="38"/>
  <c r="D476" i="38"/>
  <c r="D370" i="38" l="1"/>
  <c r="D349" i="38"/>
  <c r="GE73" i="28"/>
  <c r="CO73" i="28"/>
  <c r="CO72" i="28"/>
  <c r="O281" i="38"/>
  <c r="N281" i="38"/>
  <c r="P281" i="38"/>
  <c r="R281" i="38"/>
  <c r="Q281" i="38"/>
  <c r="N402" i="38"/>
  <c r="O402" i="38"/>
  <c r="P402" i="38"/>
  <c r="Q402" i="38"/>
  <c r="R402" i="38"/>
  <c r="CP73" i="28"/>
  <c r="CP72" i="28"/>
  <c r="GE72" i="28"/>
  <c r="GD72" i="28"/>
  <c r="GF72" i="28"/>
  <c r="GD73" i="28"/>
  <c r="GG72" i="28"/>
  <c r="GI72" i="28"/>
  <c r="GH72" i="28"/>
  <c r="D529" i="38"/>
  <c r="E529" i="38"/>
  <c r="C529" i="38"/>
  <c r="O529" i="38"/>
  <c r="D402" i="38"/>
  <c r="E591" i="38"/>
  <c r="AO67" i="28"/>
  <c r="AO70" i="28"/>
  <c r="X543" i="38"/>
  <c r="D577" i="38"/>
  <c r="S239" i="38"/>
  <c r="S240" i="38"/>
  <c r="S241" i="38"/>
  <c r="S242" i="38"/>
  <c r="F136" i="38" s="1"/>
  <c r="S243" i="38"/>
  <c r="S244" i="38"/>
  <c r="S245" i="38"/>
  <c r="S246" i="38"/>
  <c r="F140" i="38" s="1"/>
  <c r="S238" i="38"/>
  <c r="C136" i="38"/>
  <c r="C137" i="38"/>
  <c r="C138" i="38"/>
  <c r="C139" i="38"/>
  <c r="C140" i="38"/>
  <c r="C135" i="38"/>
  <c r="FG53" i="28" l="1" a="1"/>
  <c r="FG53" i="28" s="1"/>
  <c r="FE53" i="28" a="1"/>
  <c r="FE53" i="28" s="1"/>
  <c r="FF53" i="28" a="1"/>
  <c r="FF53" i="28" s="1"/>
  <c r="FH53" i="28" a="1"/>
  <c r="FH53" i="28" s="1"/>
  <c r="FI53" i="28" a="1"/>
  <c r="FI53" i="28" s="1"/>
  <c r="S62" i="28" a="1"/>
  <c r="S62" i="28" s="1"/>
  <c r="S20" i="28" a="1"/>
  <c r="S20" i="28" s="1"/>
  <c r="S63" i="28" a="1"/>
  <c r="S63" i="28" s="1"/>
  <c r="S19" i="28" a="1"/>
  <c r="S19" i="28" s="1"/>
  <c r="S61" i="28" a="1"/>
  <c r="S61" i="28" s="1"/>
  <c r="S58" i="28" a="1"/>
  <c r="S58" i="28" s="1"/>
  <c r="S59" i="28" a="1"/>
  <c r="S59" i="28" s="1"/>
  <c r="S60" i="28" a="1"/>
  <c r="S60" i="28" s="1"/>
  <c r="P474" i="38"/>
  <c r="O474" i="38"/>
  <c r="N474" i="38"/>
  <c r="AD529" i="38"/>
  <c r="AC529" i="38"/>
  <c r="Z529" i="38"/>
  <c r="AA529" i="38"/>
  <c r="AB529" i="38"/>
  <c r="R509" i="38"/>
  <c r="P509" i="38"/>
  <c r="R474" i="38"/>
  <c r="N509" i="38"/>
  <c r="Q509" i="38"/>
  <c r="Q474" i="38"/>
  <c r="O509" i="38"/>
  <c r="AO29" i="28"/>
  <c r="F568" i="38"/>
  <c r="F565" i="38"/>
  <c r="D565" i="38"/>
  <c r="D568" i="38"/>
  <c r="E568" i="38"/>
  <c r="E565" i="38"/>
  <c r="W543" i="38"/>
  <c r="V543" i="38"/>
  <c r="U543" i="38"/>
  <c r="T543" i="38"/>
  <c r="S543" i="38"/>
  <c r="P543" i="38"/>
  <c r="R543" i="38"/>
  <c r="Y543" i="38"/>
  <c r="Q543" i="38"/>
  <c r="C141" i="38"/>
  <c r="F135" i="38"/>
  <c r="F138" i="38"/>
  <c r="CQ40" i="28"/>
  <c r="CQ11" i="28"/>
  <c r="BX11" i="28" s="1"/>
  <c r="CQ10" i="28"/>
  <c r="BH10" i="28"/>
  <c r="U28" i="40"/>
  <c r="U27" i="40"/>
  <c r="U25" i="40"/>
  <c r="U15" i="40"/>
  <c r="U14" i="40"/>
  <c r="AQ26" i="28" s="1"/>
  <c r="U13" i="40"/>
  <c r="L13" i="40" s="1"/>
  <c r="M13" i="40" s="1"/>
  <c r="N13" i="40" s="1"/>
  <c r="O13" i="40" s="1"/>
  <c r="P13" i="40" s="1"/>
  <c r="Q13" i="40" s="1"/>
  <c r="R13" i="40" s="1"/>
  <c r="U12" i="40"/>
  <c r="K12" i="40" s="1"/>
  <c r="L12" i="40" s="1"/>
  <c r="M12" i="40" s="1"/>
  <c r="U11" i="40"/>
  <c r="U10" i="40"/>
  <c r="U9" i="40"/>
  <c r="U8" i="40"/>
  <c r="K8" i="40" s="1"/>
  <c r="L8" i="40" s="1"/>
  <c r="M8" i="40" s="1"/>
  <c r="U7" i="40"/>
  <c r="K7" i="40" s="1"/>
  <c r="L7" i="40" s="1"/>
  <c r="M7" i="40" s="1"/>
  <c r="U6" i="40"/>
  <c r="K6" i="40" s="1"/>
  <c r="L6" i="40" s="1"/>
  <c r="M6" i="40" s="1"/>
  <c r="U5" i="40"/>
  <c r="G5" i="40" s="1"/>
  <c r="H5" i="40" s="1"/>
  <c r="I5" i="40" s="1"/>
  <c r="J5" i="40" s="1"/>
  <c r="K5" i="40" s="1"/>
  <c r="L5" i="40" s="1"/>
  <c r="M5" i="40" s="1"/>
  <c r="P80" i="34"/>
  <c r="P81" i="34"/>
  <c r="P82" i="34"/>
  <c r="Q82" i="34" s="1"/>
  <c r="P83" i="34"/>
  <c r="Q83" i="34" s="1"/>
  <c r="P84" i="34"/>
  <c r="Q84" i="34" s="1"/>
  <c r="P85" i="34"/>
  <c r="Q85" i="34" s="1"/>
  <c r="P86" i="34"/>
  <c r="Q86" i="34" s="1"/>
  <c r="P87" i="34"/>
  <c r="Q87" i="34" s="1"/>
  <c r="P88" i="34"/>
  <c r="P89" i="34"/>
  <c r="P90" i="34"/>
  <c r="Q90" i="34" s="1"/>
  <c r="P91" i="34"/>
  <c r="Q91" i="34" s="1"/>
  <c r="P92" i="34"/>
  <c r="Q92" i="34" s="1"/>
  <c r="P93" i="34"/>
  <c r="Q93" i="34" s="1"/>
  <c r="P95" i="34"/>
  <c r="Q95" i="34" s="1"/>
  <c r="P96" i="34"/>
  <c r="P97" i="34"/>
  <c r="P98" i="34"/>
  <c r="P99" i="34"/>
  <c r="P100" i="34"/>
  <c r="Q100" i="34" s="1"/>
  <c r="P101" i="34"/>
  <c r="Q101" i="34" s="1"/>
  <c r="P102" i="34"/>
  <c r="Q102" i="34" s="1"/>
  <c r="P103" i="34"/>
  <c r="Q103" i="34" s="1"/>
  <c r="P104" i="34"/>
  <c r="P74" i="34"/>
  <c r="P75" i="34"/>
  <c r="Q75" i="34" s="1"/>
  <c r="P76" i="34"/>
  <c r="Q76" i="34" s="1"/>
  <c r="P77" i="34"/>
  <c r="Q77" i="34" s="1"/>
  <c r="P78" i="34"/>
  <c r="Q78" i="34" s="1"/>
  <c r="P79" i="34"/>
  <c r="Q79" i="34" s="1"/>
  <c r="P73" i="34"/>
  <c r="Q73" i="34" s="1"/>
  <c r="E577" i="38"/>
  <c r="E578" i="38" s="1"/>
  <c r="F577" i="38"/>
  <c r="F578" i="38" s="1"/>
  <c r="G577" i="38"/>
  <c r="G578" i="38" s="1"/>
  <c r="H577" i="38"/>
  <c r="H578" i="38" s="1"/>
  <c r="I577" i="38"/>
  <c r="I578" i="38" s="1"/>
  <c r="J577" i="38"/>
  <c r="J578" i="38" s="1"/>
  <c r="K577" i="38"/>
  <c r="K578" i="38" s="1"/>
  <c r="L577" i="38"/>
  <c r="L578" i="38" s="1"/>
  <c r="M577" i="38"/>
  <c r="M578" i="38" s="1"/>
  <c r="D578" i="38"/>
  <c r="Q88" i="34"/>
  <c r="Q89" i="34"/>
  <c r="Q96" i="34"/>
  <c r="Q99" i="34"/>
  <c r="Q104" i="34"/>
  <c r="Q80" i="34"/>
  <c r="Q81" i="34"/>
  <c r="Q94" i="34"/>
  <c r="Q97" i="34"/>
  <c r="AQ40" i="28" s="1"/>
  <c r="Q98" i="34"/>
  <c r="S24" i="28" l="1" a="1"/>
  <c r="S24" i="28" s="1"/>
  <c r="S64" i="28" a="1"/>
  <c r="S64" i="28" s="1"/>
  <c r="S71" i="28" a="1"/>
  <c r="S71" i="28" s="1"/>
  <c r="S80" i="28" a="1"/>
  <c r="S80" i="28" s="1"/>
  <c r="S23" i="28" a="1"/>
  <c r="S23" i="28" s="1"/>
  <c r="S76" i="28" a="1"/>
  <c r="S76" i="28" s="1"/>
  <c r="S77" i="28" a="1"/>
  <c r="S77" i="28" s="1"/>
  <c r="S69" i="28" a="1"/>
  <c r="S69" i="28" s="1"/>
  <c r="S21" i="28" a="1"/>
  <c r="S21" i="28" s="1"/>
  <c r="S70" i="28" a="1"/>
  <c r="S70" i="28" s="1"/>
  <c r="S72" i="28" a="1"/>
  <c r="S72" i="28" s="1"/>
  <c r="S81" i="28" a="1"/>
  <c r="S81" i="28" s="1"/>
  <c r="S66" i="28" a="1"/>
  <c r="S66" i="28" s="1"/>
  <c r="S74" i="28" a="1"/>
  <c r="S74" i="28" s="1"/>
  <c r="S67" i="28" a="1"/>
  <c r="S67" i="28" s="1"/>
  <c r="S68" i="28" a="1"/>
  <c r="S68" i="28" s="1"/>
  <c r="S79" i="28" a="1"/>
  <c r="S79" i="28" s="1"/>
  <c r="S22" i="28" a="1"/>
  <c r="S22" i="28" s="1"/>
  <c r="S65" i="28" a="1"/>
  <c r="S65" i="28" s="1"/>
  <c r="S73" i="28" a="1"/>
  <c r="S73" i="28" s="1"/>
  <c r="S82" i="28" a="1"/>
  <c r="S82" i="28" s="1"/>
  <c r="S83" i="28" a="1"/>
  <c r="S83" i="28" s="1"/>
  <c r="S78" i="28" a="1"/>
  <c r="S78" i="28" s="1"/>
  <c r="GF60" i="28"/>
  <c r="FZ60" i="28"/>
  <c r="GH60" i="28"/>
  <c r="GA60" i="28"/>
  <c r="GI60" i="28"/>
  <c r="GB60" i="28"/>
  <c r="GC60" i="28"/>
  <c r="GE60" i="28"/>
  <c r="GC63" i="28"/>
  <c r="FZ63" i="28"/>
  <c r="GA63" i="28"/>
  <c r="GB63" i="28"/>
  <c r="AQ27" i="28"/>
  <c r="L15" i="40"/>
  <c r="M15" i="40" s="1"/>
  <c r="N15" i="40" s="1"/>
  <c r="AR27" i="28" s="1"/>
  <c r="AQ23" i="28"/>
  <c r="K11" i="40"/>
  <c r="L11" i="40" s="1"/>
  <c r="M11" i="40" s="1"/>
  <c r="BZ11" i="28"/>
  <c r="CA11" i="28"/>
  <c r="CD11" i="28"/>
  <c r="CE11" i="28"/>
  <c r="CC11" i="28"/>
  <c r="CB11" i="28"/>
  <c r="CF11" i="28"/>
  <c r="BH39" i="28"/>
  <c r="BH34" i="28"/>
  <c r="BH40" i="28"/>
  <c r="BH38" i="28"/>
  <c r="AQ34" i="28"/>
  <c r="F141" i="38"/>
  <c r="BH17" i="28"/>
  <c r="CO11" i="28" l="1"/>
  <c r="FE83" i="28" a="1"/>
  <c r="FE83" i="28" s="1"/>
  <c r="FF83" i="28" a="1"/>
  <c r="FF83" i="28" s="1"/>
  <c r="FG83" i="28" a="1"/>
  <c r="FG83" i="28" s="1"/>
  <c r="FH83" i="28" a="1"/>
  <c r="FH83" i="28" s="1"/>
  <c r="FI83" i="28" a="1"/>
  <c r="FI83" i="28" s="1"/>
  <c r="FE82" i="28" a="1"/>
  <c r="FE82" i="28" s="1"/>
  <c r="FF82" i="28" a="1"/>
  <c r="FF82" i="28" s="1"/>
  <c r="FG82" i="28" a="1"/>
  <c r="FG82" i="28" s="1"/>
  <c r="FH82" i="28" a="1"/>
  <c r="FH82" i="28" s="1"/>
  <c r="FI82" i="28" a="1"/>
  <c r="FI82" i="28" s="1"/>
  <c r="BY27" i="28"/>
  <c r="AC1313" i="33"/>
  <c r="AC26" i="33" s="1"/>
  <c r="BY11" i="28"/>
  <c r="CP11" i="28"/>
  <c r="GD60" i="28"/>
  <c r="GG60" i="28"/>
  <c r="AE12" i="33"/>
  <c r="Y534" i="38" l="1"/>
  <c r="P534" i="38"/>
  <c r="AB534" i="38" s="1"/>
  <c r="Y535" i="38"/>
  <c r="P535" i="38"/>
  <c r="AB535" i="38" s="1"/>
  <c r="Q535" i="38" l="1"/>
  <c r="AC535" i="38" s="1"/>
  <c r="Q534" i="38"/>
  <c r="E673" i="37"/>
  <c r="E667" i="37"/>
  <c r="E661" i="37"/>
  <c r="E655" i="37"/>
  <c r="E649" i="37"/>
  <c r="E643" i="37"/>
  <c r="E637" i="37"/>
  <c r="C637" i="37" s="1"/>
  <c r="C638" i="37" s="1"/>
  <c r="E991" i="37"/>
  <c r="E990" i="37"/>
  <c r="E989" i="37"/>
  <c r="E988" i="37"/>
  <c r="E986" i="37"/>
  <c r="E985" i="37"/>
  <c r="B746" i="51" l="1" a="1"/>
  <c r="B746" i="51" s="1"/>
  <c r="R534" i="38"/>
  <c r="AC534" i="38"/>
  <c r="C639" i="37"/>
  <c r="C643" i="37"/>
  <c r="C644" i="37" s="1"/>
  <c r="C655" i="37"/>
  <c r="C656" i="37" s="1"/>
  <c r="C673" i="37"/>
  <c r="C674" i="37" s="1"/>
  <c r="C649" i="37"/>
  <c r="C650" i="37" s="1"/>
  <c r="C661" i="37"/>
  <c r="C662" i="37" s="1"/>
  <c r="C667" i="37"/>
  <c r="C668" i="37" s="1"/>
  <c r="R535" i="38"/>
  <c r="AD535" i="38" s="1"/>
  <c r="S534" i="38" l="1"/>
  <c r="T534" i="38" s="1"/>
  <c r="U534" i="38" s="1"/>
  <c r="V534" i="38" s="1"/>
  <c r="W534" i="38" s="1"/>
  <c r="X534" i="38" s="1"/>
  <c r="AD534" i="38"/>
  <c r="C657" i="37"/>
  <c r="C675" i="37"/>
  <c r="C640" i="37"/>
  <c r="C651" i="37"/>
  <c r="C669" i="37"/>
  <c r="C663" i="37"/>
  <c r="C645" i="37"/>
  <c r="S535" i="38"/>
  <c r="C664" i="37" l="1"/>
  <c r="C652" i="37"/>
  <c r="C658" i="37"/>
  <c r="C676" i="37"/>
  <c r="C646" i="37"/>
  <c r="C641" i="37"/>
  <c r="C670" i="37"/>
  <c r="T535" i="38"/>
  <c r="C677" i="37" l="1"/>
  <c r="C678" i="37" s="1"/>
  <c r="C665" i="37"/>
  <c r="C666" i="37" s="1"/>
  <c r="C653" i="37"/>
  <c r="C654" i="37" s="1"/>
  <c r="C671" i="37"/>
  <c r="C647" i="37"/>
  <c r="C659" i="37"/>
  <c r="C642" i="37"/>
  <c r="U535" i="38"/>
  <c r="C648" i="37" l="1"/>
  <c r="C672" i="37"/>
  <c r="C660" i="37"/>
  <c r="V535" i="38"/>
  <c r="J226" i="38"/>
  <c r="AX35" i="28" s="1"/>
  <c r="K226" i="38"/>
  <c r="AY35" i="28" s="1"/>
  <c r="L226" i="38"/>
  <c r="AZ35" i="28" s="1"/>
  <c r="J227" i="38"/>
  <c r="K227" i="38"/>
  <c r="L227" i="38"/>
  <c r="J228" i="38"/>
  <c r="K228" i="38"/>
  <c r="L228" i="38"/>
  <c r="J229" i="38"/>
  <c r="K229" i="38"/>
  <c r="L229" i="38"/>
  <c r="J230" i="38"/>
  <c r="K230" i="38"/>
  <c r="L230" i="38"/>
  <c r="J231" i="38"/>
  <c r="K231" i="38"/>
  <c r="L231" i="38"/>
  <c r="I227" i="38"/>
  <c r="I228" i="38"/>
  <c r="I229" i="38"/>
  <c r="I230" i="38"/>
  <c r="I231" i="38"/>
  <c r="I226" i="38"/>
  <c r="AW35" i="28" s="1"/>
  <c r="D231" i="38"/>
  <c r="E231" i="38"/>
  <c r="F231" i="38"/>
  <c r="G231" i="38"/>
  <c r="D227" i="38"/>
  <c r="E227" i="38"/>
  <c r="F227" i="38"/>
  <c r="G227" i="38"/>
  <c r="D228" i="38"/>
  <c r="E228" i="38"/>
  <c r="F228" i="38"/>
  <c r="G228" i="38"/>
  <c r="D229" i="38"/>
  <c r="E229" i="38"/>
  <c r="F229" i="38"/>
  <c r="G229" i="38"/>
  <c r="D230" i="38"/>
  <c r="E230" i="38"/>
  <c r="F230" i="38"/>
  <c r="G230" i="38"/>
  <c r="E226" i="38"/>
  <c r="F226" i="38"/>
  <c r="AT35" i="28" s="1"/>
  <c r="G226" i="38"/>
  <c r="AU35" i="28" s="1"/>
  <c r="D226" i="38"/>
  <c r="AR35" i="28" s="1"/>
  <c r="BG35" i="28" l="1"/>
  <c r="O532" i="38"/>
  <c r="W535" i="38"/>
  <c r="S228" i="38"/>
  <c r="S231" i="38"/>
  <c r="S226" i="38"/>
  <c r="S230" i="38"/>
  <c r="S229" i="38"/>
  <c r="S227" i="38"/>
  <c r="V544" i="38"/>
  <c r="T544" i="38"/>
  <c r="U544" i="38"/>
  <c r="W544" i="38"/>
  <c r="X544" i="38"/>
  <c r="P544" i="38"/>
  <c r="Q544" i="38"/>
  <c r="Y544" i="38"/>
  <c r="R544" i="38"/>
  <c r="S544" i="38"/>
  <c r="W542" i="38"/>
  <c r="T542" i="38"/>
  <c r="X542" i="38"/>
  <c r="P542" i="38"/>
  <c r="S542" i="38"/>
  <c r="Q542" i="38"/>
  <c r="Y542" i="38"/>
  <c r="U542" i="38"/>
  <c r="V542" i="38"/>
  <c r="R542" i="38"/>
  <c r="P532" i="38" l="1"/>
  <c r="AD532" i="38"/>
  <c r="Z532" i="38"/>
  <c r="AA532" i="38"/>
  <c r="AB532" i="38"/>
  <c r="AC532" i="38"/>
  <c r="Y532" i="38"/>
  <c r="Q532" i="38"/>
  <c r="R532" i="38"/>
  <c r="W532" i="38"/>
  <c r="X532" i="38"/>
  <c r="V532" i="38"/>
  <c r="T532" i="38"/>
  <c r="U532" i="38"/>
  <c r="S532" i="38"/>
  <c r="C535" i="38"/>
  <c r="D535" i="38"/>
  <c r="E535" i="38"/>
  <c r="X535" i="38"/>
  <c r="Y162" i="37"/>
  <c r="Y156" i="37"/>
  <c r="Y150" i="37"/>
  <c r="Y144" i="37"/>
  <c r="Y138" i="37"/>
  <c r="Y132" i="37"/>
  <c r="Y126" i="37"/>
  <c r="E162" i="37"/>
  <c r="C162" i="37" s="1"/>
  <c r="C163" i="37" s="1"/>
  <c r="C164" i="37" s="1"/>
  <c r="C165" i="37" s="1"/>
  <c r="C166" i="37" s="1"/>
  <c r="C167" i="37" s="1"/>
  <c r="E156" i="37"/>
  <c r="C156" i="37" s="1"/>
  <c r="C157" i="37" s="1"/>
  <c r="C158" i="37" s="1"/>
  <c r="C159" i="37" s="1"/>
  <c r="C160" i="37" s="1"/>
  <c r="C161" i="37" s="1"/>
  <c r="E150" i="37"/>
  <c r="C150" i="37" s="1"/>
  <c r="C151" i="37" s="1"/>
  <c r="C152" i="37" s="1"/>
  <c r="C153" i="37" s="1"/>
  <c r="C154" i="37" s="1"/>
  <c r="C155" i="37" s="1"/>
  <c r="E144" i="37"/>
  <c r="C144" i="37" s="1"/>
  <c r="C145" i="37" s="1"/>
  <c r="C146" i="37" s="1"/>
  <c r="C147" i="37" s="1"/>
  <c r="C148" i="37" s="1"/>
  <c r="C149" i="37" s="1"/>
  <c r="E138" i="37"/>
  <c r="C138" i="37" s="1"/>
  <c r="C139" i="37" s="1"/>
  <c r="C140" i="37" s="1"/>
  <c r="C141" i="37" s="1"/>
  <c r="C142" i="37" s="1"/>
  <c r="C143" i="37" s="1"/>
  <c r="E132" i="37"/>
  <c r="C132" i="37" s="1"/>
  <c r="C133" i="37" s="1"/>
  <c r="C134" i="37" s="1"/>
  <c r="C135" i="37" s="1"/>
  <c r="C136" i="37" s="1"/>
  <c r="C137" i="37" s="1"/>
  <c r="E126" i="37"/>
  <c r="C126" i="37" l="1"/>
  <c r="C127" i="37" s="1"/>
  <c r="C128" i="37" s="1"/>
  <c r="C129" i="37" s="1"/>
  <c r="C130" i="37" s="1"/>
  <c r="C131" i="37" s="1"/>
  <c r="EA10" i="28"/>
  <c r="EA11" i="28"/>
  <c r="EA12" i="28"/>
  <c r="EA13" i="28"/>
  <c r="EA14" i="28"/>
  <c r="EA15" i="28"/>
  <c r="EA16" i="28"/>
  <c r="EA17" i="28"/>
  <c r="EA18" i="28"/>
  <c r="EA19" i="28"/>
  <c r="EA20" i="28"/>
  <c r="EA22" i="28"/>
  <c r="EA23" i="28"/>
  <c r="EA24" i="28"/>
  <c r="EA26" i="28"/>
  <c r="EA27" i="28"/>
  <c r="EA28" i="28"/>
  <c r="EA31" i="28"/>
  <c r="EA32" i="28"/>
  <c r="EA33" i="28"/>
  <c r="EA34" i="28"/>
  <c r="EA35" i="28"/>
  <c r="EA36" i="28"/>
  <c r="AQ22" i="28" l="1"/>
  <c r="AQ20" i="28" l="1"/>
  <c r="CR62" i="28" l="1"/>
  <c r="ES62" i="28" l="1"/>
  <c r="EP62" i="28"/>
  <c r="EO62" i="28"/>
  <c r="EQ62" i="28"/>
  <c r="ER62" i="28"/>
  <c r="CR20" i="28"/>
  <c r="AQ63" i="28"/>
  <c r="ER20" i="28" l="1"/>
  <c r="ES20" i="28"/>
  <c r="EO20" i="28"/>
  <c r="EP20" i="28"/>
  <c r="EQ20" i="28"/>
  <c r="EN20" i="28"/>
  <c r="EM20" i="28"/>
  <c r="EL20" i="28"/>
  <c r="EK20" i="28"/>
  <c r="EJ20" i="28"/>
  <c r="EE20" i="28"/>
  <c r="EF20" i="28"/>
  <c r="EI20" i="28"/>
  <c r="EH20" i="28"/>
  <c r="EG20" i="28"/>
  <c r="GH59" i="28"/>
  <c r="GG59" i="28"/>
  <c r="GC59" i="28"/>
  <c r="GB59" i="28"/>
  <c r="FZ59" i="28"/>
  <c r="GA59" i="28"/>
  <c r="GF20" i="28"/>
  <c r="GE20" i="28"/>
  <c r="GD20" i="28"/>
  <c r="GC20" i="28"/>
  <c r="GB20" i="28"/>
  <c r="GA20" i="28"/>
  <c r="FZ20" i="28"/>
  <c r="ET20" i="28" l="1"/>
  <c r="GI59" i="28"/>
  <c r="GF59" i="28"/>
  <c r="AC155" i="39"/>
  <c r="BI80" i="28"/>
  <c r="BI81" i="28"/>
  <c r="CQ19" i="28"/>
  <c r="BX19" i="28" s="1"/>
  <c r="A1286" i="33"/>
  <c r="A1287" i="33"/>
  <c r="A1288" i="33"/>
  <c r="A1289" i="33"/>
  <c r="CT80" i="28"/>
  <c r="CT81" i="28"/>
  <c r="AQ64" i="28"/>
  <c r="CR64" i="28"/>
  <c r="CT64" i="28"/>
  <c r="BI64" i="28"/>
  <c r="AQ81" i="28"/>
  <c r="CR80" i="28"/>
  <c r="CR81" i="28"/>
  <c r="CR84" i="28"/>
  <c r="AQ80" i="28"/>
  <c r="CT79" i="28"/>
  <c r="BI65" i="28"/>
  <c r="BI79" i="28"/>
  <c r="CR79" i="28"/>
  <c r="AQ79" i="28"/>
  <c r="BJ65" i="28" l="1"/>
  <c r="BJ79" i="28"/>
  <c r="BJ80" i="28"/>
  <c r="BK80" i="28" s="1"/>
  <c r="EP80" i="28"/>
  <c r="EQ80" i="28"/>
  <c r="ES80" i="28"/>
  <c r="EO80" i="28"/>
  <c r="ER80" i="28"/>
  <c r="EO84" i="28"/>
  <c r="EP84" i="28"/>
  <c r="EQ84" i="28"/>
  <c r="ER84" i="28"/>
  <c r="ES84" i="28"/>
  <c r="EQ64" i="28"/>
  <c r="EO64" i="28"/>
  <c r="ES64" i="28"/>
  <c r="ER64" i="28"/>
  <c r="EP64" i="28"/>
  <c r="ES81" i="28"/>
  <c r="ER81" i="28"/>
  <c r="EQ81" i="28"/>
  <c r="EP81" i="28"/>
  <c r="EO81" i="28"/>
  <c r="EP79" i="28"/>
  <c r="ER79" i="28"/>
  <c r="EO79" i="28"/>
  <c r="ES79" i="28"/>
  <c r="EQ79" i="28"/>
  <c r="F1286" i="33"/>
  <c r="AC1286" i="33"/>
  <c r="E1289" i="33"/>
  <c r="AC1289" i="33"/>
  <c r="M1288" i="33"/>
  <c r="AC1288" i="33"/>
  <c r="AD1287" i="33"/>
  <c r="AE1287" i="33" s="1"/>
  <c r="AF1287" i="33" s="1"/>
  <c r="AG1287" i="33" s="1"/>
  <c r="AH1287" i="33" s="1"/>
  <c r="AI1287" i="33" s="1"/>
  <c r="AJ1287" i="33" s="1"/>
  <c r="AK1287" i="33" s="1"/>
  <c r="AL1287" i="33" s="1"/>
  <c r="AC1287" i="33"/>
  <c r="EI80" i="28"/>
  <c r="EM80" i="28"/>
  <c r="EN80" i="28"/>
  <c r="EJ80" i="28"/>
  <c r="EL80" i="28"/>
  <c r="EK80" i="28"/>
  <c r="EJ79" i="28"/>
  <c r="EI79" i="28"/>
  <c r="EN79" i="28"/>
  <c r="EL79" i="28"/>
  <c r="EM79" i="28"/>
  <c r="EK79" i="28"/>
  <c r="EK84" i="28"/>
  <c r="EI84" i="28"/>
  <c r="EJ84" i="28"/>
  <c r="EL84" i="28"/>
  <c r="EM84" i="28"/>
  <c r="EN84" i="28"/>
  <c r="EI64" i="28"/>
  <c r="EM64" i="28"/>
  <c r="EL64" i="28"/>
  <c r="EN64" i="28"/>
  <c r="EK64" i="28"/>
  <c r="EJ64" i="28"/>
  <c r="EK81" i="28"/>
  <c r="EN81" i="28"/>
  <c r="EL81" i="28"/>
  <c r="EJ81" i="28"/>
  <c r="EM81" i="28"/>
  <c r="EI81" i="28"/>
  <c r="CF19" i="28"/>
  <c r="CE19" i="28"/>
  <c r="CD19" i="28"/>
  <c r="CA19" i="28"/>
  <c r="BZ19" i="28"/>
  <c r="CC19" i="28"/>
  <c r="CB19" i="28"/>
  <c r="AD1286" i="33"/>
  <c r="AE1286" i="33" s="1"/>
  <c r="AF1286" i="33" s="1"/>
  <c r="AG1286" i="33" s="1"/>
  <c r="AH1286" i="33" s="1"/>
  <c r="AI1286" i="33" s="1"/>
  <c r="AJ1286" i="33" s="1"/>
  <c r="AK1286" i="33" s="1"/>
  <c r="AL1286" i="33" s="1"/>
  <c r="K1287" i="33"/>
  <c r="K1286" i="33"/>
  <c r="J1286" i="33"/>
  <c r="E1288" i="33"/>
  <c r="I1286" i="33"/>
  <c r="E1286" i="33"/>
  <c r="BJ64" i="28"/>
  <c r="M1289" i="33"/>
  <c r="G1289" i="33"/>
  <c r="H1289" i="33"/>
  <c r="AD1289" i="33"/>
  <c r="AE1289" i="33" s="1"/>
  <c r="AF1289" i="33" s="1"/>
  <c r="AG1289" i="33" s="1"/>
  <c r="AH1289" i="33" s="1"/>
  <c r="AI1289" i="33" s="1"/>
  <c r="AJ1289" i="33" s="1"/>
  <c r="AK1289" i="33" s="1"/>
  <c r="AL1289" i="33" s="1"/>
  <c r="I1289" i="33"/>
  <c r="J1289" i="33"/>
  <c r="K1289" i="33"/>
  <c r="F1289" i="33"/>
  <c r="F1288" i="33"/>
  <c r="AD1288" i="33"/>
  <c r="AE1288" i="33" s="1"/>
  <c r="AF1288" i="33" s="1"/>
  <c r="AG1288" i="33" s="1"/>
  <c r="AH1288" i="33" s="1"/>
  <c r="AI1288" i="33" s="1"/>
  <c r="AJ1288" i="33" s="1"/>
  <c r="AK1288" i="33" s="1"/>
  <c r="AL1288" i="33" s="1"/>
  <c r="G1288" i="33"/>
  <c r="H1288" i="33"/>
  <c r="I1288" i="33"/>
  <c r="J1288" i="33"/>
  <c r="K1288" i="33"/>
  <c r="J1287" i="33"/>
  <c r="M1287" i="33"/>
  <c r="I1287" i="33"/>
  <c r="H1286" i="33"/>
  <c r="M1286" i="33"/>
  <c r="H1287" i="33"/>
  <c r="G1286" i="33"/>
  <c r="BJ81" i="28"/>
  <c r="G1287" i="33"/>
  <c r="F1287" i="33"/>
  <c r="E1287" i="33"/>
  <c r="CF16" i="28"/>
  <c r="CE16" i="28"/>
  <c r="CD16" i="28"/>
  <c r="CC16" i="28"/>
  <c r="CB16" i="28"/>
  <c r="CA16" i="28"/>
  <c r="BZ16" i="28"/>
  <c r="AX16" i="28"/>
  <c r="HL16" i="28" s="1"/>
  <c r="AW16" i="28"/>
  <c r="HK16" i="28" s="1"/>
  <c r="AV16" i="28"/>
  <c r="HJ16" i="28" s="1"/>
  <c r="AU16" i="28"/>
  <c r="AT16" i="28"/>
  <c r="HH16" i="28" s="1"/>
  <c r="AS16" i="28"/>
  <c r="HG16" i="28" s="1"/>
  <c r="AR16" i="28"/>
  <c r="BH15" i="28"/>
  <c r="BH12" i="28"/>
  <c r="AQ11" i="28"/>
  <c r="CO16" i="28" l="1"/>
  <c r="CO19" i="28"/>
  <c r="BK79" i="28"/>
  <c r="BK65" i="28"/>
  <c r="ET84" i="28"/>
  <c r="ET64" i="28"/>
  <c r="ET80" i="28"/>
  <c r="ET79" i="28"/>
  <c r="ET81" i="28"/>
  <c r="HI16" i="28"/>
  <c r="BG16" i="28"/>
  <c r="BH16" i="28"/>
  <c r="HF16" i="28"/>
  <c r="BY19" i="28"/>
  <c r="CP16" i="28"/>
  <c r="BY16" i="28"/>
  <c r="CP19" i="28"/>
  <c r="GE19" i="28"/>
  <c r="GD19" i="28"/>
  <c r="GC19" i="28"/>
  <c r="GB19" i="28"/>
  <c r="GA19" i="28"/>
  <c r="FZ19" i="28"/>
  <c r="GF19" i="28"/>
  <c r="AQ16" i="28"/>
  <c r="CF12" i="28"/>
  <c r="BL80" i="28"/>
  <c r="CC12" i="28"/>
  <c r="BK64" i="28"/>
  <c r="CB12" i="28"/>
  <c r="CA12" i="28"/>
  <c r="BZ12" i="28"/>
  <c r="CE12" i="28"/>
  <c r="CD12" i="28"/>
  <c r="BK81" i="28"/>
  <c r="AQ61" i="28"/>
  <c r="CO12" i="28" l="1"/>
  <c r="BL65" i="28"/>
  <c r="BL79" i="28"/>
  <c r="BY12" i="28"/>
  <c r="CP12" i="28"/>
  <c r="BL64" i="28"/>
  <c r="BL81" i="28"/>
  <c r="BM80" i="28"/>
  <c r="AQ69" i="28"/>
  <c r="AQ68" i="28"/>
  <c r="AQ67" i="28"/>
  <c r="BM79" i="28" l="1"/>
  <c r="BM65" i="28"/>
  <c r="BM64" i="28"/>
  <c r="BN80" i="28"/>
  <c r="BM81" i="28"/>
  <c r="AQ66" i="28"/>
  <c r="AQ65" i="28"/>
  <c r="BN65" i="28" l="1"/>
  <c r="BN79" i="28"/>
  <c r="BN81" i="28"/>
  <c r="BO80" i="28"/>
  <c r="BN64" i="28"/>
  <c r="BO79" i="28" l="1"/>
  <c r="BO65" i="28"/>
  <c r="BO81" i="28"/>
  <c r="BO64" i="28"/>
  <c r="BP80" i="28"/>
  <c r="BP65" i="28" l="1"/>
  <c r="BP79" i="28"/>
  <c r="W531" i="38"/>
  <c r="U531" i="38"/>
  <c r="V531" i="38"/>
  <c r="X531" i="38"/>
  <c r="Q531" i="38"/>
  <c r="Y531" i="38"/>
  <c r="S531" i="38"/>
  <c r="P531" i="38"/>
  <c r="R531" i="38"/>
  <c r="T531" i="38"/>
  <c r="X530" i="38"/>
  <c r="Q530" i="38"/>
  <c r="Y530" i="38"/>
  <c r="T530" i="38"/>
  <c r="U530" i="38"/>
  <c r="R530" i="38"/>
  <c r="P530" i="38"/>
  <c r="S530" i="38"/>
  <c r="V530" i="38"/>
  <c r="W530" i="38"/>
  <c r="Q529" i="38"/>
  <c r="Y529" i="38"/>
  <c r="V529" i="38"/>
  <c r="R529" i="38"/>
  <c r="W529" i="38"/>
  <c r="P529" i="38"/>
  <c r="S529" i="38"/>
  <c r="X529" i="38"/>
  <c r="T529" i="38"/>
  <c r="U529" i="38"/>
  <c r="BQ80" i="28"/>
  <c r="BP64" i="28"/>
  <c r="BP81" i="28"/>
  <c r="E297" i="38"/>
  <c r="F297" i="38"/>
  <c r="G297" i="38"/>
  <c r="H297" i="38"/>
  <c r="I297" i="38"/>
  <c r="J297" i="38"/>
  <c r="K297" i="38"/>
  <c r="L297" i="38"/>
  <c r="M297" i="38"/>
  <c r="D297" i="38"/>
  <c r="E293" i="38"/>
  <c r="F293" i="38"/>
  <c r="G293" i="38"/>
  <c r="H293" i="38"/>
  <c r="I293" i="38"/>
  <c r="J293" i="38"/>
  <c r="K293" i="38"/>
  <c r="L293" i="38"/>
  <c r="M293" i="38"/>
  <c r="E294" i="38"/>
  <c r="F294" i="38"/>
  <c r="G294" i="38"/>
  <c r="H294" i="38"/>
  <c r="I294" i="38"/>
  <c r="J294" i="38"/>
  <c r="K294" i="38"/>
  <c r="L294" i="38"/>
  <c r="M294" i="38"/>
  <c r="E282" i="38"/>
  <c r="F282" i="38"/>
  <c r="G282" i="38"/>
  <c r="H282" i="38"/>
  <c r="I282" i="38"/>
  <c r="J282" i="38"/>
  <c r="K282" i="38"/>
  <c r="L282" i="38"/>
  <c r="M282" i="38"/>
  <c r="E285" i="38"/>
  <c r="F285" i="38"/>
  <c r="G285" i="38"/>
  <c r="H285" i="38"/>
  <c r="I285" i="38"/>
  <c r="J285" i="38"/>
  <c r="K285" i="38"/>
  <c r="L285" i="38"/>
  <c r="M285" i="38"/>
  <c r="E286" i="38"/>
  <c r="F286" i="38"/>
  <c r="G286" i="38"/>
  <c r="H286" i="38"/>
  <c r="I286" i="38"/>
  <c r="J286" i="38"/>
  <c r="K286" i="38"/>
  <c r="L286" i="38"/>
  <c r="M286" i="38"/>
  <c r="D286" i="38"/>
  <c r="D285" i="38"/>
  <c r="D282" i="38"/>
  <c r="D294" i="38"/>
  <c r="D293" i="38"/>
  <c r="AA1156" i="33"/>
  <c r="AA1157" i="33"/>
  <c r="AA1158" i="33"/>
  <c r="AA1159" i="33"/>
  <c r="AA1160" i="33"/>
  <c r="AA1161" i="33"/>
  <c r="AA1162" i="33"/>
  <c r="AA1163" i="33"/>
  <c r="AA1164" i="33"/>
  <c r="AA1165" i="33"/>
  <c r="AA1166" i="33"/>
  <c r="AA1167" i="33"/>
  <c r="AA1168" i="33"/>
  <c r="AA1169" i="33"/>
  <c r="AA1170" i="33"/>
  <c r="AA1171" i="33"/>
  <c r="AA1172" i="33"/>
  <c r="AA1173" i="33"/>
  <c r="AA1174" i="33"/>
  <c r="AA1175" i="33"/>
  <c r="AA1176" i="33"/>
  <c r="AA1177" i="33"/>
  <c r="AA1178" i="33"/>
  <c r="AA1179" i="33"/>
  <c r="AA1180" i="33"/>
  <c r="AA1181" i="33"/>
  <c r="AA1182" i="33"/>
  <c r="AA1183" i="33"/>
  <c r="AA1184" i="33"/>
  <c r="AA1185" i="33"/>
  <c r="AA1186" i="33"/>
  <c r="AA1187" i="33"/>
  <c r="AA1188" i="33"/>
  <c r="AA1189" i="33"/>
  <c r="AA1190" i="33"/>
  <c r="AA1191" i="33"/>
  <c r="AA1192" i="33"/>
  <c r="AA1193" i="33"/>
  <c r="AA1194" i="33"/>
  <c r="AA1195" i="33"/>
  <c r="AA1196" i="33"/>
  <c r="AA1197" i="33"/>
  <c r="AA1198" i="33"/>
  <c r="AA1199" i="33"/>
  <c r="AA1200" i="33"/>
  <c r="AA1201" i="33"/>
  <c r="AA1202" i="33"/>
  <c r="AA1203" i="33"/>
  <c r="AA1204" i="33"/>
  <c r="AA1205" i="33"/>
  <c r="AA1206" i="33"/>
  <c r="AA1207" i="33"/>
  <c r="AA1208" i="33"/>
  <c r="AA1209" i="33"/>
  <c r="AA1210" i="33"/>
  <c r="AA1211" i="33"/>
  <c r="AA1212" i="33"/>
  <c r="AA1213" i="33"/>
  <c r="AA1214" i="33"/>
  <c r="AA1215" i="33"/>
  <c r="AA1216" i="33"/>
  <c r="AA1217" i="33"/>
  <c r="AA1218" i="33"/>
  <c r="AA1219" i="33"/>
  <c r="AA1220" i="33"/>
  <c r="AA1221" i="33"/>
  <c r="AA1222" i="33"/>
  <c r="AA1223" i="33"/>
  <c r="AA1224" i="33"/>
  <c r="AA1225" i="33"/>
  <c r="AA1226" i="33"/>
  <c r="AA1227" i="33"/>
  <c r="AA1228" i="33"/>
  <c r="AA1229" i="33"/>
  <c r="AA1230" i="33"/>
  <c r="AA1231" i="33"/>
  <c r="AA1232" i="33"/>
  <c r="AA1233" i="33"/>
  <c r="AA1234" i="33"/>
  <c r="AA1235" i="33"/>
  <c r="AA1236" i="33"/>
  <c r="AA1237" i="33"/>
  <c r="AA1238" i="33"/>
  <c r="AA1239" i="33"/>
  <c r="AA1240" i="33"/>
  <c r="AA1241" i="33"/>
  <c r="AA1242" i="33"/>
  <c r="AA1243" i="33"/>
  <c r="AA1244" i="33"/>
  <c r="AA1245" i="33"/>
  <c r="AA1246" i="33"/>
  <c r="AA1247" i="33"/>
  <c r="AA1248" i="33"/>
  <c r="AA1249" i="33"/>
  <c r="AA1250" i="33"/>
  <c r="AA1251" i="33"/>
  <c r="AA1252" i="33"/>
  <c r="AA1253" i="33"/>
  <c r="AA1254" i="33"/>
  <c r="AA1255" i="33"/>
  <c r="AA1256" i="33"/>
  <c r="AA1257" i="33"/>
  <c r="AA1258" i="33"/>
  <c r="E218" i="37"/>
  <c r="C218" i="37" s="1"/>
  <c r="C219" i="37" s="1"/>
  <c r="C220" i="37" s="1"/>
  <c r="C221" i="37" s="1"/>
  <c r="C222" i="37" s="1"/>
  <c r="C223" i="37" s="1"/>
  <c r="E212" i="37"/>
  <c r="C212" i="37" s="1"/>
  <c r="C213" i="37" s="1"/>
  <c r="C214" i="37" s="1"/>
  <c r="C215" i="37" s="1"/>
  <c r="C216" i="37" s="1"/>
  <c r="C217" i="37" s="1"/>
  <c r="E206" i="37"/>
  <c r="C206" i="37" s="1"/>
  <c r="C207" i="37" s="1"/>
  <c r="C208" i="37" s="1"/>
  <c r="C209" i="37" s="1"/>
  <c r="C210" i="37" s="1"/>
  <c r="C211" i="37" s="1"/>
  <c r="E200" i="37"/>
  <c r="C200" i="37" s="1"/>
  <c r="C201" i="37" s="1"/>
  <c r="C202" i="37" s="1"/>
  <c r="C203" i="37" s="1"/>
  <c r="C204" i="37" s="1"/>
  <c r="C205" i="37" s="1"/>
  <c r="E194" i="37"/>
  <c r="C194" i="37" s="1"/>
  <c r="C195" i="37" s="1"/>
  <c r="C196" i="37" s="1"/>
  <c r="C197" i="37" s="1"/>
  <c r="C198" i="37" s="1"/>
  <c r="C199" i="37" s="1"/>
  <c r="E188" i="37"/>
  <c r="C188" i="37" s="1"/>
  <c r="C189" i="37" s="1"/>
  <c r="C190" i="37" s="1"/>
  <c r="C191" i="37" s="1"/>
  <c r="C192" i="37" s="1"/>
  <c r="C193" i="37" s="1"/>
  <c r="E182" i="37"/>
  <c r="CR43" i="28"/>
  <c r="CR44" i="28"/>
  <c r="CR45" i="28"/>
  <c r="CR46" i="28"/>
  <c r="CR47" i="28"/>
  <c r="CR48" i="28"/>
  <c r="CR49" i="28"/>
  <c r="CR50" i="28"/>
  <c r="CR51" i="28"/>
  <c r="CR52" i="28"/>
  <c r="CR54" i="28"/>
  <c r="CR55" i="28"/>
  <c r="CR56" i="28"/>
  <c r="CR57" i="28"/>
  <c r="CR59" i="28"/>
  <c r="CR60" i="28"/>
  <c r="CR61" i="28"/>
  <c r="CR65" i="28"/>
  <c r="CR66" i="28"/>
  <c r="CR67" i="28"/>
  <c r="CR68" i="28"/>
  <c r="CR69" i="28"/>
  <c r="CR70" i="28"/>
  <c r="CR71" i="28"/>
  <c r="CR75" i="28"/>
  <c r="CR85" i="28"/>
  <c r="CR86" i="28"/>
  <c r="CR10" i="28"/>
  <c r="CR11" i="28"/>
  <c r="CR12" i="28"/>
  <c r="CR13" i="28"/>
  <c r="CR14" i="28"/>
  <c r="CR15" i="28"/>
  <c r="CR16" i="28"/>
  <c r="CR17" i="28"/>
  <c r="CR18" i="28"/>
  <c r="CR19" i="28"/>
  <c r="CR22" i="28"/>
  <c r="CR23" i="28"/>
  <c r="CR24" i="28"/>
  <c r="CR26" i="28"/>
  <c r="CR27" i="28"/>
  <c r="CR34" i="28"/>
  <c r="CR35" i="28"/>
  <c r="CR36" i="28"/>
  <c r="CR37" i="28"/>
  <c r="CR38" i="28"/>
  <c r="CR39" i="28"/>
  <c r="CR40" i="28"/>
  <c r="FZ10" i="28"/>
  <c r="GA10" i="28"/>
  <c r="GB10" i="28"/>
  <c r="GC10" i="28"/>
  <c r="GD10" i="28"/>
  <c r="GE10" i="28"/>
  <c r="GF10" i="28"/>
  <c r="FZ11" i="28"/>
  <c r="GA11" i="28"/>
  <c r="GB11" i="28"/>
  <c r="GC11" i="28"/>
  <c r="GD11" i="28"/>
  <c r="GE11" i="28"/>
  <c r="GF11" i="28"/>
  <c r="FZ16" i="28"/>
  <c r="GA16" i="28"/>
  <c r="GB16" i="28"/>
  <c r="GC16" i="28"/>
  <c r="GD16" i="28"/>
  <c r="GE16" i="28"/>
  <c r="GF16" i="28"/>
  <c r="FZ17" i="28"/>
  <c r="GA17" i="28"/>
  <c r="GB17" i="28"/>
  <c r="GC17" i="28"/>
  <c r="GD17" i="28"/>
  <c r="GE17" i="28"/>
  <c r="GF17" i="28"/>
  <c r="E880" i="37"/>
  <c r="E871" i="37"/>
  <c r="E870" i="37"/>
  <c r="E869" i="37"/>
  <c r="E868" i="37"/>
  <c r="E866" i="37"/>
  <c r="E865" i="37"/>
  <c r="D880" i="37" l="1"/>
  <c r="D881" i="37" s="1"/>
  <c r="D882" i="37" s="1"/>
  <c r="D883" i="37" s="1"/>
  <c r="D884" i="37" s="1"/>
  <c r="D885" i="37" s="1"/>
  <c r="D886" i="37" s="1"/>
  <c r="D887" i="37" s="1"/>
  <c r="D888" i="37" s="1"/>
  <c r="D889" i="37" s="1"/>
  <c r="D890" i="37" s="1"/>
  <c r="D891" i="37" s="1"/>
  <c r="D892" i="37" s="1"/>
  <c r="D893" i="37" s="1"/>
  <c r="D429" i="38"/>
  <c r="D440" i="38" s="1"/>
  <c r="D290" i="38"/>
  <c r="F290" i="38"/>
  <c r="G289" i="38"/>
  <c r="E340" i="38"/>
  <c r="J290" i="38"/>
  <c r="K289" i="38"/>
  <c r="E341" i="38"/>
  <c r="I290" i="38"/>
  <c r="J289" i="38"/>
  <c r="M290" i="38"/>
  <c r="E290" i="38"/>
  <c r="F289" i="38"/>
  <c r="K290" i="38"/>
  <c r="L289" i="38"/>
  <c r="I289" i="38"/>
  <c r="G290" i="38"/>
  <c r="L290" i="38"/>
  <c r="M289" i="38"/>
  <c r="E289" i="38"/>
  <c r="D403" i="38"/>
  <c r="D475" i="38" s="1"/>
  <c r="BR80" i="28"/>
  <c r="FE80" i="28" s="1" a="1"/>
  <c r="FE80" i="28" s="1"/>
  <c r="BQ79" i="28"/>
  <c r="BQ65" i="28"/>
  <c r="D289" i="38"/>
  <c r="S297" i="38"/>
  <c r="H290" i="38"/>
  <c r="S286" i="38"/>
  <c r="H289" i="38"/>
  <c r="S285" i="38"/>
  <c r="S282" i="38"/>
  <c r="S294" i="38"/>
  <c r="S293" i="38"/>
  <c r="D487" i="38"/>
  <c r="J341" i="38"/>
  <c r="J362" i="38" s="1"/>
  <c r="J381" i="38" s="1"/>
  <c r="R341" i="38"/>
  <c r="R362" i="38" s="1"/>
  <c r="R381" i="38" s="1"/>
  <c r="L341" i="38"/>
  <c r="L362" i="38" s="1"/>
  <c r="L381" i="38" s="1"/>
  <c r="M341" i="38"/>
  <c r="M362" i="38" s="1"/>
  <c r="M381" i="38" s="1"/>
  <c r="E362" i="38"/>
  <c r="E381" i="38" s="1"/>
  <c r="G341" i="38"/>
  <c r="G362" i="38" s="1"/>
  <c r="G381" i="38" s="1"/>
  <c r="O341" i="38"/>
  <c r="O362" i="38" s="1"/>
  <c r="O381" i="38" s="1"/>
  <c r="H341" i="38"/>
  <c r="H362" i="38" s="1"/>
  <c r="H381" i="38" s="1"/>
  <c r="P341" i="38"/>
  <c r="P362" i="38" s="1"/>
  <c r="P381" i="38" s="1"/>
  <c r="F341" i="38"/>
  <c r="F362" i="38" s="1"/>
  <c r="F381" i="38" s="1"/>
  <c r="I341" i="38"/>
  <c r="I362" i="38" s="1"/>
  <c r="I381" i="38" s="1"/>
  <c r="K341" i="38"/>
  <c r="K362" i="38" s="1"/>
  <c r="K381" i="38" s="1"/>
  <c r="N341" i="38"/>
  <c r="N362" i="38" s="1"/>
  <c r="N381" i="38" s="1"/>
  <c r="Q341" i="38"/>
  <c r="Q362" i="38" s="1"/>
  <c r="Q381" i="38" s="1"/>
  <c r="D341" i="38"/>
  <c r="D334" i="38"/>
  <c r="D486" i="38"/>
  <c r="K340" i="38"/>
  <c r="K361" i="38" s="1"/>
  <c r="K380" i="38" s="1"/>
  <c r="D340" i="38"/>
  <c r="E361" i="38"/>
  <c r="E380" i="38" s="1"/>
  <c r="M340" i="38"/>
  <c r="M361" i="38" s="1"/>
  <c r="M380" i="38" s="1"/>
  <c r="N340" i="38"/>
  <c r="N361" i="38" s="1"/>
  <c r="N380" i="38" s="1"/>
  <c r="F340" i="38"/>
  <c r="F361" i="38" s="1"/>
  <c r="F380" i="38" s="1"/>
  <c r="H340" i="38"/>
  <c r="H361" i="38" s="1"/>
  <c r="H380" i="38" s="1"/>
  <c r="P340" i="38"/>
  <c r="P361" i="38" s="1"/>
  <c r="P380" i="38" s="1"/>
  <c r="I340" i="38"/>
  <c r="I361" i="38" s="1"/>
  <c r="I380" i="38" s="1"/>
  <c r="Q340" i="38"/>
  <c r="Q361" i="38" s="1"/>
  <c r="Q380" i="38" s="1"/>
  <c r="J340" i="38"/>
  <c r="J361" i="38" s="1"/>
  <c r="J380" i="38" s="1"/>
  <c r="L340" i="38"/>
  <c r="L361" i="38" s="1"/>
  <c r="L380" i="38" s="1"/>
  <c r="O340" i="38"/>
  <c r="O361" i="38" s="1"/>
  <c r="O380" i="38" s="1"/>
  <c r="G340" i="38"/>
  <c r="G361" i="38" s="1"/>
  <c r="G380" i="38" s="1"/>
  <c r="R340" i="38"/>
  <c r="R361" i="38" s="1"/>
  <c r="R380" i="38" s="1"/>
  <c r="F487" i="38"/>
  <c r="G486" i="38"/>
  <c r="I429" i="38"/>
  <c r="M487" i="38"/>
  <c r="E487" i="38"/>
  <c r="F486" i="38"/>
  <c r="H429" i="38"/>
  <c r="L487" i="38"/>
  <c r="M486" i="38"/>
  <c r="E486" i="38"/>
  <c r="G429" i="38"/>
  <c r="K487" i="38"/>
  <c r="L486" i="38"/>
  <c r="F429" i="38"/>
  <c r="J487" i="38"/>
  <c r="K486" i="38"/>
  <c r="M429" i="38"/>
  <c r="E429" i="38"/>
  <c r="E440" i="38" s="1"/>
  <c r="I487" i="38"/>
  <c r="J486" i="38"/>
  <c r="L429" i="38"/>
  <c r="H487" i="38"/>
  <c r="I486" i="38"/>
  <c r="K429" i="38"/>
  <c r="G487" i="38"/>
  <c r="H486" i="38"/>
  <c r="J429" i="38"/>
  <c r="D428" i="38"/>
  <c r="D432" i="38" s="1"/>
  <c r="J428" i="38"/>
  <c r="K428" i="38"/>
  <c r="I428" i="38"/>
  <c r="H428" i="38"/>
  <c r="G428" i="38"/>
  <c r="F428" i="38"/>
  <c r="M428" i="38"/>
  <c r="E428" i="38"/>
  <c r="E407" i="38"/>
  <c r="L428" i="38"/>
  <c r="EP40" i="28"/>
  <c r="EQ40" i="28"/>
  <c r="ER40" i="28"/>
  <c r="ES40" i="28"/>
  <c r="EO40" i="28"/>
  <c r="EQ26" i="28"/>
  <c r="ER26" i="28"/>
  <c r="ES26" i="28"/>
  <c r="EO26" i="28"/>
  <c r="EP26" i="28"/>
  <c r="ES15" i="28"/>
  <c r="EO15" i="28"/>
  <c r="EP15" i="28"/>
  <c r="EQ15" i="28"/>
  <c r="ER15" i="28"/>
  <c r="EO39" i="28"/>
  <c r="EP39" i="28"/>
  <c r="EQ39" i="28"/>
  <c r="ER39" i="28"/>
  <c r="ES39" i="28"/>
  <c r="EP14" i="28"/>
  <c r="EQ14" i="28"/>
  <c r="ER14" i="28"/>
  <c r="ES14" i="28"/>
  <c r="EO14" i="28"/>
  <c r="EO16" i="28"/>
  <c r="EP16" i="28"/>
  <c r="EQ16" i="28"/>
  <c r="ER16" i="28"/>
  <c r="ES16" i="28"/>
  <c r="ER38" i="28"/>
  <c r="ES38" i="28"/>
  <c r="EO38" i="28"/>
  <c r="EP38" i="28"/>
  <c r="EQ38" i="28"/>
  <c r="ES23" i="28"/>
  <c r="EO23" i="28"/>
  <c r="EP23" i="28"/>
  <c r="EQ23" i="28"/>
  <c r="ER23" i="28"/>
  <c r="EO13" i="28"/>
  <c r="EP13" i="28"/>
  <c r="EQ13" i="28"/>
  <c r="ER13" i="28"/>
  <c r="ES13" i="28"/>
  <c r="ER59" i="28"/>
  <c r="EQ59" i="28"/>
  <c r="ES59" i="28"/>
  <c r="EO59" i="28"/>
  <c r="EP59" i="28"/>
  <c r="EO37" i="28"/>
  <c r="EP37" i="28"/>
  <c r="EQ37" i="28"/>
  <c r="ER37" i="28"/>
  <c r="ES37" i="28"/>
  <c r="EP22" i="28"/>
  <c r="EQ22" i="28"/>
  <c r="ER22" i="28"/>
  <c r="ES22" i="28"/>
  <c r="EO22" i="28"/>
  <c r="ER12" i="28"/>
  <c r="ES12" i="28"/>
  <c r="EO12" i="28"/>
  <c r="EP12" i="28"/>
  <c r="EQ12" i="28"/>
  <c r="EO19" i="28"/>
  <c r="EP19" i="28"/>
  <c r="EQ19" i="28"/>
  <c r="ER19" i="28"/>
  <c r="ES19" i="28"/>
  <c r="EO11" i="28"/>
  <c r="EP11" i="28"/>
  <c r="EQ11" i="28"/>
  <c r="ER11" i="28"/>
  <c r="ES11" i="28"/>
  <c r="EO27" i="28"/>
  <c r="EP27" i="28"/>
  <c r="EQ27" i="28"/>
  <c r="ER27" i="28"/>
  <c r="ES27" i="28"/>
  <c r="EO18" i="28"/>
  <c r="EP18" i="28"/>
  <c r="EQ18" i="28"/>
  <c r="ER18" i="28"/>
  <c r="ES18" i="28"/>
  <c r="EO10" i="28"/>
  <c r="EP10" i="28"/>
  <c r="EQ10" i="28"/>
  <c r="ER10" i="28"/>
  <c r="ES10" i="28"/>
  <c r="EQ17" i="28"/>
  <c r="ER17" i="28"/>
  <c r="ES17" i="28"/>
  <c r="EO17" i="28"/>
  <c r="EP17" i="28"/>
  <c r="ER86" i="28"/>
  <c r="ES86" i="28"/>
  <c r="EO86" i="28"/>
  <c r="EP86" i="28"/>
  <c r="EQ86" i="28"/>
  <c r="EO52" i="28"/>
  <c r="ER52" i="28"/>
  <c r="ES52" i="28"/>
  <c r="EQ52" i="28"/>
  <c r="EP52" i="28"/>
  <c r="EQ51" i="28"/>
  <c r="ES51" i="28"/>
  <c r="EO51" i="28"/>
  <c r="ER51" i="28"/>
  <c r="EP51" i="28"/>
  <c r="EP60" i="28"/>
  <c r="ER60" i="28"/>
  <c r="EO60" i="28"/>
  <c r="ES60" i="28"/>
  <c r="EQ60" i="28"/>
  <c r="EP50" i="28"/>
  <c r="EO50" i="28"/>
  <c r="ES50" i="28"/>
  <c r="ER50" i="28"/>
  <c r="EQ50" i="28"/>
  <c r="EQ44" i="28"/>
  <c r="ER44" i="28"/>
  <c r="EP44" i="28"/>
  <c r="EO44" i="28"/>
  <c r="ES44" i="28"/>
  <c r="ER75" i="28"/>
  <c r="ES75" i="28"/>
  <c r="EP75" i="28"/>
  <c r="EQ75" i="28"/>
  <c r="EO75" i="28"/>
  <c r="EQ69" i="28"/>
  <c r="EP69" i="28"/>
  <c r="EO69" i="28"/>
  <c r="ES69" i="28"/>
  <c r="ER69" i="28"/>
  <c r="EO57" i="28"/>
  <c r="EQ57" i="28"/>
  <c r="ER57" i="28"/>
  <c r="ES57" i="28"/>
  <c r="EP57" i="28"/>
  <c r="EP85" i="28"/>
  <c r="ES85" i="28"/>
  <c r="EQ85" i="28"/>
  <c r="EO85" i="28"/>
  <c r="ER85" i="28"/>
  <c r="EO43" i="28"/>
  <c r="ER43" i="28"/>
  <c r="EQ43" i="28"/>
  <c r="ES43" i="28"/>
  <c r="EP43" i="28"/>
  <c r="ES68" i="28"/>
  <c r="EO68" i="28"/>
  <c r="EQ68" i="28"/>
  <c r="EP68" i="28"/>
  <c r="ER68" i="28"/>
  <c r="ES47" i="28"/>
  <c r="EQ47" i="28"/>
  <c r="EP47" i="28"/>
  <c r="EO47" i="28"/>
  <c r="ER47" i="28"/>
  <c r="EO61" i="28"/>
  <c r="EQ61" i="28"/>
  <c r="EP61" i="28"/>
  <c r="ES61" i="28"/>
  <c r="ER61" i="28"/>
  <c r="EP67" i="28"/>
  <c r="ER67" i="28"/>
  <c r="ES67" i="28"/>
  <c r="EQ67" i="28"/>
  <c r="EO67" i="28"/>
  <c r="ER65" i="28"/>
  <c r="EO65" i="28"/>
  <c r="EP65" i="28"/>
  <c r="ES65" i="28"/>
  <c r="EQ65" i="28"/>
  <c r="EO66" i="28"/>
  <c r="EP66" i="28"/>
  <c r="ES66" i="28"/>
  <c r="EQ66" i="28"/>
  <c r="ER66" i="28"/>
  <c r="ER54" i="28"/>
  <c r="ES54" i="28"/>
  <c r="EQ54" i="28"/>
  <c r="EO54" i="28"/>
  <c r="EP54" i="28"/>
  <c r="EO45" i="28"/>
  <c r="EP45" i="28"/>
  <c r="EQ45" i="28"/>
  <c r="ES45" i="28"/>
  <c r="ER45" i="28"/>
  <c r="EK39" i="28"/>
  <c r="EJ39" i="28"/>
  <c r="EH39" i="28"/>
  <c r="EI39" i="28"/>
  <c r="EG39" i="28"/>
  <c r="EE39" i="28"/>
  <c r="EF39" i="28"/>
  <c r="EN39" i="28"/>
  <c r="EM39" i="28"/>
  <c r="EL39" i="28"/>
  <c r="EN12" i="28"/>
  <c r="EL12" i="28"/>
  <c r="EM12" i="28"/>
  <c r="EK12" i="28"/>
  <c r="EE12" i="28"/>
  <c r="EF12" i="28"/>
  <c r="EG12" i="28"/>
  <c r="EH12" i="28"/>
  <c r="EI12" i="28"/>
  <c r="EJ12" i="28"/>
  <c r="EL11" i="28"/>
  <c r="EM11" i="28"/>
  <c r="EN11" i="28"/>
  <c r="EJ11" i="28"/>
  <c r="EG11" i="28"/>
  <c r="EH11" i="28"/>
  <c r="EI11" i="28"/>
  <c r="EE11" i="28"/>
  <c r="EF11" i="28"/>
  <c r="EK11" i="28"/>
  <c r="EI57" i="28"/>
  <c r="EN57" i="28"/>
  <c r="EK57" i="28"/>
  <c r="EJ57" i="28"/>
  <c r="EM57" i="28"/>
  <c r="EL57" i="28"/>
  <c r="EL17" i="28"/>
  <c r="EE17" i="28"/>
  <c r="EM17" i="28"/>
  <c r="EF17" i="28"/>
  <c r="EN17" i="28"/>
  <c r="EG17" i="28"/>
  <c r="EH17" i="28"/>
  <c r="EJ17" i="28"/>
  <c r="EI17" i="28"/>
  <c r="EK17" i="28"/>
  <c r="EK86" i="28"/>
  <c r="EL86" i="28"/>
  <c r="EM86" i="28"/>
  <c r="EN86" i="28"/>
  <c r="EI86" i="28"/>
  <c r="EJ86" i="28"/>
  <c r="EN66" i="28"/>
  <c r="EM66" i="28"/>
  <c r="EI66" i="28"/>
  <c r="EJ66" i="28"/>
  <c r="EL66" i="28"/>
  <c r="EK66" i="28"/>
  <c r="EI47" i="28"/>
  <c r="EJ47" i="28"/>
  <c r="EK47" i="28"/>
  <c r="EL47" i="28"/>
  <c r="EM47" i="28"/>
  <c r="EN47" i="28"/>
  <c r="EL45" i="28"/>
  <c r="EI45" i="28"/>
  <c r="EJ45" i="28"/>
  <c r="EM45" i="28"/>
  <c r="EK45" i="28"/>
  <c r="EN45" i="28"/>
  <c r="EL15" i="28"/>
  <c r="EM15" i="28"/>
  <c r="EN15" i="28"/>
  <c r="EK15" i="28"/>
  <c r="EG15" i="28"/>
  <c r="EI15" i="28"/>
  <c r="EF15" i="28"/>
  <c r="EE15" i="28"/>
  <c r="EJ15" i="28"/>
  <c r="EH15" i="28"/>
  <c r="EL14" i="28"/>
  <c r="EM14" i="28"/>
  <c r="EN14" i="28"/>
  <c r="EK60" i="28"/>
  <c r="EN60" i="28"/>
  <c r="EM60" i="28"/>
  <c r="EJ60" i="28"/>
  <c r="EI60" i="28"/>
  <c r="EL60" i="28"/>
  <c r="EI52" i="28"/>
  <c r="EJ52" i="28"/>
  <c r="EK52" i="28"/>
  <c r="EL52" i="28"/>
  <c r="EN52" i="28"/>
  <c r="EM52" i="28"/>
  <c r="EI44" i="28"/>
  <c r="EJ44" i="28"/>
  <c r="EK44" i="28"/>
  <c r="EL44" i="28"/>
  <c r="EN44" i="28"/>
  <c r="EM44" i="28"/>
  <c r="EI27" i="28"/>
  <c r="EH27" i="28"/>
  <c r="EF27" i="28"/>
  <c r="EG27" i="28"/>
  <c r="EN27" i="28"/>
  <c r="EM27" i="28"/>
  <c r="EL27" i="28"/>
  <c r="EJ27" i="28"/>
  <c r="EK27" i="28"/>
  <c r="EE27" i="28"/>
  <c r="EN16" i="28"/>
  <c r="EL16" i="28"/>
  <c r="EM16" i="28"/>
  <c r="EK16" i="28"/>
  <c r="EE16" i="28"/>
  <c r="EG16" i="28"/>
  <c r="EH16" i="28"/>
  <c r="EI16" i="28"/>
  <c r="EF16" i="28"/>
  <c r="EJ16" i="28"/>
  <c r="EM85" i="28"/>
  <c r="EJ85" i="28"/>
  <c r="EI85" i="28"/>
  <c r="EL85" i="28"/>
  <c r="EN85" i="28"/>
  <c r="EK85" i="28"/>
  <c r="EL65" i="28"/>
  <c r="EK65" i="28"/>
  <c r="EM65" i="28"/>
  <c r="EJ65" i="28"/>
  <c r="EN65" i="28"/>
  <c r="EI65" i="28"/>
  <c r="EI54" i="28"/>
  <c r="EJ54" i="28"/>
  <c r="EK54" i="28"/>
  <c r="EL54" i="28"/>
  <c r="EM54" i="28"/>
  <c r="EN54" i="28"/>
  <c r="EK26" i="28"/>
  <c r="EH26" i="28"/>
  <c r="EJ26" i="28"/>
  <c r="EI26" i="28"/>
  <c r="EG26" i="28"/>
  <c r="EN26" i="28"/>
  <c r="EM26" i="28"/>
  <c r="EL26" i="28"/>
  <c r="EF26" i="28"/>
  <c r="EE26" i="28"/>
  <c r="EN75" i="28"/>
  <c r="EL75" i="28"/>
  <c r="EJ75" i="28"/>
  <c r="EK75" i="28"/>
  <c r="EI75" i="28"/>
  <c r="EM75" i="28"/>
  <c r="EK61" i="28"/>
  <c r="EN61" i="28"/>
  <c r="EL61" i="28"/>
  <c r="EI61" i="28"/>
  <c r="EJ61" i="28"/>
  <c r="EM61" i="28"/>
  <c r="EI53" i="28"/>
  <c r="EJ53" i="28"/>
  <c r="EK53" i="28"/>
  <c r="EL53" i="28"/>
  <c r="EM53" i="28"/>
  <c r="EN53" i="28"/>
  <c r="EI40" i="28"/>
  <c r="EN40" i="28"/>
  <c r="EH40" i="28"/>
  <c r="EG40" i="28"/>
  <c r="EF40" i="28"/>
  <c r="EM40" i="28"/>
  <c r="EE40" i="28"/>
  <c r="EK40" i="28"/>
  <c r="EL40" i="28"/>
  <c r="EJ40" i="28"/>
  <c r="EH23" i="28"/>
  <c r="EK23" i="28"/>
  <c r="EI23" i="28"/>
  <c r="EJ23" i="28"/>
  <c r="EL23" i="28"/>
  <c r="EF23" i="28"/>
  <c r="EM23" i="28"/>
  <c r="EN23" i="28"/>
  <c r="EG23" i="28"/>
  <c r="EE23" i="28"/>
  <c r="EL13" i="28"/>
  <c r="EM13" i="28"/>
  <c r="EN13" i="28"/>
  <c r="EM59" i="28"/>
  <c r="EL59" i="28"/>
  <c r="EN59" i="28"/>
  <c r="EK59" i="28"/>
  <c r="EI51" i="28"/>
  <c r="EJ51" i="28"/>
  <c r="EK51" i="28"/>
  <c r="EL51" i="28"/>
  <c r="EN51" i="28"/>
  <c r="EM51" i="28"/>
  <c r="EI43" i="28"/>
  <c r="EJ43" i="28"/>
  <c r="EK43" i="28"/>
  <c r="EL43" i="28"/>
  <c r="EN43" i="28"/>
  <c r="EM43" i="28"/>
  <c r="EL22" i="28"/>
  <c r="EM22" i="28"/>
  <c r="EN22" i="28"/>
  <c r="EG22" i="28"/>
  <c r="EK22" i="28"/>
  <c r="EF22" i="28"/>
  <c r="EH22" i="28"/>
  <c r="EE22" i="28"/>
  <c r="EJ22" i="28"/>
  <c r="EI22" i="28"/>
  <c r="EJ69" i="28"/>
  <c r="EN69" i="28"/>
  <c r="EI69" i="28"/>
  <c r="EL69" i="28"/>
  <c r="EM69" i="28"/>
  <c r="EK69" i="28"/>
  <c r="EJ50" i="28"/>
  <c r="EI50" i="28"/>
  <c r="EK50" i="28"/>
  <c r="EL50" i="28"/>
  <c r="EM50" i="28"/>
  <c r="EN50" i="28"/>
  <c r="EM38" i="28"/>
  <c r="EE38" i="28"/>
  <c r="EJ38" i="28"/>
  <c r="EL38" i="28"/>
  <c r="EK38" i="28"/>
  <c r="EI38" i="28"/>
  <c r="EN38" i="28"/>
  <c r="EH38" i="28"/>
  <c r="EG38" i="28"/>
  <c r="EF38" i="28"/>
  <c r="EL19" i="28"/>
  <c r="EM19" i="28"/>
  <c r="EN19" i="28"/>
  <c r="EE19" i="28"/>
  <c r="EF19" i="28"/>
  <c r="EI19" i="28"/>
  <c r="EG19" i="28"/>
  <c r="EJ19" i="28"/>
  <c r="EH19" i="28"/>
  <c r="EK19" i="28"/>
  <c r="EL68" i="28"/>
  <c r="EN68" i="28"/>
  <c r="EJ68" i="28"/>
  <c r="EI68" i="28"/>
  <c r="EM68" i="28"/>
  <c r="EK68" i="28"/>
  <c r="EG37" i="28"/>
  <c r="EN37" i="28"/>
  <c r="EF37" i="28"/>
  <c r="EL37" i="28"/>
  <c r="EM37" i="28"/>
  <c r="EE37" i="28"/>
  <c r="EK37" i="28"/>
  <c r="EH37" i="28"/>
  <c r="EI37" i="28"/>
  <c r="EJ37" i="28"/>
  <c r="EM18" i="28"/>
  <c r="EL18" i="28"/>
  <c r="EN18" i="28"/>
  <c r="EJ10" i="28"/>
  <c r="EM10" i="28"/>
  <c r="EK10" i="28"/>
  <c r="EL10" i="28"/>
  <c r="EE10" i="28"/>
  <c r="EF10" i="28"/>
  <c r="EN10" i="28"/>
  <c r="EH10" i="28"/>
  <c r="EI10" i="28"/>
  <c r="EG10" i="28"/>
  <c r="EM67" i="28"/>
  <c r="EK67" i="28"/>
  <c r="EI67" i="28"/>
  <c r="EJ67" i="28"/>
  <c r="EL67" i="28"/>
  <c r="EN67" i="28"/>
  <c r="E406" i="38"/>
  <c r="F406" i="38" s="1"/>
  <c r="G406" i="38" s="1"/>
  <c r="H406" i="38" s="1"/>
  <c r="I406" i="38" s="1"/>
  <c r="J406" i="38" s="1"/>
  <c r="K406" i="38" s="1"/>
  <c r="L406" i="38" s="1"/>
  <c r="M406" i="38" s="1"/>
  <c r="M333" i="38" s="1"/>
  <c r="M354" i="38" s="1"/>
  <c r="M374" i="38" s="1"/>
  <c r="O545" i="38"/>
  <c r="O533" i="38"/>
  <c r="C182" i="37"/>
  <c r="D482" i="38"/>
  <c r="T537" i="38"/>
  <c r="P537" i="38"/>
  <c r="R537" i="38"/>
  <c r="U537" i="38"/>
  <c r="V537" i="38"/>
  <c r="Y537" i="38"/>
  <c r="W537" i="38"/>
  <c r="X537" i="38"/>
  <c r="Q537" i="38"/>
  <c r="S537" i="38"/>
  <c r="U536" i="38"/>
  <c r="Y536" i="38"/>
  <c r="T536" i="38"/>
  <c r="V536" i="38"/>
  <c r="R536" i="38"/>
  <c r="S536" i="38"/>
  <c r="W536" i="38"/>
  <c r="Q536" i="38"/>
  <c r="X536" i="38"/>
  <c r="P536" i="38"/>
  <c r="X541" i="38"/>
  <c r="X545" i="38" s="1"/>
  <c r="P541" i="38"/>
  <c r="P545" i="38" s="1"/>
  <c r="Q541" i="38"/>
  <c r="Q545" i="38" s="1"/>
  <c r="Y541" i="38"/>
  <c r="Y545" i="38" s="1"/>
  <c r="V541" i="38"/>
  <c r="V545" i="38" s="1"/>
  <c r="R541" i="38"/>
  <c r="R545" i="38" s="1"/>
  <c r="T541" i="38"/>
  <c r="T545" i="38" s="1"/>
  <c r="U541" i="38"/>
  <c r="U545" i="38" s="1"/>
  <c r="S541" i="38"/>
  <c r="S545" i="38" s="1"/>
  <c r="W541" i="38"/>
  <c r="W545" i="38" s="1"/>
  <c r="S538" i="38"/>
  <c r="X538" i="38"/>
  <c r="T538" i="38"/>
  <c r="W538" i="38"/>
  <c r="P538" i="38"/>
  <c r="R538" i="38"/>
  <c r="U538" i="38"/>
  <c r="Y538" i="38"/>
  <c r="V538" i="38"/>
  <c r="Q538" i="38"/>
  <c r="Q540" i="38"/>
  <c r="Y540" i="38"/>
  <c r="U540" i="38"/>
  <c r="R540" i="38"/>
  <c r="X540" i="38"/>
  <c r="S540" i="38"/>
  <c r="T540" i="38"/>
  <c r="V540" i="38"/>
  <c r="W540" i="38"/>
  <c r="P540" i="38"/>
  <c r="R539" i="38"/>
  <c r="X539" i="38"/>
  <c r="Y539" i="38"/>
  <c r="S539" i="38"/>
  <c r="W539" i="38"/>
  <c r="T539" i="38"/>
  <c r="V539" i="38"/>
  <c r="Q539" i="38"/>
  <c r="U539" i="38"/>
  <c r="P539" i="38"/>
  <c r="D479" i="38"/>
  <c r="BQ81" i="28"/>
  <c r="BQ64" i="28"/>
  <c r="CF18" i="28"/>
  <c r="EK18" i="28" s="1"/>
  <c r="CE18" i="28"/>
  <c r="EJ18" i="28" s="1"/>
  <c r="CD18" i="28"/>
  <c r="EI18" i="28" s="1"/>
  <c r="CC18" i="28"/>
  <c r="CB18" i="28"/>
  <c r="EG18" i="28" s="1"/>
  <c r="CA18" i="28"/>
  <c r="EF18" i="28" s="1"/>
  <c r="BZ18" i="28"/>
  <c r="CC14" i="28"/>
  <c r="CB14" i="28"/>
  <c r="EG14" i="28" s="1"/>
  <c r="CA14" i="28"/>
  <c r="EF14" i="28" s="1"/>
  <c r="BZ14" i="28"/>
  <c r="BI56" i="34"/>
  <c r="BH56" i="34"/>
  <c r="BG56" i="34"/>
  <c r="BF56" i="34"/>
  <c r="BE56" i="34"/>
  <c r="BD56" i="34"/>
  <c r="BC56" i="34"/>
  <c r="BB56" i="34"/>
  <c r="BA56" i="34"/>
  <c r="AZ56" i="34"/>
  <c r="BI55" i="34"/>
  <c r="BH55" i="34"/>
  <c r="BG55" i="34"/>
  <c r="BF55" i="34"/>
  <c r="BE55" i="34"/>
  <c r="BD55" i="34"/>
  <c r="BC55" i="34"/>
  <c r="BB55" i="34"/>
  <c r="BA55" i="34"/>
  <c r="AZ55" i="34"/>
  <c r="BI54" i="34"/>
  <c r="BH54" i="34"/>
  <c r="BG54" i="34"/>
  <c r="BF54" i="34"/>
  <c r="CF14" i="28" s="1"/>
  <c r="EK14" i="28" s="1"/>
  <c r="BE54" i="34"/>
  <c r="CE14" i="28" s="1"/>
  <c r="EJ14" i="28" s="1"/>
  <c r="BD54" i="34"/>
  <c r="CD14" i="28" s="1"/>
  <c r="EI14" i="28" s="1"/>
  <c r="BC54" i="34"/>
  <c r="BB54" i="34"/>
  <c r="BA54" i="34"/>
  <c r="AZ54" i="34"/>
  <c r="BA51" i="34"/>
  <c r="BB51" i="34"/>
  <c r="BC51" i="34"/>
  <c r="BD51" i="34"/>
  <c r="BE51" i="34"/>
  <c r="BF51" i="34"/>
  <c r="BG51" i="34"/>
  <c r="BH51" i="34"/>
  <c r="BI51" i="34"/>
  <c r="AZ51" i="34"/>
  <c r="EH14" i="28" l="1"/>
  <c r="ET14" i="28" s="1"/>
  <c r="CO14" i="28"/>
  <c r="EH18" i="28"/>
  <c r="ET18" i="28" s="1"/>
  <c r="CO18" i="28"/>
  <c r="BS80" i="28"/>
  <c r="FF80" i="28" s="1" a="1"/>
  <c r="FF80" i="28" s="1"/>
  <c r="D439" i="38"/>
  <c r="E337" i="38"/>
  <c r="S290" i="38"/>
  <c r="D438" i="38"/>
  <c r="E438" i="38" s="1"/>
  <c r="F438" i="38" s="1"/>
  <c r="G438" i="38" s="1"/>
  <c r="H438" i="38" s="1"/>
  <c r="I438" i="38" s="1"/>
  <c r="J438" i="38" s="1"/>
  <c r="K438" i="38" s="1"/>
  <c r="L438" i="38" s="1"/>
  <c r="M438" i="38" s="1"/>
  <c r="N438" i="38" s="1"/>
  <c r="O438" i="38" s="1"/>
  <c r="P438" i="38" s="1"/>
  <c r="Q438" i="38" s="1"/>
  <c r="R438" i="38" s="1"/>
  <c r="E336" i="38"/>
  <c r="EU42" i="28" a="1"/>
  <c r="EU42" i="28" s="1"/>
  <c r="EU48" i="28" a="1"/>
  <c r="EU48" i="28" s="1"/>
  <c r="EU44" i="28" a="1"/>
  <c r="EU44" i="28" s="1"/>
  <c r="EU49" i="28" a="1"/>
  <c r="EU49" i="28" s="1"/>
  <c r="EU43" i="28" a="1"/>
  <c r="EU43" i="28" s="1"/>
  <c r="EU46" i="28" a="1"/>
  <c r="EU46" i="28" s="1"/>
  <c r="EU45" i="28" a="1"/>
  <c r="EU45" i="28" s="1"/>
  <c r="EU47" i="28" a="1"/>
  <c r="EU47" i="28" s="1"/>
  <c r="EV46" i="28" a="1"/>
  <c r="EV46" i="28" s="1"/>
  <c r="EV47" i="28" a="1"/>
  <c r="EV47" i="28" s="1"/>
  <c r="EV48" i="28" a="1"/>
  <c r="EV48" i="28" s="1"/>
  <c r="EV42" i="28" a="1"/>
  <c r="EV42" i="28" s="1"/>
  <c r="EV49" i="28" a="1"/>
  <c r="EV49" i="28" s="1"/>
  <c r="EV44" i="28" a="1"/>
  <c r="EV44" i="28" s="1"/>
  <c r="EV43" i="28" a="1"/>
  <c r="EV43" i="28" s="1"/>
  <c r="EV45" i="28" a="1"/>
  <c r="EV45" i="28" s="1"/>
  <c r="EW42" i="28" a="1"/>
  <c r="EW42" i="28" s="1"/>
  <c r="EW48" i="28" a="1"/>
  <c r="EW48" i="28" s="1"/>
  <c r="EW47" i="28" a="1"/>
  <c r="EW47" i="28" s="1"/>
  <c r="EW44" i="28" a="1"/>
  <c r="EW44" i="28" s="1"/>
  <c r="EW49" i="28" a="1"/>
  <c r="EW49" i="28" s="1"/>
  <c r="EW46" i="28" a="1"/>
  <c r="EW46" i="28" s="1"/>
  <c r="EW43" i="28" a="1"/>
  <c r="EW43" i="28" s="1"/>
  <c r="EW45" i="28" a="1"/>
  <c r="EW45" i="28" s="1"/>
  <c r="EU9" i="28" a="1"/>
  <c r="EU9" i="28" s="1"/>
  <c r="EU8" i="28" a="1"/>
  <c r="EU8" i="28" s="1"/>
  <c r="EU10" i="28" a="1"/>
  <c r="EU10" i="28" s="1"/>
  <c r="BR65" i="28"/>
  <c r="BR64" i="28"/>
  <c r="FE64" i="28" s="1" a="1"/>
  <c r="FE64" i="28" s="1"/>
  <c r="BR79" i="28"/>
  <c r="BR81" i="28"/>
  <c r="FE81" i="28" s="1" a="1"/>
  <c r="FE81" i="28" s="1"/>
  <c r="E479" i="38"/>
  <c r="E334" i="38"/>
  <c r="E355" i="38" s="1"/>
  <c r="E375" i="38" s="1"/>
  <c r="E335" i="38"/>
  <c r="S289" i="38"/>
  <c r="E333" i="38"/>
  <c r="E354" i="38" s="1"/>
  <c r="E374" i="38" s="1"/>
  <c r="ET86" i="28"/>
  <c r="ET37" i="28"/>
  <c r="ET16" i="28"/>
  <c r="ET22" i="28"/>
  <c r="ET38" i="28"/>
  <c r="ET19" i="28"/>
  <c r="ET61" i="28"/>
  <c r="ET27" i="28"/>
  <c r="ET26" i="28"/>
  <c r="ET10" i="28"/>
  <c r="ET17" i="28"/>
  <c r="ET39" i="28"/>
  <c r="ET23" i="28"/>
  <c r="ET40" i="28"/>
  <c r="ET11" i="28"/>
  <c r="ET12" i="28"/>
  <c r="ET15" i="28"/>
  <c r="D287" i="38"/>
  <c r="D436" i="38"/>
  <c r="E436" i="38" s="1"/>
  <c r="F436" i="38" s="1"/>
  <c r="G436" i="38" s="1"/>
  <c r="H436" i="38" s="1"/>
  <c r="I436" i="38" s="1"/>
  <c r="J436" i="38" s="1"/>
  <c r="K436" i="38" s="1"/>
  <c r="L436" i="38" s="1"/>
  <c r="M436" i="38" s="1"/>
  <c r="N436" i="38" s="1"/>
  <c r="O436" i="38" s="1"/>
  <c r="P436" i="38" s="1"/>
  <c r="Q436" i="38" s="1"/>
  <c r="R436" i="38" s="1"/>
  <c r="E482" i="38"/>
  <c r="D435" i="38"/>
  <c r="E435" i="38" s="1"/>
  <c r="F435" i="38" s="1"/>
  <c r="G435" i="38" s="1"/>
  <c r="H435" i="38" s="1"/>
  <c r="I435" i="38" s="1"/>
  <c r="J435" i="38" s="1"/>
  <c r="K435" i="38" s="1"/>
  <c r="L435" i="38" s="1"/>
  <c r="M435" i="38" s="1"/>
  <c r="N435" i="38" s="1"/>
  <c r="O435" i="38" s="1"/>
  <c r="P435" i="38" s="1"/>
  <c r="Q435" i="38" s="1"/>
  <c r="R435" i="38" s="1"/>
  <c r="D434" i="38"/>
  <c r="D484" i="38" s="1"/>
  <c r="D431" i="38"/>
  <c r="E431" i="38" s="1"/>
  <c r="F431" i="38" s="1"/>
  <c r="G431" i="38" s="1"/>
  <c r="H431" i="38" s="1"/>
  <c r="I431" i="38" s="1"/>
  <c r="J431" i="38" s="1"/>
  <c r="K431" i="38" s="1"/>
  <c r="L431" i="38" s="1"/>
  <c r="M431" i="38" s="1"/>
  <c r="N431" i="38" s="1"/>
  <c r="O431" i="38" s="1"/>
  <c r="P431" i="38" s="1"/>
  <c r="Q431" i="38" s="1"/>
  <c r="R431" i="38" s="1"/>
  <c r="D437" i="38"/>
  <c r="E437" i="38" s="1"/>
  <c r="F437" i="38" s="1"/>
  <c r="G437" i="38" s="1"/>
  <c r="H437" i="38" s="1"/>
  <c r="I437" i="38" s="1"/>
  <c r="J437" i="38" s="1"/>
  <c r="K437" i="38" s="1"/>
  <c r="L437" i="38" s="1"/>
  <c r="M437" i="38" s="1"/>
  <c r="N437" i="38" s="1"/>
  <c r="O437" i="38" s="1"/>
  <c r="P437" i="38" s="1"/>
  <c r="Q437" i="38" s="1"/>
  <c r="R437" i="38" s="1"/>
  <c r="D430" i="38"/>
  <c r="E430" i="38" s="1"/>
  <c r="F430" i="38" s="1"/>
  <c r="G430" i="38" s="1"/>
  <c r="H430" i="38" s="1"/>
  <c r="I430" i="38" s="1"/>
  <c r="J430" i="38" s="1"/>
  <c r="K430" i="38" s="1"/>
  <c r="L430" i="38" s="1"/>
  <c r="M430" i="38" s="1"/>
  <c r="N430" i="38" s="1"/>
  <c r="D433" i="38"/>
  <c r="E433" i="38" s="1"/>
  <c r="F433" i="38" s="1"/>
  <c r="G433" i="38" s="1"/>
  <c r="H433" i="38" s="1"/>
  <c r="I433" i="38" s="1"/>
  <c r="J433" i="38" s="1"/>
  <c r="K433" i="38" s="1"/>
  <c r="L433" i="38" s="1"/>
  <c r="M433" i="38" s="1"/>
  <c r="N433" i="38" s="1"/>
  <c r="O433" i="38" s="1"/>
  <c r="P433" i="38" s="1"/>
  <c r="Q433" i="38" s="1"/>
  <c r="R433" i="38" s="1"/>
  <c r="ET85" i="28"/>
  <c r="ET66" i="28"/>
  <c r="ET57" i="28"/>
  <c r="ET69" i="28"/>
  <c r="ET67" i="28"/>
  <c r="ET50" i="28"/>
  <c r="ET44" i="28"/>
  <c r="ET60" i="28"/>
  <c r="ET54" i="28"/>
  <c r="ET65" i="28"/>
  <c r="ET68" i="28"/>
  <c r="ET51" i="28"/>
  <c r="ET47" i="28"/>
  <c r="ET53" i="28"/>
  <c r="ET75" i="28"/>
  <c r="ET52" i="28"/>
  <c r="ET45" i="28"/>
  <c r="ET43" i="28"/>
  <c r="F407" i="38"/>
  <c r="G333" i="38"/>
  <c r="G354" i="38" s="1"/>
  <c r="G374" i="38" s="1"/>
  <c r="D329" i="38"/>
  <c r="D445" i="38"/>
  <c r="D454" i="38" s="1"/>
  <c r="E358" i="38"/>
  <c r="E378" i="38" s="1"/>
  <c r="M337" i="38"/>
  <c r="G337" i="38"/>
  <c r="O337" i="38"/>
  <c r="H337" i="38"/>
  <c r="P337" i="38"/>
  <c r="J337" i="38"/>
  <c r="R337" i="38"/>
  <c r="K337" i="38"/>
  <c r="D337" i="38"/>
  <c r="Q337" i="38"/>
  <c r="F337" i="38"/>
  <c r="I337" i="38"/>
  <c r="L337" i="38"/>
  <c r="N337" i="38"/>
  <c r="E439" i="38"/>
  <c r="F439" i="38" s="1"/>
  <c r="G439" i="38" s="1"/>
  <c r="H439" i="38" s="1"/>
  <c r="I439" i="38" s="1"/>
  <c r="J439" i="38" s="1"/>
  <c r="K439" i="38" s="1"/>
  <c r="L439" i="38" s="1"/>
  <c r="M439" i="38" s="1"/>
  <c r="N439" i="38" s="1"/>
  <c r="O439" i="38" s="1"/>
  <c r="P439" i="38" s="1"/>
  <c r="Q439" i="38" s="1"/>
  <c r="R439" i="38" s="1"/>
  <c r="F333" i="38"/>
  <c r="F354" i="38" s="1"/>
  <c r="F374" i="38" s="1"/>
  <c r="H333" i="38"/>
  <c r="H354" i="38" s="1"/>
  <c r="H374" i="38" s="1"/>
  <c r="J333" i="38"/>
  <c r="J354" i="38" s="1"/>
  <c r="J374" i="38" s="1"/>
  <c r="L333" i="38"/>
  <c r="L354" i="38" s="1"/>
  <c r="L374" i="38" s="1"/>
  <c r="K333" i="38"/>
  <c r="K354" i="38" s="1"/>
  <c r="K374" i="38" s="1"/>
  <c r="I333" i="38"/>
  <c r="I354" i="38" s="1"/>
  <c r="I374" i="38" s="1"/>
  <c r="D333" i="38"/>
  <c r="F440" i="38"/>
  <c r="G440" i="38" s="1"/>
  <c r="H440" i="38" s="1"/>
  <c r="I440" i="38" s="1"/>
  <c r="J440" i="38" s="1"/>
  <c r="K440" i="38" s="1"/>
  <c r="L440" i="38" s="1"/>
  <c r="M440" i="38" s="1"/>
  <c r="N440" i="38" s="1"/>
  <c r="O440" i="38" s="1"/>
  <c r="P440" i="38" s="1"/>
  <c r="Q440" i="38" s="1"/>
  <c r="R440" i="38" s="1"/>
  <c r="E432" i="38"/>
  <c r="F432" i="38" s="1"/>
  <c r="G432" i="38" s="1"/>
  <c r="H432" i="38" s="1"/>
  <c r="I432" i="38" s="1"/>
  <c r="J432" i="38" s="1"/>
  <c r="K432" i="38" s="1"/>
  <c r="L432" i="38" s="1"/>
  <c r="M432" i="38" s="1"/>
  <c r="N432" i="38" s="1"/>
  <c r="O432" i="38" s="1"/>
  <c r="P432" i="38" s="1"/>
  <c r="Q432" i="38" s="1"/>
  <c r="R432" i="38" s="1"/>
  <c r="Z533" i="38"/>
  <c r="AA533" i="38"/>
  <c r="AB533" i="38"/>
  <c r="AC533" i="38"/>
  <c r="AD533" i="38"/>
  <c r="N406" i="38"/>
  <c r="EE18" i="28"/>
  <c r="CP18" i="28"/>
  <c r="EE14" i="28"/>
  <c r="CP14" i="28"/>
  <c r="E481" i="38"/>
  <c r="E445" i="38"/>
  <c r="F478" i="38"/>
  <c r="J478" i="38"/>
  <c r="G478" i="38"/>
  <c r="M478" i="38"/>
  <c r="AB638" i="37" s="1"/>
  <c r="D478" i="38"/>
  <c r="Z638" i="37" s="1"/>
  <c r="E478" i="38"/>
  <c r="H478" i="38"/>
  <c r="D481" i="38"/>
  <c r="K478" i="38"/>
  <c r="I478" i="38"/>
  <c r="L478" i="38"/>
  <c r="E403" i="38"/>
  <c r="D405" i="38"/>
  <c r="C566" i="38"/>
  <c r="W533" i="38"/>
  <c r="T533" i="38"/>
  <c r="C567" i="38"/>
  <c r="X533" i="38"/>
  <c r="P533" i="38"/>
  <c r="C568" i="38"/>
  <c r="Q533" i="38"/>
  <c r="C569" i="38"/>
  <c r="Y533" i="38"/>
  <c r="C570" i="38"/>
  <c r="R533" i="38"/>
  <c r="C565" i="38"/>
  <c r="S533" i="38"/>
  <c r="V533" i="38"/>
  <c r="U533" i="38"/>
  <c r="C183" i="37"/>
  <c r="C184" i="37" s="1"/>
  <c r="C185" i="37" s="1"/>
  <c r="C186" i="37" s="1"/>
  <c r="C187" i="37" s="1"/>
  <c r="GB12" i="28"/>
  <c r="GA12" i="28"/>
  <c r="FZ15" i="28"/>
  <c r="GA18" i="28"/>
  <c r="GF15" i="28"/>
  <c r="GB18" i="28"/>
  <c r="FZ12" i="28"/>
  <c r="GA14" i="28"/>
  <c r="GB15" i="28"/>
  <c r="GC18" i="28"/>
  <c r="GC12" i="28"/>
  <c r="GF14" i="28"/>
  <c r="GF12" i="28"/>
  <c r="GB14" i="28"/>
  <c r="GC15" i="28"/>
  <c r="GD18" i="28"/>
  <c r="GE14" i="28"/>
  <c r="GA15" i="28"/>
  <c r="GE12" i="28"/>
  <c r="GC14" i="28"/>
  <c r="GD15" i="28"/>
  <c r="GE18" i="28"/>
  <c r="FZ18" i="28"/>
  <c r="FZ14" i="28"/>
  <c r="GD12" i="28"/>
  <c r="GD14" i="28"/>
  <c r="GE15" i="28"/>
  <c r="GF18" i="28"/>
  <c r="BT80" i="28" l="1"/>
  <c r="FG80" i="28" s="1" a="1"/>
  <c r="FG80" i="28" s="1"/>
  <c r="BS64" i="28"/>
  <c r="FF64" i="28" s="1" a="1"/>
  <c r="FF64" i="28" s="1"/>
  <c r="FE79" i="28" a="1"/>
  <c r="FE79" i="28" s="1"/>
  <c r="BS79" i="28"/>
  <c r="BS81" i="28"/>
  <c r="FF81" i="28" s="1" a="1"/>
  <c r="FF81" i="28" s="1"/>
  <c r="FE65" i="28" a="1"/>
  <c r="FE65" i="28" s="1"/>
  <c r="BS65" i="28"/>
  <c r="E330" i="38"/>
  <c r="D330" i="38"/>
  <c r="E329" i="38"/>
  <c r="E350" i="38" s="1"/>
  <c r="E287" i="38"/>
  <c r="E434" i="38"/>
  <c r="F434" i="38" s="1"/>
  <c r="G434" i="38" s="1"/>
  <c r="H434" i="38" s="1"/>
  <c r="I434" i="38" s="1"/>
  <c r="J434" i="38" s="1"/>
  <c r="K434" i="38" s="1"/>
  <c r="L434" i="38" s="1"/>
  <c r="M434" i="38" s="1"/>
  <c r="N434" i="38" s="1"/>
  <c r="O434" i="38" s="1"/>
  <c r="D453" i="38"/>
  <c r="E453" i="38" s="1"/>
  <c r="D483" i="38"/>
  <c r="Z653" i="37" a="1"/>
  <c r="Z653" i="37" s="1"/>
  <c r="D451" i="38"/>
  <c r="E451" i="38" s="1"/>
  <c r="D452" i="38"/>
  <c r="E452" i="38" s="1"/>
  <c r="D456" i="38"/>
  <c r="E456" i="38" s="1"/>
  <c r="D455" i="38"/>
  <c r="E455" i="38" s="1"/>
  <c r="D480" i="38"/>
  <c r="Z637" i="37" s="1"/>
  <c r="F336" i="38"/>
  <c r="F357" i="38" s="1"/>
  <c r="F377" i="38" s="1"/>
  <c r="N336" i="38"/>
  <c r="H336" i="38"/>
  <c r="H357" i="38" s="1"/>
  <c r="H377" i="38" s="1"/>
  <c r="P336" i="38"/>
  <c r="I336" i="38"/>
  <c r="Q336" i="38"/>
  <c r="K336" i="38"/>
  <c r="D336" i="38"/>
  <c r="L336" i="38"/>
  <c r="L357" i="38" s="1"/>
  <c r="L377" i="38" s="1"/>
  <c r="G336" i="38"/>
  <c r="G357" i="38" s="1"/>
  <c r="G377" i="38" s="1"/>
  <c r="J336" i="38"/>
  <c r="J357" i="38" s="1"/>
  <c r="J377" i="38" s="1"/>
  <c r="E357" i="38"/>
  <c r="E377" i="38" s="1"/>
  <c r="M336" i="38"/>
  <c r="O336" i="38"/>
  <c r="R336" i="38"/>
  <c r="D477" i="38"/>
  <c r="D332" i="38"/>
  <c r="N478" i="38"/>
  <c r="N333" i="38"/>
  <c r="N354" i="38" s="1"/>
  <c r="N374" i="38" s="1"/>
  <c r="E356" i="38"/>
  <c r="E376" i="38" s="1"/>
  <c r="G407" i="38"/>
  <c r="F335" i="38"/>
  <c r="F334" i="38"/>
  <c r="F355" i="38" s="1"/>
  <c r="F375" i="38" s="1"/>
  <c r="F479" i="38"/>
  <c r="F482" i="38"/>
  <c r="M480" i="38"/>
  <c r="AB637" i="37" s="1"/>
  <c r="H480" i="38"/>
  <c r="E480" i="38"/>
  <c r="I480" i="38"/>
  <c r="J480" i="38"/>
  <c r="G480" i="38"/>
  <c r="F480" i="38"/>
  <c r="K480" i="38"/>
  <c r="L480" i="38"/>
  <c r="U565" i="38"/>
  <c r="U568" i="38"/>
  <c r="T568" i="38"/>
  <c r="T565" i="38"/>
  <c r="S568" i="38"/>
  <c r="S565" i="38"/>
  <c r="R568" i="38"/>
  <c r="R565" i="38"/>
  <c r="Q565" i="38"/>
  <c r="Q568" i="38"/>
  <c r="O430" i="38"/>
  <c r="N483" i="38"/>
  <c r="O406" i="38"/>
  <c r="AC638" i="37"/>
  <c r="AA638" i="37"/>
  <c r="E781" i="51" s="1"/>
  <c r="E454" i="38"/>
  <c r="E483" i="38"/>
  <c r="F483" i="38"/>
  <c r="F403" i="38"/>
  <c r="F330" i="38" s="1"/>
  <c r="E405" i="38"/>
  <c r="E332" i="38" s="1"/>
  <c r="E475" i="38"/>
  <c r="M568" i="38"/>
  <c r="M565" i="38"/>
  <c r="G565" i="38"/>
  <c r="G568" i="38"/>
  <c r="K568" i="38"/>
  <c r="K565" i="38"/>
  <c r="H565" i="38"/>
  <c r="H568" i="38"/>
  <c r="P568" i="38"/>
  <c r="P565" i="38"/>
  <c r="N565" i="38"/>
  <c r="N568" i="38"/>
  <c r="L565" i="38"/>
  <c r="L568" i="38"/>
  <c r="J568" i="38"/>
  <c r="J565" i="38"/>
  <c r="O568" i="38"/>
  <c r="O565" i="38"/>
  <c r="I565" i="38"/>
  <c r="I568" i="38"/>
  <c r="BI57" i="28"/>
  <c r="P122" i="38"/>
  <c r="F832" i="37" s="1"/>
  <c r="P123" i="38"/>
  <c r="F855" i="37" s="1"/>
  <c r="P124" i="38"/>
  <c r="P125" i="38"/>
  <c r="F833" i="37" s="1"/>
  <c r="P121" i="38"/>
  <c r="E761" i="37"/>
  <c r="E760" i="37"/>
  <c r="E759" i="37"/>
  <c r="E758" i="37"/>
  <c r="E756" i="37"/>
  <c r="E755" i="37"/>
  <c r="H767" i="37"/>
  <c r="I767" i="37"/>
  <c r="J767" i="37"/>
  <c r="K767" i="37"/>
  <c r="L767" i="37"/>
  <c r="M767" i="37"/>
  <c r="E768" i="37"/>
  <c r="E772" i="37"/>
  <c r="C772" i="37" s="1"/>
  <c r="C773" i="37" s="1"/>
  <c r="E780" i="37"/>
  <c r="C780" i="37" s="1"/>
  <c r="C781" i="37" s="1"/>
  <c r="E784" i="37"/>
  <c r="C784" i="37" s="1"/>
  <c r="C785" i="37" s="1"/>
  <c r="E788" i="37"/>
  <c r="C788" i="37" s="1"/>
  <c r="C789" i="37" s="1"/>
  <c r="E792" i="37"/>
  <c r="C792" i="37" s="1"/>
  <c r="C793" i="37" s="1"/>
  <c r="E851" i="37"/>
  <c r="C851" i="37" s="1"/>
  <c r="C852" i="37" s="1"/>
  <c r="C853" i="37" s="1"/>
  <c r="C854" i="37" s="1"/>
  <c r="C855" i="37" s="1"/>
  <c r="C856" i="37" s="1"/>
  <c r="C857" i="37" s="1"/>
  <c r="E844" i="37"/>
  <c r="C844" i="37" s="1"/>
  <c r="C845" i="37" s="1"/>
  <c r="C846" i="37" s="1"/>
  <c r="C847" i="37" s="1"/>
  <c r="C848" i="37" s="1"/>
  <c r="C849" i="37" s="1"/>
  <c r="C850" i="37" s="1"/>
  <c r="E837" i="37"/>
  <c r="C837" i="37" s="1"/>
  <c r="C838" i="37" s="1"/>
  <c r="C839" i="37" s="1"/>
  <c r="C840" i="37" s="1"/>
  <c r="C841" i="37" s="1"/>
  <c r="C842" i="37" s="1"/>
  <c r="C843" i="37" s="1"/>
  <c r="E830" i="37"/>
  <c r="C830" i="37" s="1"/>
  <c r="C831" i="37" s="1"/>
  <c r="C832" i="37" s="1"/>
  <c r="C833" i="37" s="1"/>
  <c r="C834" i="37" s="1"/>
  <c r="C835" i="37" s="1"/>
  <c r="C836" i="37" s="1"/>
  <c r="E816" i="37"/>
  <c r="C816" i="37" s="1"/>
  <c r="C817" i="37" s="1"/>
  <c r="C818" i="37" s="1"/>
  <c r="C819" i="37" s="1"/>
  <c r="C820" i="37" s="1"/>
  <c r="C821" i="37" s="1"/>
  <c r="C822" i="37" s="1"/>
  <c r="E809" i="37"/>
  <c r="C809" i="37" s="1"/>
  <c r="C810" i="37" s="1"/>
  <c r="C811" i="37" s="1"/>
  <c r="C812" i="37" s="1"/>
  <c r="C813" i="37" s="1"/>
  <c r="C814" i="37" s="1"/>
  <c r="C815" i="37" s="1"/>
  <c r="AD638" i="37" l="1"/>
  <c r="H781" i="51" s="1"/>
  <c r="G781" i="51"/>
  <c r="BU80" i="28"/>
  <c r="FH80" i="28" s="1" a="1"/>
  <c r="FH80" i="28" s="1"/>
  <c r="C768" i="37"/>
  <c r="C769" i="37" s="1"/>
  <c r="C771" i="37" s="1"/>
  <c r="BT64" i="28"/>
  <c r="FG64" i="28" s="1" a="1"/>
  <c r="FG64" i="28" s="1"/>
  <c r="BT81" i="28"/>
  <c r="FG81" i="28" s="1" a="1"/>
  <c r="FG81" i="28" s="1"/>
  <c r="FF65" i="28" a="1"/>
  <c r="FF65" i="28" s="1"/>
  <c r="BT65" i="28"/>
  <c r="HB65" i="28" s="1"/>
  <c r="FF79" i="28" a="1"/>
  <c r="FF79" i="28" s="1"/>
  <c r="BT79" i="28"/>
  <c r="E351" i="38"/>
  <c r="E371" i="38" s="1"/>
  <c r="F329" i="38"/>
  <c r="F350" i="38" s="1"/>
  <c r="F287" i="38"/>
  <c r="AB653" i="37" a="1"/>
  <c r="AC656" i="37" s="1"/>
  <c r="AD656" i="37" s="1"/>
  <c r="N484" i="38"/>
  <c r="F484" i="38"/>
  <c r="E484" i="38"/>
  <c r="AC637" i="37"/>
  <c r="AA637" i="37"/>
  <c r="E780" i="51" s="1"/>
  <c r="Z639" i="37" a="1"/>
  <c r="Z639" i="37" s="1"/>
  <c r="E477" i="38"/>
  <c r="E353" i="38"/>
  <c r="E373" i="38" s="1"/>
  <c r="H407" i="38"/>
  <c r="G335" i="38"/>
  <c r="G482" i="38"/>
  <c r="G334" i="38"/>
  <c r="G355" i="38" s="1"/>
  <c r="G375" i="38" s="1"/>
  <c r="G479" i="38"/>
  <c r="N357" i="38"/>
  <c r="N377" i="38" s="1"/>
  <c r="O478" i="38"/>
  <c r="O333" i="38"/>
  <c r="O354" i="38" s="1"/>
  <c r="O374" i="38" s="1"/>
  <c r="K357" i="38"/>
  <c r="K377" i="38" s="1"/>
  <c r="F358" i="38"/>
  <c r="F378" i="38" s="1"/>
  <c r="F481" i="38"/>
  <c r="F445" i="38"/>
  <c r="F454" i="38" s="1"/>
  <c r="I357" i="38"/>
  <c r="I377" i="38" s="1"/>
  <c r="M357" i="38"/>
  <c r="M377" i="38" s="1"/>
  <c r="F356" i="38"/>
  <c r="F376" i="38" s="1"/>
  <c r="HA82" i="28"/>
  <c r="HA83" i="28"/>
  <c r="HA65" i="28"/>
  <c r="HA79" i="28"/>
  <c r="HA80" i="28"/>
  <c r="HB82" i="28"/>
  <c r="HB83" i="28"/>
  <c r="GZ82" i="28"/>
  <c r="GZ83" i="28"/>
  <c r="GZ65" i="28"/>
  <c r="GZ79" i="28"/>
  <c r="GZ80" i="28"/>
  <c r="GZ81" i="28"/>
  <c r="GZ64" i="28"/>
  <c r="HC82" i="28"/>
  <c r="HC83" i="28"/>
  <c r="HB80" i="28"/>
  <c r="HA81" i="28"/>
  <c r="HD82" i="28"/>
  <c r="HD83" i="28"/>
  <c r="HA64" i="28"/>
  <c r="N480" i="38"/>
  <c r="P430" i="38"/>
  <c r="O483" i="38"/>
  <c r="P434" i="38"/>
  <c r="O484" i="38"/>
  <c r="P406" i="38"/>
  <c r="C787" i="37"/>
  <c r="C786" i="37"/>
  <c r="C795" i="37"/>
  <c r="C794" i="37"/>
  <c r="C791" i="37"/>
  <c r="C790" i="37"/>
  <c r="C783" i="37"/>
  <c r="C782" i="37"/>
  <c r="C775" i="37"/>
  <c r="C774" i="37"/>
  <c r="GX82" i="28"/>
  <c r="GX83" i="28"/>
  <c r="GY82" i="28"/>
  <c r="GY83" i="28"/>
  <c r="GV82" i="28"/>
  <c r="GV83" i="28"/>
  <c r="GS82" i="28"/>
  <c r="GS83" i="28"/>
  <c r="GU82" i="28"/>
  <c r="GU83" i="28"/>
  <c r="GQ83" i="28"/>
  <c r="GQ82" i="28"/>
  <c r="GT82" i="28"/>
  <c r="GT83" i="28"/>
  <c r="GR82" i="28"/>
  <c r="GR83" i="28"/>
  <c r="GW82" i="28"/>
  <c r="GW83" i="28"/>
  <c r="GP82" i="28"/>
  <c r="GP83" i="28"/>
  <c r="G484" i="38"/>
  <c r="G483" i="38"/>
  <c r="G403" i="38"/>
  <c r="G330" i="38" s="1"/>
  <c r="F405" i="38"/>
  <c r="F475" i="38"/>
  <c r="BI85" i="28"/>
  <c r="BI54" i="28"/>
  <c r="BI56" i="28"/>
  <c r="BI52" i="28"/>
  <c r="BI55" i="28"/>
  <c r="BJ57" i="28"/>
  <c r="BI50" i="28"/>
  <c r="BI58" i="28"/>
  <c r="BI51" i="28"/>
  <c r="F845" i="37"/>
  <c r="J75" i="38"/>
  <c r="R75" i="38"/>
  <c r="Z75" i="38"/>
  <c r="K75" i="38"/>
  <c r="S75" i="38"/>
  <c r="T75" i="38"/>
  <c r="G75" i="38"/>
  <c r="G76" i="38" s="1"/>
  <c r="K878" i="37" s="1"/>
  <c r="AA75" i="38"/>
  <c r="D75" i="38"/>
  <c r="D76" i="38" s="1"/>
  <c r="H878" i="37" s="1"/>
  <c r="AB75" i="38"/>
  <c r="M75" i="38"/>
  <c r="AC75" i="38"/>
  <c r="AD75" i="38"/>
  <c r="O75" i="38"/>
  <c r="L75" i="38"/>
  <c r="U75" i="38"/>
  <c r="N75" i="38"/>
  <c r="AE75" i="38"/>
  <c r="H75" i="38"/>
  <c r="H76" i="38" s="1"/>
  <c r="L878" i="37" s="1"/>
  <c r="X75" i="38"/>
  <c r="E75" i="38"/>
  <c r="E76" i="38" s="1"/>
  <c r="I878" i="37" s="1"/>
  <c r="V75" i="38"/>
  <c r="W75" i="38"/>
  <c r="P75" i="38"/>
  <c r="F75" i="38"/>
  <c r="F76" i="38" s="1"/>
  <c r="J878" i="37" s="1"/>
  <c r="AF75" i="38"/>
  <c r="Y75" i="38"/>
  <c r="C75" i="38"/>
  <c r="C76" i="38" s="1"/>
  <c r="G878" i="37" s="1"/>
  <c r="G879" i="37" s="1"/>
  <c r="Q75" i="38"/>
  <c r="I75" i="38"/>
  <c r="I76" i="38" s="1"/>
  <c r="M878" i="37" s="1"/>
  <c r="F805" i="37"/>
  <c r="F806" i="37"/>
  <c r="F818" i="37"/>
  <c r="F826" i="37"/>
  <c r="F827" i="37"/>
  <c r="F834" i="37"/>
  <c r="F838" i="37"/>
  <c r="F820" i="37"/>
  <c r="F846" i="37"/>
  <c r="F839" i="37"/>
  <c r="F803" i="37"/>
  <c r="F824" i="37"/>
  <c r="F847" i="37"/>
  <c r="F817" i="37"/>
  <c r="F819" i="37"/>
  <c r="F804" i="37"/>
  <c r="F825" i="37"/>
  <c r="F848" i="37"/>
  <c r="F852" i="37"/>
  <c r="F811" i="37"/>
  <c r="F831" i="37"/>
  <c r="F841" i="37"/>
  <c r="F853" i="37"/>
  <c r="F840" i="37"/>
  <c r="F812" i="37"/>
  <c r="F854" i="37"/>
  <c r="F810" i="37"/>
  <c r="F813" i="37"/>
  <c r="CT46" i="28"/>
  <c r="AD637" i="37" l="1"/>
  <c r="H780" i="51" s="1"/>
  <c r="G780" i="51"/>
  <c r="BU64" i="28"/>
  <c r="FH64" i="28" s="1" a="1"/>
  <c r="FH64" i="28" s="1"/>
  <c r="HC80" i="28"/>
  <c r="BV80" i="28"/>
  <c r="FI80" i="28" s="1" a="1"/>
  <c r="FI80" i="28" s="1"/>
  <c r="C770" i="37"/>
  <c r="HB64" i="28"/>
  <c r="HB81" i="28"/>
  <c r="BU81" i="28"/>
  <c r="FH81" i="28" s="1" a="1"/>
  <c r="FH81" i="28" s="1"/>
  <c r="F351" i="38"/>
  <c r="BJ85" i="28"/>
  <c r="BK85" i="28" s="1"/>
  <c r="FG79" i="28" a="1"/>
  <c r="FG79" i="28" s="1"/>
  <c r="BU79" i="28"/>
  <c r="FG65" i="28" a="1"/>
  <c r="FG65" i="28" s="1"/>
  <c r="BU65" i="28"/>
  <c r="HB79" i="28"/>
  <c r="F371" i="38"/>
  <c r="G329" i="38"/>
  <c r="G350" i="38" s="1"/>
  <c r="G287" i="38"/>
  <c r="AA655" i="37"/>
  <c r="AA661" i="37"/>
  <c r="AA662" i="37"/>
  <c r="AA663" i="37"/>
  <c r="AC658" i="37"/>
  <c r="AD658" i="37" s="1"/>
  <c r="AC661" i="37"/>
  <c r="AD661" i="37" s="1"/>
  <c r="AA657" i="37"/>
  <c r="E785" i="51" s="1"/>
  <c r="AA659" i="37"/>
  <c r="AC659" i="37"/>
  <c r="AD659" i="37" s="1"/>
  <c r="AC654" i="37"/>
  <c r="AD654" i="37" s="1"/>
  <c r="AB653" i="37"/>
  <c r="AA653" i="37" s="1"/>
  <c r="E784" i="51" s="1"/>
  <c r="AC660" i="37"/>
  <c r="AD660" i="37" s="1"/>
  <c r="AC655" i="37"/>
  <c r="AD655" i="37" s="1"/>
  <c r="AA660" i="37"/>
  <c r="AC657" i="37"/>
  <c r="AC663" i="37"/>
  <c r="AD663" i="37" s="1"/>
  <c r="AA654" i="37"/>
  <c r="AC662" i="37"/>
  <c r="AD662" i="37" s="1"/>
  <c r="AA658" i="37"/>
  <c r="AA656" i="37"/>
  <c r="F455" i="38"/>
  <c r="F451" i="38"/>
  <c r="F456" i="38"/>
  <c r="O357" i="38"/>
  <c r="O377" i="38" s="1"/>
  <c r="G358" i="38"/>
  <c r="G378" i="38" s="1"/>
  <c r="G445" i="38"/>
  <c r="G454" i="38" s="1"/>
  <c r="G481" i="38"/>
  <c r="F477" i="38"/>
  <c r="F332" i="38"/>
  <c r="F353" i="38" s="1"/>
  <c r="F373" i="38" s="1"/>
  <c r="G356" i="38"/>
  <c r="G376" i="38" s="1"/>
  <c r="P478" i="38"/>
  <c r="P333" i="38"/>
  <c r="P354" i="38" s="1"/>
  <c r="P374" i="38" s="1"/>
  <c r="F453" i="38"/>
  <c r="I407" i="38"/>
  <c r="H335" i="38"/>
  <c r="H334" i="38"/>
  <c r="H355" i="38" s="1"/>
  <c r="H375" i="38" s="1"/>
  <c r="H482" i="38"/>
  <c r="H479" i="38"/>
  <c r="F452" i="38"/>
  <c r="BV64" i="28"/>
  <c r="FI64" i="28" s="1" a="1"/>
  <c r="FI64" i="28" s="1"/>
  <c r="Q434" i="38"/>
  <c r="P484" i="38"/>
  <c r="Q430" i="38"/>
  <c r="P483" i="38"/>
  <c r="O480" i="38"/>
  <c r="Q406" i="38"/>
  <c r="BJ54" i="28"/>
  <c r="H484" i="38"/>
  <c r="H483" i="38"/>
  <c r="H403" i="38"/>
  <c r="H330" i="38" s="1"/>
  <c r="G405" i="38"/>
  <c r="G475" i="38"/>
  <c r="BJ56" i="28"/>
  <c r="BJ52" i="28"/>
  <c r="BJ55" i="28"/>
  <c r="BJ51" i="28"/>
  <c r="BK57" i="28"/>
  <c r="BJ50" i="28"/>
  <c r="BJ58" i="28"/>
  <c r="AD254" i="33"/>
  <c r="AD657" i="37" l="1"/>
  <c r="H785" i="51" s="1"/>
  <c r="G785" i="51"/>
  <c r="HD80" i="28"/>
  <c r="HC64" i="28"/>
  <c r="HC81" i="28"/>
  <c r="BV81" i="28"/>
  <c r="FI81" i="28" s="1" a="1"/>
  <c r="FI81" i="28" s="1"/>
  <c r="G351" i="38"/>
  <c r="FH65" i="28" a="1"/>
  <c r="FH65" i="28" s="1"/>
  <c r="BV65" i="28"/>
  <c r="HC65" i="28"/>
  <c r="FH79" i="28" a="1"/>
  <c r="FH79" i="28" s="1"/>
  <c r="BV79" i="28"/>
  <c r="HC79" i="28"/>
  <c r="G371" i="38"/>
  <c r="H329" i="38"/>
  <c r="H350" i="38" s="1"/>
  <c r="H287" i="38"/>
  <c r="AC653" i="37"/>
  <c r="G452" i="38"/>
  <c r="G456" i="38"/>
  <c r="G455" i="38"/>
  <c r="H358" i="38"/>
  <c r="H378" i="38" s="1"/>
  <c r="H481" i="38"/>
  <c r="H445" i="38"/>
  <c r="H454" i="38" s="1"/>
  <c r="G451" i="38"/>
  <c r="P357" i="38"/>
  <c r="P377" i="38" s="1"/>
  <c r="H356" i="38"/>
  <c r="H376" i="38" s="1"/>
  <c r="G477" i="38"/>
  <c r="G332" i="38"/>
  <c r="G353" i="38" s="1"/>
  <c r="G373" i="38" s="1"/>
  <c r="J407" i="38"/>
  <c r="I335" i="38"/>
  <c r="I334" i="38"/>
  <c r="I355" i="38" s="1"/>
  <c r="I375" i="38" s="1"/>
  <c r="I482" i="38"/>
  <c r="I479" i="38"/>
  <c r="Q478" i="38"/>
  <c r="Q333" i="38"/>
  <c r="Q354" i="38" s="1"/>
  <c r="Q374" i="38" s="1"/>
  <c r="G453" i="38"/>
  <c r="HD64" i="28"/>
  <c r="P480" i="38"/>
  <c r="R434" i="38"/>
  <c r="R484" i="38" s="1"/>
  <c r="Q484" i="38"/>
  <c r="R430" i="38"/>
  <c r="R483" i="38" s="1"/>
  <c r="Q483" i="38"/>
  <c r="R406" i="38"/>
  <c r="R333" i="38" s="1"/>
  <c r="R354" i="38" s="1"/>
  <c r="R374" i="38" s="1"/>
  <c r="BK54" i="28"/>
  <c r="BK56" i="28"/>
  <c r="I484" i="38"/>
  <c r="I483" i="38"/>
  <c r="I403" i="38"/>
  <c r="I330" i="38" s="1"/>
  <c r="H405" i="38"/>
  <c r="H475" i="38"/>
  <c r="K402" i="38"/>
  <c r="M402" i="38"/>
  <c r="G402" i="38"/>
  <c r="H402" i="38"/>
  <c r="I402" i="38"/>
  <c r="J402" i="38"/>
  <c r="L402" i="38"/>
  <c r="E402" i="38"/>
  <c r="F402" i="38"/>
  <c r="I295" i="38"/>
  <c r="J295" i="38"/>
  <c r="K295" i="38"/>
  <c r="D295" i="38"/>
  <c r="L295" i="38"/>
  <c r="E295" i="38"/>
  <c r="M295" i="38"/>
  <c r="F295" i="38"/>
  <c r="G295" i="38"/>
  <c r="H295" i="38"/>
  <c r="BK49" i="28"/>
  <c r="EX49" i="28" s="1" a="1"/>
  <c r="EX49" i="28" s="1"/>
  <c r="BK45" i="28"/>
  <c r="EX45" i="28" s="1" a="1"/>
  <c r="EX45" i="28" s="1"/>
  <c r="BK52" i="28"/>
  <c r="BK46" i="28"/>
  <c r="EX46" i="28" s="1" a="1"/>
  <c r="EX46" i="28" s="1"/>
  <c r="BK42" i="28"/>
  <c r="EX42" i="28" s="1" a="1"/>
  <c r="EX42" i="28" s="1"/>
  <c r="BK44" i="28"/>
  <c r="EX44" i="28" s="1" a="1"/>
  <c r="EX44" i="28" s="1"/>
  <c r="BK51" i="28"/>
  <c r="BK58" i="28"/>
  <c r="BK48" i="28"/>
  <c r="EX48" i="28" s="1" a="1"/>
  <c r="EX48" i="28" s="1"/>
  <c r="BK55" i="28"/>
  <c r="BK50" i="28"/>
  <c r="BK47" i="28"/>
  <c r="EX47" i="28" s="1" a="1"/>
  <c r="EX47" i="28" s="1"/>
  <c r="BK43" i="28"/>
  <c r="EX43" i="28" s="1" a="1"/>
  <c r="EX43" i="28" s="1"/>
  <c r="AD653" i="37" l="1"/>
  <c r="H784" i="51" s="1"/>
  <c r="G784" i="51"/>
  <c r="HD81" i="28"/>
  <c r="M488" i="38"/>
  <c r="H351" i="38"/>
  <c r="H371" i="38" s="1"/>
  <c r="K488" i="38"/>
  <c r="F488" i="38"/>
  <c r="L488" i="38"/>
  <c r="H488" i="38"/>
  <c r="E488" i="38"/>
  <c r="J488" i="38"/>
  <c r="G488" i="38"/>
  <c r="I488" i="38"/>
  <c r="EX56" i="28" a="1"/>
  <c r="EX56" i="28" s="1"/>
  <c r="FI79" i="28" a="1"/>
  <c r="FI79" i="28" s="1"/>
  <c r="HD79" i="28"/>
  <c r="FI65" i="28" a="1"/>
  <c r="FI65" i="28" s="1"/>
  <c r="HD65" i="28"/>
  <c r="D488" i="38"/>
  <c r="E342" i="38"/>
  <c r="E363" i="38" s="1"/>
  <c r="E382" i="38" s="1"/>
  <c r="I329" i="38"/>
  <c r="I350" i="38" s="1"/>
  <c r="I287" i="38"/>
  <c r="S295" i="38"/>
  <c r="H451" i="38"/>
  <c r="H453" i="38"/>
  <c r="K407" i="38"/>
  <c r="J335" i="38"/>
  <c r="J482" i="38"/>
  <c r="J479" i="38"/>
  <c r="J334" i="38"/>
  <c r="J355" i="38" s="1"/>
  <c r="J375" i="38" s="1"/>
  <c r="I358" i="38"/>
  <c r="I378" i="38" s="1"/>
  <c r="I481" i="38"/>
  <c r="I445" i="38"/>
  <c r="I454" i="38" s="1"/>
  <c r="H455" i="38"/>
  <c r="I342" i="38"/>
  <c r="I363" i="38" s="1"/>
  <c r="I382" i="38" s="1"/>
  <c r="Q342" i="38"/>
  <c r="Q363" i="38" s="1"/>
  <c r="Q382" i="38" s="1"/>
  <c r="K342" i="38"/>
  <c r="K363" i="38" s="1"/>
  <c r="K382" i="38" s="1"/>
  <c r="D342" i="38"/>
  <c r="L342" i="38"/>
  <c r="L363" i="38" s="1"/>
  <c r="L382" i="38" s="1"/>
  <c r="F342" i="38"/>
  <c r="F363" i="38" s="1"/>
  <c r="F382" i="38" s="1"/>
  <c r="N342" i="38"/>
  <c r="N363" i="38" s="1"/>
  <c r="N382" i="38" s="1"/>
  <c r="G342" i="38"/>
  <c r="G363" i="38" s="1"/>
  <c r="G382" i="38" s="1"/>
  <c r="O342" i="38"/>
  <c r="O363" i="38" s="1"/>
  <c r="O382" i="38" s="1"/>
  <c r="R342" i="38"/>
  <c r="R363" i="38" s="1"/>
  <c r="R382" i="38" s="1"/>
  <c r="M342" i="38"/>
  <c r="M363" i="38" s="1"/>
  <c r="M382" i="38" s="1"/>
  <c r="P342" i="38"/>
  <c r="P363" i="38" s="1"/>
  <c r="P382" i="38" s="1"/>
  <c r="H342" i="38"/>
  <c r="H363" i="38" s="1"/>
  <c r="H382" i="38" s="1"/>
  <c r="J342" i="38"/>
  <c r="J363" i="38" s="1"/>
  <c r="J382" i="38" s="1"/>
  <c r="H477" i="38"/>
  <c r="H332" i="38"/>
  <c r="H353" i="38" s="1"/>
  <c r="H373" i="38" s="1"/>
  <c r="Q357" i="38"/>
  <c r="Q377" i="38" s="1"/>
  <c r="H456" i="38"/>
  <c r="H452" i="38"/>
  <c r="L338" i="38"/>
  <c r="F338" i="38"/>
  <c r="N338" i="38"/>
  <c r="O338" i="38"/>
  <c r="G338" i="38"/>
  <c r="I338" i="38"/>
  <c r="Q338" i="38"/>
  <c r="J338" i="38"/>
  <c r="R338" i="38"/>
  <c r="P338" i="38"/>
  <c r="D338" i="38"/>
  <c r="K338" i="38"/>
  <c r="M338" i="38"/>
  <c r="H338" i="38"/>
  <c r="H359" i="38" s="1"/>
  <c r="H379" i="38" s="1"/>
  <c r="I356" i="38"/>
  <c r="I376" i="38" s="1"/>
  <c r="R478" i="38"/>
  <c r="Q480" i="38"/>
  <c r="J484" i="38"/>
  <c r="J483" i="38"/>
  <c r="J403" i="38"/>
  <c r="J330" i="38" s="1"/>
  <c r="I405" i="38"/>
  <c r="I475" i="38"/>
  <c r="H281" i="38"/>
  <c r="F281" i="38"/>
  <c r="J281" i="38"/>
  <c r="I281" i="38"/>
  <c r="E281" i="38"/>
  <c r="D281" i="38"/>
  <c r="M281" i="38"/>
  <c r="K281" i="38"/>
  <c r="G281" i="38"/>
  <c r="L281" i="38"/>
  <c r="EX54" i="28" l="1" a="1"/>
  <c r="EX54" i="28" s="1"/>
  <c r="I351" i="38"/>
  <c r="I371" i="38" s="1"/>
  <c r="EX52" i="28" a="1"/>
  <c r="EX52" i="28" s="1"/>
  <c r="EV53" i="28" a="1"/>
  <c r="EV53" i="28" s="1"/>
  <c r="EV82" i="28" a="1"/>
  <c r="EV82" i="28" s="1"/>
  <c r="EV83" i="28" a="1"/>
  <c r="EV83" i="28" s="1"/>
  <c r="EV81" i="28" a="1"/>
  <c r="EV81" i="28" s="1"/>
  <c r="EV64" i="28" a="1"/>
  <c r="EV64" i="28" s="1"/>
  <c r="EV79" i="28" a="1"/>
  <c r="EV79" i="28" s="1"/>
  <c r="EV65" i="28" a="1"/>
  <c r="EV65" i="28" s="1"/>
  <c r="EV80" i="28" a="1"/>
  <c r="EV80" i="28" s="1"/>
  <c r="EV57" i="28" a="1"/>
  <c r="EV57" i="28" s="1"/>
  <c r="EV50" i="28" a="1"/>
  <c r="EV50" i="28" s="1"/>
  <c r="EV55" i="28" a="1"/>
  <c r="EV55" i="28" s="1"/>
  <c r="EV52" i="28" a="1"/>
  <c r="EV52" i="28" s="1"/>
  <c r="EV54" i="28" a="1"/>
  <c r="EV54" i="28" s="1"/>
  <c r="EV56" i="28" a="1"/>
  <c r="EV56" i="28" s="1"/>
  <c r="EV58" i="28" a="1"/>
  <c r="EV58" i="28" s="1"/>
  <c r="EV51" i="28" a="1"/>
  <c r="EV51" i="28" s="1"/>
  <c r="EZ53" i="28" a="1"/>
  <c r="EZ53" i="28" s="1"/>
  <c r="EZ82" i="28" a="1"/>
  <c r="EZ82" i="28" s="1"/>
  <c r="EZ83" i="28" a="1"/>
  <c r="EZ83" i="28" s="1"/>
  <c r="EZ80" i="28" a="1"/>
  <c r="EZ80" i="28" s="1"/>
  <c r="EZ65" i="28" a="1"/>
  <c r="EZ65" i="28" s="1"/>
  <c r="EZ79" i="28" a="1"/>
  <c r="EZ79" i="28" s="1"/>
  <c r="EZ81" i="28" a="1"/>
  <c r="EZ81" i="28" s="1"/>
  <c r="EZ64" i="28" a="1"/>
  <c r="EZ64" i="28" s="1"/>
  <c r="FA53" i="28" a="1"/>
  <c r="FA53" i="28" s="1"/>
  <c r="FA83" i="28" a="1"/>
  <c r="FA83" i="28" s="1"/>
  <c r="FA82" i="28" a="1"/>
  <c r="FA82" i="28" s="1"/>
  <c r="FA80" i="28" a="1"/>
  <c r="FA80" i="28" s="1"/>
  <c r="FA64" i="28" a="1"/>
  <c r="FA64" i="28" s="1"/>
  <c r="FA79" i="28" a="1"/>
  <c r="FA79" i="28" s="1"/>
  <c r="FA81" i="28" a="1"/>
  <c r="FA81" i="28" s="1"/>
  <c r="FA65" i="28" a="1"/>
  <c r="FA65" i="28" s="1"/>
  <c r="FC53" i="28" a="1"/>
  <c r="FC53" i="28" s="1"/>
  <c r="FC82" i="28" a="1"/>
  <c r="FC82" i="28" s="1"/>
  <c r="FC83" i="28" a="1"/>
  <c r="FC83" i="28" s="1"/>
  <c r="FC80" i="28" a="1"/>
  <c r="FC80" i="28" s="1"/>
  <c r="FC64" i="28" a="1"/>
  <c r="FC64" i="28" s="1"/>
  <c r="FC79" i="28" a="1"/>
  <c r="FC79" i="28" s="1"/>
  <c r="FC65" i="28" a="1"/>
  <c r="FC65" i="28" s="1"/>
  <c r="FC81" i="28" a="1"/>
  <c r="FC81" i="28" s="1"/>
  <c r="EW53" i="28" a="1"/>
  <c r="EW53" i="28" s="1"/>
  <c r="EW82" i="28" a="1"/>
  <c r="EW82" i="28" s="1"/>
  <c r="EW83" i="28" a="1"/>
  <c r="EW83" i="28" s="1"/>
  <c r="EW81" i="28" a="1"/>
  <c r="EW81" i="28" s="1"/>
  <c r="EW64" i="28" a="1"/>
  <c r="EW64" i="28" s="1"/>
  <c r="EW65" i="28" a="1"/>
  <c r="EW65" i="28" s="1"/>
  <c r="EW80" i="28" a="1"/>
  <c r="EW80" i="28" s="1"/>
  <c r="EW79" i="28" a="1"/>
  <c r="EW79" i="28" s="1"/>
  <c r="EW57" i="28" a="1"/>
  <c r="EW57" i="28" s="1"/>
  <c r="EW51" i="28" a="1"/>
  <c r="EW51" i="28" s="1"/>
  <c r="EW58" i="28" a="1"/>
  <c r="EW58" i="28" s="1"/>
  <c r="EW50" i="28" a="1"/>
  <c r="EW50" i="28" s="1"/>
  <c r="EW54" i="28" a="1"/>
  <c r="EW54" i="28" s="1"/>
  <c r="EW52" i="28" a="1"/>
  <c r="EW52" i="28" s="1"/>
  <c r="EW55" i="28" a="1"/>
  <c r="EW55" i="28" s="1"/>
  <c r="EW56" i="28" a="1"/>
  <c r="EW56" i="28" s="1"/>
  <c r="EX53" i="28" a="1"/>
  <c r="EX53" i="28" s="1"/>
  <c r="EX82" i="28" a="1"/>
  <c r="EX82" i="28" s="1"/>
  <c r="EX83" i="28" a="1"/>
  <c r="EX83" i="28" s="1"/>
  <c r="EX80" i="28" a="1"/>
  <c r="EX80" i="28" s="1"/>
  <c r="EX64" i="28" a="1"/>
  <c r="EX64" i="28" s="1"/>
  <c r="EX65" i="28" a="1"/>
  <c r="EX65" i="28" s="1"/>
  <c r="EX79" i="28" a="1"/>
  <c r="EX79" i="28" s="1"/>
  <c r="EX81" i="28" a="1"/>
  <c r="EX81" i="28" s="1"/>
  <c r="EX57" i="28" a="1"/>
  <c r="EX57" i="28" s="1"/>
  <c r="EY53" i="28" a="1"/>
  <c r="EY53" i="28" s="1"/>
  <c r="EY82" i="28" a="1"/>
  <c r="EY82" i="28" s="1"/>
  <c r="EY83" i="28" a="1"/>
  <c r="EY83" i="28" s="1"/>
  <c r="EY80" i="28" a="1"/>
  <c r="EY80" i="28" s="1"/>
  <c r="EY81" i="28" a="1"/>
  <c r="EY81" i="28" s="1"/>
  <c r="EY64" i="28" a="1"/>
  <c r="EY64" i="28" s="1"/>
  <c r="EY79" i="28" a="1"/>
  <c r="EY79" i="28" s="1"/>
  <c r="EY65" i="28" a="1"/>
  <c r="EY65" i="28" s="1"/>
  <c r="EX58" i="28" a="1"/>
  <c r="EX58" i="28" s="1"/>
  <c r="FB53" i="28" a="1"/>
  <c r="FB53" i="28" s="1"/>
  <c r="FB82" i="28" a="1"/>
  <c r="FB82" i="28" s="1"/>
  <c r="FB83" i="28" a="1"/>
  <c r="FB83" i="28" s="1"/>
  <c r="FB80" i="28" a="1"/>
  <c r="FB80" i="28" s="1"/>
  <c r="FB64" i="28" a="1"/>
  <c r="FB64" i="28" s="1"/>
  <c r="FB79" i="28" a="1"/>
  <c r="FB79" i="28" s="1"/>
  <c r="FB81" i="28" a="1"/>
  <c r="FB81" i="28" s="1"/>
  <c r="FB65" i="28" a="1"/>
  <c r="FB65" i="28" s="1"/>
  <c r="EX55" i="28" a="1"/>
  <c r="EX55" i="28" s="1"/>
  <c r="FD53" i="28" a="1"/>
  <c r="FD53" i="28" s="1"/>
  <c r="FD82" i="28" a="1"/>
  <c r="FD82" i="28" s="1"/>
  <c r="FD83" i="28" a="1"/>
  <c r="FD83" i="28" s="1"/>
  <c r="FD80" i="28" a="1"/>
  <c r="FD80" i="28" s="1"/>
  <c r="FD79" i="28" a="1"/>
  <c r="FD79" i="28" s="1"/>
  <c r="FD81" i="28" a="1"/>
  <c r="FD81" i="28" s="1"/>
  <c r="FD65" i="28" a="1"/>
  <c r="FD65" i="28" s="1"/>
  <c r="FD64" i="28" a="1"/>
  <c r="FD64" i="28" s="1"/>
  <c r="EX50" i="28" a="1"/>
  <c r="EX50" i="28" s="1"/>
  <c r="D509" i="38"/>
  <c r="EU53" i="28" a="1"/>
  <c r="EU53" i="28" s="1"/>
  <c r="EU50" i="28" a="1"/>
  <c r="EU50" i="28" s="1"/>
  <c r="EU37" i="28" a="1"/>
  <c r="EU37" i="28" s="1"/>
  <c r="EU54" i="28" a="1"/>
  <c r="EU54" i="28" s="1"/>
  <c r="EU52" i="28" a="1"/>
  <c r="EU52" i="28" s="1"/>
  <c r="EU57" i="28" a="1"/>
  <c r="EU57" i="28" s="1"/>
  <c r="EU56" i="28" a="1"/>
  <c r="EU56" i="28" s="1"/>
  <c r="EU75" i="28" a="1"/>
  <c r="EU75" i="28" s="1"/>
  <c r="EU51" i="28" a="1"/>
  <c r="EU51" i="28" s="1"/>
  <c r="EU25" i="28" a="1"/>
  <c r="EU25" i="28" s="1"/>
  <c r="EU55" i="28" a="1"/>
  <c r="EU55" i="28" s="1"/>
  <c r="EU60" i="28" a="1"/>
  <c r="EU60" i="28" s="1"/>
  <c r="EU58" i="28" a="1"/>
  <c r="EU58" i="28" s="1"/>
  <c r="EU63" i="28" a="1"/>
  <c r="EU63" i="28" s="1"/>
  <c r="EU59" i="28" a="1"/>
  <c r="EU59" i="28" s="1"/>
  <c r="EU61" i="28" a="1"/>
  <c r="EU61" i="28" s="1"/>
  <c r="EU19" i="28" a="1"/>
  <c r="EU19" i="28" s="1"/>
  <c r="EU62" i="28" a="1"/>
  <c r="EU62" i="28" s="1"/>
  <c r="EU20" i="28" a="1"/>
  <c r="EU20" i="28" s="1"/>
  <c r="EU67" i="28" a="1"/>
  <c r="EU67" i="28" s="1"/>
  <c r="EU74" i="28" a="1"/>
  <c r="EU74" i="28" s="1"/>
  <c r="EU78" i="28" a="1"/>
  <c r="EU78" i="28" s="1"/>
  <c r="EU80" i="28" a="1"/>
  <c r="EU80" i="28" s="1"/>
  <c r="EU40" i="28" a="1"/>
  <c r="EU40" i="28" s="1"/>
  <c r="EU65" i="28" a="1"/>
  <c r="EU65" i="28" s="1"/>
  <c r="EU72" i="28" a="1"/>
  <c r="EU72" i="28" s="1"/>
  <c r="EU76" i="28" a="1"/>
  <c r="EU76" i="28" s="1"/>
  <c r="EU66" i="28" a="1"/>
  <c r="EU66" i="28" s="1"/>
  <c r="EU82" i="28" a="1"/>
  <c r="EU82" i="28" s="1"/>
  <c r="EU34" i="28" a="1"/>
  <c r="EU34" i="28" s="1"/>
  <c r="EU79" i="28" a="1"/>
  <c r="EU79" i="28" s="1"/>
  <c r="EU38" i="28" a="1"/>
  <c r="EU38" i="28" s="1"/>
  <c r="EU70" i="28" a="1"/>
  <c r="EU70" i="28" s="1"/>
  <c r="EU64" i="28" a="1"/>
  <c r="EU64" i="28" s="1"/>
  <c r="EU68" i="28" a="1"/>
  <c r="EU68" i="28" s="1"/>
  <c r="EU73" i="28" a="1"/>
  <c r="EU73" i="28" s="1"/>
  <c r="EU81" i="28" a="1"/>
  <c r="EU81" i="28" s="1"/>
  <c r="EU83" i="28" a="1"/>
  <c r="EU83" i="28" s="1"/>
  <c r="EU21" i="28" a="1"/>
  <c r="EU21" i="28" s="1"/>
  <c r="EU22" i="28" a="1"/>
  <c r="EU22" i="28" s="1"/>
  <c r="EU71" i="28" a="1"/>
  <c r="EU71" i="28" s="1"/>
  <c r="EU69" i="28" a="1"/>
  <c r="EU69" i="28" s="1"/>
  <c r="EX51" i="28" a="1"/>
  <c r="EX51" i="28" s="1"/>
  <c r="L328" i="38"/>
  <c r="J329" i="38"/>
  <c r="J350" i="38" s="1"/>
  <c r="J287" i="38"/>
  <c r="E328" i="38"/>
  <c r="S281" i="38"/>
  <c r="I456" i="38"/>
  <c r="I455" i="38"/>
  <c r="K328" i="38"/>
  <c r="I452" i="38"/>
  <c r="D328" i="38"/>
  <c r="I328" i="38"/>
  <c r="M328" i="38"/>
  <c r="I453" i="38"/>
  <c r="N328" i="38"/>
  <c r="G328" i="38"/>
  <c r="I451" i="38"/>
  <c r="J328" i="38"/>
  <c r="I359" i="38"/>
  <c r="I379" i="38" s="1"/>
  <c r="I477" i="38"/>
  <c r="I332" i="38"/>
  <c r="I353" i="38" s="1"/>
  <c r="I373" i="38" s="1"/>
  <c r="J356" i="38"/>
  <c r="J376" i="38" s="1"/>
  <c r="O359" i="38"/>
  <c r="O379" i="38" s="1"/>
  <c r="O328" i="38"/>
  <c r="J359" i="38"/>
  <c r="L407" i="38"/>
  <c r="K335" i="38"/>
  <c r="K334" i="38"/>
  <c r="K355" i="38" s="1"/>
  <c r="K375" i="38" s="1"/>
  <c r="K479" i="38"/>
  <c r="K482" i="38"/>
  <c r="P359" i="38"/>
  <c r="P379" i="38" s="1"/>
  <c r="P328" i="38"/>
  <c r="F328" i="38"/>
  <c r="L359" i="38"/>
  <c r="L379" i="38" s="1"/>
  <c r="E359" i="38"/>
  <c r="R359" i="38"/>
  <c r="R379" i="38" s="1"/>
  <c r="R328" i="38"/>
  <c r="G359" i="38"/>
  <c r="N359" i="38"/>
  <c r="F359" i="38"/>
  <c r="J358" i="38"/>
  <c r="J378" i="38" s="1"/>
  <c r="J481" i="38"/>
  <c r="J445" i="38"/>
  <c r="J454" i="38" s="1"/>
  <c r="K359" i="38"/>
  <c r="R357" i="38"/>
  <c r="R377" i="38" s="1"/>
  <c r="H328" i="38"/>
  <c r="Q359" i="38"/>
  <c r="Q379" i="38" s="1"/>
  <c r="Q328" i="38"/>
  <c r="M359" i="38"/>
  <c r="H349" i="38"/>
  <c r="R480" i="38"/>
  <c r="K484" i="38"/>
  <c r="K483" i="38"/>
  <c r="K403" i="38"/>
  <c r="K330" i="38" s="1"/>
  <c r="J405" i="38"/>
  <c r="J475" i="38"/>
  <c r="K474" i="38"/>
  <c r="K509" i="38"/>
  <c r="J474" i="38"/>
  <c r="J509" i="38"/>
  <c r="J512" i="38"/>
  <c r="F474" i="38"/>
  <c r="F509" i="38"/>
  <c r="F512" i="38"/>
  <c r="E474" i="38"/>
  <c r="E509" i="38"/>
  <c r="E512" i="38"/>
  <c r="G474" i="38"/>
  <c r="G509" i="38"/>
  <c r="G512" i="38"/>
  <c r="M474" i="38"/>
  <c r="M509" i="38"/>
  <c r="I474" i="38"/>
  <c r="I509" i="38"/>
  <c r="I512" i="38"/>
  <c r="D474" i="38"/>
  <c r="D512" i="38"/>
  <c r="L474" i="38"/>
  <c r="L509" i="38"/>
  <c r="H474" i="38"/>
  <c r="H512" i="38"/>
  <c r="H509" i="38"/>
  <c r="J351" i="38" l="1"/>
  <c r="F379" i="38"/>
  <c r="N349" i="38"/>
  <c r="N379" i="38"/>
  <c r="G379" i="38"/>
  <c r="K379" i="38"/>
  <c r="E379" i="38"/>
  <c r="E370" i="38" s="1"/>
  <c r="J371" i="38"/>
  <c r="M379" i="38"/>
  <c r="J379" i="38"/>
  <c r="K329" i="38"/>
  <c r="K350" i="38" s="1"/>
  <c r="K287" i="38"/>
  <c r="I370" i="38"/>
  <c r="K349" i="38"/>
  <c r="M349" i="38"/>
  <c r="J349" i="38"/>
  <c r="H370" i="38"/>
  <c r="J451" i="38"/>
  <c r="G349" i="38"/>
  <c r="J453" i="38"/>
  <c r="I349" i="38"/>
  <c r="Q349" i="38"/>
  <c r="E349" i="38"/>
  <c r="J456" i="38"/>
  <c r="K358" i="38"/>
  <c r="K378" i="38" s="1"/>
  <c r="K481" i="38"/>
  <c r="K445" i="38"/>
  <c r="K454" i="38" s="1"/>
  <c r="J455" i="38"/>
  <c r="L349" i="38"/>
  <c r="K356" i="38"/>
  <c r="K376" i="38" s="1"/>
  <c r="J452" i="38"/>
  <c r="M407" i="38"/>
  <c r="L335" i="38"/>
  <c r="L334" i="38"/>
  <c r="L355" i="38" s="1"/>
  <c r="L375" i="38" s="1"/>
  <c r="L479" i="38"/>
  <c r="L482" i="38"/>
  <c r="J477" i="38"/>
  <c r="J498" i="38" s="1"/>
  <c r="J332" i="38"/>
  <c r="J353" i="38" s="1"/>
  <c r="J373" i="38" s="1"/>
  <c r="F349" i="38"/>
  <c r="O349" i="38"/>
  <c r="R349" i="38"/>
  <c r="P349" i="38"/>
  <c r="D498" i="38"/>
  <c r="D495" i="38"/>
  <c r="D502" i="38" s="1"/>
  <c r="FM83" i="28"/>
  <c r="FM82" i="28"/>
  <c r="FL82" i="28"/>
  <c r="FL83" i="28"/>
  <c r="FJ83" i="28"/>
  <c r="FJ82" i="28"/>
  <c r="FP82" i="28"/>
  <c r="FP83" i="28"/>
  <c r="FO83" i="28"/>
  <c r="FO82" i="28"/>
  <c r="FN82" i="28"/>
  <c r="FN83" i="28"/>
  <c r="FK83" i="28"/>
  <c r="FK82" i="28"/>
  <c r="K495" i="38"/>
  <c r="K502" i="38" s="1"/>
  <c r="J495" i="38"/>
  <c r="F495" i="38"/>
  <c r="F502" i="38" s="1"/>
  <c r="G495" i="38"/>
  <c r="G502" i="38" s="1"/>
  <c r="I498" i="38"/>
  <c r="I495" i="38"/>
  <c r="I502" i="38" s="1"/>
  <c r="E498" i="38"/>
  <c r="E505" i="38" s="1"/>
  <c r="E495" i="38"/>
  <c r="E502" i="38" s="1"/>
  <c r="H498" i="38"/>
  <c r="H495" i="38"/>
  <c r="H502" i="38" s="1"/>
  <c r="M484" i="38"/>
  <c r="L484" i="38"/>
  <c r="M483" i="38"/>
  <c r="L483" i="38"/>
  <c r="L403" i="38"/>
  <c r="L330" i="38" s="1"/>
  <c r="K405" i="38"/>
  <c r="K475" i="38"/>
  <c r="G498" i="38"/>
  <c r="G505" i="38" s="1"/>
  <c r="F498" i="38"/>
  <c r="F505" i="38" s="1"/>
  <c r="FJ58" i="28"/>
  <c r="FK58" i="28"/>
  <c r="FM58" i="28"/>
  <c r="FL58" i="28"/>
  <c r="F370" i="38" l="1"/>
  <c r="K370" i="38"/>
  <c r="J370" i="38"/>
  <c r="G370" i="38"/>
  <c r="M370" i="38"/>
  <c r="K512" i="38"/>
  <c r="K351" i="38"/>
  <c r="K371" i="38" s="1"/>
  <c r="L329" i="38"/>
  <c r="L350" i="38" s="1"/>
  <c r="L287" i="38"/>
  <c r="N370" i="38"/>
  <c r="O370" i="38"/>
  <c r="K452" i="38"/>
  <c r="Q370" i="38"/>
  <c r="P370" i="38"/>
  <c r="R370" i="38"/>
  <c r="L370" i="38"/>
  <c r="K477" i="38"/>
  <c r="K498" i="38" s="1"/>
  <c r="K332" i="38"/>
  <c r="K353" i="38" s="1"/>
  <c r="K373" i="38" s="1"/>
  <c r="L358" i="38"/>
  <c r="L378" i="38" s="1"/>
  <c r="L481" i="38"/>
  <c r="L445" i="38"/>
  <c r="L454" i="38" s="1"/>
  <c r="K456" i="38"/>
  <c r="K453" i="38"/>
  <c r="K455" i="38"/>
  <c r="L356" i="38"/>
  <c r="L376" i="38" s="1"/>
  <c r="N407" i="38"/>
  <c r="M335" i="38"/>
  <c r="M334" i="38"/>
  <c r="M355" i="38" s="1"/>
  <c r="M375" i="38" s="1"/>
  <c r="M482" i="38"/>
  <c r="M495" i="38" s="1"/>
  <c r="M502" i="38" s="1"/>
  <c r="M479" i="38"/>
  <c r="K451" i="38"/>
  <c r="J502" i="38"/>
  <c r="L495" i="38"/>
  <c r="L502" i="38" s="1"/>
  <c r="H505" i="38"/>
  <c r="CZ83" i="28"/>
  <c r="DO83" i="28" s="1"/>
  <c r="CZ82" i="28"/>
  <c r="DO82" i="28" s="1"/>
  <c r="CW83" i="28"/>
  <c r="DL83" i="28" s="1"/>
  <c r="CW82" i="28"/>
  <c r="DL82" i="28" s="1"/>
  <c r="D505" i="38"/>
  <c r="CV82" i="28"/>
  <c r="CV83" i="28"/>
  <c r="CX82" i="28"/>
  <c r="DM82" i="28" s="1"/>
  <c r="CX83" i="28"/>
  <c r="DM83" i="28" s="1"/>
  <c r="J505" i="38"/>
  <c r="DB82" i="28"/>
  <c r="DQ82" i="28" s="1"/>
  <c r="DB83" i="28"/>
  <c r="DQ83" i="28" s="1"/>
  <c r="I505" i="38"/>
  <c r="DA82" i="28"/>
  <c r="DP82" i="28" s="1"/>
  <c r="DA83" i="28"/>
  <c r="DP83" i="28" s="1"/>
  <c r="CY83" i="28"/>
  <c r="DN83" i="28" s="1"/>
  <c r="CY82" i="28"/>
  <c r="DN82" i="28" s="1"/>
  <c r="M403" i="38"/>
  <c r="L405" i="38"/>
  <c r="L475" i="38"/>
  <c r="GR58" i="28"/>
  <c r="GQ58" i="28"/>
  <c r="GS58" i="28"/>
  <c r="GP58" i="28"/>
  <c r="CY58" i="28"/>
  <c r="DN58" i="28" s="1"/>
  <c r="CX58" i="28"/>
  <c r="DM58" i="28" s="1"/>
  <c r="CV58" i="28"/>
  <c r="DK58" i="28" s="1"/>
  <c r="CW58" i="28"/>
  <c r="DL58" i="28" s="1"/>
  <c r="CF36" i="28"/>
  <c r="CE36" i="28"/>
  <c r="CD36" i="28"/>
  <c r="CC36" i="28"/>
  <c r="CB36" i="28"/>
  <c r="CA36" i="28"/>
  <c r="BZ36" i="28"/>
  <c r="CF35" i="28"/>
  <c r="CE35" i="28"/>
  <c r="CD35" i="28"/>
  <c r="CC35" i="28"/>
  <c r="CB35" i="28"/>
  <c r="CA35" i="28"/>
  <c r="BZ35" i="28"/>
  <c r="BZ29" i="28"/>
  <c r="CA29" i="28"/>
  <c r="CB29" i="28"/>
  <c r="CC29" i="28"/>
  <c r="CD29" i="28"/>
  <c r="CE29" i="28"/>
  <c r="CF29" i="28"/>
  <c r="BZ30" i="28"/>
  <c r="CA30" i="28"/>
  <c r="CB30" i="28"/>
  <c r="CC30" i="28"/>
  <c r="CD30" i="28"/>
  <c r="CE30" i="28"/>
  <c r="CF30" i="28"/>
  <c r="BZ31" i="28"/>
  <c r="CA31" i="28"/>
  <c r="CB31" i="28"/>
  <c r="CC31" i="28"/>
  <c r="CD31" i="28"/>
  <c r="CE31" i="28"/>
  <c r="CF31" i="28"/>
  <c r="BZ32" i="28"/>
  <c r="CA32" i="28"/>
  <c r="CB32" i="28"/>
  <c r="CC32" i="28"/>
  <c r="CD32" i="28"/>
  <c r="CE32" i="28"/>
  <c r="CF32" i="28"/>
  <c r="BZ33" i="28"/>
  <c r="CA33" i="28"/>
  <c r="CB33" i="28"/>
  <c r="CC33" i="28"/>
  <c r="CD33" i="28"/>
  <c r="CE33" i="28"/>
  <c r="CF33" i="28"/>
  <c r="CA28" i="28"/>
  <c r="CB28" i="28"/>
  <c r="CC28" i="28"/>
  <c r="CD28" i="28"/>
  <c r="CE28" i="28"/>
  <c r="CF28" i="28"/>
  <c r="BZ28" i="28"/>
  <c r="L21" i="34"/>
  <c r="K21" i="34"/>
  <c r="L20" i="34"/>
  <c r="K20" i="34"/>
  <c r="L19" i="34"/>
  <c r="L15" i="34"/>
  <c r="L14" i="34"/>
  <c r="L13" i="34"/>
  <c r="L12" i="34"/>
  <c r="L11" i="34"/>
  <c r="CO36" i="28" l="1"/>
  <c r="CO35" i="28"/>
  <c r="CO32" i="28"/>
  <c r="CO30" i="28"/>
  <c r="CO28" i="28"/>
  <c r="CO29" i="28"/>
  <c r="CO31" i="28"/>
  <c r="CO33" i="28"/>
  <c r="L512" i="38"/>
  <c r="L351" i="38"/>
  <c r="L371" i="38" s="1"/>
  <c r="FQ82" i="28"/>
  <c r="FQ83" i="28"/>
  <c r="M287" i="38"/>
  <c r="M330" i="38"/>
  <c r="FR82" i="28"/>
  <c r="FR83" i="28"/>
  <c r="L456" i="38"/>
  <c r="L451" i="38"/>
  <c r="L453" i="38"/>
  <c r="M356" i="38"/>
  <c r="M376" i="38" s="1"/>
  <c r="N335" i="38"/>
  <c r="N334" i="38"/>
  <c r="N355" i="38" s="1"/>
  <c r="N375" i="38" s="1"/>
  <c r="N482" i="38"/>
  <c r="N495" i="38" s="1"/>
  <c r="N502" i="38" s="1"/>
  <c r="N479" i="38"/>
  <c r="O407" i="38"/>
  <c r="M358" i="38"/>
  <c r="M378" i="38" s="1"/>
  <c r="M481" i="38"/>
  <c r="M445" i="38"/>
  <c r="M454" i="38" s="1"/>
  <c r="L477" i="38"/>
  <c r="L498" i="38" s="1"/>
  <c r="L332" i="38"/>
  <c r="L353" i="38" s="1"/>
  <c r="L373" i="38" s="1"/>
  <c r="L452" i="38"/>
  <c r="N403" i="38"/>
  <c r="N330" i="38" s="1"/>
  <c r="M329" i="38"/>
  <c r="M350" i="38" s="1"/>
  <c r="L455" i="38"/>
  <c r="CP30" i="28"/>
  <c r="CP24" i="28"/>
  <c r="CP32" i="28"/>
  <c r="CP31" i="28"/>
  <c r="CP33" i="28"/>
  <c r="CP28" i="28"/>
  <c r="CP36" i="28"/>
  <c r="CP29" i="28"/>
  <c r="CP35" i="28"/>
  <c r="DK82" i="28"/>
  <c r="K505" i="38"/>
  <c r="DC82" i="28"/>
  <c r="DR82" i="28" s="1"/>
  <c r="DC83" i="28"/>
  <c r="DR83" i="28" s="1"/>
  <c r="DK83" i="28"/>
  <c r="M405" i="38"/>
  <c r="M475" i="38"/>
  <c r="E723" i="37"/>
  <c r="E715" i="37"/>
  <c r="E699" i="37"/>
  <c r="I689" i="37"/>
  <c r="J689" i="37"/>
  <c r="K689" i="37"/>
  <c r="L689" i="37"/>
  <c r="M689" i="37"/>
  <c r="N689" i="37"/>
  <c r="O689" i="37"/>
  <c r="P689" i="37"/>
  <c r="Q690" i="37" s="1"/>
  <c r="H689" i="37"/>
  <c r="E739" i="37"/>
  <c r="E731" i="37"/>
  <c r="E691" i="37"/>
  <c r="M512" i="38" l="1"/>
  <c r="M351" i="38"/>
  <c r="M371" i="38" s="1"/>
  <c r="O403" i="38"/>
  <c r="O475" i="38" s="1"/>
  <c r="N287" i="38"/>
  <c r="M455" i="38"/>
  <c r="N405" i="38"/>
  <c r="N477" i="38" s="1"/>
  <c r="M453" i="38"/>
  <c r="M477" i="38"/>
  <c r="M498" i="38" s="1"/>
  <c r="M332" i="38"/>
  <c r="M353" i="38" s="1"/>
  <c r="M373" i="38" s="1"/>
  <c r="N356" i="38"/>
  <c r="N376" i="38" s="1"/>
  <c r="N475" i="38"/>
  <c r="N329" i="38"/>
  <c r="N350" i="38" s="1"/>
  <c r="O335" i="38"/>
  <c r="O334" i="38"/>
  <c r="O355" i="38" s="1"/>
  <c r="O375" i="38" s="1"/>
  <c r="O479" i="38"/>
  <c r="P407" i="38"/>
  <c r="O482" i="38"/>
  <c r="O495" i="38" s="1"/>
  <c r="O502" i="38" s="1"/>
  <c r="M452" i="38"/>
  <c r="N358" i="38"/>
  <c r="N378" i="38" s="1"/>
  <c r="N481" i="38"/>
  <c r="N445" i="38"/>
  <c r="N454" i="38" s="1"/>
  <c r="M456" i="38"/>
  <c r="M451" i="38"/>
  <c r="V689" i="37"/>
  <c r="D740" i="37"/>
  <c r="G745" i="37" a="1"/>
  <c r="G745" i="37" s="1"/>
  <c r="D716" i="37"/>
  <c r="G721" i="37" a="1"/>
  <c r="G721" i="37" s="1"/>
  <c r="D692" i="37"/>
  <c r="G697" i="37" a="1"/>
  <c r="G697" i="37" s="1"/>
  <c r="D732" i="37"/>
  <c r="G737" i="37" a="1"/>
  <c r="G737" i="37" s="1"/>
  <c r="D700" i="37"/>
  <c r="G705" i="37" a="1"/>
  <c r="G705" i="37" s="1"/>
  <c r="D724" i="37"/>
  <c r="G729" i="37" a="1"/>
  <c r="G729" i="37" s="1"/>
  <c r="K879" i="37"/>
  <c r="I879" i="37"/>
  <c r="L879" i="37"/>
  <c r="M879" i="37"/>
  <c r="J879" i="37"/>
  <c r="L505" i="38"/>
  <c r="DD82" i="28"/>
  <c r="DS82" i="28" s="1"/>
  <c r="DD83" i="28"/>
  <c r="DS83" i="28" s="1"/>
  <c r="H879" i="37"/>
  <c r="O690" i="37"/>
  <c r="K690" i="37"/>
  <c r="J690" i="37"/>
  <c r="L690" i="37"/>
  <c r="P690" i="37"/>
  <c r="N690" i="37"/>
  <c r="I690" i="37"/>
  <c r="M690" i="37"/>
  <c r="P403" i="38" l="1"/>
  <c r="P329" i="38" s="1"/>
  <c r="P350" i="38" s="1"/>
  <c r="O329" i="38"/>
  <c r="O350" i="38" s="1"/>
  <c r="O405" i="38"/>
  <c r="O477" i="38" s="1"/>
  <c r="O498" i="38" s="1"/>
  <c r="DG83" i="28" s="1"/>
  <c r="DV83" i="28" s="1"/>
  <c r="N512" i="38"/>
  <c r="FT83" i="28" s="1"/>
  <c r="N351" i="38"/>
  <c r="N371" i="38" s="1"/>
  <c r="FS82" i="28"/>
  <c r="FS83" i="28"/>
  <c r="P330" i="38"/>
  <c r="O287" i="38"/>
  <c r="O330" i="38"/>
  <c r="N498" i="38"/>
  <c r="N505" i="38" s="1"/>
  <c r="N332" i="38"/>
  <c r="N353" i="38" s="1"/>
  <c r="N373" i="38" s="1"/>
  <c r="N455" i="38"/>
  <c r="N456" i="38"/>
  <c r="N452" i="38"/>
  <c r="P335" i="38"/>
  <c r="P334" i="38"/>
  <c r="P355" i="38" s="1"/>
  <c r="P375" i="38" s="1"/>
  <c r="P479" i="38"/>
  <c r="P482" i="38"/>
  <c r="P495" i="38" s="1"/>
  <c r="P502" i="38" s="1"/>
  <c r="Q407" i="38"/>
  <c r="O358" i="38"/>
  <c r="O378" i="38" s="1"/>
  <c r="O481" i="38"/>
  <c r="O445" i="38"/>
  <c r="O454" i="38" s="1"/>
  <c r="P475" i="38"/>
  <c r="O356" i="38"/>
  <c r="O376" i="38" s="1"/>
  <c r="N453" i="38"/>
  <c r="N451" i="38"/>
  <c r="AB639" i="37" a="1"/>
  <c r="Q403" i="38"/>
  <c r="M505" i="38"/>
  <c r="DE82" i="28"/>
  <c r="DE83" i="28"/>
  <c r="DT83" i="28" s="1"/>
  <c r="D71" i="38"/>
  <c r="E71" i="38"/>
  <c r="F71" i="38"/>
  <c r="G71" i="38"/>
  <c r="H71" i="38"/>
  <c r="I71" i="38"/>
  <c r="C71" i="38"/>
  <c r="F27" i="38"/>
  <c r="G27" i="38"/>
  <c r="H27" i="38"/>
  <c r="I27" i="38"/>
  <c r="E27" i="38"/>
  <c r="C58" i="38"/>
  <c r="C79" i="38"/>
  <c r="D79" i="38"/>
  <c r="E79" i="38"/>
  <c r="F79" i="38"/>
  <c r="G79" i="38"/>
  <c r="H79" i="38"/>
  <c r="I79" i="38"/>
  <c r="C80" i="38"/>
  <c r="D80" i="38"/>
  <c r="E80" i="38"/>
  <c r="F80" i="38"/>
  <c r="G80" i="38"/>
  <c r="H80" i="38"/>
  <c r="I80" i="38"/>
  <c r="J73" i="38"/>
  <c r="K73" i="38"/>
  <c r="L73" i="38"/>
  <c r="M73" i="38"/>
  <c r="N73" i="38"/>
  <c r="O73" i="38"/>
  <c r="P73" i="38"/>
  <c r="Q73" i="38"/>
  <c r="R73" i="38"/>
  <c r="S73" i="38"/>
  <c r="T73" i="38"/>
  <c r="U73" i="38"/>
  <c r="V73" i="38"/>
  <c r="W73" i="38"/>
  <c r="X73" i="38"/>
  <c r="Y73" i="38"/>
  <c r="Z73" i="38"/>
  <c r="AA73" i="38"/>
  <c r="AB73" i="38"/>
  <c r="AC73" i="38"/>
  <c r="AD73" i="38"/>
  <c r="AE73" i="38"/>
  <c r="AF73" i="38"/>
  <c r="E73" i="38"/>
  <c r="F73" i="38"/>
  <c r="G73" i="38"/>
  <c r="H73" i="38"/>
  <c r="I73" i="38"/>
  <c r="D73" i="38"/>
  <c r="E85" i="38"/>
  <c r="F85" i="38"/>
  <c r="G85" i="38"/>
  <c r="H85" i="38"/>
  <c r="I85" i="38"/>
  <c r="J85" i="38" s="1"/>
  <c r="D85" i="38"/>
  <c r="C84" i="38"/>
  <c r="D84" i="38"/>
  <c r="E84" i="38"/>
  <c r="F84" i="38"/>
  <c r="G84" i="38"/>
  <c r="H84" i="38"/>
  <c r="I84" i="38"/>
  <c r="J79" i="38"/>
  <c r="K79" i="38"/>
  <c r="L79" i="38"/>
  <c r="M79" i="38"/>
  <c r="N79" i="38"/>
  <c r="O79" i="38"/>
  <c r="P79" i="38"/>
  <c r="Q79" i="38"/>
  <c r="R79" i="38"/>
  <c r="S79" i="38"/>
  <c r="T79" i="38"/>
  <c r="U79" i="38"/>
  <c r="V79" i="38"/>
  <c r="W79" i="38"/>
  <c r="X79" i="38"/>
  <c r="Y79" i="38"/>
  <c r="Z79" i="38"/>
  <c r="AA79" i="38"/>
  <c r="AB79" i="38"/>
  <c r="AC79" i="38"/>
  <c r="AD79" i="38"/>
  <c r="AE79" i="38"/>
  <c r="AF79" i="38"/>
  <c r="J80" i="38"/>
  <c r="K80" i="38"/>
  <c r="L80" i="38"/>
  <c r="M80" i="38"/>
  <c r="N80" i="38"/>
  <c r="O80" i="38"/>
  <c r="P80" i="38"/>
  <c r="Q80" i="38"/>
  <c r="R80" i="38"/>
  <c r="S80" i="38"/>
  <c r="T80" i="38"/>
  <c r="U80" i="38"/>
  <c r="V80" i="38"/>
  <c r="W80" i="38"/>
  <c r="X80" i="38"/>
  <c r="Y80" i="38"/>
  <c r="Z80" i="38"/>
  <c r="AA80" i="38"/>
  <c r="AB80" i="38"/>
  <c r="AC80" i="38"/>
  <c r="AD80" i="38"/>
  <c r="AE80" i="38"/>
  <c r="AF80" i="38"/>
  <c r="A71" i="38"/>
  <c r="O332" i="38" l="1"/>
  <c r="O353" i="38" s="1"/>
  <c r="O373" i="38" s="1"/>
  <c r="P287" i="38"/>
  <c r="P405" i="38"/>
  <c r="P477" i="38" s="1"/>
  <c r="P498" i="38" s="1"/>
  <c r="DH81" i="28" s="1"/>
  <c r="DW81" i="28" s="1"/>
  <c r="FT82" i="28"/>
  <c r="FT81" i="28"/>
  <c r="FT64" i="28"/>
  <c r="FT80" i="28"/>
  <c r="FT65" i="28"/>
  <c r="FT79" i="28"/>
  <c r="O512" i="38"/>
  <c r="O351" i="38"/>
  <c r="O371" i="38" s="1"/>
  <c r="P512" i="38"/>
  <c r="P351" i="38"/>
  <c r="P371" i="38" s="1"/>
  <c r="Q287" i="38"/>
  <c r="Q330" i="38"/>
  <c r="O453" i="38"/>
  <c r="DF79" i="28"/>
  <c r="DU79" i="28" s="1"/>
  <c r="DF80" i="28"/>
  <c r="DU80" i="28" s="1"/>
  <c r="DF82" i="28"/>
  <c r="DU82" i="28" s="1"/>
  <c r="DF81" i="28"/>
  <c r="DU81" i="28" s="1"/>
  <c r="DF64" i="28"/>
  <c r="DU64" i="28" s="1"/>
  <c r="DF65" i="28"/>
  <c r="DU65" i="28" s="1"/>
  <c r="DF83" i="28"/>
  <c r="DU83" i="28" s="1"/>
  <c r="O451" i="38"/>
  <c r="O452" i="38"/>
  <c r="O456" i="38"/>
  <c r="DG82" i="28"/>
  <c r="DV82" i="28" s="1"/>
  <c r="DG80" i="28"/>
  <c r="DV80" i="28" s="1"/>
  <c r="O505" i="38"/>
  <c r="DG64" i="28"/>
  <c r="DV64" i="28" s="1"/>
  <c r="DG81" i="28"/>
  <c r="DV81" i="28" s="1"/>
  <c r="P358" i="38"/>
  <c r="P378" i="38" s="1"/>
  <c r="P445" i="38"/>
  <c r="P454" i="38" s="1"/>
  <c r="P481" i="38"/>
  <c r="Q475" i="38"/>
  <c r="Q329" i="38"/>
  <c r="Q350" i="38" s="1"/>
  <c r="Q335" i="38"/>
  <c r="Q334" i="38"/>
  <c r="Q355" i="38" s="1"/>
  <c r="Q375" i="38" s="1"/>
  <c r="Q482" i="38"/>
  <c r="Q495" i="38" s="1"/>
  <c r="Q502" i="38" s="1"/>
  <c r="Q479" i="38"/>
  <c r="R407" i="38"/>
  <c r="AA649" i="37"/>
  <c r="AA644" i="37"/>
  <c r="AA646" i="37"/>
  <c r="AA643" i="37"/>
  <c r="AC652" i="37"/>
  <c r="AD652" i="37" s="1"/>
  <c r="AC647" i="37"/>
  <c r="AD647" i="37" s="1"/>
  <c r="AC650" i="37"/>
  <c r="AD650" i="37" s="1"/>
  <c r="AA648" i="37"/>
  <c r="AA647" i="37"/>
  <c r="AC645" i="37"/>
  <c r="AA652" i="37"/>
  <c r="AC642" i="37"/>
  <c r="AD642" i="37" s="1"/>
  <c r="AC648" i="37"/>
  <c r="AD648" i="37" s="1"/>
  <c r="AC649" i="37"/>
  <c r="AD649" i="37" s="1"/>
  <c r="AC644" i="37"/>
  <c r="AD644" i="37" s="1"/>
  <c r="AA641" i="37"/>
  <c r="AC643" i="37"/>
  <c r="AD643" i="37" s="1"/>
  <c r="AB639" i="37"/>
  <c r="AA651" i="37"/>
  <c r="AC641" i="37"/>
  <c r="AD641" i="37" s="1"/>
  <c r="AA650" i="37"/>
  <c r="AC651" i="37"/>
  <c r="AD651" i="37" s="1"/>
  <c r="AA640" i="37"/>
  <c r="AC640" i="37"/>
  <c r="AD640" i="37" s="1"/>
  <c r="AC646" i="37"/>
  <c r="AD646" i="37" s="1"/>
  <c r="AA645" i="37"/>
  <c r="E783" i="51" s="1"/>
  <c r="AA642" i="37"/>
  <c r="DG79" i="28"/>
  <c r="DV79" i="28" s="1"/>
  <c r="P356" i="38"/>
  <c r="P376" i="38" s="1"/>
  <c r="DG65" i="28"/>
  <c r="DV65" i="28" s="1"/>
  <c r="O455" i="38"/>
  <c r="Q405" i="38"/>
  <c r="R403" i="38"/>
  <c r="R330" i="38" s="1"/>
  <c r="EB83" i="28"/>
  <c r="DT82" i="28"/>
  <c r="EB82" i="28"/>
  <c r="F77" i="38"/>
  <c r="K85" i="38"/>
  <c r="L85" i="38" s="1"/>
  <c r="M85" i="38" s="1"/>
  <c r="N85" i="38" s="1"/>
  <c r="O85" i="38" s="1"/>
  <c r="P85" i="38" s="1"/>
  <c r="Q85" i="38" s="1"/>
  <c r="R85" i="38" s="1"/>
  <c r="S85" i="38" s="1"/>
  <c r="T85" i="38" s="1"/>
  <c r="U85" i="38" s="1"/>
  <c r="V85" i="38" s="1"/>
  <c r="W85" i="38" s="1"/>
  <c r="X85" i="38" s="1"/>
  <c r="Y85" i="38" s="1"/>
  <c r="Z85" i="38" s="1"/>
  <c r="AA85" i="38" s="1"/>
  <c r="AB85" i="38" s="1"/>
  <c r="AC85" i="38" s="1"/>
  <c r="AD85" i="38" s="1"/>
  <c r="AE85" i="38" s="1"/>
  <c r="AF85" i="38" s="1"/>
  <c r="J83" i="38"/>
  <c r="T71" i="38"/>
  <c r="T77" i="38" s="1"/>
  <c r="E77" i="38"/>
  <c r="M71" i="38"/>
  <c r="L71" i="38"/>
  <c r="AC71" i="38"/>
  <c r="AC77" i="38" s="1"/>
  <c r="AB71" i="38"/>
  <c r="AB77" i="38" s="1"/>
  <c r="U71" i="38"/>
  <c r="U77" i="38" s="1"/>
  <c r="D77" i="38"/>
  <c r="AA71" i="38"/>
  <c r="AA77" i="38" s="1"/>
  <c r="Z71" i="38"/>
  <c r="Z77" i="38" s="1"/>
  <c r="J71" i="38"/>
  <c r="Q71" i="38"/>
  <c r="Q77" i="38" s="1"/>
  <c r="I77" i="38"/>
  <c r="K71" i="38"/>
  <c r="H77" i="38"/>
  <c r="R71" i="38"/>
  <c r="R77" i="38" s="1"/>
  <c r="Y71" i="38"/>
  <c r="Y77" i="38" s="1"/>
  <c r="AF71" i="38"/>
  <c r="AF77" i="38" s="1"/>
  <c r="X71" i="38"/>
  <c r="X77" i="38" s="1"/>
  <c r="P71" i="38"/>
  <c r="AE71" i="38"/>
  <c r="AE77" i="38" s="1"/>
  <c r="W71" i="38"/>
  <c r="W77" i="38" s="1"/>
  <c r="O71" i="38"/>
  <c r="G77" i="38"/>
  <c r="S71" i="38"/>
  <c r="S77" i="38" s="1"/>
  <c r="C77" i="38"/>
  <c r="AD71" i="38"/>
  <c r="AD77" i="38" s="1"/>
  <c r="V71" i="38"/>
  <c r="V77" i="38" s="1"/>
  <c r="N71" i="38"/>
  <c r="E21" i="38"/>
  <c r="F21" i="38"/>
  <c r="G21" i="38"/>
  <c r="H21" i="38"/>
  <c r="I21" i="38"/>
  <c r="J21" i="38"/>
  <c r="K21" i="38"/>
  <c r="L21" i="38"/>
  <c r="B11" i="38"/>
  <c r="B14" i="38"/>
  <c r="B15" i="38"/>
  <c r="B16" i="38"/>
  <c r="B17" i="38"/>
  <c r="B10" i="38"/>
  <c r="AD645" i="37" l="1"/>
  <c r="H783" i="51" s="1"/>
  <c r="G783" i="51"/>
  <c r="P332" i="38"/>
  <c r="P353" i="38" s="1"/>
  <c r="P373" i="38" s="1"/>
  <c r="FV82" i="28"/>
  <c r="FV83" i="28"/>
  <c r="FV65" i="28"/>
  <c r="FV79" i="28"/>
  <c r="FV80" i="28"/>
  <c r="FV81" i="28"/>
  <c r="FV64" i="28"/>
  <c r="Q512" i="38"/>
  <c r="Q351" i="38"/>
  <c r="Q371" i="38" s="1"/>
  <c r="FU83" i="28"/>
  <c r="FU65" i="28"/>
  <c r="FU79" i="28"/>
  <c r="FU80" i="28"/>
  <c r="FU64" i="28"/>
  <c r="FU81" i="28"/>
  <c r="FU82" i="28"/>
  <c r="R329" i="38"/>
  <c r="R350" i="38" s="1"/>
  <c r="R287" i="38"/>
  <c r="DH82" i="28"/>
  <c r="DW82" i="28" s="1"/>
  <c r="DH80" i="28"/>
  <c r="DW80" i="28" s="1"/>
  <c r="DH65" i="28"/>
  <c r="DW65" i="28" s="1"/>
  <c r="DH83" i="28"/>
  <c r="DW83" i="28" s="1"/>
  <c r="P505" i="38"/>
  <c r="P452" i="38"/>
  <c r="DH64" i="28"/>
  <c r="DW64" i="28" s="1"/>
  <c r="DH79" i="28"/>
  <c r="DW79" i="28" s="1"/>
  <c r="P451" i="38"/>
  <c r="P453" i="38"/>
  <c r="P455" i="38"/>
  <c r="AC639" i="37"/>
  <c r="AA639" i="37"/>
  <c r="E782" i="51" s="1"/>
  <c r="Q358" i="38"/>
  <c r="Q378" i="38" s="1"/>
  <c r="Q481" i="38"/>
  <c r="Q445" i="38"/>
  <c r="Q454" i="38" s="1"/>
  <c r="R335" i="38"/>
  <c r="R334" i="38"/>
  <c r="R355" i="38" s="1"/>
  <c r="R375" i="38" s="1"/>
  <c r="R482" i="38"/>
  <c r="R495" i="38" s="1"/>
  <c r="R502" i="38" s="1"/>
  <c r="R479" i="38"/>
  <c r="Q477" i="38"/>
  <c r="Q498" i="38" s="1"/>
  <c r="Q332" i="38"/>
  <c r="Q353" i="38" s="1"/>
  <c r="Q373" i="38" s="1"/>
  <c r="P456" i="38"/>
  <c r="Q356" i="38"/>
  <c r="Q376" i="38" s="1"/>
  <c r="R405" i="38"/>
  <c r="R475" i="38"/>
  <c r="N77" i="38"/>
  <c r="P77" i="38"/>
  <c r="O77" i="38"/>
  <c r="M77" i="38"/>
  <c r="K77" i="38"/>
  <c r="L77" i="38"/>
  <c r="J77" i="38"/>
  <c r="N767" i="37"/>
  <c r="J86" i="38"/>
  <c r="K83" i="38"/>
  <c r="J84" i="38"/>
  <c r="D25" i="38"/>
  <c r="D26" i="38"/>
  <c r="D27" i="38"/>
  <c r="C27" i="38"/>
  <c r="C26" i="38"/>
  <c r="C25" i="38"/>
  <c r="E10" i="38"/>
  <c r="E22" i="38" s="1"/>
  <c r="E623" i="37"/>
  <c r="C623" i="37" s="1"/>
  <c r="C624" i="37" s="1"/>
  <c r="C625" i="37" s="1"/>
  <c r="C626" i="37" s="1"/>
  <c r="C627" i="37" s="1"/>
  <c r="C628" i="37" s="1"/>
  <c r="E617" i="37"/>
  <c r="C617" i="37" s="1"/>
  <c r="C618" i="37" s="1"/>
  <c r="C619" i="37" s="1"/>
  <c r="C620" i="37" s="1"/>
  <c r="C621" i="37" s="1"/>
  <c r="C622" i="37" s="1"/>
  <c r="E611" i="37"/>
  <c r="C611" i="37" s="1"/>
  <c r="C612" i="37" s="1"/>
  <c r="C613" i="37" s="1"/>
  <c r="C614" i="37" s="1"/>
  <c r="C615" i="37" s="1"/>
  <c r="C616" i="37" s="1"/>
  <c r="E605" i="37"/>
  <c r="C605" i="37" s="1"/>
  <c r="C606" i="37" s="1"/>
  <c r="C607" i="37" s="1"/>
  <c r="C608" i="37" s="1"/>
  <c r="C609" i="37" s="1"/>
  <c r="C610" i="37" s="1"/>
  <c r="E599" i="37"/>
  <c r="C599" i="37" s="1"/>
  <c r="C600" i="37" s="1"/>
  <c r="C601" i="37" s="1"/>
  <c r="C602" i="37" s="1"/>
  <c r="C603" i="37" s="1"/>
  <c r="C604" i="37" s="1"/>
  <c r="E593" i="37"/>
  <c r="C593" i="37" s="1"/>
  <c r="C594" i="37" s="1"/>
  <c r="C595" i="37" s="1"/>
  <c r="C596" i="37" s="1"/>
  <c r="C597" i="37" s="1"/>
  <c r="C598" i="37" s="1"/>
  <c r="E587" i="37"/>
  <c r="C587" i="37" s="1"/>
  <c r="E577" i="37"/>
  <c r="C577" i="37" s="1"/>
  <c r="C578" i="37" s="1"/>
  <c r="C579" i="37" s="1"/>
  <c r="C580" i="37" s="1"/>
  <c r="C581" i="37" s="1"/>
  <c r="C582" i="37" s="1"/>
  <c r="E571" i="37"/>
  <c r="C571" i="37" s="1"/>
  <c r="C572" i="37" s="1"/>
  <c r="C573" i="37" s="1"/>
  <c r="C574" i="37" s="1"/>
  <c r="C575" i="37" s="1"/>
  <c r="C576" i="37" s="1"/>
  <c r="E565" i="37"/>
  <c r="C565" i="37" s="1"/>
  <c r="C566" i="37" s="1"/>
  <c r="C567" i="37" s="1"/>
  <c r="C568" i="37" s="1"/>
  <c r="C569" i="37" s="1"/>
  <c r="C570" i="37" s="1"/>
  <c r="E559" i="37"/>
  <c r="C559" i="37" s="1"/>
  <c r="C560" i="37" s="1"/>
  <c r="C561" i="37" s="1"/>
  <c r="C562" i="37" s="1"/>
  <c r="C563" i="37" s="1"/>
  <c r="C564" i="37" s="1"/>
  <c r="E553" i="37"/>
  <c r="C553" i="37" s="1"/>
  <c r="C554" i="37" s="1"/>
  <c r="C555" i="37" s="1"/>
  <c r="C556" i="37" s="1"/>
  <c r="C557" i="37" s="1"/>
  <c r="C558" i="37" s="1"/>
  <c r="E547" i="37"/>
  <c r="C547" i="37" s="1"/>
  <c r="C548" i="37" s="1"/>
  <c r="C549" i="37" s="1"/>
  <c r="C550" i="37" s="1"/>
  <c r="C551" i="37" s="1"/>
  <c r="C552" i="37" s="1"/>
  <c r="E541" i="37"/>
  <c r="C541" i="37" s="1"/>
  <c r="C542" i="37" s="1"/>
  <c r="C543" i="37" s="1"/>
  <c r="C544" i="37" s="1"/>
  <c r="C545" i="37" s="1"/>
  <c r="C546" i="37" s="1"/>
  <c r="E531" i="37"/>
  <c r="C531" i="37" s="1"/>
  <c r="C532" i="37" s="1"/>
  <c r="C533" i="37" s="1"/>
  <c r="C534" i="37" s="1"/>
  <c r="C535" i="37" s="1"/>
  <c r="C536" i="37" s="1"/>
  <c r="E525" i="37"/>
  <c r="C525" i="37" s="1"/>
  <c r="C526" i="37" s="1"/>
  <c r="C527" i="37" s="1"/>
  <c r="C528" i="37" s="1"/>
  <c r="C529" i="37" s="1"/>
  <c r="C530" i="37" s="1"/>
  <c r="E519" i="37"/>
  <c r="C519" i="37" s="1"/>
  <c r="C520" i="37" s="1"/>
  <c r="C521" i="37" s="1"/>
  <c r="C522" i="37" s="1"/>
  <c r="C523" i="37" s="1"/>
  <c r="C524" i="37" s="1"/>
  <c r="E513" i="37"/>
  <c r="C513" i="37" s="1"/>
  <c r="C514" i="37" s="1"/>
  <c r="C515" i="37" s="1"/>
  <c r="C516" i="37" s="1"/>
  <c r="C517" i="37" s="1"/>
  <c r="C518" i="37" s="1"/>
  <c r="E507" i="37"/>
  <c r="C507" i="37" s="1"/>
  <c r="C508" i="37" s="1"/>
  <c r="C509" i="37" s="1"/>
  <c r="C510" i="37" s="1"/>
  <c r="C511" i="37" s="1"/>
  <c r="C512" i="37" s="1"/>
  <c r="E501" i="37"/>
  <c r="C501" i="37" s="1"/>
  <c r="C502" i="37" s="1"/>
  <c r="C503" i="37" s="1"/>
  <c r="C504" i="37" s="1"/>
  <c r="C505" i="37" s="1"/>
  <c r="C506" i="37" s="1"/>
  <c r="E495" i="37"/>
  <c r="C495" i="37" s="1"/>
  <c r="C496" i="37" s="1"/>
  <c r="C497" i="37" s="1"/>
  <c r="C498" i="37" s="1"/>
  <c r="C499" i="37" s="1"/>
  <c r="C500" i="37" s="1"/>
  <c r="E484" i="37"/>
  <c r="C484" i="37" s="1"/>
  <c r="C485" i="37" s="1"/>
  <c r="C486" i="37" s="1"/>
  <c r="C487" i="37" s="1"/>
  <c r="C488" i="37" s="1"/>
  <c r="C489" i="37" s="1"/>
  <c r="E478" i="37"/>
  <c r="C478" i="37" s="1"/>
  <c r="C479" i="37" s="1"/>
  <c r="C480" i="37" s="1"/>
  <c r="C481" i="37" s="1"/>
  <c r="C482" i="37" s="1"/>
  <c r="C483" i="37" s="1"/>
  <c r="E472" i="37"/>
  <c r="C472" i="37" s="1"/>
  <c r="C473" i="37" s="1"/>
  <c r="C474" i="37" s="1"/>
  <c r="C475" i="37" s="1"/>
  <c r="C476" i="37" s="1"/>
  <c r="C477" i="37" s="1"/>
  <c r="E466" i="37"/>
  <c r="C466" i="37" s="1"/>
  <c r="C467" i="37" s="1"/>
  <c r="C468" i="37" s="1"/>
  <c r="C469" i="37" s="1"/>
  <c r="C470" i="37" s="1"/>
  <c r="C471" i="37" s="1"/>
  <c r="E460" i="37"/>
  <c r="C460" i="37" s="1"/>
  <c r="C461" i="37" s="1"/>
  <c r="C462" i="37" s="1"/>
  <c r="C463" i="37" s="1"/>
  <c r="C464" i="37" s="1"/>
  <c r="C465" i="37" s="1"/>
  <c r="E454" i="37"/>
  <c r="C454" i="37" s="1"/>
  <c r="C455" i="37" s="1"/>
  <c r="C456" i="37" s="1"/>
  <c r="C457" i="37" s="1"/>
  <c r="C458" i="37" s="1"/>
  <c r="C459" i="37" s="1"/>
  <c r="E448" i="37"/>
  <c r="C448" i="37" s="1"/>
  <c r="C449" i="37" s="1"/>
  <c r="E438" i="37"/>
  <c r="C438" i="37" s="1"/>
  <c r="C439" i="37" s="1"/>
  <c r="C440" i="37" s="1"/>
  <c r="C441" i="37" s="1"/>
  <c r="C442" i="37" s="1"/>
  <c r="C443" i="37" s="1"/>
  <c r="E432" i="37"/>
  <c r="C432" i="37" s="1"/>
  <c r="C433" i="37" s="1"/>
  <c r="C434" i="37" s="1"/>
  <c r="C435" i="37" s="1"/>
  <c r="C436" i="37" s="1"/>
  <c r="C437" i="37" s="1"/>
  <c r="E426" i="37"/>
  <c r="C426" i="37" s="1"/>
  <c r="C427" i="37" s="1"/>
  <c r="C428" i="37" s="1"/>
  <c r="C429" i="37" s="1"/>
  <c r="C430" i="37" s="1"/>
  <c r="C431" i="37" s="1"/>
  <c r="E420" i="37"/>
  <c r="C420" i="37" s="1"/>
  <c r="C421" i="37" s="1"/>
  <c r="C422" i="37" s="1"/>
  <c r="C423" i="37" s="1"/>
  <c r="C424" i="37" s="1"/>
  <c r="C425" i="37" s="1"/>
  <c r="E414" i="37"/>
  <c r="C414" i="37" s="1"/>
  <c r="C415" i="37" s="1"/>
  <c r="C416" i="37" s="1"/>
  <c r="C417" i="37" s="1"/>
  <c r="C418" i="37" s="1"/>
  <c r="C419" i="37" s="1"/>
  <c r="E408" i="37"/>
  <c r="C408" i="37" s="1"/>
  <c r="C409" i="37" s="1"/>
  <c r="C410" i="37" s="1"/>
  <c r="C411" i="37" s="1"/>
  <c r="C412" i="37" s="1"/>
  <c r="C413" i="37" s="1"/>
  <c r="E402" i="37"/>
  <c r="C402" i="37" s="1"/>
  <c r="C403" i="37" s="1"/>
  <c r="C404" i="37" s="1"/>
  <c r="C405" i="37" s="1"/>
  <c r="C406" i="37" s="1"/>
  <c r="C407" i="37" s="1"/>
  <c r="E392" i="37"/>
  <c r="C392" i="37" s="1"/>
  <c r="C393" i="37" s="1"/>
  <c r="C394" i="37" s="1"/>
  <c r="C395" i="37" s="1"/>
  <c r="C396" i="37" s="1"/>
  <c r="C397" i="37" s="1"/>
  <c r="E386" i="37"/>
  <c r="C386" i="37" s="1"/>
  <c r="C387" i="37" s="1"/>
  <c r="C388" i="37" s="1"/>
  <c r="C389" i="37" s="1"/>
  <c r="C390" i="37" s="1"/>
  <c r="C391" i="37" s="1"/>
  <c r="E380" i="37"/>
  <c r="C380" i="37" s="1"/>
  <c r="C381" i="37" s="1"/>
  <c r="C382" i="37" s="1"/>
  <c r="C383" i="37" s="1"/>
  <c r="C384" i="37" s="1"/>
  <c r="C385" i="37" s="1"/>
  <c r="E374" i="37"/>
  <c r="C374" i="37" s="1"/>
  <c r="C375" i="37" s="1"/>
  <c r="C376" i="37" s="1"/>
  <c r="C377" i="37" s="1"/>
  <c r="C378" i="37" s="1"/>
  <c r="C379" i="37" s="1"/>
  <c r="E368" i="37"/>
  <c r="C368" i="37" s="1"/>
  <c r="C369" i="37" s="1"/>
  <c r="C370" i="37" s="1"/>
  <c r="C371" i="37" s="1"/>
  <c r="C372" i="37" s="1"/>
  <c r="C373" i="37" s="1"/>
  <c r="E362" i="37"/>
  <c r="C362" i="37" s="1"/>
  <c r="C363" i="37" s="1"/>
  <c r="C364" i="37" s="1"/>
  <c r="C365" i="37" s="1"/>
  <c r="C366" i="37" s="1"/>
  <c r="C367" i="37" s="1"/>
  <c r="E356" i="37"/>
  <c r="C9" i="37"/>
  <c r="E51" i="37"/>
  <c r="C51" i="37" s="1"/>
  <c r="C52" i="37" s="1"/>
  <c r="C53" i="37" s="1"/>
  <c r="C54" i="37" s="1"/>
  <c r="C55" i="37" s="1"/>
  <c r="C56" i="37" s="1"/>
  <c r="E45" i="37"/>
  <c r="C45" i="37" s="1"/>
  <c r="C46" i="37" s="1"/>
  <c r="C47" i="37" s="1"/>
  <c r="C48" i="37" s="1"/>
  <c r="C49" i="37" s="1"/>
  <c r="C50" i="37" s="1"/>
  <c r="E39" i="37"/>
  <c r="C39" i="37" s="1"/>
  <c r="C40" i="37" s="1"/>
  <c r="C41" i="37" s="1"/>
  <c r="C42" i="37" s="1"/>
  <c r="C43" i="37" s="1"/>
  <c r="C44" i="37" s="1"/>
  <c r="E33" i="37"/>
  <c r="C33" i="37" s="1"/>
  <c r="C34" i="37" s="1"/>
  <c r="C35" i="37" s="1"/>
  <c r="C36" i="37" s="1"/>
  <c r="C37" i="37" s="1"/>
  <c r="C38" i="37" s="1"/>
  <c r="E27" i="37"/>
  <c r="C27" i="37" s="1"/>
  <c r="C28" i="37" s="1"/>
  <c r="C29" i="37" s="1"/>
  <c r="C30" i="37" s="1"/>
  <c r="C31" i="37" s="1"/>
  <c r="C32" i="37" s="1"/>
  <c r="E21" i="37"/>
  <c r="C21" i="37" s="1"/>
  <c r="C22" i="37" s="1"/>
  <c r="C23" i="37" s="1"/>
  <c r="C24" i="37" s="1"/>
  <c r="C25" i="37" s="1"/>
  <c r="C26" i="37" s="1"/>
  <c r="E15" i="37"/>
  <c r="C15" i="37" s="1"/>
  <c r="Y51" i="37"/>
  <c r="Y45" i="37"/>
  <c r="Y39" i="37"/>
  <c r="Y33" i="37"/>
  <c r="Y27" i="37"/>
  <c r="Y21" i="37"/>
  <c r="Y15" i="37"/>
  <c r="AD639" i="37" l="1"/>
  <c r="H782" i="51" s="1"/>
  <c r="G782" i="51"/>
  <c r="FW79" i="28"/>
  <c r="FW80" i="28"/>
  <c r="FW81" i="28"/>
  <c r="FW64" i="28"/>
  <c r="FW83" i="28"/>
  <c r="FW82" i="28"/>
  <c r="FW65" i="28"/>
  <c r="R512" i="38"/>
  <c r="FX64" i="28" s="1"/>
  <c r="R351" i="38"/>
  <c r="R371" i="38" s="1"/>
  <c r="Q453" i="38"/>
  <c r="Q455" i="38"/>
  <c r="R356" i="38"/>
  <c r="R376" i="38" s="1"/>
  <c r="Q452" i="38"/>
  <c r="R477" i="38"/>
  <c r="R498" i="38" s="1"/>
  <c r="R332" i="38"/>
  <c r="R353" i="38" s="1"/>
  <c r="R373" i="38" s="1"/>
  <c r="R358" i="38"/>
  <c r="R378" i="38" s="1"/>
  <c r="R481" i="38"/>
  <c r="R445" i="38"/>
  <c r="Q456" i="38"/>
  <c r="Q451" i="38"/>
  <c r="Q505" i="38"/>
  <c r="DI82" i="28"/>
  <c r="DX82" i="28" s="1"/>
  <c r="DI83" i="28"/>
  <c r="DX83" i="28" s="1"/>
  <c r="DI65" i="28"/>
  <c r="DX65" i="28" s="1"/>
  <c r="DI79" i="28"/>
  <c r="DX79" i="28" s="1"/>
  <c r="DI80" i="28"/>
  <c r="DX80" i="28" s="1"/>
  <c r="DI64" i="28"/>
  <c r="DX64" i="28" s="1"/>
  <c r="DI81" i="28"/>
  <c r="DX81" i="28" s="1"/>
  <c r="C16" i="37"/>
  <c r="C17" i="37" s="1"/>
  <c r="C18" i="37" s="1"/>
  <c r="C19" i="37" s="1"/>
  <c r="C20" i="37" s="1"/>
  <c r="C450" i="37"/>
  <c r="C451" i="37" s="1"/>
  <c r="C452" i="37" s="1"/>
  <c r="C453" i="37" s="1"/>
  <c r="C10" i="37"/>
  <c r="C11" i="37" s="1"/>
  <c r="C12" i="37" s="1"/>
  <c r="C13" i="37" s="1"/>
  <c r="C14" i="37" s="1"/>
  <c r="C356" i="37"/>
  <c r="C357" i="37" s="1"/>
  <c r="C358" i="37" s="1"/>
  <c r="C359" i="37" s="1"/>
  <c r="C360" i="37" s="1"/>
  <c r="C361" i="37" s="1"/>
  <c r="C588" i="37"/>
  <c r="C589" i="37" s="1"/>
  <c r="C590" i="37" s="1"/>
  <c r="C591" i="37" s="1"/>
  <c r="C592" i="37" s="1"/>
  <c r="J91" i="38"/>
  <c r="J99" i="38"/>
  <c r="J92" i="38"/>
  <c r="J100" i="38"/>
  <c r="J93" i="38"/>
  <c r="J101" i="38"/>
  <c r="J89" i="38"/>
  <c r="J103" i="38"/>
  <c r="J111" i="38"/>
  <c r="J104" i="38"/>
  <c r="J105" i="38"/>
  <c r="J87" i="38"/>
  <c r="J108" i="38"/>
  <c r="J90" i="38"/>
  <c r="J112" i="38"/>
  <c r="J94" i="38"/>
  <c r="J113" i="38"/>
  <c r="J95" i="38"/>
  <c r="J97" i="38"/>
  <c r="J98" i="38"/>
  <c r="J106" i="38"/>
  <c r="J109" i="38"/>
  <c r="J96" i="38"/>
  <c r="J107" i="38"/>
  <c r="J88" i="38"/>
  <c r="J110" i="38"/>
  <c r="J102" i="38"/>
  <c r="L83" i="38"/>
  <c r="O767" i="37"/>
  <c r="K86" i="38"/>
  <c r="K84" i="38"/>
  <c r="FX83" i="28" l="1"/>
  <c r="FX82" i="28"/>
  <c r="FX81" i="28"/>
  <c r="FX80" i="28"/>
  <c r="FX79" i="28"/>
  <c r="FX65" i="28"/>
  <c r="R453" i="38"/>
  <c r="R452" i="38"/>
  <c r="R451" i="38"/>
  <c r="R456" i="38"/>
  <c r="R455" i="38"/>
  <c r="R454" i="38"/>
  <c r="R505" i="38"/>
  <c r="DJ82" i="28"/>
  <c r="DY82" i="28" s="1"/>
  <c r="DJ83" i="28"/>
  <c r="DY83" i="28" s="1"/>
  <c r="DJ65" i="28"/>
  <c r="DY65" i="28" s="1"/>
  <c r="DJ79" i="28"/>
  <c r="DY79" i="28" s="1"/>
  <c r="DJ80" i="28"/>
  <c r="DY80" i="28" s="1"/>
  <c r="DJ64" i="28"/>
  <c r="DY64" i="28" s="1"/>
  <c r="DJ81" i="28"/>
  <c r="DY81" i="28" s="1"/>
  <c r="K88" i="38"/>
  <c r="K92" i="38"/>
  <c r="K96" i="38"/>
  <c r="K100" i="38"/>
  <c r="K104" i="38"/>
  <c r="K108" i="38"/>
  <c r="K112" i="38"/>
  <c r="K90" i="38"/>
  <c r="K94" i="38"/>
  <c r="K98" i="38"/>
  <c r="K102" i="38"/>
  <c r="K93" i="38"/>
  <c r="K95" i="38"/>
  <c r="K110" i="38"/>
  <c r="K103" i="38"/>
  <c r="K97" i="38"/>
  <c r="K99" i="38"/>
  <c r="K106" i="38"/>
  <c r="K101" i="38"/>
  <c r="K113" i="38"/>
  <c r="K87" i="38"/>
  <c r="K109" i="38"/>
  <c r="K107" i="38"/>
  <c r="K89" i="38"/>
  <c r="K91" i="38"/>
  <c r="K105" i="38"/>
  <c r="K111" i="38"/>
  <c r="J76" i="38"/>
  <c r="N878" i="37" s="1"/>
  <c r="N879" i="37" s="1"/>
  <c r="M83" i="38"/>
  <c r="Q767" i="37" s="1"/>
  <c r="P767" i="37"/>
  <c r="L86" i="38"/>
  <c r="L84" i="38"/>
  <c r="K76" i="38" l="1"/>
  <c r="O878" i="37" s="1"/>
  <c r="O879" i="37" s="1"/>
  <c r="L89" i="38"/>
  <c r="L93" i="38"/>
  <c r="L97" i="38"/>
  <c r="L101" i="38"/>
  <c r="L105" i="38"/>
  <c r="L109" i="38"/>
  <c r="L113" i="38"/>
  <c r="L88" i="38"/>
  <c r="L92" i="38"/>
  <c r="L96" i="38"/>
  <c r="L100" i="38"/>
  <c r="L104" i="38"/>
  <c r="L108" i="38"/>
  <c r="L112" i="38"/>
  <c r="L87" i="38"/>
  <c r="L91" i="38"/>
  <c r="L95" i="38"/>
  <c r="L99" i="38"/>
  <c r="L103" i="38"/>
  <c r="L94" i="38"/>
  <c r="L98" i="38"/>
  <c r="L110" i="38"/>
  <c r="L106" i="38"/>
  <c r="L102" i="38"/>
  <c r="L90" i="38"/>
  <c r="L111" i="38"/>
  <c r="L107" i="38"/>
  <c r="N83" i="38"/>
  <c r="R767" i="37" s="1"/>
  <c r="M86" i="38"/>
  <c r="M84" i="38"/>
  <c r="L76" i="38" l="1"/>
  <c r="P878" i="37" s="1"/>
  <c r="P879" i="37" s="1"/>
  <c r="M89" i="38"/>
  <c r="M93" i="38"/>
  <c r="M97" i="38"/>
  <c r="M101" i="38"/>
  <c r="M105" i="38"/>
  <c r="M109" i="38"/>
  <c r="M113" i="38"/>
  <c r="M87" i="38"/>
  <c r="M91" i="38"/>
  <c r="M95" i="38"/>
  <c r="M99" i="38"/>
  <c r="M103" i="38"/>
  <c r="M90" i="38"/>
  <c r="M92" i="38"/>
  <c r="M107" i="38"/>
  <c r="M96" i="38"/>
  <c r="M94" i="38"/>
  <c r="M98" i="38"/>
  <c r="M100" i="38"/>
  <c r="M110" i="38"/>
  <c r="M108" i="38"/>
  <c r="M111" i="38"/>
  <c r="M102" i="38"/>
  <c r="M104" i="38"/>
  <c r="M106" i="38"/>
  <c r="M88" i="38"/>
  <c r="M112" i="38"/>
  <c r="O83" i="38"/>
  <c r="S767" i="37" s="1"/>
  <c r="N86" i="38"/>
  <c r="N84" i="38"/>
  <c r="N90" i="38" l="1"/>
  <c r="N94" i="38"/>
  <c r="N98" i="38"/>
  <c r="N102" i="38"/>
  <c r="N106" i="38"/>
  <c r="N110" i="38"/>
  <c r="N89" i="38"/>
  <c r="N93" i="38"/>
  <c r="N97" i="38"/>
  <c r="N101" i="38"/>
  <c r="N105" i="38"/>
  <c r="N109" i="38"/>
  <c r="N113" i="38"/>
  <c r="N88" i="38"/>
  <c r="N92" i="38"/>
  <c r="N96" i="38"/>
  <c r="N100" i="38"/>
  <c r="N104" i="38"/>
  <c r="N91" i="38"/>
  <c r="N111" i="38"/>
  <c r="N112" i="38"/>
  <c r="N95" i="38"/>
  <c r="N107" i="38"/>
  <c r="N99" i="38"/>
  <c r="N108" i="38"/>
  <c r="N87" i="38"/>
  <c r="N103" i="38"/>
  <c r="M76" i="38"/>
  <c r="Q878" i="37" s="1"/>
  <c r="Q879" i="37" s="1"/>
  <c r="P83" i="38"/>
  <c r="T767" i="37" s="1"/>
  <c r="O86" i="38"/>
  <c r="O84" i="38"/>
  <c r="O90" i="38" l="1"/>
  <c r="O94" i="38"/>
  <c r="O98" i="38"/>
  <c r="O102" i="38"/>
  <c r="O106" i="38"/>
  <c r="O110" i="38"/>
  <c r="O88" i="38"/>
  <c r="O92" i="38"/>
  <c r="O96" i="38"/>
  <c r="O100" i="38"/>
  <c r="O104" i="38"/>
  <c r="O87" i="38"/>
  <c r="O89" i="38"/>
  <c r="O111" i="38"/>
  <c r="O95" i="38"/>
  <c r="O91" i="38"/>
  <c r="O93" i="38"/>
  <c r="O97" i="38"/>
  <c r="O113" i="38"/>
  <c r="O105" i="38"/>
  <c r="O107" i="38"/>
  <c r="O99" i="38"/>
  <c r="O101" i="38"/>
  <c r="O112" i="38"/>
  <c r="O108" i="38"/>
  <c r="O103" i="38"/>
  <c r="O109" i="38"/>
  <c r="N76" i="38"/>
  <c r="R878" i="37" s="1"/>
  <c r="R879" i="37" s="1"/>
  <c r="Q83" i="38"/>
  <c r="U767" i="37" s="1"/>
  <c r="P86" i="38"/>
  <c r="P84" i="38"/>
  <c r="P87" i="38" l="1"/>
  <c r="P91" i="38"/>
  <c r="P95" i="38"/>
  <c r="P99" i="38"/>
  <c r="P103" i="38"/>
  <c r="P107" i="38"/>
  <c r="P111" i="38"/>
  <c r="P90" i="38"/>
  <c r="P94" i="38"/>
  <c r="P98" i="38"/>
  <c r="P102" i="38"/>
  <c r="P106" i="38"/>
  <c r="P110" i="38"/>
  <c r="P89" i="38"/>
  <c r="P93" i="38"/>
  <c r="P97" i="38"/>
  <c r="P101" i="38"/>
  <c r="P88" i="38"/>
  <c r="P108" i="38"/>
  <c r="P92" i="38"/>
  <c r="P109" i="38"/>
  <c r="P96" i="38"/>
  <c r="P105" i="38"/>
  <c r="P100" i="38"/>
  <c r="P104" i="38"/>
  <c r="P113" i="38"/>
  <c r="P112" i="38"/>
  <c r="O76" i="38"/>
  <c r="S878" i="37" s="1"/>
  <c r="S879" i="37" s="1"/>
  <c r="R83" i="38"/>
  <c r="Q86" i="38"/>
  <c r="Q84" i="38"/>
  <c r="Q87" i="38" l="1"/>
  <c r="Q91" i="38"/>
  <c r="Q95" i="38"/>
  <c r="Q99" i="38"/>
  <c r="Q103" i="38"/>
  <c r="Q107" i="38"/>
  <c r="Q111" i="38"/>
  <c r="Q89" i="38"/>
  <c r="Q93" i="38"/>
  <c r="Q97" i="38"/>
  <c r="Q101" i="38"/>
  <c r="Q112" i="38"/>
  <c r="Q90" i="38"/>
  <c r="Q104" i="38"/>
  <c r="Q88" i="38"/>
  <c r="Q108" i="38"/>
  <c r="Q92" i="38"/>
  <c r="Q94" i="38"/>
  <c r="Q113" i="38"/>
  <c r="Q109" i="38"/>
  <c r="Q105" i="38"/>
  <c r="Q96" i="38"/>
  <c r="Q98" i="38"/>
  <c r="Q110" i="38"/>
  <c r="Q100" i="38"/>
  <c r="Q102" i="38"/>
  <c r="Q106" i="38"/>
  <c r="P76" i="38"/>
  <c r="T878" i="37" s="1"/>
  <c r="T879" i="37" s="1"/>
  <c r="S83" i="38"/>
  <c r="R86" i="38"/>
  <c r="R84" i="38"/>
  <c r="R88" i="38" l="1"/>
  <c r="R92" i="38"/>
  <c r="R96" i="38"/>
  <c r="R100" i="38"/>
  <c r="R104" i="38"/>
  <c r="R108" i="38"/>
  <c r="R112" i="38"/>
  <c r="R87" i="38"/>
  <c r="R91" i="38"/>
  <c r="R95" i="38"/>
  <c r="R99" i="38"/>
  <c r="R103" i="38"/>
  <c r="R107" i="38"/>
  <c r="R111" i="38"/>
  <c r="R90" i="38"/>
  <c r="R94" i="38"/>
  <c r="R98" i="38"/>
  <c r="R102" i="38"/>
  <c r="R105" i="38"/>
  <c r="R89" i="38"/>
  <c r="R93" i="38"/>
  <c r="R97" i="38"/>
  <c r="R106" i="38"/>
  <c r="R109" i="38"/>
  <c r="R101" i="38"/>
  <c r="R110" i="38"/>
  <c r="R113" i="38"/>
  <c r="Q76" i="38"/>
  <c r="U878" i="37" s="1"/>
  <c r="U879" i="37" s="1"/>
  <c r="T83" i="38"/>
  <c r="S86" i="38"/>
  <c r="S84" i="38"/>
  <c r="M1313" i="33"/>
  <c r="M1312" i="33"/>
  <c r="E1313" i="33"/>
  <c r="F1313" i="33"/>
  <c r="G1313" i="33"/>
  <c r="H1313" i="33"/>
  <c r="I1313" i="33"/>
  <c r="J1313" i="33"/>
  <c r="K1313" i="33"/>
  <c r="K1312" i="33"/>
  <c r="J1312" i="33"/>
  <c r="I1312" i="33"/>
  <c r="H1312" i="33"/>
  <c r="G1312" i="33"/>
  <c r="F1312" i="33"/>
  <c r="E1312" i="33"/>
  <c r="EA76" i="28"/>
  <c r="EA74" i="28"/>
  <c r="EA25" i="28"/>
  <c r="EA21" i="28"/>
  <c r="EA9" i="28"/>
  <c r="EA8" i="28"/>
  <c r="CG76" i="28"/>
  <c r="CH76" i="28"/>
  <c r="CI76" i="28"/>
  <c r="GH77" i="28"/>
  <c r="GI77" i="28"/>
  <c r="CQ78" i="28"/>
  <c r="BX78" i="28" s="1"/>
  <c r="CQ77" i="28"/>
  <c r="GF77" i="28"/>
  <c r="GE77" i="28"/>
  <c r="GD77" i="28"/>
  <c r="CC77" i="28"/>
  <c r="CO77" i="28" s="1"/>
  <c r="CB77" i="28"/>
  <c r="CA77" i="28"/>
  <c r="CQ76" i="28"/>
  <c r="CR76" i="28" s="1"/>
  <c r="CF76" i="28"/>
  <c r="CE76" i="28"/>
  <c r="CD76" i="28"/>
  <c r="CC76" i="28"/>
  <c r="CB76" i="28"/>
  <c r="CA76" i="28"/>
  <c r="BZ76" i="28"/>
  <c r="CQ74" i="28"/>
  <c r="BX74" i="28" s="1"/>
  <c r="CQ73" i="28"/>
  <c r="CQ72" i="28"/>
  <c r="CQ25" i="28"/>
  <c r="CR25" i="28" s="1"/>
  <c r="CQ21" i="28"/>
  <c r="CR21" i="28" s="1"/>
  <c r="CF21" i="28"/>
  <c r="CE21" i="28"/>
  <c r="CD21" i="28"/>
  <c r="CC21" i="28"/>
  <c r="CB21" i="28"/>
  <c r="CA21" i="28"/>
  <c r="BZ21" i="28"/>
  <c r="CQ9" i="28"/>
  <c r="BX9" i="28" s="1"/>
  <c r="CQ8" i="28"/>
  <c r="BX8" i="28" s="1"/>
  <c r="AX18" i="28"/>
  <c r="HL18" i="28" s="1"/>
  <c r="AW18" i="28"/>
  <c r="HK18" i="28" s="1"/>
  <c r="AV18" i="28"/>
  <c r="HJ18" i="28" s="1"/>
  <c r="AU18" i="28"/>
  <c r="AT18" i="28"/>
  <c r="HH18" i="28" s="1"/>
  <c r="AS18" i="28"/>
  <c r="HG18" i="28" s="1"/>
  <c r="AR18" i="28"/>
  <c r="HF18" i="28" s="1"/>
  <c r="BH13" i="28"/>
  <c r="EU13" i="28" s="1" a="1"/>
  <c r="EU13" i="28" s="1"/>
  <c r="AR14" i="28"/>
  <c r="HF14" i="28" s="1"/>
  <c r="AS14" i="28"/>
  <c r="HG14" i="28" s="1"/>
  <c r="AT14" i="28"/>
  <c r="HH14" i="28" s="1"/>
  <c r="AU14" i="28"/>
  <c r="AV14" i="28"/>
  <c r="HJ14" i="28" s="1"/>
  <c r="AW14" i="28"/>
  <c r="HK14" i="28" s="1"/>
  <c r="AX14" i="28"/>
  <c r="HL14" i="28" s="1"/>
  <c r="L225" i="33"/>
  <c r="M225" i="33" s="1"/>
  <c r="L202" i="33"/>
  <c r="M202" i="33" s="1"/>
  <c r="E35" i="33"/>
  <c r="K28" i="33"/>
  <c r="G30" i="33"/>
  <c r="H31" i="33"/>
  <c r="I32" i="33"/>
  <c r="L179" i="33"/>
  <c r="M179" i="33" s="1"/>
  <c r="L156" i="33"/>
  <c r="M156" i="33" s="1"/>
  <c r="L133" i="33"/>
  <c r="M133" i="33" s="1"/>
  <c r="L110" i="33"/>
  <c r="M110" i="33" s="1"/>
  <c r="L87" i="33"/>
  <c r="M87" i="33" s="1"/>
  <c r="CT27" i="28"/>
  <c r="CT26" i="28"/>
  <c r="CO21" i="28" l="1"/>
  <c r="CR77" i="28"/>
  <c r="EI77" i="28" s="1"/>
  <c r="CO76" i="28"/>
  <c r="HI14" i="28"/>
  <c r="BG14" i="28"/>
  <c r="HI18" i="28"/>
  <c r="BG18" i="28"/>
  <c r="CR73" i="28"/>
  <c r="ER73" i="28" s="1"/>
  <c r="EO25" i="28"/>
  <c r="EP25" i="28"/>
  <c r="EQ25" i="28"/>
  <c r="ER25" i="28"/>
  <c r="ES25" i="28"/>
  <c r="GG77" i="28"/>
  <c r="ER76" i="28"/>
  <c r="EO76" i="28"/>
  <c r="EQ76" i="28"/>
  <c r="EP76" i="28"/>
  <c r="ES76" i="28"/>
  <c r="EO21" i="28"/>
  <c r="EP21" i="28"/>
  <c r="EQ21" i="28"/>
  <c r="ER21" i="28"/>
  <c r="ES21" i="28"/>
  <c r="EJ76" i="28"/>
  <c r="EI76" i="28"/>
  <c r="BY21" i="28"/>
  <c r="BY76" i="28"/>
  <c r="BH18" i="28"/>
  <c r="BY18" i="28"/>
  <c r="BY14" i="28"/>
  <c r="CP21" i="28"/>
  <c r="EN76" i="28"/>
  <c r="CR72" i="28"/>
  <c r="CP76" i="28"/>
  <c r="CP77" i="28"/>
  <c r="EE21" i="28"/>
  <c r="EH21" i="28"/>
  <c r="EI21" i="28"/>
  <c r="EL21" i="28"/>
  <c r="EM21" i="28"/>
  <c r="EN21" i="28"/>
  <c r="EM25" i="28"/>
  <c r="EE25" i="28"/>
  <c r="EJ25" i="28"/>
  <c r="EL25" i="28"/>
  <c r="EK25" i="28"/>
  <c r="EI25" i="28"/>
  <c r="EN25" i="28"/>
  <c r="EH25" i="28"/>
  <c r="EG25" i="28"/>
  <c r="EF25" i="28"/>
  <c r="EF21" i="28"/>
  <c r="EM76" i="28"/>
  <c r="EG21" i="28"/>
  <c r="EK76" i="28"/>
  <c r="EL76" i="28"/>
  <c r="EJ21" i="28"/>
  <c r="EK21" i="28"/>
  <c r="CD74" i="28"/>
  <c r="CC74" i="28"/>
  <c r="CG74" i="28"/>
  <c r="GG74" i="28" s="1"/>
  <c r="CH74" i="28"/>
  <c r="GH74" i="28" s="1"/>
  <c r="CA74" i="28"/>
  <c r="BZ74" i="28"/>
  <c r="CE74" i="28"/>
  <c r="GE74" i="28" s="1"/>
  <c r="CB74" i="28"/>
  <c r="CF74" i="28"/>
  <c r="GF74" i="28" s="1"/>
  <c r="CI74" i="28"/>
  <c r="GI74" i="28" s="1"/>
  <c r="GE78" i="28"/>
  <c r="CD78" i="28"/>
  <c r="CO78" i="28" s="1"/>
  <c r="GG78" i="28"/>
  <c r="GF78" i="28"/>
  <c r="GI78" i="28"/>
  <c r="GH78" i="28"/>
  <c r="CR9" i="28"/>
  <c r="CR8" i="28"/>
  <c r="BH14" i="28"/>
  <c r="CB13" i="28"/>
  <c r="EG13" i="28" s="1"/>
  <c r="CR78" i="28"/>
  <c r="BZ13" i="28"/>
  <c r="CR63" i="28"/>
  <c r="GH63" i="28"/>
  <c r="GI63" i="28"/>
  <c r="GG63" i="28"/>
  <c r="CR74" i="28"/>
  <c r="CA13" i="28"/>
  <c r="EF13" i="28" s="1"/>
  <c r="CF13" i="28"/>
  <c r="EK13" i="28" s="1"/>
  <c r="CE13" i="28"/>
  <c r="EJ13" i="28" s="1"/>
  <c r="CD13" i="28"/>
  <c r="EI13" i="28" s="1"/>
  <c r="CC13" i="28"/>
  <c r="R76" i="38"/>
  <c r="S88" i="38"/>
  <c r="S92" i="38"/>
  <c r="S96" i="38"/>
  <c r="S100" i="38"/>
  <c r="S104" i="38"/>
  <c r="S108" i="38"/>
  <c r="S112" i="38"/>
  <c r="S90" i="38"/>
  <c r="S94" i="38"/>
  <c r="S98" i="38"/>
  <c r="S102" i="38"/>
  <c r="S109" i="38"/>
  <c r="S105" i="38"/>
  <c r="S101" i="38"/>
  <c r="S87" i="38"/>
  <c r="S111" i="38"/>
  <c r="S89" i="38"/>
  <c r="S91" i="38"/>
  <c r="S110" i="38"/>
  <c r="S106" i="38"/>
  <c r="S93" i="38"/>
  <c r="S95" i="38"/>
  <c r="S107" i="38"/>
  <c r="S103" i="38"/>
  <c r="S97" i="38"/>
  <c r="S99" i="38"/>
  <c r="S113" i="38"/>
  <c r="U83" i="38"/>
  <c r="T86" i="38"/>
  <c r="T84" i="38"/>
  <c r="E36" i="33"/>
  <c r="E34" i="33"/>
  <c r="F34" i="33"/>
  <c r="G34" i="33"/>
  <c r="H34" i="33"/>
  <c r="M34" i="33"/>
  <c r="I34" i="33"/>
  <c r="J34" i="33"/>
  <c r="K33" i="33"/>
  <c r="E33" i="33"/>
  <c r="F33" i="33"/>
  <c r="M33" i="33"/>
  <c r="G33" i="33"/>
  <c r="H33" i="33"/>
  <c r="I33" i="33"/>
  <c r="J32" i="33"/>
  <c r="K32" i="33"/>
  <c r="M32" i="33"/>
  <c r="E32" i="33"/>
  <c r="F32" i="33"/>
  <c r="G32" i="33"/>
  <c r="H32" i="33"/>
  <c r="H30" i="33"/>
  <c r="M30" i="33"/>
  <c r="I30" i="33"/>
  <c r="J30" i="33"/>
  <c r="K30" i="33"/>
  <c r="E30" i="33"/>
  <c r="F30" i="33"/>
  <c r="K34" i="33"/>
  <c r="I31" i="33"/>
  <c r="J31" i="33"/>
  <c r="M31" i="33"/>
  <c r="K31" i="33"/>
  <c r="E31" i="33"/>
  <c r="F31" i="33"/>
  <c r="G31" i="33"/>
  <c r="E28" i="33"/>
  <c r="F28" i="33"/>
  <c r="G28" i="33"/>
  <c r="M28" i="33"/>
  <c r="H28" i="33"/>
  <c r="I28" i="33"/>
  <c r="J28" i="33"/>
  <c r="F36" i="33"/>
  <c r="G36" i="33"/>
  <c r="H36" i="33"/>
  <c r="I36" i="33"/>
  <c r="J36" i="33"/>
  <c r="K36" i="33"/>
  <c r="J33" i="33"/>
  <c r="M36" i="33"/>
  <c r="K35" i="33"/>
  <c r="M35" i="33"/>
  <c r="J35" i="33"/>
  <c r="I35" i="33"/>
  <c r="H35" i="33"/>
  <c r="G35" i="33"/>
  <c r="F35" i="33"/>
  <c r="EH13" i="28" l="1"/>
  <c r="ET13" i="28" s="1"/>
  <c r="CO13" i="28"/>
  <c r="EM77" i="28"/>
  <c r="EP77" i="28"/>
  <c r="EI73" i="28"/>
  <c r="EN77" i="28"/>
  <c r="EJ77" i="28"/>
  <c r="ES77" i="28"/>
  <c r="ER77" i="28"/>
  <c r="EL77" i="28"/>
  <c r="EO77" i="28"/>
  <c r="EQ77" i="28"/>
  <c r="EK77" i="28"/>
  <c r="EJ73" i="28"/>
  <c r="EL73" i="28"/>
  <c r="EO73" i="28"/>
  <c r="EN73" i="28"/>
  <c r="EK73" i="28"/>
  <c r="EM73" i="28"/>
  <c r="EQ73" i="28"/>
  <c r="EP73" i="28"/>
  <c r="ES73" i="28"/>
  <c r="ET25" i="28"/>
  <c r="ET76" i="28"/>
  <c r="ET21" i="28"/>
  <c r="CO74" i="28"/>
  <c r="GD78" i="28"/>
  <c r="EQ9" i="28"/>
  <c r="ER9" i="28"/>
  <c r="ES9" i="28"/>
  <c r="EO9" i="28"/>
  <c r="EP9" i="28"/>
  <c r="EO78" i="28"/>
  <c r="EQ78" i="28"/>
  <c r="ER78" i="28"/>
  <c r="EP78" i="28"/>
  <c r="ES78" i="28"/>
  <c r="EO74" i="28"/>
  <c r="EP74" i="28"/>
  <c r="ER74" i="28"/>
  <c r="EQ74" i="28"/>
  <c r="ES74" i="28"/>
  <c r="EO8" i="28"/>
  <c r="EP8" i="28"/>
  <c r="EQ8" i="28"/>
  <c r="ER8" i="28"/>
  <c r="ES8" i="28"/>
  <c r="EI72" i="28"/>
  <c r="EP72" i="28"/>
  <c r="EQ72" i="28"/>
  <c r="ER72" i="28"/>
  <c r="ES72" i="28"/>
  <c r="EO72" i="28"/>
  <c r="EP63" i="28"/>
  <c r="EO63" i="28"/>
  <c r="EQ63" i="28"/>
  <c r="ER63" i="28"/>
  <c r="ES63" i="28"/>
  <c r="EM72" i="28"/>
  <c r="EJ72" i="28"/>
  <c r="EN72" i="28"/>
  <c r="BY74" i="28"/>
  <c r="BY78" i="28"/>
  <c r="BY13" i="28"/>
  <c r="EK78" i="28"/>
  <c r="EL72" i="28"/>
  <c r="EK72" i="28"/>
  <c r="EE13" i="28"/>
  <c r="CP13" i="28"/>
  <c r="CP78" i="28"/>
  <c r="CP74" i="28"/>
  <c r="EN74" i="28"/>
  <c r="EN78" i="28"/>
  <c r="EK74" i="28"/>
  <c r="EI74" i="28"/>
  <c r="EK63" i="28"/>
  <c r="EM63" i="28"/>
  <c r="EI63" i="28"/>
  <c r="EJ63" i="28"/>
  <c r="EN63" i="28"/>
  <c r="EL63" i="28"/>
  <c r="EM78" i="28"/>
  <c r="EJ78" i="28"/>
  <c r="EL74" i="28"/>
  <c r="EJ74" i="28"/>
  <c r="EN8" i="28"/>
  <c r="EL8" i="28"/>
  <c r="EM8" i="28"/>
  <c r="EL9" i="28"/>
  <c r="EM9" i="28"/>
  <c r="EN9" i="28"/>
  <c r="EL78" i="28"/>
  <c r="EI78" i="28"/>
  <c r="EM74" i="28"/>
  <c r="BZ8" i="28"/>
  <c r="CA8" i="28"/>
  <c r="EF8" i="28" s="1"/>
  <c r="CC8" i="28"/>
  <c r="CF8" i="28"/>
  <c r="EK8" i="28" s="1"/>
  <c r="CB8" i="28"/>
  <c r="EG8" i="28" s="1"/>
  <c r="CD8" i="28"/>
  <c r="EI8" i="28" s="1"/>
  <c r="CE8" i="28"/>
  <c r="EJ8" i="28" s="1"/>
  <c r="CC9" i="28"/>
  <c r="CE9" i="28"/>
  <c r="EJ9" i="28" s="1"/>
  <c r="CD9" i="28"/>
  <c r="EI9" i="28" s="1"/>
  <c r="CB9" i="28"/>
  <c r="EG9" i="28" s="1"/>
  <c r="CA9" i="28"/>
  <c r="EF9" i="28" s="1"/>
  <c r="BZ9" i="28"/>
  <c r="CF9" i="28"/>
  <c r="EK9" i="28" s="1"/>
  <c r="GE63" i="28"/>
  <c r="GF63" i="28"/>
  <c r="GD74" i="28"/>
  <c r="GD63" i="28"/>
  <c r="FJ19" i="28"/>
  <c r="GP19" i="28"/>
  <c r="FZ13" i="28"/>
  <c r="GB13" i="28"/>
  <c r="GF13" i="28"/>
  <c r="GE13" i="28"/>
  <c r="GA13" i="28"/>
  <c r="GD13" i="28"/>
  <c r="GC13" i="28"/>
  <c r="BI19" i="28"/>
  <c r="EV19" i="28" s="1" a="1"/>
  <c r="EV19" i="28" s="1"/>
  <c r="CV19" i="28"/>
  <c r="DK19" i="28" s="1"/>
  <c r="BI14" i="28"/>
  <c r="BI15" i="28"/>
  <c r="BI13" i="28"/>
  <c r="EV13" i="28" s="1" a="1"/>
  <c r="EV13" i="28" s="1"/>
  <c r="BI12" i="28"/>
  <c r="BI18" i="28"/>
  <c r="BI16" i="28"/>
  <c r="T89" i="38"/>
  <c r="T93" i="38"/>
  <c r="T97" i="38"/>
  <c r="T101" i="38"/>
  <c r="T105" i="38"/>
  <c r="T109" i="38"/>
  <c r="T113" i="38"/>
  <c r="T88" i="38"/>
  <c r="T92" i="38"/>
  <c r="T96" i="38"/>
  <c r="T100" i="38"/>
  <c r="T104" i="38"/>
  <c r="T108" i="38"/>
  <c r="T112" i="38"/>
  <c r="T87" i="38"/>
  <c r="T91" i="38"/>
  <c r="T95" i="38"/>
  <c r="T99" i="38"/>
  <c r="T103" i="38"/>
  <c r="T90" i="38"/>
  <c r="T102" i="38"/>
  <c r="T110" i="38"/>
  <c r="T106" i="38"/>
  <c r="T94" i="38"/>
  <c r="T111" i="38"/>
  <c r="T98" i="38"/>
  <c r="T107" i="38"/>
  <c r="S76" i="38"/>
  <c r="V83" i="38"/>
  <c r="U86" i="38"/>
  <c r="U84" i="38"/>
  <c r="EH8" i="28" l="1"/>
  <c r="ET8" i="28" s="1"/>
  <c r="CO8" i="28"/>
  <c r="EH9" i="28"/>
  <c r="ET9" i="28" s="1"/>
  <c r="CO9" i="28"/>
  <c r="ET77" i="28"/>
  <c r="ET73" i="28"/>
  <c r="ET74" i="28"/>
  <c r="ET72" i="28"/>
  <c r="ET78" i="28"/>
  <c r="ET63" i="28"/>
  <c r="BY8" i="28"/>
  <c r="BY9" i="28"/>
  <c r="EE8" i="28"/>
  <c r="CP8" i="28"/>
  <c r="EE9" i="28"/>
  <c r="CP9" i="28"/>
  <c r="GC9" i="28"/>
  <c r="GE8" i="28"/>
  <c r="GF9" i="28"/>
  <c r="GD8" i="28"/>
  <c r="FZ9" i="28"/>
  <c r="GB8" i="28"/>
  <c r="GA9" i="28"/>
  <c r="GF8" i="28"/>
  <c r="GB9" i="28"/>
  <c r="GC8" i="28"/>
  <c r="GD9" i="28"/>
  <c r="GA8" i="28"/>
  <c r="GE9" i="28"/>
  <c r="FZ8" i="28"/>
  <c r="FK19" i="28"/>
  <c r="GQ19" i="28"/>
  <c r="FJ63" i="28"/>
  <c r="GP63" i="28"/>
  <c r="BI63" i="28"/>
  <c r="EV63" i="28" s="1" a="1"/>
  <c r="EV63" i="28" s="1"/>
  <c r="CV63" i="28"/>
  <c r="DK63" i="28" s="1"/>
  <c r="BJ13" i="28"/>
  <c r="EW13" i="28" s="1" a="1"/>
  <c r="EW13" i="28" s="1"/>
  <c r="BJ19" i="28"/>
  <c r="EW19" i="28" s="1" a="1"/>
  <c r="EW19" i="28" s="1"/>
  <c r="CW19" i="28"/>
  <c r="DL19" i="28" s="1"/>
  <c r="BJ16" i="28"/>
  <c r="BJ18" i="28"/>
  <c r="BJ15" i="28"/>
  <c r="BJ12" i="28"/>
  <c r="BJ14" i="28"/>
  <c r="U89" i="38"/>
  <c r="U93" i="38"/>
  <c r="U97" i="38"/>
  <c r="U101" i="38"/>
  <c r="U105" i="38"/>
  <c r="U109" i="38"/>
  <c r="U113" i="38"/>
  <c r="U87" i="38"/>
  <c r="U91" i="38"/>
  <c r="U95" i="38"/>
  <c r="U99" i="38"/>
  <c r="U103" i="38"/>
  <c r="U106" i="38"/>
  <c r="U112" i="38"/>
  <c r="U107" i="38"/>
  <c r="U108" i="38"/>
  <c r="U100" i="38"/>
  <c r="U88" i="38"/>
  <c r="U98" i="38"/>
  <c r="U90" i="38"/>
  <c r="U92" i="38"/>
  <c r="U102" i="38"/>
  <c r="U104" i="38"/>
  <c r="U94" i="38"/>
  <c r="U96" i="38"/>
  <c r="U111" i="38"/>
  <c r="U110" i="38"/>
  <c r="T76" i="38"/>
  <c r="W83" i="38"/>
  <c r="V86" i="38"/>
  <c r="V84" i="38"/>
  <c r="G786" i="37" l="1"/>
  <c r="G785" i="37" s="1"/>
  <c r="G794" i="37"/>
  <c r="G793" i="37" s="1"/>
  <c r="G770" i="37"/>
  <c r="G769" i="37" s="1"/>
  <c r="G774" i="37"/>
  <c r="G773" i="37" s="1"/>
  <c r="G782" i="37"/>
  <c r="G781" i="37" s="1"/>
  <c r="G790" i="37"/>
  <c r="G789" i="37" s="1"/>
  <c r="G778" i="37"/>
  <c r="G777" i="37" s="1"/>
  <c r="FK63" i="28"/>
  <c r="GQ63" i="28"/>
  <c r="FL19" i="28"/>
  <c r="GR19" i="28"/>
  <c r="BJ63" i="28"/>
  <c r="EW63" i="28" s="1" a="1"/>
  <c r="EW63" i="28" s="1"/>
  <c r="BK13" i="28"/>
  <c r="EX13" i="28" s="1" a="1"/>
  <c r="EX13" i="28" s="1"/>
  <c r="BK12" i="28"/>
  <c r="BK15" i="28"/>
  <c r="BK16" i="28"/>
  <c r="BK18" i="28"/>
  <c r="BK14" i="28"/>
  <c r="BK19" i="28"/>
  <c r="EX19" i="28" s="1" a="1"/>
  <c r="EX19" i="28" s="1"/>
  <c r="CX19" i="28"/>
  <c r="DM19" i="28" s="1"/>
  <c r="CW63" i="28"/>
  <c r="DL63" i="28" s="1"/>
  <c r="U76" i="38"/>
  <c r="V90" i="38"/>
  <c r="V94" i="38"/>
  <c r="V98" i="38"/>
  <c r="V102" i="38"/>
  <c r="V106" i="38"/>
  <c r="V110" i="38"/>
  <c r="V89" i="38"/>
  <c r="V93" i="38"/>
  <c r="V97" i="38"/>
  <c r="V101" i="38"/>
  <c r="V105" i="38"/>
  <c r="V109" i="38"/>
  <c r="V113" i="38"/>
  <c r="V88" i="38"/>
  <c r="V92" i="38"/>
  <c r="V96" i="38"/>
  <c r="V100" i="38"/>
  <c r="V104" i="38"/>
  <c r="V112" i="38"/>
  <c r="V87" i="38"/>
  <c r="V103" i="38"/>
  <c r="V91" i="38"/>
  <c r="V108" i="38"/>
  <c r="V99" i="38"/>
  <c r="V111" i="38"/>
  <c r="V95" i="38"/>
  <c r="V107" i="38"/>
  <c r="X83" i="38"/>
  <c r="W86" i="38"/>
  <c r="W84" i="38"/>
  <c r="FM19" i="28" l="1"/>
  <c r="GS19" i="28"/>
  <c r="FL63" i="28"/>
  <c r="GR63" i="28"/>
  <c r="CX63" i="28"/>
  <c r="DM63" i="28" s="1"/>
  <c r="BK63" i="28"/>
  <c r="EX63" i="28" s="1" a="1"/>
  <c r="EX63" i="28" s="1"/>
  <c r="BL14" i="28"/>
  <c r="BL18" i="28"/>
  <c r="BI86" i="28"/>
  <c r="BL16" i="28"/>
  <c r="BL12" i="28"/>
  <c r="BL19" i="28"/>
  <c r="EY19" i="28" s="1" a="1"/>
  <c r="EY19" i="28" s="1"/>
  <c r="CY19" i="28"/>
  <c r="DN19" i="28" s="1"/>
  <c r="BL15" i="28"/>
  <c r="BL13" i="28"/>
  <c r="EY13" i="28" s="1" a="1"/>
  <c r="EY13" i="28" s="1"/>
  <c r="W90" i="38"/>
  <c r="W94" i="38"/>
  <c r="W98" i="38"/>
  <c r="W102" i="38"/>
  <c r="W106" i="38"/>
  <c r="W110" i="38"/>
  <c r="W88" i="38"/>
  <c r="W92" i="38"/>
  <c r="W96" i="38"/>
  <c r="W100" i="38"/>
  <c r="W104" i="38"/>
  <c r="W113" i="38"/>
  <c r="W95" i="38"/>
  <c r="W109" i="38"/>
  <c r="W105" i="38"/>
  <c r="W99" i="38"/>
  <c r="W101" i="38"/>
  <c r="W111" i="38"/>
  <c r="W103" i="38"/>
  <c r="W107" i="38"/>
  <c r="W87" i="38"/>
  <c r="W89" i="38"/>
  <c r="W112" i="38"/>
  <c r="W97" i="38"/>
  <c r="W91" i="38"/>
  <c r="W93" i="38"/>
  <c r="W108" i="38"/>
  <c r="V76" i="38"/>
  <c r="Y83" i="38"/>
  <c r="X86" i="38"/>
  <c r="X84" i="38"/>
  <c r="CT43" i="28"/>
  <c r="CT44" i="28"/>
  <c r="CT45" i="28"/>
  <c r="CT47" i="28"/>
  <c r="CT48" i="28"/>
  <c r="CT49" i="28"/>
  <c r="CT50" i="28"/>
  <c r="CT51" i="28"/>
  <c r="CT52" i="28"/>
  <c r="CT54" i="28"/>
  <c r="CT55" i="28"/>
  <c r="CT56" i="28"/>
  <c r="CT57" i="28"/>
  <c r="CT60" i="28"/>
  <c r="CT61" i="28"/>
  <c r="CT65" i="28"/>
  <c r="CT66" i="28"/>
  <c r="CT67" i="28"/>
  <c r="CT68" i="28"/>
  <c r="CT75" i="28"/>
  <c r="CT84" i="28"/>
  <c r="CT85" i="28"/>
  <c r="CT86" i="28"/>
  <c r="CT42" i="28"/>
  <c r="CT10" i="28"/>
  <c r="CT11" i="28"/>
  <c r="CT12" i="28"/>
  <c r="CT13" i="28"/>
  <c r="CT14" i="28"/>
  <c r="CT15" i="28"/>
  <c r="CT16" i="28"/>
  <c r="CT17" i="28"/>
  <c r="CT18" i="28"/>
  <c r="CT19" i="28"/>
  <c r="CT20" i="28"/>
  <c r="CT22" i="28"/>
  <c r="CT23" i="28"/>
  <c r="CT24" i="28"/>
  <c r="CT37" i="28"/>
  <c r="CT38" i="28"/>
  <c r="CT39" i="28"/>
  <c r="CT40" i="28"/>
  <c r="CT8" i="28"/>
  <c r="FJ59" i="28" l="1"/>
  <c r="GP59" i="28"/>
  <c r="FJ61" i="28"/>
  <c r="GP61" i="28"/>
  <c r="FJ60" i="28"/>
  <c r="GP60" i="28"/>
  <c r="FM63" i="28"/>
  <c r="GS63" i="28"/>
  <c r="FJ62" i="28"/>
  <c r="GP62" i="28"/>
  <c r="FN19" i="28"/>
  <c r="GT19" i="28"/>
  <c r="BL63" i="28"/>
  <c r="EY63" i="28" s="1" a="1"/>
  <c r="EY63" i="28" s="1"/>
  <c r="CY63" i="28"/>
  <c r="DN63" i="28" s="1"/>
  <c r="BI84" i="28"/>
  <c r="BM19" i="28"/>
  <c r="EZ19" i="28" s="1" a="1"/>
  <c r="EZ19" i="28" s="1"/>
  <c r="CZ19" i="28"/>
  <c r="DO19" i="28" s="1"/>
  <c r="BM16" i="28"/>
  <c r="BI62" i="28"/>
  <c r="EV62" i="28" s="1" a="1"/>
  <c r="EV62" i="28" s="1"/>
  <c r="CV62" i="28"/>
  <c r="DK62" i="28" s="1"/>
  <c r="BI60" i="28"/>
  <c r="EV60" i="28" s="1" a="1"/>
  <c r="EV60" i="28" s="1"/>
  <c r="CV60" i="28"/>
  <c r="DK60" i="28" s="1"/>
  <c r="BI68" i="28"/>
  <c r="EV68" i="28" s="1" a="1"/>
  <c r="EV68" i="28" s="1"/>
  <c r="BI67" i="28"/>
  <c r="EV67" i="28" s="1" a="1"/>
  <c r="EV67" i="28" s="1"/>
  <c r="BI66" i="28"/>
  <c r="EV66" i="28" s="1" a="1"/>
  <c r="EV66" i="28" s="1"/>
  <c r="BI59" i="28"/>
  <c r="EV59" i="28" s="1" a="1"/>
  <c r="EV59" i="28" s="1"/>
  <c r="CV59" i="28"/>
  <c r="DK59" i="28" s="1"/>
  <c r="BM15" i="28"/>
  <c r="BM18" i="28"/>
  <c r="BI61" i="28"/>
  <c r="EV61" i="28" s="1" a="1"/>
  <c r="EV61" i="28" s="1"/>
  <c r="CV61" i="28"/>
  <c r="DK61" i="28" s="1"/>
  <c r="BM13" i="28"/>
  <c r="EZ13" i="28" s="1" a="1"/>
  <c r="EZ13" i="28" s="1"/>
  <c r="BM12" i="28"/>
  <c r="BI75" i="28"/>
  <c r="EV75" i="28" s="1" a="1"/>
  <c r="EV75" i="28" s="1"/>
  <c r="BM14" i="28"/>
  <c r="W76" i="38"/>
  <c r="X87" i="38"/>
  <c r="X91" i="38"/>
  <c r="X95" i="38"/>
  <c r="X99" i="38"/>
  <c r="X103" i="38"/>
  <c r="X107" i="38"/>
  <c r="X111" i="38"/>
  <c r="X90" i="38"/>
  <c r="X94" i="38"/>
  <c r="X98" i="38"/>
  <c r="X102" i="38"/>
  <c r="X106" i="38"/>
  <c r="X110" i="38"/>
  <c r="X89" i="38"/>
  <c r="X93" i="38"/>
  <c r="X97" i="38"/>
  <c r="X101" i="38"/>
  <c r="X113" i="38"/>
  <c r="X109" i="38"/>
  <c r="X96" i="38"/>
  <c r="X88" i="38"/>
  <c r="X105" i="38"/>
  <c r="X108" i="38"/>
  <c r="X100" i="38"/>
  <c r="X104" i="38"/>
  <c r="X92" i="38"/>
  <c r="X112" i="38"/>
  <c r="Z83" i="38"/>
  <c r="Y86" i="38"/>
  <c r="Y84" i="38"/>
  <c r="CT72" i="28"/>
  <c r="CT74" i="28"/>
  <c r="CT63" i="28"/>
  <c r="CT78" i="28"/>
  <c r="CT9" i="28"/>
  <c r="CT76" i="28"/>
  <c r="CT77" i="28"/>
  <c r="CT25" i="28"/>
  <c r="CT21" i="28"/>
  <c r="CT69" i="28"/>
  <c r="CT73" i="28"/>
  <c r="FK61" i="28" l="1"/>
  <c r="GQ61" i="28"/>
  <c r="FO19" i="28"/>
  <c r="GU19" i="28"/>
  <c r="FN63" i="28"/>
  <c r="GT63" i="28"/>
  <c r="FK60" i="28"/>
  <c r="GQ60" i="28"/>
  <c r="FK62" i="28"/>
  <c r="GQ62" i="28"/>
  <c r="FK59" i="28"/>
  <c r="GQ59" i="28"/>
  <c r="CZ63" i="28"/>
  <c r="DO63" i="28" s="1"/>
  <c r="BM63" i="28"/>
  <c r="EZ63" i="28" s="1" a="1"/>
  <c r="EZ63" i="28" s="1"/>
  <c r="BN19" i="28"/>
  <c r="FA19" i="28" s="1" a="1"/>
  <c r="FA19" i="28" s="1"/>
  <c r="DA19" i="28"/>
  <c r="DP19" i="28" s="1"/>
  <c r="BN14" i="28"/>
  <c r="BN13" i="28"/>
  <c r="FA13" i="28" s="1" a="1"/>
  <c r="FA13" i="28" s="1"/>
  <c r="CW61" i="28"/>
  <c r="DL61" i="28" s="1"/>
  <c r="CW62" i="28"/>
  <c r="DL62" i="28" s="1"/>
  <c r="BN15" i="28"/>
  <c r="CW60" i="28"/>
  <c r="DL60" i="28" s="1"/>
  <c r="BN12" i="28"/>
  <c r="BN18" i="28"/>
  <c r="CW59" i="28"/>
  <c r="DL59" i="28" s="1"/>
  <c r="BN16" i="28"/>
  <c r="X76" i="38"/>
  <c r="Y87" i="38"/>
  <c r="Y91" i="38"/>
  <c r="Y95" i="38"/>
  <c r="Y99" i="38"/>
  <c r="Y103" i="38"/>
  <c r="Y107" i="38"/>
  <c r="Y111" i="38"/>
  <c r="Y89" i="38"/>
  <c r="Y93" i="38"/>
  <c r="Y97" i="38"/>
  <c r="Y101" i="38"/>
  <c r="Y104" i="38"/>
  <c r="Y110" i="38"/>
  <c r="Y106" i="38"/>
  <c r="Y113" i="38"/>
  <c r="Y92" i="38"/>
  <c r="Y112" i="38"/>
  <c r="Y96" i="38"/>
  <c r="Y109" i="38"/>
  <c r="Y94" i="38"/>
  <c r="Y98" i="38"/>
  <c r="Y108" i="38"/>
  <c r="Y100" i="38"/>
  <c r="Y102" i="38"/>
  <c r="Y88" i="38"/>
  <c r="Y90" i="38"/>
  <c r="Y105" i="38"/>
  <c r="AA83" i="38"/>
  <c r="Z86" i="38"/>
  <c r="Z84" i="38"/>
  <c r="BL51" i="28" l="1"/>
  <c r="EY51" i="28" s="1" a="1"/>
  <c r="EY51" i="28" s="1"/>
  <c r="BL52" i="28"/>
  <c r="EY52" i="28" s="1" a="1"/>
  <c r="EY52" i="28" s="1"/>
  <c r="FO63" i="28"/>
  <c r="GU63" i="28"/>
  <c r="FP19" i="28"/>
  <c r="GV19" i="28"/>
  <c r="DA63" i="28"/>
  <c r="DP63" i="28" s="1"/>
  <c r="BN63" i="28"/>
  <c r="FA63" i="28" s="1" a="1"/>
  <c r="FA63" i="28" s="1"/>
  <c r="BO14" i="28"/>
  <c r="BO18" i="28"/>
  <c r="BO12" i="28"/>
  <c r="BO13" i="28"/>
  <c r="FB13" i="28" s="1" a="1"/>
  <c r="FB13" i="28" s="1"/>
  <c r="BO19" i="28"/>
  <c r="FB19" i="28" s="1" a="1"/>
  <c r="FB19" i="28" s="1"/>
  <c r="DB19" i="28"/>
  <c r="DQ19" i="28" s="1"/>
  <c r="BO15" i="28"/>
  <c r="BO16" i="28"/>
  <c r="Z88" i="38"/>
  <c r="Z92" i="38"/>
  <c r="Z96" i="38"/>
  <c r="Z100" i="38"/>
  <c r="Z104" i="38"/>
  <c r="Z108" i="38"/>
  <c r="Z112" i="38"/>
  <c r="Z87" i="38"/>
  <c r="Z91" i="38"/>
  <c r="Z95" i="38"/>
  <c r="Z99" i="38"/>
  <c r="Z103" i="38"/>
  <c r="Z107" i="38"/>
  <c r="Z111" i="38"/>
  <c r="Z90" i="38"/>
  <c r="Z94" i="38"/>
  <c r="Z98" i="38"/>
  <c r="Z102" i="38"/>
  <c r="Z110" i="38"/>
  <c r="Z106" i="38"/>
  <c r="Z93" i="38"/>
  <c r="Z105" i="38"/>
  <c r="Z101" i="38"/>
  <c r="Z113" i="38"/>
  <c r="Z89" i="38"/>
  <c r="Z109" i="38"/>
  <c r="Z97" i="38"/>
  <c r="Y76" i="38"/>
  <c r="AB83" i="38"/>
  <c r="AA86" i="38"/>
  <c r="AA84" i="38"/>
  <c r="P11" i="33"/>
  <c r="Q11" i="33"/>
  <c r="R11" i="33"/>
  <c r="S11" i="33"/>
  <c r="T11" i="33"/>
  <c r="U11" i="33"/>
  <c r="V11" i="33"/>
  <c r="W11" i="33"/>
  <c r="X11" i="33"/>
  <c r="O11" i="33"/>
  <c r="AQ37" i="28"/>
  <c r="GW19" i="28" l="1"/>
  <c r="FQ19" i="28"/>
  <c r="BM52" i="28"/>
  <c r="EZ52" i="28" s="1" a="1"/>
  <c r="EZ52" i="28" s="1"/>
  <c r="BM51" i="28"/>
  <c r="FP63" i="28"/>
  <c r="GV63" i="28"/>
  <c r="BO63" i="28"/>
  <c r="DB63" i="28"/>
  <c r="DQ63" i="28" s="1"/>
  <c r="DC19" i="28"/>
  <c r="DR19" i="28" s="1"/>
  <c r="BP12" i="28"/>
  <c r="BP16" i="28"/>
  <c r="BP18" i="28"/>
  <c r="BP13" i="28"/>
  <c r="FC13" i="28" s="1" a="1"/>
  <c r="FC13" i="28" s="1"/>
  <c r="BI22" i="28"/>
  <c r="EV22" i="28" s="1" a="1"/>
  <c r="EV22" i="28" s="1"/>
  <c r="BP15" i="28"/>
  <c r="BP19" i="28"/>
  <c r="FC19" i="28" s="1" a="1"/>
  <c r="FC19" i="28" s="1"/>
  <c r="BP14" i="28"/>
  <c r="Z76" i="38"/>
  <c r="AA88" i="38"/>
  <c r="AA92" i="38"/>
  <c r="AA96" i="38"/>
  <c r="AA100" i="38"/>
  <c r="AA104" i="38"/>
  <c r="AA108" i="38"/>
  <c r="AA112" i="38"/>
  <c r="AA90" i="38"/>
  <c r="AA94" i="38"/>
  <c r="AA98" i="38"/>
  <c r="AA102" i="38"/>
  <c r="AA101" i="38"/>
  <c r="AA103" i="38"/>
  <c r="AA107" i="38"/>
  <c r="AA110" i="38"/>
  <c r="AA109" i="38"/>
  <c r="AA93" i="38"/>
  <c r="AA97" i="38"/>
  <c r="AA99" i="38"/>
  <c r="AA106" i="38"/>
  <c r="AA89" i="38"/>
  <c r="AA91" i="38"/>
  <c r="AA95" i="38"/>
  <c r="AA105" i="38"/>
  <c r="AA87" i="38"/>
  <c r="AA113" i="38"/>
  <c r="AA111" i="38"/>
  <c r="AC83" i="38"/>
  <c r="AB86" i="38"/>
  <c r="AB84" i="38"/>
  <c r="V12" i="33"/>
  <c r="Q12" i="33"/>
  <c r="W12" i="33"/>
  <c r="S12" i="33"/>
  <c r="R12" i="33"/>
  <c r="X12" i="33"/>
  <c r="T12" i="33"/>
  <c r="P12" i="33"/>
  <c r="U12" i="33"/>
  <c r="BN51" i="28" l="1"/>
  <c r="FA51" i="28" s="1" a="1"/>
  <c r="FA51" i="28" s="1"/>
  <c r="EZ51" i="28" a="1"/>
  <c r="EZ51" i="28" s="1"/>
  <c r="BP63" i="28"/>
  <c r="FC63" i="28" s="1" a="1"/>
  <c r="FC63" i="28" s="1"/>
  <c r="FR63" i="28" s="1"/>
  <c r="FB63" i="28" a="1"/>
  <c r="FB63" i="28" s="1"/>
  <c r="FQ63" i="28" s="1"/>
  <c r="GX19" i="28"/>
  <c r="FR19" i="28"/>
  <c r="BN52" i="28"/>
  <c r="DC63" i="28"/>
  <c r="DR63" i="28" s="1"/>
  <c r="GW63" i="28"/>
  <c r="DD19" i="28"/>
  <c r="DS19" i="28" s="1"/>
  <c r="BQ19" i="28"/>
  <c r="FD19" i="28" s="1" a="1"/>
  <c r="FD19" i="28" s="1"/>
  <c r="BQ18" i="28"/>
  <c r="BQ15" i="28"/>
  <c r="BQ14" i="28"/>
  <c r="BQ13" i="28"/>
  <c r="BJ22" i="28"/>
  <c r="EW22" i="28" s="1" a="1"/>
  <c r="EW22" i="28" s="1"/>
  <c r="BQ16" i="28"/>
  <c r="BQ12" i="28"/>
  <c r="AB89" i="38"/>
  <c r="AB93" i="38"/>
  <c r="AB97" i="38"/>
  <c r="AB101" i="38"/>
  <c r="AB105" i="38"/>
  <c r="AB109" i="38"/>
  <c r="AB113" i="38"/>
  <c r="AB88" i="38"/>
  <c r="AB92" i="38"/>
  <c r="AB96" i="38"/>
  <c r="AB100" i="38"/>
  <c r="AB104" i="38"/>
  <c r="AB108" i="38"/>
  <c r="AB112" i="38"/>
  <c r="AB87" i="38"/>
  <c r="AB91" i="38"/>
  <c r="AB95" i="38"/>
  <c r="AB99" i="38"/>
  <c r="AB103" i="38"/>
  <c r="AB102" i="38"/>
  <c r="AB111" i="38"/>
  <c r="AB107" i="38"/>
  <c r="AB90" i="38"/>
  <c r="AB94" i="38"/>
  <c r="AB110" i="38"/>
  <c r="AB98" i="38"/>
  <c r="AB106" i="38"/>
  <c r="AA76" i="38"/>
  <c r="AD83" i="38"/>
  <c r="AC86" i="38"/>
  <c r="AC84" i="38"/>
  <c r="AD34" i="33"/>
  <c r="AE56" i="34"/>
  <c r="AE57" i="34"/>
  <c r="AF57" i="34" s="1"/>
  <c r="AG57" i="34" s="1"/>
  <c r="AH57" i="34" s="1"/>
  <c r="AI57" i="34" s="1"/>
  <c r="AJ57" i="34" s="1"/>
  <c r="AK57" i="34" s="1"/>
  <c r="AL57" i="34" s="1"/>
  <c r="AM57" i="34" s="1"/>
  <c r="AN57" i="34" s="1"/>
  <c r="H12" i="34"/>
  <c r="H13" i="34"/>
  <c r="H14" i="34"/>
  <c r="H15" i="34"/>
  <c r="H16" i="34"/>
  <c r="H17" i="34"/>
  <c r="H18" i="34"/>
  <c r="H19" i="34"/>
  <c r="H20" i="34"/>
  <c r="H21" i="34"/>
  <c r="H11" i="34"/>
  <c r="V12" i="34"/>
  <c r="W12" i="34"/>
  <c r="X12" i="34"/>
  <c r="Y12" i="34"/>
  <c r="Z12" i="34"/>
  <c r="AA12" i="34"/>
  <c r="AB12" i="34"/>
  <c r="AC12" i="34"/>
  <c r="AD12" i="34"/>
  <c r="V13" i="34"/>
  <c r="W13" i="34"/>
  <c r="X13" i="34"/>
  <c r="Y13" i="34"/>
  <c r="Z13" i="34"/>
  <c r="AA13" i="34"/>
  <c r="AB13" i="34"/>
  <c r="AC13" i="34"/>
  <c r="AD13" i="34"/>
  <c r="V14" i="34"/>
  <c r="W14" i="34"/>
  <c r="X14" i="34"/>
  <c r="Y14" i="34"/>
  <c r="Z14" i="34"/>
  <c r="AA14" i="34"/>
  <c r="AB14" i="34"/>
  <c r="AC14" i="34"/>
  <c r="AD14" i="34"/>
  <c r="V15" i="34"/>
  <c r="W15" i="34"/>
  <c r="X15" i="34"/>
  <c r="Y15" i="34"/>
  <c r="Z15" i="34"/>
  <c r="AA15" i="34"/>
  <c r="AB15" i="34"/>
  <c r="AC15" i="34"/>
  <c r="AD15" i="34"/>
  <c r="V16" i="34"/>
  <c r="W16" i="34"/>
  <c r="X16" i="34"/>
  <c r="Y16" i="34"/>
  <c r="Z16" i="34"/>
  <c r="AA16" i="34"/>
  <c r="AB16" i="34"/>
  <c r="AC16" i="34"/>
  <c r="AD16" i="34"/>
  <c r="V17" i="34"/>
  <c r="W17" i="34"/>
  <c r="X17" i="34"/>
  <c r="Y17" i="34"/>
  <c r="Z17" i="34"/>
  <c r="AA17" i="34"/>
  <c r="AB17" i="34"/>
  <c r="AC17" i="34"/>
  <c r="AD17" i="34"/>
  <c r="V18" i="34"/>
  <c r="W18" i="34"/>
  <c r="X18" i="34"/>
  <c r="Y18" i="34"/>
  <c r="Z18" i="34"/>
  <c r="AA18" i="34"/>
  <c r="AB18" i="34"/>
  <c r="AC18" i="34"/>
  <c r="AD18" i="34"/>
  <c r="V19" i="34"/>
  <c r="AS24" i="28" s="1"/>
  <c r="W19" i="34"/>
  <c r="AT24" i="28" s="1"/>
  <c r="X19" i="34"/>
  <c r="AU24" i="28" s="1"/>
  <c r="Y19" i="34"/>
  <c r="AV24" i="28" s="1"/>
  <c r="Z19" i="34"/>
  <c r="AW24" i="28" s="1"/>
  <c r="AA19" i="34"/>
  <c r="AX24" i="28" s="1"/>
  <c r="AB19" i="34"/>
  <c r="AC19" i="34"/>
  <c r="AD19" i="34"/>
  <c r="V20" i="34"/>
  <c r="W20" i="34"/>
  <c r="X20" i="34"/>
  <c r="Y20" i="34"/>
  <c r="Z20" i="34"/>
  <c r="AA20" i="34"/>
  <c r="AB20" i="34"/>
  <c r="AC20" i="34"/>
  <c r="AD20" i="34"/>
  <c r="V21" i="34"/>
  <c r="W21" i="34"/>
  <c r="X21" i="34"/>
  <c r="Y21" i="34"/>
  <c r="Z21" i="34"/>
  <c r="AA21" i="34"/>
  <c r="AB21" i="34"/>
  <c r="AC21" i="34"/>
  <c r="AD21" i="34"/>
  <c r="W11" i="34"/>
  <c r="X11" i="34"/>
  <c r="Y11" i="34"/>
  <c r="Z11" i="34"/>
  <c r="AA11" i="34"/>
  <c r="AB11" i="34"/>
  <c r="AC11" i="34"/>
  <c r="AD11" i="34"/>
  <c r="V11" i="34"/>
  <c r="AR24" i="28"/>
  <c r="U23" i="34"/>
  <c r="AQ17" i="28"/>
  <c r="AQ10" i="28"/>
  <c r="AQ38" i="28"/>
  <c r="AQ39" i="28"/>
  <c r="BO51" i="28" l="1"/>
  <c r="FB51" i="28" s="1" a="1"/>
  <c r="FB51" i="28" s="1"/>
  <c r="GX63" i="28"/>
  <c r="DD63" i="28"/>
  <c r="DS63" i="28" s="1"/>
  <c r="BQ63" i="28"/>
  <c r="GY63" i="28" s="1"/>
  <c r="BR18" i="28"/>
  <c r="BS18" i="28" s="1"/>
  <c r="BR16" i="28"/>
  <c r="BR15" i="28"/>
  <c r="BO52" i="28"/>
  <c r="FB52" i="28" s="1" a="1"/>
  <c r="FB52" i="28" s="1"/>
  <c r="FA52" i="28" a="1"/>
  <c r="FA52" i="28" s="1"/>
  <c r="BR13" i="28"/>
  <c r="FE13" i="28" s="1" a="1"/>
  <c r="FE13" i="28" s="1"/>
  <c r="FD13" i="28" a="1"/>
  <c r="FD13" i="28" s="1"/>
  <c r="BR12" i="28"/>
  <c r="BS12" i="28" s="1"/>
  <c r="BR14" i="28"/>
  <c r="BG24" i="28"/>
  <c r="GY19" i="28"/>
  <c r="BR19" i="28"/>
  <c r="FE19" i="28" s="1" a="1"/>
  <c r="FE19" i="28" s="1"/>
  <c r="BY24" i="28"/>
  <c r="BH24" i="28"/>
  <c r="EU24" i="28" s="1" a="1"/>
  <c r="EU24" i="28" s="1"/>
  <c r="BH35" i="28"/>
  <c r="EU35" i="28" s="1"/>
  <c r="BH36" i="28"/>
  <c r="EU36" i="28" s="1"/>
  <c r="FS19" i="28"/>
  <c r="DE19" i="28"/>
  <c r="BK22" i="28"/>
  <c r="EX22" i="28" s="1" a="1"/>
  <c r="EX22" i="28" s="1"/>
  <c r="AC89" i="38"/>
  <c r="AC93" i="38"/>
  <c r="AC97" i="38"/>
  <c r="AC101" i="38"/>
  <c r="AC105" i="38"/>
  <c r="AC109" i="38"/>
  <c r="AC113" i="38"/>
  <c r="AC87" i="38"/>
  <c r="AC91" i="38"/>
  <c r="AC95" i="38"/>
  <c r="AC99" i="38"/>
  <c r="AC103" i="38"/>
  <c r="AC98" i="38"/>
  <c r="AC100" i="38"/>
  <c r="AC107" i="38"/>
  <c r="AC102" i="38"/>
  <c r="AC104" i="38"/>
  <c r="AC111" i="38"/>
  <c r="AC106" i="38"/>
  <c r="AC88" i="38"/>
  <c r="AC90" i="38"/>
  <c r="AC112" i="38"/>
  <c r="AC108" i="38"/>
  <c r="AC92" i="38"/>
  <c r="AC94" i="38"/>
  <c r="AC96" i="38"/>
  <c r="AC110" i="38"/>
  <c r="AB76" i="38"/>
  <c r="BI70" i="28"/>
  <c r="EV70" i="28" s="1" a="1"/>
  <c r="EV70" i="28" s="1"/>
  <c r="BI71" i="28"/>
  <c r="EV71" i="28" s="1" a="1"/>
  <c r="EV71" i="28" s="1"/>
  <c r="BI34" i="28"/>
  <c r="EV34" i="28" s="1" a="1"/>
  <c r="EV34" i="28" s="1"/>
  <c r="AE83" i="38"/>
  <c r="AD86" i="38"/>
  <c r="AD84" i="38"/>
  <c r="AE34" i="33"/>
  <c r="AF34" i="33" s="1"/>
  <c r="AG34" i="33" s="1"/>
  <c r="AH34" i="33" s="1"/>
  <c r="AI34" i="33" s="1"/>
  <c r="AJ34" i="33" s="1"/>
  <c r="AK34" i="33" s="1"/>
  <c r="AL34" i="33" s="1"/>
  <c r="AF56" i="34"/>
  <c r="AG56" i="34" s="1"/>
  <c r="AH56" i="34" s="1"/>
  <c r="AI56" i="34" s="1"/>
  <c r="AJ56" i="34" s="1"/>
  <c r="AK56" i="34" s="1"/>
  <c r="AL56" i="34" s="1"/>
  <c r="AM56" i="34" s="1"/>
  <c r="AN56" i="34" s="1"/>
  <c r="H57" i="34"/>
  <c r="BS13" i="28" l="1"/>
  <c r="FF13" i="28" s="1" a="1"/>
  <c r="FF13" i="28" s="1"/>
  <c r="BP51" i="28"/>
  <c r="FC51" i="28" s="1" a="1"/>
  <c r="FC51" i="28" s="1"/>
  <c r="DE63" i="28"/>
  <c r="DT63" i="28" s="1"/>
  <c r="BR63" i="28"/>
  <c r="GZ63" i="28" s="1"/>
  <c r="BP52" i="28"/>
  <c r="FC52" i="28" s="1" a="1"/>
  <c r="FC52" i="28" s="1"/>
  <c r="FD63" i="28" a="1"/>
  <c r="FD63" i="28" s="1"/>
  <c r="FS63" i="28" s="1"/>
  <c r="BS15" i="28"/>
  <c r="BT15" i="28" s="1"/>
  <c r="BS14" i="28"/>
  <c r="BT14" i="28" s="1"/>
  <c r="BS16" i="28"/>
  <c r="BT18" i="28"/>
  <c r="BT12" i="28"/>
  <c r="BS19" i="28"/>
  <c r="FF19" i="28" s="1" a="1"/>
  <c r="FF19" i="28" s="1"/>
  <c r="GZ19" i="28"/>
  <c r="FT19" i="28"/>
  <c r="DF19" i="28"/>
  <c r="DU19" i="28" s="1"/>
  <c r="BJ34" i="28"/>
  <c r="EW34" i="28" s="1" a="1"/>
  <c r="EW34" i="28" s="1"/>
  <c r="BI24" i="28"/>
  <c r="EV24" i="28" s="1" a="1"/>
  <c r="EV24" i="28" s="1"/>
  <c r="CV24" i="28"/>
  <c r="EB19" i="28"/>
  <c r="DT19" i="28"/>
  <c r="BH27" i="28"/>
  <c r="EU27" i="28" s="1" a="1"/>
  <c r="EU27" i="28" s="1"/>
  <c r="BH26" i="28"/>
  <c r="BJ70" i="28"/>
  <c r="EW70" i="28" s="1" a="1"/>
  <c r="EW70" i="28" s="1"/>
  <c r="BL22" i="28"/>
  <c r="EY22" i="28" s="1" a="1"/>
  <c r="EY22" i="28" s="1"/>
  <c r="BJ71" i="28"/>
  <c r="EW71" i="28" s="1" a="1"/>
  <c r="EW71" i="28" s="1"/>
  <c r="AC76" i="38"/>
  <c r="AD90" i="38"/>
  <c r="AD94" i="38"/>
  <c r="AD98" i="38"/>
  <c r="AD102" i="38"/>
  <c r="AD106" i="38"/>
  <c r="AD110" i="38"/>
  <c r="AD89" i="38"/>
  <c r="AD93" i="38"/>
  <c r="AD97" i="38"/>
  <c r="AD101" i="38"/>
  <c r="AD105" i="38"/>
  <c r="AD109" i="38"/>
  <c r="AD113" i="38"/>
  <c r="AD88" i="38"/>
  <c r="AD92" i="38"/>
  <c r="AD96" i="38"/>
  <c r="AD100" i="38"/>
  <c r="AD104" i="38"/>
  <c r="AD99" i="38"/>
  <c r="AD108" i="38"/>
  <c r="AD103" i="38"/>
  <c r="AD111" i="38"/>
  <c r="AD91" i="38"/>
  <c r="AD95" i="38"/>
  <c r="AD107" i="38"/>
  <c r="AD87" i="38"/>
  <c r="AD112" i="38"/>
  <c r="AD1313" i="33"/>
  <c r="AE1313" i="33" s="1"/>
  <c r="AF1313" i="33" s="1"/>
  <c r="AG1313" i="33" s="1"/>
  <c r="AH1313" i="33" s="1"/>
  <c r="AI1313" i="33" s="1"/>
  <c r="AJ1313" i="33" s="1"/>
  <c r="AK1313" i="33" s="1"/>
  <c r="AL1313" i="33" s="1"/>
  <c r="AF83" i="38"/>
  <c r="AE86" i="38"/>
  <c r="AE84" i="38"/>
  <c r="AM34" i="33"/>
  <c r="H56" i="34"/>
  <c r="BT13" i="28" l="1"/>
  <c r="FG13" i="28" s="1" a="1"/>
  <c r="FG13" i="28" s="1"/>
  <c r="BQ51" i="28"/>
  <c r="BR51" i="28" s="1"/>
  <c r="FE51" i="28" s="1" a="1"/>
  <c r="FE51" i="28" s="1"/>
  <c r="BJ24" i="28"/>
  <c r="EW24" i="28" s="1" a="1"/>
  <c r="EW24" i="28" s="1"/>
  <c r="EB63" i="28"/>
  <c r="FE63" i="28" a="1"/>
  <c r="FE63" i="28" s="1"/>
  <c r="FT63" i="28" s="1"/>
  <c r="BQ52" i="28"/>
  <c r="FD52" i="28" s="1" a="1"/>
  <c r="FD52" i="28" s="1"/>
  <c r="DF63" i="28"/>
  <c r="DU63" i="28" s="1"/>
  <c r="BS63" i="28"/>
  <c r="HA63" i="28" s="1"/>
  <c r="BT16" i="28"/>
  <c r="CW24" i="28"/>
  <c r="BU14" i="28"/>
  <c r="BT19" i="28"/>
  <c r="FG19" i="28" s="1" a="1"/>
  <c r="FG19" i="28" s="1"/>
  <c r="HA19" i="28"/>
  <c r="FU19" i="28"/>
  <c r="DG19" i="28"/>
  <c r="DV19" i="28" s="1"/>
  <c r="BU12" i="28"/>
  <c r="BU15" i="28"/>
  <c r="BU18" i="28"/>
  <c r="BK34" i="28"/>
  <c r="EX34" i="28" s="1" a="1"/>
  <c r="EX34" i="28" s="1"/>
  <c r="BI27" i="28"/>
  <c r="EV27" i="28" s="1" a="1"/>
  <c r="EV27" i="28" s="1"/>
  <c r="BM22" i="28"/>
  <c r="EZ22" i="28" s="1" a="1"/>
  <c r="EZ22" i="28" s="1"/>
  <c r="BK71" i="28"/>
  <c r="EX71" i="28" s="1" a="1"/>
  <c r="EX71" i="28" s="1"/>
  <c r="BK70" i="28"/>
  <c r="EX70" i="28" s="1" a="1"/>
  <c r="EX70" i="28" s="1"/>
  <c r="AE90" i="38"/>
  <c r="AE94" i="38"/>
  <c r="AE98" i="38"/>
  <c r="AE102" i="38"/>
  <c r="AE106" i="38"/>
  <c r="AE110" i="38"/>
  <c r="AE88" i="38"/>
  <c r="AE92" i="38"/>
  <c r="AE96" i="38"/>
  <c r="AE100" i="38"/>
  <c r="AE95" i="38"/>
  <c r="AE97" i="38"/>
  <c r="AE112" i="38"/>
  <c r="AE99" i="38"/>
  <c r="AE101" i="38"/>
  <c r="AE108" i="38"/>
  <c r="AE111" i="38"/>
  <c r="AE103" i="38"/>
  <c r="AE104" i="38"/>
  <c r="AE87" i="38"/>
  <c r="AE89" i="38"/>
  <c r="AE91" i="38"/>
  <c r="AE93" i="38"/>
  <c r="AE113" i="38"/>
  <c r="AE109" i="38"/>
  <c r="AE105" i="38"/>
  <c r="AE107" i="38"/>
  <c r="AD76" i="38"/>
  <c r="AF86" i="38"/>
  <c r="AF84" i="38"/>
  <c r="BU13" i="28" l="1"/>
  <c r="FH13" i="28" s="1" a="1"/>
  <c r="FH13" i="28" s="1"/>
  <c r="BK24" i="28"/>
  <c r="EX24" i="28" s="1" a="1"/>
  <c r="EX24" i="28" s="1"/>
  <c r="CX24" i="28"/>
  <c r="FD51" i="28" a="1"/>
  <c r="FD51" i="28" s="1"/>
  <c r="BR52" i="28"/>
  <c r="FE52" i="28" s="1" a="1"/>
  <c r="FE52" i="28" s="1"/>
  <c r="BS51" i="28"/>
  <c r="FF51" i="28" s="1" a="1"/>
  <c r="FF51" i="28" s="1"/>
  <c r="DG63" i="28"/>
  <c r="DV63" i="28" s="1"/>
  <c r="FF63" i="28" a="1"/>
  <c r="FF63" i="28" s="1"/>
  <c r="FU63" i="28" s="1"/>
  <c r="BT63" i="28"/>
  <c r="BU63" i="28" s="1"/>
  <c r="FH63" i="28" s="1" a="1"/>
  <c r="FH63" i="28" s="1"/>
  <c r="FW63" i="28" s="1"/>
  <c r="BU16" i="28"/>
  <c r="BV16" i="28" s="1"/>
  <c r="BV12" i="28"/>
  <c r="BU19" i="28"/>
  <c r="FH19" i="28" s="1" a="1"/>
  <c r="FH19" i="28" s="1"/>
  <c r="FV19" i="28"/>
  <c r="HB19" i="28"/>
  <c r="DH19" i="28"/>
  <c r="DW19" i="28" s="1"/>
  <c r="BV15" i="28"/>
  <c r="BV18" i="28"/>
  <c r="BV14" i="28"/>
  <c r="BL34" i="28"/>
  <c r="EY34" i="28" s="1" a="1"/>
  <c r="EY34" i="28" s="1"/>
  <c r="BN22" i="28"/>
  <c r="FA22" i="28" s="1" a="1"/>
  <c r="FA22" i="28" s="1"/>
  <c r="BL71" i="28"/>
  <c r="EY71" i="28" s="1" a="1"/>
  <c r="EY71" i="28" s="1"/>
  <c r="BL70" i="28"/>
  <c r="EY70" i="28" s="1" a="1"/>
  <c r="EY70" i="28" s="1"/>
  <c r="BJ27" i="28"/>
  <c r="EW27" i="28" s="1" a="1"/>
  <c r="EW27" i="28" s="1"/>
  <c r="AF87" i="38"/>
  <c r="AF91" i="38"/>
  <c r="AF95" i="38"/>
  <c r="AF99" i="38"/>
  <c r="AF103" i="38"/>
  <c r="AF107" i="38"/>
  <c r="AF111" i="38"/>
  <c r="AF90" i="38"/>
  <c r="AF94" i="38"/>
  <c r="AF98" i="38"/>
  <c r="AF102" i="38"/>
  <c r="AF106" i="38"/>
  <c r="AF110" i="38"/>
  <c r="AF89" i="38"/>
  <c r="AF93" i="38"/>
  <c r="AF97" i="38"/>
  <c r="AF101" i="38"/>
  <c r="AF96" i="38"/>
  <c r="AF105" i="38"/>
  <c r="AF108" i="38"/>
  <c r="AF100" i="38"/>
  <c r="AF112" i="38"/>
  <c r="AF88" i="38"/>
  <c r="AF109" i="38"/>
  <c r="AF104" i="38"/>
  <c r="AF113" i="38"/>
  <c r="AF92" i="38"/>
  <c r="AE76" i="38"/>
  <c r="AD1312" i="33"/>
  <c r="AE52" i="34"/>
  <c r="AE53" i="34"/>
  <c r="AE54" i="34"/>
  <c r="AE55" i="34"/>
  <c r="AE58" i="34"/>
  <c r="AE59" i="34"/>
  <c r="AE60" i="34"/>
  <c r="AE61" i="34"/>
  <c r="AE62" i="34"/>
  <c r="AE63" i="34"/>
  <c r="AE51" i="34"/>
  <c r="BL24" i="28" l="1"/>
  <c r="EY24" i="28" s="1" a="1"/>
  <c r="EY24" i="28" s="1"/>
  <c r="CY24" i="28"/>
  <c r="BV13" i="28"/>
  <c r="FI13" i="28" s="1" a="1"/>
  <c r="FI13" i="28" s="1"/>
  <c r="BS52" i="28"/>
  <c r="FF52" i="28" s="1" a="1"/>
  <c r="FF52" i="28" s="1"/>
  <c r="BT51" i="28"/>
  <c r="FG51" i="28" s="1" a="1"/>
  <c r="FG51" i="28" s="1"/>
  <c r="HC63" i="28"/>
  <c r="BV63" i="28"/>
  <c r="FI63" i="28" s="1" a="1"/>
  <c r="FI63" i="28" s="1"/>
  <c r="FX63" i="28" s="1"/>
  <c r="DI63" i="28"/>
  <c r="DX63" i="28" s="1"/>
  <c r="FG63" i="28" a="1"/>
  <c r="FG63" i="28" s="1"/>
  <c r="FV63" i="28" s="1"/>
  <c r="HB63" i="28"/>
  <c r="DH63" i="28"/>
  <c r="DW63" i="28" s="1"/>
  <c r="BV19" i="28"/>
  <c r="FI19" i="28" s="1" a="1"/>
  <c r="FI19" i="28" s="1"/>
  <c r="HC19" i="28"/>
  <c r="FW19" i="28"/>
  <c r="DI19" i="28"/>
  <c r="DX19" i="28" s="1"/>
  <c r="BM34" i="28"/>
  <c r="EZ34" i="28" s="1" a="1"/>
  <c r="EZ34" i="28" s="1"/>
  <c r="AE1312" i="33"/>
  <c r="BM71" i="28"/>
  <c r="EZ71" i="28" s="1" a="1"/>
  <c r="EZ71" i="28" s="1"/>
  <c r="BK27" i="28"/>
  <c r="EX27" i="28" s="1" a="1"/>
  <c r="EX27" i="28" s="1"/>
  <c r="BI26" i="28"/>
  <c r="BO22" i="28"/>
  <c r="FB22" i="28" s="1" a="1"/>
  <c r="FB22" i="28" s="1"/>
  <c r="BM70" i="28"/>
  <c r="EZ70" i="28" s="1" a="1"/>
  <c r="EZ70" i="28" s="1"/>
  <c r="AF76" i="38"/>
  <c r="AQ14" i="28"/>
  <c r="AQ12" i="28"/>
  <c r="AQ13" i="28"/>
  <c r="AQ15" i="28"/>
  <c r="AQ18" i="28"/>
  <c r="AQ19" i="28"/>
  <c r="AF53" i="34"/>
  <c r="AG53" i="34" s="1"/>
  <c r="AH53" i="34" s="1"/>
  <c r="AI53" i="34" s="1"/>
  <c r="AJ53" i="34" s="1"/>
  <c r="AK53" i="34" s="1"/>
  <c r="AL53" i="34" s="1"/>
  <c r="AM53" i="34" s="1"/>
  <c r="AN53" i="34" s="1"/>
  <c r="AF62" i="34"/>
  <c r="AG62" i="34" s="1"/>
  <c r="AH62" i="34" s="1"/>
  <c r="AI62" i="34" s="1"/>
  <c r="AJ62" i="34" s="1"/>
  <c r="AK62" i="34" s="1"/>
  <c r="AL62" i="34" s="1"/>
  <c r="AM62" i="34" s="1"/>
  <c r="AN62" i="34" s="1"/>
  <c r="AF63" i="34"/>
  <c r="AG63" i="34" s="1"/>
  <c r="AH63" i="34" s="1"/>
  <c r="AI63" i="34" s="1"/>
  <c r="AJ63" i="34" s="1"/>
  <c r="AK63" i="34" s="1"/>
  <c r="AL63" i="34" s="1"/>
  <c r="AM63" i="34" s="1"/>
  <c r="AN63" i="34" s="1"/>
  <c r="AF51" i="34"/>
  <c r="AG51" i="34" s="1"/>
  <c r="AH51" i="34" s="1"/>
  <c r="AI51" i="34" s="1"/>
  <c r="AJ51" i="34" s="1"/>
  <c r="AK51" i="34" s="1"/>
  <c r="AL51" i="34" s="1"/>
  <c r="AM51" i="34" s="1"/>
  <c r="AN51" i="34" s="1"/>
  <c r="AF61" i="34"/>
  <c r="AG61" i="34" s="1"/>
  <c r="AH61" i="34" s="1"/>
  <c r="AI61" i="34" s="1"/>
  <c r="AJ61" i="34" s="1"/>
  <c r="AK61" i="34" s="1"/>
  <c r="AL61" i="34" s="1"/>
  <c r="AM61" i="34" s="1"/>
  <c r="AN61" i="34" s="1"/>
  <c r="AF58" i="34"/>
  <c r="AG58" i="34" s="1"/>
  <c r="AH58" i="34" s="1"/>
  <c r="AI58" i="34" s="1"/>
  <c r="AJ58" i="34" s="1"/>
  <c r="AK58" i="34" s="1"/>
  <c r="AL58" i="34" s="1"/>
  <c r="AM58" i="34" s="1"/>
  <c r="AN58" i="34" s="1"/>
  <c r="AF54" i="34"/>
  <c r="AG54" i="34" s="1"/>
  <c r="AH54" i="34" s="1"/>
  <c r="AI54" i="34" s="1"/>
  <c r="AJ54" i="34" s="1"/>
  <c r="AK54" i="34" s="1"/>
  <c r="AL54" i="34" s="1"/>
  <c r="AM54" i="34" s="1"/>
  <c r="AN54" i="34" s="1"/>
  <c r="AF52" i="34"/>
  <c r="AG52" i="34" s="1"/>
  <c r="AH52" i="34" s="1"/>
  <c r="AI52" i="34" s="1"/>
  <c r="AJ52" i="34" s="1"/>
  <c r="AK52" i="34" s="1"/>
  <c r="AL52" i="34" s="1"/>
  <c r="AM52" i="34" s="1"/>
  <c r="AN52" i="34" s="1"/>
  <c r="AF60" i="34"/>
  <c r="AG60" i="34" s="1"/>
  <c r="AH60" i="34" s="1"/>
  <c r="AI60" i="34" s="1"/>
  <c r="AJ60" i="34" s="1"/>
  <c r="AK60" i="34" s="1"/>
  <c r="AL60" i="34" s="1"/>
  <c r="AM60" i="34" s="1"/>
  <c r="AN60" i="34" s="1"/>
  <c r="AF59" i="34"/>
  <c r="AG59" i="34" s="1"/>
  <c r="AH59" i="34" s="1"/>
  <c r="AI59" i="34" s="1"/>
  <c r="AJ59" i="34" s="1"/>
  <c r="AK59" i="34" s="1"/>
  <c r="AL59" i="34" s="1"/>
  <c r="AM59" i="34" s="1"/>
  <c r="AN59" i="34" s="1"/>
  <c r="AF55" i="34"/>
  <c r="AG55" i="34" s="1"/>
  <c r="AH55" i="34" s="1"/>
  <c r="AI55" i="34" s="1"/>
  <c r="AJ55" i="34" s="1"/>
  <c r="AK55" i="34" s="1"/>
  <c r="AL55" i="34" s="1"/>
  <c r="AM55" i="34" s="1"/>
  <c r="AN55" i="34" s="1"/>
  <c r="BM24" i="28" l="1"/>
  <c r="EZ24" i="28" s="1" a="1"/>
  <c r="EZ24" i="28" s="1"/>
  <c r="CZ24" i="28"/>
  <c r="BT52" i="28"/>
  <c r="FG52" i="28" s="1" a="1"/>
  <c r="FG52" i="28" s="1"/>
  <c r="BU51" i="28"/>
  <c r="FH51" i="28" s="1" a="1"/>
  <c r="FH51" i="28" s="1"/>
  <c r="DJ63" i="28"/>
  <c r="DY63" i="28" s="1"/>
  <c r="HD63" i="28"/>
  <c r="HD19" i="28"/>
  <c r="FX19" i="28"/>
  <c r="DJ19" i="28"/>
  <c r="DY19" i="28" s="1"/>
  <c r="BN34" i="28"/>
  <c r="FA34" i="28" s="1" a="1"/>
  <c r="FA34" i="28" s="1"/>
  <c r="AF1312" i="33"/>
  <c r="AG1312" i="33" s="1"/>
  <c r="AH1312" i="33" s="1"/>
  <c r="AI1312" i="33" s="1"/>
  <c r="AJ1312" i="33" s="1"/>
  <c r="AK1312" i="33" s="1"/>
  <c r="AL1312" i="33" s="1"/>
  <c r="BN70" i="28"/>
  <c r="FA70" i="28" s="1" a="1"/>
  <c r="FA70" i="28" s="1"/>
  <c r="BJ26" i="28"/>
  <c r="BN71" i="28"/>
  <c r="FA71" i="28" s="1" a="1"/>
  <c r="FA71" i="28" s="1"/>
  <c r="BP22" i="28"/>
  <c r="FC22" i="28" s="1" a="1"/>
  <c r="FC22" i="28" s="1"/>
  <c r="BN24" i="28"/>
  <c r="FA24" i="28" s="1" a="1"/>
  <c r="FA24" i="28" s="1"/>
  <c r="BL27" i="28"/>
  <c r="EY27" i="28" s="1" a="1"/>
  <c r="EY27" i="28" s="1"/>
  <c r="H55" i="34"/>
  <c r="H52" i="34"/>
  <c r="H60" i="34"/>
  <c r="H53" i="34"/>
  <c r="H54" i="34"/>
  <c r="H51" i="34"/>
  <c r="H63" i="34"/>
  <c r="H61" i="34"/>
  <c r="H59" i="34"/>
  <c r="H58" i="34"/>
  <c r="H62" i="34"/>
  <c r="DA24" i="28" l="1"/>
  <c r="BV51" i="28"/>
  <c r="FI51" i="28" s="1" a="1"/>
  <c r="FI51" i="28" s="1"/>
  <c r="BU52" i="28"/>
  <c r="FH52" i="28" s="1" a="1"/>
  <c r="FH52" i="28" s="1"/>
  <c r="DB24" i="28"/>
  <c r="BO34" i="28"/>
  <c r="FB34" i="28" s="1" a="1"/>
  <c r="FB34" i="28" s="1"/>
  <c r="FJ20" i="28"/>
  <c r="GP20" i="28"/>
  <c r="BI20" i="28"/>
  <c r="EV20" i="28" s="1" a="1"/>
  <c r="EV20" i="28" s="1"/>
  <c r="CV20" i="28"/>
  <c r="DK20" i="28" s="1"/>
  <c r="BK26" i="28"/>
  <c r="BO24" i="28"/>
  <c r="FB24" i="28" s="1" a="1"/>
  <c r="FB24" i="28" s="1"/>
  <c r="BQ22" i="28"/>
  <c r="FD22" i="28" s="1" a="1"/>
  <c r="FD22" i="28" s="1"/>
  <c r="BO71" i="28"/>
  <c r="FB71" i="28" s="1" a="1"/>
  <c r="FB71" i="28" s="1"/>
  <c r="BO70" i="28"/>
  <c r="FB70" i="28" s="1" a="1"/>
  <c r="FB70" i="28" s="1"/>
  <c r="BM27" i="28"/>
  <c r="EZ27" i="28" s="1" a="1"/>
  <c r="EZ27" i="28" s="1"/>
  <c r="AQ71" i="28"/>
  <c r="AQ70" i="28"/>
  <c r="AQ24" i="28"/>
  <c r="BV52" i="28" l="1"/>
  <c r="FI52" i="28" s="1" a="1"/>
  <c r="FI52" i="28" s="1"/>
  <c r="BR22" i="28"/>
  <c r="DC24" i="28"/>
  <c r="BP34" i="28"/>
  <c r="FC34" i="28" s="1" a="1"/>
  <c r="FC34" i="28" s="1"/>
  <c r="FK20" i="28"/>
  <c r="GQ20" i="28"/>
  <c r="BL26" i="28"/>
  <c r="BP70" i="28"/>
  <c r="FC70" i="28" s="1" a="1"/>
  <c r="FC70" i="28" s="1"/>
  <c r="BN27" i="28"/>
  <c r="FA27" i="28" s="1" a="1"/>
  <c r="FA27" i="28" s="1"/>
  <c r="BP71" i="28"/>
  <c r="FC71" i="28" s="1" a="1"/>
  <c r="FC71" i="28" s="1"/>
  <c r="BP24" i="28"/>
  <c r="FC24" i="28" s="1" a="1"/>
  <c r="FC24" i="28" s="1"/>
  <c r="BJ20" i="28"/>
  <c r="EW20" i="28" s="1" a="1"/>
  <c r="EW20" i="28" s="1"/>
  <c r="CW20" i="28"/>
  <c r="DL20" i="28" s="1"/>
  <c r="BJ86" i="28"/>
  <c r="J12" i="34"/>
  <c r="J13" i="34"/>
  <c r="J14" i="34"/>
  <c r="J15" i="34"/>
  <c r="J16" i="34"/>
  <c r="J17" i="34"/>
  <c r="J18" i="34"/>
  <c r="J20" i="34"/>
  <c r="J21" i="34"/>
  <c r="J11" i="34"/>
  <c r="FE22" i="28" l="1" a="1"/>
  <c r="FE22" i="28" s="1"/>
  <c r="FT22" i="28" s="1"/>
  <c r="GZ22" i="28"/>
  <c r="DF22" i="28"/>
  <c r="DU22" i="28" s="1"/>
  <c r="DD24" i="28"/>
  <c r="BS22" i="28"/>
  <c r="BQ34" i="28"/>
  <c r="FD34" i="28" s="1" a="1"/>
  <c r="FD34" i="28" s="1"/>
  <c r="BH23" i="28"/>
  <c r="EU23" i="28" s="1" a="1"/>
  <c r="EU23" i="28" s="1"/>
  <c r="BL42" i="28"/>
  <c r="EY42" i="28" s="1" a="1"/>
  <c r="EY42" i="28" s="1"/>
  <c r="BL57" i="28"/>
  <c r="EY57" i="28" s="1" a="1"/>
  <c r="EY57" i="28" s="1"/>
  <c r="BL45" i="28"/>
  <c r="EY45" i="28" s="1" a="1"/>
  <c r="EY45" i="28" s="1"/>
  <c r="BL56" i="28"/>
  <c r="EY56" i="28" s="1" a="1"/>
  <c r="EY56" i="28" s="1"/>
  <c r="BL50" i="28"/>
  <c r="EY50" i="28" s="1" a="1"/>
  <c r="EY50" i="28" s="1"/>
  <c r="BL54" i="28"/>
  <c r="EY54" i="28" s="1" a="1"/>
  <c r="EY54" i="28" s="1"/>
  <c r="BL47" i="28"/>
  <c r="EY47" i="28" s="1" a="1"/>
  <c r="EY47" i="28" s="1"/>
  <c r="BL43" i="28"/>
  <c r="EY43" i="28" s="1" a="1"/>
  <c r="EY43" i="28" s="1"/>
  <c r="BL46" i="28"/>
  <c r="EY46" i="28" s="1" a="1"/>
  <c r="EY46" i="28" s="1"/>
  <c r="BL49" i="28"/>
  <c r="EY49" i="28" s="1" a="1"/>
  <c r="EY49" i="28" s="1"/>
  <c r="BL55" i="28"/>
  <c r="EY55" i="28" s="1" a="1"/>
  <c r="EY55" i="28" s="1"/>
  <c r="BL48" i="28"/>
  <c r="EY48" i="28" s="1" a="1"/>
  <c r="EY48" i="28" s="1"/>
  <c r="BL44" i="28"/>
  <c r="EY44" i="28" s="1" a="1"/>
  <c r="EY44" i="28" s="1"/>
  <c r="FL20" i="28"/>
  <c r="GR20" i="28"/>
  <c r="BO27" i="28"/>
  <c r="FB27" i="28" s="1" a="1"/>
  <c r="FB27" i="28" s="1"/>
  <c r="BQ24" i="28"/>
  <c r="FD24" i="28" s="1" a="1"/>
  <c r="FD24" i="28" s="1"/>
  <c r="BK20" i="28"/>
  <c r="EX20" i="28" s="1" a="1"/>
  <c r="EX20" i="28" s="1"/>
  <c r="CX20" i="28"/>
  <c r="DM20" i="28" s="1"/>
  <c r="BQ71" i="28"/>
  <c r="BQ70" i="28"/>
  <c r="BM26" i="28"/>
  <c r="BI40" i="28"/>
  <c r="EV40" i="28" s="1" a="1"/>
  <c r="EV40" i="28" s="1"/>
  <c r="BJ75" i="28"/>
  <c r="EW75" i="28" s="1" a="1"/>
  <c r="EW75" i="28" s="1"/>
  <c r="BJ62" i="28"/>
  <c r="EW62" i="28" s="1" a="1"/>
  <c r="EW62" i="28" s="1"/>
  <c r="BJ61" i="28"/>
  <c r="EW61" i="28" s="1" a="1"/>
  <c r="EW61" i="28" s="1"/>
  <c r="BJ60" i="28"/>
  <c r="EW60" i="28" s="1" a="1"/>
  <c r="EW60" i="28" s="1"/>
  <c r="BJ59" i="28"/>
  <c r="EW59" i="28" s="1" a="1"/>
  <c r="EW59" i="28" s="1"/>
  <c r="BJ68" i="28"/>
  <c r="EW68" i="28" s="1" a="1"/>
  <c r="EW68" i="28" s="1"/>
  <c r="BJ67" i="28"/>
  <c r="EW67" i="28" s="1" a="1"/>
  <c r="EW67" i="28" s="1"/>
  <c r="BJ66" i="28"/>
  <c r="EW66" i="28" s="1" a="1"/>
  <c r="EW66" i="28" s="1"/>
  <c r="BK86" i="28"/>
  <c r="BJ84" i="28"/>
  <c r="BI37" i="28"/>
  <c r="EV37" i="28" s="1" a="1"/>
  <c r="EV37" i="28" s="1"/>
  <c r="BI39" i="28"/>
  <c r="BI38" i="28"/>
  <c r="EV38" i="28" s="1" a="1"/>
  <c r="EV38" i="28" s="1"/>
  <c r="U41" i="34"/>
  <c r="V41" i="34"/>
  <c r="W41" i="34"/>
  <c r="X41" i="34"/>
  <c r="Y41" i="34"/>
  <c r="Z41" i="34"/>
  <c r="AA41" i="34"/>
  <c r="AB41" i="34"/>
  <c r="AC41" i="34"/>
  <c r="AD41" i="34"/>
  <c r="U37" i="34"/>
  <c r="V37" i="34"/>
  <c r="W37" i="34"/>
  <c r="X37" i="34"/>
  <c r="Y37" i="34"/>
  <c r="Z37" i="34"/>
  <c r="AA37" i="34"/>
  <c r="AB37" i="34"/>
  <c r="AC37" i="34"/>
  <c r="AD37" i="34"/>
  <c r="U42" i="34"/>
  <c r="V42" i="34"/>
  <c r="W42" i="34"/>
  <c r="X42" i="34"/>
  <c r="Y42" i="34"/>
  <c r="Z42" i="34"/>
  <c r="AA42" i="34"/>
  <c r="AB42" i="34"/>
  <c r="AC42" i="34"/>
  <c r="AD42" i="34"/>
  <c r="U40" i="34"/>
  <c r="V40" i="34"/>
  <c r="W40" i="34"/>
  <c r="X40" i="34"/>
  <c r="Y40" i="34"/>
  <c r="Z40" i="34"/>
  <c r="AA40" i="34"/>
  <c r="AB40" i="34"/>
  <c r="AC40" i="34"/>
  <c r="AD40" i="34"/>
  <c r="U39" i="34"/>
  <c r="V39" i="34"/>
  <c r="W39" i="34"/>
  <c r="X39" i="34"/>
  <c r="Y39" i="34"/>
  <c r="Z39" i="34"/>
  <c r="AA39" i="34"/>
  <c r="AB39" i="34"/>
  <c r="AC39" i="34"/>
  <c r="AD39" i="34"/>
  <c r="U38" i="34"/>
  <c r="AV72" i="28" s="1"/>
  <c r="V38" i="34"/>
  <c r="AW72" i="28" s="1"/>
  <c r="W38" i="34"/>
  <c r="AX72" i="28" s="1"/>
  <c r="X38" i="34"/>
  <c r="AY72" i="28" s="1"/>
  <c r="Y38" i="34"/>
  <c r="AZ72" i="28" s="1"/>
  <c r="Z38" i="34"/>
  <c r="BA72" i="28" s="1"/>
  <c r="AA38" i="34"/>
  <c r="AB38" i="34"/>
  <c r="AC38" i="34"/>
  <c r="AD38" i="34"/>
  <c r="U36" i="34"/>
  <c r="V36" i="34"/>
  <c r="W36" i="34"/>
  <c r="X36" i="34"/>
  <c r="Y36" i="34"/>
  <c r="Z36" i="34"/>
  <c r="AA36" i="34"/>
  <c r="AB36" i="34"/>
  <c r="AC36" i="34"/>
  <c r="AD36" i="34"/>
  <c r="V30" i="34"/>
  <c r="W30" i="34"/>
  <c r="X30" i="34"/>
  <c r="Y30" i="34"/>
  <c r="Z30" i="34"/>
  <c r="AA30" i="34"/>
  <c r="AB30" i="34"/>
  <c r="AC30" i="34"/>
  <c r="AD30" i="34"/>
  <c r="U35" i="34"/>
  <c r="V35" i="34"/>
  <c r="W35" i="34"/>
  <c r="X35" i="34"/>
  <c r="Y35" i="34"/>
  <c r="Z35" i="34"/>
  <c r="AA35" i="34"/>
  <c r="AB35" i="34"/>
  <c r="AC35" i="34"/>
  <c r="AD35" i="34"/>
  <c r="U34" i="34"/>
  <c r="V34" i="34"/>
  <c r="AS77" i="28" s="1"/>
  <c r="W34" i="34"/>
  <c r="AT77" i="28" s="1"/>
  <c r="X34" i="34"/>
  <c r="AU77" i="28" s="1"/>
  <c r="Y34" i="34"/>
  <c r="Z34" i="34"/>
  <c r="AA34" i="34"/>
  <c r="AB34" i="34"/>
  <c r="AC34" i="34"/>
  <c r="AD34" i="34"/>
  <c r="U33" i="34"/>
  <c r="V33" i="34"/>
  <c r="W33" i="34"/>
  <c r="X33" i="34"/>
  <c r="Y33" i="34"/>
  <c r="Z33" i="34"/>
  <c r="AA33" i="34"/>
  <c r="AB33" i="34"/>
  <c r="AC33" i="34"/>
  <c r="AD33" i="34"/>
  <c r="U32" i="34"/>
  <c r="V32" i="34"/>
  <c r="W32" i="34"/>
  <c r="X32" i="34"/>
  <c r="Y32" i="34"/>
  <c r="Z32" i="34"/>
  <c r="AA32" i="34"/>
  <c r="AB32" i="34"/>
  <c r="AC32" i="34"/>
  <c r="AD32" i="34"/>
  <c r="V31" i="34"/>
  <c r="W31" i="34"/>
  <c r="X31" i="34"/>
  <c r="Y31" i="34"/>
  <c r="Z31" i="34"/>
  <c r="AA31" i="34"/>
  <c r="AB31" i="34"/>
  <c r="AC31" i="34"/>
  <c r="AD31" i="34"/>
  <c r="U31" i="34"/>
  <c r="U30" i="34"/>
  <c r="V29" i="34"/>
  <c r="W29" i="34"/>
  <c r="X29" i="34"/>
  <c r="Y29" i="34"/>
  <c r="Z29" i="34"/>
  <c r="AA29" i="34"/>
  <c r="AB29" i="34"/>
  <c r="AC29" i="34"/>
  <c r="AD29" i="34"/>
  <c r="V28" i="34"/>
  <c r="W28" i="34"/>
  <c r="X28" i="34"/>
  <c r="Y28" i="34"/>
  <c r="Z28" i="34"/>
  <c r="AA28" i="34"/>
  <c r="AB28" i="34"/>
  <c r="AC28" i="34"/>
  <c r="AD28" i="34"/>
  <c r="V27" i="34"/>
  <c r="W27" i="34"/>
  <c r="X27" i="34"/>
  <c r="Y27" i="34"/>
  <c r="Z27" i="34"/>
  <c r="AA27" i="34"/>
  <c r="AB27" i="34"/>
  <c r="AC27" i="34"/>
  <c r="AD27" i="34"/>
  <c r="U28" i="34"/>
  <c r="U27" i="34"/>
  <c r="U29" i="34"/>
  <c r="I42" i="34"/>
  <c r="I41" i="34"/>
  <c r="I29" i="34"/>
  <c r="I28" i="34"/>
  <c r="I27" i="34"/>
  <c r="I36" i="34"/>
  <c r="I35" i="34"/>
  <c r="I34" i="34"/>
  <c r="I33" i="34"/>
  <c r="I32" i="34"/>
  <c r="I31" i="34"/>
  <c r="I40" i="34"/>
  <c r="I39" i="34"/>
  <c r="I38" i="34"/>
  <c r="I37" i="34"/>
  <c r="I30" i="34"/>
  <c r="BR71" i="28" l="1"/>
  <c r="BS71" i="28" s="1"/>
  <c r="FD71" i="28" a="1"/>
  <c r="FD71" i="28" s="1"/>
  <c r="FF22" i="28" a="1"/>
  <c r="FF22" i="28" s="1"/>
  <c r="FU22" i="28" s="1"/>
  <c r="BR70" i="28"/>
  <c r="GZ70" i="28" s="1"/>
  <c r="FD70" i="28" a="1"/>
  <c r="FD70" i="28" s="1"/>
  <c r="HA22" i="28"/>
  <c r="BT22" i="28"/>
  <c r="FG22" i="28" s="1" a="1"/>
  <c r="FG22" i="28" s="1"/>
  <c r="FV22" i="28" s="1"/>
  <c r="DG22" i="28"/>
  <c r="DV22" i="28" s="1"/>
  <c r="BR34" i="28"/>
  <c r="BG72" i="28"/>
  <c r="BG77" i="28"/>
  <c r="DE24" i="28"/>
  <c r="BR24" i="28"/>
  <c r="FE24" i="28" s="1" a="1"/>
  <c r="FE24" i="28" s="1"/>
  <c r="BY73" i="28"/>
  <c r="BY72" i="28"/>
  <c r="BY77" i="28"/>
  <c r="BM47" i="28"/>
  <c r="EZ47" i="28" s="1" a="1"/>
  <c r="EZ47" i="28" s="1"/>
  <c r="BM48" i="28"/>
  <c r="BM56" i="28"/>
  <c r="BM44" i="28"/>
  <c r="BM55" i="28"/>
  <c r="BM45" i="28"/>
  <c r="BM49" i="28"/>
  <c r="EZ49" i="28" s="1" a="1"/>
  <c r="EZ49" i="28" s="1"/>
  <c r="BM57" i="28"/>
  <c r="BM54" i="28"/>
  <c r="BM46" i="28"/>
  <c r="BM43" i="28"/>
  <c r="BM50" i="28"/>
  <c r="EZ50" i="28" s="1" a="1"/>
  <c r="EZ50" i="28" s="1"/>
  <c r="BM42" i="28"/>
  <c r="EZ42" i="28" s="1" a="1"/>
  <c r="EZ42" i="28" s="1"/>
  <c r="BH77" i="28"/>
  <c r="EU77" i="28" s="1" a="1"/>
  <c r="EU77" i="28" s="1"/>
  <c r="BJ37" i="28"/>
  <c r="FL61" i="28"/>
  <c r="GR61" i="28"/>
  <c r="FL62" i="28"/>
  <c r="GR62" i="28"/>
  <c r="FM20" i="28"/>
  <c r="GS20" i="28"/>
  <c r="FL59" i="28"/>
  <c r="GR59" i="28"/>
  <c r="FL60" i="28"/>
  <c r="GR60" i="28"/>
  <c r="BK75" i="28"/>
  <c r="EX75" i="28" s="1" a="1"/>
  <c r="EX75" i="28" s="1"/>
  <c r="BJ38" i="28"/>
  <c r="EW38" i="28" s="1" a="1"/>
  <c r="EW38" i="28" s="1"/>
  <c r="BK59" i="28"/>
  <c r="EX59" i="28" s="1" a="1"/>
  <c r="EX59" i="28" s="1"/>
  <c r="CX59" i="28"/>
  <c r="DM59" i="28" s="1"/>
  <c r="BK60" i="28"/>
  <c r="EX60" i="28" s="1" a="1"/>
  <c r="EX60" i="28" s="1"/>
  <c r="CX60" i="28"/>
  <c r="DM60" i="28" s="1"/>
  <c r="BJ39" i="28"/>
  <c r="BJ40" i="28"/>
  <c r="EW40" i="28" s="1" a="1"/>
  <c r="EW40" i="28" s="1"/>
  <c r="BI17" i="28"/>
  <c r="BK67" i="28"/>
  <c r="EX67" i="28" s="1" a="1"/>
  <c r="EX67" i="28" s="1"/>
  <c r="BK62" i="28"/>
  <c r="EX62" i="28" s="1" a="1"/>
  <c r="EX62" i="28" s="1"/>
  <c r="CX62" i="28"/>
  <c r="DM62" i="28" s="1"/>
  <c r="BL20" i="28"/>
  <c r="EY20" i="28" s="1" a="1"/>
  <c r="EY20" i="28" s="1"/>
  <c r="CY20" i="28"/>
  <c r="DN20" i="28" s="1"/>
  <c r="BI10" i="28"/>
  <c r="EV10" i="28" s="1" a="1"/>
  <c r="EV10" i="28" s="1"/>
  <c r="BK84" i="28"/>
  <c r="BK68" i="28"/>
  <c r="EX68" i="28" s="1" a="1"/>
  <c r="EX68" i="28" s="1"/>
  <c r="BK66" i="28"/>
  <c r="EX66" i="28" s="1" a="1"/>
  <c r="EX66" i="28" s="1"/>
  <c r="BL86" i="28"/>
  <c r="BP27" i="28"/>
  <c r="FC27" i="28" s="1" a="1"/>
  <c r="FC27" i="28" s="1"/>
  <c r="BI23" i="28"/>
  <c r="EV23" i="28" s="1" a="1"/>
  <c r="EV23" i="28" s="1"/>
  <c r="BK61" i="28"/>
  <c r="EX61" i="28" s="1" a="1"/>
  <c r="EX61" i="28" s="1"/>
  <c r="CX61" i="28"/>
  <c r="DM61" i="28" s="1"/>
  <c r="BI11" i="28"/>
  <c r="BN26" i="28"/>
  <c r="BI8" i="28"/>
  <c r="EV8" i="28" s="1" a="1"/>
  <c r="EV8" i="28" s="1"/>
  <c r="BI9" i="28"/>
  <c r="EV9" i="28" s="1" a="1"/>
  <c r="EV9" i="28" s="1"/>
  <c r="BI72" i="28"/>
  <c r="EV72" i="28" s="1" a="1"/>
  <c r="EV72" i="28" s="1"/>
  <c r="BI21" i="28"/>
  <c r="EV21" i="28" s="1" a="1"/>
  <c r="EV21" i="28" s="1"/>
  <c r="BI76" i="28"/>
  <c r="EV76" i="28" s="1" a="1"/>
  <c r="EV76" i="28" s="1"/>
  <c r="BI69" i="28"/>
  <c r="EV69" i="28" s="1" a="1"/>
  <c r="EV69" i="28" s="1"/>
  <c r="BI25" i="28"/>
  <c r="EV25" i="28" s="1" a="1"/>
  <c r="EV25" i="28" s="1"/>
  <c r="BI78" i="28"/>
  <c r="EV78" i="28" s="1" a="1"/>
  <c r="EV78" i="28" s="1"/>
  <c r="BI73" i="28"/>
  <c r="EV73" i="28" s="1" a="1"/>
  <c r="EV73" i="28" s="1"/>
  <c r="BI74" i="28"/>
  <c r="EV74" i="28" s="1" a="1"/>
  <c r="EV74" i="28" s="1"/>
  <c r="AE28" i="34"/>
  <c r="AF28" i="34" s="1"/>
  <c r="AG28" i="34" s="1"/>
  <c r="AH28" i="34" s="1"/>
  <c r="AI28" i="34" s="1"/>
  <c r="AJ28" i="34" s="1"/>
  <c r="AK28" i="34" s="1"/>
  <c r="AL28" i="34" s="1"/>
  <c r="AM28" i="34" s="1"/>
  <c r="AN28" i="34" s="1"/>
  <c r="AQ9" i="28"/>
  <c r="AQ21" i="28"/>
  <c r="AE30" i="34"/>
  <c r="AF30" i="34" s="1"/>
  <c r="AG30" i="34" s="1"/>
  <c r="AH30" i="34" s="1"/>
  <c r="AI30" i="34" s="1"/>
  <c r="AJ30" i="34" s="1"/>
  <c r="AK30" i="34" s="1"/>
  <c r="AL30" i="34" s="1"/>
  <c r="AM30" i="34" s="1"/>
  <c r="AN30" i="34" s="1"/>
  <c r="AE36" i="34"/>
  <c r="AF36" i="34" s="1"/>
  <c r="AG36" i="34" s="1"/>
  <c r="AH36" i="34" s="1"/>
  <c r="AI36" i="34" s="1"/>
  <c r="AJ36" i="34" s="1"/>
  <c r="AK36" i="34" s="1"/>
  <c r="AL36" i="34" s="1"/>
  <c r="AM36" i="34" s="1"/>
  <c r="AN36" i="34" s="1"/>
  <c r="AE29" i="34"/>
  <c r="AF29" i="34" s="1"/>
  <c r="AG29" i="34" s="1"/>
  <c r="AH29" i="34" s="1"/>
  <c r="AI29" i="34" s="1"/>
  <c r="AJ29" i="34" s="1"/>
  <c r="AK29" i="34" s="1"/>
  <c r="AL29" i="34" s="1"/>
  <c r="AM29" i="34" s="1"/>
  <c r="AN29" i="34" s="1"/>
  <c r="AQ25" i="28"/>
  <c r="AE35" i="34"/>
  <c r="AE27" i="34"/>
  <c r="AE38" i="34"/>
  <c r="AE37" i="34"/>
  <c r="AE34" i="34"/>
  <c r="AE41" i="34"/>
  <c r="AE39" i="34"/>
  <c r="AE40" i="34"/>
  <c r="AE42" i="34"/>
  <c r="AE31" i="34"/>
  <c r="AE33" i="34"/>
  <c r="AE32" i="34"/>
  <c r="DH22" i="28" l="1"/>
  <c r="DW22" i="28" s="1"/>
  <c r="HB22" i="28"/>
  <c r="BU22" i="28"/>
  <c r="FH22" i="28" s="1" a="1"/>
  <c r="FH22" i="28" s="1"/>
  <c r="FW22" i="28" s="1"/>
  <c r="GZ71" i="28"/>
  <c r="BN55" i="28"/>
  <c r="FA55" i="28" s="1" a="1"/>
  <c r="FA55" i="28" s="1"/>
  <c r="EZ55" i="28" a="1"/>
  <c r="EZ55" i="28" s="1"/>
  <c r="DG71" i="28"/>
  <c r="DV71" i="28" s="1"/>
  <c r="FF71" i="28" a="1"/>
  <c r="FF71" i="28" s="1"/>
  <c r="FU71" i="28" s="1"/>
  <c r="BS34" i="28"/>
  <c r="FF34" i="28" s="1" a="1"/>
  <c r="FF34" i="28" s="1"/>
  <c r="FE34" i="28" a="1"/>
  <c r="FE34" i="28" s="1"/>
  <c r="DF70" i="28"/>
  <c r="DU70" i="28" s="1"/>
  <c r="FE70" i="28" a="1"/>
  <c r="FE70" i="28" s="1"/>
  <c r="FT70" i="28" s="1"/>
  <c r="BN45" i="28"/>
  <c r="FA45" i="28" s="1" a="1"/>
  <c r="FA45" i="28" s="1"/>
  <c r="EZ45" i="28" a="1"/>
  <c r="EZ45" i="28" s="1"/>
  <c r="BN44" i="28"/>
  <c r="FA44" i="28" s="1" a="1"/>
  <c r="FA44" i="28" s="1"/>
  <c r="EZ44" i="28" a="1"/>
  <c r="EZ44" i="28" s="1"/>
  <c r="BN57" i="28"/>
  <c r="FA57" i="28" s="1" a="1"/>
  <c r="FA57" i="28" s="1"/>
  <c r="EZ57" i="28" a="1"/>
  <c r="EZ57" i="28" s="1"/>
  <c r="BN43" i="28"/>
  <c r="FA43" i="28" s="1" a="1"/>
  <c r="FA43" i="28" s="1"/>
  <c r="EZ43" i="28" a="1"/>
  <c r="EZ43" i="28" s="1"/>
  <c r="BN56" i="28"/>
  <c r="FA56" i="28" s="1" a="1"/>
  <c r="FA56" i="28" s="1"/>
  <c r="EZ56" i="28" a="1"/>
  <c r="EZ56" i="28" s="1"/>
  <c r="BK37" i="28"/>
  <c r="EX37" i="28" s="1" a="1"/>
  <c r="EX37" i="28" s="1"/>
  <c r="EW37" i="28" a="1"/>
  <c r="EW37" i="28" s="1"/>
  <c r="BN46" i="28"/>
  <c r="FA46" i="28" s="1" a="1"/>
  <c r="FA46" i="28" s="1"/>
  <c r="EZ46" i="28" a="1"/>
  <c r="EZ46" i="28" s="1"/>
  <c r="BN48" i="28"/>
  <c r="FA48" i="28" s="1" a="1"/>
  <c r="FA48" i="28" s="1"/>
  <c r="EZ48" i="28" a="1"/>
  <c r="EZ48" i="28" s="1"/>
  <c r="BN54" i="28"/>
  <c r="FA54" i="28" s="1" a="1"/>
  <c r="FA54" i="28" s="1"/>
  <c r="EZ54" i="28" a="1"/>
  <c r="EZ54" i="28" s="1"/>
  <c r="BS70" i="28"/>
  <c r="HA70" i="28" s="1"/>
  <c r="DF71" i="28"/>
  <c r="DU71" i="28" s="1"/>
  <c r="FE71" i="28" a="1"/>
  <c r="FE71" i="28" s="1"/>
  <c r="FT71" i="28" s="1"/>
  <c r="BI77" i="28"/>
  <c r="EV77" i="28" s="1" a="1"/>
  <c r="EV77" i="28" s="1"/>
  <c r="BS24" i="28"/>
  <c r="FF24" i="28" s="1" a="1"/>
  <c r="FF24" i="28" s="1"/>
  <c r="GZ24" i="28"/>
  <c r="FT24" i="28"/>
  <c r="DF24" i="28"/>
  <c r="DU24" i="28" s="1"/>
  <c r="HA71" i="28"/>
  <c r="BT71" i="28"/>
  <c r="BN47" i="28"/>
  <c r="BN50" i="28"/>
  <c r="BN42" i="28"/>
  <c r="FA42" i="28" s="1" a="1"/>
  <c r="FA42" i="28" s="1"/>
  <c r="BN49" i="28"/>
  <c r="FM59" i="28"/>
  <c r="GS59" i="28"/>
  <c r="BJ8" i="28"/>
  <c r="EW8" i="28" s="1" a="1"/>
  <c r="EW8" i="28" s="1"/>
  <c r="FM62" i="28"/>
  <c r="GS62" i="28"/>
  <c r="FM61" i="28"/>
  <c r="GS61" i="28"/>
  <c r="FN20" i="28"/>
  <c r="GT20" i="28"/>
  <c r="FM60" i="28"/>
  <c r="GS60" i="28"/>
  <c r="BK40" i="28"/>
  <c r="EX40" i="28" s="1" a="1"/>
  <c r="EX40" i="28" s="1"/>
  <c r="CY60" i="28"/>
  <c r="DN60" i="28" s="1"/>
  <c r="BJ69" i="28"/>
  <c r="EW69" i="28" s="1" a="1"/>
  <c r="EW69" i="28" s="1"/>
  <c r="BL67" i="28"/>
  <c r="EY67" i="28" s="1" a="1"/>
  <c r="EY67" i="28" s="1"/>
  <c r="BJ76" i="28"/>
  <c r="EW76" i="28" s="1" a="1"/>
  <c r="EW76" i="28" s="1"/>
  <c r="BK39" i="28"/>
  <c r="BM20" i="28"/>
  <c r="EZ20" i="28" s="1" a="1"/>
  <c r="EZ20" i="28" s="1"/>
  <c r="CZ20" i="28"/>
  <c r="DO20" i="28" s="1"/>
  <c r="BJ78" i="28"/>
  <c r="EW78" i="28" s="1" a="1"/>
  <c r="EW78" i="28" s="1"/>
  <c r="BQ27" i="28"/>
  <c r="BJ72" i="28"/>
  <c r="EW72" i="28" s="1" a="1"/>
  <c r="EW72" i="28" s="1"/>
  <c r="BJ21" i="28"/>
  <c r="EW21" i="28" s="1" a="1"/>
  <c r="EW21" i="28" s="1"/>
  <c r="BJ11" i="28"/>
  <c r="BM86" i="28"/>
  <c r="BJ10" i="28"/>
  <c r="EW10" i="28" s="1" a="1"/>
  <c r="EW10" i="28" s="1"/>
  <c r="BK38" i="28"/>
  <c r="EX38" i="28" s="1" a="1"/>
  <c r="EX38" i="28" s="1"/>
  <c r="BJ9" i="28"/>
  <c r="EW9" i="28" s="1" a="1"/>
  <c r="EW9" i="28" s="1"/>
  <c r="BL66" i="28"/>
  <c r="EY66" i="28" s="1" a="1"/>
  <c r="EY66" i="28" s="1"/>
  <c r="BJ17" i="28"/>
  <c r="BL75" i="28"/>
  <c r="EY75" i="28" s="1" a="1"/>
  <c r="EY75" i="28" s="1"/>
  <c r="BJ25" i="28"/>
  <c r="EW25" i="28" s="1" a="1"/>
  <c r="EW25" i="28" s="1"/>
  <c r="BO26" i="28"/>
  <c r="BL61" i="28"/>
  <c r="EY61" i="28" s="1" a="1"/>
  <c r="EY61" i="28" s="1"/>
  <c r="CY61" i="28"/>
  <c r="DN61" i="28" s="1"/>
  <c r="BL84" i="28"/>
  <c r="BJ74" i="28"/>
  <c r="EW74" i="28" s="1" a="1"/>
  <c r="EW74" i="28" s="1"/>
  <c r="BJ73" i="28"/>
  <c r="EW73" i="28" s="1" a="1"/>
  <c r="EW73" i="28" s="1"/>
  <c r="BJ23" i="28"/>
  <c r="EW23" i="28" s="1" a="1"/>
  <c r="EW23" i="28" s="1"/>
  <c r="BL68" i="28"/>
  <c r="EY68" i="28" s="1" a="1"/>
  <c r="EY68" i="28" s="1"/>
  <c r="CY62" i="28"/>
  <c r="DN62" i="28" s="1"/>
  <c r="CY59" i="28"/>
  <c r="DN59" i="28" s="1"/>
  <c r="AF32" i="34"/>
  <c r="AG32" i="34" s="1"/>
  <c r="AH32" i="34" s="1"/>
  <c r="AI32" i="34" s="1"/>
  <c r="AJ32" i="34" s="1"/>
  <c r="AK32" i="34" s="1"/>
  <c r="AL32" i="34" s="1"/>
  <c r="AM32" i="34" s="1"/>
  <c r="AN32" i="34" s="1"/>
  <c r="AF37" i="34"/>
  <c r="AG37" i="34" s="1"/>
  <c r="AH37" i="34" s="1"/>
  <c r="AI37" i="34" s="1"/>
  <c r="AJ37" i="34" s="1"/>
  <c r="AK37" i="34" s="1"/>
  <c r="AL37" i="34" s="1"/>
  <c r="AM37" i="34" s="1"/>
  <c r="AN37" i="34" s="1"/>
  <c r="H28" i="34"/>
  <c r="AF38" i="34"/>
  <c r="AG38" i="34" s="1"/>
  <c r="AH38" i="34" s="1"/>
  <c r="AI38" i="34" s="1"/>
  <c r="AJ38" i="34" s="1"/>
  <c r="AK38" i="34" s="1"/>
  <c r="AL38" i="34" s="1"/>
  <c r="AM38" i="34" s="1"/>
  <c r="AN38" i="34" s="1"/>
  <c r="AF34" i="34"/>
  <c r="AG34" i="34" s="1"/>
  <c r="AH34" i="34" s="1"/>
  <c r="AI34" i="34" s="1"/>
  <c r="AJ34" i="34" s="1"/>
  <c r="AK34" i="34" s="1"/>
  <c r="AL34" i="34" s="1"/>
  <c r="AM34" i="34" s="1"/>
  <c r="AN34" i="34" s="1"/>
  <c r="H36" i="34"/>
  <c r="H30" i="34"/>
  <c r="AF41" i="34"/>
  <c r="AG41" i="34" s="1"/>
  <c r="AH41" i="34" s="1"/>
  <c r="AI41" i="34" s="1"/>
  <c r="AJ41" i="34" s="1"/>
  <c r="AK41" i="34" s="1"/>
  <c r="AL41" i="34" s="1"/>
  <c r="AM41" i="34" s="1"/>
  <c r="AN41" i="34" s="1"/>
  <c r="AF33" i="34"/>
  <c r="AG33" i="34" s="1"/>
  <c r="AH33" i="34" s="1"/>
  <c r="AI33" i="34" s="1"/>
  <c r="AJ33" i="34" s="1"/>
  <c r="AK33" i="34" s="1"/>
  <c r="AL33" i="34" s="1"/>
  <c r="AM33" i="34" s="1"/>
  <c r="AN33" i="34" s="1"/>
  <c r="AF42" i="34"/>
  <c r="AG42" i="34" s="1"/>
  <c r="AH42" i="34" s="1"/>
  <c r="AI42" i="34" s="1"/>
  <c r="AJ42" i="34" s="1"/>
  <c r="AK42" i="34" s="1"/>
  <c r="AL42" i="34" s="1"/>
  <c r="AM42" i="34" s="1"/>
  <c r="AN42" i="34" s="1"/>
  <c r="AF35" i="34"/>
  <c r="AG35" i="34" s="1"/>
  <c r="AH35" i="34" s="1"/>
  <c r="AI35" i="34" s="1"/>
  <c r="AJ35" i="34" s="1"/>
  <c r="AK35" i="34" s="1"/>
  <c r="AL35" i="34" s="1"/>
  <c r="AM35" i="34" s="1"/>
  <c r="AN35" i="34" s="1"/>
  <c r="AF31" i="34"/>
  <c r="AG31" i="34" s="1"/>
  <c r="AH31" i="34" s="1"/>
  <c r="AI31" i="34" s="1"/>
  <c r="AJ31" i="34" s="1"/>
  <c r="AK31" i="34" s="1"/>
  <c r="AL31" i="34" s="1"/>
  <c r="AM31" i="34" s="1"/>
  <c r="AN31" i="34" s="1"/>
  <c r="AF40" i="34"/>
  <c r="AG40" i="34" s="1"/>
  <c r="AH40" i="34" s="1"/>
  <c r="AI40" i="34" s="1"/>
  <c r="AJ40" i="34" s="1"/>
  <c r="AK40" i="34" s="1"/>
  <c r="AL40" i="34" s="1"/>
  <c r="AM40" i="34" s="1"/>
  <c r="AN40" i="34" s="1"/>
  <c r="AQ74" i="28"/>
  <c r="AF27" i="34"/>
  <c r="AG27" i="34" s="1"/>
  <c r="AH27" i="34" s="1"/>
  <c r="AI27" i="34" s="1"/>
  <c r="AJ27" i="34" s="1"/>
  <c r="AK27" i="34" s="1"/>
  <c r="AL27" i="34" s="1"/>
  <c r="AM27" i="34" s="1"/>
  <c r="AN27" i="34" s="1"/>
  <c r="AF39" i="34"/>
  <c r="AG39" i="34" s="1"/>
  <c r="AH39" i="34" s="1"/>
  <c r="AI39" i="34" s="1"/>
  <c r="AJ39" i="34" s="1"/>
  <c r="AK39" i="34" s="1"/>
  <c r="AL39" i="34" s="1"/>
  <c r="AM39" i="34" s="1"/>
  <c r="AN39" i="34" s="1"/>
  <c r="AQ73" i="28"/>
  <c r="H29" i="34"/>
  <c r="AQ77" i="28"/>
  <c r="AQ78" i="28"/>
  <c r="AQ76" i="28"/>
  <c r="AQ72" i="28"/>
  <c r="P1308" i="33"/>
  <c r="Q1308" i="33"/>
  <c r="R1308" i="33"/>
  <c r="S1308" i="33"/>
  <c r="T1308" i="33"/>
  <c r="U1308" i="33"/>
  <c r="V1308" i="33"/>
  <c r="W1308" i="33"/>
  <c r="X1308" i="33"/>
  <c r="AB1308" i="33"/>
  <c r="AC1308" i="33"/>
  <c r="O1308" i="33"/>
  <c r="DI22" i="28" l="1"/>
  <c r="DX22" i="28" s="1"/>
  <c r="HC22" i="28"/>
  <c r="BV22" i="28"/>
  <c r="FI22" i="28" s="1" a="1"/>
  <c r="FI22" i="28" s="1"/>
  <c r="FX22" i="28" s="1"/>
  <c r="BJ77" i="28"/>
  <c r="EW77" i="28" s="1" a="1"/>
  <c r="EW77" i="28" s="1"/>
  <c r="BO45" i="28"/>
  <c r="FB45" i="28" s="1" a="1"/>
  <c r="FB45" i="28" s="1"/>
  <c r="BO57" i="28"/>
  <c r="FB57" i="28" s="1" a="1"/>
  <c r="FB57" i="28" s="1"/>
  <c r="BO46" i="28"/>
  <c r="FB46" i="28" s="1" a="1"/>
  <c r="FB46" i="28" s="1"/>
  <c r="BO43" i="28"/>
  <c r="FB43" i="28" s="1" a="1"/>
  <c r="FB43" i="28" s="1"/>
  <c r="BT70" i="28"/>
  <c r="DH70" i="28" s="1"/>
  <c r="DW70" i="28" s="1"/>
  <c r="BO56" i="28"/>
  <c r="FB56" i="28" s="1" a="1"/>
  <c r="FB56" i="28" s="1"/>
  <c r="BO48" i="28"/>
  <c r="FB48" i="28" s="1" a="1"/>
  <c r="FB48" i="28" s="1"/>
  <c r="BO55" i="28"/>
  <c r="FB55" i="28" s="1" a="1"/>
  <c r="FB55" i="28" s="1"/>
  <c r="BO44" i="28"/>
  <c r="FB44" i="28" s="1" a="1"/>
  <c r="FB44" i="28" s="1"/>
  <c r="BO54" i="28"/>
  <c r="FB54" i="28" s="1" a="1"/>
  <c r="FB54" i="28" s="1"/>
  <c r="BL37" i="28"/>
  <c r="EY37" i="28" s="1" a="1"/>
  <c r="EY37" i="28" s="1"/>
  <c r="BT34" i="28"/>
  <c r="FG34" i="28" s="1" a="1"/>
  <c r="FG34" i="28" s="1"/>
  <c r="BO49" i="28"/>
  <c r="FB49" i="28" s="1" a="1"/>
  <c r="FB49" i="28" s="1"/>
  <c r="FA49" i="28" a="1"/>
  <c r="FA49" i="28" s="1"/>
  <c r="DH71" i="28"/>
  <c r="DW71" i="28" s="1"/>
  <c r="FG71" i="28" a="1"/>
  <c r="FG71" i="28" s="1"/>
  <c r="FV71" i="28" s="1"/>
  <c r="BR27" i="28"/>
  <c r="FE27" i="28" s="1" a="1"/>
  <c r="FE27" i="28" s="1"/>
  <c r="FD27" i="28" a="1"/>
  <c r="FD27" i="28" s="1"/>
  <c r="BO50" i="28"/>
  <c r="FB50" i="28" s="1" a="1"/>
  <c r="FB50" i="28" s="1"/>
  <c r="FA50" i="28" a="1"/>
  <c r="FA50" i="28" s="1"/>
  <c r="DG70" i="28"/>
  <c r="DV70" i="28" s="1"/>
  <c r="FF70" i="28" a="1"/>
  <c r="FF70" i="28" s="1"/>
  <c r="FU70" i="28" s="1"/>
  <c r="BO47" i="28"/>
  <c r="FB47" i="28" s="1" a="1"/>
  <c r="FB47" i="28" s="1"/>
  <c r="FA47" i="28" a="1"/>
  <c r="FA47" i="28" s="1"/>
  <c r="BO42" i="28"/>
  <c r="BT24" i="28"/>
  <c r="FG24" i="28" s="1" a="1"/>
  <c r="FG24" i="28" s="1"/>
  <c r="FU24" i="28"/>
  <c r="HA24" i="28"/>
  <c r="DG24" i="28"/>
  <c r="DV24" i="28" s="1"/>
  <c r="HB71" i="28"/>
  <c r="BU71" i="28"/>
  <c r="BK8" i="28"/>
  <c r="EX8" i="28" s="1" a="1"/>
  <c r="EX8" i="28" s="1"/>
  <c r="FN61" i="28"/>
  <c r="GT61" i="28"/>
  <c r="FO20" i="28"/>
  <c r="GU20" i="28"/>
  <c r="BM84" i="28"/>
  <c r="BM67" i="28"/>
  <c r="EZ67" i="28" s="1" a="1"/>
  <c r="EZ67" i="28" s="1"/>
  <c r="BM68" i="28"/>
  <c r="EZ68" i="28" s="1" a="1"/>
  <c r="EZ68" i="28" s="1"/>
  <c r="BK11" i="28"/>
  <c r="BK74" i="28"/>
  <c r="EX74" i="28" s="1" a="1"/>
  <c r="EX74" i="28" s="1"/>
  <c r="BM61" i="28"/>
  <c r="EZ61" i="28" s="1" a="1"/>
  <c r="EZ61" i="28" s="1"/>
  <c r="CZ61" i="28"/>
  <c r="DO61" i="28" s="1"/>
  <c r="BL38" i="28"/>
  <c r="EY38" i="28" s="1" a="1"/>
  <c r="EY38" i="28" s="1"/>
  <c r="BK73" i="28"/>
  <c r="EX73" i="28" s="1" a="1"/>
  <c r="EX73" i="28" s="1"/>
  <c r="BM66" i="28"/>
  <c r="EZ66" i="28" s="1" a="1"/>
  <c r="EZ66" i="28" s="1"/>
  <c r="BP26" i="28"/>
  <c r="BN86" i="28"/>
  <c r="BK78" i="28"/>
  <c r="EX78" i="28" s="1" a="1"/>
  <c r="EX78" i="28" s="1"/>
  <c r="BK25" i="28"/>
  <c r="EX25" i="28" s="1" a="1"/>
  <c r="EX25" i="28" s="1"/>
  <c r="BK17" i="28"/>
  <c r="BK21" i="28"/>
  <c r="EX21" i="28" s="1" a="1"/>
  <c r="EX21" i="28" s="1"/>
  <c r="BN20" i="28"/>
  <c r="FA20" i="28" s="1" a="1"/>
  <c r="FA20" i="28" s="1"/>
  <c r="DA20" i="28"/>
  <c r="DP20" i="28" s="1"/>
  <c r="BL39" i="28"/>
  <c r="BK69" i="28"/>
  <c r="EX69" i="28" s="1" a="1"/>
  <c r="EX69" i="28" s="1"/>
  <c r="BL40" i="28"/>
  <c r="EY40" i="28" s="1" a="1"/>
  <c r="EY40" i="28" s="1"/>
  <c r="BM37" i="28"/>
  <c r="EZ37" i="28" s="1" a="1"/>
  <c r="EZ37" i="28" s="1"/>
  <c r="BK9" i="28"/>
  <c r="EX9" i="28" s="1" a="1"/>
  <c r="EX9" i="28" s="1"/>
  <c r="BK23" i="28"/>
  <c r="EX23" i="28" s="1" a="1"/>
  <c r="EX23" i="28" s="1"/>
  <c r="BM75" i="28"/>
  <c r="EZ75" i="28" s="1" a="1"/>
  <c r="EZ75" i="28" s="1"/>
  <c r="BK10" i="28"/>
  <c r="EX10" i="28" s="1" a="1"/>
  <c r="EX10" i="28" s="1"/>
  <c r="BK72" i="28"/>
  <c r="EX72" i="28" s="1" a="1"/>
  <c r="EX72" i="28" s="1"/>
  <c r="BK76" i="28"/>
  <c r="EX76" i="28" s="1" a="1"/>
  <c r="EX76" i="28" s="1"/>
  <c r="H33" i="34"/>
  <c r="H38" i="34"/>
  <c r="H34" i="34"/>
  <c r="H35" i="34"/>
  <c r="H37" i="34"/>
  <c r="H31" i="34"/>
  <c r="H41" i="34"/>
  <c r="H32" i="34"/>
  <c r="H39" i="34"/>
  <c r="H40" i="34"/>
  <c r="H42" i="34"/>
  <c r="H27" i="34"/>
  <c r="A1319" i="33"/>
  <c r="AC1319" i="33" s="1"/>
  <c r="A1318" i="33"/>
  <c r="AC1318" i="33" s="1"/>
  <c r="P1309" i="33"/>
  <c r="Q1309" i="33"/>
  <c r="R1309" i="33"/>
  <c r="S1309" i="33"/>
  <c r="T1309" i="33"/>
  <c r="U1309" i="33"/>
  <c r="V1309" i="33"/>
  <c r="W1309" i="33"/>
  <c r="X1309" i="33"/>
  <c r="AB1309" i="33"/>
  <c r="AB10" i="33" s="1"/>
  <c r="AC1309" i="33"/>
  <c r="O1309" i="33"/>
  <c r="A700" i="33"/>
  <c r="AC700" i="33" s="1"/>
  <c r="A701" i="33"/>
  <c r="AC701" i="33" s="1"/>
  <c r="A702" i="33"/>
  <c r="AC702" i="33" s="1"/>
  <c r="A699" i="33"/>
  <c r="A1273" i="33"/>
  <c r="AC1273" i="33" s="1"/>
  <c r="A1274" i="33"/>
  <c r="AC1274" i="33" s="1"/>
  <c r="A1275" i="33"/>
  <c r="AC1275" i="33" s="1"/>
  <c r="A1276" i="33"/>
  <c r="AC1276" i="33" s="1"/>
  <c r="A1277" i="33"/>
  <c r="AC1277" i="33" s="1"/>
  <c r="A1278" i="33"/>
  <c r="AC1278" i="33" s="1"/>
  <c r="A1279" i="33"/>
  <c r="AC1279" i="33" s="1"/>
  <c r="A1280" i="33"/>
  <c r="AC1280" i="33" s="1"/>
  <c r="A1281" i="33"/>
  <c r="AC1281" i="33" s="1"/>
  <c r="A1282" i="33"/>
  <c r="AC1282" i="33" s="1"/>
  <c r="A1283" i="33"/>
  <c r="AC1283" i="33" s="1"/>
  <c r="A1284" i="33"/>
  <c r="AC1284" i="33" s="1"/>
  <c r="A1285" i="33"/>
  <c r="AC1285" i="33" s="1"/>
  <c r="A1272" i="33"/>
  <c r="AC1272" i="33" s="1"/>
  <c r="A1264" i="33"/>
  <c r="AC1264" i="33" s="1"/>
  <c r="A1265" i="33"/>
  <c r="AC1265" i="33" s="1"/>
  <c r="A1266" i="33"/>
  <c r="AC1266" i="33" s="1"/>
  <c r="A1267" i="33"/>
  <c r="AC1267" i="33" s="1"/>
  <c r="A1263" i="33"/>
  <c r="AC1263" i="33" s="1"/>
  <c r="P1128" i="33"/>
  <c r="Q1128" i="33"/>
  <c r="R1128" i="33"/>
  <c r="S1128" i="33"/>
  <c r="T1128" i="33"/>
  <c r="U1128" i="33"/>
  <c r="V1128" i="33"/>
  <c r="W1128" i="33"/>
  <c r="X1128" i="33"/>
  <c r="AB1128" i="33"/>
  <c r="AC1128" i="33"/>
  <c r="O1128" i="33"/>
  <c r="P1121" i="33"/>
  <c r="Q1121" i="33"/>
  <c r="R1121" i="33"/>
  <c r="S1121" i="33"/>
  <c r="T1121" i="33"/>
  <c r="U1121" i="33"/>
  <c r="V1121" i="33"/>
  <c r="W1121" i="33"/>
  <c r="X1121" i="33"/>
  <c r="AB1121" i="33"/>
  <c r="AC1121" i="33"/>
  <c r="G108" i="37" s="1"/>
  <c r="O1121" i="33"/>
  <c r="P1134" i="33"/>
  <c r="Q1134" i="33"/>
  <c r="R1134" i="33"/>
  <c r="S1134" i="33"/>
  <c r="T1134" i="33"/>
  <c r="U1134" i="33"/>
  <c r="V1134" i="33"/>
  <c r="W1134" i="33"/>
  <c r="X1134" i="33"/>
  <c r="AB1134" i="33"/>
  <c r="AC1134" i="33"/>
  <c r="O1134" i="33"/>
  <c r="P1143" i="33"/>
  <c r="Q1143" i="33"/>
  <c r="R1143" i="33"/>
  <c r="S1143" i="33"/>
  <c r="T1143" i="33"/>
  <c r="U1143" i="33"/>
  <c r="V1143" i="33"/>
  <c r="W1143" i="33"/>
  <c r="X1143" i="33"/>
  <c r="AB1143" i="33"/>
  <c r="AC1143" i="33"/>
  <c r="O1143" i="33"/>
  <c r="A932" i="33"/>
  <c r="AC932" i="33" s="1"/>
  <c r="A933" i="33"/>
  <c r="AC933" i="33" s="1"/>
  <c r="A934" i="33"/>
  <c r="AC934" i="33" s="1"/>
  <c r="A935" i="33"/>
  <c r="AC935" i="33" s="1"/>
  <c r="A936" i="33"/>
  <c r="AC936" i="33" s="1"/>
  <c r="A937" i="33"/>
  <c r="AC937" i="33" s="1"/>
  <c r="A938" i="33"/>
  <c r="AC938" i="33" s="1"/>
  <c r="A931" i="33"/>
  <c r="AC931" i="33" s="1"/>
  <c r="A919" i="33"/>
  <c r="AC919" i="33" s="1"/>
  <c r="A920" i="33"/>
  <c r="AC920" i="33" s="1"/>
  <c r="A921" i="33"/>
  <c r="AC921" i="33" s="1"/>
  <c r="A922" i="33"/>
  <c r="AC922" i="33" s="1"/>
  <c r="A923" i="33"/>
  <c r="AC923" i="33" s="1"/>
  <c r="A924" i="33"/>
  <c r="AC924" i="33" s="1"/>
  <c r="A925" i="33"/>
  <c r="AC925" i="33" s="1"/>
  <c r="HD22" i="28" l="1"/>
  <c r="DJ22" i="28"/>
  <c r="DY22" i="28" s="1"/>
  <c r="BP46" i="28"/>
  <c r="FC46" i="28" s="1" a="1"/>
  <c r="FC46" i="28" s="1"/>
  <c r="HB70" i="28"/>
  <c r="BK77" i="28"/>
  <c r="EX77" i="28" s="1" a="1"/>
  <c r="EX77" i="28" s="1"/>
  <c r="BP45" i="28"/>
  <c r="FC45" i="28" s="1" a="1"/>
  <c r="FC45" i="28" s="1"/>
  <c r="BP57" i="28"/>
  <c r="FC57" i="28" s="1" a="1"/>
  <c r="FC57" i="28" s="1"/>
  <c r="BP43" i="28"/>
  <c r="FC43" i="28" s="1" a="1"/>
  <c r="FC43" i="28" s="1"/>
  <c r="BP56" i="28"/>
  <c r="FC56" i="28" s="1" a="1"/>
  <c r="FC56" i="28" s="1"/>
  <c r="BU70" i="28"/>
  <c r="BV70" i="28" s="1"/>
  <c r="BP50" i="28"/>
  <c r="FC50" i="28" s="1" a="1"/>
  <c r="FC50" i="28" s="1"/>
  <c r="FG70" i="28" a="1"/>
  <c r="FG70" i="28" s="1"/>
  <c r="FV70" i="28" s="1"/>
  <c r="BP48" i="28"/>
  <c r="FC48" i="28" s="1" a="1"/>
  <c r="FC48" i="28" s="1"/>
  <c r="BP55" i="28"/>
  <c r="FC55" i="28" s="1" a="1"/>
  <c r="FC55" i="28" s="1"/>
  <c r="BP49" i="28"/>
  <c r="FC49" i="28" s="1" a="1"/>
  <c r="FC49" i="28" s="1"/>
  <c r="BP54" i="28"/>
  <c r="FC54" i="28" s="1" a="1"/>
  <c r="FC54" i="28" s="1"/>
  <c r="BP44" i="28"/>
  <c r="FC44" i="28" s="1" a="1"/>
  <c r="FC44" i="28" s="1"/>
  <c r="BP42" i="28"/>
  <c r="FC42" i="28" s="1" a="1"/>
  <c r="FC42" i="28" s="1"/>
  <c r="FB42" i="28" a="1"/>
  <c r="FB42" i="28" s="1"/>
  <c r="BS27" i="28"/>
  <c r="FF27" i="28" s="1" a="1"/>
  <c r="FF27" i="28" s="1"/>
  <c r="BP47" i="28"/>
  <c r="FC47" i="28" s="1" a="1"/>
  <c r="FC47" i="28" s="1"/>
  <c r="DI71" i="28"/>
  <c r="DX71" i="28" s="1"/>
  <c r="FH71" i="28" a="1"/>
  <c r="FH71" i="28" s="1"/>
  <c r="FW71" i="28" s="1"/>
  <c r="BU34" i="28"/>
  <c r="FH34" i="28" s="1" a="1"/>
  <c r="FH34" i="28" s="1"/>
  <c r="BU24" i="28"/>
  <c r="FH24" i="28" s="1" a="1"/>
  <c r="FH24" i="28" s="1"/>
  <c r="HB24" i="28"/>
  <c r="FV24" i="28"/>
  <c r="DH24" i="28"/>
  <c r="DW24" i="28" s="1"/>
  <c r="HC71" i="28"/>
  <c r="BV71" i="28"/>
  <c r="AC24" i="33"/>
  <c r="AC64" i="33"/>
  <c r="AD699" i="33"/>
  <c r="AE699" i="33" s="1"/>
  <c r="AF699" i="33" s="1"/>
  <c r="AG699" i="33" s="1"/>
  <c r="AH699" i="33" s="1"/>
  <c r="AI699" i="33" s="1"/>
  <c r="AJ699" i="33" s="1"/>
  <c r="AK699" i="33" s="1"/>
  <c r="AL699" i="33" s="1"/>
  <c r="AC699" i="33"/>
  <c r="AC23" i="33" s="1"/>
  <c r="AC63" i="33"/>
  <c r="AC62" i="33"/>
  <c r="AC25" i="33"/>
  <c r="AC10" i="33"/>
  <c r="Y10" i="33" s="1"/>
  <c r="AC1314" i="33"/>
  <c r="AC1320" i="33" s="1"/>
  <c r="AC1321" i="33" s="1"/>
  <c r="AB53" i="33"/>
  <c r="BL8" i="28"/>
  <c r="AB1145" i="33"/>
  <c r="AB1260" i="33" s="1"/>
  <c r="AB9" i="33" s="1"/>
  <c r="FP20" i="28"/>
  <c r="GV20" i="28"/>
  <c r="FO61" i="28"/>
  <c r="GU61" i="28"/>
  <c r="BL11" i="28"/>
  <c r="BL25" i="28"/>
  <c r="EY25" i="28" s="1" a="1"/>
  <c r="EY25" i="28" s="1"/>
  <c r="BL72" i="28"/>
  <c r="EY72" i="28" s="1" a="1"/>
  <c r="EY72" i="28" s="1"/>
  <c r="BL9" i="28"/>
  <c r="EY9" i="28" s="1" a="1"/>
  <c r="EY9" i="28" s="1"/>
  <c r="BL69" i="28"/>
  <c r="EY69" i="28" s="1" a="1"/>
  <c r="EY69" i="28" s="1"/>
  <c r="BL21" i="28"/>
  <c r="EY21" i="28" s="1" a="1"/>
  <c r="EY21" i="28" s="1"/>
  <c r="BM38" i="28"/>
  <c r="EZ38" i="28" s="1" a="1"/>
  <c r="EZ38" i="28" s="1"/>
  <c r="BN61" i="28"/>
  <c r="FA61" i="28" s="1" a="1"/>
  <c r="FA61" i="28" s="1"/>
  <c r="DA61" i="28"/>
  <c r="DP61" i="28" s="1"/>
  <c r="BN75" i="28"/>
  <c r="FA75" i="28" s="1" a="1"/>
  <c r="FA75" i="28" s="1"/>
  <c r="BO20" i="28"/>
  <c r="FB20" i="28" s="1" a="1"/>
  <c r="FB20" i="28" s="1"/>
  <c r="DB20" i="28"/>
  <c r="DQ20" i="28" s="1"/>
  <c r="BL73" i="28"/>
  <c r="EY73" i="28" s="1" a="1"/>
  <c r="EY73" i="28" s="1"/>
  <c r="BN67" i="28"/>
  <c r="FA67" i="28" s="1" a="1"/>
  <c r="FA67" i="28" s="1"/>
  <c r="BO86" i="28"/>
  <c r="BL76" i="28"/>
  <c r="EY76" i="28" s="1" a="1"/>
  <c r="EY76" i="28" s="1"/>
  <c r="BL10" i="28"/>
  <c r="EY10" i="28" s="1" a="1"/>
  <c r="EY10" i="28" s="1"/>
  <c r="BL23" i="28"/>
  <c r="EY23" i="28" s="1" a="1"/>
  <c r="EY23" i="28" s="1"/>
  <c r="BN37" i="28"/>
  <c r="FA37" i="28" s="1" a="1"/>
  <c r="FA37" i="28" s="1"/>
  <c r="BM39" i="28"/>
  <c r="BL78" i="28"/>
  <c r="EY78" i="28" s="1" a="1"/>
  <c r="EY78" i="28" s="1"/>
  <c r="BN68" i="28"/>
  <c r="FA68" i="28" s="1" a="1"/>
  <c r="FA68" i="28" s="1"/>
  <c r="BN84" i="28"/>
  <c r="BL17" i="28"/>
  <c r="BN66" i="28"/>
  <c r="FA66" i="28" s="1" a="1"/>
  <c r="FA66" i="28" s="1"/>
  <c r="BM40" i="28"/>
  <c r="EZ40" i="28" s="1" a="1"/>
  <c r="EZ40" i="28" s="1"/>
  <c r="BQ26" i="28"/>
  <c r="BL74" i="28"/>
  <c r="EY74" i="28" s="1" a="1"/>
  <c r="EY74" i="28" s="1"/>
  <c r="BQ46" i="28"/>
  <c r="J933" i="33"/>
  <c r="I933" i="33"/>
  <c r="H933" i="33"/>
  <c r="G933" i="33"/>
  <c r="M933" i="33"/>
  <c r="F933" i="33"/>
  <c r="E933" i="33"/>
  <c r="K933" i="33"/>
  <c r="AD933" i="33"/>
  <c r="AE933" i="33" s="1"/>
  <c r="AF933" i="33" s="1"/>
  <c r="AG933" i="33" s="1"/>
  <c r="AH933" i="33" s="1"/>
  <c r="AI933" i="33" s="1"/>
  <c r="AJ933" i="33" s="1"/>
  <c r="AK933" i="33" s="1"/>
  <c r="AL933" i="33" s="1"/>
  <c r="J702" i="33"/>
  <c r="K702" i="33"/>
  <c r="M702" i="33"/>
  <c r="E702" i="33"/>
  <c r="F702" i="33"/>
  <c r="G702" i="33"/>
  <c r="H702" i="33"/>
  <c r="I702" i="33"/>
  <c r="AD702" i="33"/>
  <c r="AE702" i="33" s="1"/>
  <c r="AF702" i="33" s="1"/>
  <c r="AG702" i="33" s="1"/>
  <c r="AH702" i="33" s="1"/>
  <c r="AI702" i="33" s="1"/>
  <c r="AJ702" i="33" s="1"/>
  <c r="AK702" i="33" s="1"/>
  <c r="AL702" i="33" s="1"/>
  <c r="I919" i="33"/>
  <c r="H919" i="33"/>
  <c r="M919" i="33"/>
  <c r="G919" i="33"/>
  <c r="F919" i="33"/>
  <c r="E919" i="33"/>
  <c r="K919" i="33"/>
  <c r="J919" i="33"/>
  <c r="AD919" i="33"/>
  <c r="I932" i="33"/>
  <c r="H932" i="33"/>
  <c r="G932" i="33"/>
  <c r="M932" i="33"/>
  <c r="F932" i="33"/>
  <c r="E932" i="33"/>
  <c r="AD932" i="33"/>
  <c r="AE932" i="33" s="1"/>
  <c r="AF932" i="33" s="1"/>
  <c r="AG932" i="33" s="1"/>
  <c r="AH932" i="33" s="1"/>
  <c r="AI932" i="33" s="1"/>
  <c r="AJ932" i="33" s="1"/>
  <c r="AK932" i="33" s="1"/>
  <c r="AL932" i="33" s="1"/>
  <c r="K932" i="33"/>
  <c r="J932" i="33"/>
  <c r="M1285" i="33"/>
  <c r="I1285" i="33"/>
  <c r="J1285" i="33"/>
  <c r="K1285" i="33"/>
  <c r="E1285" i="33"/>
  <c r="F1285" i="33"/>
  <c r="G1285" i="33"/>
  <c r="AD1285" i="33"/>
  <c r="AE1285" i="33" s="1"/>
  <c r="AF1285" i="33" s="1"/>
  <c r="AG1285" i="33" s="1"/>
  <c r="AH1285" i="33" s="1"/>
  <c r="AI1285" i="33" s="1"/>
  <c r="AJ1285" i="33" s="1"/>
  <c r="AK1285" i="33" s="1"/>
  <c r="AL1285" i="33" s="1"/>
  <c r="H1285" i="33"/>
  <c r="M1278" i="33"/>
  <c r="I1278" i="33"/>
  <c r="J1278" i="33"/>
  <c r="K1278" i="33"/>
  <c r="AD1278" i="33"/>
  <c r="AE1278" i="33" s="1"/>
  <c r="AF1278" i="33" s="1"/>
  <c r="AG1278" i="33" s="1"/>
  <c r="AH1278" i="33" s="1"/>
  <c r="AI1278" i="33" s="1"/>
  <c r="AJ1278" i="33" s="1"/>
  <c r="AK1278" i="33" s="1"/>
  <c r="AL1278" i="33" s="1"/>
  <c r="E1278" i="33"/>
  <c r="F1278" i="33"/>
  <c r="G1278" i="33"/>
  <c r="H1278" i="33"/>
  <c r="I701" i="33"/>
  <c r="J701" i="33"/>
  <c r="K701" i="33"/>
  <c r="M701" i="33"/>
  <c r="E701" i="33"/>
  <c r="F701" i="33"/>
  <c r="G701" i="33"/>
  <c r="H701" i="33"/>
  <c r="AD701" i="33"/>
  <c r="AE701" i="33" s="1"/>
  <c r="AF701" i="33" s="1"/>
  <c r="AG701" i="33" s="1"/>
  <c r="AH701" i="33" s="1"/>
  <c r="AI701" i="33" s="1"/>
  <c r="AJ701" i="33" s="1"/>
  <c r="AK701" i="33" s="1"/>
  <c r="AL701" i="33" s="1"/>
  <c r="I920" i="33"/>
  <c r="J920" i="33"/>
  <c r="K920" i="33"/>
  <c r="M920" i="33"/>
  <c r="E920" i="33"/>
  <c r="F920" i="33"/>
  <c r="G920" i="33"/>
  <c r="H920" i="33"/>
  <c r="AD920" i="33"/>
  <c r="AE920" i="33" s="1"/>
  <c r="AF920" i="33" s="1"/>
  <c r="AG920" i="33" s="1"/>
  <c r="AH920" i="33" s="1"/>
  <c r="AI920" i="33" s="1"/>
  <c r="AJ920" i="33" s="1"/>
  <c r="AK920" i="33" s="1"/>
  <c r="AL920" i="33" s="1"/>
  <c r="J1279" i="33"/>
  <c r="M1279" i="33"/>
  <c r="K1279" i="33"/>
  <c r="E1279" i="33"/>
  <c r="F1279" i="33"/>
  <c r="G1279" i="33"/>
  <c r="H1279" i="33"/>
  <c r="I1279" i="33"/>
  <c r="AD1279" i="33"/>
  <c r="AE1279" i="33" s="1"/>
  <c r="AF1279" i="33" s="1"/>
  <c r="AG1279" i="33" s="1"/>
  <c r="AH1279" i="33" s="1"/>
  <c r="AI1279" i="33" s="1"/>
  <c r="AJ1279" i="33" s="1"/>
  <c r="AK1279" i="33" s="1"/>
  <c r="AL1279" i="33" s="1"/>
  <c r="H1319" i="33"/>
  <c r="M1319" i="33"/>
  <c r="G1319" i="33"/>
  <c r="F1319" i="33"/>
  <c r="E1319" i="33"/>
  <c r="K1319" i="33"/>
  <c r="J1319" i="33"/>
  <c r="AD1319" i="33"/>
  <c r="AE1319" i="33" s="1"/>
  <c r="AF1319" i="33" s="1"/>
  <c r="I1319" i="33"/>
  <c r="H931" i="33"/>
  <c r="G931" i="33"/>
  <c r="M931" i="33"/>
  <c r="F931" i="33"/>
  <c r="E931" i="33"/>
  <c r="K931" i="33"/>
  <c r="J931" i="33"/>
  <c r="AD931" i="33"/>
  <c r="AE931" i="33" s="1"/>
  <c r="AF931" i="33" s="1"/>
  <c r="AG931" i="33" s="1"/>
  <c r="AH931" i="33" s="1"/>
  <c r="AI931" i="33" s="1"/>
  <c r="AJ931" i="33" s="1"/>
  <c r="AK931" i="33" s="1"/>
  <c r="AL931" i="33" s="1"/>
  <c r="I931" i="33"/>
  <c r="H1263" i="33"/>
  <c r="G1263" i="33"/>
  <c r="F1263" i="33"/>
  <c r="M1263" i="33"/>
  <c r="E1263" i="33"/>
  <c r="K1263" i="33"/>
  <c r="J1263" i="33"/>
  <c r="I1263" i="33"/>
  <c r="AD1263" i="33"/>
  <c r="H1284" i="33"/>
  <c r="I1284" i="33"/>
  <c r="J1284" i="33"/>
  <c r="K1284" i="33"/>
  <c r="E1284" i="33"/>
  <c r="F1284" i="33"/>
  <c r="M1284" i="33"/>
  <c r="AD1284" i="33"/>
  <c r="AE1284" i="33" s="1"/>
  <c r="AF1284" i="33" s="1"/>
  <c r="AG1284" i="33" s="1"/>
  <c r="AH1284" i="33" s="1"/>
  <c r="AI1284" i="33" s="1"/>
  <c r="AJ1284" i="33" s="1"/>
  <c r="AK1284" i="33" s="1"/>
  <c r="AL1284" i="33" s="1"/>
  <c r="G1284" i="33"/>
  <c r="H1277" i="33"/>
  <c r="I1277" i="33"/>
  <c r="J1277" i="33"/>
  <c r="K1277" i="33"/>
  <c r="E1277" i="33"/>
  <c r="F1277" i="33"/>
  <c r="M1277" i="33"/>
  <c r="G1277" i="33"/>
  <c r="AD1277" i="33"/>
  <c r="AE1277" i="33" s="1"/>
  <c r="AF1277" i="33" s="1"/>
  <c r="AG1277" i="33" s="1"/>
  <c r="AH1277" i="33" s="1"/>
  <c r="AI1277" i="33" s="1"/>
  <c r="AJ1277" i="33" s="1"/>
  <c r="AK1277" i="33" s="1"/>
  <c r="AL1277" i="33" s="1"/>
  <c r="H700" i="33"/>
  <c r="I700" i="33"/>
  <c r="J700" i="33"/>
  <c r="K700" i="33"/>
  <c r="M700" i="33"/>
  <c r="E700" i="33"/>
  <c r="F700" i="33"/>
  <c r="G700" i="33"/>
  <c r="AD700" i="33"/>
  <c r="AE700" i="33" s="1"/>
  <c r="AF700" i="33" s="1"/>
  <c r="AG700" i="33" s="1"/>
  <c r="AH700" i="33" s="1"/>
  <c r="AI700" i="33" s="1"/>
  <c r="AJ700" i="33" s="1"/>
  <c r="AK700" i="33" s="1"/>
  <c r="AL700" i="33" s="1"/>
  <c r="I938" i="33"/>
  <c r="M938" i="33"/>
  <c r="J938" i="33"/>
  <c r="K938" i="33"/>
  <c r="E938" i="33"/>
  <c r="F938" i="33"/>
  <c r="G938" i="33"/>
  <c r="AD938" i="33"/>
  <c r="AE938" i="33" s="1"/>
  <c r="AF938" i="33" s="1"/>
  <c r="AG938" i="33" s="1"/>
  <c r="AH938" i="33" s="1"/>
  <c r="AI938" i="33" s="1"/>
  <c r="AJ938" i="33" s="1"/>
  <c r="AK938" i="33" s="1"/>
  <c r="AL938" i="33" s="1"/>
  <c r="H938" i="33"/>
  <c r="G1283" i="33"/>
  <c r="H1283" i="33"/>
  <c r="I1283" i="33"/>
  <c r="J1283" i="33"/>
  <c r="K1283" i="33"/>
  <c r="M1283" i="33"/>
  <c r="E1283" i="33"/>
  <c r="AD1283" i="33"/>
  <c r="AE1283" i="33" s="1"/>
  <c r="AF1283" i="33" s="1"/>
  <c r="AG1283" i="33" s="1"/>
  <c r="AH1283" i="33" s="1"/>
  <c r="AI1283" i="33" s="1"/>
  <c r="AJ1283" i="33" s="1"/>
  <c r="AK1283" i="33" s="1"/>
  <c r="AL1283" i="33" s="1"/>
  <c r="F1283" i="33"/>
  <c r="M924" i="33"/>
  <c r="E924" i="33"/>
  <c r="F924" i="33"/>
  <c r="G924" i="33"/>
  <c r="H924" i="33"/>
  <c r="I924" i="33"/>
  <c r="J924" i="33"/>
  <c r="K924" i="33"/>
  <c r="AD924" i="33"/>
  <c r="AE924" i="33" s="1"/>
  <c r="AF924" i="33" s="1"/>
  <c r="AG924" i="33" s="1"/>
  <c r="AH924" i="33" s="1"/>
  <c r="AI924" i="33" s="1"/>
  <c r="AJ924" i="33" s="1"/>
  <c r="AK924" i="33" s="1"/>
  <c r="AL924" i="33" s="1"/>
  <c r="M937" i="33"/>
  <c r="F937" i="33"/>
  <c r="E937" i="33"/>
  <c r="K937" i="33"/>
  <c r="J937" i="33"/>
  <c r="I937" i="33"/>
  <c r="H937" i="33"/>
  <c r="G937" i="33"/>
  <c r="AD937" i="33"/>
  <c r="AE937" i="33" s="1"/>
  <c r="AF937" i="33" s="1"/>
  <c r="AG937" i="33" s="1"/>
  <c r="AH937" i="33" s="1"/>
  <c r="AI937" i="33" s="1"/>
  <c r="AJ937" i="33" s="1"/>
  <c r="AK937" i="33" s="1"/>
  <c r="AL937" i="33" s="1"/>
  <c r="M1266" i="33"/>
  <c r="F1266" i="33"/>
  <c r="G1266" i="33"/>
  <c r="H1266" i="33"/>
  <c r="I1266" i="33"/>
  <c r="J1266" i="33"/>
  <c r="K1266" i="33"/>
  <c r="AD1266" i="33"/>
  <c r="AE1266" i="33" s="1"/>
  <c r="AF1266" i="33" s="1"/>
  <c r="AG1266" i="33" s="1"/>
  <c r="AH1266" i="33" s="1"/>
  <c r="AI1266" i="33" s="1"/>
  <c r="AJ1266" i="33" s="1"/>
  <c r="AK1266" i="33" s="1"/>
  <c r="AL1266" i="33" s="1"/>
  <c r="E1266" i="33"/>
  <c r="F1282" i="33"/>
  <c r="G1282" i="33"/>
  <c r="H1282" i="33"/>
  <c r="I1282" i="33"/>
  <c r="J1282" i="33"/>
  <c r="M1282" i="33"/>
  <c r="K1282" i="33"/>
  <c r="AD1282" i="33"/>
  <c r="AE1282" i="33" s="1"/>
  <c r="AF1282" i="33" s="1"/>
  <c r="AG1282" i="33" s="1"/>
  <c r="AH1282" i="33" s="1"/>
  <c r="AI1282" i="33" s="1"/>
  <c r="AJ1282" i="33" s="1"/>
  <c r="AK1282" i="33" s="1"/>
  <c r="AL1282" i="33" s="1"/>
  <c r="E1282" i="33"/>
  <c r="F1275" i="33"/>
  <c r="AD1275" i="33"/>
  <c r="AE1275" i="33" s="1"/>
  <c r="AF1275" i="33" s="1"/>
  <c r="AG1275" i="33" s="1"/>
  <c r="AH1275" i="33" s="1"/>
  <c r="AI1275" i="33" s="1"/>
  <c r="AJ1275" i="33" s="1"/>
  <c r="AK1275" i="33" s="1"/>
  <c r="AL1275" i="33" s="1"/>
  <c r="G1275" i="33"/>
  <c r="H1275" i="33"/>
  <c r="I1275" i="33"/>
  <c r="J1275" i="33"/>
  <c r="M1275" i="33"/>
  <c r="K1275" i="33"/>
  <c r="E1275" i="33"/>
  <c r="G1267" i="33"/>
  <c r="M1267" i="33"/>
  <c r="H1267" i="33"/>
  <c r="I1267" i="33"/>
  <c r="J1267" i="33"/>
  <c r="K1267" i="33"/>
  <c r="E1267" i="33"/>
  <c r="AD1267" i="33"/>
  <c r="AE1267" i="33" s="1"/>
  <c r="AF1267" i="33" s="1"/>
  <c r="AG1267" i="33" s="1"/>
  <c r="AH1267" i="33" s="1"/>
  <c r="AI1267" i="33" s="1"/>
  <c r="AJ1267" i="33" s="1"/>
  <c r="AK1267" i="33" s="1"/>
  <c r="AL1267" i="33" s="1"/>
  <c r="F1267" i="33"/>
  <c r="E936" i="33"/>
  <c r="K936" i="33"/>
  <c r="J936" i="33"/>
  <c r="I936" i="33"/>
  <c r="H936" i="33"/>
  <c r="G936" i="33"/>
  <c r="M936" i="33"/>
  <c r="AD936" i="33"/>
  <c r="AE936" i="33" s="1"/>
  <c r="AF936" i="33" s="1"/>
  <c r="AG936" i="33" s="1"/>
  <c r="AH936" i="33" s="1"/>
  <c r="AI936" i="33" s="1"/>
  <c r="AJ936" i="33" s="1"/>
  <c r="AK936" i="33" s="1"/>
  <c r="AL936" i="33" s="1"/>
  <c r="F936" i="33"/>
  <c r="E1265" i="33"/>
  <c r="F1265" i="33"/>
  <c r="G1265" i="33"/>
  <c r="H1265" i="33"/>
  <c r="I1265" i="33"/>
  <c r="J1265" i="33"/>
  <c r="K1265" i="33"/>
  <c r="M1265" i="33"/>
  <c r="AD1265" i="33"/>
  <c r="AE1265" i="33" s="1"/>
  <c r="AF1265" i="33" s="1"/>
  <c r="AG1265" i="33" s="1"/>
  <c r="AH1265" i="33" s="1"/>
  <c r="AI1265" i="33" s="1"/>
  <c r="AJ1265" i="33" s="1"/>
  <c r="AK1265" i="33" s="1"/>
  <c r="AL1265" i="33" s="1"/>
  <c r="E1281" i="33"/>
  <c r="F1281" i="33"/>
  <c r="G1281" i="33"/>
  <c r="H1281" i="33"/>
  <c r="M1281" i="33"/>
  <c r="I1281" i="33"/>
  <c r="J1281" i="33"/>
  <c r="K1281" i="33"/>
  <c r="AD1281" i="33"/>
  <c r="AE1281" i="33" s="1"/>
  <c r="AF1281" i="33" s="1"/>
  <c r="AG1281" i="33" s="1"/>
  <c r="AH1281" i="33" s="1"/>
  <c r="AI1281" i="33" s="1"/>
  <c r="AJ1281" i="33" s="1"/>
  <c r="AK1281" i="33" s="1"/>
  <c r="AL1281" i="33" s="1"/>
  <c r="E1274" i="33"/>
  <c r="F1274" i="33"/>
  <c r="G1274" i="33"/>
  <c r="H1274" i="33"/>
  <c r="M1274" i="33"/>
  <c r="I1274" i="33"/>
  <c r="J1274" i="33"/>
  <c r="K1274" i="33"/>
  <c r="AD1274" i="33"/>
  <c r="AE1274" i="33" s="1"/>
  <c r="AF1274" i="33" s="1"/>
  <c r="AG1274" i="33" s="1"/>
  <c r="AH1274" i="33" s="1"/>
  <c r="AI1274" i="33" s="1"/>
  <c r="AJ1274" i="33" s="1"/>
  <c r="AK1274" i="33" s="1"/>
  <c r="AL1274" i="33" s="1"/>
  <c r="K922" i="33"/>
  <c r="E922" i="33"/>
  <c r="F922" i="33"/>
  <c r="G922" i="33"/>
  <c r="H922" i="33"/>
  <c r="M922" i="33"/>
  <c r="I922" i="33"/>
  <c r="J922" i="33"/>
  <c r="AD922" i="33"/>
  <c r="AE922" i="33" s="1"/>
  <c r="AF922" i="33" s="1"/>
  <c r="AG922" i="33" s="1"/>
  <c r="AH922" i="33" s="1"/>
  <c r="AI922" i="33" s="1"/>
  <c r="AJ922" i="33" s="1"/>
  <c r="AK922" i="33" s="1"/>
  <c r="AL922" i="33" s="1"/>
  <c r="K935" i="33"/>
  <c r="J935" i="33"/>
  <c r="I935" i="33"/>
  <c r="H935" i="33"/>
  <c r="G935" i="33"/>
  <c r="M935" i="33"/>
  <c r="F935" i="33"/>
  <c r="E935" i="33"/>
  <c r="AD935" i="33"/>
  <c r="AE935" i="33" s="1"/>
  <c r="AF935" i="33" s="1"/>
  <c r="AG935" i="33" s="1"/>
  <c r="AH935" i="33" s="1"/>
  <c r="AI935" i="33" s="1"/>
  <c r="AJ935" i="33" s="1"/>
  <c r="AK935" i="33" s="1"/>
  <c r="AL935" i="33" s="1"/>
  <c r="E1264" i="33"/>
  <c r="M1264" i="33"/>
  <c r="F1264" i="33"/>
  <c r="G1264" i="33"/>
  <c r="H1264" i="33"/>
  <c r="I1264" i="33"/>
  <c r="AD1264" i="33"/>
  <c r="AE1264" i="33" s="1"/>
  <c r="AF1264" i="33" s="1"/>
  <c r="AG1264" i="33" s="1"/>
  <c r="AH1264" i="33" s="1"/>
  <c r="AI1264" i="33" s="1"/>
  <c r="AJ1264" i="33" s="1"/>
  <c r="AK1264" i="33" s="1"/>
  <c r="AL1264" i="33" s="1"/>
  <c r="J1264" i="33"/>
  <c r="K1264" i="33"/>
  <c r="E1273" i="33"/>
  <c r="F1273" i="33"/>
  <c r="M1273" i="33"/>
  <c r="G1273" i="33"/>
  <c r="H1273" i="33"/>
  <c r="I1273" i="33"/>
  <c r="AD1273" i="33"/>
  <c r="AE1273" i="33" s="1"/>
  <c r="AF1273" i="33" s="1"/>
  <c r="AG1273" i="33" s="1"/>
  <c r="AH1273" i="33" s="1"/>
  <c r="AI1273" i="33" s="1"/>
  <c r="AJ1273" i="33" s="1"/>
  <c r="AK1273" i="33" s="1"/>
  <c r="AL1273" i="33" s="1"/>
  <c r="J1273" i="33"/>
  <c r="K1273" i="33"/>
  <c r="F925" i="33"/>
  <c r="M925" i="33"/>
  <c r="G925" i="33"/>
  <c r="H925" i="33"/>
  <c r="I925" i="33"/>
  <c r="J925" i="33"/>
  <c r="K925" i="33"/>
  <c r="E925" i="33"/>
  <c r="AD925" i="33"/>
  <c r="AE925" i="33" s="1"/>
  <c r="AF925" i="33" s="1"/>
  <c r="AG925" i="33" s="1"/>
  <c r="AH925" i="33" s="1"/>
  <c r="AI925" i="33" s="1"/>
  <c r="AJ925" i="33" s="1"/>
  <c r="AK925" i="33" s="1"/>
  <c r="AL925" i="33" s="1"/>
  <c r="G1276" i="33"/>
  <c r="H1276" i="33"/>
  <c r="AD1276" i="33"/>
  <c r="AE1276" i="33" s="1"/>
  <c r="AF1276" i="33" s="1"/>
  <c r="AG1276" i="33" s="1"/>
  <c r="AH1276" i="33" s="1"/>
  <c r="AI1276" i="33" s="1"/>
  <c r="AJ1276" i="33" s="1"/>
  <c r="AK1276" i="33" s="1"/>
  <c r="AL1276" i="33" s="1"/>
  <c r="I1276" i="33"/>
  <c r="J1276" i="33"/>
  <c r="K1276" i="33"/>
  <c r="M1276" i="33"/>
  <c r="E1276" i="33"/>
  <c r="F1276" i="33"/>
  <c r="E923" i="33"/>
  <c r="F923" i="33"/>
  <c r="G923" i="33"/>
  <c r="H923" i="33"/>
  <c r="I923" i="33"/>
  <c r="J923" i="33"/>
  <c r="M923" i="33"/>
  <c r="K923" i="33"/>
  <c r="AD923" i="33"/>
  <c r="AE923" i="33" s="1"/>
  <c r="AF923" i="33" s="1"/>
  <c r="AG923" i="33" s="1"/>
  <c r="AH923" i="33" s="1"/>
  <c r="AI923" i="33" s="1"/>
  <c r="AJ923" i="33" s="1"/>
  <c r="AK923" i="33" s="1"/>
  <c r="AL923" i="33" s="1"/>
  <c r="J921" i="33"/>
  <c r="K921" i="33"/>
  <c r="E921" i="33"/>
  <c r="F921" i="33"/>
  <c r="M921" i="33"/>
  <c r="G921" i="33"/>
  <c r="H921" i="33"/>
  <c r="I921" i="33"/>
  <c r="AD921" i="33"/>
  <c r="AE921" i="33" s="1"/>
  <c r="AF921" i="33" s="1"/>
  <c r="AG921" i="33" s="1"/>
  <c r="AH921" i="33" s="1"/>
  <c r="AI921" i="33" s="1"/>
  <c r="AJ921" i="33" s="1"/>
  <c r="AK921" i="33" s="1"/>
  <c r="AL921" i="33" s="1"/>
  <c r="K934" i="33"/>
  <c r="J934" i="33"/>
  <c r="I934" i="33"/>
  <c r="H934" i="33"/>
  <c r="G934" i="33"/>
  <c r="M934" i="33"/>
  <c r="F934" i="33"/>
  <c r="E934" i="33"/>
  <c r="AD934" i="33"/>
  <c r="AE934" i="33" s="1"/>
  <c r="AF934" i="33" s="1"/>
  <c r="AG934" i="33" s="1"/>
  <c r="AH934" i="33" s="1"/>
  <c r="AI934" i="33" s="1"/>
  <c r="AJ934" i="33" s="1"/>
  <c r="AK934" i="33" s="1"/>
  <c r="AL934" i="33" s="1"/>
  <c r="E1272" i="33"/>
  <c r="M1272" i="33"/>
  <c r="K1272" i="33"/>
  <c r="J1272" i="33"/>
  <c r="I1272" i="33"/>
  <c r="H1272" i="33"/>
  <c r="G1272" i="33"/>
  <c r="F1272" i="33"/>
  <c r="AD1272" i="33"/>
  <c r="AE1272" i="33" s="1"/>
  <c r="AF1272" i="33" s="1"/>
  <c r="AG1272" i="33" s="1"/>
  <c r="AH1272" i="33" s="1"/>
  <c r="AI1272" i="33" s="1"/>
  <c r="AJ1272" i="33" s="1"/>
  <c r="AK1272" i="33" s="1"/>
  <c r="AL1272" i="33" s="1"/>
  <c r="K1280" i="33"/>
  <c r="M1280" i="33"/>
  <c r="E1280" i="33"/>
  <c r="F1280" i="33"/>
  <c r="G1280" i="33"/>
  <c r="H1280" i="33"/>
  <c r="I1280" i="33"/>
  <c r="J1280" i="33"/>
  <c r="AD1280" i="33"/>
  <c r="AE1280" i="33" s="1"/>
  <c r="AF1280" i="33" s="1"/>
  <c r="AG1280" i="33" s="1"/>
  <c r="AH1280" i="33" s="1"/>
  <c r="AI1280" i="33" s="1"/>
  <c r="AJ1280" i="33" s="1"/>
  <c r="AK1280" i="33" s="1"/>
  <c r="AL1280" i="33" s="1"/>
  <c r="E699" i="33"/>
  <c r="K699" i="33"/>
  <c r="J699" i="33"/>
  <c r="I699" i="33"/>
  <c r="H699" i="33"/>
  <c r="M699" i="33"/>
  <c r="G699" i="33"/>
  <c r="F699" i="33"/>
  <c r="G1318" i="33"/>
  <c r="F1318" i="33"/>
  <c r="M1318" i="33"/>
  <c r="E1318" i="33"/>
  <c r="K1318" i="33"/>
  <c r="J1318" i="33"/>
  <c r="AD1318" i="33"/>
  <c r="I1318" i="33"/>
  <c r="H1318" i="33"/>
  <c r="A708" i="33"/>
  <c r="AC708" i="33" s="1"/>
  <c r="A709" i="33"/>
  <c r="AC709" i="33" s="1"/>
  <c r="A710" i="33"/>
  <c r="AC710" i="33" s="1"/>
  <c r="A711" i="33"/>
  <c r="AC711" i="33" s="1"/>
  <c r="A712" i="33"/>
  <c r="AC712" i="33" s="1"/>
  <c r="A713" i="33"/>
  <c r="AC713" i="33" s="1"/>
  <c r="A714" i="33"/>
  <c r="AC714" i="33" s="1"/>
  <c r="A707" i="33"/>
  <c r="AC707" i="33" s="1"/>
  <c r="A628" i="33"/>
  <c r="AC628" i="33" s="1"/>
  <c r="A629" i="33"/>
  <c r="AC629" i="33" s="1"/>
  <c r="A630" i="33"/>
  <c r="AC630" i="33" s="1"/>
  <c r="A631" i="33"/>
  <c r="AC631" i="33" s="1"/>
  <c r="A632" i="33"/>
  <c r="AC632" i="33" s="1"/>
  <c r="A627" i="33"/>
  <c r="AC627" i="33" s="1"/>
  <c r="A622" i="33"/>
  <c r="AC622" i="33" s="1"/>
  <c r="A621" i="33"/>
  <c r="AC621" i="33" s="1"/>
  <c r="AE606" i="33" a="1"/>
  <c r="AE606" i="33" s="1"/>
  <c r="AF606" i="33" a="1"/>
  <c r="AF606" i="33" s="1"/>
  <c r="AG606" i="33" a="1"/>
  <c r="AG606" i="33" s="1"/>
  <c r="AH606" i="33" a="1"/>
  <c r="AH606" i="33" s="1"/>
  <c r="AI606" i="33" a="1"/>
  <c r="AI606" i="33" s="1"/>
  <c r="AJ606" i="33" a="1"/>
  <c r="AJ606" i="33" s="1"/>
  <c r="AK606" i="33" a="1"/>
  <c r="AK606" i="33" s="1"/>
  <c r="AL606" i="33" a="1"/>
  <c r="AL606" i="33" s="1"/>
  <c r="AM606" i="33" a="1"/>
  <c r="AM606" i="33" s="1"/>
  <c r="AN606" i="33" a="1"/>
  <c r="AN606" i="33" s="1"/>
  <c r="AO606" i="33" a="1"/>
  <c r="AO606" i="33" s="1"/>
  <c r="AP606" i="33" a="1"/>
  <c r="AP606" i="33" s="1"/>
  <c r="AQ606" i="33" a="1"/>
  <c r="AQ606" i="33" s="1"/>
  <c r="AR606" i="33" a="1"/>
  <c r="AR606" i="33" s="1"/>
  <c r="AS606" i="33" a="1"/>
  <c r="AS606" i="33" s="1"/>
  <c r="AT606" i="33" a="1"/>
  <c r="AT606" i="33" s="1"/>
  <c r="AU606" i="33" a="1"/>
  <c r="AU606" i="33" s="1"/>
  <c r="AV606" i="33" a="1"/>
  <c r="AV606" i="33" s="1"/>
  <c r="AW606" i="33" a="1"/>
  <c r="AW606" i="33" s="1"/>
  <c r="AX606" i="33" a="1"/>
  <c r="AX606" i="33" s="1"/>
  <c r="AY606" i="33" a="1"/>
  <c r="AY606" i="33" s="1"/>
  <c r="AZ606" i="33" a="1"/>
  <c r="AZ606" i="33" s="1"/>
  <c r="BA606" i="33" a="1"/>
  <c r="BA606" i="33" s="1"/>
  <c r="BB606" i="33" a="1"/>
  <c r="BB606" i="33" s="1"/>
  <c r="BC606" i="33" a="1"/>
  <c r="BC606" i="33" s="1"/>
  <c r="BD606" i="33" a="1"/>
  <c r="BD606" i="33" s="1"/>
  <c r="BE606" i="33" a="1"/>
  <c r="BE606" i="33" s="1"/>
  <c r="BF606" i="33" a="1"/>
  <c r="BF606" i="33" s="1"/>
  <c r="AD606" i="33" a="1"/>
  <c r="AD606" i="33" s="1"/>
  <c r="P606" i="33" a="1"/>
  <c r="P606" i="33" s="1"/>
  <c r="Q606" i="33" a="1"/>
  <c r="Q606" i="33" s="1"/>
  <c r="R606" i="33" a="1"/>
  <c r="R606" i="33" s="1"/>
  <c r="S606" i="33" a="1"/>
  <c r="S606" i="33" s="1"/>
  <c r="T606" i="33" a="1"/>
  <c r="T606" i="33" s="1"/>
  <c r="U606" i="33" a="1"/>
  <c r="U606" i="33" s="1"/>
  <c r="V606" i="33" a="1"/>
  <c r="V606" i="33" s="1"/>
  <c r="W606" i="33" a="1"/>
  <c r="W606" i="33" s="1"/>
  <c r="X606" i="33" a="1"/>
  <c r="X606" i="33" s="1"/>
  <c r="O606" i="33" a="1"/>
  <c r="O606" i="33" s="1"/>
  <c r="AC576" i="33"/>
  <c r="AB576" i="33"/>
  <c r="X576" i="33"/>
  <c r="W576" i="33"/>
  <c r="V576" i="33"/>
  <c r="U576" i="33"/>
  <c r="T576" i="33"/>
  <c r="S576" i="33"/>
  <c r="R576" i="33"/>
  <c r="Q576" i="33"/>
  <c r="P576" i="33"/>
  <c r="O576" i="33"/>
  <c r="AC554" i="33"/>
  <c r="AB554" i="33"/>
  <c r="X554" i="33"/>
  <c r="W554" i="33"/>
  <c r="V554" i="33"/>
  <c r="U554" i="33"/>
  <c r="T554" i="33"/>
  <c r="S554" i="33"/>
  <c r="R554" i="33"/>
  <c r="Q554" i="33"/>
  <c r="P554" i="33"/>
  <c r="O554" i="33"/>
  <c r="AC531" i="33"/>
  <c r="AB531" i="33"/>
  <c r="X531" i="33"/>
  <c r="W531" i="33"/>
  <c r="V531" i="33"/>
  <c r="U531" i="33"/>
  <c r="T531" i="33"/>
  <c r="S531" i="33"/>
  <c r="R531" i="33"/>
  <c r="Q531" i="33"/>
  <c r="P531" i="33"/>
  <c r="O531" i="33"/>
  <c r="AC509" i="33"/>
  <c r="AB509" i="33"/>
  <c r="X509" i="33"/>
  <c r="W509" i="33"/>
  <c r="V509" i="33"/>
  <c r="U509" i="33"/>
  <c r="T509" i="33"/>
  <c r="S509" i="33"/>
  <c r="R509" i="33"/>
  <c r="Q509" i="33"/>
  <c r="P509" i="33"/>
  <c r="O509" i="33"/>
  <c r="AC490" i="33"/>
  <c r="AB490" i="33"/>
  <c r="X490" i="33"/>
  <c r="W490" i="33"/>
  <c r="V490" i="33"/>
  <c r="U490" i="33"/>
  <c r="T490" i="33"/>
  <c r="S490" i="33"/>
  <c r="R490" i="33"/>
  <c r="Q490" i="33"/>
  <c r="P490" i="33"/>
  <c r="O490" i="33"/>
  <c r="AC471" i="33"/>
  <c r="AB471" i="33"/>
  <c r="X471" i="33"/>
  <c r="W471" i="33"/>
  <c r="V471" i="33"/>
  <c r="U471" i="33"/>
  <c r="T471" i="33"/>
  <c r="S471" i="33"/>
  <c r="R471" i="33"/>
  <c r="Q471" i="33"/>
  <c r="P471" i="33"/>
  <c r="O471" i="33"/>
  <c r="AC452" i="33"/>
  <c r="AB452" i="33"/>
  <c r="X452" i="33"/>
  <c r="W452" i="33"/>
  <c r="V452" i="33"/>
  <c r="U452" i="33"/>
  <c r="T452" i="33"/>
  <c r="S452" i="33"/>
  <c r="R452" i="33"/>
  <c r="Q452" i="33"/>
  <c r="P452" i="33"/>
  <c r="O452" i="33"/>
  <c r="AC433" i="33"/>
  <c r="AB433" i="33"/>
  <c r="X433" i="33"/>
  <c r="W433" i="33"/>
  <c r="V433" i="33"/>
  <c r="U433" i="33"/>
  <c r="T433" i="33"/>
  <c r="S433" i="33"/>
  <c r="R433" i="33"/>
  <c r="Q433" i="33"/>
  <c r="P433" i="33"/>
  <c r="O433" i="33"/>
  <c r="AC414" i="33"/>
  <c r="AB414" i="33"/>
  <c r="X414" i="33"/>
  <c r="W414" i="33"/>
  <c r="V414" i="33"/>
  <c r="U414" i="33"/>
  <c r="T414" i="33"/>
  <c r="S414" i="33"/>
  <c r="R414" i="33"/>
  <c r="Q414" i="33"/>
  <c r="P414" i="33"/>
  <c r="O414" i="33"/>
  <c r="AC395" i="33"/>
  <c r="AB395" i="33"/>
  <c r="X395" i="33"/>
  <c r="W395" i="33"/>
  <c r="V395" i="33"/>
  <c r="U395" i="33"/>
  <c r="T395" i="33"/>
  <c r="S395" i="33"/>
  <c r="R395" i="33"/>
  <c r="Q395" i="33"/>
  <c r="P395" i="33"/>
  <c r="O395" i="33"/>
  <c r="AC376" i="33"/>
  <c r="AB376" i="33"/>
  <c r="X376" i="33"/>
  <c r="W376" i="33"/>
  <c r="V376" i="33"/>
  <c r="U376" i="33"/>
  <c r="T376" i="33"/>
  <c r="S376" i="33"/>
  <c r="R376" i="33"/>
  <c r="Q376" i="33"/>
  <c r="P376" i="33"/>
  <c r="O376" i="33"/>
  <c r="AC573" i="33"/>
  <c r="AB573" i="33"/>
  <c r="X573" i="33"/>
  <c r="W573" i="33"/>
  <c r="V573" i="33"/>
  <c r="U573" i="33"/>
  <c r="T573" i="33"/>
  <c r="S573" i="33"/>
  <c r="R573" i="33"/>
  <c r="Q573" i="33"/>
  <c r="P573" i="33"/>
  <c r="O573" i="33"/>
  <c r="AC551" i="33"/>
  <c r="AB551" i="33"/>
  <c r="X551" i="33"/>
  <c r="W551" i="33"/>
  <c r="V551" i="33"/>
  <c r="U551" i="33"/>
  <c r="T551" i="33"/>
  <c r="S551" i="33"/>
  <c r="R551" i="33"/>
  <c r="Q551" i="33"/>
  <c r="P551" i="33"/>
  <c r="O551" i="33"/>
  <c r="AC528" i="33"/>
  <c r="AB528" i="33"/>
  <c r="X528" i="33"/>
  <c r="W528" i="33"/>
  <c r="V528" i="33"/>
  <c r="U528" i="33"/>
  <c r="T528" i="33"/>
  <c r="S528" i="33"/>
  <c r="R528" i="33"/>
  <c r="Q528" i="33"/>
  <c r="P528" i="33"/>
  <c r="O528" i="33"/>
  <c r="AC506" i="33"/>
  <c r="AB506" i="33"/>
  <c r="X506" i="33"/>
  <c r="W506" i="33"/>
  <c r="V506" i="33"/>
  <c r="U506" i="33"/>
  <c r="T506" i="33"/>
  <c r="S506" i="33"/>
  <c r="R506" i="33"/>
  <c r="Q506" i="33"/>
  <c r="P506" i="33"/>
  <c r="O506" i="33"/>
  <c r="AC487" i="33"/>
  <c r="AB487" i="33"/>
  <c r="X487" i="33"/>
  <c r="W487" i="33"/>
  <c r="V487" i="33"/>
  <c r="U487" i="33"/>
  <c r="T487" i="33"/>
  <c r="S487" i="33"/>
  <c r="R487" i="33"/>
  <c r="Q487" i="33"/>
  <c r="P487" i="33"/>
  <c r="O487" i="33"/>
  <c r="AC468" i="33"/>
  <c r="AB468" i="33"/>
  <c r="X468" i="33"/>
  <c r="W468" i="33"/>
  <c r="V468" i="33"/>
  <c r="U468" i="33"/>
  <c r="T468" i="33"/>
  <c r="S468" i="33"/>
  <c r="R468" i="33"/>
  <c r="Q468" i="33"/>
  <c r="P468" i="33"/>
  <c r="O468" i="33"/>
  <c r="AC449" i="33"/>
  <c r="AB449" i="33"/>
  <c r="X449" i="33"/>
  <c r="W449" i="33"/>
  <c r="V449" i="33"/>
  <c r="U449" i="33"/>
  <c r="T449" i="33"/>
  <c r="S449" i="33"/>
  <c r="R449" i="33"/>
  <c r="Q449" i="33"/>
  <c r="P449" i="33"/>
  <c r="O449" i="33"/>
  <c r="AC430" i="33"/>
  <c r="AB430" i="33"/>
  <c r="X430" i="33"/>
  <c r="W430" i="33"/>
  <c r="V430" i="33"/>
  <c r="U430" i="33"/>
  <c r="T430" i="33"/>
  <c r="S430" i="33"/>
  <c r="R430" i="33"/>
  <c r="Q430" i="33"/>
  <c r="P430" i="33"/>
  <c r="O430" i="33"/>
  <c r="AC411" i="33"/>
  <c r="AB411" i="33"/>
  <c r="X411" i="33"/>
  <c r="W411" i="33"/>
  <c r="V411" i="33"/>
  <c r="U411" i="33"/>
  <c r="T411" i="33"/>
  <c r="S411" i="33"/>
  <c r="R411" i="33"/>
  <c r="Q411" i="33"/>
  <c r="P411" i="33"/>
  <c r="O411" i="33"/>
  <c r="AC392" i="33"/>
  <c r="AB392" i="33"/>
  <c r="X392" i="33"/>
  <c r="W392" i="33"/>
  <c r="V392" i="33"/>
  <c r="U392" i="33"/>
  <c r="T392" i="33"/>
  <c r="S392" i="33"/>
  <c r="R392" i="33"/>
  <c r="Q392" i="33"/>
  <c r="P392" i="33"/>
  <c r="O392" i="33"/>
  <c r="V388" i="33"/>
  <c r="U388" i="33"/>
  <c r="T388" i="33"/>
  <c r="S388" i="33"/>
  <c r="AC373" i="33"/>
  <c r="AB373" i="33"/>
  <c r="X373" i="33"/>
  <c r="W373" i="33"/>
  <c r="V373" i="33"/>
  <c r="U373" i="33"/>
  <c r="T373" i="33"/>
  <c r="S373" i="33"/>
  <c r="R373" i="33"/>
  <c r="Q373" i="33"/>
  <c r="P373" i="33"/>
  <c r="O373" i="33"/>
  <c r="AC569" i="33"/>
  <c r="AB569" i="33"/>
  <c r="X569" i="33"/>
  <c r="W569" i="33"/>
  <c r="V569" i="33"/>
  <c r="U569" i="33"/>
  <c r="T569" i="33"/>
  <c r="S569" i="33"/>
  <c r="R569" i="33"/>
  <c r="Q569" i="33"/>
  <c r="P569" i="33"/>
  <c r="O569" i="33"/>
  <c r="AC547" i="33"/>
  <c r="AB547" i="33"/>
  <c r="X547" i="33"/>
  <c r="W547" i="33"/>
  <c r="V547" i="33"/>
  <c r="U547" i="33"/>
  <c r="T547" i="33"/>
  <c r="S547" i="33"/>
  <c r="R547" i="33"/>
  <c r="Q547" i="33"/>
  <c r="P547" i="33"/>
  <c r="O547" i="33"/>
  <c r="AC524" i="33"/>
  <c r="AB524" i="33"/>
  <c r="X524" i="33"/>
  <c r="W524" i="33"/>
  <c r="V524" i="33"/>
  <c r="U524" i="33"/>
  <c r="T524" i="33"/>
  <c r="S524" i="33"/>
  <c r="R524" i="33"/>
  <c r="Q524" i="33"/>
  <c r="P524" i="33"/>
  <c r="O524" i="33"/>
  <c r="AC502" i="33"/>
  <c r="AB502" i="33"/>
  <c r="X502" i="33"/>
  <c r="W502" i="33"/>
  <c r="V502" i="33"/>
  <c r="U502" i="33"/>
  <c r="T502" i="33"/>
  <c r="S502" i="33"/>
  <c r="R502" i="33"/>
  <c r="Q502" i="33"/>
  <c r="P502" i="33"/>
  <c r="O502" i="33"/>
  <c r="AC483" i="33"/>
  <c r="AB483" i="33"/>
  <c r="X483" i="33"/>
  <c r="W483" i="33"/>
  <c r="V483" i="33"/>
  <c r="U483" i="33"/>
  <c r="T483" i="33"/>
  <c r="S483" i="33"/>
  <c r="R483" i="33"/>
  <c r="Q483" i="33"/>
  <c r="P483" i="33"/>
  <c r="O483" i="33"/>
  <c r="AC464" i="33"/>
  <c r="AB464" i="33"/>
  <c r="X464" i="33"/>
  <c r="W464" i="33"/>
  <c r="V464" i="33"/>
  <c r="U464" i="33"/>
  <c r="T464" i="33"/>
  <c r="S464" i="33"/>
  <c r="R464" i="33"/>
  <c r="Q464" i="33"/>
  <c r="P464" i="33"/>
  <c r="O464" i="33"/>
  <c r="AC445" i="33"/>
  <c r="AB445" i="33"/>
  <c r="X445" i="33"/>
  <c r="W445" i="33"/>
  <c r="V445" i="33"/>
  <c r="U445" i="33"/>
  <c r="T445" i="33"/>
  <c r="S445" i="33"/>
  <c r="R445" i="33"/>
  <c r="Q445" i="33"/>
  <c r="P445" i="33"/>
  <c r="O445" i="33"/>
  <c r="AC426" i="33"/>
  <c r="AB426" i="33"/>
  <c r="X426" i="33"/>
  <c r="W426" i="33"/>
  <c r="V426" i="33"/>
  <c r="U426" i="33"/>
  <c r="T426" i="33"/>
  <c r="S426" i="33"/>
  <c r="R426" i="33"/>
  <c r="Q426" i="33"/>
  <c r="P426" i="33"/>
  <c r="O426" i="33"/>
  <c r="AC407" i="33"/>
  <c r="AB407" i="33"/>
  <c r="X407" i="33"/>
  <c r="W407" i="33"/>
  <c r="V407" i="33"/>
  <c r="U407" i="33"/>
  <c r="T407" i="33"/>
  <c r="S407" i="33"/>
  <c r="R407" i="33"/>
  <c r="Q407" i="33"/>
  <c r="P407" i="33"/>
  <c r="O407" i="33"/>
  <c r="AC388" i="33"/>
  <c r="AB388" i="33"/>
  <c r="X388" i="33"/>
  <c r="W388" i="33"/>
  <c r="R388" i="33"/>
  <c r="Q388" i="33"/>
  <c r="P388" i="33"/>
  <c r="O388" i="33"/>
  <c r="AC369" i="33"/>
  <c r="AC384" i="33" s="1"/>
  <c r="AC591" i="33" s="1" a="1"/>
  <c r="AC591" i="33" s="1"/>
  <c r="AB369" i="33"/>
  <c r="X369" i="33"/>
  <c r="W369" i="33"/>
  <c r="W384" i="33" s="1"/>
  <c r="W591" i="33" s="1" a="1"/>
  <c r="W591" i="33" s="1"/>
  <c r="V369" i="33"/>
  <c r="V384" i="33" s="1"/>
  <c r="V591" i="33" s="1" a="1"/>
  <c r="V591" i="33" s="1"/>
  <c r="U369" i="33"/>
  <c r="U384" i="33" s="1"/>
  <c r="U591" i="33" s="1" a="1"/>
  <c r="U591" i="33" s="1"/>
  <c r="T369" i="33"/>
  <c r="T384" i="33" s="1"/>
  <c r="T591" i="33" s="1" a="1"/>
  <c r="T591" i="33" s="1"/>
  <c r="S369" i="33"/>
  <c r="S384" i="33" s="1"/>
  <c r="S591" i="33" s="1" a="1"/>
  <c r="S591" i="33" s="1"/>
  <c r="R369" i="33"/>
  <c r="R384" i="33" s="1"/>
  <c r="R591" i="33" s="1" a="1"/>
  <c r="R591" i="33" s="1"/>
  <c r="Q369" i="33"/>
  <c r="P369" i="33"/>
  <c r="P384" i="33" s="1"/>
  <c r="P591" i="33" s="1" a="1"/>
  <c r="P591" i="33" s="1"/>
  <c r="O369" i="33"/>
  <c r="O384" i="33" s="1"/>
  <c r="O591" i="33" s="1" a="1"/>
  <c r="O591" i="33" s="1"/>
  <c r="AC356" i="33"/>
  <c r="AB356" i="33"/>
  <c r="X356" i="33"/>
  <c r="W356" i="33"/>
  <c r="V356" i="33"/>
  <c r="U356" i="33"/>
  <c r="T356" i="33"/>
  <c r="S356" i="33"/>
  <c r="R356" i="33"/>
  <c r="Q356" i="33"/>
  <c r="P356" i="33"/>
  <c r="O356" i="33"/>
  <c r="AC353" i="33"/>
  <c r="AB353" i="33"/>
  <c r="X353" i="33"/>
  <c r="W353" i="33"/>
  <c r="V353" i="33"/>
  <c r="U353" i="33"/>
  <c r="T353" i="33"/>
  <c r="S353" i="33"/>
  <c r="R353" i="33"/>
  <c r="Q353" i="33"/>
  <c r="P353" i="33"/>
  <c r="O353" i="33"/>
  <c r="AC349" i="33"/>
  <c r="AB349" i="33"/>
  <c r="X349" i="33"/>
  <c r="W349" i="33"/>
  <c r="V349" i="33"/>
  <c r="U349" i="33"/>
  <c r="T349" i="33"/>
  <c r="S349" i="33"/>
  <c r="R349" i="33"/>
  <c r="Q349" i="33"/>
  <c r="P349" i="33"/>
  <c r="O349" i="33"/>
  <c r="AC337" i="33"/>
  <c r="AB337" i="33"/>
  <c r="X337" i="33"/>
  <c r="W337" i="33"/>
  <c r="V337" i="33"/>
  <c r="U337" i="33"/>
  <c r="T337" i="33"/>
  <c r="S337" i="33"/>
  <c r="R337" i="33"/>
  <c r="Q337" i="33"/>
  <c r="P337" i="33"/>
  <c r="O337" i="33"/>
  <c r="AC334" i="33"/>
  <c r="AB334" i="33"/>
  <c r="X334" i="33"/>
  <c r="W334" i="33"/>
  <c r="V334" i="33"/>
  <c r="U334" i="33"/>
  <c r="T334" i="33"/>
  <c r="S334" i="33"/>
  <c r="R334" i="33"/>
  <c r="Q334" i="33"/>
  <c r="P334" i="33"/>
  <c r="O334" i="33"/>
  <c r="AC330" i="33"/>
  <c r="AB330" i="33"/>
  <c r="X330" i="33"/>
  <c r="W330" i="33"/>
  <c r="V330" i="33"/>
  <c r="U330" i="33"/>
  <c r="T330" i="33"/>
  <c r="S330" i="33"/>
  <c r="R330" i="33"/>
  <c r="Q330" i="33"/>
  <c r="P330" i="33"/>
  <c r="O330" i="33"/>
  <c r="AC318" i="33"/>
  <c r="AB318" i="33"/>
  <c r="X318" i="33"/>
  <c r="W318" i="33"/>
  <c r="V318" i="33"/>
  <c r="U318" i="33"/>
  <c r="T318" i="33"/>
  <c r="S318" i="33"/>
  <c r="R318" i="33"/>
  <c r="Q318" i="33"/>
  <c r="P318" i="33"/>
  <c r="O318" i="33"/>
  <c r="AC315" i="33"/>
  <c r="AB315" i="33"/>
  <c r="X315" i="33"/>
  <c r="W315" i="33"/>
  <c r="V315" i="33"/>
  <c r="U315" i="33"/>
  <c r="T315" i="33"/>
  <c r="S315" i="33"/>
  <c r="R315" i="33"/>
  <c r="Q315" i="33"/>
  <c r="P315" i="33"/>
  <c r="O315" i="33"/>
  <c r="AC311" i="33"/>
  <c r="AB311" i="33"/>
  <c r="X311" i="33"/>
  <c r="W311" i="33"/>
  <c r="V311" i="33"/>
  <c r="U311" i="33"/>
  <c r="T311" i="33"/>
  <c r="S311" i="33"/>
  <c r="R311" i="33"/>
  <c r="Q311" i="33"/>
  <c r="P311" i="33"/>
  <c r="O311" i="33"/>
  <c r="P299" i="33"/>
  <c r="Q299" i="33"/>
  <c r="R299" i="33"/>
  <c r="S299" i="33"/>
  <c r="T299" i="33"/>
  <c r="U299" i="33"/>
  <c r="V299" i="33"/>
  <c r="W299" i="33"/>
  <c r="X299" i="33"/>
  <c r="AB299" i="33"/>
  <c r="AC299" i="33"/>
  <c r="O299" i="33"/>
  <c r="P296" i="33"/>
  <c r="Q296" i="33"/>
  <c r="R296" i="33"/>
  <c r="S296" i="33"/>
  <c r="T296" i="33"/>
  <c r="U296" i="33"/>
  <c r="V296" i="33"/>
  <c r="W296" i="33"/>
  <c r="X296" i="33"/>
  <c r="AB296" i="33"/>
  <c r="AC296" i="33"/>
  <c r="O296" i="33"/>
  <c r="P292" i="33"/>
  <c r="Q292" i="33"/>
  <c r="R292" i="33"/>
  <c r="S292" i="33"/>
  <c r="T292" i="33"/>
  <c r="U292" i="33"/>
  <c r="V292" i="33"/>
  <c r="W292" i="33"/>
  <c r="X292" i="33"/>
  <c r="AB292" i="33"/>
  <c r="AC292" i="33"/>
  <c r="O292" i="33"/>
  <c r="AD26" i="33"/>
  <c r="AE26" i="33"/>
  <c r="AF26" i="33"/>
  <c r="AG26" i="33"/>
  <c r="AH26" i="33"/>
  <c r="AI26" i="33"/>
  <c r="AJ26" i="33"/>
  <c r="AK26" i="33"/>
  <c r="AL26" i="33"/>
  <c r="A67" i="33"/>
  <c r="BL77" i="28" l="1"/>
  <c r="EY77" i="28" s="1" a="1"/>
  <c r="EY77" i="28" s="1"/>
  <c r="BQ45" i="28"/>
  <c r="BR45" i="28" s="1"/>
  <c r="FE45" i="28" s="1" a="1"/>
  <c r="FE45" i="28" s="1"/>
  <c r="BQ43" i="28"/>
  <c r="FD43" i="28" s="1" a="1"/>
  <c r="FD43" i="28" s="1"/>
  <c r="BQ57" i="28"/>
  <c r="BR57" i="28" s="1"/>
  <c r="FE57" i="28" s="1" a="1"/>
  <c r="FE57" i="28" s="1"/>
  <c r="DI70" i="28"/>
  <c r="DX70" i="28" s="1"/>
  <c r="BQ50" i="28"/>
  <c r="V489" i="38" s="1"/>
  <c r="BQ56" i="28"/>
  <c r="FD56" i="28" s="1" a="1"/>
  <c r="FD56" i="28" s="1"/>
  <c r="FH70" i="28" a="1"/>
  <c r="FH70" i="28" s="1"/>
  <c r="FW70" i="28" s="1"/>
  <c r="HC70" i="28"/>
  <c r="BQ55" i="28"/>
  <c r="BR55" i="28" s="1"/>
  <c r="FE55" i="28" s="1" a="1"/>
  <c r="FE55" i="28" s="1"/>
  <c r="BQ49" i="28"/>
  <c r="FD49" i="28" s="1" a="1"/>
  <c r="FD49" i="28" s="1"/>
  <c r="BQ48" i="28"/>
  <c r="FD48" i="28" s="1" a="1"/>
  <c r="FD48" i="28" s="1"/>
  <c r="BQ44" i="28"/>
  <c r="BR44" i="28" s="1"/>
  <c r="FE44" i="28" s="1" a="1"/>
  <c r="FE44" i="28" s="1"/>
  <c r="BQ47" i="28"/>
  <c r="FD47" i="28" s="1" a="1"/>
  <c r="FD47" i="28" s="1"/>
  <c r="BQ54" i="28"/>
  <c r="FD54" i="28" s="1" a="1"/>
  <c r="FD54" i="28" s="1"/>
  <c r="BQ42" i="28"/>
  <c r="FD42" i="28" s="1" a="1"/>
  <c r="FD42" i="28" s="1"/>
  <c r="BV34" i="28"/>
  <c r="FI34" i="28" s="1" a="1"/>
  <c r="FI34" i="28" s="1"/>
  <c r="BR46" i="28"/>
  <c r="FE46" i="28" s="1" a="1"/>
  <c r="FE46" i="28" s="1"/>
  <c r="FD46" i="28" a="1"/>
  <c r="FD46" i="28" s="1"/>
  <c r="BR26" i="28"/>
  <c r="BS26" i="28" s="1"/>
  <c r="DJ71" i="28"/>
  <c r="DY71" i="28" s="1"/>
  <c r="FI71" i="28" a="1"/>
  <c r="FI71" i="28" s="1"/>
  <c r="FX71" i="28" s="1"/>
  <c r="DJ70" i="28"/>
  <c r="DY70" i="28" s="1"/>
  <c r="FI70" i="28" a="1"/>
  <c r="FI70" i="28" s="1"/>
  <c r="FX70" i="28" s="1"/>
  <c r="BT27" i="28"/>
  <c r="FG27" i="28" s="1" a="1"/>
  <c r="FG27" i="28" s="1"/>
  <c r="BM8" i="28"/>
  <c r="EZ8" i="28" s="1" a="1"/>
  <c r="EZ8" i="28" s="1"/>
  <c r="EY8" i="28" a="1"/>
  <c r="EY8" i="28" s="1"/>
  <c r="GW20" i="28"/>
  <c r="FQ20" i="28"/>
  <c r="BV24" i="28"/>
  <c r="FI24" i="28" s="1" a="1"/>
  <c r="FI24" i="28" s="1"/>
  <c r="HC24" i="28"/>
  <c r="FW24" i="28"/>
  <c r="DI24" i="28"/>
  <c r="DX24" i="28" s="1"/>
  <c r="HD70" i="28"/>
  <c r="HD71" i="28"/>
  <c r="AC184" i="33"/>
  <c r="AC207" i="33"/>
  <c r="AC161" i="33"/>
  <c r="AC60" i="33"/>
  <c r="AC138" i="33"/>
  <c r="AC1315" i="33"/>
  <c r="AC160" i="33"/>
  <c r="AC230" i="33"/>
  <c r="AC53" i="33"/>
  <c r="G14" i="37"/>
  <c r="AC159" i="33"/>
  <c r="AC137" i="33"/>
  <c r="AC206" i="33"/>
  <c r="AC205" i="33"/>
  <c r="AC183" i="33"/>
  <c r="AC182" i="33"/>
  <c r="AC229" i="33"/>
  <c r="AC228" i="33"/>
  <c r="AC22" i="33"/>
  <c r="AC61" i="33"/>
  <c r="AC136" i="33"/>
  <c r="AC92" i="33"/>
  <c r="AC115" i="33"/>
  <c r="AC91" i="33"/>
  <c r="AC90" i="33"/>
  <c r="AC113" i="33"/>
  <c r="AC114" i="33"/>
  <c r="AC67" i="33"/>
  <c r="AB67" i="33"/>
  <c r="AC611" i="33"/>
  <c r="AC14" i="33" s="1"/>
  <c r="AC613" i="33"/>
  <c r="AC16" i="33" s="1"/>
  <c r="AC612" i="33"/>
  <c r="AC15" i="33" s="1"/>
  <c r="D388" i="38" s="1"/>
  <c r="AR28" i="28" s="1"/>
  <c r="AB613" i="33"/>
  <c r="AB16" i="33" s="1"/>
  <c r="AB612" i="33"/>
  <c r="AB15" i="33" s="1"/>
  <c r="AB611" i="33"/>
  <c r="Q384" i="33"/>
  <c r="Q591" i="33" s="1" a="1"/>
  <c r="Q591" i="33" s="1"/>
  <c r="X384" i="33"/>
  <c r="X591" i="33" s="1" a="1"/>
  <c r="X591" i="33" s="1"/>
  <c r="AB384" i="33"/>
  <c r="AB591" i="33" s="1" a="1"/>
  <c r="AB591" i="33" s="1"/>
  <c r="FP61" i="28"/>
  <c r="GV61" i="28"/>
  <c r="AE1318" i="33"/>
  <c r="AE138" i="33" s="1"/>
  <c r="AD92" i="33"/>
  <c r="AE1263" i="33"/>
  <c r="AE183" i="33" s="1"/>
  <c r="AD91" i="33"/>
  <c r="AE919" i="33"/>
  <c r="AD90" i="33"/>
  <c r="DC20" i="28"/>
  <c r="DR20" i="28" s="1"/>
  <c r="BO66" i="28"/>
  <c r="FB66" i="28" s="1" a="1"/>
  <c r="FB66" i="28" s="1"/>
  <c r="BO37" i="28"/>
  <c r="FB37" i="28" s="1" a="1"/>
  <c r="FB37" i="28" s="1"/>
  <c r="BN38" i="28"/>
  <c r="FA38" i="28" s="1" a="1"/>
  <c r="FA38" i="28" s="1"/>
  <c r="BM69" i="28"/>
  <c r="EZ69" i="28" s="1" a="1"/>
  <c r="EZ69" i="28" s="1"/>
  <c r="BO84" i="28"/>
  <c r="BM76" i="28"/>
  <c r="EZ76" i="28" s="1" a="1"/>
  <c r="EZ76" i="28" s="1"/>
  <c r="BM73" i="28"/>
  <c r="EZ73" i="28" s="1" a="1"/>
  <c r="EZ73" i="28" s="1"/>
  <c r="BP20" i="28"/>
  <c r="FC20" i="28" s="1" a="1"/>
  <c r="FC20" i="28" s="1"/>
  <c r="BO75" i="28"/>
  <c r="FB75" i="28" s="1" a="1"/>
  <c r="FB75" i="28" s="1"/>
  <c r="BM9" i="28"/>
  <c r="EZ9" i="28" s="1" a="1"/>
  <c r="EZ9" i="28" s="1"/>
  <c r="BM77" i="28"/>
  <c r="EZ77" i="28" s="1" a="1"/>
  <c r="EZ77" i="28" s="1"/>
  <c r="BP86" i="28"/>
  <c r="BM78" i="28"/>
  <c r="EZ78" i="28" s="1" a="1"/>
  <c r="EZ78" i="28" s="1"/>
  <c r="BM23" i="28"/>
  <c r="EZ23" i="28" s="1" a="1"/>
  <c r="EZ23" i="28" s="1"/>
  <c r="BM21" i="28"/>
  <c r="EZ21" i="28" s="1" a="1"/>
  <c r="EZ21" i="28" s="1"/>
  <c r="BM25" i="28"/>
  <c r="EZ25" i="28" s="1" a="1"/>
  <c r="EZ25" i="28" s="1"/>
  <c r="BM74" i="28"/>
  <c r="EZ74" i="28" s="1" a="1"/>
  <c r="EZ74" i="28" s="1"/>
  <c r="BM17" i="28"/>
  <c r="BO68" i="28"/>
  <c r="FB68" i="28" s="1" a="1"/>
  <c r="FB68" i="28" s="1"/>
  <c r="BM72" i="28"/>
  <c r="EZ72" i="28" s="1" a="1"/>
  <c r="EZ72" i="28" s="1"/>
  <c r="BN39" i="28"/>
  <c r="BM10" i="28"/>
  <c r="EZ10" i="28" s="1" a="1"/>
  <c r="EZ10" i="28" s="1"/>
  <c r="BO61" i="28"/>
  <c r="FB61" i="28" s="1" a="1"/>
  <c r="FB61" i="28" s="1"/>
  <c r="DB61" i="28"/>
  <c r="DQ61" i="28" s="1"/>
  <c r="BM11" i="28"/>
  <c r="BN40" i="28"/>
  <c r="FA40" i="28" s="1" a="1"/>
  <c r="FA40" i="28" s="1"/>
  <c r="BO67" i="28"/>
  <c r="FB67" i="28" s="1" a="1"/>
  <c r="FB67" i="28" s="1"/>
  <c r="I67" i="33"/>
  <c r="H67" i="33"/>
  <c r="G67" i="33"/>
  <c r="F67" i="33"/>
  <c r="M67" i="33"/>
  <c r="E67" i="33"/>
  <c r="K67" i="33"/>
  <c r="AD67" i="33"/>
  <c r="J67" i="33"/>
  <c r="J40" i="33"/>
  <c r="K40" i="33"/>
  <c r="M40" i="33"/>
  <c r="E40" i="33"/>
  <c r="F40" i="33"/>
  <c r="G40" i="33"/>
  <c r="H40" i="33"/>
  <c r="I40" i="33"/>
  <c r="AD40" i="33"/>
  <c r="AE40" i="33" s="1"/>
  <c r="AF40" i="33" s="1"/>
  <c r="AG40" i="33" s="1"/>
  <c r="AH40" i="33" s="1"/>
  <c r="AI40" i="33" s="1"/>
  <c r="AJ40" i="33" s="1"/>
  <c r="AK40" i="33" s="1"/>
  <c r="AL40" i="33" s="1"/>
  <c r="H38" i="33"/>
  <c r="M38" i="33"/>
  <c r="I38" i="33"/>
  <c r="J38" i="33"/>
  <c r="K38" i="33"/>
  <c r="E38" i="33"/>
  <c r="F38" i="33"/>
  <c r="G38" i="33"/>
  <c r="AD38" i="33"/>
  <c r="AE38" i="33" s="1"/>
  <c r="AF38" i="33" s="1"/>
  <c r="AG38" i="33" s="1"/>
  <c r="AH38" i="33" s="1"/>
  <c r="AI38" i="33" s="1"/>
  <c r="AJ38" i="33" s="1"/>
  <c r="AK38" i="33" s="1"/>
  <c r="AL38" i="33" s="1"/>
  <c r="F714" i="33"/>
  <c r="M714" i="33"/>
  <c r="G714" i="33"/>
  <c r="H714" i="33"/>
  <c r="I714" i="33"/>
  <c r="J714" i="33"/>
  <c r="K714" i="33"/>
  <c r="E714" i="33"/>
  <c r="AD714" i="33"/>
  <c r="AE714" i="33" s="1"/>
  <c r="AF714" i="33" s="1"/>
  <c r="AG714" i="33" s="1"/>
  <c r="AH714" i="33" s="1"/>
  <c r="AI714" i="33" s="1"/>
  <c r="AJ714" i="33" s="1"/>
  <c r="AK714" i="33" s="1"/>
  <c r="AL714" i="33" s="1"/>
  <c r="E712" i="33"/>
  <c r="F712" i="33"/>
  <c r="G712" i="33"/>
  <c r="H712" i="33"/>
  <c r="I712" i="33"/>
  <c r="J712" i="33"/>
  <c r="AD712" i="33"/>
  <c r="AE712" i="33" s="1"/>
  <c r="AF712" i="33" s="1"/>
  <c r="AG712" i="33" s="1"/>
  <c r="AH712" i="33" s="1"/>
  <c r="AI712" i="33" s="1"/>
  <c r="AJ712" i="33" s="1"/>
  <c r="AK712" i="33" s="1"/>
  <c r="AL712" i="33" s="1"/>
  <c r="M712" i="33"/>
  <c r="K712" i="33"/>
  <c r="M37" i="33"/>
  <c r="G37" i="33"/>
  <c r="H37" i="33"/>
  <c r="I37" i="33"/>
  <c r="J37" i="33"/>
  <c r="K37" i="33"/>
  <c r="E37" i="33"/>
  <c r="F37" i="33"/>
  <c r="AD37" i="33"/>
  <c r="AE37" i="33" s="1"/>
  <c r="AF37" i="33" s="1"/>
  <c r="AG37" i="33" s="1"/>
  <c r="AH37" i="33" s="1"/>
  <c r="AI37" i="33" s="1"/>
  <c r="AJ37" i="33" s="1"/>
  <c r="AK37" i="33" s="1"/>
  <c r="AL37" i="33" s="1"/>
  <c r="M713" i="33"/>
  <c r="E713" i="33"/>
  <c r="F713" i="33"/>
  <c r="G713" i="33"/>
  <c r="H713" i="33"/>
  <c r="I713" i="33"/>
  <c r="J713" i="33"/>
  <c r="K713" i="33"/>
  <c r="AD713" i="33"/>
  <c r="AE713" i="33" s="1"/>
  <c r="AF713" i="33" s="1"/>
  <c r="AG713" i="33" s="1"/>
  <c r="AH713" i="33" s="1"/>
  <c r="AI713" i="33" s="1"/>
  <c r="AJ713" i="33" s="1"/>
  <c r="AK713" i="33" s="1"/>
  <c r="AL713" i="33" s="1"/>
  <c r="F631" i="33"/>
  <c r="G631" i="33"/>
  <c r="H631" i="33"/>
  <c r="I631" i="33"/>
  <c r="J631" i="33"/>
  <c r="K631" i="33"/>
  <c r="M631" i="33"/>
  <c r="E631" i="33"/>
  <c r="AD631" i="33"/>
  <c r="AE631" i="33" s="1"/>
  <c r="AF631" i="33" s="1"/>
  <c r="K711" i="33"/>
  <c r="E711" i="33"/>
  <c r="F711" i="33"/>
  <c r="G711" i="33"/>
  <c r="H711" i="33"/>
  <c r="AD711" i="33"/>
  <c r="AE711" i="33" s="1"/>
  <c r="AF711" i="33" s="1"/>
  <c r="AG711" i="33" s="1"/>
  <c r="AH711" i="33" s="1"/>
  <c r="AI711" i="33" s="1"/>
  <c r="AJ711" i="33" s="1"/>
  <c r="AK711" i="33" s="1"/>
  <c r="AL711" i="33" s="1"/>
  <c r="M711" i="33"/>
  <c r="I711" i="33"/>
  <c r="J711" i="33"/>
  <c r="M621" i="33"/>
  <c r="J621" i="33"/>
  <c r="I621" i="33"/>
  <c r="H621" i="33"/>
  <c r="G621" i="33"/>
  <c r="F621" i="33"/>
  <c r="E621" i="33"/>
  <c r="AD621" i="33"/>
  <c r="K621" i="33"/>
  <c r="E630" i="33"/>
  <c r="F630" i="33"/>
  <c r="G630" i="33"/>
  <c r="H630" i="33"/>
  <c r="I630" i="33"/>
  <c r="M630" i="33"/>
  <c r="J630" i="33"/>
  <c r="K630" i="33"/>
  <c r="AD630" i="33"/>
  <c r="AE630" i="33" s="1"/>
  <c r="AF630" i="33" s="1"/>
  <c r="AG630" i="33" s="1"/>
  <c r="AH630" i="33" s="1"/>
  <c r="AI630" i="33" s="1"/>
  <c r="AJ630" i="33" s="1"/>
  <c r="AK630" i="33" s="1"/>
  <c r="AL630" i="33" s="1"/>
  <c r="J710" i="33"/>
  <c r="K710" i="33"/>
  <c r="E710" i="33"/>
  <c r="F710" i="33"/>
  <c r="M710" i="33"/>
  <c r="G710" i="33"/>
  <c r="H710" i="33"/>
  <c r="AD710" i="33"/>
  <c r="AE710" i="33" s="1"/>
  <c r="AF710" i="33" s="1"/>
  <c r="AG710" i="33" s="1"/>
  <c r="AH710" i="33" s="1"/>
  <c r="AI710" i="33" s="1"/>
  <c r="AJ710" i="33" s="1"/>
  <c r="AK710" i="33" s="1"/>
  <c r="AL710" i="33" s="1"/>
  <c r="I710" i="33"/>
  <c r="G632" i="33"/>
  <c r="H632" i="33"/>
  <c r="I632" i="33"/>
  <c r="J632" i="33"/>
  <c r="K632" i="33"/>
  <c r="E632" i="33"/>
  <c r="F632" i="33"/>
  <c r="M632" i="33"/>
  <c r="AD632" i="33"/>
  <c r="AE632" i="33" s="1"/>
  <c r="AF632" i="33" s="1"/>
  <c r="AG632" i="33" s="1"/>
  <c r="AH632" i="33" s="1"/>
  <c r="AI632" i="33" s="1"/>
  <c r="AJ632" i="33" s="1"/>
  <c r="AK632" i="33" s="1"/>
  <c r="AL632" i="33" s="1"/>
  <c r="E622" i="33"/>
  <c r="F622" i="33"/>
  <c r="G622" i="33"/>
  <c r="H622" i="33"/>
  <c r="I622" i="33"/>
  <c r="J622" i="33"/>
  <c r="K622" i="33"/>
  <c r="M622" i="33"/>
  <c r="AD622" i="33"/>
  <c r="AE622" i="33" s="1"/>
  <c r="AF622" i="33" s="1"/>
  <c r="AG622" i="33" s="1"/>
  <c r="AH622" i="33" s="1"/>
  <c r="AI622" i="33" s="1"/>
  <c r="AJ622" i="33" s="1"/>
  <c r="AK622" i="33" s="1"/>
  <c r="AL622" i="33" s="1"/>
  <c r="E629" i="33"/>
  <c r="F629" i="33"/>
  <c r="G629" i="33"/>
  <c r="M629" i="33"/>
  <c r="H629" i="33"/>
  <c r="I629" i="33"/>
  <c r="J629" i="33"/>
  <c r="K629" i="33"/>
  <c r="AD629" i="33"/>
  <c r="AE629" i="33" s="1"/>
  <c r="AF629" i="33" s="1"/>
  <c r="I709" i="33"/>
  <c r="J709" i="33"/>
  <c r="K709" i="33"/>
  <c r="M709" i="33"/>
  <c r="E709" i="33"/>
  <c r="F709" i="33"/>
  <c r="G709" i="33"/>
  <c r="H709" i="33"/>
  <c r="AD709" i="33"/>
  <c r="AE709" i="33" s="1"/>
  <c r="AF709" i="33" s="1"/>
  <c r="AG709" i="33" s="1"/>
  <c r="AH709" i="33" s="1"/>
  <c r="AI709" i="33" s="1"/>
  <c r="AJ709" i="33" s="1"/>
  <c r="AK709" i="33" s="1"/>
  <c r="AL709" i="33" s="1"/>
  <c r="AD62" i="33"/>
  <c r="K627" i="33"/>
  <c r="J627" i="33"/>
  <c r="M627" i="33"/>
  <c r="I627" i="33"/>
  <c r="H627" i="33"/>
  <c r="G627" i="33"/>
  <c r="AD627" i="33"/>
  <c r="F627" i="33"/>
  <c r="E627" i="33"/>
  <c r="E628" i="33"/>
  <c r="K628" i="33"/>
  <c r="M628" i="33"/>
  <c r="J628" i="33"/>
  <c r="I628" i="33"/>
  <c r="H628" i="33"/>
  <c r="G628" i="33"/>
  <c r="F628" i="33"/>
  <c r="AD628" i="33"/>
  <c r="AE628" i="33" s="1"/>
  <c r="AF628" i="33" s="1"/>
  <c r="H708" i="33"/>
  <c r="I708" i="33"/>
  <c r="J708" i="33"/>
  <c r="M708" i="33"/>
  <c r="K708" i="33"/>
  <c r="E708" i="33"/>
  <c r="F708" i="33"/>
  <c r="G708" i="33"/>
  <c r="AD708" i="33"/>
  <c r="AE708" i="33" s="1"/>
  <c r="AF708" i="33" s="1"/>
  <c r="AG708" i="33" s="1"/>
  <c r="AH708" i="33" s="1"/>
  <c r="AI708" i="33" s="1"/>
  <c r="AJ708" i="33" s="1"/>
  <c r="AK708" i="33" s="1"/>
  <c r="AL708" i="33" s="1"/>
  <c r="I39" i="33"/>
  <c r="J39" i="33"/>
  <c r="M39" i="33"/>
  <c r="K39" i="33"/>
  <c r="E39" i="33"/>
  <c r="F39" i="33"/>
  <c r="G39" i="33"/>
  <c r="H39" i="33"/>
  <c r="AD39" i="33"/>
  <c r="AE39" i="33" s="1"/>
  <c r="AF39" i="33" s="1"/>
  <c r="AG39" i="33" s="1"/>
  <c r="AH39" i="33" s="1"/>
  <c r="AI39" i="33" s="1"/>
  <c r="AJ39" i="33" s="1"/>
  <c r="AK39" i="33" s="1"/>
  <c r="AL39" i="33" s="1"/>
  <c r="I707" i="33"/>
  <c r="H707" i="33"/>
  <c r="M707" i="33"/>
  <c r="G707" i="33"/>
  <c r="F707" i="33"/>
  <c r="E707" i="33"/>
  <c r="K707" i="33"/>
  <c r="J707" i="33"/>
  <c r="AD707" i="33"/>
  <c r="AD206" i="33"/>
  <c r="AD229" i="33"/>
  <c r="AD207" i="33"/>
  <c r="AD230" i="33"/>
  <c r="AM26" i="33"/>
  <c r="AD138" i="33"/>
  <c r="AD183" i="33"/>
  <c r="AD161" i="33"/>
  <c r="AD115" i="33"/>
  <c r="AD114" i="33"/>
  <c r="AD137" i="33"/>
  <c r="AD184" i="33"/>
  <c r="AD160" i="33"/>
  <c r="AI63" i="33"/>
  <c r="AK63" i="33"/>
  <c r="AJ63" i="33"/>
  <c r="AE63" i="33"/>
  <c r="AL63" i="33"/>
  <c r="W364" i="33"/>
  <c r="W590" i="33" s="1" a="1"/>
  <c r="W590" i="33" s="1"/>
  <c r="AG63" i="33"/>
  <c r="AF63" i="33"/>
  <c r="AH63" i="33"/>
  <c r="AD64" i="33"/>
  <c r="AE62" i="33"/>
  <c r="Q584" i="33"/>
  <c r="Q594" i="33" s="1" a="1"/>
  <c r="Q594" i="33" s="1"/>
  <c r="AD63" i="33"/>
  <c r="AI23" i="33"/>
  <c r="Q422" i="33"/>
  <c r="Q593" i="33" s="1" a="1"/>
  <c r="Q593" i="33" s="1"/>
  <c r="Q498" i="33"/>
  <c r="Q599" i="33" s="1" a="1"/>
  <c r="Q599" i="33" s="1"/>
  <c r="AB307" i="33"/>
  <c r="AB602" i="33" s="1"/>
  <c r="Q345" i="33"/>
  <c r="Q589" i="33" s="1" a="1"/>
  <c r="Q589" i="33" s="1"/>
  <c r="AB345" i="33"/>
  <c r="AB589" i="33" s="1" a="1"/>
  <c r="AB589" i="33" s="1"/>
  <c r="X307" i="33"/>
  <c r="V326" i="33"/>
  <c r="V588" i="33" s="1" a="1"/>
  <c r="V588" i="33" s="1"/>
  <c r="R345" i="33"/>
  <c r="R589" i="33" s="1" a="1"/>
  <c r="R589" i="33" s="1"/>
  <c r="AC345" i="33"/>
  <c r="AC589" i="33" s="1" a="1"/>
  <c r="AC589" i="33" s="1"/>
  <c r="V345" i="33"/>
  <c r="V589" i="33" s="1" a="1"/>
  <c r="V589" i="33" s="1"/>
  <c r="O364" i="33"/>
  <c r="O590" i="33" s="1" a="1"/>
  <c r="O590" i="33" s="1"/>
  <c r="O422" i="33"/>
  <c r="O593" i="33" s="1" a="1"/>
  <c r="O593" i="33" s="1"/>
  <c r="W422" i="33"/>
  <c r="W593" i="33" s="1" a="1"/>
  <c r="W593" i="33" s="1"/>
  <c r="O460" i="33"/>
  <c r="O596" i="33" s="1" a="1"/>
  <c r="O596" i="33" s="1"/>
  <c r="W460" i="33"/>
  <c r="W596" i="33" s="1" a="1"/>
  <c r="W596" i="33" s="1"/>
  <c r="S479" i="33"/>
  <c r="S597" i="33" s="1" a="1"/>
  <c r="S597" i="33" s="1"/>
  <c r="W498" i="33"/>
  <c r="W599" i="33" s="1" a="1"/>
  <c r="W599" i="33" s="1"/>
  <c r="S517" i="33"/>
  <c r="S600" i="33" s="1" a="1"/>
  <c r="S600" i="33" s="1"/>
  <c r="O539" i="33"/>
  <c r="O605" i="33" s="1" a="1"/>
  <c r="O605" i="33" s="1"/>
  <c r="S562" i="33"/>
  <c r="S607" i="33" s="1" a="1"/>
  <c r="S607" i="33" s="1"/>
  <c r="O584" i="33"/>
  <c r="O594" i="33" s="1" a="1"/>
  <c r="O594" i="33" s="1"/>
  <c r="W584" i="33"/>
  <c r="W594" i="33" s="1" a="1"/>
  <c r="W594" i="33" s="1"/>
  <c r="S403" i="33"/>
  <c r="S592" i="33" s="1" a="1"/>
  <c r="S592" i="33" s="1"/>
  <c r="P345" i="33"/>
  <c r="P589" i="33" s="1" a="1"/>
  <c r="P589" i="33" s="1"/>
  <c r="X345" i="33"/>
  <c r="X589" i="33" s="1" a="1"/>
  <c r="X589" i="33" s="1"/>
  <c r="T345" i="33"/>
  <c r="T589" i="33" s="1" a="1"/>
  <c r="T589" i="33" s="1"/>
  <c r="Q364" i="33"/>
  <c r="Q590" i="33" s="1" a="1"/>
  <c r="Q590" i="33" s="1"/>
  <c r="AB364" i="33"/>
  <c r="AB590" i="33" s="1" a="1"/>
  <c r="AB590" i="33" s="1"/>
  <c r="U441" i="33"/>
  <c r="U595" i="33" s="1" a="1"/>
  <c r="U595" i="33" s="1"/>
  <c r="Q460" i="33"/>
  <c r="Q596" i="33" s="1" a="1"/>
  <c r="Q596" i="33" s="1"/>
  <c r="AB460" i="33"/>
  <c r="AB596" i="33" s="1" a="1"/>
  <c r="AB596" i="33" s="1"/>
  <c r="AB498" i="33"/>
  <c r="AB599" i="33" s="1" a="1"/>
  <c r="AB599" i="33" s="1"/>
  <c r="U517" i="33"/>
  <c r="U600" i="33" s="1" a="1"/>
  <c r="U600" i="33" s="1"/>
  <c r="AB539" i="33"/>
  <c r="AB605" i="33" s="1" a="1"/>
  <c r="AB605" i="33" s="1"/>
  <c r="U562" i="33"/>
  <c r="U607" i="33" s="1" a="1"/>
  <c r="U607" i="33" s="1"/>
  <c r="U403" i="33"/>
  <c r="U592" i="33" s="1" a="1"/>
  <c r="U592" i="33" s="1"/>
  <c r="O345" i="33"/>
  <c r="O589" i="33" s="1" a="1"/>
  <c r="O589" i="33" s="1"/>
  <c r="W345" i="33"/>
  <c r="W589" i="33" s="1" a="1"/>
  <c r="W589" i="33" s="1"/>
  <c r="S345" i="33"/>
  <c r="S589" i="33" s="1" a="1"/>
  <c r="S589" i="33" s="1"/>
  <c r="AC422" i="33"/>
  <c r="AC593" i="33" s="1" a="1"/>
  <c r="AC593" i="33" s="1"/>
  <c r="R460" i="33"/>
  <c r="R596" i="33" s="1" a="1"/>
  <c r="R596" i="33" s="1"/>
  <c r="AC460" i="33"/>
  <c r="AC596" i="33" s="1" a="1"/>
  <c r="AC596" i="33" s="1"/>
  <c r="V479" i="33"/>
  <c r="V597" i="33" s="1" a="1"/>
  <c r="V597" i="33" s="1"/>
  <c r="AC498" i="33"/>
  <c r="AC599" i="33" s="1" a="1"/>
  <c r="AC599" i="33" s="1"/>
  <c r="R539" i="33"/>
  <c r="R605" i="33" s="1" a="1"/>
  <c r="R605" i="33" s="1"/>
  <c r="V562" i="33"/>
  <c r="V607" i="33" s="1" a="1"/>
  <c r="V607" i="33" s="1"/>
  <c r="R584" i="33"/>
  <c r="R594" i="33" s="1" a="1"/>
  <c r="R594" i="33" s="1"/>
  <c r="V403" i="33"/>
  <c r="V592" i="33" s="1" a="1"/>
  <c r="V592" i="33" s="1"/>
  <c r="W403" i="33"/>
  <c r="W592" i="33" s="1" a="1"/>
  <c r="W592" i="33" s="1"/>
  <c r="S422" i="33"/>
  <c r="S593" i="33" s="1" a="1"/>
  <c r="S593" i="33" s="1"/>
  <c r="O441" i="33"/>
  <c r="O595" i="33" s="1" a="1"/>
  <c r="O595" i="33" s="1"/>
  <c r="W441" i="33"/>
  <c r="W595" i="33" s="1" a="1"/>
  <c r="W595" i="33" s="1"/>
  <c r="S460" i="33"/>
  <c r="S596" i="33" s="1" a="1"/>
  <c r="S596" i="33" s="1"/>
  <c r="O479" i="33"/>
  <c r="O597" i="33" s="1" a="1"/>
  <c r="O597" i="33" s="1"/>
  <c r="W479" i="33"/>
  <c r="W597" i="33" s="1" a="1"/>
  <c r="W597" i="33" s="1"/>
  <c r="S498" i="33"/>
  <c r="S599" i="33" s="1" a="1"/>
  <c r="S599" i="33" s="1"/>
  <c r="O517" i="33"/>
  <c r="O600" i="33" s="1" a="1"/>
  <c r="O600" i="33" s="1"/>
  <c r="W517" i="33"/>
  <c r="W600" i="33" s="1" a="1"/>
  <c r="W600" i="33" s="1"/>
  <c r="S539" i="33"/>
  <c r="S605" i="33" s="1" a="1"/>
  <c r="S605" i="33" s="1"/>
  <c r="O562" i="33"/>
  <c r="O607" i="33" s="1" a="1"/>
  <c r="O607" i="33" s="1"/>
  <c r="W562" i="33"/>
  <c r="W607" i="33" s="1" a="1"/>
  <c r="W607" i="33" s="1"/>
  <c r="S584" i="33"/>
  <c r="S594" i="33" s="1" a="1"/>
  <c r="S594" i="33" s="1"/>
  <c r="S441" i="33"/>
  <c r="S595" i="33" s="1" a="1"/>
  <c r="S595" i="33" s="1"/>
  <c r="O498" i="33"/>
  <c r="O599" i="33" s="1" a="1"/>
  <c r="O599" i="33" s="1"/>
  <c r="W539" i="33"/>
  <c r="W605" i="33" s="1" a="1"/>
  <c r="W605" i="33" s="1"/>
  <c r="W326" i="33"/>
  <c r="W588" i="33" s="1" a="1"/>
  <c r="W588" i="33" s="1"/>
  <c r="R364" i="33"/>
  <c r="R590" i="33" s="1" a="1"/>
  <c r="R590" i="33" s="1"/>
  <c r="R403" i="33"/>
  <c r="R592" i="33" s="1" a="1"/>
  <c r="R592" i="33" s="1"/>
  <c r="V441" i="33"/>
  <c r="V595" i="33" s="1" a="1"/>
  <c r="V595" i="33" s="1"/>
  <c r="R498" i="33"/>
  <c r="R599" i="33" s="1" a="1"/>
  <c r="R599" i="33" s="1"/>
  <c r="AC539" i="33"/>
  <c r="AC605" i="33" s="1" a="1"/>
  <c r="AC605" i="33" s="1"/>
  <c r="U345" i="33"/>
  <c r="U589" i="33" s="1" a="1"/>
  <c r="U589" i="33" s="1"/>
  <c r="X403" i="33"/>
  <c r="X592" i="33" s="1" a="1"/>
  <c r="X592" i="33" s="1"/>
  <c r="T422" i="33"/>
  <c r="T593" i="33" s="1" a="1"/>
  <c r="T593" i="33" s="1"/>
  <c r="P441" i="33"/>
  <c r="P595" i="33" s="1" a="1"/>
  <c r="P595" i="33" s="1"/>
  <c r="X441" i="33"/>
  <c r="X595" i="33" s="1" a="1"/>
  <c r="X595" i="33" s="1"/>
  <c r="T460" i="33"/>
  <c r="T596" i="33" s="1" a="1"/>
  <c r="T596" i="33" s="1"/>
  <c r="P479" i="33"/>
  <c r="P597" i="33" s="1" a="1"/>
  <c r="P597" i="33" s="1"/>
  <c r="X479" i="33"/>
  <c r="X597" i="33" s="1" a="1"/>
  <c r="X597" i="33" s="1"/>
  <c r="T498" i="33"/>
  <c r="T599" i="33" s="1" a="1"/>
  <c r="T599" i="33" s="1"/>
  <c r="P517" i="33"/>
  <c r="P600" i="33" s="1" a="1"/>
  <c r="P600" i="33" s="1"/>
  <c r="X517" i="33"/>
  <c r="X600" i="33" s="1" a="1"/>
  <c r="X600" i="33" s="1"/>
  <c r="T539" i="33"/>
  <c r="T605" i="33" s="1" a="1"/>
  <c r="T605" i="33" s="1"/>
  <c r="P562" i="33"/>
  <c r="P607" i="33" s="1" a="1"/>
  <c r="P607" i="33" s="1"/>
  <c r="X562" i="33"/>
  <c r="X607" i="33" s="1" a="1"/>
  <c r="X607" i="33" s="1"/>
  <c r="T584" i="33"/>
  <c r="T594" i="33" s="1" a="1"/>
  <c r="T594" i="33" s="1"/>
  <c r="S307" i="33"/>
  <c r="O326" i="33"/>
  <c r="O588" i="33" s="1" a="1"/>
  <c r="O588" i="33" s="1"/>
  <c r="AC364" i="33"/>
  <c r="AC590" i="33" s="1" a="1"/>
  <c r="AC590" i="33" s="1"/>
  <c r="R422" i="33"/>
  <c r="R593" i="33" s="1" a="1"/>
  <c r="R593" i="33" s="1"/>
  <c r="V517" i="33"/>
  <c r="V600" i="33" s="1" a="1"/>
  <c r="V600" i="33" s="1"/>
  <c r="AB403" i="33"/>
  <c r="AB592" i="33" s="1" a="1"/>
  <c r="AB592" i="33" s="1"/>
  <c r="U422" i="33"/>
  <c r="U593" i="33" s="1" a="1"/>
  <c r="U593" i="33" s="1"/>
  <c r="Q441" i="33"/>
  <c r="Q595" i="33" s="1" a="1"/>
  <c r="Q595" i="33" s="1"/>
  <c r="AB441" i="33"/>
  <c r="AB595" i="33" s="1" a="1"/>
  <c r="AB595" i="33" s="1"/>
  <c r="U460" i="33"/>
  <c r="U596" i="33" s="1" a="1"/>
  <c r="U596" i="33" s="1"/>
  <c r="Q479" i="33"/>
  <c r="Q597" i="33" s="1" a="1"/>
  <c r="Q597" i="33" s="1"/>
  <c r="AB479" i="33"/>
  <c r="AB597" i="33" s="1" a="1"/>
  <c r="AB597" i="33" s="1"/>
  <c r="U498" i="33"/>
  <c r="U599" i="33" s="1" a="1"/>
  <c r="U599" i="33" s="1"/>
  <c r="Q517" i="33"/>
  <c r="Q600" i="33" s="1" a="1"/>
  <c r="Q600" i="33" s="1"/>
  <c r="AB517" i="33"/>
  <c r="AB600" i="33" s="1" a="1"/>
  <c r="AB600" i="33" s="1"/>
  <c r="U539" i="33"/>
  <c r="U605" i="33" s="1" a="1"/>
  <c r="U605" i="33" s="1"/>
  <c r="Q562" i="33"/>
  <c r="Q607" i="33" s="1" a="1"/>
  <c r="Q607" i="33" s="1"/>
  <c r="AB562" i="33"/>
  <c r="AB607" i="33" s="1" a="1"/>
  <c r="AB607" i="33" s="1"/>
  <c r="U584" i="33"/>
  <c r="U594" i="33" s="1" a="1"/>
  <c r="U594" i="33" s="1"/>
  <c r="Q403" i="33"/>
  <c r="Q592" i="33" s="1" a="1"/>
  <c r="Q592" i="33" s="1"/>
  <c r="AB422" i="33"/>
  <c r="AB593" i="33" s="1" a="1"/>
  <c r="AB593" i="33" s="1"/>
  <c r="U479" i="33"/>
  <c r="U597" i="33" s="1" a="1"/>
  <c r="U597" i="33" s="1"/>
  <c r="Q539" i="33"/>
  <c r="Q605" i="33" s="1" a="1"/>
  <c r="Q605" i="33" s="1"/>
  <c r="P364" i="33"/>
  <c r="P590" i="33" s="1" a="1"/>
  <c r="P590" i="33" s="1"/>
  <c r="X364" i="33"/>
  <c r="X590" i="33" s="1" a="1"/>
  <c r="X590" i="33" s="1"/>
  <c r="P403" i="33"/>
  <c r="P592" i="33" s="1" a="1"/>
  <c r="P592" i="33" s="1"/>
  <c r="P422" i="33"/>
  <c r="P593" i="33" s="1" a="1"/>
  <c r="P593" i="33" s="1"/>
  <c r="X422" i="33"/>
  <c r="X593" i="33" s="1" a="1"/>
  <c r="X593" i="33" s="1"/>
  <c r="T441" i="33"/>
  <c r="T595" i="33" s="1" a="1"/>
  <c r="T595" i="33" s="1"/>
  <c r="P460" i="33"/>
  <c r="P596" i="33" s="1" a="1"/>
  <c r="P596" i="33" s="1"/>
  <c r="X460" i="33"/>
  <c r="X596" i="33" s="1" a="1"/>
  <c r="X596" i="33" s="1"/>
  <c r="T479" i="33"/>
  <c r="T597" i="33" s="1" a="1"/>
  <c r="T597" i="33" s="1"/>
  <c r="P498" i="33"/>
  <c r="P599" i="33" s="1" a="1"/>
  <c r="P599" i="33" s="1"/>
  <c r="X498" i="33"/>
  <c r="X599" i="33" s="1" a="1"/>
  <c r="X599" i="33" s="1"/>
  <c r="T517" i="33"/>
  <c r="T600" i="33" s="1" a="1"/>
  <c r="T600" i="33" s="1"/>
  <c r="P539" i="33"/>
  <c r="P605" i="33" s="1" a="1"/>
  <c r="P605" i="33" s="1"/>
  <c r="X539" i="33"/>
  <c r="X605" i="33" s="1" a="1"/>
  <c r="X605" i="33" s="1"/>
  <c r="T562" i="33"/>
  <c r="T607" i="33" s="1" a="1"/>
  <c r="T607" i="33" s="1"/>
  <c r="P584" i="33"/>
  <c r="P594" i="33" s="1" a="1"/>
  <c r="P594" i="33" s="1"/>
  <c r="X584" i="33"/>
  <c r="X594" i="33" s="1" a="1"/>
  <c r="X594" i="33" s="1"/>
  <c r="T403" i="33"/>
  <c r="T592" i="33" s="1" a="1"/>
  <c r="T592" i="33" s="1"/>
  <c r="V422" i="33"/>
  <c r="V593" i="33" s="1" a="1"/>
  <c r="V593" i="33" s="1"/>
  <c r="R441" i="33"/>
  <c r="R595" i="33" s="1" a="1"/>
  <c r="R595" i="33" s="1"/>
  <c r="V460" i="33"/>
  <c r="V596" i="33" s="1" a="1"/>
  <c r="V596" i="33" s="1"/>
  <c r="AC479" i="33"/>
  <c r="AC597" i="33" s="1" a="1"/>
  <c r="AC597" i="33" s="1"/>
  <c r="V498" i="33"/>
  <c r="V599" i="33" s="1" a="1"/>
  <c r="V599" i="33" s="1"/>
  <c r="R517" i="33"/>
  <c r="R600" i="33" s="1" a="1"/>
  <c r="R600" i="33" s="1"/>
  <c r="V539" i="33"/>
  <c r="V605" i="33" s="1" a="1"/>
  <c r="V605" i="33" s="1"/>
  <c r="R562" i="33"/>
  <c r="R607" i="33" s="1" a="1"/>
  <c r="R607" i="33" s="1"/>
  <c r="AC562" i="33"/>
  <c r="AC607" i="33" s="1" a="1"/>
  <c r="AC607" i="33" s="1"/>
  <c r="V584" i="33"/>
  <c r="V594" i="33" s="1" a="1"/>
  <c r="V594" i="33" s="1"/>
  <c r="AC403" i="33"/>
  <c r="AC592" i="33" s="1" a="1"/>
  <c r="AC592" i="33" s="1"/>
  <c r="AC441" i="33"/>
  <c r="AC595" i="33" s="1" a="1"/>
  <c r="AC595" i="33" s="1"/>
  <c r="R479" i="33"/>
  <c r="R597" i="33" s="1" a="1"/>
  <c r="R597" i="33" s="1"/>
  <c r="AC517" i="33"/>
  <c r="AC600" i="33" s="1" a="1"/>
  <c r="AC600" i="33" s="1"/>
  <c r="AC307" i="33"/>
  <c r="AC602" i="33" s="1"/>
  <c r="P326" i="33"/>
  <c r="P588" i="33" s="1" a="1"/>
  <c r="P588" i="33" s="1"/>
  <c r="X326" i="33"/>
  <c r="X588" i="33" s="1" a="1"/>
  <c r="X588" i="33" s="1"/>
  <c r="T326" i="33"/>
  <c r="T588" i="33" s="1" a="1"/>
  <c r="T588" i="33" s="1"/>
  <c r="O403" i="33"/>
  <c r="O592" i="33" s="1" a="1"/>
  <c r="O592" i="33" s="1"/>
  <c r="R326" i="33"/>
  <c r="R588" i="33" s="1" a="1"/>
  <c r="R588" i="33" s="1"/>
  <c r="AC326" i="33"/>
  <c r="AC588" i="33" s="1" a="1"/>
  <c r="AC588" i="33" s="1"/>
  <c r="Q326" i="33"/>
  <c r="Q588" i="33" s="1" a="1"/>
  <c r="Q588" i="33" s="1"/>
  <c r="U326" i="33"/>
  <c r="U588" i="33" s="1" a="1"/>
  <c r="U588" i="33" s="1"/>
  <c r="AB584" i="33"/>
  <c r="AB594" i="33" s="1" a="1"/>
  <c r="AB594" i="33" s="1"/>
  <c r="Q307" i="33"/>
  <c r="AB326" i="33"/>
  <c r="AB588" i="33" s="1" a="1"/>
  <c r="AB588" i="33" s="1"/>
  <c r="AC584" i="33"/>
  <c r="AC594" i="33" s="1" a="1"/>
  <c r="AC594" i="33" s="1"/>
  <c r="S326" i="33"/>
  <c r="S588" i="33" s="1" a="1"/>
  <c r="S588" i="33" s="1"/>
  <c r="S364" i="33"/>
  <c r="S590" i="33" s="1" a="1"/>
  <c r="S590" i="33" s="1"/>
  <c r="T364" i="33"/>
  <c r="T590" i="33" s="1" a="1"/>
  <c r="T590" i="33" s="1"/>
  <c r="U364" i="33"/>
  <c r="U590" i="33" s="1" a="1"/>
  <c r="U590" i="33" s="1"/>
  <c r="V364" i="33"/>
  <c r="V590" i="33" s="1" a="1"/>
  <c r="V590" i="33" s="1"/>
  <c r="AF23" i="33"/>
  <c r="AE23" i="33"/>
  <c r="AD23" i="33"/>
  <c r="R307" i="33"/>
  <c r="AH23" i="33"/>
  <c r="AG23" i="33"/>
  <c r="AK23" i="33"/>
  <c r="AJ23" i="33"/>
  <c r="P307" i="33"/>
  <c r="V307" i="33"/>
  <c r="U307" i="33"/>
  <c r="W307" i="33"/>
  <c r="T307" i="33"/>
  <c r="O307" i="33"/>
  <c r="BH28" i="28" l="1"/>
  <c r="D392" i="38"/>
  <c r="AR32" i="28" s="1"/>
  <c r="D391" i="38"/>
  <c r="AR31" i="28" s="1"/>
  <c r="FD45" i="28" a="1"/>
  <c r="FD45" i="28" s="1"/>
  <c r="V491" i="38"/>
  <c r="BR56" i="28"/>
  <c r="FE56" i="28" s="1" a="1"/>
  <c r="FE56" i="28" s="1"/>
  <c r="BR43" i="28"/>
  <c r="FE43" i="28" s="1" a="1"/>
  <c r="FE43" i="28" s="1"/>
  <c r="BN8" i="28"/>
  <c r="FA8" i="28" s="1" a="1"/>
  <c r="FA8" i="28" s="1"/>
  <c r="BU27" i="28"/>
  <c r="FH27" i="28" s="1" a="1"/>
  <c r="FH27" i="28" s="1"/>
  <c r="FD57" i="28" a="1"/>
  <c r="FD57" i="28" s="1"/>
  <c r="FD50" i="28" a="1"/>
  <c r="FD50" i="28" s="1"/>
  <c r="BR50" i="28"/>
  <c r="FE50" i="28" s="1" a="1"/>
  <c r="FE50" i="28" s="1"/>
  <c r="BR54" i="28"/>
  <c r="FE54" i="28" s="1" a="1"/>
  <c r="FE54" i="28" s="1"/>
  <c r="BR48" i="28"/>
  <c r="FE48" i="28" s="1" a="1"/>
  <c r="FE48" i="28" s="1"/>
  <c r="BR49" i="28"/>
  <c r="FE49" i="28" s="1" a="1"/>
  <c r="FE49" i="28" s="1"/>
  <c r="FD55" i="28" a="1"/>
  <c r="FD55" i="28" s="1"/>
  <c r="FD44" i="28" a="1"/>
  <c r="FD44" i="28" s="1"/>
  <c r="V490" i="38"/>
  <c r="BR47" i="28"/>
  <c r="FE47" i="28" s="1" a="1"/>
  <c r="FE47" i="28" s="1"/>
  <c r="V492" i="38"/>
  <c r="BR42" i="28"/>
  <c r="BS42" i="28" s="1"/>
  <c r="FF42" i="28" s="1" a="1"/>
  <c r="FF42" i="28" s="1"/>
  <c r="BS45" i="28"/>
  <c r="FF45" i="28" s="1" a="1"/>
  <c r="FF45" i="28" s="1"/>
  <c r="BS43" i="28"/>
  <c r="FF43" i="28" s="1" a="1"/>
  <c r="FF43" i="28" s="1"/>
  <c r="BS44" i="28"/>
  <c r="FF44" i="28" s="1" a="1"/>
  <c r="FF44" i="28" s="1"/>
  <c r="BS57" i="28"/>
  <c r="FF57" i="28" s="1" a="1"/>
  <c r="FF57" i="28" s="1"/>
  <c r="BS46" i="28"/>
  <c r="FF46" i="28" s="1" a="1"/>
  <c r="FF46" i="28" s="1"/>
  <c r="BS55" i="28"/>
  <c r="FF55" i="28" s="1" a="1"/>
  <c r="FF55" i="28" s="1"/>
  <c r="GX20" i="28"/>
  <c r="HD24" i="28"/>
  <c r="FX24" i="28"/>
  <c r="DJ24" i="28"/>
  <c r="DY24" i="28" s="1"/>
  <c r="BT26" i="28"/>
  <c r="AC135" i="33"/>
  <c r="AC158" i="33"/>
  <c r="AC181" i="33"/>
  <c r="AC204" i="33"/>
  <c r="AC157" i="33"/>
  <c r="AC227" i="33"/>
  <c r="AC134" i="33"/>
  <c r="AC180" i="33"/>
  <c r="AC203" i="33"/>
  <c r="AC226" i="33"/>
  <c r="AC89" i="33"/>
  <c r="AC112" i="33"/>
  <c r="AC88" i="33"/>
  <c r="AB68" i="33"/>
  <c r="AB80" i="33" s="1"/>
  <c r="AC111" i="33"/>
  <c r="AC68" i="33"/>
  <c r="AC617" i="33"/>
  <c r="AB14" i="33"/>
  <c r="AB617" i="33"/>
  <c r="AE114" i="33"/>
  <c r="AE137" i="33"/>
  <c r="AE229" i="33"/>
  <c r="AE160" i="33"/>
  <c r="AE115" i="33"/>
  <c r="AE64" i="33"/>
  <c r="AE230" i="33"/>
  <c r="FQ61" i="28"/>
  <c r="GW61" i="28"/>
  <c r="AE206" i="33"/>
  <c r="AE184" i="33"/>
  <c r="AE161" i="33"/>
  <c r="AE207" i="33"/>
  <c r="AD89" i="33"/>
  <c r="AF919" i="33"/>
  <c r="AG919" i="33" s="1"/>
  <c r="AH919" i="33" s="1"/>
  <c r="AI919" i="33" s="1"/>
  <c r="AJ919" i="33" s="1"/>
  <c r="AK919" i="33" s="1"/>
  <c r="AL919" i="33" s="1"/>
  <c r="AE90" i="33"/>
  <c r="AE621" i="33"/>
  <c r="AD88" i="33"/>
  <c r="AF1263" i="33"/>
  <c r="AE91" i="33"/>
  <c r="AF1318" i="33"/>
  <c r="AE92" i="33"/>
  <c r="FR20" i="28"/>
  <c r="DD20" i="28"/>
  <c r="DS20" i="28" s="1"/>
  <c r="BN74" i="28"/>
  <c r="FA74" i="28" s="1" a="1"/>
  <c r="FA74" i="28" s="1"/>
  <c r="BN78" i="28"/>
  <c r="FA78" i="28" s="1" a="1"/>
  <c r="FA78" i="28" s="1"/>
  <c r="BN76" i="28"/>
  <c r="FA76" i="28" s="1" a="1"/>
  <c r="FA76" i="28" s="1"/>
  <c r="BP84" i="28"/>
  <c r="BP37" i="28"/>
  <c r="FC37" i="28" s="1" a="1"/>
  <c r="FC37" i="28" s="1"/>
  <c r="BN21" i="28"/>
  <c r="FA21" i="28" s="1" a="1"/>
  <c r="FA21" i="28" s="1"/>
  <c r="BN9" i="28"/>
  <c r="FA9" i="28" s="1" a="1"/>
  <c r="FA9" i="28" s="1"/>
  <c r="BP68" i="28"/>
  <c r="FC68" i="28" s="1" a="1"/>
  <c r="FC68" i="28" s="1"/>
  <c r="BN25" i="28"/>
  <c r="FA25" i="28" s="1" a="1"/>
  <c r="FA25" i="28" s="1"/>
  <c r="BP75" i="28"/>
  <c r="FC75" i="28" s="1" a="1"/>
  <c r="FC75" i="28" s="1"/>
  <c r="BP67" i="28"/>
  <c r="FC67" i="28" s="1" a="1"/>
  <c r="FC67" i="28" s="1"/>
  <c r="BO40" i="28"/>
  <c r="FB40" i="28" s="1" a="1"/>
  <c r="FB40" i="28" s="1"/>
  <c r="BN10" i="28"/>
  <c r="FA10" i="28" s="1" a="1"/>
  <c r="FA10" i="28" s="1"/>
  <c r="BN69" i="28"/>
  <c r="FA69" i="28" s="1" a="1"/>
  <c r="FA69" i="28" s="1"/>
  <c r="BP66" i="28"/>
  <c r="FC66" i="28" s="1" a="1"/>
  <c r="FC66" i="28" s="1"/>
  <c r="BN72" i="28"/>
  <c r="FA72" i="28" s="1" a="1"/>
  <c r="FA72" i="28" s="1"/>
  <c r="BQ20" i="28"/>
  <c r="FD20" i="28" s="1" a="1"/>
  <c r="FD20" i="28" s="1"/>
  <c r="BP61" i="28"/>
  <c r="FC61" i="28" s="1" a="1"/>
  <c r="FC61" i="28" s="1"/>
  <c r="DC61" i="28"/>
  <c r="DR61" i="28" s="1"/>
  <c r="BN73" i="28"/>
  <c r="FA73" i="28" s="1" a="1"/>
  <c r="FA73" i="28" s="1"/>
  <c r="BN17" i="28"/>
  <c r="BN23" i="28"/>
  <c r="FA23" i="28" s="1" a="1"/>
  <c r="FA23" i="28" s="1"/>
  <c r="BN77" i="28"/>
  <c r="FA77" i="28" s="1" a="1"/>
  <c r="FA77" i="28" s="1"/>
  <c r="BN11" i="28"/>
  <c r="BO39" i="28"/>
  <c r="BQ86" i="28"/>
  <c r="BO38" i="28"/>
  <c r="FB38" i="28" s="1" a="1"/>
  <c r="FB38" i="28" s="1"/>
  <c r="AE67" i="33"/>
  <c r="AE68" i="33" s="1"/>
  <c r="AE627" i="33"/>
  <c r="AF627" i="33" s="1"/>
  <c r="AD60" i="33"/>
  <c r="AE707" i="33"/>
  <c r="AD61" i="33"/>
  <c r="AD227" i="33"/>
  <c r="AD204" i="33"/>
  <c r="AD226" i="33"/>
  <c r="AD203" i="33"/>
  <c r="AM63" i="33"/>
  <c r="AD158" i="33"/>
  <c r="AD180" i="33"/>
  <c r="AD112" i="33"/>
  <c r="AD135" i="33"/>
  <c r="AD181" i="33"/>
  <c r="AD157" i="33"/>
  <c r="AD134" i="33"/>
  <c r="AD111" i="33"/>
  <c r="AG62" i="33"/>
  <c r="AF62" i="33"/>
  <c r="AD68" i="33"/>
  <c r="AH62" i="33"/>
  <c r="AD1307" i="33"/>
  <c r="AD1306" i="33"/>
  <c r="AD1305" i="33"/>
  <c r="AD1301" i="33"/>
  <c r="AD1300" i="33"/>
  <c r="AD1296" i="33"/>
  <c r="AF1142" i="33"/>
  <c r="AI1142" i="33" s="1"/>
  <c r="AL1142" i="33" s="1"/>
  <c r="AO1142" i="33" s="1"/>
  <c r="AR1142" i="33" s="1"/>
  <c r="AU1142" i="33" s="1"/>
  <c r="AX1142" i="33" s="1"/>
  <c r="BA1142" i="33" s="1"/>
  <c r="BD1142" i="33" s="1"/>
  <c r="AF1141" i="33"/>
  <c r="AI1141" i="33" s="1"/>
  <c r="AL1141" i="33" s="1"/>
  <c r="AO1141" i="33" s="1"/>
  <c r="AR1141" i="33" s="1"/>
  <c r="AU1141" i="33" s="1"/>
  <c r="AX1141" i="33" s="1"/>
  <c r="BA1141" i="33" s="1"/>
  <c r="BD1141" i="33" s="1"/>
  <c r="AF1140" i="33"/>
  <c r="AI1140" i="33" s="1"/>
  <c r="AL1140" i="33" s="1"/>
  <c r="AO1140" i="33" s="1"/>
  <c r="AR1140" i="33" s="1"/>
  <c r="AU1140" i="33" s="1"/>
  <c r="AX1140" i="33" s="1"/>
  <c r="BA1140" i="33" s="1"/>
  <c r="BD1140" i="33" s="1"/>
  <c r="AF1138" i="33"/>
  <c r="AF1133" i="33"/>
  <c r="AI1133" i="33" s="1"/>
  <c r="AL1133" i="33" s="1"/>
  <c r="AO1133" i="33" s="1"/>
  <c r="AR1133" i="33" s="1"/>
  <c r="AE1133" i="33"/>
  <c r="AH1133" i="33" s="1"/>
  <c r="AK1133" i="33" s="1"/>
  <c r="AN1133" i="33" s="1"/>
  <c r="AQ1133" i="33" s="1"/>
  <c r="AT1133" i="33" s="1"/>
  <c r="AW1133" i="33" s="1"/>
  <c r="AZ1133" i="33" s="1"/>
  <c r="AE1138" i="33"/>
  <c r="AH1138" i="33" s="1"/>
  <c r="AE1140" i="33"/>
  <c r="AH1140" i="33" s="1"/>
  <c r="AK1140" i="33" s="1"/>
  <c r="AN1140" i="33" s="1"/>
  <c r="AQ1140" i="33" s="1"/>
  <c r="AT1140" i="33" s="1"/>
  <c r="AW1140" i="33" s="1"/>
  <c r="AZ1140" i="33" s="1"/>
  <c r="BC1140" i="33" s="1"/>
  <c r="BF1140" i="33" s="1"/>
  <c r="AE1141" i="33"/>
  <c r="AH1141" i="33" s="1"/>
  <c r="AK1141" i="33" s="1"/>
  <c r="AN1141" i="33" s="1"/>
  <c r="AQ1141" i="33" s="1"/>
  <c r="AT1141" i="33" s="1"/>
  <c r="AW1141" i="33" s="1"/>
  <c r="AZ1141" i="33" s="1"/>
  <c r="BC1141" i="33" s="1"/>
  <c r="BF1141" i="33" s="1"/>
  <c r="AE1142" i="33"/>
  <c r="AD1142" i="33"/>
  <c r="AG1142" i="33" s="1"/>
  <c r="AJ1142" i="33" s="1"/>
  <c r="AM1142" i="33" s="1"/>
  <c r="AP1142" i="33" s="1"/>
  <c r="AS1142" i="33" s="1"/>
  <c r="AV1142" i="33" s="1"/>
  <c r="AY1142" i="33" s="1"/>
  <c r="BB1142" i="33" s="1"/>
  <c r="BE1142" i="33" s="1"/>
  <c r="AD1141" i="33"/>
  <c r="AG1141" i="33" s="1"/>
  <c r="AJ1141" i="33" s="1"/>
  <c r="AM1141" i="33" s="1"/>
  <c r="AP1141" i="33" s="1"/>
  <c r="AS1141" i="33" s="1"/>
  <c r="AV1141" i="33" s="1"/>
  <c r="AY1141" i="33" s="1"/>
  <c r="BB1141" i="33" s="1"/>
  <c r="BE1141" i="33" s="1"/>
  <c r="AD1140" i="33"/>
  <c r="AG1140" i="33" s="1"/>
  <c r="AD1138" i="33"/>
  <c r="AG1138" i="33" s="1"/>
  <c r="AJ1138" i="33" s="1"/>
  <c r="AD1133" i="33"/>
  <c r="AG1133" i="33" s="1"/>
  <c r="AJ1133" i="33" s="1"/>
  <c r="AM1133" i="33" s="1"/>
  <c r="AC1145" i="33"/>
  <c r="AC1206" i="33"/>
  <c r="AB1206" i="33"/>
  <c r="X1206" i="33"/>
  <c r="W1206" i="33"/>
  <c r="V1206" i="33"/>
  <c r="U1206" i="33"/>
  <c r="T1206" i="33"/>
  <c r="S1206" i="33"/>
  <c r="R1206" i="33"/>
  <c r="Q1206" i="33"/>
  <c r="P1206" i="33"/>
  <c r="O1206" i="33"/>
  <c r="AC1196" i="33"/>
  <c r="AB1196" i="33"/>
  <c r="X1196" i="33"/>
  <c r="W1196" i="33"/>
  <c r="V1196" i="33"/>
  <c r="U1196" i="33"/>
  <c r="T1196" i="33"/>
  <c r="S1196" i="33"/>
  <c r="R1196" i="33"/>
  <c r="Q1196" i="33"/>
  <c r="P1196" i="33"/>
  <c r="O1196" i="33"/>
  <c r="AC1186" i="33"/>
  <c r="AB1186" i="33"/>
  <c r="X1186" i="33"/>
  <c r="W1186" i="33"/>
  <c r="V1186" i="33"/>
  <c r="U1186" i="33"/>
  <c r="T1186" i="33"/>
  <c r="S1186" i="33"/>
  <c r="R1186" i="33"/>
  <c r="Q1186" i="33"/>
  <c r="P1186" i="33"/>
  <c r="O1186" i="33"/>
  <c r="AC1173" i="33"/>
  <c r="AB1173" i="33"/>
  <c r="X1173" i="33"/>
  <c r="W1173" i="33"/>
  <c r="V1173" i="33"/>
  <c r="U1173" i="33"/>
  <c r="T1173" i="33"/>
  <c r="S1173" i="33"/>
  <c r="R1173" i="33"/>
  <c r="Q1173" i="33"/>
  <c r="P1173" i="33"/>
  <c r="O1173" i="33"/>
  <c r="AC1172" i="33"/>
  <c r="AB1172" i="33"/>
  <c r="X1172" i="33"/>
  <c r="W1172" i="33"/>
  <c r="V1172" i="33"/>
  <c r="U1172" i="33"/>
  <c r="T1172" i="33"/>
  <c r="S1172" i="33"/>
  <c r="R1172" i="33"/>
  <c r="Q1172" i="33"/>
  <c r="P1172" i="33"/>
  <c r="O1172" i="33"/>
  <c r="AC1170" i="33"/>
  <c r="AB1170" i="33"/>
  <c r="X1170" i="33"/>
  <c r="W1170" i="33"/>
  <c r="V1170" i="33"/>
  <c r="U1170" i="33"/>
  <c r="T1170" i="33"/>
  <c r="S1170" i="33"/>
  <c r="R1170" i="33"/>
  <c r="Q1170" i="33"/>
  <c r="P1170" i="33"/>
  <c r="O1170" i="33"/>
  <c r="AC1169" i="33"/>
  <c r="AB1169" i="33"/>
  <c r="X1169" i="33"/>
  <c r="W1169" i="33"/>
  <c r="V1169" i="33"/>
  <c r="U1169" i="33"/>
  <c r="T1169" i="33"/>
  <c r="S1169" i="33"/>
  <c r="R1169" i="33"/>
  <c r="Q1169" i="33"/>
  <c r="P1169" i="33"/>
  <c r="O1169" i="33"/>
  <c r="AC1144" i="33"/>
  <c r="AB1144" i="33"/>
  <c r="X1144" i="33"/>
  <c r="W1144" i="33"/>
  <c r="V1144" i="33"/>
  <c r="U1144" i="33"/>
  <c r="T1144" i="33"/>
  <c r="S1144" i="33"/>
  <c r="R1144" i="33"/>
  <c r="Q1144" i="33"/>
  <c r="P1144" i="33"/>
  <c r="O1144" i="33"/>
  <c r="AC1135" i="33"/>
  <c r="AB1135" i="33"/>
  <c r="X1135" i="33"/>
  <c r="W1135" i="33"/>
  <c r="V1135" i="33"/>
  <c r="U1135" i="33"/>
  <c r="T1135" i="33"/>
  <c r="S1135" i="33"/>
  <c r="R1135" i="33"/>
  <c r="Q1135" i="33"/>
  <c r="P1135" i="33"/>
  <c r="O1135" i="33"/>
  <c r="AC1129" i="33"/>
  <c r="AB1129" i="33"/>
  <c r="X1129" i="33"/>
  <c r="W1129" i="33"/>
  <c r="V1129" i="33"/>
  <c r="U1129" i="33"/>
  <c r="T1129" i="33"/>
  <c r="S1129" i="33"/>
  <c r="R1129" i="33"/>
  <c r="Q1129" i="33"/>
  <c r="P1129" i="33"/>
  <c r="O1129" i="33"/>
  <c r="AC1122" i="33"/>
  <c r="AB1122" i="33"/>
  <c r="X1122" i="33"/>
  <c r="W1122" i="33"/>
  <c r="V1122" i="33"/>
  <c r="U1122" i="33"/>
  <c r="T1122" i="33"/>
  <c r="S1122" i="33"/>
  <c r="R1122" i="33"/>
  <c r="Q1122" i="33"/>
  <c r="P1122" i="33"/>
  <c r="O1122" i="33"/>
  <c r="AC1064" i="33"/>
  <c r="AB1064" i="33"/>
  <c r="X1064" i="33"/>
  <c r="W1064" i="33"/>
  <c r="V1064" i="33"/>
  <c r="U1064" i="33"/>
  <c r="T1064" i="33"/>
  <c r="S1064" i="33"/>
  <c r="R1064" i="33"/>
  <c r="Q1064" i="33"/>
  <c r="P1064" i="33"/>
  <c r="O1064" i="33"/>
  <c r="AC1055" i="33"/>
  <c r="AB1055" i="33"/>
  <c r="X1055" i="33"/>
  <c r="W1055" i="33"/>
  <c r="V1055" i="33"/>
  <c r="U1055" i="33"/>
  <c r="T1055" i="33"/>
  <c r="S1055" i="33"/>
  <c r="R1055" i="33"/>
  <c r="Q1055" i="33"/>
  <c r="P1055" i="33"/>
  <c r="O1055" i="33"/>
  <c r="AC1050" i="33"/>
  <c r="AB1050" i="33"/>
  <c r="X1050" i="33"/>
  <c r="W1050" i="33"/>
  <c r="V1050" i="33"/>
  <c r="U1050" i="33"/>
  <c r="T1050" i="33"/>
  <c r="S1050" i="33"/>
  <c r="R1050" i="33"/>
  <c r="Q1050" i="33"/>
  <c r="P1050" i="33"/>
  <c r="O1050" i="33"/>
  <c r="AC1043" i="33"/>
  <c r="AB1043" i="33"/>
  <c r="X1043" i="33"/>
  <c r="W1043" i="33"/>
  <c r="V1043" i="33"/>
  <c r="U1043" i="33"/>
  <c r="T1043" i="33"/>
  <c r="S1043" i="33"/>
  <c r="R1043" i="33"/>
  <c r="Q1043" i="33"/>
  <c r="P1043" i="33"/>
  <c r="O1043" i="33"/>
  <c r="AC1038" i="33"/>
  <c r="AB1038" i="33"/>
  <c r="X1038" i="33"/>
  <c r="W1038" i="33"/>
  <c r="V1038" i="33"/>
  <c r="U1038" i="33"/>
  <c r="T1038" i="33"/>
  <c r="S1038" i="33"/>
  <c r="R1038" i="33"/>
  <c r="Q1038" i="33"/>
  <c r="P1038" i="33"/>
  <c r="O1038" i="33"/>
  <c r="AC1027" i="33"/>
  <c r="AB1027" i="33"/>
  <c r="X1027" i="33"/>
  <c r="W1027" i="33"/>
  <c r="V1027" i="33"/>
  <c r="U1027" i="33"/>
  <c r="T1027" i="33"/>
  <c r="S1027" i="33"/>
  <c r="R1027" i="33"/>
  <c r="Q1027" i="33"/>
  <c r="P1027" i="33"/>
  <c r="O1027" i="33"/>
  <c r="AC1017" i="33"/>
  <c r="AB1017" i="33"/>
  <c r="X1017" i="33"/>
  <c r="W1017" i="33"/>
  <c r="V1017" i="33"/>
  <c r="U1017" i="33"/>
  <c r="T1017" i="33"/>
  <c r="S1017" i="33"/>
  <c r="R1017" i="33"/>
  <c r="Q1017" i="33"/>
  <c r="P1017" i="33"/>
  <c r="O1017" i="33"/>
  <c r="AC1005" i="33"/>
  <c r="AB1005" i="33"/>
  <c r="X1005" i="33"/>
  <c r="W1005" i="33"/>
  <c r="V1005" i="33"/>
  <c r="U1005" i="33"/>
  <c r="T1005" i="33"/>
  <c r="S1005" i="33"/>
  <c r="R1005" i="33"/>
  <c r="Q1005" i="33"/>
  <c r="P1005" i="33"/>
  <c r="O1005" i="33"/>
  <c r="AC988" i="33"/>
  <c r="AC995" i="33" s="1"/>
  <c r="AB988" i="33"/>
  <c r="AB995" i="33" s="1"/>
  <c r="X988" i="33"/>
  <c r="X995" i="33" s="1"/>
  <c r="W988" i="33"/>
  <c r="W995" i="33" s="1"/>
  <c r="V988" i="33"/>
  <c r="V995" i="33" s="1"/>
  <c r="U988" i="33"/>
  <c r="U995" i="33" s="1"/>
  <c r="T988" i="33"/>
  <c r="T995" i="33" s="1"/>
  <c r="S988" i="33"/>
  <c r="S995" i="33" s="1"/>
  <c r="R988" i="33"/>
  <c r="R995" i="33" s="1"/>
  <c r="Q988" i="33"/>
  <c r="Q995" i="33" s="1"/>
  <c r="P988" i="33"/>
  <c r="P995" i="33" s="1"/>
  <c r="O988" i="33"/>
  <c r="O995" i="33" s="1"/>
  <c r="AC978" i="33"/>
  <c r="AB978" i="33"/>
  <c r="X978" i="33"/>
  <c r="W978" i="33"/>
  <c r="V978" i="33"/>
  <c r="U978" i="33"/>
  <c r="T978" i="33"/>
  <c r="S978" i="33"/>
  <c r="R978" i="33"/>
  <c r="Q978" i="33"/>
  <c r="P978" i="33"/>
  <c r="O978" i="33"/>
  <c r="AC969" i="33"/>
  <c r="AB969" i="33"/>
  <c r="X969" i="33"/>
  <c r="W969" i="33"/>
  <c r="V969" i="33"/>
  <c r="U969" i="33"/>
  <c r="T969" i="33"/>
  <c r="S969" i="33"/>
  <c r="R969" i="33"/>
  <c r="Q969" i="33"/>
  <c r="P969" i="33"/>
  <c r="O969" i="33"/>
  <c r="AC947" i="33"/>
  <c r="AC959" i="33" s="1"/>
  <c r="AB947" i="33"/>
  <c r="AB959" i="33" s="1"/>
  <c r="X947" i="33"/>
  <c r="X959" i="33" s="1"/>
  <c r="W947" i="33"/>
  <c r="W951" i="33" s="1"/>
  <c r="V947" i="33"/>
  <c r="V959" i="33" s="1"/>
  <c r="U947" i="33"/>
  <c r="U959" i="33" s="1"/>
  <c r="T947" i="33"/>
  <c r="T959" i="33" s="1"/>
  <c r="S947" i="33"/>
  <c r="S959" i="33" s="1"/>
  <c r="R947" i="33"/>
  <c r="R959" i="33" s="1"/>
  <c r="Q947" i="33"/>
  <c r="Q959" i="33" s="1"/>
  <c r="P947" i="33"/>
  <c r="P959" i="33" s="1"/>
  <c r="O947" i="33"/>
  <c r="O951" i="33" s="1"/>
  <c r="BH31" i="28" l="1"/>
  <c r="BH32" i="28"/>
  <c r="EU28" i="28" a="1"/>
  <c r="EU28" i="28" s="1"/>
  <c r="BS56" i="28"/>
  <c r="FF56" i="28" s="1" a="1"/>
  <c r="FF56" i="28" s="1"/>
  <c r="BO8" i="28"/>
  <c r="FB8" i="28" s="1" a="1"/>
  <c r="FB8" i="28" s="1"/>
  <c r="BV27" i="28"/>
  <c r="FI27" i="28" s="1" a="1"/>
  <c r="FI27" i="28" s="1"/>
  <c r="BS50" i="28"/>
  <c r="FF50" i="28" s="1" a="1"/>
  <c r="FF50" i="28" s="1"/>
  <c r="BS54" i="28"/>
  <c r="FF54" i="28" s="1" a="1"/>
  <c r="FF54" i="28" s="1"/>
  <c r="BS48" i="28"/>
  <c r="FF48" i="28" s="1" a="1"/>
  <c r="FF48" i="28" s="1"/>
  <c r="BS49" i="28"/>
  <c r="FF49" i="28" s="1" a="1"/>
  <c r="FF49" i="28" s="1"/>
  <c r="BT46" i="28"/>
  <c r="FG46" i="28" s="1" a="1"/>
  <c r="FG46" i="28" s="1"/>
  <c r="FE42" i="28" a="1"/>
  <c r="FE42" i="28" s="1"/>
  <c r="BS47" i="28"/>
  <c r="FF47" i="28" s="1" a="1"/>
  <c r="FF47" i="28" s="1"/>
  <c r="BT45" i="28"/>
  <c r="FG45" i="28" s="1" a="1"/>
  <c r="FG45" i="28" s="1"/>
  <c r="BT44" i="28"/>
  <c r="FG44" i="28" s="1" a="1"/>
  <c r="FG44" i="28" s="1"/>
  <c r="BT43" i="28"/>
  <c r="FG43" i="28" s="1" a="1"/>
  <c r="FG43" i="28" s="1"/>
  <c r="BT42" i="28"/>
  <c r="FG42" i="28" s="1" a="1"/>
  <c r="FG42" i="28" s="1"/>
  <c r="BT57" i="28"/>
  <c r="FG57" i="28" s="1" a="1"/>
  <c r="FG57" i="28" s="1"/>
  <c r="BT55" i="28"/>
  <c r="FG55" i="28" s="1" a="1"/>
  <c r="FG55" i="28" s="1"/>
  <c r="BR86" i="28"/>
  <c r="BS86" i="28" s="1"/>
  <c r="BU26" i="28"/>
  <c r="GY20" i="28"/>
  <c r="BR20" i="28"/>
  <c r="FE20" i="28" s="1" a="1"/>
  <c r="FE20" i="28" s="1"/>
  <c r="AD1145" i="33"/>
  <c r="AD1260" i="33" s="1"/>
  <c r="AD9" i="33" s="1"/>
  <c r="AC1147" i="33"/>
  <c r="AC1260" i="33"/>
  <c r="FR61" i="28"/>
  <c r="GX61" i="28"/>
  <c r="AG1318" i="33"/>
  <c r="AF64" i="33"/>
  <c r="AF184" i="33"/>
  <c r="AF92" i="33"/>
  <c r="AF138" i="33"/>
  <c r="AF207" i="33"/>
  <c r="AF161" i="33"/>
  <c r="AF115" i="33"/>
  <c r="AF230" i="33"/>
  <c r="AG1263" i="33"/>
  <c r="AF206" i="33"/>
  <c r="AF114" i="33"/>
  <c r="AF160" i="33"/>
  <c r="AF183" i="33"/>
  <c r="AF91" i="33"/>
  <c r="AF137" i="33"/>
  <c r="AF229" i="33"/>
  <c r="AF707" i="33"/>
  <c r="AG707" i="33" s="1"/>
  <c r="AH707" i="33" s="1"/>
  <c r="AH135" i="33" s="1"/>
  <c r="AE89" i="33"/>
  <c r="AF621" i="33"/>
  <c r="AG621" i="33" s="1"/>
  <c r="AH621" i="33" s="1"/>
  <c r="AI621" i="33" s="1"/>
  <c r="AJ621" i="33" s="1"/>
  <c r="AK621" i="33" s="1"/>
  <c r="AL621" i="33" s="1"/>
  <c r="AE88" i="33"/>
  <c r="AE1305" i="33"/>
  <c r="AF1305" i="33" s="1"/>
  <c r="AG1305" i="33" s="1"/>
  <c r="AH1305" i="33" s="1"/>
  <c r="AI1305" i="33" s="1"/>
  <c r="AJ1305" i="33" s="1"/>
  <c r="AK1305" i="33" s="1"/>
  <c r="AL1305" i="33" s="1"/>
  <c r="AM1305" i="33" s="1"/>
  <c r="AN1305" i="33" s="1"/>
  <c r="AO1305" i="33" s="1"/>
  <c r="AP1305" i="33" s="1"/>
  <c r="AQ1305" i="33" s="1"/>
  <c r="AR1305" i="33" s="1"/>
  <c r="AS1305" i="33" s="1"/>
  <c r="AT1305" i="33" s="1"/>
  <c r="AU1305" i="33" s="1"/>
  <c r="AV1305" i="33" s="1"/>
  <c r="AW1305" i="33" s="1"/>
  <c r="AX1305" i="33" s="1"/>
  <c r="AY1305" i="33" s="1"/>
  <c r="AZ1305" i="33" s="1"/>
  <c r="BA1305" i="33" s="1"/>
  <c r="BB1305" i="33" s="1"/>
  <c r="BC1305" i="33" s="1"/>
  <c r="BD1305" i="33" s="1"/>
  <c r="BE1305" i="33" s="1"/>
  <c r="BF1305" i="33" s="1"/>
  <c r="AE1306" i="33"/>
  <c r="AF1306" i="33" s="1"/>
  <c r="AG1306" i="33" s="1"/>
  <c r="AH1306" i="33" s="1"/>
  <c r="AI1306" i="33" s="1"/>
  <c r="AJ1306" i="33" s="1"/>
  <c r="AK1306" i="33" s="1"/>
  <c r="AL1306" i="33" s="1"/>
  <c r="AM1306" i="33" s="1"/>
  <c r="AN1306" i="33" s="1"/>
  <c r="AO1306" i="33" s="1"/>
  <c r="AP1306" i="33" s="1"/>
  <c r="AQ1306" i="33" s="1"/>
  <c r="AR1306" i="33" s="1"/>
  <c r="AS1306" i="33" s="1"/>
  <c r="AT1306" i="33" s="1"/>
  <c r="AU1306" i="33" s="1"/>
  <c r="AV1306" i="33" s="1"/>
  <c r="AW1306" i="33" s="1"/>
  <c r="AX1306" i="33" s="1"/>
  <c r="AY1306" i="33" s="1"/>
  <c r="AZ1306" i="33" s="1"/>
  <c r="BA1306" i="33" s="1"/>
  <c r="BB1306" i="33" s="1"/>
  <c r="BC1306" i="33" s="1"/>
  <c r="BD1306" i="33" s="1"/>
  <c r="BE1306" i="33" s="1"/>
  <c r="BF1306" i="33" s="1"/>
  <c r="AE1307" i="33"/>
  <c r="AF1307" i="33" s="1"/>
  <c r="AG1307" i="33" s="1"/>
  <c r="AH1307" i="33" s="1"/>
  <c r="AI1307" i="33" s="1"/>
  <c r="AJ1307" i="33" s="1"/>
  <c r="AK1307" i="33" s="1"/>
  <c r="AL1307" i="33" s="1"/>
  <c r="AM1307" i="33" s="1"/>
  <c r="AN1307" i="33" s="1"/>
  <c r="AO1307" i="33" s="1"/>
  <c r="AP1307" i="33" s="1"/>
  <c r="AQ1307" i="33" s="1"/>
  <c r="AR1307" i="33" s="1"/>
  <c r="AS1307" i="33" s="1"/>
  <c r="AT1307" i="33" s="1"/>
  <c r="AU1307" i="33" s="1"/>
  <c r="AV1307" i="33" s="1"/>
  <c r="AW1307" i="33" s="1"/>
  <c r="AX1307" i="33" s="1"/>
  <c r="AY1307" i="33" s="1"/>
  <c r="AZ1307" i="33" s="1"/>
  <c r="BA1307" i="33" s="1"/>
  <c r="BB1307" i="33" s="1"/>
  <c r="BC1307" i="33" s="1"/>
  <c r="BD1307" i="33" s="1"/>
  <c r="BE1307" i="33" s="1"/>
  <c r="BF1307" i="33" s="1"/>
  <c r="AE1296" i="33"/>
  <c r="AF1296" i="33" s="1"/>
  <c r="AG1296" i="33" s="1"/>
  <c r="AE1300" i="33"/>
  <c r="AF1300" i="33" s="1"/>
  <c r="AG1300" i="33" s="1"/>
  <c r="AH1300" i="33" s="1"/>
  <c r="AI1300" i="33" s="1"/>
  <c r="AJ1300" i="33" s="1"/>
  <c r="AK1300" i="33" s="1"/>
  <c r="AL1300" i="33" s="1"/>
  <c r="AM1300" i="33" s="1"/>
  <c r="AN1300" i="33" s="1"/>
  <c r="AO1300" i="33" s="1"/>
  <c r="AP1300" i="33" s="1"/>
  <c r="AQ1300" i="33" s="1"/>
  <c r="AR1300" i="33" s="1"/>
  <c r="AS1300" i="33" s="1"/>
  <c r="AT1300" i="33" s="1"/>
  <c r="AU1300" i="33" s="1"/>
  <c r="AV1300" i="33" s="1"/>
  <c r="AW1300" i="33" s="1"/>
  <c r="AX1300" i="33" s="1"/>
  <c r="AY1300" i="33" s="1"/>
  <c r="AZ1300" i="33" s="1"/>
  <c r="BA1300" i="33" s="1"/>
  <c r="BB1300" i="33" s="1"/>
  <c r="BC1300" i="33" s="1"/>
  <c r="BD1300" i="33" s="1"/>
  <c r="BE1300" i="33" s="1"/>
  <c r="BF1300" i="33" s="1"/>
  <c r="AE1301" i="33"/>
  <c r="AF1301" i="33" s="1"/>
  <c r="AG1301" i="33" s="1"/>
  <c r="AH1301" i="33" s="1"/>
  <c r="AI1301" i="33" s="1"/>
  <c r="AJ1301" i="33" s="1"/>
  <c r="AK1301" i="33" s="1"/>
  <c r="AL1301" i="33" s="1"/>
  <c r="AM1301" i="33" s="1"/>
  <c r="AN1301" i="33" s="1"/>
  <c r="AO1301" i="33" s="1"/>
  <c r="AP1301" i="33" s="1"/>
  <c r="AQ1301" i="33" s="1"/>
  <c r="AR1301" i="33" s="1"/>
  <c r="AS1301" i="33" s="1"/>
  <c r="AT1301" i="33" s="1"/>
  <c r="AU1301" i="33" s="1"/>
  <c r="AV1301" i="33" s="1"/>
  <c r="AW1301" i="33" s="1"/>
  <c r="AX1301" i="33" s="1"/>
  <c r="AY1301" i="33" s="1"/>
  <c r="AZ1301" i="33" s="1"/>
  <c r="BA1301" i="33" s="1"/>
  <c r="BB1301" i="33" s="1"/>
  <c r="BC1301" i="33" s="1"/>
  <c r="BD1301" i="33" s="1"/>
  <c r="BE1301" i="33" s="1"/>
  <c r="BF1301" i="33" s="1"/>
  <c r="FS20" i="28"/>
  <c r="DE20" i="28"/>
  <c r="BO17" i="28"/>
  <c r="BO10" i="28"/>
  <c r="FB10" i="28" s="1" a="1"/>
  <c r="FB10" i="28" s="1"/>
  <c r="BQ37" i="28"/>
  <c r="BO25" i="28"/>
  <c r="FB25" i="28" s="1" a="1"/>
  <c r="FB25" i="28" s="1"/>
  <c r="BO77" i="28"/>
  <c r="FB77" i="28" s="1" a="1"/>
  <c r="FB77" i="28" s="1"/>
  <c r="BO72" i="28"/>
  <c r="FB72" i="28" s="1" a="1"/>
  <c r="FB72" i="28" s="1"/>
  <c r="BO69" i="28"/>
  <c r="FB69" i="28" s="1" a="1"/>
  <c r="FB69" i="28" s="1"/>
  <c r="BP40" i="28"/>
  <c r="FC40" i="28" s="1" a="1"/>
  <c r="FC40" i="28" s="1"/>
  <c r="BQ67" i="28"/>
  <c r="BO78" i="28"/>
  <c r="FB78" i="28" s="1" a="1"/>
  <c r="FB78" i="28" s="1"/>
  <c r="BO11" i="28"/>
  <c r="BO73" i="28"/>
  <c r="FB73" i="28" s="1" a="1"/>
  <c r="FB73" i="28" s="1"/>
  <c r="BQ61" i="28"/>
  <c r="DD61" i="28"/>
  <c r="DS61" i="28" s="1"/>
  <c r="BQ84" i="28"/>
  <c r="BP39" i="28"/>
  <c r="BQ68" i="28"/>
  <c r="BO74" i="28"/>
  <c r="FB74" i="28" s="1" a="1"/>
  <c r="FB74" i="28" s="1"/>
  <c r="BP38" i="28"/>
  <c r="FC38" i="28" s="1" a="1"/>
  <c r="FC38" i="28" s="1"/>
  <c r="BO23" i="28"/>
  <c r="FB23" i="28" s="1" a="1"/>
  <c r="FB23" i="28" s="1"/>
  <c r="BQ66" i="28"/>
  <c r="BQ75" i="28"/>
  <c r="BO21" i="28"/>
  <c r="FB21" i="28" s="1" a="1"/>
  <c r="FB21" i="28" s="1"/>
  <c r="BO9" i="28"/>
  <c r="FB9" i="28" s="1" a="1"/>
  <c r="FB9" i="28" s="1"/>
  <c r="BO76" i="28"/>
  <c r="FB76" i="28" s="1" a="1"/>
  <c r="FB76" i="28" s="1"/>
  <c r="AE181" i="33"/>
  <c r="AE61" i="33"/>
  <c r="AF60" i="33"/>
  <c r="AE227" i="33"/>
  <c r="AE60" i="33"/>
  <c r="AE157" i="33"/>
  <c r="AE111" i="33"/>
  <c r="AE134" i="33"/>
  <c r="AE203" i="33"/>
  <c r="AE180" i="33"/>
  <c r="AE135" i="33"/>
  <c r="AE204" i="33"/>
  <c r="AE158" i="33"/>
  <c r="AE112" i="33"/>
  <c r="AE226" i="33"/>
  <c r="AF67" i="33"/>
  <c r="AF68" i="33" s="1"/>
  <c r="AM38" i="33"/>
  <c r="AM39" i="33"/>
  <c r="AM37" i="33"/>
  <c r="AM40" i="33"/>
  <c r="AD25" i="33"/>
  <c r="AE25" i="33"/>
  <c r="AI62" i="33"/>
  <c r="AD1309" i="33"/>
  <c r="G140" i="38" s="1"/>
  <c r="AC1150" i="33"/>
  <c r="AD1150" i="33" s="1"/>
  <c r="AC1151" i="33"/>
  <c r="AD1151" i="33" s="1"/>
  <c r="AC1152" i="33"/>
  <c r="AD1152" i="33" s="1"/>
  <c r="AJ1140" i="33"/>
  <c r="AM1140" i="33" s="1"/>
  <c r="AP1140" i="33" s="1"/>
  <c r="AS1140" i="33" s="1"/>
  <c r="AV1140" i="33" s="1"/>
  <c r="AY1140" i="33" s="1"/>
  <c r="BB1140" i="33" s="1"/>
  <c r="BE1140" i="33" s="1"/>
  <c r="AH1142" i="33"/>
  <c r="AK1142" i="33" s="1"/>
  <c r="AN1142" i="33" s="1"/>
  <c r="AQ1142" i="33" s="1"/>
  <c r="AT1142" i="33" s="1"/>
  <c r="AW1142" i="33" s="1"/>
  <c r="AZ1142" i="33" s="1"/>
  <c r="BC1142" i="33" s="1"/>
  <c r="BF1142" i="33" s="1"/>
  <c r="AD1147" i="33"/>
  <c r="AC1155" i="33"/>
  <c r="AC1154" i="33"/>
  <c r="AD1154" i="33" s="1"/>
  <c r="AE1145" i="33"/>
  <c r="AE1260" i="33" s="1"/>
  <c r="AC1153" i="33"/>
  <c r="AD1153" i="33" s="1"/>
  <c r="AC1148" i="33"/>
  <c r="AD1148" i="33" s="1"/>
  <c r="AC1149" i="33"/>
  <c r="AD1149" i="33" s="1"/>
  <c r="AM1138" i="33"/>
  <c r="BC1133" i="33"/>
  <c r="AU1133" i="33"/>
  <c r="AI1138" i="33"/>
  <c r="AP1133" i="33"/>
  <c r="AK1138" i="33"/>
  <c r="S951" i="33"/>
  <c r="U951" i="33"/>
  <c r="X951" i="33"/>
  <c r="V951" i="33"/>
  <c r="P951" i="33"/>
  <c r="Q951" i="33"/>
  <c r="AB951" i="33"/>
  <c r="R951" i="33"/>
  <c r="AC951" i="33"/>
  <c r="W959" i="33"/>
  <c r="O959" i="33"/>
  <c r="T951" i="33"/>
  <c r="EU32" i="28" l="1"/>
  <c r="EU31" i="28"/>
  <c r="BT50" i="28"/>
  <c r="FG50" i="28" s="1" a="1"/>
  <c r="FG50" i="28" s="1"/>
  <c r="BU46" i="28"/>
  <c r="FH46" i="28" s="1" a="1"/>
  <c r="FH46" i="28" s="1"/>
  <c r="BT56" i="28"/>
  <c r="FG56" i="28" s="1" a="1"/>
  <c r="FG56" i="28" s="1"/>
  <c r="BT54" i="28"/>
  <c r="FG54" i="28" s="1" a="1"/>
  <c r="FG54" i="28" s="1"/>
  <c r="BP8" i="28"/>
  <c r="FC8" i="28" s="1" a="1"/>
  <c r="FC8" i="28" s="1"/>
  <c r="BT48" i="28"/>
  <c r="H13" i="37"/>
  <c r="E969" i="51"/>
  <c r="BT49" i="28"/>
  <c r="FG49" i="28" s="1" a="1"/>
  <c r="FG49" i="28" s="1"/>
  <c r="BT47" i="28"/>
  <c r="BU55" i="28"/>
  <c r="FH55" i="28" s="1" a="1"/>
  <c r="FH55" i="28" s="1"/>
  <c r="BU44" i="28"/>
  <c r="FH44" i="28" s="1" a="1"/>
  <c r="FH44" i="28" s="1"/>
  <c r="BU45" i="28"/>
  <c r="FH45" i="28" s="1" a="1"/>
  <c r="FH45" i="28" s="1"/>
  <c r="BU43" i="28"/>
  <c r="FH43" i="28" s="1" a="1"/>
  <c r="FH43" i="28" s="1"/>
  <c r="BU42" i="28"/>
  <c r="FH42" i="28" s="1" a="1"/>
  <c r="FH42" i="28" s="1"/>
  <c r="BU57" i="28"/>
  <c r="FH57" i="28" s="1" a="1"/>
  <c r="FH57" i="28" s="1"/>
  <c r="BR66" i="28"/>
  <c r="GZ66" i="28" s="1"/>
  <c r="FD66" i="28" a="1"/>
  <c r="FD66" i="28" s="1"/>
  <c r="BR37" i="28"/>
  <c r="FE37" i="28" s="1" a="1"/>
  <c r="FE37" i="28" s="1"/>
  <c r="FD37" i="28" a="1"/>
  <c r="FD37" i="28" s="1"/>
  <c r="BR75" i="28"/>
  <c r="FD75" i="28" a="1"/>
  <c r="FD75" i="28" s="1"/>
  <c r="BR68" i="28"/>
  <c r="BS68" i="28" s="1"/>
  <c r="FD68" i="28" a="1"/>
  <c r="FD68" i="28" s="1"/>
  <c r="BR67" i="28"/>
  <c r="BS67" i="28" s="1"/>
  <c r="FD67" i="28" a="1"/>
  <c r="FD67" i="28" s="1"/>
  <c r="BR84" i="28"/>
  <c r="BS84" i="28" s="1"/>
  <c r="BR61" i="28"/>
  <c r="FE61" i="28" s="1" a="1"/>
  <c r="FE61" i="28" s="1"/>
  <c r="FT61" i="28" s="1"/>
  <c r="FD61" i="28" a="1"/>
  <c r="FD61" i="28" s="1"/>
  <c r="FS61" i="28" s="1"/>
  <c r="GZ20" i="28"/>
  <c r="FT20" i="28"/>
  <c r="BS20" i="28"/>
  <c r="FF20" i="28" s="1" a="1"/>
  <c r="FF20" i="28" s="1"/>
  <c r="DF20" i="28"/>
  <c r="DU20" i="28" s="1"/>
  <c r="BT86" i="28"/>
  <c r="BV26" i="28"/>
  <c r="AC9" i="33"/>
  <c r="H180" i="37" s="1"/>
  <c r="AC1268" i="33"/>
  <c r="AC1290" i="33" s="1"/>
  <c r="AC1291" i="33" s="1"/>
  <c r="AD1268" i="33"/>
  <c r="AD1290" i="33" s="1"/>
  <c r="AD1291" i="33" s="1"/>
  <c r="EB20" i="28"/>
  <c r="DT20" i="28"/>
  <c r="GY61" i="28"/>
  <c r="AF111" i="33"/>
  <c r="AF180" i="33"/>
  <c r="AF157" i="33"/>
  <c r="AF204" i="33"/>
  <c r="AF203" i="33"/>
  <c r="AF226" i="33"/>
  <c r="AF88" i="33"/>
  <c r="AF134" i="33"/>
  <c r="AG61" i="33"/>
  <c r="G136" i="38"/>
  <c r="AF1309" i="33"/>
  <c r="AF10" i="33" s="1"/>
  <c r="G970" i="51" s="1"/>
  <c r="AG1309" i="33"/>
  <c r="AG1314" i="33" s="1"/>
  <c r="G139" i="38"/>
  <c r="AF227" i="33"/>
  <c r="AG158" i="33"/>
  <c r="AF61" i="33"/>
  <c r="AH158" i="33"/>
  <c r="AH181" i="33"/>
  <c r="AH227" i="33"/>
  <c r="AG204" i="33"/>
  <c r="AG227" i="33"/>
  <c r="AH89" i="33"/>
  <c r="AH204" i="33"/>
  <c r="AF112" i="33"/>
  <c r="AH112" i="33"/>
  <c r="AG135" i="33"/>
  <c r="AG112" i="33"/>
  <c r="AF181" i="33"/>
  <c r="AF135" i="33"/>
  <c r="AF89" i="33"/>
  <c r="AG181" i="33"/>
  <c r="AI707" i="33"/>
  <c r="AH61" i="33"/>
  <c r="AH1263" i="33"/>
  <c r="AG206" i="33"/>
  <c r="AG114" i="33"/>
  <c r="AG160" i="33"/>
  <c r="AG183" i="33"/>
  <c r="AG229" i="33"/>
  <c r="AG91" i="33"/>
  <c r="AG137" i="33"/>
  <c r="AF158" i="33"/>
  <c r="AH1318" i="33"/>
  <c r="AG89" i="33"/>
  <c r="AE1151" i="33"/>
  <c r="AF1151" i="33" s="1"/>
  <c r="AG1151" i="33" s="1"/>
  <c r="AH1151" i="33" s="1"/>
  <c r="AI1151" i="33" s="1"/>
  <c r="AJ1151" i="33" s="1"/>
  <c r="AK1151" i="33" s="1"/>
  <c r="AL1151" i="33" s="1"/>
  <c r="AM1151" i="33" s="1"/>
  <c r="AN1151" i="33" s="1"/>
  <c r="AO1151" i="33" s="1"/>
  <c r="AP1151" i="33" s="1"/>
  <c r="AQ1151" i="33" s="1"/>
  <c r="AR1151" i="33" s="1"/>
  <c r="AS1151" i="33" s="1"/>
  <c r="AT1151" i="33" s="1"/>
  <c r="AU1151" i="33" s="1"/>
  <c r="AV1151" i="33" s="1"/>
  <c r="AW1151" i="33" s="1"/>
  <c r="AX1151" i="33" s="1"/>
  <c r="AY1151" i="33" s="1"/>
  <c r="AZ1151" i="33" s="1"/>
  <c r="BA1151" i="33" s="1"/>
  <c r="BB1151" i="33" s="1"/>
  <c r="BC1151" i="33" s="1"/>
  <c r="BD1151" i="33" s="1"/>
  <c r="BE1151" i="33" s="1"/>
  <c r="BF1151" i="33" s="1"/>
  <c r="AE1154" i="33"/>
  <c r="AF1154" i="33" s="1"/>
  <c r="AG1154" i="33" s="1"/>
  <c r="AH1154" i="33" s="1"/>
  <c r="AI1154" i="33" s="1"/>
  <c r="AJ1154" i="33" s="1"/>
  <c r="AK1154" i="33" s="1"/>
  <c r="AL1154" i="33" s="1"/>
  <c r="AM1154" i="33" s="1"/>
  <c r="AN1154" i="33" s="1"/>
  <c r="AO1154" i="33" s="1"/>
  <c r="AP1154" i="33" s="1"/>
  <c r="AQ1154" i="33" s="1"/>
  <c r="AR1154" i="33" s="1"/>
  <c r="AS1154" i="33" s="1"/>
  <c r="AT1154" i="33" s="1"/>
  <c r="AU1154" i="33" s="1"/>
  <c r="AV1154" i="33" s="1"/>
  <c r="AW1154" i="33" s="1"/>
  <c r="AX1154" i="33" s="1"/>
  <c r="AY1154" i="33" s="1"/>
  <c r="AZ1154" i="33" s="1"/>
  <c r="BA1154" i="33" s="1"/>
  <c r="BB1154" i="33" s="1"/>
  <c r="BC1154" i="33" s="1"/>
  <c r="BD1154" i="33" s="1"/>
  <c r="BE1154" i="33" s="1"/>
  <c r="BF1154" i="33" s="1"/>
  <c r="AE1153" i="33"/>
  <c r="AF1153" i="33" s="1"/>
  <c r="AG1153" i="33" s="1"/>
  <c r="AH1153" i="33" s="1"/>
  <c r="AI1153" i="33" s="1"/>
  <c r="AJ1153" i="33" s="1"/>
  <c r="AK1153" i="33" s="1"/>
  <c r="AL1153" i="33" s="1"/>
  <c r="AM1153" i="33" s="1"/>
  <c r="AN1153" i="33" s="1"/>
  <c r="AO1153" i="33" s="1"/>
  <c r="AP1153" i="33" s="1"/>
  <c r="AQ1153" i="33" s="1"/>
  <c r="AR1153" i="33" s="1"/>
  <c r="AS1153" i="33" s="1"/>
  <c r="AT1153" i="33" s="1"/>
  <c r="AU1153" i="33" s="1"/>
  <c r="AV1153" i="33" s="1"/>
  <c r="AW1153" i="33" s="1"/>
  <c r="AX1153" i="33" s="1"/>
  <c r="AY1153" i="33" s="1"/>
  <c r="AZ1153" i="33" s="1"/>
  <c r="BA1153" i="33" s="1"/>
  <c r="BB1153" i="33" s="1"/>
  <c r="BC1153" i="33" s="1"/>
  <c r="BD1153" i="33" s="1"/>
  <c r="BE1153" i="33" s="1"/>
  <c r="BF1153" i="33" s="1"/>
  <c r="AE9" i="33"/>
  <c r="E15" i="38"/>
  <c r="E25" i="38" s="1"/>
  <c r="G137" i="38"/>
  <c r="G135" i="38"/>
  <c r="AE1150" i="33"/>
  <c r="AF1150" i="33" s="1"/>
  <c r="AG1150" i="33" s="1"/>
  <c r="AH1150" i="33" s="1"/>
  <c r="AI1150" i="33" s="1"/>
  <c r="AJ1150" i="33" s="1"/>
  <c r="AK1150" i="33" s="1"/>
  <c r="AL1150" i="33" s="1"/>
  <c r="AM1150" i="33" s="1"/>
  <c r="AN1150" i="33" s="1"/>
  <c r="AO1150" i="33" s="1"/>
  <c r="AP1150" i="33" s="1"/>
  <c r="AQ1150" i="33" s="1"/>
  <c r="AR1150" i="33" s="1"/>
  <c r="AS1150" i="33" s="1"/>
  <c r="AT1150" i="33" s="1"/>
  <c r="AU1150" i="33" s="1"/>
  <c r="AV1150" i="33" s="1"/>
  <c r="AW1150" i="33" s="1"/>
  <c r="AX1150" i="33" s="1"/>
  <c r="AY1150" i="33" s="1"/>
  <c r="AZ1150" i="33" s="1"/>
  <c r="BA1150" i="33" s="1"/>
  <c r="BB1150" i="33" s="1"/>
  <c r="BC1150" i="33" s="1"/>
  <c r="BD1150" i="33" s="1"/>
  <c r="BE1150" i="33" s="1"/>
  <c r="BF1150" i="33" s="1"/>
  <c r="AE1149" i="33"/>
  <c r="G138" i="38"/>
  <c r="AE1148" i="33"/>
  <c r="AF1148" i="33" s="1"/>
  <c r="AG1148" i="33" s="1"/>
  <c r="AH1148" i="33" s="1"/>
  <c r="AI1148" i="33" s="1"/>
  <c r="AE1152" i="33"/>
  <c r="AF1152" i="33" s="1"/>
  <c r="AG1152" i="33" s="1"/>
  <c r="AH1152" i="33" s="1"/>
  <c r="AI1152" i="33" s="1"/>
  <c r="AJ1152" i="33" s="1"/>
  <c r="AK1152" i="33" s="1"/>
  <c r="AL1152" i="33" s="1"/>
  <c r="AM1152" i="33" s="1"/>
  <c r="AN1152" i="33" s="1"/>
  <c r="AO1152" i="33" s="1"/>
  <c r="AP1152" i="33" s="1"/>
  <c r="AQ1152" i="33" s="1"/>
  <c r="AR1152" i="33" s="1"/>
  <c r="AS1152" i="33" s="1"/>
  <c r="AT1152" i="33" s="1"/>
  <c r="AU1152" i="33" s="1"/>
  <c r="AV1152" i="33" s="1"/>
  <c r="AW1152" i="33" s="1"/>
  <c r="AX1152" i="33" s="1"/>
  <c r="AY1152" i="33" s="1"/>
  <c r="AZ1152" i="33" s="1"/>
  <c r="BA1152" i="33" s="1"/>
  <c r="BB1152" i="33" s="1"/>
  <c r="BC1152" i="33" s="1"/>
  <c r="BD1152" i="33" s="1"/>
  <c r="BE1152" i="33" s="1"/>
  <c r="BF1152" i="33" s="1"/>
  <c r="BP77" i="28"/>
  <c r="FC77" i="28" s="1" a="1"/>
  <c r="FC77" i="28" s="1"/>
  <c r="BQ8" i="28"/>
  <c r="BP74" i="28"/>
  <c r="FC74" i="28" s="1" a="1"/>
  <c r="FC74" i="28" s="1"/>
  <c r="BP11" i="28"/>
  <c r="BP76" i="28"/>
  <c r="FC76" i="28" s="1" a="1"/>
  <c r="FC76" i="28" s="1"/>
  <c r="BP21" i="28"/>
  <c r="FC21" i="28" s="1" a="1"/>
  <c r="FC21" i="28" s="1"/>
  <c r="BP23" i="28"/>
  <c r="FC23" i="28" s="1" a="1"/>
  <c r="FC23" i="28" s="1"/>
  <c r="DE61" i="28"/>
  <c r="BQ40" i="28"/>
  <c r="BP69" i="28"/>
  <c r="FC69" i="28" s="1" a="1"/>
  <c r="FC69" i="28" s="1"/>
  <c r="BP9" i="28"/>
  <c r="FC9" i="28" s="1" a="1"/>
  <c r="FC9" i="28" s="1"/>
  <c r="BQ38" i="28"/>
  <c r="BP25" i="28"/>
  <c r="FC25" i="28" s="1" a="1"/>
  <c r="FC25" i="28" s="1"/>
  <c r="BP10" i="28"/>
  <c r="FC10" i="28" s="1" a="1"/>
  <c r="FC10" i="28" s="1"/>
  <c r="BQ39" i="28"/>
  <c r="BP73" i="28"/>
  <c r="FC73" i="28" s="1" a="1"/>
  <c r="FC73" i="28" s="1"/>
  <c r="BP78" i="28"/>
  <c r="FC78" i="28" s="1" a="1"/>
  <c r="FC78" i="28" s="1"/>
  <c r="BP72" i="28"/>
  <c r="FC72" i="28" s="1" a="1"/>
  <c r="FC72" i="28" s="1"/>
  <c r="BP17" i="28"/>
  <c r="AG67" i="33"/>
  <c r="AG68" i="33" s="1"/>
  <c r="AD10" i="33"/>
  <c r="E970" i="51" s="1"/>
  <c r="AD1314" i="33"/>
  <c r="AD1320" i="33" s="1"/>
  <c r="AD1321" i="33" s="1"/>
  <c r="AF25" i="33"/>
  <c r="AJ62" i="33"/>
  <c r="AD1120" i="33"/>
  <c r="AH1296" i="33"/>
  <c r="AH1309" i="33" s="1"/>
  <c r="AD1114" i="33"/>
  <c r="AE1268" i="33"/>
  <c r="AE1290" i="33" s="1"/>
  <c r="AD1115" i="33"/>
  <c r="AD1132" i="33"/>
  <c r="AD1134" i="33" s="1"/>
  <c r="AD1139" i="33"/>
  <c r="AD1143" i="33" s="1"/>
  <c r="AF1145" i="33"/>
  <c r="AF1260" i="33" s="1"/>
  <c r="AD1118" i="33"/>
  <c r="AE1147" i="33"/>
  <c r="AF1147" i="33" s="1"/>
  <c r="AD1155" i="33"/>
  <c r="AD1125" i="33"/>
  <c r="AD1119" i="33"/>
  <c r="AD1112" i="33"/>
  <c r="AD1113" i="33"/>
  <c r="AX1133" i="33"/>
  <c r="BF1133" i="33"/>
  <c r="AP1138" i="33"/>
  <c r="AL1138" i="33"/>
  <c r="AN1138" i="33"/>
  <c r="AS1133" i="33"/>
  <c r="BV46" i="28" l="1"/>
  <c r="FI46" i="28" s="1" a="1"/>
  <c r="FI46" i="28" s="1"/>
  <c r="BU50" i="28"/>
  <c r="FH50" i="28" s="1" a="1"/>
  <c r="FH50" i="28" s="1"/>
  <c r="BU54" i="28"/>
  <c r="FH54" i="28" s="1" a="1"/>
  <c r="FH54" i="28" s="1"/>
  <c r="BU56" i="28"/>
  <c r="FH56" i="28" s="1" a="1"/>
  <c r="FH56" i="28" s="1"/>
  <c r="GZ61" i="28"/>
  <c r="H124" i="37"/>
  <c r="BS37" i="28"/>
  <c r="FF37" i="28" s="1" a="1"/>
  <c r="FF37" i="28" s="1"/>
  <c r="FG48" i="28" a="1"/>
  <c r="FG48" i="28" s="1"/>
  <c r="BU48" i="28"/>
  <c r="I180" i="37"/>
  <c r="F969" i="51"/>
  <c r="BU49" i="28"/>
  <c r="FH49" i="28" s="1" a="1"/>
  <c r="FH49" i="28" s="1"/>
  <c r="BV44" i="28"/>
  <c r="FI44" i="28" s="1" a="1"/>
  <c r="FI44" i="28" s="1"/>
  <c r="BS66" i="28"/>
  <c r="BT66" i="28" s="1"/>
  <c r="BV55" i="28"/>
  <c r="FI55" i="28" s="1" a="1"/>
  <c r="FI55" i="28" s="1"/>
  <c r="BV45" i="28"/>
  <c r="FI45" i="28" s="1" a="1"/>
  <c r="FI45" i="28" s="1"/>
  <c r="FG47" i="28" a="1"/>
  <c r="FG47" i="28" s="1"/>
  <c r="BU47" i="28"/>
  <c r="GZ68" i="28"/>
  <c r="BV57" i="28"/>
  <c r="FI57" i="28" s="1" a="1"/>
  <c r="FI57" i="28" s="1"/>
  <c r="BV43" i="28"/>
  <c r="FI43" i="28" s="1" a="1"/>
  <c r="FI43" i="28" s="1"/>
  <c r="BV42" i="28"/>
  <c r="FI42" i="28" s="1" a="1"/>
  <c r="FI42" i="28" s="1"/>
  <c r="GZ67" i="28"/>
  <c r="S26" i="28" a="1"/>
  <c r="S26" i="28" s="1"/>
  <c r="FI26" i="28" s="1" a="1"/>
  <c r="FI26" i="28" s="1"/>
  <c r="S84" i="28" a="1"/>
  <c r="S84" i="28" s="1"/>
  <c r="FF84" i="28" s="1" a="1"/>
  <c r="FF84" i="28" s="1"/>
  <c r="S85" i="28" a="1"/>
  <c r="S85" i="28" s="1"/>
  <c r="DG68" i="28"/>
  <c r="DV68" i="28" s="1"/>
  <c r="FF68" i="28" a="1"/>
  <c r="FF68" i="28" s="1"/>
  <c r="FU68" i="28" s="1"/>
  <c r="BS61" i="28"/>
  <c r="FF61" i="28" s="1" a="1"/>
  <c r="FF61" i="28" s="1"/>
  <c r="FU61" i="28" s="1"/>
  <c r="BR8" i="28"/>
  <c r="FE8" i="28" s="1" a="1"/>
  <c r="FE8" i="28" s="1"/>
  <c r="FD8" i="28" a="1"/>
  <c r="FD8" i="28" s="1"/>
  <c r="DF75" i="28"/>
  <c r="DU75" i="28" s="1"/>
  <c r="FE75" i="28" a="1"/>
  <c r="FE75" i="28" s="1"/>
  <c r="FT75" i="28" s="1"/>
  <c r="BS75" i="28"/>
  <c r="HA75" i="28" s="1"/>
  <c r="DF67" i="28"/>
  <c r="DU67" i="28" s="1"/>
  <c r="FE67" i="28" a="1"/>
  <c r="FE67" i="28" s="1"/>
  <c r="FT67" i="28" s="1"/>
  <c r="BR38" i="28"/>
  <c r="FE38" i="28" s="1" a="1"/>
  <c r="FE38" i="28" s="1"/>
  <c r="FD38" i="28" a="1"/>
  <c r="FD38" i="28" s="1"/>
  <c r="GZ75" i="28"/>
  <c r="DG67" i="28"/>
  <c r="DV67" i="28" s="1"/>
  <c r="FF67" i="28" a="1"/>
  <c r="FF67" i="28" s="1"/>
  <c r="FU67" i="28" s="1"/>
  <c r="BR39" i="28"/>
  <c r="BS39" i="28" s="1"/>
  <c r="DF68" i="28"/>
  <c r="DU68" i="28" s="1"/>
  <c r="FE68" i="28" a="1"/>
  <c r="FE68" i="28" s="1"/>
  <c r="FT68" i="28" s="1"/>
  <c r="DF61" i="28"/>
  <c r="DU61" i="28" s="1"/>
  <c r="BR40" i="28"/>
  <c r="FE40" i="28" s="1" a="1"/>
  <c r="FE40" i="28" s="1"/>
  <c r="FD40" i="28" a="1"/>
  <c r="FD40" i="28" s="1"/>
  <c r="DF66" i="28"/>
  <c r="DU66" i="28" s="1"/>
  <c r="FE66" i="28" a="1"/>
  <c r="FE66" i="28" s="1"/>
  <c r="FT66" i="28" s="1"/>
  <c r="AD1269" i="33"/>
  <c r="Q569" i="38"/>
  <c r="R569" i="38"/>
  <c r="HA84" i="28" s="1"/>
  <c r="S569" i="38"/>
  <c r="T569" i="38"/>
  <c r="U569" i="38"/>
  <c r="HD27" i="28" s="1"/>
  <c r="HA20" i="28"/>
  <c r="BT20" i="28"/>
  <c r="FG20" i="28" s="1" a="1"/>
  <c r="FG20" i="28" s="1"/>
  <c r="FU20" i="28"/>
  <c r="DG20" i="28"/>
  <c r="DV20" i="28" s="1"/>
  <c r="BU86" i="28"/>
  <c r="BT84" i="28"/>
  <c r="BT67" i="28"/>
  <c r="HA67" i="28"/>
  <c r="HA68" i="28"/>
  <c r="BT68" i="28"/>
  <c r="AE1291" i="33"/>
  <c r="G13" i="37"/>
  <c r="AC1269" i="33"/>
  <c r="G180" i="37"/>
  <c r="Y9" i="33"/>
  <c r="AA1154" i="33"/>
  <c r="AG10" i="33"/>
  <c r="EB61" i="28"/>
  <c r="DT61" i="28"/>
  <c r="D569" i="38"/>
  <c r="E569" i="38"/>
  <c r="F569" i="38"/>
  <c r="H192" i="38" a="1"/>
  <c r="H192" i="38" s="1"/>
  <c r="G192" i="38" a="1"/>
  <c r="G192" i="38" s="1"/>
  <c r="I192" i="38" a="1"/>
  <c r="I192" i="38" s="1"/>
  <c r="F192" i="38" a="1"/>
  <c r="F192" i="38" s="1"/>
  <c r="J192" i="38" a="1"/>
  <c r="J192" i="38" s="1"/>
  <c r="K192" i="38" a="1"/>
  <c r="K192" i="38" s="1"/>
  <c r="D192" i="38" a="1"/>
  <c r="D192" i="38" s="1"/>
  <c r="D513" i="38" s="1"/>
  <c r="L192" i="38" a="1"/>
  <c r="L192" i="38" s="1"/>
  <c r="E192" i="38" a="1"/>
  <c r="E192" i="38" s="1"/>
  <c r="M192" i="38" a="1"/>
  <c r="C192" i="38" a="1"/>
  <c r="C192" i="38" s="1"/>
  <c r="G125" i="37" s="1"/>
  <c r="H16" i="38"/>
  <c r="AE1113" i="33"/>
  <c r="AE1125" i="33"/>
  <c r="AE1139" i="33"/>
  <c r="AE1143" i="33" s="1"/>
  <c r="G16" i="38"/>
  <c r="AE1120" i="33"/>
  <c r="AF1314" i="33"/>
  <c r="AF1320" i="33" s="1"/>
  <c r="K569" i="38"/>
  <c r="L569" i="38"/>
  <c r="M569" i="38"/>
  <c r="N569" i="38"/>
  <c r="O569" i="38"/>
  <c r="H569" i="38"/>
  <c r="H181" i="37" s="1"/>
  <c r="P569" i="38"/>
  <c r="I569" i="38"/>
  <c r="G569" i="38"/>
  <c r="G181" i="37" s="1"/>
  <c r="J569" i="38"/>
  <c r="G141" i="38"/>
  <c r="AE1119" i="33"/>
  <c r="AE1115" i="33"/>
  <c r="AE1118" i="33"/>
  <c r="AA1152" i="33"/>
  <c r="AE1114" i="33"/>
  <c r="AA1153" i="33"/>
  <c r="AJ707" i="33"/>
  <c r="AI204" i="33"/>
  <c r="AI158" i="33"/>
  <c r="AI135" i="33"/>
  <c r="AI89" i="33"/>
  <c r="AI227" i="33"/>
  <c r="AI112" i="33"/>
  <c r="AI61" i="33"/>
  <c r="AI181" i="33"/>
  <c r="AI1318" i="33"/>
  <c r="AI1263" i="33"/>
  <c r="AH206" i="33"/>
  <c r="AH229" i="33"/>
  <c r="AH160" i="33"/>
  <c r="AH183" i="33"/>
  <c r="AH114" i="33"/>
  <c r="AH91" i="33"/>
  <c r="AH137" i="33"/>
  <c r="I13" i="37"/>
  <c r="J14" i="37"/>
  <c r="H14" i="37"/>
  <c r="AF1149" i="33"/>
  <c r="AG1149" i="33" s="1"/>
  <c r="AH1149" i="33" s="1"/>
  <c r="AI1149" i="33" s="1"/>
  <c r="AJ1149" i="33" s="1"/>
  <c r="AK1149" i="33" s="1"/>
  <c r="AL1149" i="33" s="1"/>
  <c r="AM1149" i="33" s="1"/>
  <c r="AN1149" i="33" s="1"/>
  <c r="AO1149" i="33" s="1"/>
  <c r="AP1149" i="33" s="1"/>
  <c r="AQ1149" i="33" s="1"/>
  <c r="AR1149" i="33" s="1"/>
  <c r="AS1149" i="33" s="1"/>
  <c r="AT1149" i="33" s="1"/>
  <c r="AU1149" i="33" s="1"/>
  <c r="AV1149" i="33" s="1"/>
  <c r="AW1149" i="33" s="1"/>
  <c r="AX1149" i="33" s="1"/>
  <c r="AY1149" i="33" s="1"/>
  <c r="AZ1149" i="33" s="1"/>
  <c r="BA1149" i="33" s="1"/>
  <c r="BB1149" i="33" s="1"/>
  <c r="BC1149" i="33" s="1"/>
  <c r="BD1149" i="33" s="1"/>
  <c r="BE1149" i="33" s="1"/>
  <c r="BF1149" i="33" s="1"/>
  <c r="AF9" i="33"/>
  <c r="F15" i="38"/>
  <c r="F25" i="38" s="1"/>
  <c r="AA1150" i="33"/>
  <c r="D499" i="38"/>
  <c r="D506" i="38" s="1"/>
  <c r="AA1151" i="33"/>
  <c r="AE1132" i="33"/>
  <c r="AE1134" i="33" s="1"/>
  <c r="BQ21" i="28"/>
  <c r="FD21" i="28" s="1" a="1"/>
  <c r="FD21" i="28" s="1"/>
  <c r="BQ77" i="28"/>
  <c r="BQ69" i="28"/>
  <c r="BQ74" i="28"/>
  <c r="BQ17" i="28"/>
  <c r="BQ9" i="28"/>
  <c r="BQ10" i="28"/>
  <c r="BQ76" i="28"/>
  <c r="BQ78" i="28"/>
  <c r="BQ73" i="28"/>
  <c r="BQ72" i="28"/>
  <c r="BQ11" i="28"/>
  <c r="BQ23" i="28"/>
  <c r="FD23" i="28" s="1" a="1"/>
  <c r="FD23" i="28" s="1"/>
  <c r="BQ25" i="28"/>
  <c r="FD25" i="28" s="1" a="1"/>
  <c r="FD25" i="28" s="1"/>
  <c r="AH67" i="33"/>
  <c r="AH68" i="33" s="1"/>
  <c r="AF53" i="33"/>
  <c r="AD53" i="33"/>
  <c r="AH10" i="33"/>
  <c r="I970" i="51" s="1"/>
  <c r="AH1314" i="33"/>
  <c r="AG25" i="33"/>
  <c r="AD1315" i="33"/>
  <c r="AE1269" i="33"/>
  <c r="AK62" i="33"/>
  <c r="AI1296" i="33"/>
  <c r="AI1309" i="33" s="1"/>
  <c r="I16" i="38" s="1"/>
  <c r="AF1268" i="33"/>
  <c r="AF1290" i="33" s="1"/>
  <c r="AF1291" i="33" s="1"/>
  <c r="AD1117" i="33"/>
  <c r="AG1147" i="33"/>
  <c r="AE1155" i="33"/>
  <c r="AE1112" i="33"/>
  <c r="AD1116" i="33"/>
  <c r="AD1127" i="33"/>
  <c r="AD1128" i="33" s="1"/>
  <c r="AG1145" i="33"/>
  <c r="AG1260" i="33" s="1"/>
  <c r="AF1120" i="33"/>
  <c r="AF1113" i="33"/>
  <c r="AF1125" i="33"/>
  <c r="AF1139" i="33"/>
  <c r="AF1143" i="33" s="1"/>
  <c r="AF1115" i="33"/>
  <c r="AF1119" i="33"/>
  <c r="AF1112" i="33"/>
  <c r="AF1114" i="33"/>
  <c r="AF1118" i="33"/>
  <c r="BA1133" i="33"/>
  <c r="AS1138" i="33"/>
  <c r="AV1133" i="33"/>
  <c r="AQ1138" i="33"/>
  <c r="AO1138" i="33"/>
  <c r="AJ1148" i="33"/>
  <c r="BV50" i="28" l="1"/>
  <c r="FI50" i="28" s="1" a="1"/>
  <c r="FI50" i="28" s="1"/>
  <c r="BV56" i="28"/>
  <c r="FI56" i="28" s="1" a="1"/>
  <c r="FI56" i="28" s="1"/>
  <c r="BV54" i="28"/>
  <c r="FI54" i="28" s="1" a="1"/>
  <c r="FI54" i="28" s="1"/>
  <c r="HA61" i="28"/>
  <c r="DG61" i="28"/>
  <c r="DV61" i="28" s="1"/>
  <c r="BS8" i="28"/>
  <c r="FF8" i="28" s="1" a="1"/>
  <c r="FF8" i="28" s="1"/>
  <c r="BS38" i="28"/>
  <c r="FF38" i="28" s="1" a="1"/>
  <c r="FF38" i="28" s="1"/>
  <c r="BS40" i="28"/>
  <c r="FF40" i="28" s="1" a="1"/>
  <c r="FF40" i="28" s="1"/>
  <c r="FF66" i="28" a="1"/>
  <c r="FF66" i="28" s="1"/>
  <c r="FU66" i="28" s="1"/>
  <c r="BT61" i="28"/>
  <c r="FG61" i="28" s="1" a="1"/>
  <c r="FG61" i="28" s="1"/>
  <c r="FV61" i="28" s="1"/>
  <c r="BT37" i="28"/>
  <c r="FG37" i="28" s="1" a="1"/>
  <c r="FG37" i="28" s="1"/>
  <c r="DG66" i="28"/>
  <c r="DV66" i="28" s="1"/>
  <c r="FH48" i="28" a="1"/>
  <c r="FH48" i="28" s="1"/>
  <c r="BV48" i="28"/>
  <c r="FI48" i="28" s="1" a="1"/>
  <c r="FI48" i="28" s="1"/>
  <c r="J180" i="37"/>
  <c r="G969" i="51"/>
  <c r="AG53" i="33"/>
  <c r="H970" i="51"/>
  <c r="BV49" i="28"/>
  <c r="FI49" i="28" s="1" a="1"/>
  <c r="FI49" i="28" s="1"/>
  <c r="HA66" i="28"/>
  <c r="FH47" i="28" a="1"/>
  <c r="FH47" i="28" s="1"/>
  <c r="BV47" i="28"/>
  <c r="FI47" i="28" s="1" a="1"/>
  <c r="FI47" i="28" s="1"/>
  <c r="BT75" i="28"/>
  <c r="HB75" i="28" s="1"/>
  <c r="EU85" i="28" a="1"/>
  <c r="EU85" i="28" s="1"/>
  <c r="FJ85" i="28" s="1"/>
  <c r="EV85" i="28" a="1"/>
  <c r="EV85" i="28" s="1"/>
  <c r="EW85" i="28" a="1"/>
  <c r="EW85" i="28" s="1"/>
  <c r="EX85" i="28" a="1"/>
  <c r="EX85" i="28" s="1"/>
  <c r="EU26" i="28" a="1"/>
  <c r="EU26" i="28" s="1"/>
  <c r="FJ26" i="28" s="1"/>
  <c r="EV26" i="28" a="1"/>
  <c r="EV26" i="28" s="1"/>
  <c r="EW26" i="28" a="1"/>
  <c r="EW26" i="28" s="1"/>
  <c r="EX26" i="28" a="1"/>
  <c r="EX26" i="28" s="1"/>
  <c r="EY26" i="28" a="1"/>
  <c r="EY26" i="28" s="1"/>
  <c r="EZ26" i="28" a="1"/>
  <c r="EZ26" i="28" s="1"/>
  <c r="FA26" i="28" a="1"/>
  <c r="FA26" i="28" s="1"/>
  <c r="FB26" i="28" a="1"/>
  <c r="FB26" i="28" s="1"/>
  <c r="FC26" i="28" a="1"/>
  <c r="FC26" i="28" s="1"/>
  <c r="FD26" i="28" a="1"/>
  <c r="FD26" i="28" s="1"/>
  <c r="FF26" i="28" a="1"/>
  <c r="FF26" i="28" s="1"/>
  <c r="FE26" i="28" a="1"/>
  <c r="FE26" i="28" s="1"/>
  <c r="FG26" i="28" a="1"/>
  <c r="FG26" i="28" s="1"/>
  <c r="FH26" i="28" a="1"/>
  <c r="FH26" i="28" s="1"/>
  <c r="FG84" i="28" a="1"/>
  <c r="FG84" i="28" s="1"/>
  <c r="EU84" i="28" a="1"/>
  <c r="EU84" i="28" s="1"/>
  <c r="FJ84" i="28" s="1"/>
  <c r="EV84" i="28" a="1"/>
  <c r="EV84" i="28" s="1"/>
  <c r="EW84" i="28" a="1"/>
  <c r="EW84" i="28" s="1"/>
  <c r="EX84" i="28" a="1"/>
  <c r="EX84" i="28" s="1"/>
  <c r="EY84" i="28" a="1"/>
  <c r="EY84" i="28" s="1"/>
  <c r="EZ84" i="28" a="1"/>
  <c r="EZ84" i="28" s="1"/>
  <c r="FA84" i="28" a="1"/>
  <c r="FA84" i="28" s="1"/>
  <c r="FB84" i="28" a="1"/>
  <c r="FB84" i="28" s="1"/>
  <c r="FC84" i="28" a="1"/>
  <c r="FC84" i="28" s="1"/>
  <c r="FD84" i="28" a="1"/>
  <c r="FD84" i="28" s="1"/>
  <c r="FE84" i="28" a="1"/>
  <c r="FE84" i="28" s="1"/>
  <c r="BR72" i="28"/>
  <c r="FE72" i="28" s="1" a="1"/>
  <c r="FE72" i="28" s="1"/>
  <c r="FT72" i="28" s="1"/>
  <c r="FD72" i="28" a="1"/>
  <c r="FD72" i="28" s="1"/>
  <c r="BR69" i="28"/>
  <c r="BS69" i="28" s="1"/>
  <c r="FD69" i="28" a="1"/>
  <c r="FD69" i="28" s="1"/>
  <c r="BR10" i="28"/>
  <c r="FE10" i="28" s="1" a="1"/>
  <c r="FE10" i="28" s="1"/>
  <c r="FD10" i="28" a="1"/>
  <c r="FD10" i="28" s="1"/>
  <c r="DH66" i="28"/>
  <c r="DW66" i="28" s="1"/>
  <c r="FG66" i="28" a="1"/>
  <c r="FG66" i="28" s="1"/>
  <c r="FV66" i="28" s="1"/>
  <c r="BR9" i="28"/>
  <c r="FE9" i="28" s="1" a="1"/>
  <c r="FE9" i="28" s="1"/>
  <c r="FD9" i="28" a="1"/>
  <c r="FD9" i="28" s="1"/>
  <c r="BR77" i="28"/>
  <c r="FE77" i="28" s="1" a="1"/>
  <c r="FE77" i="28" s="1"/>
  <c r="FT77" i="28" s="1"/>
  <c r="FD77" i="28" a="1"/>
  <c r="FD77" i="28" s="1"/>
  <c r="DH67" i="28"/>
  <c r="DW67" i="28" s="1"/>
  <c r="FG67" i="28" a="1"/>
  <c r="FG67" i="28" s="1"/>
  <c r="FV67" i="28" s="1"/>
  <c r="BR76" i="28"/>
  <c r="FE76" i="28" s="1" a="1"/>
  <c r="FE76" i="28" s="1"/>
  <c r="FT76" i="28" s="1"/>
  <c r="FD76" i="28" a="1"/>
  <c r="FD76" i="28" s="1"/>
  <c r="BR17" i="28"/>
  <c r="BS17" i="28" s="1"/>
  <c r="BR73" i="28"/>
  <c r="FE73" i="28" s="1" a="1"/>
  <c r="FE73" i="28" s="1"/>
  <c r="FT73" i="28" s="1"/>
  <c r="FD73" i="28" a="1"/>
  <c r="FD73" i="28" s="1"/>
  <c r="DH68" i="28"/>
  <c r="DW68" i="28" s="1"/>
  <c r="FG68" i="28" a="1"/>
  <c r="FG68" i="28" s="1"/>
  <c r="FV68" i="28" s="1"/>
  <c r="BR78" i="28"/>
  <c r="FE78" i="28" s="1" a="1"/>
  <c r="FE78" i="28" s="1"/>
  <c r="FT78" i="28" s="1"/>
  <c r="FD78" i="28" a="1"/>
  <c r="FD78" i="28" s="1"/>
  <c r="BR11" i="28"/>
  <c r="BS11" i="28" s="1"/>
  <c r="BR74" i="28"/>
  <c r="FE74" i="28" s="1" a="1"/>
  <c r="FE74" i="28" s="1"/>
  <c r="FT74" i="28" s="1"/>
  <c r="FD74" i="28" a="1"/>
  <c r="FD74" i="28" s="1"/>
  <c r="DG75" i="28"/>
  <c r="DV75" i="28" s="1"/>
  <c r="FF75" i="28" a="1"/>
  <c r="FF75" i="28" s="1"/>
  <c r="FU75" i="28" s="1"/>
  <c r="BR25" i="28"/>
  <c r="FE25" i="28" s="1" a="1"/>
  <c r="FE25" i="28" s="1"/>
  <c r="FT25" i="28" s="1"/>
  <c r="BR23" i="28"/>
  <c r="BS23" i="28" s="1"/>
  <c r="FF23" i="28" s="1" a="1"/>
  <c r="FF23" i="28" s="1"/>
  <c r="BR21" i="28"/>
  <c r="BS21" i="28" s="1"/>
  <c r="FF21" i="28" s="1" a="1"/>
  <c r="FF21" i="28" s="1"/>
  <c r="FJ27" i="28"/>
  <c r="HD26" i="28"/>
  <c r="GZ27" i="28"/>
  <c r="GZ26" i="28"/>
  <c r="GZ84" i="28"/>
  <c r="HC27" i="28"/>
  <c r="HC26" i="28"/>
  <c r="HB27" i="28"/>
  <c r="HB26" i="28"/>
  <c r="HA27" i="28"/>
  <c r="HA26" i="28"/>
  <c r="HB84" i="28"/>
  <c r="BU84" i="28"/>
  <c r="FH84" i="28" s="1" a="1"/>
  <c r="FH84" i="28" s="1"/>
  <c r="BV86" i="28"/>
  <c r="BU20" i="28"/>
  <c r="FH20" i="28" s="1" a="1"/>
  <c r="FH20" i="28" s="1"/>
  <c r="FV20" i="28"/>
  <c r="DH20" i="28"/>
  <c r="DW20" i="28" s="1"/>
  <c r="HB20" i="28"/>
  <c r="GZ72" i="28"/>
  <c r="BT39" i="28"/>
  <c r="G124" i="37"/>
  <c r="BU61" i="28"/>
  <c r="FH61" i="28" s="1" a="1"/>
  <c r="FH61" i="28" s="1"/>
  <c r="HB68" i="28"/>
  <c r="BU68" i="28"/>
  <c r="BU67" i="28"/>
  <c r="HB67" i="28"/>
  <c r="BU66" i="28"/>
  <c r="HB66" i="28"/>
  <c r="M192" i="38"/>
  <c r="N192" i="38" s="1"/>
  <c r="N197" i="38"/>
  <c r="O197" i="38" s="1"/>
  <c r="P197" i="38" s="1"/>
  <c r="Q197" i="38" s="1"/>
  <c r="R197" i="38" s="1"/>
  <c r="N196" i="38"/>
  <c r="O196" i="38" s="1"/>
  <c r="P196" i="38" s="1"/>
  <c r="Q196" i="38" s="1"/>
  <c r="R196" i="38" s="1"/>
  <c r="N195" i="38"/>
  <c r="O195" i="38" s="1"/>
  <c r="P195" i="38" s="1"/>
  <c r="Q195" i="38" s="1"/>
  <c r="R195" i="38" s="1"/>
  <c r="N193" i="38"/>
  <c r="O193" i="38" s="1"/>
  <c r="P193" i="38" s="1"/>
  <c r="Q193" i="38" s="1"/>
  <c r="R193" i="38" s="1"/>
  <c r="N194" i="38"/>
  <c r="O194" i="38" s="1"/>
  <c r="P194" i="38" s="1"/>
  <c r="Q194" i="38" s="1"/>
  <c r="R194" i="38" s="1"/>
  <c r="I124" i="37"/>
  <c r="K14" i="37"/>
  <c r="K125" i="37" s="1"/>
  <c r="K181" i="37"/>
  <c r="L513" i="38"/>
  <c r="L499" i="38"/>
  <c r="L506" i="38" s="1"/>
  <c r="K513" i="38"/>
  <c r="K499" i="38"/>
  <c r="K506" i="38" s="1"/>
  <c r="J513" i="38"/>
  <c r="J499" i="38"/>
  <c r="J506" i="38" s="1"/>
  <c r="F513" i="38"/>
  <c r="F499" i="38"/>
  <c r="F506" i="38" s="1"/>
  <c r="E513" i="38"/>
  <c r="E499" i="38"/>
  <c r="E506" i="38" s="1"/>
  <c r="I513" i="38"/>
  <c r="I499" i="38"/>
  <c r="I506" i="38" s="1"/>
  <c r="H513" i="38"/>
  <c r="H499" i="38"/>
  <c r="H506" i="38" s="1"/>
  <c r="G513" i="38"/>
  <c r="G499" i="38"/>
  <c r="G506" i="38" s="1"/>
  <c r="J125" i="37"/>
  <c r="H125" i="37"/>
  <c r="AF1155" i="33"/>
  <c r="AF1116" i="33" s="1"/>
  <c r="AE1117" i="33"/>
  <c r="L181" i="37"/>
  <c r="GT84" i="28"/>
  <c r="GT27" i="28"/>
  <c r="GT26" i="28"/>
  <c r="GX84" i="28"/>
  <c r="GX27" i="28"/>
  <c r="GX26" i="28"/>
  <c r="GY84" i="28"/>
  <c r="GY27" i="28"/>
  <c r="GY26" i="28"/>
  <c r="GR84" i="28"/>
  <c r="GR85" i="28"/>
  <c r="GR27" i="28"/>
  <c r="GR26" i="28"/>
  <c r="GV84" i="28"/>
  <c r="GV27" i="28"/>
  <c r="GV26" i="28"/>
  <c r="GQ85" i="28"/>
  <c r="GQ84" i="28"/>
  <c r="GQ27" i="28"/>
  <c r="GQ26" i="28"/>
  <c r="GP85" i="28"/>
  <c r="GP84" i="28"/>
  <c r="GP27" i="28"/>
  <c r="GP26" i="28"/>
  <c r="GU84" i="28"/>
  <c r="GU27" i="28"/>
  <c r="GU26" i="28"/>
  <c r="GS84" i="28"/>
  <c r="GS85" i="28"/>
  <c r="GS27" i="28"/>
  <c r="GS26" i="28"/>
  <c r="GW84" i="28"/>
  <c r="GW27" i="28"/>
  <c r="GW26" i="28"/>
  <c r="AF1132" i="33"/>
  <c r="AF1134" i="33" s="1"/>
  <c r="AJ1263" i="33"/>
  <c r="AI229" i="33"/>
  <c r="AI183" i="33"/>
  <c r="AI160" i="33"/>
  <c r="AI114" i="33"/>
  <c r="AI137" i="33"/>
  <c r="AI91" i="33"/>
  <c r="AI206" i="33"/>
  <c r="AK707" i="33"/>
  <c r="AJ61" i="33"/>
  <c r="AJ89" i="33"/>
  <c r="AJ112" i="33"/>
  <c r="AJ135" i="33"/>
  <c r="AJ158" i="33"/>
  <c r="AJ204" i="33"/>
  <c r="AJ181" i="33"/>
  <c r="AJ227" i="33"/>
  <c r="AJ1318" i="33"/>
  <c r="L14" i="37"/>
  <c r="L125" i="37" s="1"/>
  <c r="J13" i="37"/>
  <c r="CV85" i="28"/>
  <c r="DK85" i="28" s="1"/>
  <c r="CV84" i="28"/>
  <c r="DK84" i="28" s="1"/>
  <c r="CV27" i="28"/>
  <c r="DK27" i="28" s="1"/>
  <c r="CV26" i="28"/>
  <c r="DK26" i="28" s="1"/>
  <c r="AG9" i="33"/>
  <c r="G15" i="38"/>
  <c r="G25" i="38" s="1"/>
  <c r="AA1149" i="33"/>
  <c r="AI67" i="33"/>
  <c r="AI68" i="33" s="1"/>
  <c r="AI10" i="33"/>
  <c r="AI1314" i="33"/>
  <c r="AH25" i="33"/>
  <c r="AG1315" i="33"/>
  <c r="AF1269" i="33"/>
  <c r="AL62" i="33"/>
  <c r="AM62" i="33" s="1"/>
  <c r="AJ1296" i="33"/>
  <c r="AJ1309" i="33" s="1"/>
  <c r="J16" i="38" s="1"/>
  <c r="AH53" i="33"/>
  <c r="AG1268" i="33"/>
  <c r="AG1290" i="33" s="1"/>
  <c r="AG1291" i="33" s="1"/>
  <c r="AD1121" i="33"/>
  <c r="H108" i="37" s="1"/>
  <c r="AF1117" i="33"/>
  <c r="AE1116" i="33"/>
  <c r="AE1127" i="33"/>
  <c r="AE1128" i="33" s="1"/>
  <c r="AH1147" i="33"/>
  <c r="AG1155" i="33"/>
  <c r="AG1116" i="33" s="1"/>
  <c r="AH1145" i="33"/>
  <c r="AH1260" i="33" s="1"/>
  <c r="AG1120" i="33"/>
  <c r="AG1113" i="33"/>
  <c r="AG1125" i="33"/>
  <c r="AG1114" i="33"/>
  <c r="AG1139" i="33"/>
  <c r="AG1143" i="33" s="1"/>
  <c r="AG1132" i="33"/>
  <c r="AG1134" i="33" s="1"/>
  <c r="AG1115" i="33"/>
  <c r="AG1119" i="33"/>
  <c r="AG1112" i="33"/>
  <c r="AG1118" i="33"/>
  <c r="BD1133" i="33"/>
  <c r="AT1138" i="33"/>
  <c r="AY1133" i="33"/>
  <c r="AR1138" i="33"/>
  <c r="AV1138" i="33"/>
  <c r="AK1148" i="33"/>
  <c r="DH61" i="28" l="1"/>
  <c r="DW61" i="28" s="1"/>
  <c r="HB61" i="28"/>
  <c r="BT8" i="28"/>
  <c r="FG8" i="28" s="1" a="1"/>
  <c r="FG8" i="28" s="1"/>
  <c r="BS77" i="28"/>
  <c r="FF77" i="28" s="1" a="1"/>
  <c r="FF77" i="28" s="1"/>
  <c r="FU77" i="28" s="1"/>
  <c r="BS9" i="28"/>
  <c r="FF9" i="28" s="1" a="1"/>
  <c r="FF9" i="28" s="1"/>
  <c r="DF72" i="28"/>
  <c r="DU72" i="28" s="1"/>
  <c r="BS72" i="28"/>
  <c r="FF72" i="28" s="1" a="1"/>
  <c r="FF72" i="28" s="1"/>
  <c r="FU72" i="28" s="1"/>
  <c r="DF76" i="28"/>
  <c r="DU76" i="28" s="1"/>
  <c r="BT40" i="28"/>
  <c r="FG40" i="28" s="1" a="1"/>
  <c r="FG40" i="28" s="1"/>
  <c r="BU75" i="28"/>
  <c r="DI75" i="28" s="1"/>
  <c r="DX75" i="28" s="1"/>
  <c r="DF25" i="28"/>
  <c r="DU25" i="28" s="1"/>
  <c r="GZ25" i="28"/>
  <c r="BT38" i="28"/>
  <c r="FG38" i="28" s="1" a="1"/>
  <c r="FG38" i="28" s="1"/>
  <c r="BS25" i="28"/>
  <c r="FF25" i="28" s="1" a="1"/>
  <c r="FF25" i="28" s="1"/>
  <c r="FU25" i="28" s="1"/>
  <c r="BS10" i="28"/>
  <c r="FF10" i="28" s="1" a="1"/>
  <c r="FF10" i="28" s="1"/>
  <c r="BS78" i="28"/>
  <c r="FF78" i="28" s="1" a="1"/>
  <c r="FF78" i="28" s="1"/>
  <c r="FU78" i="28" s="1"/>
  <c r="DF23" i="28"/>
  <c r="DU23" i="28" s="1"/>
  <c r="GZ78" i="28"/>
  <c r="GZ23" i="28"/>
  <c r="DF78" i="28"/>
  <c r="DU78" i="28" s="1"/>
  <c r="BU37" i="28"/>
  <c r="FH37" i="28" s="1" a="1"/>
  <c r="FH37" i="28" s="1"/>
  <c r="BS76" i="28"/>
  <c r="FF76" i="28" s="1" a="1"/>
  <c r="FF76" i="28" s="1"/>
  <c r="FU76" i="28" s="1"/>
  <c r="GZ76" i="28"/>
  <c r="M181" i="37"/>
  <c r="J970" i="51"/>
  <c r="K180" i="37"/>
  <c r="H969" i="51"/>
  <c r="GZ69" i="28"/>
  <c r="FG75" i="28" a="1"/>
  <c r="FG75" i="28" s="1"/>
  <c r="FV75" i="28" s="1"/>
  <c r="DH75" i="28"/>
  <c r="DW75" i="28" s="1"/>
  <c r="M513" i="38"/>
  <c r="DF74" i="28"/>
  <c r="DU74" i="28" s="1"/>
  <c r="BS73" i="28"/>
  <c r="FF73" i="28" s="1" a="1"/>
  <c r="FF73" i="28" s="1"/>
  <c r="FU73" i="28" s="1"/>
  <c r="FE21" i="28" a="1"/>
  <c r="FE21" i="28" s="1"/>
  <c r="FT21" i="28" s="1"/>
  <c r="DI66" i="28"/>
  <c r="DX66" i="28" s="1"/>
  <c r="FH66" i="28" a="1"/>
  <c r="FH66" i="28" s="1"/>
  <c r="FW66" i="28" s="1"/>
  <c r="GZ74" i="28"/>
  <c r="GZ73" i="28"/>
  <c r="FE23" i="28" a="1"/>
  <c r="FE23" i="28" s="1"/>
  <c r="FT23" i="28" s="1"/>
  <c r="BS74" i="28"/>
  <c r="FF74" i="28" s="1" a="1"/>
  <c r="FF74" i="28" s="1"/>
  <c r="FU74" i="28" s="1"/>
  <c r="DF73" i="28"/>
  <c r="DU73" i="28" s="1"/>
  <c r="DF69" i="28"/>
  <c r="DU69" i="28" s="1"/>
  <c r="FE69" i="28" a="1"/>
  <c r="FE69" i="28" s="1"/>
  <c r="FT69" i="28" s="1"/>
  <c r="GZ77" i="28"/>
  <c r="DI67" i="28"/>
  <c r="DX67" i="28" s="1"/>
  <c r="FH67" i="28" a="1"/>
  <c r="FH67" i="28" s="1"/>
  <c r="FW67" i="28" s="1"/>
  <c r="DI68" i="28"/>
  <c r="DX68" i="28" s="1"/>
  <c r="FH68" i="28" a="1"/>
  <c r="FH68" i="28" s="1"/>
  <c r="FW68" i="28" s="1"/>
  <c r="DG69" i="28"/>
  <c r="DV69" i="28" s="1"/>
  <c r="FF69" i="28" a="1"/>
  <c r="FF69" i="28" s="1"/>
  <c r="FU69" i="28" s="1"/>
  <c r="DF77" i="28"/>
  <c r="DU77" i="28" s="1"/>
  <c r="DF21" i="28"/>
  <c r="DU21" i="28" s="1"/>
  <c r="GZ21" i="28"/>
  <c r="FK27" i="28"/>
  <c r="FK26" i="28"/>
  <c r="FR26" i="28"/>
  <c r="FR27" i="28"/>
  <c r="FM84" i="28"/>
  <c r="FM27" i="28"/>
  <c r="FM26" i="28"/>
  <c r="FS27" i="28"/>
  <c r="FS26" i="28"/>
  <c r="FL27" i="28"/>
  <c r="FN27" i="28"/>
  <c r="FN26" i="28"/>
  <c r="FP84" i="28"/>
  <c r="FP27" i="28"/>
  <c r="FP26" i="28"/>
  <c r="FO27" i="28"/>
  <c r="FO26" i="28"/>
  <c r="FQ27" i="28"/>
  <c r="FQ26" i="28"/>
  <c r="FK85" i="28"/>
  <c r="M499" i="38"/>
  <c r="M506" i="38" s="1"/>
  <c r="DG76" i="28"/>
  <c r="DV76" i="28" s="1"/>
  <c r="HA25" i="28"/>
  <c r="BT72" i="28"/>
  <c r="FG72" i="28" s="1" a="1"/>
  <c r="FG72" i="28" s="1"/>
  <c r="DG72" i="28"/>
  <c r="DV72" i="28" s="1"/>
  <c r="HA72" i="28"/>
  <c r="BT11" i="28"/>
  <c r="BT23" i="28"/>
  <c r="FG23" i="28" s="1" a="1"/>
  <c r="FG23" i="28" s="1"/>
  <c r="HA23" i="28"/>
  <c r="FU23" i="28"/>
  <c r="DG23" i="28"/>
  <c r="DV23" i="28" s="1"/>
  <c r="BT77" i="28"/>
  <c r="FG77" i="28" s="1" a="1"/>
  <c r="FG77" i="28" s="1"/>
  <c r="DG77" i="28"/>
  <c r="DV77" i="28" s="1"/>
  <c r="HA77" i="28"/>
  <c r="BU8" i="28"/>
  <c r="FH8" i="28" s="1" a="1"/>
  <c r="FH8" i="28" s="1"/>
  <c r="HC84" i="28"/>
  <c r="BV84" i="28"/>
  <c r="FI84" i="28" s="1" a="1"/>
  <c r="FI84" i="28" s="1"/>
  <c r="BT17" i="28"/>
  <c r="BT21" i="28"/>
  <c r="FG21" i="28" s="1" a="1"/>
  <c r="FG21" i="28" s="1"/>
  <c r="HA21" i="28"/>
  <c r="FU21" i="28"/>
  <c r="DG21" i="28"/>
  <c r="DV21" i="28" s="1"/>
  <c r="BU39" i="28"/>
  <c r="BV20" i="28"/>
  <c r="FI20" i="28" s="1" a="1"/>
  <c r="FI20" i="28" s="1"/>
  <c r="HC20" i="28"/>
  <c r="FW20" i="28"/>
  <c r="DI20" i="28"/>
  <c r="DX20" i="28" s="1"/>
  <c r="J124" i="37"/>
  <c r="BV61" i="28"/>
  <c r="FI61" i="28" s="1" a="1"/>
  <c r="FI61" i="28" s="1"/>
  <c r="FW61" i="28"/>
  <c r="DI61" i="28"/>
  <c r="DX61" i="28" s="1"/>
  <c r="HC61" i="28"/>
  <c r="BV66" i="28"/>
  <c r="HC66" i="28"/>
  <c r="BV67" i="28"/>
  <c r="HC67" i="28"/>
  <c r="BV68" i="28"/>
  <c r="HC68" i="28"/>
  <c r="BT69" i="28"/>
  <c r="HA69" i="28"/>
  <c r="O192" i="38"/>
  <c r="N513" i="38"/>
  <c r="N499" i="38"/>
  <c r="FQ84" i="28"/>
  <c r="FK84" i="28"/>
  <c r="FR84" i="28"/>
  <c r="CW85" i="28"/>
  <c r="DL85" i="28" s="1"/>
  <c r="FM85" i="28"/>
  <c r="FO84" i="28"/>
  <c r="DD26" i="28"/>
  <c r="DS26" i="28" s="1"/>
  <c r="DD84" i="28"/>
  <c r="DS84" i="28" s="1"/>
  <c r="CY84" i="28"/>
  <c r="DN84" i="28" s="1"/>
  <c r="DD27" i="28"/>
  <c r="DS27" i="28" s="1"/>
  <c r="CY27" i="28"/>
  <c r="DN27" i="28" s="1"/>
  <c r="CW26" i="28"/>
  <c r="DL26" i="28" s="1"/>
  <c r="CW27" i="28"/>
  <c r="DL27" i="28" s="1"/>
  <c r="CW84" i="28"/>
  <c r="DL84" i="28" s="1"/>
  <c r="AF1121" i="33"/>
  <c r="J108" i="37" s="1"/>
  <c r="AE1121" i="33"/>
  <c r="I108" i="37" s="1"/>
  <c r="CY26" i="28"/>
  <c r="DN26" i="28" s="1"/>
  <c r="CY85" i="28"/>
  <c r="DN85" i="28" s="1"/>
  <c r="FL84" i="28"/>
  <c r="FS84" i="28"/>
  <c r="FL26" i="28"/>
  <c r="FN84" i="28"/>
  <c r="DB26" i="28"/>
  <c r="DQ26" i="28" s="1"/>
  <c r="CZ84" i="28"/>
  <c r="DO84" i="28" s="1"/>
  <c r="CZ26" i="28"/>
  <c r="DO26" i="28" s="1"/>
  <c r="DA84" i="28"/>
  <c r="DP84" i="28" s="1"/>
  <c r="CZ27" i="28"/>
  <c r="DO27" i="28" s="1"/>
  <c r="FL85" i="28"/>
  <c r="CX84" i="28"/>
  <c r="DM84" i="28" s="1"/>
  <c r="DB84" i="28"/>
  <c r="DQ84" i="28" s="1"/>
  <c r="DA26" i="28"/>
  <c r="DP26" i="28" s="1"/>
  <c r="CX27" i="28"/>
  <c r="DM27" i="28" s="1"/>
  <c r="DC26" i="28"/>
  <c r="DR26" i="28" s="1"/>
  <c r="DB27" i="28"/>
  <c r="DQ27" i="28" s="1"/>
  <c r="CX26" i="28"/>
  <c r="DM26" i="28" s="1"/>
  <c r="DA27" i="28"/>
  <c r="DP27" i="28" s="1"/>
  <c r="CX85" i="28"/>
  <c r="DM85" i="28" s="1"/>
  <c r="DC27" i="28"/>
  <c r="DR27" i="28" s="1"/>
  <c r="DC84" i="28"/>
  <c r="DR84" i="28" s="1"/>
  <c r="AF1127" i="33"/>
  <c r="AF1128" i="33" s="1"/>
  <c r="AK1318" i="33"/>
  <c r="AL707" i="33"/>
  <c r="AL61" i="33" s="1"/>
  <c r="AK89" i="33"/>
  <c r="AK227" i="33"/>
  <c r="AK135" i="33"/>
  <c r="AK204" i="33"/>
  <c r="AK181" i="33"/>
  <c r="AK112" i="33"/>
  <c r="AK158" i="33"/>
  <c r="AK61" i="33"/>
  <c r="AK1263" i="33"/>
  <c r="AJ229" i="33"/>
  <c r="AJ160" i="33"/>
  <c r="AJ183" i="33"/>
  <c r="AJ206" i="33"/>
  <c r="AJ137" i="33"/>
  <c r="AJ114" i="33"/>
  <c r="AJ91" i="33"/>
  <c r="K13" i="37"/>
  <c r="M14" i="37"/>
  <c r="M125" i="37" s="1"/>
  <c r="AH9" i="33"/>
  <c r="H15" i="38"/>
  <c r="H25" i="38" s="1"/>
  <c r="AJ67" i="33"/>
  <c r="AJ68" i="33" s="1"/>
  <c r="AJ10" i="33"/>
  <c r="AJ1314" i="33"/>
  <c r="AI25" i="33"/>
  <c r="AI53" i="33"/>
  <c r="AH1315" i="33"/>
  <c r="AG1269" i="33"/>
  <c r="AK1296" i="33"/>
  <c r="AK1309" i="33" s="1"/>
  <c r="K16" i="38" s="1"/>
  <c r="AH1268" i="33"/>
  <c r="AH1290" i="33" s="1"/>
  <c r="AH1291" i="33" s="1"/>
  <c r="AI1145" i="33"/>
  <c r="AI1260" i="33" s="1"/>
  <c r="AH1118" i="33"/>
  <c r="AH1139" i="33"/>
  <c r="AH1143" i="33" s="1"/>
  <c r="AH1132" i="33"/>
  <c r="AH1134" i="33" s="1"/>
  <c r="AH1115" i="33"/>
  <c r="AH1119" i="33"/>
  <c r="AH1112" i="33"/>
  <c r="AH1125" i="33"/>
  <c r="AH1114" i="33"/>
  <c r="AH1120" i="33"/>
  <c r="AH1113" i="33"/>
  <c r="AG1127" i="33"/>
  <c r="AG1128" i="33" s="1"/>
  <c r="AI1147" i="33"/>
  <c r="AH1155" i="33"/>
  <c r="AH1127" i="33" s="1"/>
  <c r="AG1117" i="33"/>
  <c r="AG1121" i="33" s="1"/>
  <c r="K108" i="37" s="1"/>
  <c r="BB1133" i="33"/>
  <c r="AW1138" i="33"/>
  <c r="AY1138" i="33"/>
  <c r="AU1138" i="33"/>
  <c r="AL1148" i="33"/>
  <c r="AA1148" i="33" s="1"/>
  <c r="BT10" i="28" l="1"/>
  <c r="FG10" i="28" s="1" a="1"/>
  <c r="FG10" i="28" s="1"/>
  <c r="BT9" i="28"/>
  <c r="FG9" i="28" s="1" a="1"/>
  <c r="FG9" i="28" s="1"/>
  <c r="GJ25" i="28"/>
  <c r="BU38" i="28"/>
  <c r="FH38" i="28" s="1" a="1"/>
  <c r="FH38" i="28" s="1"/>
  <c r="FH75" i="28" a="1"/>
  <c r="FH75" i="28" s="1"/>
  <c r="FW75" i="28" s="1"/>
  <c r="HC75" i="28"/>
  <c r="BV75" i="28"/>
  <c r="DJ75" i="28" s="1"/>
  <c r="DY75" i="28" s="1"/>
  <c r="BU40" i="28"/>
  <c r="FH40" i="28" s="1" a="1"/>
  <c r="FH40" i="28" s="1"/>
  <c r="BT25" i="28"/>
  <c r="FG25" i="28" s="1" a="1"/>
  <c r="FG25" i="28" s="1"/>
  <c r="FV25" i="28" s="1"/>
  <c r="DG25" i="28"/>
  <c r="GK25" i="28" s="1"/>
  <c r="HA73" i="28"/>
  <c r="BT76" i="28"/>
  <c r="FG76" i="28" s="1" a="1"/>
  <c r="FG76" i="28" s="1"/>
  <c r="FV76" i="28" s="1"/>
  <c r="HA76" i="28"/>
  <c r="BT78" i="28"/>
  <c r="FG78" i="28" s="1" a="1"/>
  <c r="FG78" i="28" s="1"/>
  <c r="FV78" i="28" s="1"/>
  <c r="DG78" i="28"/>
  <c r="DV78" i="28" s="1"/>
  <c r="BV37" i="28"/>
  <c r="FI37" i="28" s="1" a="1"/>
  <c r="FI37" i="28" s="1"/>
  <c r="HA74" i="28"/>
  <c r="HA78" i="28"/>
  <c r="DG74" i="28"/>
  <c r="DV74" i="28" s="1"/>
  <c r="DG73" i="28"/>
  <c r="DV73" i="28" s="1"/>
  <c r="BT73" i="28"/>
  <c r="FG73" i="28" s="1" a="1"/>
  <c r="FG73" i="28" s="1"/>
  <c r="FV73" i="28" s="1"/>
  <c r="L180" i="37"/>
  <c r="I969" i="51"/>
  <c r="N181" i="37"/>
  <c r="K970" i="51"/>
  <c r="DJ68" i="28"/>
  <c r="DY68" i="28" s="1"/>
  <c r="FI68" i="28" a="1"/>
  <c r="FI68" i="28" s="1"/>
  <c r="FX68" i="28" s="1"/>
  <c r="DH69" i="28"/>
  <c r="DW69" i="28" s="1"/>
  <c r="FG69" i="28" a="1"/>
  <c r="FG69" i="28" s="1"/>
  <c r="FV69" i="28" s="1"/>
  <c r="DJ66" i="28"/>
  <c r="DY66" i="28" s="1"/>
  <c r="FI66" i="28" a="1"/>
  <c r="FI66" i="28" s="1"/>
  <c r="FX66" i="28" s="1"/>
  <c r="BT74" i="28"/>
  <c r="FG74" i="28" s="1" a="1"/>
  <c r="FG74" i="28" s="1"/>
  <c r="FV74" i="28" s="1"/>
  <c r="DJ67" i="28"/>
  <c r="DY67" i="28" s="1"/>
  <c r="FI67" i="28" a="1"/>
  <c r="FI67" i="28" s="1"/>
  <c r="FX67" i="28" s="1"/>
  <c r="FT27" i="28"/>
  <c r="FT26" i="28"/>
  <c r="DE84" i="28"/>
  <c r="DT84" i="28" s="1"/>
  <c r="DE27" i="28"/>
  <c r="DT27" i="28" s="1"/>
  <c r="DE26" i="28"/>
  <c r="DT26" i="28" s="1"/>
  <c r="N506" i="38"/>
  <c r="DF27" i="28"/>
  <c r="DU27" i="28" s="1"/>
  <c r="DF26" i="28"/>
  <c r="DU26" i="28" s="1"/>
  <c r="DF84" i="28"/>
  <c r="DU84" i="28" s="1"/>
  <c r="FT84" i="28"/>
  <c r="BU10" i="28"/>
  <c r="FH10" i="28" s="1" a="1"/>
  <c r="FH10" i="28" s="1"/>
  <c r="BU11" i="28"/>
  <c r="BU17" i="28"/>
  <c r="BU77" i="28"/>
  <c r="FH77" i="28" s="1" a="1"/>
  <c r="FH77" i="28" s="1"/>
  <c r="DH77" i="28"/>
  <c r="DW77" i="28" s="1"/>
  <c r="FV77" i="28"/>
  <c r="HB77" i="28"/>
  <c r="BV39" i="28"/>
  <c r="HD84" i="28"/>
  <c r="HB23" i="28"/>
  <c r="DH23" i="28"/>
  <c r="DW23" i="28" s="1"/>
  <c r="BU23" i="28"/>
  <c r="FH23" i="28" s="1" a="1"/>
  <c r="FH23" i="28" s="1"/>
  <c r="FV23" i="28"/>
  <c r="BU72" i="28"/>
  <c r="FH72" i="28" s="1" a="1"/>
  <c r="FH72" i="28" s="1"/>
  <c r="DH72" i="28"/>
  <c r="DW72" i="28" s="1"/>
  <c r="FV72" i="28"/>
  <c r="HB72" i="28"/>
  <c r="HD20" i="28"/>
  <c r="FX20" i="28"/>
  <c r="DJ20" i="28"/>
  <c r="DY20" i="28" s="1"/>
  <c r="BU21" i="28"/>
  <c r="FH21" i="28" s="1" a="1"/>
  <c r="FH21" i="28" s="1"/>
  <c r="HB21" i="28"/>
  <c r="FV21" i="28"/>
  <c r="DH21" i="28"/>
  <c r="DW21" i="28" s="1"/>
  <c r="BU9" i="28"/>
  <c r="FH9" i="28" s="1" a="1"/>
  <c r="FH9" i="28" s="1"/>
  <c r="BV8" i="28"/>
  <c r="FI8" i="28" s="1" a="1"/>
  <c r="FI8" i="28" s="1"/>
  <c r="Q733" i="37"/>
  <c r="Q701" i="37"/>
  <c r="Q693" i="37"/>
  <c r="Q709" i="37"/>
  <c r="Q717" i="37"/>
  <c r="Q725" i="37"/>
  <c r="Q741" i="37"/>
  <c r="K124" i="37"/>
  <c r="DJ61" i="28"/>
  <c r="DY61" i="28" s="1"/>
  <c r="FX61" i="28"/>
  <c r="HD61" i="28"/>
  <c r="BU69" i="28"/>
  <c r="HB69" i="28"/>
  <c r="HD68" i="28"/>
  <c r="HD66" i="28"/>
  <c r="HD67" i="28"/>
  <c r="P192" i="38"/>
  <c r="O513" i="38"/>
  <c r="O499" i="38"/>
  <c r="AL1263" i="33"/>
  <c r="AK229" i="33"/>
  <c r="AK91" i="33"/>
  <c r="AK137" i="33"/>
  <c r="AK206" i="33"/>
  <c r="AK114" i="33"/>
  <c r="AK160" i="33"/>
  <c r="AK183" i="33"/>
  <c r="AM61" i="33"/>
  <c r="AL1318" i="33"/>
  <c r="L13" i="37"/>
  <c r="N14" i="37"/>
  <c r="N125" i="37" s="1"/>
  <c r="AI9" i="33"/>
  <c r="I15" i="38"/>
  <c r="I25" i="38" s="1"/>
  <c r="AK67" i="33"/>
  <c r="AK68" i="33" s="1"/>
  <c r="AK10" i="33"/>
  <c r="AK1314" i="33"/>
  <c r="AJ25" i="33"/>
  <c r="AJ53" i="33"/>
  <c r="AI1315" i="33"/>
  <c r="AH1269" i="33"/>
  <c r="AL1296" i="33"/>
  <c r="AL1309" i="33" s="1"/>
  <c r="L16" i="38" s="1"/>
  <c r="AI1268" i="33"/>
  <c r="AI1290" i="33" s="1"/>
  <c r="AI1291" i="33" s="1"/>
  <c r="AJ1145" i="33"/>
  <c r="AJ1260" i="33" s="1"/>
  <c r="AI1139" i="33"/>
  <c r="AI1143" i="33" s="1"/>
  <c r="AI1132" i="33"/>
  <c r="AI1134" i="33" s="1"/>
  <c r="AI1115" i="33"/>
  <c r="AI1119" i="33"/>
  <c r="AI1112" i="33"/>
  <c r="AI1125" i="33"/>
  <c r="AI1114" i="33"/>
  <c r="AI1118" i="33"/>
  <c r="AI1113" i="33"/>
  <c r="AI1120" i="33"/>
  <c r="AH1128" i="33"/>
  <c r="AJ1147" i="33"/>
  <c r="AI1155" i="33"/>
  <c r="AI1116" i="33" s="1"/>
  <c r="AH1116" i="33"/>
  <c r="AH1117" i="33"/>
  <c r="BE1133" i="33"/>
  <c r="BB1138" i="33"/>
  <c r="AZ1138" i="33"/>
  <c r="AX1138" i="33"/>
  <c r="AM1148" i="33"/>
  <c r="HD75" i="28" l="1"/>
  <c r="BV38" i="28"/>
  <c r="FI38" i="28" s="1" a="1"/>
  <c r="FI38" i="28" s="1"/>
  <c r="DH78" i="28"/>
  <c r="DW78" i="28" s="1"/>
  <c r="BV40" i="28"/>
  <c r="FI40" i="28" s="1" a="1"/>
  <c r="FI40" i="28" s="1"/>
  <c r="HB25" i="28"/>
  <c r="FI75" i="28" a="1"/>
  <c r="FI75" i="28" s="1"/>
  <c r="FX75" i="28" s="1"/>
  <c r="BU25" i="28"/>
  <c r="FH25" i="28" s="1" a="1"/>
  <c r="FH25" i="28" s="1"/>
  <c r="FW25" i="28" s="1"/>
  <c r="DV25" i="28"/>
  <c r="DH25" i="28"/>
  <c r="DW25" i="28" s="1"/>
  <c r="BU78" i="28"/>
  <c r="FH78" i="28" s="1" a="1"/>
  <c r="FH78" i="28" s="1"/>
  <c r="FW78" i="28" s="1"/>
  <c r="HB78" i="28"/>
  <c r="BU76" i="28"/>
  <c r="FH76" i="28" s="1" a="1"/>
  <c r="FH76" i="28" s="1"/>
  <c r="FW76" i="28" s="1"/>
  <c r="HB76" i="28"/>
  <c r="DH76" i="28"/>
  <c r="DW76" i="28" s="1"/>
  <c r="HB73" i="28"/>
  <c r="BU73" i="28"/>
  <c r="FH73" i="28" s="1" a="1"/>
  <c r="FH73" i="28" s="1"/>
  <c r="FW73" i="28" s="1"/>
  <c r="DH73" i="28"/>
  <c r="DW73" i="28" s="1"/>
  <c r="BU74" i="28"/>
  <c r="FH74" i="28" s="1" a="1"/>
  <c r="FH74" i="28" s="1"/>
  <c r="FW74" i="28" s="1"/>
  <c r="DH74" i="28"/>
  <c r="DW74" i="28" s="1"/>
  <c r="HB74" i="28"/>
  <c r="M180" i="37"/>
  <c r="J969" i="51"/>
  <c r="O181" i="37"/>
  <c r="L970" i="51"/>
  <c r="DI69" i="28"/>
  <c r="DX69" i="28" s="1"/>
  <c r="FH69" i="28" a="1"/>
  <c r="FH69" i="28" s="1"/>
  <c r="FW69" i="28" s="1"/>
  <c r="EB84" i="28"/>
  <c r="FU27" i="28"/>
  <c r="FU26" i="28"/>
  <c r="EB27" i="28"/>
  <c r="EB26" i="28"/>
  <c r="FU84" i="28"/>
  <c r="O506" i="38"/>
  <c r="DG27" i="28"/>
  <c r="DV27" i="28" s="1"/>
  <c r="DG26" i="28"/>
  <c r="DV26" i="28" s="1"/>
  <c r="DG84" i="28"/>
  <c r="DV84" i="28" s="1"/>
  <c r="BV17" i="28"/>
  <c r="BV72" i="28"/>
  <c r="FI72" i="28" s="1" a="1"/>
  <c r="FI72" i="28" s="1"/>
  <c r="FW72" i="28"/>
  <c r="DI72" i="28"/>
  <c r="DX72" i="28" s="1"/>
  <c r="HC72" i="28"/>
  <c r="R741" i="37"/>
  <c r="R725" i="37"/>
  <c r="R733" i="37"/>
  <c r="R701" i="37"/>
  <c r="R709" i="37"/>
  <c r="R693" i="37"/>
  <c r="R717" i="37"/>
  <c r="BV21" i="28"/>
  <c r="FI21" i="28" s="1" a="1"/>
  <c r="FI21" i="28" s="1"/>
  <c r="HC21" i="28"/>
  <c r="FW21" i="28"/>
  <c r="DI21" i="28"/>
  <c r="DX21" i="28" s="1"/>
  <c r="BV11" i="28"/>
  <c r="BV77" i="28"/>
  <c r="FI77" i="28" s="1" a="1"/>
  <c r="FI77" i="28" s="1"/>
  <c r="DI77" i="28"/>
  <c r="DX77" i="28" s="1"/>
  <c r="FW77" i="28"/>
  <c r="HC77" i="28"/>
  <c r="BV9" i="28"/>
  <c r="FI9" i="28" s="1" a="1"/>
  <c r="FI9" i="28" s="1"/>
  <c r="BV23" i="28"/>
  <c r="FI23" i="28" s="1" a="1"/>
  <c r="FI23" i="28" s="1"/>
  <c r="FW23" i="28"/>
  <c r="HC23" i="28"/>
  <c r="DI23" i="28"/>
  <c r="DX23" i="28" s="1"/>
  <c r="BV10" i="28"/>
  <c r="FI10" i="28" s="1" a="1"/>
  <c r="FI10" i="28" s="1"/>
  <c r="L124" i="37"/>
  <c r="BV69" i="28"/>
  <c r="HC69" i="28"/>
  <c r="Q192" i="38"/>
  <c r="P513" i="38"/>
  <c r="P499" i="38"/>
  <c r="AL206" i="33"/>
  <c r="AM206" i="33" s="1"/>
  <c r="AL137" i="33"/>
  <c r="AM137" i="33" s="1"/>
  <c r="AL91" i="33"/>
  <c r="AM91" i="33" s="1"/>
  <c r="AL114" i="33"/>
  <c r="AM114" i="33" s="1"/>
  <c r="AL229" i="33"/>
  <c r="AM229" i="33" s="1"/>
  <c r="AL160" i="33"/>
  <c r="AM160" i="33" s="1"/>
  <c r="AL183" i="33"/>
  <c r="AM183" i="33" s="1"/>
  <c r="O14" i="37"/>
  <c r="O125" i="37" s="1"/>
  <c r="M13" i="37"/>
  <c r="AJ9" i="33"/>
  <c r="J15" i="38"/>
  <c r="J25" i="38" s="1"/>
  <c r="AL67" i="33"/>
  <c r="AL10" i="33"/>
  <c r="M970" i="51" s="1"/>
  <c r="AL1314" i="33"/>
  <c r="AK25" i="33"/>
  <c r="AK53" i="33"/>
  <c r="AJ1315" i="33"/>
  <c r="AI1269" i="33"/>
  <c r="AM1296" i="33"/>
  <c r="AM1309" i="33" s="1"/>
  <c r="AJ1268" i="33"/>
  <c r="AJ1290" i="33" s="1"/>
  <c r="AJ1291" i="33" s="1"/>
  <c r="AH1121" i="33"/>
  <c r="L108" i="37" s="1"/>
  <c r="AK1145" i="33"/>
  <c r="AK1260" i="33" s="1"/>
  <c r="AJ1119" i="33"/>
  <c r="AJ1112" i="33"/>
  <c r="AJ1125" i="33"/>
  <c r="AJ1114" i="33"/>
  <c r="AJ1118" i="33"/>
  <c r="AJ1120" i="33"/>
  <c r="AJ1113" i="33"/>
  <c r="AJ1139" i="33"/>
  <c r="AJ1143" i="33" s="1"/>
  <c r="AJ1132" i="33"/>
  <c r="AJ1134" i="33" s="1"/>
  <c r="AJ1115" i="33"/>
  <c r="AI1127" i="33"/>
  <c r="AI1128" i="33" s="1"/>
  <c r="AK1147" i="33"/>
  <c r="AJ1155" i="33"/>
  <c r="AJ1127" i="33" s="1"/>
  <c r="AI1117" i="33"/>
  <c r="AI1121" i="33" s="1"/>
  <c r="M108" i="37" s="1"/>
  <c r="BA1138" i="33"/>
  <c r="BE1138" i="33"/>
  <c r="BC1138" i="33"/>
  <c r="AN1148" i="33"/>
  <c r="GL25" i="28" l="1"/>
  <c r="S741" i="37" s="1"/>
  <c r="BV78" i="28"/>
  <c r="FI78" i="28" s="1" a="1"/>
  <c r="FI78" i="28" s="1"/>
  <c r="FX78" i="28" s="1"/>
  <c r="DI25" i="28"/>
  <c r="GM25" i="28" s="1"/>
  <c r="HC25" i="28"/>
  <c r="BV76" i="28"/>
  <c r="FI76" i="28" s="1" a="1"/>
  <c r="FI76" i="28" s="1"/>
  <c r="FX76" i="28" s="1"/>
  <c r="BV25" i="28"/>
  <c r="FI25" i="28" s="1" a="1"/>
  <c r="FI25" i="28" s="1"/>
  <c r="FX25" i="28" s="1"/>
  <c r="HC78" i="28"/>
  <c r="DI78" i="28"/>
  <c r="DX78" i="28" s="1"/>
  <c r="DI76" i="28"/>
  <c r="DX76" i="28" s="1"/>
  <c r="HC76" i="28"/>
  <c r="BV73" i="28"/>
  <c r="FI73" i="28" s="1" a="1"/>
  <c r="FI73" i="28" s="1"/>
  <c r="FX73" i="28" s="1"/>
  <c r="HC73" i="28"/>
  <c r="DI73" i="28"/>
  <c r="DX73" i="28" s="1"/>
  <c r="DI74" i="28"/>
  <c r="DX74" i="28" s="1"/>
  <c r="HC74" i="28"/>
  <c r="BV74" i="28"/>
  <c r="FI74" i="28" s="1" a="1"/>
  <c r="FI74" i="28" s="1"/>
  <c r="FX74" i="28" s="1"/>
  <c r="N180" i="37"/>
  <c r="K969" i="51"/>
  <c r="DJ69" i="28"/>
  <c r="DY69" i="28" s="1"/>
  <c r="FI69" i="28" a="1"/>
  <c r="FI69" i="28" s="1"/>
  <c r="FX69" i="28" s="1"/>
  <c r="FV27" i="28"/>
  <c r="FV26" i="28"/>
  <c r="P506" i="38"/>
  <c r="DH27" i="28"/>
  <c r="DW27" i="28" s="1"/>
  <c r="DH26" i="28"/>
  <c r="DW26" i="28" s="1"/>
  <c r="DH84" i="28"/>
  <c r="DW84" i="28" s="1"/>
  <c r="FV84" i="28"/>
  <c r="AM10" i="33"/>
  <c r="Q14" i="37" s="1"/>
  <c r="Q125" i="37" s="1"/>
  <c r="M16" i="38"/>
  <c r="HD77" i="28"/>
  <c r="DJ77" i="28"/>
  <c r="DY77" i="28" s="1"/>
  <c r="FX77" i="28"/>
  <c r="FX72" i="28"/>
  <c r="HD72" i="28"/>
  <c r="DJ72" i="28"/>
  <c r="DY72" i="28" s="1"/>
  <c r="HD21" i="28"/>
  <c r="DJ21" i="28"/>
  <c r="DY21" i="28" s="1"/>
  <c r="FX21" i="28"/>
  <c r="HD76" i="28"/>
  <c r="S701" i="37"/>
  <c r="S709" i="37"/>
  <c r="S717" i="37"/>
  <c r="HD23" i="28"/>
  <c r="FX23" i="28"/>
  <c r="DJ23" i="28"/>
  <c r="DY23" i="28" s="1"/>
  <c r="M124" i="37"/>
  <c r="HD69" i="28"/>
  <c r="R192" i="38"/>
  <c r="Q513" i="38"/>
  <c r="Q499" i="38"/>
  <c r="P181" i="37"/>
  <c r="N13" i="37"/>
  <c r="AK9" i="33"/>
  <c r="K15" i="38"/>
  <c r="K25" i="38" s="1"/>
  <c r="P14" i="37"/>
  <c r="P125" i="37" s="1"/>
  <c r="AL68" i="33"/>
  <c r="AL25" i="33"/>
  <c r="AK1315" i="33"/>
  <c r="AJ1269" i="33"/>
  <c r="AN1296" i="33"/>
  <c r="AN1309" i="33" s="1"/>
  <c r="AL53" i="33"/>
  <c r="AK1268" i="33"/>
  <c r="AK1290" i="33" s="1"/>
  <c r="AK1291" i="33" s="1"/>
  <c r="AJ1116" i="33"/>
  <c r="AJ1117" i="33"/>
  <c r="AJ1128" i="33"/>
  <c r="AL1145" i="33"/>
  <c r="AL1260" i="33" s="1"/>
  <c r="AK1132" i="33"/>
  <c r="AK1134" i="33" s="1"/>
  <c r="AK1125" i="33"/>
  <c r="AK1114" i="33"/>
  <c r="AK1118" i="33"/>
  <c r="AK1139" i="33"/>
  <c r="AK1143" i="33" s="1"/>
  <c r="AK1120" i="33"/>
  <c r="AK1113" i="33"/>
  <c r="AK1112" i="33"/>
  <c r="AK1115" i="33"/>
  <c r="AK1119" i="33"/>
  <c r="AL1147" i="33"/>
  <c r="AA1147" i="33" s="1"/>
  <c r="AK1155" i="33"/>
  <c r="AK1116" i="33" s="1"/>
  <c r="BF1138" i="33"/>
  <c r="BD1138" i="33"/>
  <c r="AO1148" i="33"/>
  <c r="S725" i="37" l="1"/>
  <c r="HD78" i="28"/>
  <c r="S733" i="37"/>
  <c r="S693" i="37"/>
  <c r="DJ78" i="28"/>
  <c r="DY78" i="28" s="1"/>
  <c r="HD25" i="28"/>
  <c r="DX25" i="28"/>
  <c r="DJ25" i="28"/>
  <c r="GN25" i="28" s="1"/>
  <c r="DJ76" i="28"/>
  <c r="DY76" i="28" s="1"/>
  <c r="HD73" i="28"/>
  <c r="DJ74" i="28"/>
  <c r="DY74" i="28" s="1"/>
  <c r="DJ73" i="28"/>
  <c r="DY73" i="28" s="1"/>
  <c r="HD74" i="28"/>
  <c r="O180" i="37"/>
  <c r="L969" i="51"/>
  <c r="FW27" i="28"/>
  <c r="FW26" i="28"/>
  <c r="Q181" i="37"/>
  <c r="FW84" i="28"/>
  <c r="Q506" i="38"/>
  <c r="DI27" i="28"/>
  <c r="DX27" i="28" s="1"/>
  <c r="DI26" i="28"/>
  <c r="DX26" i="28" s="1"/>
  <c r="DI84" i="28"/>
  <c r="DX84" i="28" s="1"/>
  <c r="AN10" i="33"/>
  <c r="N16" i="38"/>
  <c r="T741" i="37"/>
  <c r="T733" i="37"/>
  <c r="T701" i="37"/>
  <c r="T693" i="37"/>
  <c r="T709" i="37"/>
  <c r="T717" i="37"/>
  <c r="T725" i="37"/>
  <c r="N124" i="37"/>
  <c r="R513" i="38"/>
  <c r="R499" i="38"/>
  <c r="AM25" i="33"/>
  <c r="O13" i="37"/>
  <c r="AL9" i="33"/>
  <c r="M969" i="51" s="1"/>
  <c r="L15" i="38"/>
  <c r="L25" i="38" s="1"/>
  <c r="AL1315" i="33"/>
  <c r="AL1316" i="33"/>
  <c r="AK1269" i="33"/>
  <c r="AO1296" i="33"/>
  <c r="AP1296" i="33" s="1"/>
  <c r="AJ1121" i="33"/>
  <c r="N108" i="37" s="1"/>
  <c r="AL1268" i="33"/>
  <c r="AL1290" i="33" s="1"/>
  <c r="AL1292" i="33" s="1"/>
  <c r="AK1117" i="33"/>
  <c r="AK1121" i="33" s="1"/>
  <c r="O108" i="37" s="1"/>
  <c r="AK1127" i="33"/>
  <c r="AK1128" i="33" s="1"/>
  <c r="AM1145" i="33"/>
  <c r="AM1260" i="33" s="1"/>
  <c r="AL1125" i="33"/>
  <c r="AL1114" i="33"/>
  <c r="AL1118" i="33"/>
  <c r="AL1115" i="33"/>
  <c r="AL1120" i="33"/>
  <c r="AL1113" i="33"/>
  <c r="AL1139" i="33"/>
  <c r="AL1143" i="33" s="1"/>
  <c r="AL1132" i="33"/>
  <c r="AL1134" i="33" s="1"/>
  <c r="AL1119" i="33"/>
  <c r="AL1112" i="33"/>
  <c r="AM1147" i="33"/>
  <c r="AL1155" i="33"/>
  <c r="AP1148" i="33"/>
  <c r="DY25" i="28" l="1"/>
  <c r="FX27" i="28"/>
  <c r="FX26" i="28"/>
  <c r="R181" i="37"/>
  <c r="R14" i="37"/>
  <c r="R125" i="37" s="1"/>
  <c r="R506" i="38"/>
  <c r="DJ27" i="28"/>
  <c r="DY27" i="28" s="1"/>
  <c r="DJ26" i="28"/>
  <c r="DY26" i="28" s="1"/>
  <c r="DJ84" i="28"/>
  <c r="DY84" i="28" s="1"/>
  <c r="AM9" i="33"/>
  <c r="Q13" i="37" s="1"/>
  <c r="Q124" i="37" s="1"/>
  <c r="M15" i="38"/>
  <c r="M25" i="38" s="1"/>
  <c r="FX84" i="28"/>
  <c r="U733" i="37"/>
  <c r="U741" i="37"/>
  <c r="U693" i="37"/>
  <c r="U725" i="37"/>
  <c r="U709" i="37"/>
  <c r="U717" i="37"/>
  <c r="U701" i="37"/>
  <c r="O124" i="37"/>
  <c r="P180" i="37"/>
  <c r="F180" i="37" s="1"/>
  <c r="P13" i="37"/>
  <c r="AL1116" i="33"/>
  <c r="AA1155" i="33"/>
  <c r="AL1270" i="33"/>
  <c r="AL1269" i="33"/>
  <c r="AL1291" i="33"/>
  <c r="AO1309" i="33"/>
  <c r="AP1309" i="33"/>
  <c r="AQ1296" i="33"/>
  <c r="AL1127" i="33"/>
  <c r="AL1128" i="33" s="1"/>
  <c r="AN1145" i="33"/>
  <c r="AN1260" i="33" s="1"/>
  <c r="AM1118" i="33"/>
  <c r="AM1119" i="33"/>
  <c r="AM1120" i="33"/>
  <c r="AM1113" i="33"/>
  <c r="AM1112" i="33"/>
  <c r="AM1139" i="33"/>
  <c r="AM1143" i="33" s="1"/>
  <c r="AM1132" i="33"/>
  <c r="AM1134" i="33" s="1"/>
  <c r="AM1115" i="33"/>
  <c r="AM1125" i="33"/>
  <c r="AM1114" i="33"/>
  <c r="AN1147" i="33"/>
  <c r="AM1155" i="33"/>
  <c r="AM1127" i="33" s="1"/>
  <c r="AL1117" i="33"/>
  <c r="AQ1148" i="33"/>
  <c r="AN9" i="33" l="1"/>
  <c r="N15" i="38"/>
  <c r="N25" i="38" s="1"/>
  <c r="AP10" i="33"/>
  <c r="P16" i="38"/>
  <c r="AO10" i="33"/>
  <c r="O16" i="38"/>
  <c r="Q180" i="37"/>
  <c r="AL1121" i="33"/>
  <c r="P108" i="37" s="1"/>
  <c r="P124" i="37"/>
  <c r="F124" i="37" s="1"/>
  <c r="F13" i="37"/>
  <c r="AR1296" i="33"/>
  <c r="AQ1309" i="33"/>
  <c r="AM1128" i="33"/>
  <c r="AM1117" i="33"/>
  <c r="AO1147" i="33"/>
  <c r="AN1155" i="33"/>
  <c r="AN1127" i="33" s="1"/>
  <c r="AM1116" i="33"/>
  <c r="AO1145" i="33"/>
  <c r="AO1260" i="33" s="1"/>
  <c r="AN1120" i="33"/>
  <c r="AN1113" i="33"/>
  <c r="AN1139" i="33"/>
  <c r="AN1143" i="33" s="1"/>
  <c r="AN1132" i="33"/>
  <c r="AN1134" i="33" s="1"/>
  <c r="AN1115" i="33"/>
  <c r="AN1119" i="33"/>
  <c r="AN1112" i="33"/>
  <c r="AN1125" i="33"/>
  <c r="AN1114" i="33"/>
  <c r="AN1118" i="33"/>
  <c r="AR1148" i="33"/>
  <c r="T14" i="37" l="1"/>
  <c r="T125" i="37" s="1"/>
  <c r="T181" i="37"/>
  <c r="S14" i="37"/>
  <c r="S125" i="37" s="1"/>
  <c r="S181" i="37"/>
  <c r="AQ10" i="33"/>
  <c r="Q16" i="38"/>
  <c r="R180" i="37"/>
  <c r="R13" i="37"/>
  <c r="R124" i="37" s="1"/>
  <c r="AO9" i="33"/>
  <c r="O15" i="38"/>
  <c r="O25" i="38" s="1"/>
  <c r="F108" i="37"/>
  <c r="DC77" i="28"/>
  <c r="DR77" i="28" s="1"/>
  <c r="DR24" i="28"/>
  <c r="DC25" i="28"/>
  <c r="DC75" i="28"/>
  <c r="DR75" i="28" s="1"/>
  <c r="DC73" i="28"/>
  <c r="DR73" i="28" s="1"/>
  <c r="DC76" i="28"/>
  <c r="DR76" i="28" s="1"/>
  <c r="DC72" i="28"/>
  <c r="DR72" i="28" s="1"/>
  <c r="DC21" i="28"/>
  <c r="DR21" i="28" s="1"/>
  <c r="DC78" i="28"/>
  <c r="DR78" i="28" s="1"/>
  <c r="DC74" i="28"/>
  <c r="DR74" i="28" s="1"/>
  <c r="CW76" i="28"/>
  <c r="DL76" i="28" s="1"/>
  <c r="CW74" i="28"/>
  <c r="DL74" i="28" s="1"/>
  <c r="CW75" i="28"/>
  <c r="DL75" i="28" s="1"/>
  <c r="DL24" i="28"/>
  <c r="CW78" i="28"/>
  <c r="DL78" i="28" s="1"/>
  <c r="CW72" i="28"/>
  <c r="DL72" i="28" s="1"/>
  <c r="CW21" i="28"/>
  <c r="DL21" i="28" s="1"/>
  <c r="CW25" i="28"/>
  <c r="CW77" i="28"/>
  <c r="DL77" i="28" s="1"/>
  <c r="CW73" i="28"/>
  <c r="DL73" i="28" s="1"/>
  <c r="CZ72" i="28"/>
  <c r="DO72" i="28" s="1"/>
  <c r="CZ21" i="28"/>
  <c r="DO21" i="28" s="1"/>
  <c r="CZ74" i="28"/>
  <c r="DO74" i="28" s="1"/>
  <c r="CZ76" i="28"/>
  <c r="DO76" i="28" s="1"/>
  <c r="DO24" i="28"/>
  <c r="CZ78" i="28"/>
  <c r="DO78" i="28" s="1"/>
  <c r="CZ73" i="28"/>
  <c r="DO73" i="28" s="1"/>
  <c r="CZ77" i="28"/>
  <c r="DO77" i="28" s="1"/>
  <c r="CZ25" i="28"/>
  <c r="CZ75" i="28"/>
  <c r="DO75" i="28" s="1"/>
  <c r="CY75" i="28"/>
  <c r="DN75" i="28" s="1"/>
  <c r="CY77" i="28"/>
  <c r="DN77" i="28" s="1"/>
  <c r="CY73" i="28"/>
  <c r="DN73" i="28" s="1"/>
  <c r="CY25" i="28"/>
  <c r="CY78" i="28"/>
  <c r="DN78" i="28" s="1"/>
  <c r="CY74" i="28"/>
  <c r="DN74" i="28" s="1"/>
  <c r="DN24" i="28"/>
  <c r="CY76" i="28"/>
  <c r="DN76" i="28" s="1"/>
  <c r="CY72" i="28"/>
  <c r="DN72" i="28" s="1"/>
  <c r="CY21" i="28"/>
  <c r="DN21" i="28" s="1"/>
  <c r="CV74" i="28"/>
  <c r="DK74" i="28" s="1"/>
  <c r="CV25" i="28"/>
  <c r="CV76" i="28"/>
  <c r="DK76" i="28" s="1"/>
  <c r="CV72" i="28"/>
  <c r="DK72" i="28" s="1"/>
  <c r="CV75" i="28"/>
  <c r="DK75" i="28" s="1"/>
  <c r="CV78" i="28"/>
  <c r="DK78" i="28" s="1"/>
  <c r="CV73" i="28"/>
  <c r="DK73" i="28" s="1"/>
  <c r="CV21" i="28"/>
  <c r="DK21" i="28" s="1"/>
  <c r="CV77" i="28"/>
  <c r="DK77" i="28" s="1"/>
  <c r="DD74" i="28"/>
  <c r="DS74" i="28" s="1"/>
  <c r="DD72" i="28"/>
  <c r="DS72" i="28" s="1"/>
  <c r="DD76" i="28"/>
  <c r="DS76" i="28" s="1"/>
  <c r="DS24" i="28"/>
  <c r="DD21" i="28"/>
  <c r="DS21" i="28" s="1"/>
  <c r="DD25" i="28"/>
  <c r="DD78" i="28"/>
  <c r="DS78" i="28" s="1"/>
  <c r="DD75" i="28"/>
  <c r="DS75" i="28" s="1"/>
  <c r="DD73" i="28"/>
  <c r="DS73" i="28" s="1"/>
  <c r="DD77" i="28"/>
  <c r="DS77" i="28" s="1"/>
  <c r="DE76" i="28"/>
  <c r="DT76" i="28" s="1"/>
  <c r="DE72" i="28"/>
  <c r="DT72" i="28" s="1"/>
  <c r="DE74" i="28"/>
  <c r="DT74" i="28" s="1"/>
  <c r="DE78" i="28"/>
  <c r="DT78" i="28" s="1"/>
  <c r="DE75" i="28"/>
  <c r="DT75" i="28" s="1"/>
  <c r="DT24" i="28"/>
  <c r="DE25" i="28"/>
  <c r="DE77" i="28"/>
  <c r="DT77" i="28" s="1"/>
  <c r="DE73" i="28"/>
  <c r="DT73" i="28" s="1"/>
  <c r="DE21" i="28"/>
  <c r="DT21" i="28" s="1"/>
  <c r="CX73" i="28"/>
  <c r="DM73" i="28" s="1"/>
  <c r="CX75" i="28"/>
  <c r="DM75" i="28" s="1"/>
  <c r="CX77" i="28"/>
  <c r="DM77" i="28" s="1"/>
  <c r="CX74" i="28"/>
  <c r="DM74" i="28" s="1"/>
  <c r="CX25" i="28"/>
  <c r="CX78" i="28"/>
  <c r="DM78" i="28" s="1"/>
  <c r="DM24" i="28"/>
  <c r="CX72" i="28"/>
  <c r="DM72" i="28" s="1"/>
  <c r="CX21" i="28"/>
  <c r="DM21" i="28" s="1"/>
  <c r="CX76" i="28"/>
  <c r="DM76" i="28" s="1"/>
  <c r="DA78" i="28"/>
  <c r="DP78" i="28" s="1"/>
  <c r="DA72" i="28"/>
  <c r="DP72" i="28" s="1"/>
  <c r="DA21" i="28"/>
  <c r="DP21" i="28" s="1"/>
  <c r="DA77" i="28"/>
  <c r="DP77" i="28" s="1"/>
  <c r="DA73" i="28"/>
  <c r="DP73" i="28" s="1"/>
  <c r="DA76" i="28"/>
  <c r="DP76" i="28" s="1"/>
  <c r="DA74" i="28"/>
  <c r="DP74" i="28" s="1"/>
  <c r="DA75" i="28"/>
  <c r="DP75" i="28" s="1"/>
  <c r="DP24" i="28"/>
  <c r="DA25" i="28"/>
  <c r="DB25" i="28"/>
  <c r="DB77" i="28"/>
  <c r="DQ77" i="28" s="1"/>
  <c r="DB73" i="28"/>
  <c r="DQ73" i="28" s="1"/>
  <c r="DB72" i="28"/>
  <c r="DQ72" i="28" s="1"/>
  <c r="DB21" i="28"/>
  <c r="DQ21" i="28" s="1"/>
  <c r="DB76" i="28"/>
  <c r="DQ76" i="28" s="1"/>
  <c r="DB75" i="28"/>
  <c r="DQ75" i="28" s="1"/>
  <c r="DB74" i="28"/>
  <c r="DQ74" i="28" s="1"/>
  <c r="DB78" i="28"/>
  <c r="DQ78" i="28" s="1"/>
  <c r="DQ24" i="28"/>
  <c r="GQ69" i="28"/>
  <c r="GQ81" i="28"/>
  <c r="GQ67" i="28"/>
  <c r="GQ71" i="28"/>
  <c r="GQ75" i="28"/>
  <c r="GQ79" i="28"/>
  <c r="GQ24" i="28"/>
  <c r="GQ65" i="28"/>
  <c r="GQ73" i="28"/>
  <c r="GQ77" i="28"/>
  <c r="GQ21" i="28"/>
  <c r="GQ64" i="28"/>
  <c r="GQ68" i="28"/>
  <c r="GQ72" i="28"/>
  <c r="GQ76" i="28"/>
  <c r="GQ80" i="28"/>
  <c r="GQ25" i="28"/>
  <c r="GQ66" i="28"/>
  <c r="GQ78" i="28"/>
  <c r="GQ70" i="28"/>
  <c r="GQ74" i="28"/>
  <c r="GQ22" i="28"/>
  <c r="GQ23" i="28"/>
  <c r="GT65" i="28"/>
  <c r="GT69" i="28"/>
  <c r="GT73" i="28"/>
  <c r="GT77" i="28"/>
  <c r="GT81" i="28"/>
  <c r="GT21" i="28"/>
  <c r="GT66" i="28"/>
  <c r="GT70" i="28"/>
  <c r="GT74" i="28"/>
  <c r="GT78" i="28"/>
  <c r="GT22" i="28"/>
  <c r="GT67" i="28"/>
  <c r="GT71" i="28"/>
  <c r="GT75" i="28"/>
  <c r="GT79" i="28"/>
  <c r="GT24" i="28"/>
  <c r="GT72" i="28"/>
  <c r="GT76" i="28"/>
  <c r="GT25" i="28"/>
  <c r="GT64" i="28"/>
  <c r="GT80" i="28"/>
  <c r="GT68" i="28"/>
  <c r="GT23" i="28"/>
  <c r="GS66" i="28"/>
  <c r="GS70" i="28"/>
  <c r="GS74" i="28"/>
  <c r="GS78" i="28"/>
  <c r="GS22" i="28"/>
  <c r="GS64" i="28"/>
  <c r="GS68" i="28"/>
  <c r="GS67" i="28"/>
  <c r="GS71" i="28"/>
  <c r="GS75" i="28"/>
  <c r="GS79" i="28"/>
  <c r="GS24" i="28"/>
  <c r="GS80" i="28"/>
  <c r="GS72" i="28"/>
  <c r="GS76" i="28"/>
  <c r="GS25" i="28"/>
  <c r="GS65" i="28"/>
  <c r="GS81" i="28"/>
  <c r="GS69" i="28"/>
  <c r="GS73" i="28"/>
  <c r="GS21" i="28"/>
  <c r="GS77" i="28"/>
  <c r="GS23" i="28"/>
  <c r="GP67" i="28"/>
  <c r="GP71" i="28"/>
  <c r="GP75" i="28"/>
  <c r="GP79" i="28"/>
  <c r="GP24" i="28"/>
  <c r="GP64" i="28"/>
  <c r="GP68" i="28"/>
  <c r="GP72" i="28"/>
  <c r="GP76" i="28"/>
  <c r="GP80" i="28"/>
  <c r="GP25" i="28"/>
  <c r="GP65" i="28"/>
  <c r="GP69" i="28"/>
  <c r="GP73" i="28"/>
  <c r="GP77" i="28"/>
  <c r="GP81" i="28"/>
  <c r="GP21" i="28"/>
  <c r="GP66" i="28"/>
  <c r="GP78" i="28"/>
  <c r="GP70" i="28"/>
  <c r="GP74" i="28"/>
  <c r="GP22" i="28"/>
  <c r="GP23" i="28"/>
  <c r="GV64" i="28"/>
  <c r="GV68" i="28"/>
  <c r="GV72" i="28"/>
  <c r="GV76" i="28"/>
  <c r="GV80" i="28"/>
  <c r="GV25" i="28"/>
  <c r="GV65" i="28"/>
  <c r="GV69" i="28"/>
  <c r="GV73" i="28"/>
  <c r="GV77" i="28"/>
  <c r="GV81" i="28"/>
  <c r="GV21" i="28"/>
  <c r="GV66" i="28"/>
  <c r="GV70" i="28"/>
  <c r="GV74" i="28"/>
  <c r="GV78" i="28"/>
  <c r="GV22" i="28"/>
  <c r="GV75" i="28"/>
  <c r="GV24" i="28"/>
  <c r="GV79" i="28"/>
  <c r="GV71" i="28"/>
  <c r="GV67" i="28"/>
  <c r="GV23" i="28"/>
  <c r="GY65" i="28"/>
  <c r="GY73" i="28"/>
  <c r="GY77" i="28"/>
  <c r="GY21" i="28"/>
  <c r="GY67" i="28"/>
  <c r="GY71" i="28"/>
  <c r="GY75" i="28"/>
  <c r="GY79" i="28"/>
  <c r="GY24" i="28"/>
  <c r="GY69" i="28"/>
  <c r="GY81" i="28"/>
  <c r="GY64" i="28"/>
  <c r="GY68" i="28"/>
  <c r="GY72" i="28"/>
  <c r="GY76" i="28"/>
  <c r="GY80" i="28"/>
  <c r="GY25" i="28"/>
  <c r="GY70" i="28"/>
  <c r="GY78" i="28"/>
  <c r="GY74" i="28"/>
  <c r="GY22" i="28"/>
  <c r="GY66" i="28"/>
  <c r="GY23" i="28"/>
  <c r="GW64" i="28"/>
  <c r="GW68" i="28"/>
  <c r="GW72" i="28"/>
  <c r="GW76" i="28"/>
  <c r="GW80" i="28"/>
  <c r="GW25" i="28"/>
  <c r="GW78" i="28"/>
  <c r="GW22" i="28"/>
  <c r="GW65" i="28"/>
  <c r="GW69" i="28"/>
  <c r="GW73" i="28"/>
  <c r="GW77" i="28"/>
  <c r="GW81" i="28"/>
  <c r="GW21" i="28"/>
  <c r="GW70" i="28"/>
  <c r="GW74" i="28"/>
  <c r="GW66" i="28"/>
  <c r="GW75" i="28"/>
  <c r="GW24" i="28"/>
  <c r="GW67" i="28"/>
  <c r="GW79" i="28"/>
  <c r="GW71" i="28"/>
  <c r="GW23" i="28"/>
  <c r="GR66" i="28"/>
  <c r="GR70" i="28"/>
  <c r="GR74" i="28"/>
  <c r="GR78" i="28"/>
  <c r="GR22" i="28"/>
  <c r="GR67" i="28"/>
  <c r="GR71" i="28"/>
  <c r="GR75" i="28"/>
  <c r="GR79" i="28"/>
  <c r="GR24" i="28"/>
  <c r="GR64" i="28"/>
  <c r="GR68" i="28"/>
  <c r="GR72" i="28"/>
  <c r="GR76" i="28"/>
  <c r="GR80" i="28"/>
  <c r="GR25" i="28"/>
  <c r="GR69" i="28"/>
  <c r="GR21" i="28"/>
  <c r="GR65" i="28"/>
  <c r="GR73" i="28"/>
  <c r="GR81" i="28"/>
  <c r="GR77" i="28"/>
  <c r="GR23" i="28"/>
  <c r="GU65" i="28"/>
  <c r="GU69" i="28"/>
  <c r="GU73" i="28"/>
  <c r="GU77" i="28"/>
  <c r="GU81" i="28"/>
  <c r="GU21" i="28"/>
  <c r="GU71" i="28"/>
  <c r="GU75" i="28"/>
  <c r="GU66" i="28"/>
  <c r="GU70" i="28"/>
  <c r="GU74" i="28"/>
  <c r="GU78" i="28"/>
  <c r="GU22" i="28"/>
  <c r="GU67" i="28"/>
  <c r="GU24" i="28"/>
  <c r="GU79" i="28"/>
  <c r="GU72" i="28"/>
  <c r="GU64" i="28"/>
  <c r="GU80" i="28"/>
  <c r="GU76" i="28"/>
  <c r="GU25" i="28"/>
  <c r="GU68" i="28"/>
  <c r="GU23" i="28"/>
  <c r="GX67" i="28"/>
  <c r="GX71" i="28"/>
  <c r="GX75" i="28"/>
  <c r="GX79" i="28"/>
  <c r="GX24" i="28"/>
  <c r="GX64" i="28"/>
  <c r="GX68" i="28"/>
  <c r="GX72" i="28"/>
  <c r="GX76" i="28"/>
  <c r="GX80" i="28"/>
  <c r="GX25" i="28"/>
  <c r="GX65" i="28"/>
  <c r="GX69" i="28"/>
  <c r="GX73" i="28"/>
  <c r="GX77" i="28"/>
  <c r="GX81" i="28"/>
  <c r="GX21" i="28"/>
  <c r="GX78" i="28"/>
  <c r="GX74" i="28"/>
  <c r="GX22" i="28"/>
  <c r="GX66" i="28"/>
  <c r="GX70" i="28"/>
  <c r="GX23" i="28"/>
  <c r="CV80" i="28"/>
  <c r="DK80" i="28" s="1"/>
  <c r="CV81" i="28"/>
  <c r="DK81" i="28" s="1"/>
  <c r="CV79" i="28"/>
  <c r="DK79" i="28" s="1"/>
  <c r="CV64" i="28"/>
  <c r="DK64" i="28" s="1"/>
  <c r="CV67" i="28"/>
  <c r="DK67" i="28" s="1"/>
  <c r="CV65" i="28"/>
  <c r="DK65" i="28" s="1"/>
  <c r="CV66" i="28"/>
  <c r="DK66" i="28" s="1"/>
  <c r="CV68" i="28"/>
  <c r="DK68" i="28" s="1"/>
  <c r="CV22" i="28"/>
  <c r="DK22" i="28" s="1"/>
  <c r="CV70" i="28"/>
  <c r="DK70" i="28" s="1"/>
  <c r="CV71" i="28"/>
  <c r="DK71" i="28" s="1"/>
  <c r="DK24" i="28"/>
  <c r="CV23" i="28"/>
  <c r="DK23" i="28" s="1"/>
  <c r="CV69" i="28"/>
  <c r="DK69" i="28" s="1"/>
  <c r="FK80" i="28"/>
  <c r="FK81" i="28"/>
  <c r="FK79" i="28"/>
  <c r="FK64" i="28"/>
  <c r="FK65" i="28"/>
  <c r="FK75" i="28"/>
  <c r="FK68" i="28"/>
  <c r="FK67" i="28"/>
  <c r="FK66" i="28"/>
  <c r="FK22" i="28"/>
  <c r="FK71" i="28"/>
  <c r="FK24" i="28"/>
  <c r="FK70" i="28"/>
  <c r="FK73" i="28"/>
  <c r="FK21" i="28"/>
  <c r="FK23" i="28"/>
  <c r="FK25" i="28"/>
  <c r="FK78" i="28"/>
  <c r="FK72" i="28"/>
  <c r="FK77" i="28"/>
  <c r="FK69" i="28"/>
  <c r="FK76" i="28"/>
  <c r="FK74" i="28"/>
  <c r="DE79" i="28"/>
  <c r="DT79" i="28" s="1"/>
  <c r="DE80" i="28"/>
  <c r="DT80" i="28" s="1"/>
  <c r="DE64" i="28"/>
  <c r="DT64" i="28" s="1"/>
  <c r="DE81" i="28"/>
  <c r="DT81" i="28" s="1"/>
  <c r="DE22" i="28"/>
  <c r="DT22" i="28" s="1"/>
  <c r="DE70" i="28"/>
  <c r="DT70" i="28" s="1"/>
  <c r="DE71" i="28"/>
  <c r="DT71" i="28" s="1"/>
  <c r="DE65" i="28"/>
  <c r="DT65" i="28" s="1"/>
  <c r="DE66" i="28"/>
  <c r="DT66" i="28" s="1"/>
  <c r="DE67" i="28"/>
  <c r="DT67" i="28" s="1"/>
  <c r="DE68" i="28"/>
  <c r="DT68" i="28" s="1"/>
  <c r="DE23" i="28"/>
  <c r="DT23" i="28" s="1"/>
  <c r="DE69" i="28"/>
  <c r="DT69" i="28" s="1"/>
  <c r="FS79" i="28"/>
  <c r="FS80" i="28"/>
  <c r="FS64" i="28"/>
  <c r="FS81" i="28"/>
  <c r="FS22" i="28"/>
  <c r="FS71" i="28"/>
  <c r="FS70" i="28"/>
  <c r="FS24" i="28"/>
  <c r="FS65" i="28"/>
  <c r="FS75" i="28"/>
  <c r="FS66" i="28"/>
  <c r="FS68" i="28"/>
  <c r="FS67" i="28"/>
  <c r="FS74" i="28"/>
  <c r="FS25" i="28"/>
  <c r="FS76" i="28"/>
  <c r="FS73" i="28"/>
  <c r="FS72" i="28"/>
  <c r="FS21" i="28"/>
  <c r="FS77" i="28"/>
  <c r="FS69" i="28"/>
  <c r="FS23" i="28"/>
  <c r="FS78" i="28"/>
  <c r="DD79" i="28"/>
  <c r="DS79" i="28" s="1"/>
  <c r="DD80" i="28"/>
  <c r="DS80" i="28" s="1"/>
  <c r="DD81" i="28"/>
  <c r="DS81" i="28" s="1"/>
  <c r="DD64" i="28"/>
  <c r="DS64" i="28" s="1"/>
  <c r="DD22" i="28"/>
  <c r="DS22" i="28" s="1"/>
  <c r="DD71" i="28"/>
  <c r="DS71" i="28" s="1"/>
  <c r="DD70" i="28"/>
  <c r="DS70" i="28" s="1"/>
  <c r="DD67" i="28"/>
  <c r="DS67" i="28" s="1"/>
  <c r="DD65" i="28"/>
  <c r="DS65" i="28" s="1"/>
  <c r="DD68" i="28"/>
  <c r="DS68" i="28" s="1"/>
  <c r="DD66" i="28"/>
  <c r="DS66" i="28" s="1"/>
  <c r="DD69" i="28"/>
  <c r="DS69" i="28" s="1"/>
  <c r="DD23" i="28"/>
  <c r="DS23" i="28" s="1"/>
  <c r="CX80" i="28"/>
  <c r="DM80" i="28" s="1"/>
  <c r="CX79" i="28"/>
  <c r="DM79" i="28" s="1"/>
  <c r="CX81" i="28"/>
  <c r="DM81" i="28" s="1"/>
  <c r="CX64" i="28"/>
  <c r="DM64" i="28" s="1"/>
  <c r="CX22" i="28"/>
  <c r="DM22" i="28" s="1"/>
  <c r="CX71" i="28"/>
  <c r="DM71" i="28" s="1"/>
  <c r="CX70" i="28"/>
  <c r="DM70" i="28" s="1"/>
  <c r="CX67" i="28"/>
  <c r="DM67" i="28" s="1"/>
  <c r="CX66" i="28"/>
  <c r="DM66" i="28" s="1"/>
  <c r="CX68" i="28"/>
  <c r="DM68" i="28" s="1"/>
  <c r="CX65" i="28"/>
  <c r="DM65" i="28" s="1"/>
  <c r="CX23" i="28"/>
  <c r="DM23" i="28" s="1"/>
  <c r="CX69" i="28"/>
  <c r="DM69" i="28" s="1"/>
  <c r="FM79" i="28"/>
  <c r="FM80" i="28"/>
  <c r="FM64" i="28"/>
  <c r="FM81" i="28"/>
  <c r="FM22" i="28"/>
  <c r="FM24" i="28"/>
  <c r="FM71" i="28"/>
  <c r="FM70" i="28"/>
  <c r="FM65" i="28"/>
  <c r="FM67" i="28"/>
  <c r="FM66" i="28"/>
  <c r="FM75" i="28"/>
  <c r="FM68" i="28"/>
  <c r="FM23" i="28"/>
  <c r="FM72" i="28"/>
  <c r="FM21" i="28"/>
  <c r="FM74" i="28"/>
  <c r="FM76" i="28"/>
  <c r="FM25" i="28"/>
  <c r="FM77" i="28"/>
  <c r="FM73" i="28"/>
  <c r="FM69" i="28"/>
  <c r="FM78" i="28"/>
  <c r="FO79" i="28"/>
  <c r="FO80" i="28"/>
  <c r="FO81" i="28"/>
  <c r="FO64" i="28"/>
  <c r="FO22" i="28"/>
  <c r="FO71" i="28"/>
  <c r="FO24" i="28"/>
  <c r="FO70" i="28"/>
  <c r="FO65" i="28"/>
  <c r="FO66" i="28"/>
  <c r="FO75" i="28"/>
  <c r="FO67" i="28"/>
  <c r="FO68" i="28"/>
  <c r="FO74" i="28"/>
  <c r="FO23" i="28"/>
  <c r="FO77" i="28"/>
  <c r="FO76" i="28"/>
  <c r="FO73" i="28"/>
  <c r="FO25" i="28"/>
  <c r="FO72" i="28"/>
  <c r="FO78" i="28"/>
  <c r="FO21" i="28"/>
  <c r="FO69" i="28"/>
  <c r="FP79" i="28"/>
  <c r="FP80" i="28"/>
  <c r="FP64" i="28"/>
  <c r="FP81" i="28"/>
  <c r="FP22" i="28"/>
  <c r="FP71" i="28"/>
  <c r="FP70" i="28"/>
  <c r="FP24" i="28"/>
  <c r="FP65" i="28"/>
  <c r="FP66" i="28"/>
  <c r="FP68" i="28"/>
  <c r="FP75" i="28"/>
  <c r="FP67" i="28"/>
  <c r="FP74" i="28"/>
  <c r="FP23" i="28"/>
  <c r="FP78" i="28"/>
  <c r="FP73" i="28"/>
  <c r="FP77" i="28"/>
  <c r="FP76" i="28"/>
  <c r="FP69" i="28"/>
  <c r="FP72" i="28"/>
  <c r="FP21" i="28"/>
  <c r="FP25" i="28"/>
  <c r="FN79" i="28"/>
  <c r="FN80" i="28"/>
  <c r="FN81" i="28"/>
  <c r="FN64" i="28"/>
  <c r="FN22" i="28"/>
  <c r="FN24" i="28"/>
  <c r="FN70" i="28"/>
  <c r="FN71" i="28"/>
  <c r="FN65" i="28"/>
  <c r="FN67" i="28"/>
  <c r="FN66" i="28"/>
  <c r="FN68" i="28"/>
  <c r="FN75" i="28"/>
  <c r="FN74" i="28"/>
  <c r="FN73" i="28"/>
  <c r="FN77" i="28"/>
  <c r="FN23" i="28"/>
  <c r="FN21" i="28"/>
  <c r="FN78" i="28"/>
  <c r="FN69" i="28"/>
  <c r="FN76" i="28"/>
  <c r="FN25" i="28"/>
  <c r="FN72" i="28"/>
  <c r="DA79" i="28"/>
  <c r="DP79" i="28" s="1"/>
  <c r="DA80" i="28"/>
  <c r="DP80" i="28" s="1"/>
  <c r="DA81" i="28"/>
  <c r="DP81" i="28" s="1"/>
  <c r="DA64" i="28"/>
  <c r="DP64" i="28" s="1"/>
  <c r="DA22" i="28"/>
  <c r="DP22" i="28" s="1"/>
  <c r="DA70" i="28"/>
  <c r="DP70" i="28" s="1"/>
  <c r="DA71" i="28"/>
  <c r="DP71" i="28" s="1"/>
  <c r="DA66" i="28"/>
  <c r="DP66" i="28" s="1"/>
  <c r="DA67" i="28"/>
  <c r="DP67" i="28" s="1"/>
  <c r="DA65" i="28"/>
  <c r="DP65" i="28" s="1"/>
  <c r="DA68" i="28"/>
  <c r="DP68" i="28" s="1"/>
  <c r="DA23" i="28"/>
  <c r="DP23" i="28" s="1"/>
  <c r="DA69" i="28"/>
  <c r="DP69" i="28" s="1"/>
  <c r="FJ80" i="28"/>
  <c r="FJ81" i="28"/>
  <c r="FJ64" i="28"/>
  <c r="FJ79" i="28"/>
  <c r="FJ65" i="28"/>
  <c r="FJ66" i="28"/>
  <c r="FJ68" i="28"/>
  <c r="FJ67" i="28"/>
  <c r="FJ75" i="28"/>
  <c r="FJ22" i="28"/>
  <c r="FJ24" i="28"/>
  <c r="FJ70" i="28"/>
  <c r="FJ71" i="28"/>
  <c r="FJ77" i="28"/>
  <c r="FJ74" i="28"/>
  <c r="FJ73" i="28"/>
  <c r="FJ76" i="28"/>
  <c r="FJ25" i="28"/>
  <c r="FJ23" i="28"/>
  <c r="FJ72" i="28"/>
  <c r="FJ21" i="28"/>
  <c r="FJ69" i="28"/>
  <c r="FJ78" i="28"/>
  <c r="DC79" i="28"/>
  <c r="DR79" i="28" s="1"/>
  <c r="DC80" i="28"/>
  <c r="DR80" i="28" s="1"/>
  <c r="DC64" i="28"/>
  <c r="DR64" i="28" s="1"/>
  <c r="DC81" i="28"/>
  <c r="DR81" i="28" s="1"/>
  <c r="DC22" i="28"/>
  <c r="DR22" i="28" s="1"/>
  <c r="DC70" i="28"/>
  <c r="DR70" i="28" s="1"/>
  <c r="DC71" i="28"/>
  <c r="DR71" i="28" s="1"/>
  <c r="DC66" i="28"/>
  <c r="DR66" i="28" s="1"/>
  <c r="DC68" i="28"/>
  <c r="DR68" i="28" s="1"/>
  <c r="DC67" i="28"/>
  <c r="DR67" i="28" s="1"/>
  <c r="DC65" i="28"/>
  <c r="DR65" i="28" s="1"/>
  <c r="DC23" i="28"/>
  <c r="DR23" i="28" s="1"/>
  <c r="DC69" i="28"/>
  <c r="DR69" i="28" s="1"/>
  <c r="FR79" i="28"/>
  <c r="FR80" i="28"/>
  <c r="FR81" i="28"/>
  <c r="FR64" i="28"/>
  <c r="FR22" i="28"/>
  <c r="FR70" i="28"/>
  <c r="FR71" i="28"/>
  <c r="FR24" i="28"/>
  <c r="FR65" i="28"/>
  <c r="FR66" i="28"/>
  <c r="FR75" i="28"/>
  <c r="FR67" i="28"/>
  <c r="FR68" i="28"/>
  <c r="FR73" i="28"/>
  <c r="FR76" i="28"/>
  <c r="FR72" i="28"/>
  <c r="FR25" i="28"/>
  <c r="FR77" i="28"/>
  <c r="FR78" i="28"/>
  <c r="FR69" i="28"/>
  <c r="FR23" i="28"/>
  <c r="FR21" i="28"/>
  <c r="FR74" i="28"/>
  <c r="CW80" i="28"/>
  <c r="DL80" i="28" s="1"/>
  <c r="CW79" i="28"/>
  <c r="DL79" i="28" s="1"/>
  <c r="CW81" i="28"/>
  <c r="DL81" i="28" s="1"/>
  <c r="CW64" i="28"/>
  <c r="DL64" i="28" s="1"/>
  <c r="CW65" i="28"/>
  <c r="DL65" i="28" s="1"/>
  <c r="CW66" i="28"/>
  <c r="DL66" i="28" s="1"/>
  <c r="CW68" i="28"/>
  <c r="DL68" i="28" s="1"/>
  <c r="CW67" i="28"/>
  <c r="DL67" i="28" s="1"/>
  <c r="CW22" i="28"/>
  <c r="DL22" i="28" s="1"/>
  <c r="CW70" i="28"/>
  <c r="DL70" i="28" s="1"/>
  <c r="CW71" i="28"/>
  <c r="DL71" i="28" s="1"/>
  <c r="CW23" i="28"/>
  <c r="DL23" i="28" s="1"/>
  <c r="CW69" i="28"/>
  <c r="DL69" i="28" s="1"/>
  <c r="DB79" i="28"/>
  <c r="DQ79" i="28" s="1"/>
  <c r="DB80" i="28"/>
  <c r="DQ80" i="28" s="1"/>
  <c r="DB81" i="28"/>
  <c r="DQ81" i="28" s="1"/>
  <c r="DB64" i="28"/>
  <c r="DQ64" i="28" s="1"/>
  <c r="DB22" i="28"/>
  <c r="DQ22" i="28" s="1"/>
  <c r="DB70" i="28"/>
  <c r="DQ70" i="28" s="1"/>
  <c r="DB71" i="28"/>
  <c r="DQ71" i="28" s="1"/>
  <c r="DB68" i="28"/>
  <c r="DQ68" i="28" s="1"/>
  <c r="DB66" i="28"/>
  <c r="DQ66" i="28" s="1"/>
  <c r="DB65" i="28"/>
  <c r="DQ65" i="28" s="1"/>
  <c r="DB67" i="28"/>
  <c r="DQ67" i="28" s="1"/>
  <c r="DB69" i="28"/>
  <c r="DQ69" i="28" s="1"/>
  <c r="DB23" i="28"/>
  <c r="DQ23" i="28" s="1"/>
  <c r="CZ79" i="28"/>
  <c r="DO79" i="28" s="1"/>
  <c r="CZ80" i="28"/>
  <c r="DO80" i="28" s="1"/>
  <c r="CZ81" i="28"/>
  <c r="DO81" i="28" s="1"/>
  <c r="CZ64" i="28"/>
  <c r="DO64" i="28" s="1"/>
  <c r="CZ22" i="28"/>
  <c r="DO22" i="28" s="1"/>
  <c r="CZ71" i="28"/>
  <c r="DO71" i="28" s="1"/>
  <c r="CZ70" i="28"/>
  <c r="DO70" i="28" s="1"/>
  <c r="CZ67" i="28"/>
  <c r="DO67" i="28" s="1"/>
  <c r="CZ66" i="28"/>
  <c r="DO66" i="28" s="1"/>
  <c r="CZ68" i="28"/>
  <c r="DO68" i="28" s="1"/>
  <c r="CZ65" i="28"/>
  <c r="DO65" i="28" s="1"/>
  <c r="CZ23" i="28"/>
  <c r="DO23" i="28" s="1"/>
  <c r="CZ69" i="28"/>
  <c r="DO69" i="28" s="1"/>
  <c r="FQ79" i="28"/>
  <c r="FQ80" i="28"/>
  <c r="FQ81" i="28"/>
  <c r="FQ64" i="28"/>
  <c r="FQ22" i="28"/>
  <c r="FQ70" i="28"/>
  <c r="FQ71" i="28"/>
  <c r="FQ24" i="28"/>
  <c r="FQ65" i="28"/>
  <c r="FQ66" i="28"/>
  <c r="FQ75" i="28"/>
  <c r="FQ67" i="28"/>
  <c r="FQ68" i="28"/>
  <c r="FQ74" i="28"/>
  <c r="FQ23" i="28"/>
  <c r="FQ21" i="28"/>
  <c r="FQ78" i="28"/>
  <c r="FQ72" i="28"/>
  <c r="FQ25" i="28"/>
  <c r="FQ69" i="28"/>
  <c r="FQ73" i="28"/>
  <c r="FQ77" i="28"/>
  <c r="FQ76" i="28"/>
  <c r="CY79" i="28"/>
  <c r="DN79" i="28" s="1"/>
  <c r="CY80" i="28"/>
  <c r="DN80" i="28" s="1"/>
  <c r="CY64" i="28"/>
  <c r="DN64" i="28" s="1"/>
  <c r="CY81" i="28"/>
  <c r="DN81" i="28" s="1"/>
  <c r="CY22" i="28"/>
  <c r="DN22" i="28" s="1"/>
  <c r="CY71" i="28"/>
  <c r="DN71" i="28" s="1"/>
  <c r="CY70" i="28"/>
  <c r="DN70" i="28" s="1"/>
  <c r="CY67" i="28"/>
  <c r="DN67" i="28" s="1"/>
  <c r="CY65" i="28"/>
  <c r="DN65" i="28" s="1"/>
  <c r="CY66" i="28"/>
  <c r="DN66" i="28" s="1"/>
  <c r="CY68" i="28"/>
  <c r="DN68" i="28" s="1"/>
  <c r="CY69" i="28"/>
  <c r="DN69" i="28" s="1"/>
  <c r="CY23" i="28"/>
  <c r="DN23" i="28" s="1"/>
  <c r="FL79" i="28"/>
  <c r="FL80" i="28"/>
  <c r="FL64" i="28"/>
  <c r="FL81" i="28"/>
  <c r="FL22" i="28"/>
  <c r="FL71" i="28"/>
  <c r="FL70" i="28"/>
  <c r="FL24" i="28"/>
  <c r="FL65" i="28"/>
  <c r="FL68" i="28"/>
  <c r="FL66" i="28"/>
  <c r="FL75" i="28"/>
  <c r="FL67" i="28"/>
  <c r="FL74" i="28"/>
  <c r="FL76" i="28"/>
  <c r="FL21" i="28"/>
  <c r="FL72" i="28"/>
  <c r="FL78" i="28"/>
  <c r="FL23" i="28"/>
  <c r="FL77" i="28"/>
  <c r="FL25" i="28"/>
  <c r="FL73" i="28"/>
  <c r="FL69" i="28"/>
  <c r="AN1116" i="33"/>
  <c r="AS1296" i="33"/>
  <c r="AR1309" i="33"/>
  <c r="AR10" i="33" s="1"/>
  <c r="AM1121" i="33"/>
  <c r="Q108" i="37" s="1"/>
  <c r="AP1147" i="33"/>
  <c r="AO1155" i="33"/>
  <c r="AO1116" i="33" s="1"/>
  <c r="AP1145" i="33"/>
  <c r="AP1260" i="33" s="1"/>
  <c r="AO1120" i="33"/>
  <c r="AO1113" i="33"/>
  <c r="AO1139" i="33"/>
  <c r="AO1143" i="33" s="1"/>
  <c r="AO1132" i="33"/>
  <c r="AO1134" i="33" s="1"/>
  <c r="AO1115" i="33"/>
  <c r="AO1119" i="33"/>
  <c r="AO1112" i="33"/>
  <c r="AO1125" i="33"/>
  <c r="AO1114" i="33"/>
  <c r="AO1118" i="33"/>
  <c r="AN1117" i="33"/>
  <c r="AN1128" i="33"/>
  <c r="AS1148" i="33"/>
  <c r="AB910" i="33"/>
  <c r="AB909" i="33"/>
  <c r="AB908" i="33"/>
  <c r="AB907" i="33"/>
  <c r="AB905" i="33"/>
  <c r="AB904" i="33"/>
  <c r="AB903" i="33"/>
  <c r="AB902" i="33"/>
  <c r="AB900" i="33"/>
  <c r="AB899" i="33"/>
  <c r="AB898" i="33"/>
  <c r="AB897" i="33"/>
  <c r="AB895" i="33"/>
  <c r="AB894" i="33"/>
  <c r="AB893" i="33"/>
  <c r="AB892" i="33"/>
  <c r="AB888" i="33"/>
  <c r="AB887" i="33"/>
  <c r="AB886" i="33"/>
  <c r="AB885" i="33"/>
  <c r="AB883" i="33"/>
  <c r="AB882" i="33"/>
  <c r="AB881" i="33"/>
  <c r="AB880" i="33"/>
  <c r="AB878" i="33"/>
  <c r="AB877" i="33"/>
  <c r="AB876" i="33"/>
  <c r="AB875" i="33"/>
  <c r="AB873" i="33"/>
  <c r="AB872" i="33"/>
  <c r="AB871" i="33"/>
  <c r="AB870" i="33"/>
  <c r="W894" i="33"/>
  <c r="V894" i="33"/>
  <c r="U894" i="33"/>
  <c r="T894" i="33"/>
  <c r="S894" i="33"/>
  <c r="W893" i="33"/>
  <c r="W896" i="33" s="1"/>
  <c r="V893" i="33"/>
  <c r="V896" i="33" s="1"/>
  <c r="U893" i="33"/>
  <c r="U896" i="33" s="1"/>
  <c r="T893" i="33"/>
  <c r="T896" i="33" s="1"/>
  <c r="S893" i="33"/>
  <c r="S896" i="33" s="1"/>
  <c r="S866" i="33"/>
  <c r="S869" i="33" s="1"/>
  <c r="S870" i="33" s="1"/>
  <c r="S873" i="33" s="1"/>
  <c r="S877" i="33" s="1"/>
  <c r="S881" i="33" s="1"/>
  <c r="S884" i="33" s="1"/>
  <c r="S885" i="33" s="1"/>
  <c r="S888" i="33" s="1"/>
  <c r="S891" i="33" s="1"/>
  <c r="S892" i="33" s="1"/>
  <c r="S895" i="33" s="1"/>
  <c r="T866" i="33"/>
  <c r="T869" i="33" s="1"/>
  <c r="T870" i="33" s="1"/>
  <c r="T873" i="33" s="1"/>
  <c r="T877" i="33" s="1"/>
  <c r="T881" i="33" s="1"/>
  <c r="T884" i="33" s="1"/>
  <c r="T885" i="33" s="1"/>
  <c r="T888" i="33" s="1"/>
  <c r="T891" i="33" s="1"/>
  <c r="T892" i="33" s="1"/>
  <c r="T895" i="33" s="1"/>
  <c r="U866" i="33"/>
  <c r="U869" i="33" s="1"/>
  <c r="U870" i="33" s="1"/>
  <c r="U873" i="33" s="1"/>
  <c r="U877" i="33" s="1"/>
  <c r="U881" i="33" s="1"/>
  <c r="U884" i="33" s="1"/>
  <c r="U885" i="33" s="1"/>
  <c r="U888" i="33" s="1"/>
  <c r="U891" i="33" s="1"/>
  <c r="U892" i="33" s="1"/>
  <c r="U895" i="33" s="1"/>
  <c r="V866" i="33"/>
  <c r="V869" i="33" s="1"/>
  <c r="V870" i="33" s="1"/>
  <c r="V873" i="33" s="1"/>
  <c r="V877" i="33" s="1"/>
  <c r="V881" i="33" s="1"/>
  <c r="V884" i="33" s="1"/>
  <c r="V885" i="33" s="1"/>
  <c r="V888" i="33" s="1"/>
  <c r="V891" i="33" s="1"/>
  <c r="V892" i="33" s="1"/>
  <c r="V895" i="33" s="1"/>
  <c r="W866" i="33"/>
  <c r="W869" i="33" s="1"/>
  <c r="W870" i="33" s="1"/>
  <c r="W873" i="33" s="1"/>
  <c r="W877" i="33" s="1"/>
  <c r="W881" i="33" s="1"/>
  <c r="W884" i="33" s="1"/>
  <c r="W885" i="33" s="1"/>
  <c r="W888" i="33" s="1"/>
  <c r="W891" i="33" s="1"/>
  <c r="W892" i="33" s="1"/>
  <c r="W895" i="33" s="1"/>
  <c r="S867" i="33"/>
  <c r="S898" i="33" s="1"/>
  <c r="T867" i="33"/>
  <c r="T898" i="33" s="1"/>
  <c r="U867" i="33"/>
  <c r="U871" i="33" s="1"/>
  <c r="U874" i="33" s="1"/>
  <c r="U875" i="33" s="1"/>
  <c r="U878" i="33" s="1"/>
  <c r="U882" i="33" s="1"/>
  <c r="U886" i="33" s="1"/>
  <c r="V867" i="33"/>
  <c r="V871" i="33" s="1"/>
  <c r="V874" i="33" s="1"/>
  <c r="V875" i="33" s="1"/>
  <c r="V878" i="33" s="1"/>
  <c r="V882" i="33" s="1"/>
  <c r="V886" i="33" s="1"/>
  <c r="W867" i="33"/>
  <c r="W898" i="33" s="1"/>
  <c r="W871" i="33"/>
  <c r="W874" i="33" s="1"/>
  <c r="W875" i="33" s="1"/>
  <c r="W878" i="33" s="1"/>
  <c r="W882" i="33" s="1"/>
  <c r="W886" i="33" s="1"/>
  <c r="T872" i="33"/>
  <c r="T876" i="33" s="1"/>
  <c r="T879" i="33" s="1"/>
  <c r="T880" i="33" s="1"/>
  <c r="T883" i="33" s="1"/>
  <c r="T887" i="33" s="1"/>
  <c r="T890" i="33" s="1"/>
  <c r="S871" i="33"/>
  <c r="S874" i="33" s="1"/>
  <c r="S875" i="33" s="1"/>
  <c r="S878" i="33" s="1"/>
  <c r="S882" i="33" s="1"/>
  <c r="S886" i="33" s="1"/>
  <c r="T871" i="33"/>
  <c r="T874" i="33" s="1"/>
  <c r="T875" i="33" s="1"/>
  <c r="T878" i="33" s="1"/>
  <c r="T882" i="33" s="1"/>
  <c r="T886" i="33" s="1"/>
  <c r="U872" i="33"/>
  <c r="U876" i="33" s="1"/>
  <c r="U879" i="33" s="1"/>
  <c r="U880" i="33" s="1"/>
  <c r="U883" i="33" s="1"/>
  <c r="U887" i="33" s="1"/>
  <c r="U890" i="33" s="1"/>
  <c r="V872" i="33"/>
  <c r="V876" i="33" s="1"/>
  <c r="V879" i="33" s="1"/>
  <c r="V880" i="33" s="1"/>
  <c r="V883" i="33" s="1"/>
  <c r="V887" i="33" s="1"/>
  <c r="V890" i="33" s="1"/>
  <c r="W872" i="33"/>
  <c r="W876" i="33"/>
  <c r="W879" i="33" s="1"/>
  <c r="W880" i="33" s="1"/>
  <c r="W883" i="33" s="1"/>
  <c r="W887" i="33" s="1"/>
  <c r="W890" i="33" s="1"/>
  <c r="AB694" i="33"/>
  <c r="AB693" i="33"/>
  <c r="AB691" i="33"/>
  <c r="AB690" i="33"/>
  <c r="AB688" i="33"/>
  <c r="AB687" i="33"/>
  <c r="AB685" i="33"/>
  <c r="AB684" i="33"/>
  <c r="AC866" i="33"/>
  <c r="X866" i="33"/>
  <c r="R866" i="33"/>
  <c r="Q866" i="33"/>
  <c r="P866" i="33"/>
  <c r="O866" i="33"/>
  <c r="AC865" i="33"/>
  <c r="X865" i="33"/>
  <c r="W865" i="33"/>
  <c r="W868" i="33" s="1"/>
  <c r="W899" i="33" s="1"/>
  <c r="V865" i="33"/>
  <c r="V868" i="33" s="1"/>
  <c r="V899" i="33" s="1"/>
  <c r="U865" i="33"/>
  <c r="U868" i="33" s="1"/>
  <c r="U899" i="33" s="1"/>
  <c r="T865" i="33"/>
  <c r="T868" i="33" s="1"/>
  <c r="T899" i="33" s="1"/>
  <c r="S865" i="33"/>
  <c r="S868" i="33" s="1"/>
  <c r="S872" i="33" s="1"/>
  <c r="S876" i="33" s="1"/>
  <c r="S879" i="33" s="1"/>
  <c r="S880" i="33" s="1"/>
  <c r="S883" i="33" s="1"/>
  <c r="S887" i="33" s="1"/>
  <c r="S890" i="33" s="1"/>
  <c r="R865" i="33"/>
  <c r="Q865" i="33"/>
  <c r="P865" i="33"/>
  <c r="O865" i="33"/>
  <c r="AC864" i="33"/>
  <c r="AC863" i="33"/>
  <c r="AB862" i="33"/>
  <c r="AB857" i="33"/>
  <c r="AC856" i="33"/>
  <c r="AC855" i="33"/>
  <c r="AC854" i="33"/>
  <c r="AC853" i="33"/>
  <c r="AB852" i="33"/>
  <c r="AC849" i="33"/>
  <c r="AC910" i="33" s="1"/>
  <c r="AC848" i="33"/>
  <c r="AC909" i="33" s="1"/>
  <c r="AC847" i="33"/>
  <c r="AC908" i="33" s="1"/>
  <c r="AC846" i="33"/>
  <c r="AC907" i="33" s="1"/>
  <c r="AB845" i="33"/>
  <c r="AC844" i="33"/>
  <c r="AC905" i="33" s="1"/>
  <c r="AC843" i="33"/>
  <c r="AC904" i="33" s="1"/>
  <c r="AC842" i="33"/>
  <c r="AC903" i="33" s="1"/>
  <c r="AC841" i="33"/>
  <c r="AC902" i="33" s="1"/>
  <c r="AB840" i="33"/>
  <c r="AC839" i="33"/>
  <c r="AC838" i="33"/>
  <c r="AC833" i="33" s="1"/>
  <c r="AC837" i="33"/>
  <c r="AC836" i="33"/>
  <c r="AB835" i="33"/>
  <c r="AC829" i="33"/>
  <c r="AC828" i="33"/>
  <c r="AC827" i="33"/>
  <c r="AC826" i="33"/>
  <c r="AB825" i="33"/>
  <c r="AB680" i="33"/>
  <c r="AB679" i="33"/>
  <c r="AB677" i="33"/>
  <c r="AB676" i="33"/>
  <c r="AB674" i="33"/>
  <c r="AB673" i="33"/>
  <c r="AB671" i="33"/>
  <c r="AB670" i="33"/>
  <c r="AC660" i="33"/>
  <c r="AC659" i="33"/>
  <c r="AC666" i="33"/>
  <c r="AC665" i="33"/>
  <c r="AC655" i="33"/>
  <c r="Z655" i="33" s="1"/>
  <c r="AA655" i="33" s="1"/>
  <c r="AC654" i="33"/>
  <c r="Z654" i="33" s="1"/>
  <c r="AA654" i="33" s="1"/>
  <c r="AB653" i="33"/>
  <c r="AC652" i="33"/>
  <c r="Z652" i="33" s="1"/>
  <c r="AA652" i="33" s="1"/>
  <c r="AC651" i="33"/>
  <c r="Z651" i="33" s="1"/>
  <c r="AA651" i="33" s="1"/>
  <c r="AC646" i="33"/>
  <c r="AA646" i="33" s="1"/>
  <c r="AC645" i="33"/>
  <c r="AC649" i="33"/>
  <c r="AC688" i="33" s="1"/>
  <c r="AC648" i="33"/>
  <c r="AC687" i="33" s="1"/>
  <c r="AB650" i="33"/>
  <c r="AB664" i="33"/>
  <c r="AB661" i="33"/>
  <c r="AB658" i="33"/>
  <c r="AB647" i="33"/>
  <c r="AB644" i="33"/>
  <c r="AB912" i="33" l="1" a="1"/>
  <c r="U14" i="37"/>
  <c r="U125" i="37" s="1"/>
  <c r="U181" i="37"/>
  <c r="AP9" i="33"/>
  <c r="P15" i="38"/>
  <c r="P25" i="38" s="1"/>
  <c r="S180" i="37"/>
  <c r="S13" i="37"/>
  <c r="S124" i="37" s="1"/>
  <c r="DR25" i="28"/>
  <c r="GG25" i="28"/>
  <c r="DT25" i="28"/>
  <c r="GI25" i="28"/>
  <c r="DS25" i="28"/>
  <c r="GH25" i="28"/>
  <c r="AC819" i="33"/>
  <c r="AC820" i="33"/>
  <c r="AC821" i="33"/>
  <c r="AC818" i="33"/>
  <c r="J766" i="38"/>
  <c r="M766" i="38"/>
  <c r="AC897" i="33"/>
  <c r="AC831" i="33"/>
  <c r="AC900" i="33"/>
  <c r="AC834" i="33"/>
  <c r="AC898" i="33"/>
  <c r="AC832" i="33"/>
  <c r="G766" i="38"/>
  <c r="GD25" i="28"/>
  <c r="DO25" i="28"/>
  <c r="GF25" i="28"/>
  <c r="DQ25" i="28"/>
  <c r="GB25" i="28"/>
  <c r="DM25" i="28"/>
  <c r="FZ25" i="28"/>
  <c r="DK25" i="28"/>
  <c r="GC25" i="28"/>
  <c r="DN25" i="28"/>
  <c r="GA25" i="28"/>
  <c r="DL25" i="28"/>
  <c r="GE25" i="28"/>
  <c r="DP25" i="28"/>
  <c r="EB21" i="28"/>
  <c r="EB72" i="28"/>
  <c r="EB73" i="28"/>
  <c r="EB78" i="28"/>
  <c r="EB76" i="28"/>
  <c r="EB25" i="28"/>
  <c r="EB77" i="28"/>
  <c r="EB74" i="28"/>
  <c r="EB23" i="28"/>
  <c r="EB70" i="28"/>
  <c r="EB68" i="28"/>
  <c r="EB67" i="28"/>
  <c r="EB66" i="28"/>
  <c r="EB75" i="28"/>
  <c r="EB79" i="28"/>
  <c r="EB65" i="28"/>
  <c r="EB22" i="28"/>
  <c r="EB81" i="28"/>
  <c r="EB71" i="28"/>
  <c r="EB80" i="28"/>
  <c r="EB69" i="28"/>
  <c r="EB24" i="28"/>
  <c r="Z645" i="33"/>
  <c r="AD645" i="33" s="1"/>
  <c r="AA645" i="33"/>
  <c r="AC892" i="33"/>
  <c r="AC893" i="33"/>
  <c r="AC895" i="33"/>
  <c r="AC899" i="33"/>
  <c r="Z838" i="33"/>
  <c r="Z828" i="33" s="1"/>
  <c r="AA828" i="33"/>
  <c r="AC894" i="33"/>
  <c r="AC685" i="33"/>
  <c r="Z646" i="33"/>
  <c r="AN1121" i="33"/>
  <c r="R108" i="37" s="1"/>
  <c r="AO1127" i="33"/>
  <c r="AO1128" i="33" s="1"/>
  <c r="AS1309" i="33"/>
  <c r="AS10" i="33" s="1"/>
  <c r="AT1296" i="33"/>
  <c r="AO1117" i="33"/>
  <c r="AO1121" i="33" s="1"/>
  <c r="S108" i="37" s="1"/>
  <c r="AQ1145" i="33"/>
  <c r="AQ1260" i="33" s="1"/>
  <c r="AP1139" i="33"/>
  <c r="AP1143" i="33" s="1"/>
  <c r="AP1132" i="33"/>
  <c r="AP1134" i="33" s="1"/>
  <c r="AP1115" i="33"/>
  <c r="AP1119" i="33"/>
  <c r="AP1112" i="33"/>
  <c r="AP1125" i="33"/>
  <c r="AP1114" i="33"/>
  <c r="AP1118" i="33"/>
  <c r="AP1113" i="33"/>
  <c r="AP1120" i="33"/>
  <c r="AQ1147" i="33"/>
  <c r="AP1155" i="33"/>
  <c r="AP1127" i="33" s="1"/>
  <c r="AT1148" i="33"/>
  <c r="U908" i="33"/>
  <c r="W901" i="33"/>
  <c r="W902" i="33" s="1"/>
  <c r="W905" i="33" s="1"/>
  <c r="S897" i="33"/>
  <c r="S900" i="33" s="1"/>
  <c r="S901" i="33"/>
  <c r="S902" i="33" s="1"/>
  <c r="S905" i="33" s="1"/>
  <c r="T903" i="33"/>
  <c r="T906" i="33" s="1"/>
  <c r="T907" i="33" s="1"/>
  <c r="T910" i="33" s="1"/>
  <c r="S909" i="33"/>
  <c r="U909" i="33"/>
  <c r="AB817" i="33"/>
  <c r="V897" i="33"/>
  <c r="V900" i="33" s="1"/>
  <c r="U898" i="33"/>
  <c r="U901" i="33" s="1"/>
  <c r="U902" i="33" s="1"/>
  <c r="U905" i="33" s="1"/>
  <c r="AB869" i="33"/>
  <c r="AC876" i="33"/>
  <c r="S899" i="33"/>
  <c r="AC878" i="33"/>
  <c r="T901" i="33"/>
  <c r="T902" i="33" s="1"/>
  <c r="T905" i="33" s="1"/>
  <c r="AC886" i="33"/>
  <c r="AC888" i="33"/>
  <c r="W904" i="33"/>
  <c r="W897" i="33"/>
  <c r="W900" i="33" s="1"/>
  <c r="U903" i="33"/>
  <c r="U906" i="33" s="1"/>
  <c r="U907" i="33" s="1"/>
  <c r="U910" i="33" s="1"/>
  <c r="T909" i="33"/>
  <c r="AC877" i="33"/>
  <c r="AC887" i="33"/>
  <c r="W903" i="33"/>
  <c r="W906" i="33" s="1"/>
  <c r="W907" i="33" s="1"/>
  <c r="W910" i="33" s="1"/>
  <c r="S908" i="33"/>
  <c r="V909" i="33"/>
  <c r="AC870" i="33"/>
  <c r="AC880" i="33"/>
  <c r="V903" i="33"/>
  <c r="V906" i="33" s="1"/>
  <c r="V907" i="33" s="1"/>
  <c r="V910" i="33" s="1"/>
  <c r="S904" i="33"/>
  <c r="T908" i="33"/>
  <c r="W909" i="33"/>
  <c r="AC871" i="33"/>
  <c r="AC881" i="33"/>
  <c r="AC872" i="33"/>
  <c r="AC882" i="33"/>
  <c r="T904" i="33"/>
  <c r="T897" i="33"/>
  <c r="T900" i="33" s="1"/>
  <c r="V898" i="33"/>
  <c r="V901" i="33" s="1"/>
  <c r="V902" i="33" s="1"/>
  <c r="V905" i="33" s="1"/>
  <c r="U904" i="33"/>
  <c r="V908" i="33"/>
  <c r="AC873" i="33"/>
  <c r="AC883" i="33"/>
  <c r="U897" i="33"/>
  <c r="U900" i="33" s="1"/>
  <c r="S903" i="33"/>
  <c r="S906" i="33" s="1"/>
  <c r="S907" i="33" s="1"/>
  <c r="S910" i="33" s="1"/>
  <c r="V904" i="33"/>
  <c r="W908" i="33"/>
  <c r="AC875" i="33"/>
  <c r="AC885" i="33"/>
  <c r="AB639" i="33"/>
  <c r="AB683" i="33"/>
  <c r="AC694" i="33"/>
  <c r="AB669" i="33"/>
  <c r="AC693" i="33"/>
  <c r="AC684" i="33"/>
  <c r="AC691" i="33"/>
  <c r="AC690" i="33"/>
  <c r="AD648" i="33"/>
  <c r="AD649" i="33"/>
  <c r="AD654" i="33"/>
  <c r="AD655" i="33"/>
  <c r="AD652" i="33"/>
  <c r="AD691" i="33" s="1"/>
  <c r="AD651" i="33"/>
  <c r="AD690" i="33" s="1"/>
  <c r="AC663" i="33"/>
  <c r="AC858" i="33"/>
  <c r="AC677" i="33"/>
  <c r="Z848" i="33"/>
  <c r="Z844" i="33"/>
  <c r="AA844" i="33" s="1"/>
  <c r="AC673" i="33"/>
  <c r="AC679" i="33"/>
  <c r="AC671" i="33"/>
  <c r="AC825" i="33"/>
  <c r="AC674" i="33"/>
  <c r="AC680" i="33"/>
  <c r="Z846" i="33"/>
  <c r="AC653" i="33"/>
  <c r="AC662" i="33"/>
  <c r="Z843" i="33"/>
  <c r="AA843" i="33" s="1"/>
  <c r="AC670" i="33"/>
  <c r="AC676" i="33"/>
  <c r="Z836" i="33"/>
  <c r="Z826" i="33" s="1"/>
  <c r="AA826" i="33" s="1"/>
  <c r="Z839" i="33"/>
  <c r="Z829" i="33" s="1"/>
  <c r="AA829" i="33" s="1"/>
  <c r="Z841" i="33"/>
  <c r="AA841" i="33" s="1"/>
  <c r="AC845" i="33"/>
  <c r="Z847" i="33"/>
  <c r="AC859" i="33"/>
  <c r="AC860" i="33"/>
  <c r="AC840" i="33"/>
  <c r="Z842" i="33"/>
  <c r="AA842" i="33" s="1"/>
  <c r="AC861" i="33"/>
  <c r="AC835" i="33"/>
  <c r="Z837" i="33"/>
  <c r="Z827" i="33" s="1"/>
  <c r="AA827" i="33" s="1"/>
  <c r="Z849" i="33"/>
  <c r="AC650" i="33"/>
  <c r="AC644" i="33"/>
  <c r="AC647" i="33"/>
  <c r="G242" i="37" s="1"/>
  <c r="AC912" i="33" l="1" a="1"/>
  <c r="AC912" i="33" s="1"/>
  <c r="AD670" i="33"/>
  <c r="AB912" i="33"/>
  <c r="AQ9" i="33"/>
  <c r="Q15" i="38"/>
  <c r="Q25" i="38" s="1"/>
  <c r="T180" i="37"/>
  <c r="T13" i="37"/>
  <c r="T124" i="37" s="1"/>
  <c r="G725" i="37"/>
  <c r="G724" i="37" s="1"/>
  <c r="G723" i="37" s="1"/>
  <c r="G741" i="37"/>
  <c r="G740" i="37" s="1"/>
  <c r="G739" i="37" s="1"/>
  <c r="G701" i="37"/>
  <c r="G700" i="37" s="1"/>
  <c r="G699" i="37" s="1"/>
  <c r="G709" i="37"/>
  <c r="G708" i="37" s="1"/>
  <c r="G707" i="37" s="1"/>
  <c r="G733" i="37"/>
  <c r="G732" i="37" s="1"/>
  <c r="G717" i="37"/>
  <c r="G716" i="37" s="1"/>
  <c r="G715" i="37" s="1"/>
  <c r="G693" i="37"/>
  <c r="G692" i="37" s="1"/>
  <c r="G691" i="37" s="1"/>
  <c r="AC830" i="33"/>
  <c r="G243" i="37"/>
  <c r="G249" i="37"/>
  <c r="G302" i="37" s="1"/>
  <c r="M765" i="38"/>
  <c r="J765" i="38"/>
  <c r="G765" i="38"/>
  <c r="H693" i="37"/>
  <c r="H717" i="37"/>
  <c r="H709" i="37"/>
  <c r="H725" i="37"/>
  <c r="H741" i="37"/>
  <c r="H701" i="37"/>
  <c r="H733" i="37"/>
  <c r="I709" i="37"/>
  <c r="I693" i="37"/>
  <c r="I701" i="37"/>
  <c r="I717" i="37"/>
  <c r="I733" i="37"/>
  <c r="I725" i="37"/>
  <c r="I741" i="37"/>
  <c r="J717" i="37"/>
  <c r="J693" i="37"/>
  <c r="J741" i="37"/>
  <c r="J733" i="37"/>
  <c r="J709" i="37"/>
  <c r="J725" i="37"/>
  <c r="J701" i="37"/>
  <c r="AB18" i="33"/>
  <c r="AD838" i="33"/>
  <c r="AD848" i="33"/>
  <c r="AD909" i="33" s="1"/>
  <c r="AA848" i="33"/>
  <c r="AD839" i="33"/>
  <c r="AA839" i="33"/>
  <c r="AD836" i="33"/>
  <c r="AD831" i="33" s="1"/>
  <c r="AA836" i="33"/>
  <c r="AD849" i="33"/>
  <c r="AD910" i="33" s="1"/>
  <c r="AA849" i="33"/>
  <c r="AD847" i="33"/>
  <c r="AD908" i="33" s="1"/>
  <c r="AA847" i="33"/>
  <c r="AD837" i="33"/>
  <c r="AA837" i="33"/>
  <c r="AD846" i="33"/>
  <c r="AD907" i="33" s="1"/>
  <c r="AA846" i="33"/>
  <c r="AP1116" i="33"/>
  <c r="AT1309" i="33"/>
  <c r="AT10" i="33" s="1"/>
  <c r="AU1296" i="33"/>
  <c r="AP1117" i="33"/>
  <c r="AR1147" i="33"/>
  <c r="AQ1155" i="33"/>
  <c r="AQ1116" i="33" s="1"/>
  <c r="AR1145" i="33"/>
  <c r="AR1260" i="33" s="1"/>
  <c r="AR9" i="33" s="1"/>
  <c r="AQ1139" i="33"/>
  <c r="AQ1143" i="33" s="1"/>
  <c r="AQ1132" i="33"/>
  <c r="AQ1134" i="33" s="1"/>
  <c r="AQ1115" i="33"/>
  <c r="AQ1119" i="33"/>
  <c r="AQ1112" i="33"/>
  <c r="AQ1125" i="33"/>
  <c r="AQ1114" i="33"/>
  <c r="AQ1118" i="33"/>
  <c r="AQ1120" i="33"/>
  <c r="AQ1113" i="33"/>
  <c r="AP1128" i="33"/>
  <c r="AU1148" i="33"/>
  <c r="AB696" i="33"/>
  <c r="AD876" i="33"/>
  <c r="AD829" i="33"/>
  <c r="AD826" i="33"/>
  <c r="AD844" i="33"/>
  <c r="AE844" i="33" s="1"/>
  <c r="AF844" i="33" s="1"/>
  <c r="AC869" i="33"/>
  <c r="AD828" i="33"/>
  <c r="AD827" i="33"/>
  <c r="AC817" i="33"/>
  <c r="H236" i="37" s="1"/>
  <c r="AD841" i="33"/>
  <c r="AD843" i="33"/>
  <c r="AE843" i="33" s="1"/>
  <c r="AF843" i="33" s="1"/>
  <c r="AD842" i="33"/>
  <c r="AC683" i="33"/>
  <c r="AD673" i="33"/>
  <c r="AD687" i="33"/>
  <c r="AD680" i="33"/>
  <c r="AD694" i="33"/>
  <c r="AC669" i="33"/>
  <c r="AD679" i="33"/>
  <c r="AD693" i="33"/>
  <c r="AD674" i="33"/>
  <c r="AD688" i="33"/>
  <c r="AD684" i="33"/>
  <c r="AE652" i="33"/>
  <c r="AE691" i="33" s="1"/>
  <c r="AD677" i="33"/>
  <c r="AD650" i="33"/>
  <c r="AD676" i="33"/>
  <c r="AE645" i="33"/>
  <c r="AE684" i="33" s="1"/>
  <c r="AC639" i="33"/>
  <c r="G235" i="37" s="1"/>
  <c r="AE654" i="33"/>
  <c r="AD646" i="33"/>
  <c r="AE651" i="33"/>
  <c r="AD653" i="33"/>
  <c r="AD647" i="33"/>
  <c r="AE648" i="33"/>
  <c r="G236" i="37" l="1"/>
  <c r="G330" i="37"/>
  <c r="G337" i="37"/>
  <c r="G344" i="37"/>
  <c r="G309" i="37"/>
  <c r="G316" i="37"/>
  <c r="G323" i="37"/>
  <c r="U180" i="37"/>
  <c r="U13" i="37"/>
  <c r="U124" i="37" s="1"/>
  <c r="G241" i="37"/>
  <c r="G731" i="37"/>
  <c r="G234" i="37"/>
  <c r="AD818" i="33"/>
  <c r="AB703" i="33"/>
  <c r="AB715" i="33" s="1"/>
  <c r="AB716" i="33" s="1"/>
  <c r="X242" i="37"/>
  <c r="AE828" i="33"/>
  <c r="AF828" i="33" s="1"/>
  <c r="AD820" i="33"/>
  <c r="AD821" i="33"/>
  <c r="G284" i="37"/>
  <c r="G263" i="37"/>
  <c r="G277" i="37"/>
  <c r="X249" i="37"/>
  <c r="G291" i="37"/>
  <c r="G256" i="37"/>
  <c r="G270" i="37"/>
  <c r="I183" i="51" s="1" a="1"/>
  <c r="I183" i="51" s="1"/>
  <c r="AC18" i="33"/>
  <c r="G250" i="37"/>
  <c r="G304" i="37" s="1"/>
  <c r="X243" i="37"/>
  <c r="AD819" i="33"/>
  <c r="AD898" i="33"/>
  <c r="AD832" i="33"/>
  <c r="AD878" i="33"/>
  <c r="AD834" i="33"/>
  <c r="AD899" i="33"/>
  <c r="AD833" i="33"/>
  <c r="AD641" i="33"/>
  <c r="H242" i="37"/>
  <c r="AE826" i="33"/>
  <c r="C169" i="38"/>
  <c r="AB7" i="33"/>
  <c r="C170" i="38"/>
  <c r="AD897" i="33"/>
  <c r="AD685" i="33"/>
  <c r="AD683" i="33" s="1"/>
  <c r="AD671" i="33"/>
  <c r="AD669" i="33" s="1"/>
  <c r="AD886" i="33"/>
  <c r="AD887" i="33"/>
  <c r="AD877" i="33"/>
  <c r="AD900" i="33"/>
  <c r="AD875" i="33"/>
  <c r="AD835" i="33"/>
  <c r="AD830" i="33" s="1"/>
  <c r="AD845" i="33"/>
  <c r="AD888" i="33"/>
  <c r="AD885" i="33"/>
  <c r="AP1121" i="33"/>
  <c r="T108" i="37" s="1"/>
  <c r="AQ1127" i="33"/>
  <c r="AQ1128" i="33" s="1"/>
  <c r="AU1309" i="33"/>
  <c r="AU10" i="33" s="1"/>
  <c r="AV1296" i="33"/>
  <c r="AQ1117" i="33"/>
  <c r="AQ1121" i="33" s="1"/>
  <c r="U108" i="37" s="1"/>
  <c r="AS1145" i="33"/>
  <c r="AS1260" i="33" s="1"/>
  <c r="AS9" i="33" s="1"/>
  <c r="AR1119" i="33"/>
  <c r="AR1112" i="33"/>
  <c r="AR1120" i="33"/>
  <c r="AR1113" i="33"/>
  <c r="AR1125" i="33"/>
  <c r="AR1114" i="33"/>
  <c r="AR1118" i="33"/>
  <c r="AR1139" i="33"/>
  <c r="AR1143" i="33" s="1"/>
  <c r="AR1132" i="33"/>
  <c r="AR1134" i="33" s="1"/>
  <c r="AR1115" i="33"/>
  <c r="AS1147" i="33"/>
  <c r="AR1155" i="33"/>
  <c r="AR1116" i="33" s="1"/>
  <c r="AV1148" i="33"/>
  <c r="AC696" i="33"/>
  <c r="AE849" i="33"/>
  <c r="AE888" i="33" s="1"/>
  <c r="AE839" i="33"/>
  <c r="AE836" i="33"/>
  <c r="AE831" i="33" s="1"/>
  <c r="AF883" i="33"/>
  <c r="AF905" i="33"/>
  <c r="AG844" i="33"/>
  <c r="AF882" i="33"/>
  <c r="AF904" i="33"/>
  <c r="AG843" i="33"/>
  <c r="AD902" i="33"/>
  <c r="AD840" i="33"/>
  <c r="AD880" i="33"/>
  <c r="AD894" i="33"/>
  <c r="AD872" i="33"/>
  <c r="AE838" i="33"/>
  <c r="AE833" i="33" s="1"/>
  <c r="AE883" i="33"/>
  <c r="AE905" i="33"/>
  <c r="AD903" i="33"/>
  <c r="AD881" i="33"/>
  <c r="AD892" i="33"/>
  <c r="AD870" i="33"/>
  <c r="AD912" i="33" s="1" a="1"/>
  <c r="AD912" i="33" s="1"/>
  <c r="AD825" i="33"/>
  <c r="AE837" i="33"/>
  <c r="AE832" i="33" s="1"/>
  <c r="AD904" i="33"/>
  <c r="AD882" i="33"/>
  <c r="AD895" i="33"/>
  <c r="AD873" i="33"/>
  <c r="AE846" i="33"/>
  <c r="AE870" i="33"/>
  <c r="AD893" i="33"/>
  <c r="AD871" i="33"/>
  <c r="AE848" i="33"/>
  <c r="AE827" i="33"/>
  <c r="AD905" i="33"/>
  <c r="AD883" i="33"/>
  <c r="AE829" i="33"/>
  <c r="AE847" i="33"/>
  <c r="AE882" i="33"/>
  <c r="AE904" i="33"/>
  <c r="AE842" i="33"/>
  <c r="AE841" i="33"/>
  <c r="AE646" i="33"/>
  <c r="AE685" i="33" s="1"/>
  <c r="AE676" i="33"/>
  <c r="AE690" i="33"/>
  <c r="AE679" i="33"/>
  <c r="AE693" i="33"/>
  <c r="AE673" i="33"/>
  <c r="AE687" i="33"/>
  <c r="AE655" i="33"/>
  <c r="AE694" i="33" s="1"/>
  <c r="AE677" i="33"/>
  <c r="AF652" i="33"/>
  <c r="AF691" i="33" s="1"/>
  <c r="AE670" i="33"/>
  <c r="AF645" i="33"/>
  <c r="AE649" i="33"/>
  <c r="AE647" i="33" s="1"/>
  <c r="AD644" i="33"/>
  <c r="AF648" i="33"/>
  <c r="AF654" i="33"/>
  <c r="AE650" i="33"/>
  <c r="AF651" i="33"/>
  <c r="AF684" i="33" l="1"/>
  <c r="X241" i="37"/>
  <c r="AE872" i="33"/>
  <c r="AE894" i="33"/>
  <c r="AB704" i="33"/>
  <c r="AC703" i="33"/>
  <c r="AC715" i="33" s="1"/>
  <c r="AC716" i="33" s="1"/>
  <c r="AE821" i="33"/>
  <c r="AE818" i="33"/>
  <c r="X277" i="37"/>
  <c r="AE819" i="33"/>
  <c r="X250" i="37"/>
  <c r="X263" i="37"/>
  <c r="X284" i="37"/>
  <c r="X270" i="37"/>
  <c r="X256" i="37"/>
  <c r="AE892" i="33"/>
  <c r="X291" i="37"/>
  <c r="AE820" i="33"/>
  <c r="AD817" i="33"/>
  <c r="G248" i="37"/>
  <c r="AE900" i="33"/>
  <c r="AE834" i="33"/>
  <c r="AE641" i="33"/>
  <c r="I242" i="37"/>
  <c r="AF826" i="33"/>
  <c r="H249" i="37"/>
  <c r="H302" i="37" s="1"/>
  <c r="AD639" i="33"/>
  <c r="H235" i="37" s="1"/>
  <c r="AD823" i="33"/>
  <c r="H243" i="37"/>
  <c r="D170" i="38"/>
  <c r="AC7" i="33"/>
  <c r="AE897" i="33"/>
  <c r="D169" i="38"/>
  <c r="AV1309" i="33"/>
  <c r="AV10" i="33" s="1"/>
  <c r="AW1296" i="33"/>
  <c r="AR1127" i="33"/>
  <c r="AR1128" i="33" s="1"/>
  <c r="AR1117" i="33"/>
  <c r="AR1121" i="33" s="1"/>
  <c r="AT1145" i="33"/>
  <c r="AT1260" i="33" s="1"/>
  <c r="AT9" i="33" s="1"/>
  <c r="AS1125" i="33"/>
  <c r="AS1114" i="33"/>
  <c r="AS1118" i="33"/>
  <c r="AS1139" i="33"/>
  <c r="AS1143" i="33" s="1"/>
  <c r="AS1120" i="33"/>
  <c r="AS1113" i="33"/>
  <c r="AS1132" i="33"/>
  <c r="AS1134" i="33" s="1"/>
  <c r="AS1115" i="33"/>
  <c r="AS1119" i="33"/>
  <c r="AS1112" i="33"/>
  <c r="AT1147" i="33"/>
  <c r="AS1155" i="33"/>
  <c r="AS1116" i="33" s="1"/>
  <c r="AW1148" i="33"/>
  <c r="AE910" i="33"/>
  <c r="AD696" i="33"/>
  <c r="E170" i="38" s="1"/>
  <c r="AF849" i="33"/>
  <c r="AF910" i="33" s="1"/>
  <c r="AE878" i="33"/>
  <c r="AE875" i="33"/>
  <c r="AD869" i="33"/>
  <c r="AE893" i="33"/>
  <c r="AE871" i="33"/>
  <c r="AF827" i="33"/>
  <c r="AE887" i="33"/>
  <c r="AF848" i="33"/>
  <c r="AE909" i="33"/>
  <c r="AE885" i="33"/>
  <c r="AE845" i="33"/>
  <c r="AE907" i="33"/>
  <c r="AF846" i="33"/>
  <c r="AE898" i="33"/>
  <c r="AE876" i="33"/>
  <c r="AF837" i="33"/>
  <c r="AF832" i="33" s="1"/>
  <c r="AH843" i="33"/>
  <c r="AI843" i="33" s="1"/>
  <c r="AJ843" i="33" s="1"/>
  <c r="AK843" i="33" s="1"/>
  <c r="AL843" i="33" s="1"/>
  <c r="AM843" i="33" s="1"/>
  <c r="AN843" i="33" s="1"/>
  <c r="AO843" i="33" s="1"/>
  <c r="AP843" i="33" s="1"/>
  <c r="AQ843" i="33" s="1"/>
  <c r="AR843" i="33" s="1"/>
  <c r="AS843" i="33" s="1"/>
  <c r="AT843" i="33" s="1"/>
  <c r="AU843" i="33" s="1"/>
  <c r="AV843" i="33" s="1"/>
  <c r="AW843" i="33" s="1"/>
  <c r="AX843" i="33" s="1"/>
  <c r="AY843" i="33" s="1"/>
  <c r="AZ843" i="33" s="1"/>
  <c r="BA843" i="33" s="1"/>
  <c r="BB843" i="33" s="1"/>
  <c r="BC843" i="33" s="1"/>
  <c r="BD843" i="33" s="1"/>
  <c r="BE843" i="33" s="1"/>
  <c r="BF843" i="33" s="1"/>
  <c r="AG882" i="33"/>
  <c r="AG904" i="33"/>
  <c r="AE886" i="33"/>
  <c r="AE908" i="33"/>
  <c r="AF847" i="33"/>
  <c r="AD891" i="33"/>
  <c r="AG828" i="33"/>
  <c r="AF894" i="33"/>
  <c r="AF872" i="33"/>
  <c r="AE895" i="33"/>
  <c r="AE873" i="33"/>
  <c r="AF829" i="33"/>
  <c r="AE825" i="33"/>
  <c r="AH844" i="33"/>
  <c r="AI844" i="33" s="1"/>
  <c r="AJ844" i="33" s="1"/>
  <c r="AK844" i="33" s="1"/>
  <c r="AL844" i="33" s="1"/>
  <c r="AM844" i="33" s="1"/>
  <c r="AN844" i="33" s="1"/>
  <c r="AO844" i="33" s="1"/>
  <c r="AP844" i="33" s="1"/>
  <c r="AQ844" i="33" s="1"/>
  <c r="AR844" i="33" s="1"/>
  <c r="AS844" i="33" s="1"/>
  <c r="AT844" i="33" s="1"/>
  <c r="AU844" i="33" s="1"/>
  <c r="AV844" i="33" s="1"/>
  <c r="AW844" i="33" s="1"/>
  <c r="AX844" i="33" s="1"/>
  <c r="AY844" i="33" s="1"/>
  <c r="AZ844" i="33" s="1"/>
  <c r="BA844" i="33" s="1"/>
  <c r="BB844" i="33" s="1"/>
  <c r="BC844" i="33" s="1"/>
  <c r="BD844" i="33" s="1"/>
  <c r="BE844" i="33" s="1"/>
  <c r="BF844" i="33" s="1"/>
  <c r="AG905" i="33"/>
  <c r="AG883" i="33"/>
  <c r="AE902" i="33"/>
  <c r="AE840" i="33"/>
  <c r="AE880" i="33"/>
  <c r="AE912" i="33" s="1" a="1"/>
  <c r="AE912" i="33" s="1"/>
  <c r="AF841" i="33"/>
  <c r="AF839" i="33"/>
  <c r="AF834" i="33" s="1"/>
  <c r="AE835" i="33"/>
  <c r="AE903" i="33"/>
  <c r="AE881" i="33"/>
  <c r="AF842" i="33"/>
  <c r="AE899" i="33"/>
  <c r="AF838" i="33"/>
  <c r="AF833" i="33" s="1"/>
  <c r="AE877" i="33"/>
  <c r="AF836" i="33"/>
  <c r="AF831" i="33" s="1"/>
  <c r="AE671" i="33"/>
  <c r="AF646" i="33"/>
  <c r="AE644" i="33"/>
  <c r="AF679" i="33"/>
  <c r="AF693" i="33"/>
  <c r="AF673" i="33"/>
  <c r="AF687" i="33"/>
  <c r="AE674" i="33"/>
  <c r="AE688" i="33"/>
  <c r="AE683" i="33" s="1"/>
  <c r="AF676" i="33"/>
  <c r="AF690" i="33"/>
  <c r="AF655" i="33"/>
  <c r="AF694" i="33" s="1"/>
  <c r="AE680" i="33"/>
  <c r="AF649" i="33"/>
  <c r="AF688" i="33" s="1"/>
  <c r="AG645" i="33"/>
  <c r="AF670" i="33"/>
  <c r="AF677" i="33"/>
  <c r="AG652" i="33"/>
  <c r="AG691" i="33" s="1"/>
  <c r="AE653" i="33"/>
  <c r="AG648" i="33"/>
  <c r="AG654" i="33"/>
  <c r="AF650" i="33"/>
  <c r="AG651" i="33"/>
  <c r="AF685" i="33" l="1"/>
  <c r="AG684" i="33"/>
  <c r="G299" i="37"/>
  <c r="G300" i="37" s="1"/>
  <c r="G314" i="37" s="1"/>
  <c r="G318" i="37" s="1"/>
  <c r="I189" i="51"/>
  <c r="H323" i="37"/>
  <c r="H330" i="37"/>
  <c r="H337" i="37"/>
  <c r="H344" i="37"/>
  <c r="H309" i="37"/>
  <c r="H316" i="37"/>
  <c r="X248" i="37"/>
  <c r="AC704" i="33"/>
  <c r="AF818" i="33"/>
  <c r="Y7" i="33"/>
  <c r="G11" i="37"/>
  <c r="AF819" i="33"/>
  <c r="AF820" i="33"/>
  <c r="AF821" i="33"/>
  <c r="AD640" i="33"/>
  <c r="AD642" i="33" s="1"/>
  <c r="Y249" i="37"/>
  <c r="H234" i="37"/>
  <c r="Y242" i="37"/>
  <c r="H241" i="37"/>
  <c r="Y243" i="37"/>
  <c r="AE830" i="33"/>
  <c r="H291" i="37"/>
  <c r="Y291" i="37" s="1"/>
  <c r="H284" i="37"/>
  <c r="Y284" i="37" s="1"/>
  <c r="H256" i="37"/>
  <c r="H263" i="37"/>
  <c r="Y263" i="37" s="1"/>
  <c r="H270" i="37"/>
  <c r="H277" i="37"/>
  <c r="Y277" i="37" s="1"/>
  <c r="H250" i="37"/>
  <c r="H304" i="37" s="1"/>
  <c r="W492" i="38"/>
  <c r="D492" i="38" s="1"/>
  <c r="AE639" i="37" s="1"/>
  <c r="I782" i="51" s="1"/>
  <c r="AG826" i="33"/>
  <c r="AF892" i="33"/>
  <c r="AF870" i="33"/>
  <c r="I249" i="37"/>
  <c r="I302" i="37" s="1"/>
  <c r="AE823" i="33"/>
  <c r="I243" i="37"/>
  <c r="W490" i="38"/>
  <c r="D490" i="38" s="1"/>
  <c r="AE637" i="37" s="1"/>
  <c r="I780" i="51" s="1"/>
  <c r="D496" i="38"/>
  <c r="D503" i="38" s="1"/>
  <c r="D566" i="38"/>
  <c r="F566" i="38"/>
  <c r="E566" i="38"/>
  <c r="G566" i="38"/>
  <c r="G178" i="37" s="1"/>
  <c r="D510" i="38"/>
  <c r="E169" i="38"/>
  <c r="AD643" i="33"/>
  <c r="AD822" i="33"/>
  <c r="AD824" i="33" s="1"/>
  <c r="AD703" i="33"/>
  <c r="AD7" i="33"/>
  <c r="E967" i="51" s="1"/>
  <c r="AW1309" i="33"/>
  <c r="AW10" i="33" s="1"/>
  <c r="AX1296" i="33"/>
  <c r="AF888" i="33"/>
  <c r="AS1127" i="33"/>
  <c r="AS1128" i="33" s="1"/>
  <c r="AU1147" i="33"/>
  <c r="AT1155" i="33"/>
  <c r="AT1127" i="33" s="1"/>
  <c r="AS1117" i="33"/>
  <c r="AS1121" i="33" s="1"/>
  <c r="AU1145" i="33"/>
  <c r="AU1260" i="33" s="1"/>
  <c r="AU9" i="33" s="1"/>
  <c r="AT1125" i="33"/>
  <c r="AT1114" i="33"/>
  <c r="AT1118" i="33"/>
  <c r="AT1139" i="33"/>
  <c r="AT1143" i="33" s="1"/>
  <c r="AT1120" i="33"/>
  <c r="AT1113" i="33"/>
  <c r="AT1132" i="33"/>
  <c r="AT1134" i="33" s="1"/>
  <c r="AT1115" i="33"/>
  <c r="AT1119" i="33"/>
  <c r="AT1112" i="33"/>
  <c r="AX1148" i="33"/>
  <c r="AD916" i="33"/>
  <c r="AF644" i="33"/>
  <c r="AF671" i="33"/>
  <c r="AE891" i="33"/>
  <c r="AE869" i="33"/>
  <c r="AF887" i="33"/>
  <c r="AF909" i="33"/>
  <c r="AG848" i="33"/>
  <c r="AF897" i="33"/>
  <c r="AF835" i="33"/>
  <c r="AF830" i="33" s="1"/>
  <c r="AF875" i="33"/>
  <c r="AG836" i="33"/>
  <c r="AG831" i="33" s="1"/>
  <c r="AG839" i="33"/>
  <c r="AG834" i="33" s="1"/>
  <c r="AF900" i="33"/>
  <c r="AF878" i="33"/>
  <c r="AH905" i="33"/>
  <c r="AH883" i="33"/>
  <c r="AH828" i="33"/>
  <c r="AG894" i="33"/>
  <c r="AG872" i="33"/>
  <c r="AG847" i="33"/>
  <c r="AF886" i="33"/>
  <c r="AF908" i="33"/>
  <c r="AF893" i="33"/>
  <c r="AF871" i="33"/>
  <c r="AG827" i="33"/>
  <c r="AF825" i="33"/>
  <c r="AG838" i="33"/>
  <c r="AG833" i="33" s="1"/>
  <c r="AF899" i="33"/>
  <c r="AF877" i="33"/>
  <c r="AG846" i="33"/>
  <c r="AF885" i="33"/>
  <c r="AF907" i="33"/>
  <c r="AF845" i="33"/>
  <c r="AG841" i="33"/>
  <c r="AF902" i="33"/>
  <c r="AF880" i="33"/>
  <c r="AF840" i="33"/>
  <c r="AE817" i="33"/>
  <c r="I236" i="37" s="1"/>
  <c r="AG842" i="33"/>
  <c r="AF903" i="33"/>
  <c r="AF881" i="33"/>
  <c r="AG829" i="33"/>
  <c r="AF895" i="33"/>
  <c r="AF873" i="33"/>
  <c r="AF898" i="33"/>
  <c r="AF876" i="33"/>
  <c r="AG837" i="33"/>
  <c r="AG832" i="33" s="1"/>
  <c r="AG646" i="33"/>
  <c r="AH882" i="33"/>
  <c r="AH904" i="33"/>
  <c r="AG849" i="33"/>
  <c r="AE639" i="33"/>
  <c r="I235" i="37" s="1"/>
  <c r="AF683" i="33"/>
  <c r="AF653" i="33"/>
  <c r="AE669" i="33"/>
  <c r="AG673" i="33"/>
  <c r="AG687" i="33"/>
  <c r="AG676" i="33"/>
  <c r="AG690" i="33"/>
  <c r="AG679" i="33"/>
  <c r="AG693" i="33"/>
  <c r="AG670" i="33"/>
  <c r="AH645" i="33"/>
  <c r="AH652" i="33"/>
  <c r="AG677" i="33"/>
  <c r="AG649" i="33"/>
  <c r="AG688" i="33" s="1"/>
  <c r="AF674" i="33"/>
  <c r="AF647" i="33"/>
  <c r="AF680" i="33"/>
  <c r="AG655" i="33"/>
  <c r="AG694" i="33" s="1"/>
  <c r="AH654" i="33"/>
  <c r="AH648" i="33"/>
  <c r="AG650" i="33"/>
  <c r="AH651" i="33"/>
  <c r="AI651" i="33" s="1"/>
  <c r="AJ651" i="33" s="1"/>
  <c r="AF912" i="33" l="1" a="1"/>
  <c r="AF912" i="33" s="1"/>
  <c r="AG671" i="33"/>
  <c r="G328" i="37"/>
  <c r="G332" i="37" s="1"/>
  <c r="G342" i="37"/>
  <c r="G346" i="37" s="1"/>
  <c r="G321" i="37"/>
  <c r="G325" i="37" s="1"/>
  <c r="G335" i="37"/>
  <c r="G339" i="37" s="1"/>
  <c r="G307" i="37"/>
  <c r="G311" i="37" s="1"/>
  <c r="Y270" i="37"/>
  <c r="J183" i="51" a="1"/>
  <c r="J183" i="51" s="1"/>
  <c r="J181" i="51" s="1"/>
  <c r="I316" i="37"/>
  <c r="I323" i="37"/>
  <c r="I330" i="37"/>
  <c r="I337" i="37"/>
  <c r="I309" i="37"/>
  <c r="I344" i="37"/>
  <c r="AD8" i="33"/>
  <c r="Y256" i="37"/>
  <c r="AG820" i="33"/>
  <c r="AG818" i="33"/>
  <c r="AG821" i="33"/>
  <c r="AG819" i="33"/>
  <c r="AI828" i="33"/>
  <c r="G984" i="37"/>
  <c r="G122" i="37"/>
  <c r="Z242" i="37"/>
  <c r="AE822" i="33"/>
  <c r="AE824" i="33" s="1"/>
  <c r="E13" i="38" s="1"/>
  <c r="I234" i="37"/>
  <c r="Z249" i="37"/>
  <c r="Y241" i="37"/>
  <c r="I241" i="37"/>
  <c r="H248" i="37"/>
  <c r="Y250" i="37"/>
  <c r="I284" i="37"/>
  <c r="Z284" i="37" s="1"/>
  <c r="I256" i="37"/>
  <c r="I263" i="37"/>
  <c r="Z263" i="37" s="1"/>
  <c r="I291" i="37"/>
  <c r="Z291" i="37" s="1"/>
  <c r="I270" i="37"/>
  <c r="I277" i="37"/>
  <c r="Z277" i="37" s="1"/>
  <c r="I250" i="37"/>
  <c r="I304" i="37" s="1"/>
  <c r="AF823" i="33"/>
  <c r="J243" i="37"/>
  <c r="AF641" i="33"/>
  <c r="J242" i="37"/>
  <c r="AG870" i="33"/>
  <c r="AH826" i="33"/>
  <c r="AG892" i="33"/>
  <c r="DK48" i="28"/>
  <c r="DK49" i="28"/>
  <c r="DK42" i="28"/>
  <c r="DK45" i="28"/>
  <c r="DK44" i="28"/>
  <c r="DK43" i="28"/>
  <c r="DK47" i="28"/>
  <c r="DK8" i="28"/>
  <c r="DK9" i="28"/>
  <c r="DK11" i="28"/>
  <c r="DK10" i="28"/>
  <c r="X492" i="38"/>
  <c r="E492" i="38" s="1"/>
  <c r="X490" i="38"/>
  <c r="E490" i="38" s="1"/>
  <c r="E496" i="38"/>
  <c r="E503" i="38" s="1"/>
  <c r="H566" i="38"/>
  <c r="E510" i="38"/>
  <c r="E178" i="38"/>
  <c r="X489" i="38" s="1"/>
  <c r="E489" i="38" s="1"/>
  <c r="AE640" i="33"/>
  <c r="AE642" i="33" s="1"/>
  <c r="E12" i="38" s="1"/>
  <c r="AE643" i="33"/>
  <c r="E18" i="38" s="1"/>
  <c r="AE696" i="33"/>
  <c r="F169" i="38" s="1"/>
  <c r="H11" i="37"/>
  <c r="AK651" i="33"/>
  <c r="AI648" i="33"/>
  <c r="AH691" i="33"/>
  <c r="AI652" i="33"/>
  <c r="AJ652" i="33" s="1"/>
  <c r="AK652" i="33" s="1"/>
  <c r="AL652" i="33" s="1"/>
  <c r="AM652" i="33" s="1"/>
  <c r="AN652" i="33" s="1"/>
  <c r="AO652" i="33" s="1"/>
  <c r="AP652" i="33" s="1"/>
  <c r="AQ652" i="33" s="1"/>
  <c r="AR652" i="33" s="1"/>
  <c r="AS652" i="33" s="1"/>
  <c r="AT652" i="33" s="1"/>
  <c r="AU652" i="33" s="1"/>
  <c r="AV652" i="33" s="1"/>
  <c r="AW652" i="33" s="1"/>
  <c r="AX652" i="33" s="1"/>
  <c r="AY652" i="33" s="1"/>
  <c r="AZ652" i="33" s="1"/>
  <c r="BA652" i="33" s="1"/>
  <c r="BB652" i="33" s="1"/>
  <c r="BC652" i="33" s="1"/>
  <c r="BD652" i="33" s="1"/>
  <c r="BE652" i="33" s="1"/>
  <c r="BF652" i="33" s="1"/>
  <c r="AH684" i="33"/>
  <c r="AI645" i="33"/>
  <c r="AD715" i="33"/>
  <c r="AD716" i="33" s="1"/>
  <c r="AD704" i="33"/>
  <c r="AT1116" i="33"/>
  <c r="AX1309" i="33"/>
  <c r="AX10" i="33" s="1"/>
  <c r="AY1296" i="33"/>
  <c r="AT1128" i="33"/>
  <c r="AV1145" i="33"/>
  <c r="AV1260" i="33" s="1"/>
  <c r="AV9" i="33" s="1"/>
  <c r="AU1118" i="33"/>
  <c r="AU1120" i="33"/>
  <c r="AU1113" i="33"/>
  <c r="AU1139" i="33"/>
  <c r="AU1143" i="33" s="1"/>
  <c r="AU1132" i="33"/>
  <c r="AU1134" i="33" s="1"/>
  <c r="AU1115" i="33"/>
  <c r="AU1119" i="33"/>
  <c r="AU1112" i="33"/>
  <c r="AU1125" i="33"/>
  <c r="AU1114" i="33"/>
  <c r="AT1117" i="33"/>
  <c r="AV1147" i="33"/>
  <c r="AU1155" i="33"/>
  <c r="AU1116" i="33" s="1"/>
  <c r="AY1148" i="33"/>
  <c r="AE916" i="33"/>
  <c r="AH839" i="33"/>
  <c r="AH834" i="33" s="1"/>
  <c r="AG900" i="33"/>
  <c r="AG878" i="33"/>
  <c r="AG910" i="33"/>
  <c r="AG888" i="33"/>
  <c r="AH849" i="33"/>
  <c r="AH829" i="33"/>
  <c r="AG895" i="33"/>
  <c r="AG873" i="33"/>
  <c r="AH841" i="33"/>
  <c r="AI841" i="33" s="1"/>
  <c r="AJ841" i="33" s="1"/>
  <c r="AG902" i="33"/>
  <c r="AG880" i="33"/>
  <c r="AG840" i="33"/>
  <c r="AF817" i="33"/>
  <c r="J236" i="37" s="1"/>
  <c r="AG897" i="33"/>
  <c r="AG875" i="33"/>
  <c r="AG835" i="33"/>
  <c r="AG830" i="33" s="1"/>
  <c r="AH836" i="33"/>
  <c r="AH831" i="33" s="1"/>
  <c r="AG899" i="33"/>
  <c r="AG877" i="33"/>
  <c r="AH838" i="33"/>
  <c r="AH833" i="33" s="1"/>
  <c r="AG685" i="33"/>
  <c r="AG683" i="33" s="1"/>
  <c r="AH827" i="33"/>
  <c r="AG893" i="33"/>
  <c r="AG871" i="33"/>
  <c r="AG825" i="33"/>
  <c r="AH894" i="33"/>
  <c r="AH872" i="33"/>
  <c r="AH646" i="33"/>
  <c r="AF869" i="33"/>
  <c r="AI882" i="33"/>
  <c r="AI904" i="33"/>
  <c r="AG898" i="33"/>
  <c r="AG876" i="33"/>
  <c r="AH837" i="33"/>
  <c r="AH832" i="33" s="1"/>
  <c r="AH842" i="33"/>
  <c r="AI842" i="33" s="1"/>
  <c r="AJ842" i="33" s="1"/>
  <c r="AK842" i="33" s="1"/>
  <c r="AL842" i="33" s="1"/>
  <c r="AM842" i="33" s="1"/>
  <c r="AN842" i="33" s="1"/>
  <c r="AO842" i="33" s="1"/>
  <c r="AP842" i="33" s="1"/>
  <c r="AQ842" i="33" s="1"/>
  <c r="AR842" i="33" s="1"/>
  <c r="AS842" i="33" s="1"/>
  <c r="AT842" i="33" s="1"/>
  <c r="AU842" i="33" s="1"/>
  <c r="AV842" i="33" s="1"/>
  <c r="AW842" i="33" s="1"/>
  <c r="AX842" i="33" s="1"/>
  <c r="AY842" i="33" s="1"/>
  <c r="AZ842" i="33" s="1"/>
  <c r="BA842" i="33" s="1"/>
  <c r="BB842" i="33" s="1"/>
  <c r="BC842" i="33" s="1"/>
  <c r="BD842" i="33" s="1"/>
  <c r="BE842" i="33" s="1"/>
  <c r="BF842" i="33" s="1"/>
  <c r="AG903" i="33"/>
  <c r="AG881" i="33"/>
  <c r="AF891" i="33"/>
  <c r="AG644" i="33"/>
  <c r="AG885" i="33"/>
  <c r="AG907" i="33"/>
  <c r="AG845" i="33"/>
  <c r="AH846" i="33"/>
  <c r="AI883" i="33"/>
  <c r="AI905" i="33"/>
  <c r="AG887" i="33"/>
  <c r="AG909" i="33"/>
  <c r="AH848" i="33"/>
  <c r="AG908" i="33"/>
  <c r="AG886" i="33"/>
  <c r="AH847" i="33"/>
  <c r="AF639" i="33"/>
  <c r="J235" i="37" s="1"/>
  <c r="AF669" i="33"/>
  <c r="AH676" i="33"/>
  <c r="AH690" i="33"/>
  <c r="AH673" i="33"/>
  <c r="AH687" i="33"/>
  <c r="AH679" i="33"/>
  <c r="AH693" i="33"/>
  <c r="AG653" i="33"/>
  <c r="AH677" i="33"/>
  <c r="AG674" i="33"/>
  <c r="AH649" i="33"/>
  <c r="AH655" i="33"/>
  <c r="AH694" i="33" s="1"/>
  <c r="AG680" i="33"/>
  <c r="AH670" i="33"/>
  <c r="AG647" i="33"/>
  <c r="AH650" i="33"/>
  <c r="AI654" i="33"/>
  <c r="AG912" i="33" l="1" a="1"/>
  <c r="AG912" i="33" s="1"/>
  <c r="AJ645" i="33"/>
  <c r="H299" i="37"/>
  <c r="H300" i="37" s="1"/>
  <c r="H307" i="37" s="1"/>
  <c r="H311" i="37" s="1"/>
  <c r="Z270" i="37"/>
  <c r="K183" i="51" a="1"/>
  <c r="K183" i="51" s="1"/>
  <c r="K181" i="51" s="1"/>
  <c r="J189" i="51"/>
  <c r="H12" i="37"/>
  <c r="E968" i="51"/>
  <c r="AE8" i="33"/>
  <c r="Z256" i="37"/>
  <c r="Y248" i="37"/>
  <c r="Z243" i="37"/>
  <c r="AH820" i="33"/>
  <c r="AH818" i="33"/>
  <c r="AJ828" i="33"/>
  <c r="Z241" i="37"/>
  <c r="AA242" i="37"/>
  <c r="AF822" i="33"/>
  <c r="AF824" i="33" s="1"/>
  <c r="F13" i="38" s="1"/>
  <c r="AH819" i="33"/>
  <c r="AI829" i="33"/>
  <c r="AH821" i="33"/>
  <c r="H122" i="37"/>
  <c r="I248" i="37"/>
  <c r="Z250" i="37"/>
  <c r="J241" i="37"/>
  <c r="J250" i="37"/>
  <c r="J304" i="37" s="1"/>
  <c r="AI827" i="33"/>
  <c r="AI826" i="33"/>
  <c r="AH892" i="33"/>
  <c r="AH870" i="33"/>
  <c r="J249" i="37"/>
  <c r="J302" i="37" s="1"/>
  <c r="AG641" i="33"/>
  <c r="K242" i="37"/>
  <c r="AG823" i="33"/>
  <c r="K243" i="37"/>
  <c r="DL44" i="28"/>
  <c r="E179" i="38"/>
  <c r="AF696" i="33"/>
  <c r="G170" i="38" s="1"/>
  <c r="AE703" i="33"/>
  <c r="AE715" i="33" s="1"/>
  <c r="AE716" i="33" s="1"/>
  <c r="F170" i="38"/>
  <c r="F496" i="38" s="1"/>
  <c r="F503" i="38" s="1"/>
  <c r="F178" i="38"/>
  <c r="C23" i="38"/>
  <c r="D23" i="38"/>
  <c r="AE7" i="33"/>
  <c r="F967" i="51" s="1"/>
  <c r="AF640" i="33"/>
  <c r="AF642" i="33" s="1"/>
  <c r="F12" i="38" s="1"/>
  <c r="AF643" i="33"/>
  <c r="F18" i="38" s="1"/>
  <c r="F19" i="38" s="1"/>
  <c r="E19" i="38"/>
  <c r="AI846" i="33"/>
  <c r="AJ654" i="33"/>
  <c r="AI691" i="33"/>
  <c r="AI838" i="33"/>
  <c r="AI833" i="33" s="1"/>
  <c r="AI684" i="33"/>
  <c r="AH685" i="33"/>
  <c r="AI646" i="33"/>
  <c r="AI849" i="33"/>
  <c r="AJ840" i="33"/>
  <c r="AK841" i="33"/>
  <c r="AI847" i="33"/>
  <c r="AH688" i="33"/>
  <c r="AI649" i="33"/>
  <c r="AI688" i="33" s="1"/>
  <c r="AI848" i="33"/>
  <c r="AJ648" i="33"/>
  <c r="AK650" i="33"/>
  <c r="AL651" i="33"/>
  <c r="AJ650" i="33"/>
  <c r="AI839" i="33"/>
  <c r="AI834" i="33" s="1"/>
  <c r="AI836" i="33"/>
  <c r="AI831" i="33" s="1"/>
  <c r="AI837" i="33"/>
  <c r="AI832" i="33" s="1"/>
  <c r="AT1121" i="33"/>
  <c r="AZ1296" i="33"/>
  <c r="AY1309" i="33"/>
  <c r="AY10" i="33" s="1"/>
  <c r="AU1117" i="33"/>
  <c r="AU1121" i="33" s="1"/>
  <c r="AW1145" i="33"/>
  <c r="AW1260" i="33" s="1"/>
  <c r="AW9" i="33" s="1"/>
  <c r="AV1125" i="33"/>
  <c r="AV1120" i="33"/>
  <c r="AV1113" i="33"/>
  <c r="AV1139" i="33"/>
  <c r="AV1143" i="33" s="1"/>
  <c r="AV1132" i="33"/>
  <c r="AV1134" i="33" s="1"/>
  <c r="AV1115" i="33"/>
  <c r="AV1119" i="33"/>
  <c r="AV1112" i="33"/>
  <c r="AV1118" i="33"/>
  <c r="AV1114" i="33"/>
  <c r="AU1127" i="33"/>
  <c r="AU1128" i="33" s="1"/>
  <c r="AW1147" i="33"/>
  <c r="AV1155" i="33"/>
  <c r="AV1127" i="33" s="1"/>
  <c r="AZ1148" i="33"/>
  <c r="AH644" i="33"/>
  <c r="AF916" i="33"/>
  <c r="AH671" i="33"/>
  <c r="AG817" i="33"/>
  <c r="K236" i="37" s="1"/>
  <c r="AJ882" i="33"/>
  <c r="AJ904" i="33"/>
  <c r="AG869" i="33"/>
  <c r="AH897" i="33"/>
  <c r="AH875" i="33"/>
  <c r="AH835" i="33"/>
  <c r="AH830" i="33" s="1"/>
  <c r="AH902" i="33"/>
  <c r="AH880" i="33"/>
  <c r="AH840" i="33"/>
  <c r="AH910" i="33"/>
  <c r="AH888" i="33"/>
  <c r="AH908" i="33"/>
  <c r="AH886" i="33"/>
  <c r="AJ883" i="33"/>
  <c r="AJ905" i="33"/>
  <c r="AG891" i="33"/>
  <c r="AI894" i="33"/>
  <c r="AI872" i="33"/>
  <c r="AH885" i="33"/>
  <c r="AH907" i="33"/>
  <c r="AH845" i="33"/>
  <c r="AH903" i="33"/>
  <c r="AH881" i="33"/>
  <c r="AH893" i="33"/>
  <c r="AH871" i="33"/>
  <c r="AH825" i="33"/>
  <c r="AH898" i="33"/>
  <c r="AH876" i="33"/>
  <c r="AH895" i="33"/>
  <c r="AH873" i="33"/>
  <c r="AH887" i="33"/>
  <c r="AH909" i="33"/>
  <c r="AH899" i="33"/>
  <c r="AH877" i="33"/>
  <c r="AH900" i="33"/>
  <c r="AH878" i="33"/>
  <c r="AG669" i="33"/>
  <c r="AH647" i="33"/>
  <c r="AG639" i="33"/>
  <c r="K235" i="37" s="1"/>
  <c r="AH653" i="33"/>
  <c r="AI673" i="33"/>
  <c r="AI687" i="33"/>
  <c r="AI676" i="33"/>
  <c r="AI690" i="33"/>
  <c r="AI679" i="33"/>
  <c r="AI693" i="33"/>
  <c r="AH680" i="33"/>
  <c r="AI655" i="33"/>
  <c r="AJ691" i="33"/>
  <c r="AI677" i="33"/>
  <c r="AH674" i="33"/>
  <c r="AI670" i="33"/>
  <c r="AJ684" i="33"/>
  <c r="AI650" i="33"/>
  <c r="AJ646" i="33" l="1"/>
  <c r="AH912" i="33" a="1"/>
  <c r="AH912" i="33" s="1"/>
  <c r="AK645" i="33"/>
  <c r="H328" i="37"/>
  <c r="H332" i="37" s="1"/>
  <c r="H342" i="37"/>
  <c r="H346" i="37" s="1"/>
  <c r="H314" i="37"/>
  <c r="H318" i="37" s="1"/>
  <c r="H321" i="37"/>
  <c r="H325" i="37" s="1"/>
  <c r="H335" i="37"/>
  <c r="H339" i="37" s="1"/>
  <c r="K189" i="51"/>
  <c r="I12" i="37"/>
  <c r="I123" i="37" s="1"/>
  <c r="F968" i="51"/>
  <c r="Z248" i="37"/>
  <c r="I299" i="37"/>
  <c r="I300" i="37" s="1"/>
  <c r="J344" i="37"/>
  <c r="J309" i="37"/>
  <c r="J316" i="37"/>
  <c r="J323" i="37"/>
  <c r="J337" i="37"/>
  <c r="J330" i="37"/>
  <c r="AA249" i="37"/>
  <c r="AF8" i="33"/>
  <c r="AA250" i="37"/>
  <c r="AI819" i="33"/>
  <c r="AF7" i="33"/>
  <c r="AB242" i="37"/>
  <c r="AJ829" i="33"/>
  <c r="AI821" i="33"/>
  <c r="AG822" i="33"/>
  <c r="AG824" i="33" s="1"/>
  <c r="G13" i="38" s="1"/>
  <c r="AA243" i="37"/>
  <c r="AI820" i="33"/>
  <c r="AK828" i="33"/>
  <c r="AI818" i="33"/>
  <c r="J234" i="37"/>
  <c r="AA241" i="37" s="1"/>
  <c r="K241" i="37"/>
  <c r="J248" i="37"/>
  <c r="J299" i="37" s="1"/>
  <c r="J291" i="37"/>
  <c r="J270" i="37"/>
  <c r="L183" i="51" s="1" a="1"/>
  <c r="L183" i="51" s="1"/>
  <c r="L181" i="51" s="1"/>
  <c r="J256" i="37"/>
  <c r="J277" i="37"/>
  <c r="J263" i="37"/>
  <c r="J284" i="37"/>
  <c r="K250" i="37"/>
  <c r="K304" i="37" s="1"/>
  <c r="AH641" i="33"/>
  <c r="L242" i="37"/>
  <c r="K249" i="37"/>
  <c r="AJ826" i="33"/>
  <c r="AI892" i="33"/>
  <c r="AI870" i="33"/>
  <c r="AI912" i="33" s="1" a="1"/>
  <c r="AI912" i="33" s="1"/>
  <c r="AH823" i="33"/>
  <c r="L243" i="37"/>
  <c r="AJ827" i="33"/>
  <c r="DL10" i="28"/>
  <c r="DL49" i="28"/>
  <c r="DL43" i="28"/>
  <c r="DL48" i="28"/>
  <c r="DL42" i="28"/>
  <c r="DL11" i="28"/>
  <c r="DL47" i="28"/>
  <c r="DL9" i="28"/>
  <c r="DL45" i="28"/>
  <c r="DL8" i="28"/>
  <c r="E497" i="38"/>
  <c r="X491" i="38"/>
  <c r="E491" i="38" s="1"/>
  <c r="Y492" i="38"/>
  <c r="F492" i="38" s="1"/>
  <c r="Y490" i="38"/>
  <c r="F490" i="38" s="1"/>
  <c r="Y489" i="38"/>
  <c r="F489" i="38" s="1"/>
  <c r="I11" i="37"/>
  <c r="E511" i="38"/>
  <c r="H567" i="38"/>
  <c r="AI685" i="33"/>
  <c r="AE704" i="33"/>
  <c r="I566" i="38"/>
  <c r="F510" i="38"/>
  <c r="AG696" i="33"/>
  <c r="H170" i="38" s="1"/>
  <c r="G169" i="38"/>
  <c r="AF703" i="33"/>
  <c r="AF715" i="33" s="1"/>
  <c r="AF716" i="33" s="1"/>
  <c r="G178" i="38"/>
  <c r="F179" i="38"/>
  <c r="F497" i="38" s="1"/>
  <c r="E29" i="38"/>
  <c r="F29" i="38" s="1"/>
  <c r="C24" i="38"/>
  <c r="C21" i="38" s="1"/>
  <c r="D24" i="38"/>
  <c r="AG640" i="33"/>
  <c r="AG642" i="33" s="1"/>
  <c r="G12" i="38" s="1"/>
  <c r="AG643" i="33"/>
  <c r="G18" i="38" s="1"/>
  <c r="G19" i="38" s="1"/>
  <c r="AJ836" i="33"/>
  <c r="AJ831" i="33" s="1"/>
  <c r="AJ848" i="33"/>
  <c r="AH683" i="33"/>
  <c r="AJ838" i="33"/>
  <c r="AJ833" i="33" s="1"/>
  <c r="AJ837" i="33"/>
  <c r="AJ832" i="33" s="1"/>
  <c r="AJ849" i="33"/>
  <c r="AK840" i="33"/>
  <c r="AL841" i="33"/>
  <c r="AJ839" i="33"/>
  <c r="AJ834" i="33" s="1"/>
  <c r="AK648" i="33"/>
  <c r="AL650" i="33"/>
  <c r="AM651" i="33"/>
  <c r="AI694" i="33"/>
  <c r="AJ655" i="33"/>
  <c r="AJ694" i="33" s="1"/>
  <c r="AJ649" i="33"/>
  <c r="AJ846" i="33"/>
  <c r="AK654" i="33"/>
  <c r="AJ847" i="33"/>
  <c r="BA1296" i="33"/>
  <c r="AZ1309" i="33"/>
  <c r="AZ10" i="33" s="1"/>
  <c r="AX1147" i="33"/>
  <c r="AW1155" i="33"/>
  <c r="AW1127" i="33" s="1"/>
  <c r="AX1145" i="33"/>
  <c r="AX1260" i="33" s="1"/>
  <c r="AX9" i="33" s="1"/>
  <c r="AW1120" i="33"/>
  <c r="AW1113" i="33"/>
  <c r="AW1125" i="33"/>
  <c r="AW1139" i="33"/>
  <c r="AW1143" i="33" s="1"/>
  <c r="AW1132" i="33"/>
  <c r="AW1134" i="33" s="1"/>
  <c r="AW1115" i="33"/>
  <c r="AW1119" i="33"/>
  <c r="AW1112" i="33"/>
  <c r="AW1114" i="33"/>
  <c r="AW1118" i="33"/>
  <c r="AV1116" i="33"/>
  <c r="AV1117" i="33"/>
  <c r="AV1128" i="33"/>
  <c r="BA1148" i="33"/>
  <c r="AJ685" i="33"/>
  <c r="AI644" i="33"/>
  <c r="AI671" i="33"/>
  <c r="AG916" i="33"/>
  <c r="AH817" i="33"/>
  <c r="L236" i="37" s="1"/>
  <c r="AI885" i="33"/>
  <c r="AI907" i="33"/>
  <c r="AI845" i="33"/>
  <c r="AK883" i="33"/>
  <c r="AK905" i="33"/>
  <c r="AI888" i="33"/>
  <c r="AI910" i="33"/>
  <c r="AI899" i="33"/>
  <c r="AI877" i="33"/>
  <c r="AI902" i="33"/>
  <c r="AI880" i="33"/>
  <c r="AI840" i="33"/>
  <c r="AI881" i="33"/>
  <c r="AI903" i="33"/>
  <c r="AI887" i="33"/>
  <c r="AI909" i="33"/>
  <c r="AH869" i="33"/>
  <c r="AH891" i="33"/>
  <c r="AI893" i="33"/>
  <c r="AI871" i="33"/>
  <c r="AI825" i="33"/>
  <c r="AK904" i="33"/>
  <c r="AK882" i="33"/>
  <c r="AI895" i="33"/>
  <c r="AI873" i="33"/>
  <c r="AI886" i="33"/>
  <c r="AI908" i="33"/>
  <c r="AI897" i="33"/>
  <c r="AI875" i="33"/>
  <c r="AI835" i="33"/>
  <c r="AI830" i="33" s="1"/>
  <c r="AI900" i="33"/>
  <c r="AI878" i="33"/>
  <c r="AI898" i="33"/>
  <c r="AI876" i="33"/>
  <c r="AJ894" i="33"/>
  <c r="AJ872" i="33"/>
  <c r="AH639" i="33"/>
  <c r="L235" i="37" s="1"/>
  <c r="AH669" i="33"/>
  <c r="AJ679" i="33"/>
  <c r="AJ693" i="33"/>
  <c r="AJ673" i="33"/>
  <c r="AJ687" i="33"/>
  <c r="AJ676" i="33"/>
  <c r="AJ690" i="33"/>
  <c r="AI674" i="33"/>
  <c r="AI680" i="33"/>
  <c r="AI653" i="33"/>
  <c r="AI647" i="33"/>
  <c r="AK691" i="33"/>
  <c r="AJ677" i="33"/>
  <c r="AJ670" i="33"/>
  <c r="AK684" i="33"/>
  <c r="AK646" i="33" l="1"/>
  <c r="AL645" i="33"/>
  <c r="L189" i="51"/>
  <c r="J12" i="37"/>
  <c r="J123" i="37" s="1"/>
  <c r="G968" i="51"/>
  <c r="Z492" i="38"/>
  <c r="G492" i="38" s="1"/>
  <c r="G967" i="51"/>
  <c r="J300" i="37"/>
  <c r="AB249" i="37"/>
  <c r="K302" i="37"/>
  <c r="I342" i="37"/>
  <c r="I346" i="37" s="1"/>
  <c r="I307" i="37"/>
  <c r="I311" i="37" s="1"/>
  <c r="I314" i="37"/>
  <c r="I318" i="37" s="1"/>
  <c r="I321" i="37"/>
  <c r="I325" i="37" s="1"/>
  <c r="I328" i="37"/>
  <c r="I332" i="37" s="1"/>
  <c r="I335" i="37"/>
  <c r="I339" i="37" s="1"/>
  <c r="AA263" i="37"/>
  <c r="AA270" i="37"/>
  <c r="AA291" i="37"/>
  <c r="AG8" i="33"/>
  <c r="F504" i="38"/>
  <c r="DM53" i="28" s="1"/>
  <c r="CX53" i="28"/>
  <c r="E504" i="38"/>
  <c r="DL53" i="28" s="1"/>
  <c r="CW53" i="28"/>
  <c r="Z490" i="38"/>
  <c r="G490" i="38" s="1"/>
  <c r="AA256" i="37"/>
  <c r="Z489" i="38"/>
  <c r="G489" i="38" s="1"/>
  <c r="K234" i="37"/>
  <c r="AB241" i="37" s="1"/>
  <c r="J11" i="37"/>
  <c r="J122" i="37" s="1"/>
  <c r="AA248" i="37"/>
  <c r="AB250" i="37"/>
  <c r="AB243" i="37"/>
  <c r="AJ818" i="33"/>
  <c r="AH822" i="33"/>
  <c r="AH824" i="33" s="1"/>
  <c r="H13" i="38" s="1"/>
  <c r="AJ819" i="33"/>
  <c r="AJ820" i="33"/>
  <c r="AK829" i="33"/>
  <c r="AJ821" i="33"/>
  <c r="AC242" i="37"/>
  <c r="AL828" i="33"/>
  <c r="I122" i="37"/>
  <c r="AA284" i="37"/>
  <c r="AA277" i="37"/>
  <c r="L241" i="37"/>
  <c r="K248" i="37"/>
  <c r="K299" i="37" s="1"/>
  <c r="K300" i="37" s="1"/>
  <c r="K270" i="37"/>
  <c r="K277" i="37"/>
  <c r="K291" i="37"/>
  <c r="K284" i="37"/>
  <c r="K256" i="37"/>
  <c r="K263" i="37"/>
  <c r="L250" i="37"/>
  <c r="L304" i="37" s="1"/>
  <c r="AK826" i="33"/>
  <c r="AJ825" i="33"/>
  <c r="AJ892" i="33"/>
  <c r="AJ870" i="33"/>
  <c r="AI641" i="33"/>
  <c r="M242" i="37"/>
  <c r="AI823" i="33"/>
  <c r="M243" i="37"/>
  <c r="L249" i="37"/>
  <c r="AK827" i="33"/>
  <c r="DM8" i="28"/>
  <c r="Y491" i="38"/>
  <c r="F491" i="38" s="1"/>
  <c r="DM42" i="28"/>
  <c r="DM44" i="28"/>
  <c r="AG7" i="33"/>
  <c r="H967" i="51" s="1"/>
  <c r="AI683" i="33"/>
  <c r="AF704" i="33"/>
  <c r="AG703" i="33"/>
  <c r="G496" i="38"/>
  <c r="G503" i="38" s="1"/>
  <c r="DN9" i="28" s="1"/>
  <c r="G510" i="38"/>
  <c r="J566" i="38"/>
  <c r="I567" i="38"/>
  <c r="F511" i="38"/>
  <c r="C28" i="38"/>
  <c r="G754" i="37" s="1"/>
  <c r="G179" i="38"/>
  <c r="H169" i="38"/>
  <c r="H178" i="38"/>
  <c r="AH640" i="33"/>
  <c r="AH642" i="33" s="1"/>
  <c r="H12" i="38" s="1"/>
  <c r="AH643" i="33"/>
  <c r="H18" i="38" s="1"/>
  <c r="H19" i="38" s="1"/>
  <c r="G29" i="38"/>
  <c r="AK836" i="33"/>
  <c r="AK831" i="33" s="1"/>
  <c r="AH696" i="33"/>
  <c r="I170" i="38" s="1"/>
  <c r="AK838" i="33"/>
  <c r="AK833" i="33" s="1"/>
  <c r="AK847" i="33"/>
  <c r="AK649" i="33"/>
  <c r="AK647" i="33" s="1"/>
  <c r="AK839" i="33"/>
  <c r="AK834" i="33" s="1"/>
  <c r="AJ835" i="33"/>
  <c r="AJ830" i="33" s="1"/>
  <c r="AK848" i="33"/>
  <c r="AJ647" i="33"/>
  <c r="AL654" i="33"/>
  <c r="AK655" i="33"/>
  <c r="AJ653" i="33"/>
  <c r="AL648" i="33"/>
  <c r="AM650" i="33"/>
  <c r="AN651" i="33"/>
  <c r="AJ688" i="33"/>
  <c r="AJ683" i="33" s="1"/>
  <c r="AK846" i="33"/>
  <c r="AJ845" i="33"/>
  <c r="AK837" i="33"/>
  <c r="AL840" i="33"/>
  <c r="AM841" i="33"/>
  <c r="AK849" i="33"/>
  <c r="BA1309" i="33"/>
  <c r="BA10" i="33" s="1"/>
  <c r="BB1296" i="33"/>
  <c r="AW1116" i="33"/>
  <c r="AV1121" i="33"/>
  <c r="AW1117" i="33"/>
  <c r="AW1128" i="33"/>
  <c r="AY1145" i="33"/>
  <c r="AY1260" i="33" s="1"/>
  <c r="AY9" i="33" s="1"/>
  <c r="AX1118" i="33"/>
  <c r="AX1139" i="33"/>
  <c r="AX1143" i="33" s="1"/>
  <c r="AX1132" i="33"/>
  <c r="AX1134" i="33" s="1"/>
  <c r="AX1115" i="33"/>
  <c r="AX1119" i="33"/>
  <c r="AX1112" i="33"/>
  <c r="AX1125" i="33"/>
  <c r="AX1114" i="33"/>
  <c r="AX1120" i="33"/>
  <c r="AX1113" i="33"/>
  <c r="AY1147" i="33"/>
  <c r="AX1155" i="33"/>
  <c r="AX1127" i="33" s="1"/>
  <c r="BB1148" i="33"/>
  <c r="AJ671" i="33"/>
  <c r="AJ644" i="33"/>
  <c r="AH916" i="33"/>
  <c r="AI891" i="33"/>
  <c r="AI817" i="33"/>
  <c r="M236" i="37" s="1"/>
  <c r="AK894" i="33"/>
  <c r="AK872" i="33"/>
  <c r="AJ893" i="33"/>
  <c r="AJ871" i="33"/>
  <c r="AJ897" i="33"/>
  <c r="AJ875" i="33"/>
  <c r="AJ895" i="33"/>
  <c r="AJ873" i="33"/>
  <c r="AL883" i="33"/>
  <c r="AL905" i="33"/>
  <c r="AJ887" i="33"/>
  <c r="AJ909" i="33"/>
  <c r="AJ899" i="33"/>
  <c r="AJ877" i="33"/>
  <c r="AJ885" i="33"/>
  <c r="AJ907" i="33"/>
  <c r="AJ898" i="33"/>
  <c r="AJ876" i="33"/>
  <c r="AJ886" i="33"/>
  <c r="AJ908" i="33"/>
  <c r="AL904" i="33"/>
  <c r="AL882" i="33"/>
  <c r="AJ903" i="33"/>
  <c r="AJ881" i="33"/>
  <c r="AJ888" i="33"/>
  <c r="AJ910" i="33"/>
  <c r="AJ900" i="33"/>
  <c r="AJ878" i="33"/>
  <c r="AI869" i="33"/>
  <c r="AJ902" i="33"/>
  <c r="AJ880" i="33"/>
  <c r="AI639" i="33"/>
  <c r="M235" i="37" s="1"/>
  <c r="AK679" i="33"/>
  <c r="AK693" i="33"/>
  <c r="AK673" i="33"/>
  <c r="AK687" i="33"/>
  <c r="AK676" i="33"/>
  <c r="AK690" i="33"/>
  <c r="AL691" i="33"/>
  <c r="AK677" i="33"/>
  <c r="AJ680" i="33"/>
  <c r="AK670" i="33"/>
  <c r="AL684" i="33"/>
  <c r="AJ674" i="33"/>
  <c r="AI669" i="33"/>
  <c r="M183" i="51" l="1" a="1"/>
  <c r="M183" i="51" s="1"/>
  <c r="M181" i="51" s="1"/>
  <c r="AM645" i="33"/>
  <c r="AL646" i="33"/>
  <c r="AJ912" i="33" a="1"/>
  <c r="AJ912" i="33" s="1"/>
  <c r="AK685" i="33"/>
  <c r="M189" i="51"/>
  <c r="K12" i="37"/>
  <c r="H968" i="51"/>
  <c r="DL56" i="28"/>
  <c r="J342" i="37"/>
  <c r="J328" i="37"/>
  <c r="J307" i="37"/>
  <c r="J335" i="37"/>
  <c r="J321" i="37"/>
  <c r="J314" i="37"/>
  <c r="AC249" i="37"/>
  <c r="L302" i="37"/>
  <c r="K328" i="37"/>
  <c r="K335" i="37"/>
  <c r="K321" i="37"/>
  <c r="K314" i="37"/>
  <c r="K342" i="37"/>
  <c r="K307" i="37"/>
  <c r="K337" i="37"/>
  <c r="K344" i="37"/>
  <c r="K309" i="37"/>
  <c r="K316" i="37"/>
  <c r="K323" i="37"/>
  <c r="K330" i="37"/>
  <c r="AH8" i="33"/>
  <c r="AG704" i="33"/>
  <c r="DL55" i="28"/>
  <c r="DL16" i="28"/>
  <c r="DL18" i="28"/>
  <c r="DL54" i="28"/>
  <c r="DL14" i="28"/>
  <c r="DL17" i="28"/>
  <c r="DL12" i="28"/>
  <c r="DL13" i="28"/>
  <c r="DL15" i="28"/>
  <c r="DL52" i="28"/>
  <c r="DL50" i="28"/>
  <c r="DL57" i="28"/>
  <c r="DL51" i="28"/>
  <c r="AB248" i="37"/>
  <c r="AB291" i="37"/>
  <c r="AB256" i="37"/>
  <c r="AB263" i="37"/>
  <c r="AB284" i="37"/>
  <c r="AC250" i="37"/>
  <c r="AD242" i="37"/>
  <c r="AC243" i="37"/>
  <c r="AK820" i="33"/>
  <c r="AK819" i="33"/>
  <c r="AM828" i="33"/>
  <c r="AK818" i="33"/>
  <c r="AI822" i="33"/>
  <c r="AI824" i="33" s="1"/>
  <c r="I13" i="38" s="1"/>
  <c r="AD243" i="37"/>
  <c r="AL829" i="33"/>
  <c r="AK821" i="33"/>
  <c r="L234" i="37"/>
  <c r="AC241" i="37" s="1"/>
  <c r="AB277" i="37"/>
  <c r="AL837" i="33"/>
  <c r="AL832" i="33" s="1"/>
  <c r="AK832" i="33"/>
  <c r="AH7" i="33"/>
  <c r="AB270" i="37"/>
  <c r="L248" i="37"/>
  <c r="L299" i="37" s="1"/>
  <c r="L270" i="37"/>
  <c r="L277" i="37"/>
  <c r="AC277" i="37" s="1"/>
  <c r="L263" i="37"/>
  <c r="AC263" i="37" s="1"/>
  <c r="L256" i="37"/>
  <c r="L284" i="37"/>
  <c r="AC284" i="37" s="1"/>
  <c r="L291" i="37"/>
  <c r="AC291" i="37" s="1"/>
  <c r="M241" i="37"/>
  <c r="M250" i="37"/>
  <c r="M304" i="37" s="1"/>
  <c r="M249" i="37"/>
  <c r="AJ823" i="33"/>
  <c r="N243" i="37"/>
  <c r="AL827" i="33"/>
  <c r="AL826" i="33"/>
  <c r="AK870" i="33"/>
  <c r="AK892" i="33"/>
  <c r="AK825" i="33"/>
  <c r="AJ641" i="33"/>
  <c r="N242" i="37"/>
  <c r="AK641" i="33"/>
  <c r="O242" i="37"/>
  <c r="DM11" i="28"/>
  <c r="DN47" i="28"/>
  <c r="DN48" i="28"/>
  <c r="DN45" i="28"/>
  <c r="DN10" i="28"/>
  <c r="DN44" i="28"/>
  <c r="DN11" i="28"/>
  <c r="DN43" i="28"/>
  <c r="DN42" i="28"/>
  <c r="DN8" i="28"/>
  <c r="DN49" i="28"/>
  <c r="DM45" i="28"/>
  <c r="DM48" i="28"/>
  <c r="DM49" i="28"/>
  <c r="DM9" i="28"/>
  <c r="DM47" i="28"/>
  <c r="DM10" i="28"/>
  <c r="DM43" i="28"/>
  <c r="G497" i="38"/>
  <c r="Z491" i="38"/>
  <c r="G491" i="38" s="1"/>
  <c r="DM57" i="28"/>
  <c r="DM54" i="28"/>
  <c r="DM51" i="28"/>
  <c r="DM56" i="28"/>
  <c r="DM55" i="28"/>
  <c r="DM50" i="28"/>
  <c r="DM52" i="28"/>
  <c r="DM14" i="28"/>
  <c r="DM12" i="28"/>
  <c r="DM15" i="28"/>
  <c r="DM16" i="28"/>
  <c r="DM18" i="28"/>
  <c r="DM13" i="28"/>
  <c r="DM17" i="28"/>
  <c r="AA490" i="38"/>
  <c r="H490" i="38" s="1"/>
  <c r="AA492" i="38"/>
  <c r="H492" i="38" s="1"/>
  <c r="AA489" i="38"/>
  <c r="H489" i="38" s="1"/>
  <c r="AK688" i="33"/>
  <c r="AH703" i="33"/>
  <c r="AH715" i="33" s="1"/>
  <c r="K11" i="37"/>
  <c r="AG715" i="33"/>
  <c r="AG716" i="33" s="1"/>
  <c r="J567" i="38"/>
  <c r="G511" i="38"/>
  <c r="H496" i="38"/>
  <c r="H510" i="38"/>
  <c r="K566" i="38"/>
  <c r="AI696" i="33"/>
  <c r="J170" i="38" s="1"/>
  <c r="I169" i="38"/>
  <c r="I178" i="38"/>
  <c r="H179" i="38"/>
  <c r="H497" i="38" s="1"/>
  <c r="CZ53" i="28" s="1"/>
  <c r="H29" i="38"/>
  <c r="AI640" i="33"/>
  <c r="AI642" i="33" s="1"/>
  <c r="I12" i="38" s="1"/>
  <c r="AI643" i="33"/>
  <c r="I18" i="38" s="1"/>
  <c r="I19" i="38" s="1"/>
  <c r="AL848" i="33"/>
  <c r="AL655" i="33"/>
  <c r="AL694" i="33" s="1"/>
  <c r="AL839" i="33"/>
  <c r="AL834" i="33" s="1"/>
  <c r="AL849" i="33"/>
  <c r="AK835" i="33"/>
  <c r="AK830" i="33" s="1"/>
  <c r="AL838" i="33"/>
  <c r="AL833" i="33" s="1"/>
  <c r="AL847" i="33"/>
  <c r="AM840" i="33"/>
  <c r="AN841" i="33"/>
  <c r="AK653" i="33"/>
  <c r="AM654" i="33"/>
  <c r="AK845" i="33"/>
  <c r="AL846" i="33"/>
  <c r="AM648" i="33"/>
  <c r="AN650" i="33"/>
  <c r="AO651" i="33"/>
  <c r="AK694" i="33"/>
  <c r="AL649" i="33"/>
  <c r="AL836" i="33"/>
  <c r="AL831" i="33" s="1"/>
  <c r="AX1116" i="33"/>
  <c r="BB1309" i="33"/>
  <c r="BB10" i="33" s="1"/>
  <c r="BC1296" i="33"/>
  <c r="AW1121" i="33"/>
  <c r="AX1117" i="33"/>
  <c r="AX1128" i="33"/>
  <c r="AZ1145" i="33"/>
  <c r="AZ1260" i="33" s="1"/>
  <c r="AZ9" i="33" s="1"/>
  <c r="AY1139" i="33"/>
  <c r="AY1143" i="33" s="1"/>
  <c r="AY1132" i="33"/>
  <c r="AY1134" i="33" s="1"/>
  <c r="AY1115" i="33"/>
  <c r="AY1120" i="33"/>
  <c r="AY1119" i="33"/>
  <c r="AY1112" i="33"/>
  <c r="AY1125" i="33"/>
  <c r="AY1114" i="33"/>
  <c r="AY1118" i="33"/>
  <c r="AY1113" i="33"/>
  <c r="AZ1147" i="33"/>
  <c r="AY1155" i="33"/>
  <c r="AY1127" i="33" s="1"/>
  <c r="BC1148" i="33"/>
  <c r="AK671" i="33"/>
  <c r="AK644" i="33"/>
  <c r="AL685" i="33"/>
  <c r="AI916" i="33"/>
  <c r="AK902" i="33"/>
  <c r="AK880" i="33"/>
  <c r="AM904" i="33"/>
  <c r="AM882" i="33"/>
  <c r="AK907" i="33"/>
  <c r="AK885" i="33"/>
  <c r="AJ817" i="33"/>
  <c r="N236" i="37" s="1"/>
  <c r="AK909" i="33"/>
  <c r="AK887" i="33"/>
  <c r="AJ869" i="33"/>
  <c r="AK888" i="33"/>
  <c r="AK910" i="33"/>
  <c r="AJ891" i="33"/>
  <c r="AK886" i="33"/>
  <c r="AK908" i="33"/>
  <c r="AK899" i="33"/>
  <c r="AK877" i="33"/>
  <c r="AK895" i="33"/>
  <c r="AK873" i="33"/>
  <c r="AK893" i="33"/>
  <c r="AK871" i="33"/>
  <c r="AK903" i="33"/>
  <c r="AK881" i="33"/>
  <c r="AM883" i="33"/>
  <c r="AM905" i="33"/>
  <c r="AK897" i="33"/>
  <c r="AK875" i="33"/>
  <c r="AK900" i="33"/>
  <c r="AK878" i="33"/>
  <c r="AK898" i="33"/>
  <c r="AK876" i="33"/>
  <c r="AL894" i="33"/>
  <c r="AL872" i="33"/>
  <c r="AJ669" i="33"/>
  <c r="AJ639" i="33"/>
  <c r="N235" i="37" s="1"/>
  <c r="AL676" i="33"/>
  <c r="AL690" i="33"/>
  <c r="AL679" i="33"/>
  <c r="AL693" i="33"/>
  <c r="AL673" i="33"/>
  <c r="AL687" i="33"/>
  <c r="AK680" i="33"/>
  <c r="AK674" i="33"/>
  <c r="AL670" i="33"/>
  <c r="AM684" i="33"/>
  <c r="AM691" i="33"/>
  <c r="AL677" i="33"/>
  <c r="N183" i="51" l="1" a="1"/>
  <c r="N183" i="51" s="1"/>
  <c r="N181" i="51" s="1"/>
  <c r="K123" i="37"/>
  <c r="AK912" i="33" a="1"/>
  <c r="AK912" i="33" s="1"/>
  <c r="AM646" i="33"/>
  <c r="AM685" i="33" s="1"/>
  <c r="AN645" i="33"/>
  <c r="N189" i="51"/>
  <c r="L11" i="37"/>
  <c r="L122" i="37" s="1"/>
  <c r="I967" i="51"/>
  <c r="L12" i="37"/>
  <c r="L123" i="37" s="1"/>
  <c r="I968" i="51"/>
  <c r="K318" i="37"/>
  <c r="K339" i="37"/>
  <c r="K311" i="37"/>
  <c r="K346" i="37"/>
  <c r="J318" i="37"/>
  <c r="AD249" i="37"/>
  <c r="M302" i="37"/>
  <c r="J325" i="37"/>
  <c r="J339" i="37"/>
  <c r="K325" i="37"/>
  <c r="J311" i="37"/>
  <c r="K332" i="37"/>
  <c r="J332" i="37"/>
  <c r="L330" i="37"/>
  <c r="L337" i="37"/>
  <c r="L344" i="37"/>
  <c r="L309" i="37"/>
  <c r="L316" i="37"/>
  <c r="L323" i="37"/>
  <c r="J346" i="37"/>
  <c r="L300" i="37"/>
  <c r="AC270" i="37"/>
  <c r="AI8" i="33"/>
  <c r="G504" i="38"/>
  <c r="DN53" i="28" s="1"/>
  <c r="CY53" i="28"/>
  <c r="AD250" i="37"/>
  <c r="M234" i="37"/>
  <c r="AD241" i="37" s="1"/>
  <c r="AC248" i="37"/>
  <c r="AL818" i="33"/>
  <c r="AL819" i="33"/>
  <c r="AE242" i="37"/>
  <c r="AL820" i="33"/>
  <c r="AN828" i="33"/>
  <c r="AM829" i="33"/>
  <c r="AL821" i="33"/>
  <c r="AJ822" i="33"/>
  <c r="AJ824" i="33" s="1"/>
  <c r="J13" i="38" s="1"/>
  <c r="K122" i="37"/>
  <c r="AB492" i="38"/>
  <c r="I492" i="38" s="1"/>
  <c r="AB490" i="38"/>
  <c r="I490" i="38" s="1"/>
  <c r="AB489" i="38"/>
  <c r="I489" i="38" s="1"/>
  <c r="AC256" i="37"/>
  <c r="N241" i="37"/>
  <c r="M270" i="37"/>
  <c r="M277" i="37"/>
  <c r="M263" i="37"/>
  <c r="AD263" i="37" s="1"/>
  <c r="M291" i="37"/>
  <c r="AD291" i="37" s="1"/>
  <c r="M284" i="37"/>
  <c r="M256" i="37"/>
  <c r="M248" i="37"/>
  <c r="M299" i="37" s="1"/>
  <c r="M300" i="37" s="1"/>
  <c r="N250" i="37"/>
  <c r="N304" i="37" s="1"/>
  <c r="AK683" i="33"/>
  <c r="N249" i="37"/>
  <c r="O249" i="37"/>
  <c r="O302" i="37" s="1"/>
  <c r="AM827" i="33"/>
  <c r="AM847" i="33"/>
  <c r="AM826" i="33"/>
  <c r="AL892" i="33"/>
  <c r="AL870" i="33"/>
  <c r="AL825" i="33"/>
  <c r="AK823" i="33"/>
  <c r="O243" i="37"/>
  <c r="H503" i="38"/>
  <c r="AA491" i="38"/>
  <c r="H491" i="38" s="1"/>
  <c r="AH704" i="33"/>
  <c r="AH716" i="33"/>
  <c r="K567" i="38"/>
  <c r="AI7" i="33"/>
  <c r="J967" i="51" s="1"/>
  <c r="AI703" i="33"/>
  <c r="AI715" i="33" s="1"/>
  <c r="AI716" i="33" s="1"/>
  <c r="I496" i="38"/>
  <c r="L566" i="38"/>
  <c r="I510" i="38"/>
  <c r="H511" i="38"/>
  <c r="J169" i="38"/>
  <c r="AJ696" i="33"/>
  <c r="K170" i="38" s="1"/>
  <c r="I179" i="38"/>
  <c r="J178" i="38"/>
  <c r="AJ640" i="33"/>
  <c r="AJ642" i="33" s="1"/>
  <c r="J12" i="38" s="1"/>
  <c r="AJ643" i="33"/>
  <c r="J18" i="38" s="1"/>
  <c r="J19" i="38" s="1"/>
  <c r="I29" i="38"/>
  <c r="AM838" i="33"/>
  <c r="AM833" i="33" s="1"/>
  <c r="AM649" i="33"/>
  <c r="AM688" i="33" s="1"/>
  <c r="AL653" i="33"/>
  <c r="AM837" i="33"/>
  <c r="AM849" i="33"/>
  <c r="AM839" i="33"/>
  <c r="AM834" i="33" s="1"/>
  <c r="AL647" i="33"/>
  <c r="AM848" i="33"/>
  <c r="AO650" i="33"/>
  <c r="AP651" i="33"/>
  <c r="AL845" i="33"/>
  <c r="AM846" i="33"/>
  <c r="AN654" i="33"/>
  <c r="AN648" i="33"/>
  <c r="AM655" i="33"/>
  <c r="AN840" i="33"/>
  <c r="AO841" i="33"/>
  <c r="AM836" i="33"/>
  <c r="AM831" i="33" s="1"/>
  <c r="AL835" i="33"/>
  <c r="AL830" i="33" s="1"/>
  <c r="AX1121" i="33"/>
  <c r="BC1309" i="33"/>
  <c r="BC10" i="33" s="1"/>
  <c r="BD1296" i="33"/>
  <c r="AY1116" i="33"/>
  <c r="AL644" i="33"/>
  <c r="BA1147" i="33"/>
  <c r="AZ1155" i="33"/>
  <c r="AZ1127" i="33" s="1"/>
  <c r="AL671" i="33"/>
  <c r="AY1128" i="33"/>
  <c r="BA1145" i="33"/>
  <c r="BA1260" i="33" s="1"/>
  <c r="BA9" i="33" s="1"/>
  <c r="AZ1119" i="33"/>
  <c r="AZ1112" i="33"/>
  <c r="AZ1125" i="33"/>
  <c r="AZ1114" i="33"/>
  <c r="AZ1118" i="33"/>
  <c r="AZ1120" i="33"/>
  <c r="AZ1113" i="33"/>
  <c r="AZ1132" i="33"/>
  <c r="AZ1134" i="33" s="1"/>
  <c r="AZ1115" i="33"/>
  <c r="AZ1139" i="33"/>
  <c r="AZ1143" i="33" s="1"/>
  <c r="AY1117" i="33"/>
  <c r="BD1148" i="33"/>
  <c r="AJ916" i="33"/>
  <c r="AL900" i="33"/>
  <c r="AL878" i="33"/>
  <c r="AN883" i="33"/>
  <c r="AN905" i="33"/>
  <c r="AL886" i="33"/>
  <c r="AL908" i="33"/>
  <c r="AM872" i="33"/>
  <c r="AM894" i="33"/>
  <c r="AL893" i="33"/>
  <c r="AL871" i="33"/>
  <c r="AL895" i="33"/>
  <c r="AL873" i="33"/>
  <c r="AN882" i="33"/>
  <c r="AN904" i="33"/>
  <c r="AL897" i="33"/>
  <c r="AL875" i="33"/>
  <c r="AL903" i="33"/>
  <c r="AL881" i="33"/>
  <c r="AL902" i="33"/>
  <c r="AL880" i="33"/>
  <c r="AL898" i="33"/>
  <c r="AL876" i="33"/>
  <c r="AK817" i="33"/>
  <c r="O236" i="37" s="1"/>
  <c r="AL888" i="33"/>
  <c r="AL910" i="33"/>
  <c r="AL907" i="33"/>
  <c r="AL885" i="33"/>
  <c r="AK869" i="33"/>
  <c r="AL899" i="33"/>
  <c r="AL877" i="33"/>
  <c r="AK891" i="33"/>
  <c r="AL909" i="33"/>
  <c r="AL887" i="33"/>
  <c r="AK639" i="33"/>
  <c r="O235" i="37" s="1"/>
  <c r="AF242" i="37" s="1"/>
  <c r="AM679" i="33"/>
  <c r="AM693" i="33"/>
  <c r="AL688" i="33"/>
  <c r="AL683" i="33" s="1"/>
  <c r="AM673" i="33"/>
  <c r="AM687" i="33"/>
  <c r="AM676" i="33"/>
  <c r="AM690" i="33"/>
  <c r="AK669" i="33"/>
  <c r="AL674" i="33"/>
  <c r="AN691" i="33"/>
  <c r="AM677" i="33"/>
  <c r="AM670" i="33"/>
  <c r="AN684" i="33"/>
  <c r="AL680" i="33"/>
  <c r="O183" i="51" l="1" a="1"/>
  <c r="O183" i="51" s="1"/>
  <c r="O181" i="51" s="1"/>
  <c r="AL912" i="33" a="1"/>
  <c r="AL912" i="33" s="1"/>
  <c r="AO645" i="33"/>
  <c r="AN646" i="33"/>
  <c r="O189" i="51"/>
  <c r="M12" i="37"/>
  <c r="M123" i="37" s="1"/>
  <c r="J968" i="51"/>
  <c r="O330" i="37"/>
  <c r="O337" i="37"/>
  <c r="O344" i="37"/>
  <c r="O309" i="37"/>
  <c r="O323" i="37"/>
  <c r="O316" i="37"/>
  <c r="L307" i="37"/>
  <c r="L328" i="37"/>
  <c r="L335" i="37"/>
  <c r="L321" i="37"/>
  <c r="L314" i="37"/>
  <c r="L342" i="37"/>
  <c r="M330" i="37"/>
  <c r="M337" i="37"/>
  <c r="M344" i="37"/>
  <c r="M316" i="37"/>
  <c r="M323" i="37"/>
  <c r="M309" i="37"/>
  <c r="AE249" i="37"/>
  <c r="N302" i="37"/>
  <c r="M314" i="37"/>
  <c r="M307" i="37"/>
  <c r="M328" i="37"/>
  <c r="M335" i="37"/>
  <c r="M321" i="37"/>
  <c r="M342" i="37"/>
  <c r="AJ8" i="33"/>
  <c r="DN55" i="28"/>
  <c r="DN52" i="28"/>
  <c r="DN16" i="28"/>
  <c r="DN50" i="28"/>
  <c r="DN18" i="28"/>
  <c r="DN57" i="28"/>
  <c r="DN56" i="28"/>
  <c r="DN14" i="28"/>
  <c r="DN54" i="28"/>
  <c r="DN12" i="28"/>
  <c r="DN15" i="28"/>
  <c r="DN51" i="28"/>
  <c r="DN17" i="28"/>
  <c r="DN13" i="28"/>
  <c r="AD248" i="37"/>
  <c r="AD256" i="37"/>
  <c r="AD277" i="37"/>
  <c r="AD270" i="37"/>
  <c r="AE250" i="37"/>
  <c r="I503" i="38"/>
  <c r="DP10" i="28" s="1"/>
  <c r="AK822" i="33"/>
  <c r="AK824" i="33" s="1"/>
  <c r="K13" i="38" s="1"/>
  <c r="AE243" i="37"/>
  <c r="AM818" i="33"/>
  <c r="AN829" i="33"/>
  <c r="AM821" i="33"/>
  <c r="AN827" i="33"/>
  <c r="AM819" i="33"/>
  <c r="AM820" i="33"/>
  <c r="AF249" i="37"/>
  <c r="AO828" i="33"/>
  <c r="N234" i="37"/>
  <c r="AE241" i="37" s="1"/>
  <c r="AN837" i="33"/>
  <c r="AN832" i="33" s="1"/>
  <c r="AM832" i="33"/>
  <c r="O241" i="37"/>
  <c r="AD284" i="37"/>
  <c r="N270" i="37"/>
  <c r="N256" i="37"/>
  <c r="N277" i="37"/>
  <c r="AE277" i="37" s="1"/>
  <c r="N263" i="37"/>
  <c r="N291" i="37"/>
  <c r="AE291" i="37" s="1"/>
  <c r="N284" i="37"/>
  <c r="N248" i="37"/>
  <c r="N299" i="37" s="1"/>
  <c r="N300" i="37" s="1"/>
  <c r="O277" i="37"/>
  <c r="AF277" i="37" s="1"/>
  <c r="O263" i="37"/>
  <c r="AF263" i="37" s="1"/>
  <c r="O291" i="37"/>
  <c r="AF291" i="37" s="1"/>
  <c r="O256" i="37"/>
  <c r="O284" i="37"/>
  <c r="AF284" i="37" s="1"/>
  <c r="O270" i="37"/>
  <c r="O250" i="37"/>
  <c r="O304" i="37" s="1"/>
  <c r="AL823" i="33"/>
  <c r="P243" i="37"/>
  <c r="F243" i="37" s="1"/>
  <c r="AL641" i="33"/>
  <c r="P242" i="37"/>
  <c r="F242" i="37" s="1"/>
  <c r="AN826" i="33"/>
  <c r="AM825" i="33"/>
  <c r="AM892" i="33"/>
  <c r="AM870" i="33"/>
  <c r="H504" i="38"/>
  <c r="I497" i="38"/>
  <c r="DA53" i="28" s="1"/>
  <c r="AB491" i="38"/>
  <c r="I491" i="38" s="1"/>
  <c r="I504" i="38" s="1"/>
  <c r="AC489" i="38"/>
  <c r="J489" i="38" s="1"/>
  <c r="AC490" i="38"/>
  <c r="J490" i="38" s="1"/>
  <c r="AC492" i="38"/>
  <c r="J492" i="38" s="1"/>
  <c r="DO11" i="28"/>
  <c r="DO8" i="28"/>
  <c r="DO10" i="28"/>
  <c r="DO9" i="28"/>
  <c r="DO48" i="28"/>
  <c r="DO45" i="28"/>
  <c r="DO42" i="28"/>
  <c r="DO47" i="28"/>
  <c r="DO49" i="28"/>
  <c r="DO44" i="28"/>
  <c r="DO43" i="28"/>
  <c r="AJ703" i="33"/>
  <c r="AJ704" i="33" s="1"/>
  <c r="AJ7" i="33"/>
  <c r="K967" i="51" s="1"/>
  <c r="AI704" i="33"/>
  <c r="M11" i="37"/>
  <c r="L567" i="38"/>
  <c r="J496" i="38"/>
  <c r="M566" i="38"/>
  <c r="J510" i="38"/>
  <c r="I511" i="38"/>
  <c r="K169" i="38"/>
  <c r="J179" i="38"/>
  <c r="J497" i="38" s="1"/>
  <c r="DB53" i="28" s="1"/>
  <c r="AK696" i="33"/>
  <c r="L170" i="38" s="1"/>
  <c r="K178" i="38"/>
  <c r="AK640" i="33"/>
  <c r="AK642" i="33" s="1"/>
  <c r="K12" i="38" s="1"/>
  <c r="AK643" i="33"/>
  <c r="K18" i="38" s="1"/>
  <c r="K19" i="38" s="1"/>
  <c r="J29" i="38"/>
  <c r="AN848" i="33"/>
  <c r="AN655" i="33"/>
  <c r="AN653" i="33" s="1"/>
  <c r="AM647" i="33"/>
  <c r="AN847" i="33"/>
  <c r="AN849" i="33"/>
  <c r="AN839" i="33"/>
  <c r="AN834" i="33" s="1"/>
  <c r="AM694" i="33"/>
  <c r="AM683" i="33" s="1"/>
  <c r="AN838" i="33"/>
  <c r="AN833" i="33" s="1"/>
  <c r="AN649" i="33"/>
  <c r="AM845" i="33"/>
  <c r="AN846" i="33"/>
  <c r="AO654" i="33"/>
  <c r="AO648" i="33"/>
  <c r="AP650" i="33"/>
  <c r="AQ651" i="33"/>
  <c r="AM835" i="33"/>
  <c r="Q243" i="37" s="1"/>
  <c r="AN836" i="33"/>
  <c r="AN831" i="33" s="1"/>
  <c r="AM653" i="33"/>
  <c r="AO840" i="33"/>
  <c r="AP841" i="33"/>
  <c r="BD1309" i="33"/>
  <c r="BD10" i="33" s="1"/>
  <c r="BE1296" i="33"/>
  <c r="AY1121" i="33"/>
  <c r="AZ1116" i="33"/>
  <c r="BB1145" i="33"/>
  <c r="BB1260" i="33" s="1"/>
  <c r="BB9" i="33" s="1"/>
  <c r="BA1132" i="33"/>
  <c r="BA1134" i="33" s="1"/>
  <c r="BA1125" i="33"/>
  <c r="BA1114" i="33"/>
  <c r="BA1118" i="33"/>
  <c r="BA1120" i="33"/>
  <c r="BA1113" i="33"/>
  <c r="BA1139" i="33"/>
  <c r="BA1143" i="33" s="1"/>
  <c r="BA1119" i="33"/>
  <c r="BA1112" i="33"/>
  <c r="BA1115" i="33"/>
  <c r="AZ1117" i="33"/>
  <c r="BB1147" i="33"/>
  <c r="BA1155" i="33"/>
  <c r="BA1127" i="33" s="1"/>
  <c r="AZ1128" i="33"/>
  <c r="BE1148" i="33"/>
  <c r="AM644" i="33"/>
  <c r="AN685" i="33"/>
  <c r="AM671" i="33"/>
  <c r="AK916" i="33"/>
  <c r="AM887" i="33"/>
  <c r="AM909" i="33"/>
  <c r="AO905" i="33"/>
  <c r="AO883" i="33"/>
  <c r="AM897" i="33"/>
  <c r="AM875" i="33"/>
  <c r="AM888" i="33"/>
  <c r="AM910" i="33"/>
  <c r="AM895" i="33"/>
  <c r="AM873" i="33"/>
  <c r="AN894" i="33"/>
  <c r="AN872" i="33"/>
  <c r="AM899" i="33"/>
  <c r="AM877" i="33"/>
  <c r="AM902" i="33"/>
  <c r="AM880" i="33"/>
  <c r="AM886" i="33"/>
  <c r="AM908" i="33"/>
  <c r="AM898" i="33"/>
  <c r="AM876" i="33"/>
  <c r="AL817" i="33"/>
  <c r="P236" i="37" s="1"/>
  <c r="AL869" i="33"/>
  <c r="AM885" i="33"/>
  <c r="AM907" i="33"/>
  <c r="AL891" i="33"/>
  <c r="AM903" i="33"/>
  <c r="AM881" i="33"/>
  <c r="AO882" i="33"/>
  <c r="AO904" i="33"/>
  <c r="AM893" i="33"/>
  <c r="AM871" i="33"/>
  <c r="AM900" i="33"/>
  <c r="AM878" i="33"/>
  <c r="AL639" i="33"/>
  <c r="P235" i="37" s="1"/>
  <c r="AL669" i="33"/>
  <c r="AN673" i="33"/>
  <c r="AN687" i="33"/>
  <c r="AN676" i="33"/>
  <c r="AN690" i="33"/>
  <c r="AN679" i="33"/>
  <c r="AN693" i="33"/>
  <c r="AO691" i="33"/>
  <c r="AN677" i="33"/>
  <c r="AM680" i="33"/>
  <c r="AM674" i="33"/>
  <c r="AN670" i="33"/>
  <c r="AO684" i="33"/>
  <c r="AM912" i="33" l="1" a="1"/>
  <c r="AM912" i="33" s="1"/>
  <c r="AO646" i="33"/>
  <c r="AP645" i="33"/>
  <c r="P189" i="51"/>
  <c r="AE270" i="37"/>
  <c r="P183" i="51" a="1"/>
  <c r="P183" i="51" s="1"/>
  <c r="P181" i="51" s="1"/>
  <c r="AF270" i="37"/>
  <c r="K968" i="51"/>
  <c r="M325" i="37"/>
  <c r="M332" i="37"/>
  <c r="M311" i="37"/>
  <c r="M346" i="37"/>
  <c r="N330" i="37"/>
  <c r="N337" i="37"/>
  <c r="N344" i="37"/>
  <c r="N309" i="37"/>
  <c r="N316" i="37"/>
  <c r="N323" i="37"/>
  <c r="L332" i="37"/>
  <c r="L311" i="37"/>
  <c r="N328" i="37"/>
  <c r="N335" i="37"/>
  <c r="N321" i="37"/>
  <c r="N314" i="37"/>
  <c r="N307" i="37"/>
  <c r="N342" i="37"/>
  <c r="M339" i="37"/>
  <c r="L339" i="37"/>
  <c r="L346" i="37"/>
  <c r="L318" i="37"/>
  <c r="M318" i="37"/>
  <c r="L325" i="37"/>
  <c r="N12" i="37"/>
  <c r="N123" i="37" s="1"/>
  <c r="AE263" i="37"/>
  <c r="AK8" i="33"/>
  <c r="AM641" i="33"/>
  <c r="Q242" i="37"/>
  <c r="Q250" i="37"/>
  <c r="Q304" i="37" s="1"/>
  <c r="DP44" i="28"/>
  <c r="DO15" i="28"/>
  <c r="DO53" i="28"/>
  <c r="DP12" i="28"/>
  <c r="DP53" i="28"/>
  <c r="AF256" i="37"/>
  <c r="AE256" i="37"/>
  <c r="DP11" i="28"/>
  <c r="DP42" i="28"/>
  <c r="DP45" i="28"/>
  <c r="DP9" i="28"/>
  <c r="DP43" i="28"/>
  <c r="O234" i="37"/>
  <c r="AF241" i="37" s="1"/>
  <c r="DP48" i="28"/>
  <c r="DP49" i="28"/>
  <c r="DP47" i="28"/>
  <c r="DP8" i="28"/>
  <c r="AG242" i="37"/>
  <c r="AF243" i="37"/>
  <c r="AF250" i="37"/>
  <c r="AE248" i="37"/>
  <c r="AO829" i="33"/>
  <c r="AN821" i="33"/>
  <c r="AN820" i="33"/>
  <c r="AP828" i="33"/>
  <c r="AL822" i="33"/>
  <c r="AL824" i="33" s="1"/>
  <c r="L13" i="38" s="1"/>
  <c r="AN818" i="33"/>
  <c r="AO827" i="33"/>
  <c r="AN819" i="33"/>
  <c r="M122" i="37"/>
  <c r="AO847" i="33"/>
  <c r="O248" i="37"/>
  <c r="O299" i="37" s="1"/>
  <c r="O300" i="37" s="1"/>
  <c r="AE284" i="37"/>
  <c r="AM823" i="33"/>
  <c r="AM830" i="33"/>
  <c r="P241" i="37"/>
  <c r="F241" i="37" s="1"/>
  <c r="P250" i="37"/>
  <c r="AO826" i="33"/>
  <c r="AN870" i="33"/>
  <c r="AN825" i="33"/>
  <c r="AN892" i="33"/>
  <c r="P249" i="37"/>
  <c r="P302" i="37" s="1"/>
  <c r="AK7" i="33"/>
  <c r="DO54" i="28"/>
  <c r="DO50" i="28"/>
  <c r="DO56" i="28"/>
  <c r="DO14" i="28"/>
  <c r="DO55" i="28"/>
  <c r="DO16" i="28"/>
  <c r="DO13" i="28"/>
  <c r="DO12" i="28"/>
  <c r="DO17" i="28"/>
  <c r="DO51" i="28"/>
  <c r="DO52" i="28"/>
  <c r="DP18" i="28"/>
  <c r="DO57" i="28"/>
  <c r="DO18" i="28"/>
  <c r="DP52" i="28"/>
  <c r="DP57" i="28"/>
  <c r="DP55" i="28"/>
  <c r="DP50" i="28"/>
  <c r="DP17" i="28"/>
  <c r="DP16" i="28"/>
  <c r="DP15" i="28"/>
  <c r="DP13" i="28"/>
  <c r="DP51" i="28"/>
  <c r="DP14" i="28"/>
  <c r="DP56" i="28"/>
  <c r="DP54" i="28"/>
  <c r="AC491" i="38"/>
  <c r="J491" i="38" s="1"/>
  <c r="J504" i="38" s="1"/>
  <c r="J503" i="38"/>
  <c r="DQ10" i="28" s="1"/>
  <c r="AD489" i="38"/>
  <c r="K489" i="38" s="1"/>
  <c r="AD492" i="38"/>
  <c r="K492" i="38" s="1"/>
  <c r="AD490" i="38"/>
  <c r="K490" i="38" s="1"/>
  <c r="AJ715" i="33"/>
  <c r="AJ716" i="33" s="1"/>
  <c r="N11" i="37"/>
  <c r="N122" i="37" s="1"/>
  <c r="AK703" i="33"/>
  <c r="AK715" i="33" s="1"/>
  <c r="M567" i="38"/>
  <c r="K496" i="38"/>
  <c r="K510" i="38"/>
  <c r="N566" i="38"/>
  <c r="J511" i="38"/>
  <c r="L169" i="38"/>
  <c r="L178" i="38"/>
  <c r="K179" i="38"/>
  <c r="K497" i="38" s="1"/>
  <c r="DC53" i="28" s="1"/>
  <c r="AL640" i="33"/>
  <c r="AL642" i="33" s="1"/>
  <c r="L12" i="38" s="1"/>
  <c r="AL643" i="33"/>
  <c r="L18" i="38" s="1"/>
  <c r="L19" i="38" s="1"/>
  <c r="K29" i="38"/>
  <c r="AN694" i="33"/>
  <c r="AL696" i="33"/>
  <c r="AL7" i="33" s="1"/>
  <c r="M967" i="51" s="1"/>
  <c r="AO837" i="33"/>
  <c r="AO838" i="33"/>
  <c r="AO833" i="33" s="1"/>
  <c r="AO649" i="33"/>
  <c r="AO647" i="33" s="1"/>
  <c r="AO849" i="33"/>
  <c r="AO839" i="33"/>
  <c r="AO834" i="33" s="1"/>
  <c r="AN647" i="33"/>
  <c r="AO848" i="33"/>
  <c r="AQ650" i="33"/>
  <c r="AR651" i="33"/>
  <c r="AO846" i="33"/>
  <c r="AN845" i="33"/>
  <c r="AN688" i="33"/>
  <c r="AP840" i="33"/>
  <c r="AQ841" i="33"/>
  <c r="AP648" i="33"/>
  <c r="AN835" i="33"/>
  <c r="R243" i="37" s="1"/>
  <c r="AO836" i="33"/>
  <c r="AO831" i="33" s="1"/>
  <c r="AP654" i="33"/>
  <c r="AO655" i="33"/>
  <c r="BE1309" i="33"/>
  <c r="BE10" i="33" s="1"/>
  <c r="BF1296" i="33"/>
  <c r="BF1309" i="33" s="1"/>
  <c r="BF10" i="33" s="1"/>
  <c r="AN644" i="33"/>
  <c r="AZ1121" i="33"/>
  <c r="BA1128" i="33"/>
  <c r="BC1147" i="33"/>
  <c r="BB1155" i="33"/>
  <c r="BB1116" i="33" s="1"/>
  <c r="BA1116" i="33"/>
  <c r="BA1117" i="33"/>
  <c r="AO685" i="33"/>
  <c r="AN671" i="33"/>
  <c r="BC1145" i="33"/>
  <c r="BC1260" i="33" s="1"/>
  <c r="BC9" i="33" s="1"/>
  <c r="BB1125" i="33"/>
  <c r="BB1114" i="33"/>
  <c r="BB1139" i="33"/>
  <c r="BB1143" i="33" s="1"/>
  <c r="BB1115" i="33"/>
  <c r="BB1118" i="33"/>
  <c r="BB1120" i="33"/>
  <c r="BB1113" i="33"/>
  <c r="BB1132" i="33"/>
  <c r="BB1134" i="33" s="1"/>
  <c r="BB1119" i="33"/>
  <c r="BB1112" i="33"/>
  <c r="BF1148" i="33"/>
  <c r="AL916" i="33"/>
  <c r="AN899" i="33"/>
  <c r="AN877" i="33"/>
  <c r="AM817" i="33"/>
  <c r="AN886" i="33"/>
  <c r="AN908" i="33"/>
  <c r="AN888" i="33"/>
  <c r="AN910" i="33"/>
  <c r="AM869" i="33"/>
  <c r="AN903" i="33"/>
  <c r="AN881" i="33"/>
  <c r="AM891" i="33"/>
  <c r="AN898" i="33"/>
  <c r="AN876" i="33"/>
  <c r="AN902" i="33"/>
  <c r="AN880" i="33"/>
  <c r="AO894" i="33"/>
  <c r="AO872" i="33"/>
  <c r="AN893" i="33"/>
  <c r="AN871" i="33"/>
  <c r="AP905" i="33"/>
  <c r="AP883" i="33"/>
  <c r="AN885" i="33"/>
  <c r="AN907" i="33"/>
  <c r="AN887" i="33"/>
  <c r="AN909" i="33"/>
  <c r="AN900" i="33"/>
  <c r="AN878" i="33"/>
  <c r="AN895" i="33"/>
  <c r="AN873" i="33"/>
  <c r="AP882" i="33"/>
  <c r="AP904" i="33"/>
  <c r="AN897" i="33"/>
  <c r="AN875" i="33"/>
  <c r="AM669" i="33"/>
  <c r="AM696" i="33" s="1"/>
  <c r="AM7" i="33" s="1"/>
  <c r="Q11" i="37" s="1"/>
  <c r="AM639" i="33"/>
  <c r="Q235" i="37" s="1"/>
  <c r="AO673" i="33"/>
  <c r="AO687" i="33"/>
  <c r="AO679" i="33"/>
  <c r="AO693" i="33"/>
  <c r="AO676" i="33"/>
  <c r="AO690" i="33"/>
  <c r="AN680" i="33"/>
  <c r="AN674" i="33"/>
  <c r="AO670" i="33"/>
  <c r="AP684" i="33"/>
  <c r="AP691" i="33"/>
  <c r="AO677" i="33"/>
  <c r="AQ645" i="33" l="1"/>
  <c r="AN912" i="33" a="1"/>
  <c r="AN912" i="33" s="1"/>
  <c r="AP646" i="33"/>
  <c r="Q183" i="51" a="1"/>
  <c r="Q183" i="51" s="1"/>
  <c r="Q181" i="51" s="1"/>
  <c r="Q189" i="51"/>
  <c r="O12" i="37"/>
  <c r="O123" i="37" s="1"/>
  <c r="L968" i="51"/>
  <c r="O11" i="37"/>
  <c r="O122" i="37" s="1"/>
  <c r="L967" i="51"/>
  <c r="N339" i="37"/>
  <c r="N332" i="37"/>
  <c r="N318" i="37"/>
  <c r="N325" i="37"/>
  <c r="N311" i="37"/>
  <c r="F250" i="37"/>
  <c r="P304" i="37"/>
  <c r="O328" i="37"/>
  <c r="O335" i="37"/>
  <c r="O321" i="37"/>
  <c r="O314" i="37"/>
  <c r="O318" i="37" s="1"/>
  <c r="O342" i="37"/>
  <c r="O307" i="37"/>
  <c r="O311" i="37" s="1"/>
  <c r="P323" i="37"/>
  <c r="P330" i="37"/>
  <c r="P337" i="37"/>
  <c r="P316" i="37"/>
  <c r="P309" i="37"/>
  <c r="P344" i="37"/>
  <c r="N346" i="37"/>
  <c r="AL8" i="33"/>
  <c r="AO641" i="33"/>
  <c r="S242" i="37"/>
  <c r="AH242" i="37"/>
  <c r="Q241" i="37"/>
  <c r="Q249" i="37"/>
  <c r="Q302" i="37" s="1"/>
  <c r="R250" i="37"/>
  <c r="R304" i="37" s="1"/>
  <c r="AM822" i="33"/>
  <c r="AM824" i="33" s="1"/>
  <c r="M13" i="38" s="1"/>
  <c r="Q236" i="37"/>
  <c r="AH250" i="37" s="1"/>
  <c r="AN641" i="33"/>
  <c r="R242" i="37"/>
  <c r="AM242" i="37"/>
  <c r="DQ12" i="28"/>
  <c r="DQ53" i="28"/>
  <c r="AG249" i="37"/>
  <c r="F249" i="37"/>
  <c r="AF248" i="37"/>
  <c r="AG250" i="37"/>
  <c r="AG243" i="37"/>
  <c r="AO818" i="33"/>
  <c r="AO820" i="33"/>
  <c r="AQ828" i="33"/>
  <c r="AO819" i="33"/>
  <c r="AP827" i="33"/>
  <c r="AP829" i="33"/>
  <c r="AO821" i="33"/>
  <c r="P234" i="37"/>
  <c r="AG241" i="37" s="1"/>
  <c r="AN823" i="33"/>
  <c r="AN830" i="33"/>
  <c r="AP837" i="33"/>
  <c r="AP832" i="33" s="1"/>
  <c r="AO832" i="33"/>
  <c r="P291" i="37"/>
  <c r="P284" i="37"/>
  <c r="P256" i="37"/>
  <c r="P248" i="37"/>
  <c r="P299" i="37" s="1"/>
  <c r="P300" i="37" s="1"/>
  <c r="P270" i="37"/>
  <c r="P263" i="37"/>
  <c r="P277" i="37"/>
  <c r="AE489" i="38"/>
  <c r="L489" i="38" s="1"/>
  <c r="AE490" i="38"/>
  <c r="L490" i="38" s="1"/>
  <c r="AE492" i="38"/>
  <c r="L492" i="38" s="1"/>
  <c r="AP826" i="33"/>
  <c r="AO870" i="33"/>
  <c r="AO825" i="33"/>
  <c r="AO892" i="33"/>
  <c r="AD491" i="38"/>
  <c r="K491" i="38" s="1"/>
  <c r="K504" i="38" s="1"/>
  <c r="DR53" i="28" s="1"/>
  <c r="DQ9" i="28"/>
  <c r="DQ48" i="28"/>
  <c r="DQ44" i="28"/>
  <c r="DQ45" i="28"/>
  <c r="DQ56" i="28"/>
  <c r="DQ43" i="28"/>
  <c r="DQ15" i="28"/>
  <c r="DQ42" i="28"/>
  <c r="DQ11" i="28"/>
  <c r="DQ47" i="28"/>
  <c r="DQ8" i="28"/>
  <c r="DQ49" i="28"/>
  <c r="DQ54" i="28"/>
  <c r="DQ14" i="28"/>
  <c r="DQ52" i="28"/>
  <c r="DQ17" i="28"/>
  <c r="DQ16" i="28"/>
  <c r="DQ13" i="28"/>
  <c r="DQ51" i="28"/>
  <c r="DQ55" i="28"/>
  <c r="DQ50" i="28"/>
  <c r="DQ18" i="28"/>
  <c r="DQ57" i="28"/>
  <c r="K503" i="38"/>
  <c r="AK716" i="33"/>
  <c r="AK704" i="33"/>
  <c r="N567" i="38"/>
  <c r="L496" i="38"/>
  <c r="L510" i="38"/>
  <c r="O566" i="38"/>
  <c r="M169" i="38"/>
  <c r="K511" i="38"/>
  <c r="M178" i="38"/>
  <c r="AN683" i="33"/>
  <c r="D140" i="38"/>
  <c r="M170" i="38"/>
  <c r="L179" i="38"/>
  <c r="D139" i="38"/>
  <c r="L29" i="38"/>
  <c r="AM640" i="33"/>
  <c r="AM642" i="33" s="1"/>
  <c r="M12" i="38" s="1"/>
  <c r="AM643" i="33"/>
  <c r="M18" i="38" s="1"/>
  <c r="M19" i="38" s="1"/>
  <c r="AP847" i="33"/>
  <c r="E139" i="38"/>
  <c r="E140" i="38"/>
  <c r="AP848" i="33"/>
  <c r="P11" i="37"/>
  <c r="AO688" i="33"/>
  <c r="AP655" i="33"/>
  <c r="AP653" i="33" s="1"/>
  <c r="AP839" i="33"/>
  <c r="AP834" i="33" s="1"/>
  <c r="AP849" i="33"/>
  <c r="AP838" i="33"/>
  <c r="AP833" i="33" s="1"/>
  <c r="AO845" i="33"/>
  <c r="AP846" i="33"/>
  <c r="AO653" i="33"/>
  <c r="AQ654" i="33"/>
  <c r="AQ648" i="33"/>
  <c r="AR650" i="33"/>
  <c r="AS651" i="33"/>
  <c r="AO694" i="33"/>
  <c r="AP836" i="33"/>
  <c r="AP831" i="33" s="1"/>
  <c r="AO835" i="33"/>
  <c r="S243" i="37" s="1"/>
  <c r="AQ840" i="33"/>
  <c r="AR841" i="33"/>
  <c r="AP649" i="33"/>
  <c r="BA1121" i="33"/>
  <c r="BB1127" i="33"/>
  <c r="BB1128" i="33" s="1"/>
  <c r="BB1117" i="33"/>
  <c r="BB1121" i="33" s="1"/>
  <c r="AP685" i="33"/>
  <c r="AO671" i="33"/>
  <c r="AO644" i="33"/>
  <c r="BD1147" i="33"/>
  <c r="BC1155" i="33"/>
  <c r="BC1127" i="33" s="1"/>
  <c r="BD1145" i="33"/>
  <c r="BD1260" i="33" s="1"/>
  <c r="BD9" i="33" s="1"/>
  <c r="BC1118" i="33"/>
  <c r="BC1119" i="33"/>
  <c r="BC1112" i="33"/>
  <c r="BC1120" i="33"/>
  <c r="BC1113" i="33"/>
  <c r="BC1139" i="33"/>
  <c r="BC1143" i="33" s="1"/>
  <c r="BC1132" i="33"/>
  <c r="BC1134" i="33" s="1"/>
  <c r="BC1115" i="33"/>
  <c r="BC1114" i="33"/>
  <c r="BC1125" i="33"/>
  <c r="AM916" i="33"/>
  <c r="AO900" i="33"/>
  <c r="AO878" i="33"/>
  <c r="AO908" i="33"/>
  <c r="AO886" i="33"/>
  <c r="AO893" i="33"/>
  <c r="AO871" i="33"/>
  <c r="AQ882" i="33"/>
  <c r="AQ904" i="33"/>
  <c r="AO898" i="33"/>
  <c r="AO876" i="33"/>
  <c r="AO887" i="33"/>
  <c r="AO909" i="33"/>
  <c r="AQ883" i="33"/>
  <c r="AQ905" i="33"/>
  <c r="AP894" i="33"/>
  <c r="AP872" i="33"/>
  <c r="AO902" i="33"/>
  <c r="AO880" i="33"/>
  <c r="AO903" i="33"/>
  <c r="AO881" i="33"/>
  <c r="AO897" i="33"/>
  <c r="AO875" i="33"/>
  <c r="AO895" i="33"/>
  <c r="AO873" i="33"/>
  <c r="AN817" i="33"/>
  <c r="AO899" i="33"/>
  <c r="AO877" i="33"/>
  <c r="AO885" i="33"/>
  <c r="AO907" i="33"/>
  <c r="AN869" i="33"/>
  <c r="AO910" i="33"/>
  <c r="AO888" i="33"/>
  <c r="AN891" i="33"/>
  <c r="AN639" i="33"/>
  <c r="R235" i="37" s="1"/>
  <c r="AP679" i="33"/>
  <c r="AP693" i="33"/>
  <c r="AP676" i="33"/>
  <c r="AP690" i="33"/>
  <c r="AN669" i="33"/>
  <c r="AP673" i="33"/>
  <c r="AP687" i="33"/>
  <c r="AO674" i="33"/>
  <c r="AP670" i="33"/>
  <c r="AQ684" i="33"/>
  <c r="AO680" i="33"/>
  <c r="AQ691" i="33"/>
  <c r="AP677" i="33"/>
  <c r="AO912" i="33" l="1" a="1"/>
  <c r="AO912" i="33" s="1"/>
  <c r="AQ646" i="33"/>
  <c r="AR645" i="33"/>
  <c r="R183" i="51" a="1"/>
  <c r="R183" i="51" s="1"/>
  <c r="Z183" i="51" s="1"/>
  <c r="R189" i="51"/>
  <c r="P12" i="37"/>
  <c r="P123" i="37" s="1"/>
  <c r="M968" i="51"/>
  <c r="S15" i="28" a="1"/>
  <c r="S15" i="28" s="1"/>
  <c r="S14" i="28" a="1"/>
  <c r="S14" i="28" s="1"/>
  <c r="S16" i="28" a="1"/>
  <c r="S16" i="28" s="1"/>
  <c r="S18" i="28" a="1"/>
  <c r="S18" i="28" s="1"/>
  <c r="S12" i="28" a="1"/>
  <c r="S12" i="28" s="1"/>
  <c r="S17" i="28" a="1"/>
  <c r="S17" i="28" s="1"/>
  <c r="S11" i="28" a="1"/>
  <c r="O332" i="37"/>
  <c r="O339" i="37"/>
  <c r="P335" i="37"/>
  <c r="P339" i="37" s="1"/>
  <c r="P321" i="37"/>
  <c r="P325" i="37" s="1"/>
  <c r="P314" i="37"/>
  <c r="P318" i="37" s="1"/>
  <c r="P342" i="37"/>
  <c r="P346" i="37" s="1"/>
  <c r="P307" i="37"/>
  <c r="P311" i="37" s="1"/>
  <c r="P328" i="37"/>
  <c r="P332" i="37" s="1"/>
  <c r="Q316" i="37"/>
  <c r="Q323" i="37"/>
  <c r="Q330" i="37"/>
  <c r="Q337" i="37"/>
  <c r="Q309" i="37"/>
  <c r="Q344" i="37"/>
  <c r="O346" i="37"/>
  <c r="O325" i="37"/>
  <c r="Q122" i="37"/>
  <c r="M29" i="38"/>
  <c r="M23" i="38" s="1"/>
  <c r="AN822" i="33"/>
  <c r="R236" i="37"/>
  <c r="AI250" i="37" s="1"/>
  <c r="AM8" i="33"/>
  <c r="Q12" i="37" s="1"/>
  <c r="R241" i="37"/>
  <c r="AI242" i="37"/>
  <c r="R249" i="37"/>
  <c r="R302" i="37" s="1"/>
  <c r="S250" i="37"/>
  <c r="S304" i="37" s="1"/>
  <c r="AH243" i="37"/>
  <c r="S241" i="37"/>
  <c r="S249" i="37"/>
  <c r="S302" i="37" s="1"/>
  <c r="Q234" i="37"/>
  <c r="AH241" i="37" s="1"/>
  <c r="AH249" i="37"/>
  <c r="Q291" i="37"/>
  <c r="AH291" i="37" s="1"/>
  <c r="Q263" i="37"/>
  <c r="AH263" i="37" s="1"/>
  <c r="Q284" i="37"/>
  <c r="AH284" i="37" s="1"/>
  <c r="Q277" i="37"/>
  <c r="AH277" i="37" s="1"/>
  <c r="Q270" i="37"/>
  <c r="AH270" i="37" s="1"/>
  <c r="Q256" i="37"/>
  <c r="AH256" i="37" s="1"/>
  <c r="Q248" i="37"/>
  <c r="AM249" i="37"/>
  <c r="AM241" i="37"/>
  <c r="AM243" i="37"/>
  <c r="AM250" i="37"/>
  <c r="AF490" i="38"/>
  <c r="M490" i="38" s="1"/>
  <c r="AG637" i="37" s="1"/>
  <c r="N169" i="38"/>
  <c r="AF492" i="38"/>
  <c r="M492" i="38" s="1"/>
  <c r="AG639" i="37" s="1"/>
  <c r="N170" i="38"/>
  <c r="AF489" i="38"/>
  <c r="M489" i="38" s="1"/>
  <c r="AG638" i="37" s="1"/>
  <c r="K781" i="51" s="1"/>
  <c r="N178" i="38"/>
  <c r="F248" i="37"/>
  <c r="F256" i="37"/>
  <c r="AG284" i="37"/>
  <c r="F284" i="37"/>
  <c r="AG291" i="37"/>
  <c r="F291" i="37"/>
  <c r="AG277" i="37"/>
  <c r="F277" i="37"/>
  <c r="AG263" i="37"/>
  <c r="F263" i="37"/>
  <c r="AG270" i="37"/>
  <c r="F270" i="37"/>
  <c r="AG248" i="37"/>
  <c r="AQ837" i="33"/>
  <c r="AQ832" i="33" s="1"/>
  <c r="AQ829" i="33"/>
  <c r="AP821" i="33"/>
  <c r="AP819" i="33"/>
  <c r="AQ827" i="33"/>
  <c r="AP818" i="33"/>
  <c r="AP820" i="33"/>
  <c r="AR828" i="33"/>
  <c r="P122" i="37"/>
  <c r="F122" i="37" s="1"/>
  <c r="F11" i="37"/>
  <c r="AN824" i="33"/>
  <c r="N13" i="38" s="1"/>
  <c r="AG256" i="37"/>
  <c r="AO823" i="33"/>
  <c r="AO830" i="33"/>
  <c r="L503" i="38"/>
  <c r="DS42" i="28" s="1"/>
  <c r="AQ826" i="33"/>
  <c r="AP892" i="33"/>
  <c r="AP870" i="33"/>
  <c r="AP825" i="33"/>
  <c r="L497" i="38"/>
  <c r="DD53" i="28" s="1"/>
  <c r="AE491" i="38"/>
  <c r="L491" i="38" s="1"/>
  <c r="L504" i="38" s="1"/>
  <c r="DR16" i="28"/>
  <c r="DR13" i="28"/>
  <c r="DR17" i="28"/>
  <c r="DR15" i="28"/>
  <c r="DR14" i="28"/>
  <c r="DR18" i="28"/>
  <c r="DR12" i="28"/>
  <c r="DR51" i="28"/>
  <c r="DR52" i="28"/>
  <c r="DR50" i="28"/>
  <c r="DR56" i="28"/>
  <c r="DR54" i="28"/>
  <c r="DR57" i="28"/>
  <c r="DR55" i="28"/>
  <c r="DR9" i="28"/>
  <c r="DR10" i="28"/>
  <c r="DR8" i="28"/>
  <c r="DR11" i="28"/>
  <c r="DR47" i="28"/>
  <c r="DR44" i="28"/>
  <c r="DR45" i="28"/>
  <c r="DR42" i="28"/>
  <c r="DR48" i="28"/>
  <c r="DR43" i="28"/>
  <c r="DR49" i="28"/>
  <c r="L511" i="38"/>
  <c r="O567" i="38"/>
  <c r="M496" i="38"/>
  <c r="P566" i="38"/>
  <c r="GY43" i="28" s="1"/>
  <c r="M510" i="38"/>
  <c r="AN696" i="33"/>
  <c r="AN7" i="33" s="1"/>
  <c r="M179" i="38"/>
  <c r="N179" i="38" s="1"/>
  <c r="D141" i="38"/>
  <c r="L178" i="37"/>
  <c r="FL43" i="28"/>
  <c r="FQ45" i="28"/>
  <c r="GT48" i="28"/>
  <c r="FO47" i="28"/>
  <c r="CW44" i="28"/>
  <c r="AP694" i="33"/>
  <c r="FK10" i="28"/>
  <c r="GV46" i="28"/>
  <c r="AQ838" i="33"/>
  <c r="AQ833" i="33" s="1"/>
  <c r="FJ46" i="28"/>
  <c r="DK46" i="28" s="1"/>
  <c r="CZ8" i="28"/>
  <c r="GS44" i="28"/>
  <c r="FP9" i="28"/>
  <c r="CX9" i="28"/>
  <c r="FN47" i="28"/>
  <c r="GR11" i="28"/>
  <c r="AQ847" i="33"/>
  <c r="AN640" i="33"/>
  <c r="AN642" i="33" s="1"/>
  <c r="N12" i="38" s="1"/>
  <c r="AN643" i="33"/>
  <c r="N18" i="38" s="1"/>
  <c r="N19" i="38" s="1"/>
  <c r="O984" i="37"/>
  <c r="H178" i="37"/>
  <c r="FR49" i="28"/>
  <c r="GX10" i="28"/>
  <c r="FM10" i="28"/>
  <c r="CY49" i="28"/>
  <c r="DA48" i="28"/>
  <c r="GW45" i="28"/>
  <c r="GP49" i="28"/>
  <c r="AO683" i="33"/>
  <c r="FK48" i="28"/>
  <c r="FK49" i="28"/>
  <c r="FK8" i="28"/>
  <c r="FO42" i="28"/>
  <c r="FO49" i="28"/>
  <c r="FO48" i="28"/>
  <c r="FO45" i="28"/>
  <c r="FO46" i="28"/>
  <c r="DP46" i="28" s="1"/>
  <c r="FO10" i="28"/>
  <c r="FO44" i="28"/>
  <c r="FO9" i="28"/>
  <c r="FO8" i="28"/>
  <c r="DD44" i="28"/>
  <c r="DD43" i="28"/>
  <c r="DD48" i="28"/>
  <c r="DD45" i="28"/>
  <c r="DD10" i="28"/>
  <c r="DD11" i="28"/>
  <c r="CY43" i="28"/>
  <c r="CY42" i="28"/>
  <c r="CY48" i="28"/>
  <c r="CY45" i="28"/>
  <c r="CY47" i="28"/>
  <c r="CY44" i="28"/>
  <c r="CY11" i="28"/>
  <c r="CY9" i="28"/>
  <c r="CY10" i="28"/>
  <c r="J984" i="37"/>
  <c r="GQ47" i="28"/>
  <c r="GQ10" i="28"/>
  <c r="GQ44" i="28"/>
  <c r="O178" i="37"/>
  <c r="GX42" i="28"/>
  <c r="FQ48" i="28"/>
  <c r="DB43" i="28"/>
  <c r="DB49" i="28"/>
  <c r="DB45" i="28"/>
  <c r="DB42" i="28"/>
  <c r="DB47" i="28"/>
  <c r="DB48" i="28"/>
  <c r="DB44" i="28"/>
  <c r="DB8" i="28"/>
  <c r="DB10" i="28"/>
  <c r="DB9" i="28"/>
  <c r="DB11" i="28"/>
  <c r="M984" i="37"/>
  <c r="DA45" i="28"/>
  <c r="DA44" i="28"/>
  <c r="DA11" i="28"/>
  <c r="GP48" i="28"/>
  <c r="FL44" i="28"/>
  <c r="FL9" i="28"/>
  <c r="FL48" i="28"/>
  <c r="FL45" i="28"/>
  <c r="DC47" i="28"/>
  <c r="DC49" i="28"/>
  <c r="DC44" i="28"/>
  <c r="DC42" i="28"/>
  <c r="DC45" i="28"/>
  <c r="DC43" i="28"/>
  <c r="DC48" i="28"/>
  <c r="DC8" i="28"/>
  <c r="DC10" i="28"/>
  <c r="DC11" i="28"/>
  <c r="DC9" i="28"/>
  <c r="N984" i="37"/>
  <c r="FJ43" i="28"/>
  <c r="CV43" i="28"/>
  <c r="CV48" i="28"/>
  <c r="CV47" i="28"/>
  <c r="CV45" i="28"/>
  <c r="CV42" i="28"/>
  <c r="CV44" i="28"/>
  <c r="CV49" i="28"/>
  <c r="CV9" i="28"/>
  <c r="CV8" i="28"/>
  <c r="CV10" i="28"/>
  <c r="CV11" i="28"/>
  <c r="CZ47" i="28"/>
  <c r="GS48" i="28"/>
  <c r="E141" i="38"/>
  <c r="AQ649" i="33"/>
  <c r="AQ647" i="33" s="1"/>
  <c r="AQ839" i="33"/>
  <c r="AQ834" i="33" s="1"/>
  <c r="AQ849" i="33"/>
  <c r="AQ848" i="33"/>
  <c r="AQ820" i="33" s="1"/>
  <c r="AP647" i="33"/>
  <c r="AP688" i="33"/>
  <c r="AQ655" i="33"/>
  <c r="AR648" i="33"/>
  <c r="AQ836" i="33"/>
  <c r="AQ831" i="33" s="1"/>
  <c r="AP835" i="33"/>
  <c r="T243" i="37" s="1"/>
  <c r="AR654" i="33"/>
  <c r="AP845" i="33"/>
  <c r="AQ846" i="33"/>
  <c r="AR840" i="33"/>
  <c r="AS841" i="33"/>
  <c r="AS650" i="33"/>
  <c r="AT651" i="33"/>
  <c r="AP671" i="33"/>
  <c r="AQ685" i="33"/>
  <c r="AP644" i="33"/>
  <c r="BC1128" i="33"/>
  <c r="BC1116" i="33"/>
  <c r="BE1147" i="33"/>
  <c r="BD1155" i="33"/>
  <c r="BD1127" i="33" s="1"/>
  <c r="BC1117" i="33"/>
  <c r="BE1145" i="33"/>
  <c r="BE1260" i="33" s="1"/>
  <c r="BE9" i="33" s="1"/>
  <c r="BD1120" i="33"/>
  <c r="BD1113" i="33"/>
  <c r="BD1139" i="33"/>
  <c r="BD1143" i="33" s="1"/>
  <c r="BD1132" i="33"/>
  <c r="BD1134" i="33" s="1"/>
  <c r="BD1115" i="33"/>
  <c r="BD1119" i="33"/>
  <c r="BD1112" i="33"/>
  <c r="BD1125" i="33"/>
  <c r="BD1118" i="33"/>
  <c r="BD1114" i="33"/>
  <c r="AN916" i="33"/>
  <c r="AO639" i="33"/>
  <c r="S235" i="37" s="1"/>
  <c r="AJ242" i="37" s="1"/>
  <c r="AP893" i="33"/>
  <c r="AP871" i="33"/>
  <c r="AP903" i="33"/>
  <c r="AP881" i="33"/>
  <c r="AQ894" i="33"/>
  <c r="AQ872" i="33"/>
  <c r="AP895" i="33"/>
  <c r="AP873" i="33"/>
  <c r="AP902" i="33"/>
  <c r="AP880" i="33"/>
  <c r="AP910" i="33"/>
  <c r="AP888" i="33"/>
  <c r="AP897" i="33"/>
  <c r="AP875" i="33"/>
  <c r="AR883" i="33"/>
  <c r="AR905" i="33"/>
  <c r="AP908" i="33"/>
  <c r="AP886" i="33"/>
  <c r="AP887" i="33"/>
  <c r="AP909" i="33"/>
  <c r="AR882" i="33"/>
  <c r="AR904" i="33"/>
  <c r="AO817" i="33"/>
  <c r="AP900" i="33"/>
  <c r="AP878" i="33"/>
  <c r="AP885" i="33"/>
  <c r="AP907" i="33"/>
  <c r="AP899" i="33"/>
  <c r="AP877" i="33"/>
  <c r="AO869" i="33"/>
  <c r="AP898" i="33"/>
  <c r="AP876" i="33"/>
  <c r="AO891" i="33"/>
  <c r="AQ676" i="33"/>
  <c r="AQ690" i="33"/>
  <c r="AQ679" i="33"/>
  <c r="AQ693" i="33"/>
  <c r="AQ673" i="33"/>
  <c r="AQ687" i="33"/>
  <c r="AO669" i="33"/>
  <c r="AP680" i="33"/>
  <c r="AQ670" i="33"/>
  <c r="AR684" i="33"/>
  <c r="AR691" i="33"/>
  <c r="AQ677" i="33"/>
  <c r="AP674" i="33"/>
  <c r="AH639" i="37" l="1"/>
  <c r="L782" i="51" s="1"/>
  <c r="K782" i="51"/>
  <c r="AH637" i="37"/>
  <c r="L780" i="51" s="1"/>
  <c r="K780" i="51"/>
  <c r="AS645" i="33"/>
  <c r="AP912" i="33" a="1"/>
  <c r="AP912" i="33" s="1"/>
  <c r="AR646" i="33"/>
  <c r="R181" i="51"/>
  <c r="S189" i="51"/>
  <c r="S183" i="51" a="1"/>
  <c r="S183" i="51" s="1"/>
  <c r="EU18" i="28" a="1"/>
  <c r="EU18" i="28" s="1"/>
  <c r="EV18" i="28" a="1"/>
  <c r="EV18" i="28" s="1"/>
  <c r="EW18" i="28" a="1"/>
  <c r="EW18" i="28" s="1"/>
  <c r="FL18" i="28" s="1"/>
  <c r="EX18" i="28" a="1"/>
  <c r="EX18" i="28" s="1"/>
  <c r="FM18" i="28" s="1"/>
  <c r="EY18" i="28" a="1"/>
  <c r="EY18" i="28" s="1"/>
  <c r="FN18" i="28" s="1"/>
  <c r="EZ18" i="28" a="1"/>
  <c r="EZ18" i="28" s="1"/>
  <c r="FO18" i="28" s="1"/>
  <c r="FA18" i="28" a="1"/>
  <c r="FA18" i="28" s="1"/>
  <c r="FP18" i="28" s="1"/>
  <c r="FB18" i="28" a="1"/>
  <c r="FB18" i="28" s="1"/>
  <c r="FQ18" i="28" s="1"/>
  <c r="FC18" i="28" a="1"/>
  <c r="FC18" i="28" s="1"/>
  <c r="FR18" i="28" s="1"/>
  <c r="FD18" i="28" a="1"/>
  <c r="FD18" i="28" s="1"/>
  <c r="FF18" i="28" a="1"/>
  <c r="FF18" i="28" s="1"/>
  <c r="FE18" i="28" a="1"/>
  <c r="FE18" i="28" s="1"/>
  <c r="FG18" i="28" a="1"/>
  <c r="FG18" i="28" s="1"/>
  <c r="FH18" i="28" a="1"/>
  <c r="FH18" i="28" s="1"/>
  <c r="FI18" i="28" a="1"/>
  <c r="FI18" i="28" s="1"/>
  <c r="EU12" i="28" a="1"/>
  <c r="EU12" i="28" s="1"/>
  <c r="EV12" i="28" a="1"/>
  <c r="EV12" i="28" s="1"/>
  <c r="FK12" i="28" s="1"/>
  <c r="EW12" i="28" a="1"/>
  <c r="EW12" i="28" s="1"/>
  <c r="FL12" i="28" s="1"/>
  <c r="EX12" i="28" a="1"/>
  <c r="EX12" i="28" s="1"/>
  <c r="FM12" i="28" s="1"/>
  <c r="EY12" i="28" a="1"/>
  <c r="EY12" i="28" s="1"/>
  <c r="FN12" i="28" s="1"/>
  <c r="EZ12" i="28" a="1"/>
  <c r="EZ12" i="28" s="1"/>
  <c r="FO12" i="28" s="1"/>
  <c r="FA12" i="28" a="1"/>
  <c r="FA12" i="28" s="1"/>
  <c r="FP12" i="28" s="1"/>
  <c r="FB12" i="28" a="1"/>
  <c r="FB12" i="28" s="1"/>
  <c r="FQ12" i="28" s="1"/>
  <c r="FC12" i="28" a="1"/>
  <c r="FC12" i="28" s="1"/>
  <c r="FR12" i="28" s="1"/>
  <c r="FD12" i="28" a="1"/>
  <c r="FD12" i="28" s="1"/>
  <c r="FE12" i="28" a="1"/>
  <c r="FE12" i="28" s="1"/>
  <c r="FF12" i="28" a="1"/>
  <c r="FF12" i="28" s="1"/>
  <c r="FG12" i="28" a="1"/>
  <c r="FG12" i="28" s="1"/>
  <c r="FH12" i="28" a="1"/>
  <c r="FH12" i="28" s="1"/>
  <c r="FI12" i="28" a="1"/>
  <c r="FI12" i="28" s="1"/>
  <c r="EU16" i="28" a="1"/>
  <c r="EU16" i="28" s="1"/>
  <c r="EV16" i="28" a="1"/>
  <c r="EV16" i="28" s="1"/>
  <c r="FK16" i="28" s="1"/>
  <c r="EW16" i="28" a="1"/>
  <c r="EW16" i="28" s="1"/>
  <c r="FL16" i="28" s="1"/>
  <c r="EX16" i="28" a="1"/>
  <c r="EX16" i="28" s="1"/>
  <c r="FM16" i="28" s="1"/>
  <c r="EY16" i="28" a="1"/>
  <c r="EY16" i="28" s="1"/>
  <c r="FN16" i="28" s="1"/>
  <c r="EZ16" i="28" a="1"/>
  <c r="EZ16" i="28" s="1"/>
  <c r="FO16" i="28" s="1"/>
  <c r="FA16" i="28" a="1"/>
  <c r="FA16" i="28" s="1"/>
  <c r="FP16" i="28" s="1"/>
  <c r="FB16" i="28" a="1"/>
  <c r="FB16" i="28" s="1"/>
  <c r="FQ16" i="28" s="1"/>
  <c r="FC16" i="28" a="1"/>
  <c r="FC16" i="28" s="1"/>
  <c r="FR16" i="28" s="1"/>
  <c r="FD16" i="28" a="1"/>
  <c r="FD16" i="28" s="1"/>
  <c r="FE16" i="28" a="1"/>
  <c r="FE16" i="28" s="1"/>
  <c r="FF16" i="28" a="1"/>
  <c r="FF16" i="28" s="1"/>
  <c r="FG16" i="28" a="1"/>
  <c r="FG16" i="28" s="1"/>
  <c r="FH16" i="28" a="1"/>
  <c r="FH16" i="28" s="1"/>
  <c r="FI16" i="28" a="1"/>
  <c r="FI16" i="28" s="1"/>
  <c r="EU17" i="28" a="1"/>
  <c r="EU17" i="28" s="1"/>
  <c r="EV17" i="28" a="1"/>
  <c r="EV17" i="28" s="1"/>
  <c r="FK17" i="28" s="1"/>
  <c r="EW17" i="28" a="1"/>
  <c r="EW17" i="28" s="1"/>
  <c r="FL17" i="28" s="1"/>
  <c r="EX17" i="28" a="1"/>
  <c r="EX17" i="28" s="1"/>
  <c r="FM17" i="28" s="1"/>
  <c r="EY17" i="28" a="1"/>
  <c r="EY17" i="28" s="1"/>
  <c r="FN17" i="28" s="1"/>
  <c r="EZ17" i="28" a="1"/>
  <c r="EZ17" i="28" s="1"/>
  <c r="FO17" i="28" s="1"/>
  <c r="FA17" i="28" a="1"/>
  <c r="FA17" i="28" s="1"/>
  <c r="FP17" i="28" s="1"/>
  <c r="FB17" i="28" a="1"/>
  <c r="FB17" i="28" s="1"/>
  <c r="FQ17" i="28" s="1"/>
  <c r="FC17" i="28" a="1"/>
  <c r="FC17" i="28" s="1"/>
  <c r="FR17" i="28" s="1"/>
  <c r="FD17" i="28" a="1"/>
  <c r="FD17" i="28" s="1"/>
  <c r="FF17" i="28" a="1"/>
  <c r="FF17" i="28" s="1"/>
  <c r="FE17" i="28" a="1"/>
  <c r="FE17" i="28" s="1"/>
  <c r="FG17" i="28" a="1"/>
  <c r="FG17" i="28" s="1"/>
  <c r="FH17" i="28" a="1"/>
  <c r="FH17" i="28" s="1"/>
  <c r="FI17" i="28" a="1"/>
  <c r="FI17" i="28" s="1"/>
  <c r="EU14" i="28" a="1"/>
  <c r="EU14" i="28" s="1"/>
  <c r="EV14" i="28" a="1"/>
  <c r="EV14" i="28" s="1"/>
  <c r="FK14" i="28" s="1"/>
  <c r="EW14" i="28" a="1"/>
  <c r="EW14" i="28" s="1"/>
  <c r="FL14" i="28" s="1"/>
  <c r="EX14" i="28" a="1"/>
  <c r="EX14" i="28" s="1"/>
  <c r="FM14" i="28" s="1"/>
  <c r="EY14" i="28" a="1"/>
  <c r="EY14" i="28" s="1"/>
  <c r="FN14" i="28" s="1"/>
  <c r="EZ14" i="28" a="1"/>
  <c r="EZ14" i="28" s="1"/>
  <c r="FO14" i="28" s="1"/>
  <c r="FA14" i="28" a="1"/>
  <c r="FA14" i="28" s="1"/>
  <c r="FP14" i="28" s="1"/>
  <c r="FB14" i="28" a="1"/>
  <c r="FB14" i="28" s="1"/>
  <c r="FQ14" i="28" s="1"/>
  <c r="FC14" i="28" a="1"/>
  <c r="FC14" i="28" s="1"/>
  <c r="FR14" i="28" s="1"/>
  <c r="FD14" i="28" a="1"/>
  <c r="FD14" i="28" s="1"/>
  <c r="FE14" i="28" a="1"/>
  <c r="FE14" i="28" s="1"/>
  <c r="FF14" i="28" a="1"/>
  <c r="FF14" i="28" s="1"/>
  <c r="FG14" i="28" a="1"/>
  <c r="FG14" i="28" s="1"/>
  <c r="FH14" i="28" a="1"/>
  <c r="FH14" i="28" s="1"/>
  <c r="FI14" i="28" a="1"/>
  <c r="FI14" i="28" s="1"/>
  <c r="EU15" i="28" a="1"/>
  <c r="EU15" i="28" s="1"/>
  <c r="EV15" i="28" a="1"/>
  <c r="EV15" i="28" s="1"/>
  <c r="FK15" i="28" s="1"/>
  <c r="EW15" i="28" a="1"/>
  <c r="EW15" i="28" s="1"/>
  <c r="FL15" i="28" s="1"/>
  <c r="EX15" i="28" a="1"/>
  <c r="EX15" i="28" s="1"/>
  <c r="FM15" i="28" s="1"/>
  <c r="EY15" i="28" a="1"/>
  <c r="EY15" i="28" s="1"/>
  <c r="FN15" i="28" s="1"/>
  <c r="EZ15" i="28" a="1"/>
  <c r="EZ15" i="28" s="1"/>
  <c r="FO15" i="28" s="1"/>
  <c r="FA15" i="28" a="1"/>
  <c r="FA15" i="28" s="1"/>
  <c r="FP15" i="28" s="1"/>
  <c r="FB15" i="28" a="1"/>
  <c r="FB15" i="28" s="1"/>
  <c r="FQ15" i="28" s="1"/>
  <c r="FC15" i="28" a="1"/>
  <c r="FC15" i="28" s="1"/>
  <c r="FR15" i="28" s="1"/>
  <c r="FD15" i="28" a="1"/>
  <c r="FD15" i="28" s="1"/>
  <c r="FE15" i="28" a="1"/>
  <c r="FE15" i="28" s="1"/>
  <c r="FG15" i="28" a="1"/>
  <c r="FG15" i="28" s="1"/>
  <c r="FF15" i="28" a="1"/>
  <c r="FF15" i="28" s="1"/>
  <c r="FH15" i="28" a="1"/>
  <c r="FH15" i="28" s="1"/>
  <c r="FI15" i="28" a="1"/>
  <c r="FI15" i="28" s="1"/>
  <c r="S11" i="28"/>
  <c r="EU11" i="28" a="1"/>
  <c r="EU11" i="28" s="1"/>
  <c r="FJ11" i="28" s="1"/>
  <c r="EV11" i="28" a="1"/>
  <c r="EV11" i="28" s="1"/>
  <c r="FK11" i="28" s="1"/>
  <c r="EW11" i="28" a="1"/>
  <c r="EW11" i="28" s="1"/>
  <c r="FL11" i="28" s="1"/>
  <c r="EX11" i="28" a="1"/>
  <c r="EX11" i="28" s="1"/>
  <c r="FM11" i="28" s="1"/>
  <c r="EY11" i="28" a="1"/>
  <c r="EY11" i="28" s="1"/>
  <c r="FN11" i="28" s="1"/>
  <c r="EZ11" i="28" a="1"/>
  <c r="EZ11" i="28" s="1"/>
  <c r="FO11" i="28" s="1"/>
  <c r="FA11" i="28" a="1"/>
  <c r="FA11" i="28" s="1"/>
  <c r="FP11" i="28" s="1"/>
  <c r="FB11" i="28" a="1"/>
  <c r="FB11" i="28" s="1"/>
  <c r="FQ11" i="28" s="1"/>
  <c r="FC11" i="28" a="1"/>
  <c r="FC11" i="28" s="1"/>
  <c r="FR11" i="28" s="1"/>
  <c r="FD11" i="28" a="1"/>
  <c r="FD11" i="28" s="1"/>
  <c r="FS11" i="28" s="1"/>
  <c r="FE11" i="28" a="1"/>
  <c r="FE11" i="28" s="1"/>
  <c r="FF11" i="28" a="1"/>
  <c r="FF11" i="28" s="1"/>
  <c r="FG11" i="28" a="1"/>
  <c r="FG11" i="28" s="1"/>
  <c r="FH11" i="28" a="1"/>
  <c r="FH11" i="28" s="1"/>
  <c r="FI11" i="28" a="1"/>
  <c r="FI11" i="28" s="1"/>
  <c r="FS44" i="28"/>
  <c r="FS10" i="28"/>
  <c r="FS8" i="28"/>
  <c r="FS9" i="28"/>
  <c r="FR13" i="28"/>
  <c r="S337" i="37"/>
  <c r="S344" i="37"/>
  <c r="S309" i="37"/>
  <c r="S316" i="37"/>
  <c r="S323" i="37"/>
  <c r="S330" i="37"/>
  <c r="AH248" i="37"/>
  <c r="Q299" i="37"/>
  <c r="Q300" i="37" s="1"/>
  <c r="R344" i="37"/>
  <c r="R309" i="37"/>
  <c r="R316" i="37"/>
  <c r="R323" i="37"/>
  <c r="R337" i="37"/>
  <c r="R330" i="37"/>
  <c r="R234" i="37"/>
  <c r="Q123" i="37"/>
  <c r="N29" i="38"/>
  <c r="N23" i="38" s="1"/>
  <c r="AJ249" i="37"/>
  <c r="S270" i="37"/>
  <c r="AJ270" i="37" s="1"/>
  <c r="S256" i="37"/>
  <c r="AJ256" i="37" s="1"/>
  <c r="S263" i="37"/>
  <c r="AJ263" i="37" s="1"/>
  <c r="S277" i="37"/>
  <c r="AJ277" i="37" s="1"/>
  <c r="S291" i="37"/>
  <c r="AJ291" i="37" s="1"/>
  <c r="S284" i="37"/>
  <c r="AJ284" i="37" s="1"/>
  <c r="S248" i="37"/>
  <c r="S299" i="37" s="1"/>
  <c r="S300" i="37" s="1"/>
  <c r="T250" i="37"/>
  <c r="T304" i="37" s="1"/>
  <c r="AQ641" i="33"/>
  <c r="U242" i="37"/>
  <c r="Q566" i="38"/>
  <c r="R277" i="37"/>
  <c r="AI277" i="37" s="1"/>
  <c r="R270" i="37"/>
  <c r="AI270" i="37" s="1"/>
  <c r="R284" i="37"/>
  <c r="AI284" i="37" s="1"/>
  <c r="R291" i="37"/>
  <c r="AI291" i="37" s="1"/>
  <c r="R263" i="37"/>
  <c r="AI263" i="37" s="1"/>
  <c r="R256" i="37"/>
  <c r="AI256" i="37" s="1"/>
  <c r="AI249" i="37"/>
  <c r="R248" i="37"/>
  <c r="R299" i="37" s="1"/>
  <c r="R300" i="37" s="1"/>
  <c r="AI243" i="37"/>
  <c r="AO822" i="33"/>
  <c r="AO824" i="33" s="1"/>
  <c r="O13" i="38" s="1"/>
  <c r="S236" i="37"/>
  <c r="AN8" i="33"/>
  <c r="AP641" i="33"/>
  <c r="T242" i="37"/>
  <c r="Q567" i="38"/>
  <c r="Q179" i="37" s="1"/>
  <c r="R11" i="37"/>
  <c r="AI241" i="37"/>
  <c r="AM248" i="37"/>
  <c r="AM291" i="37"/>
  <c r="AM284" i="37"/>
  <c r="AM277" i="37"/>
  <c r="AM270" i="37"/>
  <c r="AM263" i="37"/>
  <c r="AM256" i="37"/>
  <c r="AF637" i="37"/>
  <c r="J780" i="51" s="1"/>
  <c r="AI637" i="37"/>
  <c r="M780" i="51" s="1"/>
  <c r="N511" i="38"/>
  <c r="N497" i="38"/>
  <c r="N510" i="38"/>
  <c r="N496" i="38"/>
  <c r="O178" i="38"/>
  <c r="AG489" i="38"/>
  <c r="N489" i="38" s="1"/>
  <c r="O170" i="38"/>
  <c r="AG492" i="38"/>
  <c r="N492" i="38" s="1"/>
  <c r="O169" i="38"/>
  <c r="AG490" i="38"/>
  <c r="N490" i="38" s="1"/>
  <c r="O179" i="38"/>
  <c r="AG491" i="38"/>
  <c r="N491" i="38" s="1"/>
  <c r="M503" i="38"/>
  <c r="DT10" i="28" s="1"/>
  <c r="AF639" i="37"/>
  <c r="J782" i="51" s="1"/>
  <c r="AI639" i="37"/>
  <c r="M782" i="51" s="1"/>
  <c r="DS17" i="28"/>
  <c r="DS53" i="28"/>
  <c r="AR847" i="33"/>
  <c r="AS828" i="33"/>
  <c r="AQ818" i="33"/>
  <c r="AQ819" i="33"/>
  <c r="AR827" i="33"/>
  <c r="AR829" i="33"/>
  <c r="AQ821" i="33"/>
  <c r="DS49" i="28"/>
  <c r="DS44" i="28"/>
  <c r="DS45" i="28"/>
  <c r="DS47" i="28"/>
  <c r="DS11" i="28"/>
  <c r="DS10" i="28"/>
  <c r="DS8" i="28"/>
  <c r="DS9" i="28"/>
  <c r="DS48" i="28"/>
  <c r="AP823" i="33"/>
  <c r="AP830" i="33"/>
  <c r="DS43" i="28"/>
  <c r="AR826" i="33"/>
  <c r="AQ825" i="33"/>
  <c r="AQ892" i="33"/>
  <c r="AQ870" i="33"/>
  <c r="DS52" i="28"/>
  <c r="DS16" i="28"/>
  <c r="DS57" i="28"/>
  <c r="DS13" i="28"/>
  <c r="DS55" i="28"/>
  <c r="DS18" i="28"/>
  <c r="DS54" i="28"/>
  <c r="DS14" i="28"/>
  <c r="DS15" i="28"/>
  <c r="DS12" i="28"/>
  <c r="M497" i="38"/>
  <c r="DE15" i="28" s="1"/>
  <c r="AF491" i="38"/>
  <c r="M491" i="38" s="1"/>
  <c r="AG645" i="37" s="1"/>
  <c r="K783" i="51" s="1"/>
  <c r="DS51" i="28"/>
  <c r="DS50" i="28"/>
  <c r="DS56" i="28"/>
  <c r="DE44" i="28"/>
  <c r="DE42" i="28"/>
  <c r="DE11" i="28"/>
  <c r="DE8" i="28"/>
  <c r="AO696" i="33"/>
  <c r="AO7" i="33" s="1"/>
  <c r="AP683" i="33"/>
  <c r="P567" i="38"/>
  <c r="GY51" i="28" s="1"/>
  <c r="M511" i="38"/>
  <c r="GS11" i="28"/>
  <c r="GU9" i="28"/>
  <c r="GU44" i="28"/>
  <c r="GS8" i="28"/>
  <c r="GU43" i="28"/>
  <c r="GS46" i="28"/>
  <c r="GS43" i="28"/>
  <c r="GU47" i="28"/>
  <c r="GS47" i="28"/>
  <c r="GS49" i="28"/>
  <c r="GU45" i="28"/>
  <c r="FM9" i="28"/>
  <c r="FS48" i="28"/>
  <c r="FS47" i="28"/>
  <c r="FS42" i="28"/>
  <c r="GR10" i="28"/>
  <c r="FS43" i="28"/>
  <c r="GR46" i="28"/>
  <c r="FS46" i="28"/>
  <c r="DE46" i="28" s="1"/>
  <c r="FP43" i="28"/>
  <c r="FP10" i="28"/>
  <c r="GV10" i="28"/>
  <c r="GV47" i="28"/>
  <c r="FQ43" i="28"/>
  <c r="GS9" i="28"/>
  <c r="GS10" i="28"/>
  <c r="GU46" i="28"/>
  <c r="GU8" i="28"/>
  <c r="GV44" i="28"/>
  <c r="FL49" i="28"/>
  <c r="FL42" i="28"/>
  <c r="GQ46" i="28"/>
  <c r="FP42" i="28"/>
  <c r="FK44" i="28"/>
  <c r="FL8" i="28"/>
  <c r="GS45" i="28"/>
  <c r="J178" i="37"/>
  <c r="GU42" i="28"/>
  <c r="GU10" i="28"/>
  <c r="FL10" i="28"/>
  <c r="M178" i="37"/>
  <c r="GQ11" i="28"/>
  <c r="GS42" i="28"/>
  <c r="GU49" i="28"/>
  <c r="GU11" i="28"/>
  <c r="FL47" i="28"/>
  <c r="FQ47" i="28"/>
  <c r="GV8" i="28"/>
  <c r="FL46" i="28"/>
  <c r="DM46" i="28" s="1"/>
  <c r="GU48" i="28"/>
  <c r="FQ10" i="28"/>
  <c r="GQ42" i="28"/>
  <c r="FK42" i="28"/>
  <c r="FJ10" i="28"/>
  <c r="GV49" i="28"/>
  <c r="FQ44" i="28"/>
  <c r="FJ44" i="28"/>
  <c r="GV43" i="28"/>
  <c r="GW11" i="28"/>
  <c r="FQ46" i="28"/>
  <c r="DR46" i="28" s="1"/>
  <c r="AR848" i="33"/>
  <c r="FJ48" i="28"/>
  <c r="GV42" i="28"/>
  <c r="GV48" i="28"/>
  <c r="GW48" i="28"/>
  <c r="FQ49" i="28"/>
  <c r="FQ8" i="28"/>
  <c r="FM47" i="28"/>
  <c r="FJ42" i="28"/>
  <c r="GV9" i="28"/>
  <c r="GV11" i="28"/>
  <c r="FQ42" i="28"/>
  <c r="FQ9" i="28"/>
  <c r="GR44" i="28"/>
  <c r="GV45" i="28"/>
  <c r="GQ8" i="28"/>
  <c r="GQ49" i="28"/>
  <c r="FP44" i="28"/>
  <c r="FO43" i="28"/>
  <c r="FK9" i="28"/>
  <c r="GQ48" i="28"/>
  <c r="FP46" i="28"/>
  <c r="DQ46" i="28" s="1"/>
  <c r="FK45" i="28"/>
  <c r="K178" i="37"/>
  <c r="FN45" i="28"/>
  <c r="GT46" i="28"/>
  <c r="GT47" i="28"/>
  <c r="GT45" i="28"/>
  <c r="FR8" i="28"/>
  <c r="FN8" i="28"/>
  <c r="GT11" i="28"/>
  <c r="GT42" i="28"/>
  <c r="FN44" i="28"/>
  <c r="GT10" i="28"/>
  <c r="FN10" i="28"/>
  <c r="GT9" i="28"/>
  <c r="GT8" i="28"/>
  <c r="GT43" i="28"/>
  <c r="GT49" i="28"/>
  <c r="GT44" i="28"/>
  <c r="FR47" i="28"/>
  <c r="FS45" i="28"/>
  <c r="FS49" i="28"/>
  <c r="GW42" i="28"/>
  <c r="GX47" i="28"/>
  <c r="FR43" i="28"/>
  <c r="FN42" i="28"/>
  <c r="FN48" i="28"/>
  <c r="GW8" i="28"/>
  <c r="GX9" i="28"/>
  <c r="FR44" i="28"/>
  <c r="FN49" i="28"/>
  <c r="GW44" i="28"/>
  <c r="GX43" i="28"/>
  <c r="FR46" i="28"/>
  <c r="DS46" i="28" s="1"/>
  <c r="FN46" i="28"/>
  <c r="GW49" i="28"/>
  <c r="GX45" i="28"/>
  <c r="FR9" i="28"/>
  <c r="FR42" i="28"/>
  <c r="GW9" i="28"/>
  <c r="N178" i="37"/>
  <c r="GX8" i="28"/>
  <c r="FR48" i="28"/>
  <c r="FR10" i="28"/>
  <c r="FN43" i="28"/>
  <c r="GW43" i="28"/>
  <c r="GX48" i="28"/>
  <c r="FR45" i="28"/>
  <c r="FN9" i="28"/>
  <c r="CV46" i="28"/>
  <c r="DD42" i="28"/>
  <c r="FM46" i="28"/>
  <c r="DN46" i="28" s="1"/>
  <c r="FK46" i="28"/>
  <c r="DL46" i="28" s="1"/>
  <c r="FM48" i="28"/>
  <c r="FM45" i="28"/>
  <c r="FM49" i="28"/>
  <c r="FK43" i="28"/>
  <c r="FM42" i="28"/>
  <c r="DD49" i="28"/>
  <c r="FM43" i="28"/>
  <c r="FK47" i="28"/>
  <c r="CW9" i="28"/>
  <c r="CW42" i="28"/>
  <c r="CX45" i="28"/>
  <c r="CW47" i="28"/>
  <c r="CX43" i="28"/>
  <c r="CW45" i="28"/>
  <c r="H984" i="37"/>
  <c r="CW43" i="28"/>
  <c r="GW47" i="28"/>
  <c r="L984" i="37"/>
  <c r="DA43" i="28"/>
  <c r="DE10" i="28"/>
  <c r="DE49" i="28"/>
  <c r="GR49" i="28"/>
  <c r="CX42" i="28"/>
  <c r="FJ45" i="28"/>
  <c r="FJ47" i="28"/>
  <c r="CW10" i="28"/>
  <c r="CW49" i="28"/>
  <c r="DA10" i="28"/>
  <c r="DA47" i="28"/>
  <c r="DE48" i="28"/>
  <c r="GR47" i="28"/>
  <c r="GR9" i="28"/>
  <c r="I984" i="37"/>
  <c r="CX48" i="28"/>
  <c r="FJ49" i="28"/>
  <c r="CW8" i="28"/>
  <c r="CW48" i="28"/>
  <c r="GW10" i="28"/>
  <c r="DA9" i="28"/>
  <c r="DA49" i="28"/>
  <c r="GX11" i="28"/>
  <c r="DE47" i="28"/>
  <c r="GR8" i="28"/>
  <c r="GR43" i="28"/>
  <c r="CX8" i="28"/>
  <c r="CX49" i="28"/>
  <c r="DA46" i="28"/>
  <c r="FJ9" i="28"/>
  <c r="CW11" i="28"/>
  <c r="GW46" i="28"/>
  <c r="DA8" i="28"/>
  <c r="GX44" i="28"/>
  <c r="DE43" i="28"/>
  <c r="GR42" i="28"/>
  <c r="GR48" i="28"/>
  <c r="CX10" i="28"/>
  <c r="CX44" i="28"/>
  <c r="P984" i="37"/>
  <c r="DA42" i="28"/>
  <c r="DE45" i="28"/>
  <c r="GR45" i="28"/>
  <c r="I178" i="37"/>
  <c r="CX11" i="28"/>
  <c r="CX47" i="28"/>
  <c r="DE9" i="28"/>
  <c r="CZ45" i="28"/>
  <c r="GP45" i="28"/>
  <c r="GY9" i="28"/>
  <c r="CZ43" i="28"/>
  <c r="GP42" i="28"/>
  <c r="CZ42" i="28"/>
  <c r="GP44" i="28"/>
  <c r="CZ48" i="28"/>
  <c r="GP11" i="28"/>
  <c r="K984" i="37"/>
  <c r="CZ49" i="28"/>
  <c r="GP8" i="28"/>
  <c r="GY47" i="28"/>
  <c r="CZ9" i="28"/>
  <c r="GP47" i="28"/>
  <c r="GY10" i="28"/>
  <c r="CZ11" i="28"/>
  <c r="GP43" i="28"/>
  <c r="GY42" i="28"/>
  <c r="GY44" i="28"/>
  <c r="GY8" i="28"/>
  <c r="CZ10" i="28"/>
  <c r="CZ44" i="28"/>
  <c r="GP9" i="28"/>
  <c r="GY45" i="28"/>
  <c r="GY11" i="28"/>
  <c r="GX49" i="28"/>
  <c r="GQ45" i="28"/>
  <c r="GQ43" i="28"/>
  <c r="CY8" i="28"/>
  <c r="DD9" i="28"/>
  <c r="DD47" i="28"/>
  <c r="FM44" i="28"/>
  <c r="FP48" i="28"/>
  <c r="GY46" i="28"/>
  <c r="P178" i="37"/>
  <c r="AO640" i="33"/>
  <c r="AO642" i="33" s="1"/>
  <c r="O12" i="38" s="1"/>
  <c r="AO643" i="33"/>
  <c r="O18" i="38" s="1"/>
  <c r="O19" i="38" s="1"/>
  <c r="GP46" i="28"/>
  <c r="GP10" i="28"/>
  <c r="GY49" i="28"/>
  <c r="GX46" i="28"/>
  <c r="GQ9" i="28"/>
  <c r="DD8" i="28"/>
  <c r="FM8" i="28"/>
  <c r="FP47" i="28"/>
  <c r="FP45" i="28"/>
  <c r="FP8" i="28"/>
  <c r="GY48" i="28"/>
  <c r="FP49" i="28"/>
  <c r="AR837" i="33"/>
  <c r="AR832" i="33" s="1"/>
  <c r="FN56" i="28"/>
  <c r="FN52" i="28"/>
  <c r="FN55" i="28"/>
  <c r="FN53" i="28"/>
  <c r="FN54" i="28"/>
  <c r="FN50" i="28"/>
  <c r="FN13" i="28"/>
  <c r="FN51" i="28"/>
  <c r="FN57" i="28"/>
  <c r="CW51" i="28"/>
  <c r="CW56" i="28"/>
  <c r="CW57" i="28"/>
  <c r="CW52" i="28"/>
  <c r="CW50" i="28"/>
  <c r="CW54" i="28"/>
  <c r="CW55" i="28"/>
  <c r="CW16" i="28"/>
  <c r="CW18" i="28"/>
  <c r="CW15" i="28"/>
  <c r="CW13" i="28"/>
  <c r="CW12" i="28"/>
  <c r="CW14" i="28"/>
  <c r="CW17" i="28"/>
  <c r="L179" i="37"/>
  <c r="GU50" i="28"/>
  <c r="GU18" i="28"/>
  <c r="GU54" i="28"/>
  <c r="GU12" i="28"/>
  <c r="GU55" i="28"/>
  <c r="GU16" i="28"/>
  <c r="GU51" i="28"/>
  <c r="GU13" i="28"/>
  <c r="GU56" i="28"/>
  <c r="GU17" i="28"/>
  <c r="GU53" i="28"/>
  <c r="GU15" i="28"/>
  <c r="GU57" i="28"/>
  <c r="GU14" i="28"/>
  <c r="GU52" i="28"/>
  <c r="FP13" i="28"/>
  <c r="FP50" i="28"/>
  <c r="FP56" i="28"/>
  <c r="FP53" i="28"/>
  <c r="FP57" i="28"/>
  <c r="FP54" i="28"/>
  <c r="FP51" i="28"/>
  <c r="FP52" i="28"/>
  <c r="FP55" i="28"/>
  <c r="GQ51" i="28"/>
  <c r="GQ16" i="28"/>
  <c r="GQ50" i="28"/>
  <c r="GQ55" i="28"/>
  <c r="GQ13" i="28"/>
  <c r="GQ53" i="28"/>
  <c r="GQ15" i="28"/>
  <c r="GQ17" i="28"/>
  <c r="GQ52" i="28"/>
  <c r="GQ14" i="28"/>
  <c r="GQ56" i="28"/>
  <c r="GQ12" i="28"/>
  <c r="GQ54" i="28"/>
  <c r="GQ57" i="28"/>
  <c r="GQ18" i="28"/>
  <c r="CY50" i="28"/>
  <c r="CY55" i="28"/>
  <c r="CY51" i="28"/>
  <c r="CY52" i="28"/>
  <c r="CY56" i="28"/>
  <c r="CY57" i="28"/>
  <c r="CY54" i="28"/>
  <c r="CY13" i="28"/>
  <c r="CY12" i="28"/>
  <c r="CY14" i="28"/>
  <c r="CY18" i="28"/>
  <c r="CY15" i="28"/>
  <c r="CY16" i="28"/>
  <c r="CY17" i="28"/>
  <c r="O179" i="37"/>
  <c r="GX52" i="28"/>
  <c r="GX12" i="28"/>
  <c r="GX56" i="28"/>
  <c r="GX14" i="28"/>
  <c r="GX53" i="28"/>
  <c r="GX18" i="28"/>
  <c r="GX57" i="28"/>
  <c r="GX16" i="28"/>
  <c r="GX50" i="28"/>
  <c r="GX17" i="28"/>
  <c r="GX51" i="28"/>
  <c r="GX15" i="28"/>
  <c r="GX55" i="28"/>
  <c r="GX13" i="28"/>
  <c r="GX54" i="28"/>
  <c r="FQ55" i="28"/>
  <c r="FQ57" i="28"/>
  <c r="FQ51" i="28"/>
  <c r="FQ50" i="28"/>
  <c r="FQ54" i="28"/>
  <c r="FQ53" i="28"/>
  <c r="FQ13" i="28"/>
  <c r="FQ56" i="28"/>
  <c r="FQ52" i="28"/>
  <c r="DC14" i="28"/>
  <c r="DC18" i="28"/>
  <c r="DC15" i="28"/>
  <c r="DC13" i="28"/>
  <c r="DC12" i="28"/>
  <c r="DC16" i="28"/>
  <c r="DC51" i="28"/>
  <c r="DC52" i="28"/>
  <c r="DC54" i="28"/>
  <c r="DC50" i="28"/>
  <c r="DC57" i="28"/>
  <c r="DC56" i="28"/>
  <c r="DC55" i="28"/>
  <c r="DC17" i="28"/>
  <c r="CX51" i="28"/>
  <c r="CX54" i="28"/>
  <c r="CX52" i="28"/>
  <c r="CX56" i="28"/>
  <c r="CX57" i="28"/>
  <c r="CX50" i="28"/>
  <c r="CX55" i="28"/>
  <c r="CX16" i="28"/>
  <c r="CX14" i="28"/>
  <c r="CX12" i="28"/>
  <c r="CX13" i="28"/>
  <c r="CX15" i="28"/>
  <c r="CX18" i="28"/>
  <c r="CX17" i="28"/>
  <c r="FM56" i="28"/>
  <c r="FM13" i="28"/>
  <c r="FM54" i="28"/>
  <c r="FM51" i="28"/>
  <c r="FM53" i="28"/>
  <c r="FM52" i="28"/>
  <c r="FM55" i="28"/>
  <c r="FM57" i="28"/>
  <c r="FM50" i="28"/>
  <c r="J179" i="37"/>
  <c r="GS50" i="28"/>
  <c r="GS13" i="28"/>
  <c r="GS14" i="28"/>
  <c r="GS54" i="28"/>
  <c r="GS16" i="28"/>
  <c r="GS51" i="28"/>
  <c r="GS15" i="28"/>
  <c r="GS55" i="28"/>
  <c r="GS12" i="28"/>
  <c r="GS52" i="28"/>
  <c r="GS18" i="28"/>
  <c r="GS53" i="28"/>
  <c r="GS17" i="28"/>
  <c r="GS57" i="28"/>
  <c r="GS56" i="28"/>
  <c r="FR50" i="28"/>
  <c r="FR51" i="28"/>
  <c r="FR52" i="28"/>
  <c r="FR56" i="28"/>
  <c r="FR53" i="28"/>
  <c r="FR54" i="28"/>
  <c r="FR55" i="28"/>
  <c r="FR57" i="28"/>
  <c r="FK54" i="28"/>
  <c r="FK53" i="28"/>
  <c r="FK50" i="28"/>
  <c r="FK52" i="28"/>
  <c r="FK56" i="28"/>
  <c r="FK57" i="28"/>
  <c r="FK13" i="28"/>
  <c r="FK51" i="28"/>
  <c r="FK55" i="28"/>
  <c r="FK18" i="28"/>
  <c r="DB15" i="28"/>
  <c r="DB13" i="28"/>
  <c r="DB18" i="28"/>
  <c r="DB14" i="28"/>
  <c r="DB12" i="28"/>
  <c r="DB16" i="28"/>
  <c r="DB51" i="28"/>
  <c r="DB52" i="28"/>
  <c r="DB54" i="28"/>
  <c r="DB56" i="28"/>
  <c r="DB57" i="28"/>
  <c r="DB50" i="28"/>
  <c r="DB55" i="28"/>
  <c r="DB17" i="28"/>
  <c r="K179" i="37"/>
  <c r="GT53" i="28"/>
  <c r="GT12" i="28"/>
  <c r="GT57" i="28"/>
  <c r="GT18" i="28"/>
  <c r="GT50" i="28"/>
  <c r="GT16" i="28"/>
  <c r="GT15" i="28"/>
  <c r="GT54" i="28"/>
  <c r="GT13" i="28"/>
  <c r="GT55" i="28"/>
  <c r="GT51" i="28"/>
  <c r="GT14" i="28"/>
  <c r="GT56" i="28"/>
  <c r="GT17" i="28"/>
  <c r="GT52" i="28"/>
  <c r="FO52" i="28"/>
  <c r="FO55" i="28"/>
  <c r="FO51" i="28"/>
  <c r="FO13" i="28"/>
  <c r="FO57" i="28"/>
  <c r="FO54" i="28"/>
  <c r="FO56" i="28"/>
  <c r="FO50" i="28"/>
  <c r="FO53" i="28"/>
  <c r="DA14" i="28"/>
  <c r="DA12" i="28"/>
  <c r="DA18" i="28"/>
  <c r="DA15" i="28"/>
  <c r="DA13" i="28"/>
  <c r="DA16" i="28"/>
  <c r="DA52" i="28"/>
  <c r="DA51" i="28"/>
  <c r="DA56" i="28"/>
  <c r="DA50" i="28"/>
  <c r="DA57" i="28"/>
  <c r="DA54" i="28"/>
  <c r="DA55" i="28"/>
  <c r="DA17" i="28"/>
  <c r="M179" i="37"/>
  <c r="GV54" i="28"/>
  <c r="GV12" i="28"/>
  <c r="GV55" i="28"/>
  <c r="GV17" i="28"/>
  <c r="GV51" i="28"/>
  <c r="GV52" i="28"/>
  <c r="GV14" i="28"/>
  <c r="GV15" i="28"/>
  <c r="GV56" i="28"/>
  <c r="GV16" i="28"/>
  <c r="GV57" i="28"/>
  <c r="GV13" i="28"/>
  <c r="GV50" i="28"/>
  <c r="GV18" i="28"/>
  <c r="GV53" i="28"/>
  <c r="AR839" i="33"/>
  <c r="AR834" i="33" s="1"/>
  <c r="FL51" i="28"/>
  <c r="FL56" i="28"/>
  <c r="FL54" i="28"/>
  <c r="FL53" i="28"/>
  <c r="FL13" i="28"/>
  <c r="FL50" i="28"/>
  <c r="FL57" i="28"/>
  <c r="FL55" i="28"/>
  <c r="FL52" i="28"/>
  <c r="DD12" i="28"/>
  <c r="DD16" i="28"/>
  <c r="DD14" i="28"/>
  <c r="DD15" i="28"/>
  <c r="DD18" i="28"/>
  <c r="DD13" i="28"/>
  <c r="DD51" i="28"/>
  <c r="DD52" i="28"/>
  <c r="DD50" i="28"/>
  <c r="DD54" i="28"/>
  <c r="DD56" i="28"/>
  <c r="DD57" i="28"/>
  <c r="DD55" i="28"/>
  <c r="DD17" i="28"/>
  <c r="CZ12" i="28"/>
  <c r="CZ16" i="28"/>
  <c r="CZ14" i="28"/>
  <c r="CZ15" i="28"/>
  <c r="CZ13" i="28"/>
  <c r="CZ18" i="28"/>
  <c r="CZ51" i="28"/>
  <c r="CZ52" i="28"/>
  <c r="CZ55" i="28"/>
  <c r="CZ56" i="28"/>
  <c r="CZ50" i="28"/>
  <c r="CZ57" i="28"/>
  <c r="CZ54" i="28"/>
  <c r="CZ17" i="28"/>
  <c r="I179" i="37"/>
  <c r="GR57" i="28"/>
  <c r="GR50" i="28"/>
  <c r="GR12" i="28"/>
  <c r="GR54" i="28"/>
  <c r="GR16" i="28"/>
  <c r="GR52" i="28"/>
  <c r="GR51" i="28"/>
  <c r="GR18" i="28"/>
  <c r="GR14" i="28"/>
  <c r="GR55" i="28"/>
  <c r="GR13" i="28"/>
  <c r="GR56" i="28"/>
  <c r="GR15" i="28"/>
  <c r="GR53" i="28"/>
  <c r="GR17" i="28"/>
  <c r="N179" i="37"/>
  <c r="GW55" i="28"/>
  <c r="GW17" i="28"/>
  <c r="GW15" i="28"/>
  <c r="GW51" i="28"/>
  <c r="GW52" i="28"/>
  <c r="GW16" i="28"/>
  <c r="GW56" i="28"/>
  <c r="GW12" i="28"/>
  <c r="GW50" i="28"/>
  <c r="GW18" i="28"/>
  <c r="GW53" i="28"/>
  <c r="GW14" i="28"/>
  <c r="GW57" i="28"/>
  <c r="GW13" i="28"/>
  <c r="GW54" i="28"/>
  <c r="AQ688" i="33"/>
  <c r="AR655" i="33"/>
  <c r="AR653" i="33" s="1"/>
  <c r="AR849" i="33"/>
  <c r="AQ653" i="33"/>
  <c r="AR838" i="33"/>
  <c r="AR833" i="33" s="1"/>
  <c r="AR649" i="33"/>
  <c r="AR688" i="33" s="1"/>
  <c r="AQ694" i="33"/>
  <c r="AT650" i="33"/>
  <c r="AU651" i="33"/>
  <c r="AS840" i="33"/>
  <c r="AT841" i="33"/>
  <c r="AR836" i="33"/>
  <c r="AR831" i="33" s="1"/>
  <c r="AQ835" i="33"/>
  <c r="U243" i="37" s="1"/>
  <c r="V243" i="37" s="1"/>
  <c r="AQ845" i="33"/>
  <c r="AR846" i="33"/>
  <c r="AS654" i="33"/>
  <c r="AS648" i="33"/>
  <c r="AR685" i="33"/>
  <c r="AQ644" i="33"/>
  <c r="AQ671" i="33"/>
  <c r="BC1121" i="33"/>
  <c r="AP669" i="33"/>
  <c r="BD1116" i="33"/>
  <c r="BF1145" i="33"/>
  <c r="BF1260" i="33" s="1"/>
  <c r="BF9" i="33" s="1"/>
  <c r="BE1120" i="33"/>
  <c r="BE1113" i="33"/>
  <c r="BE1114" i="33"/>
  <c r="BE1139" i="33"/>
  <c r="BE1143" i="33" s="1"/>
  <c r="BE1132" i="33"/>
  <c r="BE1134" i="33" s="1"/>
  <c r="BE1115" i="33"/>
  <c r="BE1119" i="33"/>
  <c r="BE1112" i="33"/>
  <c r="BE1125" i="33"/>
  <c r="BE1118" i="33"/>
  <c r="BF1147" i="33"/>
  <c r="BF1155" i="33" s="1"/>
  <c r="BE1155" i="33"/>
  <c r="BE1116" i="33" s="1"/>
  <c r="BD1117" i="33"/>
  <c r="BD1128" i="33"/>
  <c r="AO916" i="33"/>
  <c r="AQ898" i="33"/>
  <c r="AQ876" i="33"/>
  <c r="AQ895" i="33"/>
  <c r="AQ873" i="33"/>
  <c r="AS883" i="33"/>
  <c r="AS905" i="33"/>
  <c r="AQ899" i="33"/>
  <c r="AQ877" i="33"/>
  <c r="AQ887" i="33"/>
  <c r="AQ909" i="33"/>
  <c r="AQ897" i="33"/>
  <c r="AQ875" i="33"/>
  <c r="AQ902" i="33"/>
  <c r="AQ880" i="33"/>
  <c r="AS904" i="33"/>
  <c r="AS882" i="33"/>
  <c r="AQ900" i="33"/>
  <c r="AQ878" i="33"/>
  <c r="AR894" i="33"/>
  <c r="AR872" i="33"/>
  <c r="AP817" i="33"/>
  <c r="AQ888" i="33"/>
  <c r="AQ910" i="33"/>
  <c r="AQ886" i="33"/>
  <c r="AQ908" i="33"/>
  <c r="AP869" i="33"/>
  <c r="AP891" i="33"/>
  <c r="AQ885" i="33"/>
  <c r="AQ907" i="33"/>
  <c r="AQ903" i="33"/>
  <c r="AQ881" i="33"/>
  <c r="AQ893" i="33"/>
  <c r="AQ871" i="33"/>
  <c r="AP639" i="33"/>
  <c r="T235" i="37" s="1"/>
  <c r="AR679" i="33"/>
  <c r="AR693" i="33"/>
  <c r="AR676" i="33"/>
  <c r="AR690" i="33"/>
  <c r="AR673" i="33"/>
  <c r="AR687" i="33"/>
  <c r="AS691" i="33"/>
  <c r="AR677" i="33"/>
  <c r="AR670" i="33"/>
  <c r="AS684" i="33"/>
  <c r="AQ680" i="33"/>
  <c r="AQ674" i="33"/>
  <c r="AS646" i="33" l="1"/>
  <c r="AQ912" i="33" a="1"/>
  <c r="AQ912" i="33" s="1"/>
  <c r="AT645" i="33"/>
  <c r="T189" i="51"/>
  <c r="U189" i="51" s="1"/>
  <c r="T183" i="51" a="1"/>
  <c r="T183" i="51" s="1"/>
  <c r="U183" i="51" s="1" a="1"/>
  <c r="U183" i="51" s="1"/>
  <c r="DO46" i="28"/>
  <c r="FT10" i="28"/>
  <c r="FT8" i="28"/>
  <c r="FT9" i="28"/>
  <c r="FS55" i="28"/>
  <c r="FS18" i="28"/>
  <c r="FS17" i="28"/>
  <c r="FS16" i="28"/>
  <c r="FS13" i="28"/>
  <c r="FS12" i="28"/>
  <c r="FT12" i="28"/>
  <c r="FT18" i="28"/>
  <c r="FT17" i="28"/>
  <c r="FT16" i="28"/>
  <c r="FT15" i="28"/>
  <c r="FT14" i="28"/>
  <c r="FT13" i="28"/>
  <c r="R567" i="38"/>
  <c r="HA16" i="28" s="1"/>
  <c r="R342" i="37"/>
  <c r="R346" i="37" s="1"/>
  <c r="R328" i="37"/>
  <c r="R332" i="37" s="1"/>
  <c r="R307" i="37"/>
  <c r="R311" i="37" s="1"/>
  <c r="R335" i="37"/>
  <c r="R339" i="37" s="1"/>
  <c r="R321" i="37"/>
  <c r="R325" i="37" s="1"/>
  <c r="R314" i="37"/>
  <c r="R318" i="37" s="1"/>
  <c r="Q342" i="37"/>
  <c r="Q307" i="37"/>
  <c r="Q311" i="37" s="1"/>
  <c r="Q314" i="37"/>
  <c r="Q328" i="37"/>
  <c r="Q335" i="37"/>
  <c r="Q321" i="37"/>
  <c r="S328" i="37"/>
  <c r="S332" i="37" s="1"/>
  <c r="S335" i="37"/>
  <c r="S339" i="37" s="1"/>
  <c r="S321" i="37"/>
  <c r="S325" i="37" s="1"/>
  <c r="S314" i="37"/>
  <c r="S318" i="37" s="1"/>
  <c r="S307" i="37"/>
  <c r="S311" i="37" s="1"/>
  <c r="S342" i="37"/>
  <c r="S346" i="37" s="1"/>
  <c r="V242" i="37"/>
  <c r="S11" i="37"/>
  <c r="R566" i="38"/>
  <c r="FT53" i="28"/>
  <c r="FT52" i="28"/>
  <c r="FT51" i="28"/>
  <c r="FT57" i="28"/>
  <c r="FT55" i="28"/>
  <c r="FT50" i="28"/>
  <c r="FT54" i="28"/>
  <c r="FT56" i="28"/>
  <c r="AK242" i="37"/>
  <c r="T241" i="37"/>
  <c r="T249" i="37"/>
  <c r="T302" i="37" s="1"/>
  <c r="O29" i="38"/>
  <c r="O23" i="38" s="1"/>
  <c r="AI248" i="37"/>
  <c r="AO8" i="33"/>
  <c r="R122" i="37"/>
  <c r="R12" i="37"/>
  <c r="R123" i="37" s="1"/>
  <c r="U250" i="37"/>
  <c r="AJ243" i="37"/>
  <c r="GZ47" i="28"/>
  <c r="GZ42" i="28"/>
  <c r="GZ45" i="28"/>
  <c r="GZ43" i="28"/>
  <c r="GZ49" i="28"/>
  <c r="GZ44" i="28"/>
  <c r="GZ46" i="28"/>
  <c r="GZ48" i="28"/>
  <c r="GZ8" i="28"/>
  <c r="GZ9" i="28"/>
  <c r="GZ10" i="28"/>
  <c r="GZ11" i="28"/>
  <c r="Q178" i="37"/>
  <c r="DF44" i="28"/>
  <c r="DF48" i="28"/>
  <c r="DF45" i="28"/>
  <c r="DF43" i="28"/>
  <c r="DF49" i="28"/>
  <c r="DF47" i="28"/>
  <c r="DF42" i="28"/>
  <c r="DF8" i="28"/>
  <c r="DF9" i="28"/>
  <c r="DF10" i="28"/>
  <c r="DF11" i="28"/>
  <c r="Q984" i="37"/>
  <c r="GZ53" i="28"/>
  <c r="GZ12" i="28"/>
  <c r="GZ16" i="28"/>
  <c r="GZ14" i="28"/>
  <c r="GZ15" i="28"/>
  <c r="GZ13" i="28"/>
  <c r="GZ18" i="28"/>
  <c r="GZ52" i="28"/>
  <c r="GZ51" i="28"/>
  <c r="GZ55" i="28"/>
  <c r="GZ54" i="28"/>
  <c r="GZ50" i="28"/>
  <c r="GZ56" i="28"/>
  <c r="GZ57" i="28"/>
  <c r="GZ17" i="28"/>
  <c r="U241" i="37"/>
  <c r="U249" i="37"/>
  <c r="U302" i="37" s="1"/>
  <c r="AJ250" i="37"/>
  <c r="FT46" i="28"/>
  <c r="DF46" i="28" s="1"/>
  <c r="FT48" i="28"/>
  <c r="FT42" i="28"/>
  <c r="FT45" i="28"/>
  <c r="FT47" i="28"/>
  <c r="FT43" i="28"/>
  <c r="FT44" i="28"/>
  <c r="FT49" i="28"/>
  <c r="FT11" i="28"/>
  <c r="S234" i="37"/>
  <c r="AJ241" i="37" s="1"/>
  <c r="AP822" i="33"/>
  <c r="AP824" i="33" s="1"/>
  <c r="P13" i="38" s="1"/>
  <c r="T236" i="37"/>
  <c r="DF53" i="28"/>
  <c r="DF14" i="28"/>
  <c r="DF16" i="28"/>
  <c r="DF12" i="28"/>
  <c r="DF15" i="28"/>
  <c r="DF13" i="28"/>
  <c r="DF18" i="28"/>
  <c r="DF51" i="28"/>
  <c r="DF52" i="28"/>
  <c r="DF54" i="28"/>
  <c r="DF50" i="28"/>
  <c r="DF56" i="28"/>
  <c r="DF55" i="28"/>
  <c r="DF57" i="28"/>
  <c r="DF17" i="28"/>
  <c r="DT47" i="28"/>
  <c r="DT11" i="28"/>
  <c r="DT49" i="28"/>
  <c r="DT8" i="28"/>
  <c r="N504" i="38"/>
  <c r="DT9" i="28"/>
  <c r="DT44" i="28"/>
  <c r="DT42" i="28"/>
  <c r="DT48" i="28"/>
  <c r="O511" i="38"/>
  <c r="O497" i="38"/>
  <c r="N503" i="38"/>
  <c r="O510" i="38"/>
  <c r="O496" i="38"/>
  <c r="R984" i="37" s="1"/>
  <c r="DT45" i="28"/>
  <c r="DT43" i="28"/>
  <c r="P179" i="38"/>
  <c r="AH491" i="38"/>
  <c r="O491" i="38" s="1"/>
  <c r="P169" i="38"/>
  <c r="AH490" i="38"/>
  <c r="O490" i="38" s="1"/>
  <c r="P170" i="38"/>
  <c r="AH492" i="38"/>
  <c r="O492" i="38" s="1"/>
  <c r="P178" i="38"/>
  <c r="AH489" i="38"/>
  <c r="O489" i="38" s="1"/>
  <c r="DE14" i="28"/>
  <c r="DE53" i="28"/>
  <c r="FJ8" i="28"/>
  <c r="AR819" i="33"/>
  <c r="AS827" i="33"/>
  <c r="AR818" i="33"/>
  <c r="AR820" i="33"/>
  <c r="AS829" i="33"/>
  <c r="AR821" i="33"/>
  <c r="AT828" i="33"/>
  <c r="F178" i="37"/>
  <c r="AP696" i="33"/>
  <c r="AP7" i="33" s="1"/>
  <c r="AQ823" i="33"/>
  <c r="AQ830" i="33"/>
  <c r="AS826" i="33"/>
  <c r="AR870" i="33"/>
  <c r="AR892" i="33"/>
  <c r="AR825" i="33"/>
  <c r="DE16" i="28"/>
  <c r="DE12" i="28"/>
  <c r="DE57" i="28"/>
  <c r="DE50" i="28"/>
  <c r="DE17" i="28"/>
  <c r="DE51" i="28"/>
  <c r="DE56" i="28"/>
  <c r="DE13" i="28"/>
  <c r="DE52" i="28"/>
  <c r="DE55" i="28"/>
  <c r="DE18" i="28"/>
  <c r="DE54" i="28"/>
  <c r="M504" i="38"/>
  <c r="DT53" i="28" s="1"/>
  <c r="DT46" i="28"/>
  <c r="CZ46" i="28"/>
  <c r="DD46" i="28"/>
  <c r="DC46" i="28"/>
  <c r="DB46" i="28"/>
  <c r="CW46" i="28"/>
  <c r="CY46" i="28"/>
  <c r="CX46" i="28"/>
  <c r="GY52" i="28"/>
  <c r="P179" i="37"/>
  <c r="GY53" i="28"/>
  <c r="GY13" i="28"/>
  <c r="FS53" i="28"/>
  <c r="GY12" i="28"/>
  <c r="GY17" i="28"/>
  <c r="GY18" i="28"/>
  <c r="GY56" i="28"/>
  <c r="GY14" i="28"/>
  <c r="FS57" i="28"/>
  <c r="FS50" i="28"/>
  <c r="FS52" i="28"/>
  <c r="FS14" i="28"/>
  <c r="GY16" i="28"/>
  <c r="FS56" i="28"/>
  <c r="GY15" i="28"/>
  <c r="GY55" i="28"/>
  <c r="FS15" i="28"/>
  <c r="FS51" i="28"/>
  <c r="FS54" i="28"/>
  <c r="GY57" i="28"/>
  <c r="GY54" i="28"/>
  <c r="GY50" i="28"/>
  <c r="EB48" i="28"/>
  <c r="EB43" i="28"/>
  <c r="AS838" i="33"/>
  <c r="AS833" i="33" s="1"/>
  <c r="EB10" i="28"/>
  <c r="EB45" i="28"/>
  <c r="EB47" i="28"/>
  <c r="EB49" i="28"/>
  <c r="EB42" i="28"/>
  <c r="F984" i="37"/>
  <c r="EB9" i="28"/>
  <c r="EB44" i="28"/>
  <c r="EB8" i="28"/>
  <c r="EB11" i="28"/>
  <c r="AS837" i="33"/>
  <c r="AS832" i="33" s="1"/>
  <c r="AS847" i="33"/>
  <c r="AP640" i="33"/>
  <c r="AP642" i="33" s="1"/>
  <c r="P12" i="38" s="1"/>
  <c r="AP643" i="33"/>
  <c r="P18" i="38" s="1"/>
  <c r="P19" i="38" s="1"/>
  <c r="AR694" i="33"/>
  <c r="AR683" i="33" s="1"/>
  <c r="AS839" i="33"/>
  <c r="AS834" i="33" s="1"/>
  <c r="AQ683" i="33"/>
  <c r="AS649" i="33"/>
  <c r="AS647" i="33" s="1"/>
  <c r="AS641" i="33" s="1"/>
  <c r="AS849" i="33"/>
  <c r="AS848" i="33"/>
  <c r="AS655" i="33"/>
  <c r="AS694" i="33" s="1"/>
  <c r="AR647" i="33"/>
  <c r="AR641" i="33" s="1"/>
  <c r="AT648" i="33"/>
  <c r="AT654" i="33"/>
  <c r="AS836" i="33"/>
  <c r="AS831" i="33" s="1"/>
  <c r="AR835" i="33"/>
  <c r="AT840" i="33"/>
  <c r="AU841" i="33"/>
  <c r="AU650" i="33"/>
  <c r="AV651" i="33"/>
  <c r="AS846" i="33"/>
  <c r="AR845" i="33"/>
  <c r="AR644" i="33"/>
  <c r="BD1121" i="33"/>
  <c r="AS685" i="33"/>
  <c r="AR671" i="33"/>
  <c r="BE1117" i="33"/>
  <c r="BE1121" i="33" s="1"/>
  <c r="BE1127" i="33"/>
  <c r="BE1128" i="33" s="1"/>
  <c r="BF1139" i="33"/>
  <c r="BF1143" i="33" s="1"/>
  <c r="BF1132" i="33"/>
  <c r="BF1134" i="33" s="1"/>
  <c r="BF1127" i="33"/>
  <c r="BF1115" i="33"/>
  <c r="BF1119" i="33"/>
  <c r="BF1112" i="33"/>
  <c r="BF1125" i="33"/>
  <c r="BF1114" i="33"/>
  <c r="BF1118" i="33"/>
  <c r="BF1120" i="33"/>
  <c r="BF1113" i="33"/>
  <c r="BF1116" i="33"/>
  <c r="AP916" i="33"/>
  <c r="AQ891" i="33"/>
  <c r="AR888" i="33"/>
  <c r="AR910" i="33"/>
  <c r="AR893" i="33"/>
  <c r="AR871" i="33"/>
  <c r="AR899" i="33"/>
  <c r="AR877" i="33"/>
  <c r="AR903" i="33"/>
  <c r="AR881" i="33"/>
  <c r="AS894" i="33"/>
  <c r="AS872" i="33"/>
  <c r="AR902" i="33"/>
  <c r="AR880" i="33"/>
  <c r="AR887" i="33"/>
  <c r="AR909" i="33"/>
  <c r="AR895" i="33"/>
  <c r="AR873" i="33"/>
  <c r="AR897" i="33"/>
  <c r="AR875" i="33"/>
  <c r="AT904" i="33"/>
  <c r="AT882" i="33"/>
  <c r="AR885" i="33"/>
  <c r="AR907" i="33"/>
  <c r="AR886" i="33"/>
  <c r="AR908" i="33"/>
  <c r="AR900" i="33"/>
  <c r="AR878" i="33"/>
  <c r="AT883" i="33"/>
  <c r="AT905" i="33"/>
  <c r="AR898" i="33"/>
  <c r="AR876" i="33"/>
  <c r="AQ817" i="33"/>
  <c r="AQ869" i="33"/>
  <c r="AQ639" i="33"/>
  <c r="U235" i="37" s="1"/>
  <c r="AQ669" i="33"/>
  <c r="AS673" i="33"/>
  <c r="AS687" i="33"/>
  <c r="AS676" i="33"/>
  <c r="AS690" i="33"/>
  <c r="AS679" i="33"/>
  <c r="AS693" i="33"/>
  <c r="AR680" i="33"/>
  <c r="AS670" i="33"/>
  <c r="AT684" i="33"/>
  <c r="AR674" i="33"/>
  <c r="AT691" i="33"/>
  <c r="AS677" i="33"/>
  <c r="AU645" i="33" l="1"/>
  <c r="AR912" i="33" a="1"/>
  <c r="AR912" i="33" s="1"/>
  <c r="AT646" i="33"/>
  <c r="FU13" i="28"/>
  <c r="FU16" i="28"/>
  <c r="FU15" i="28"/>
  <c r="FU14" i="28"/>
  <c r="FU11" i="28"/>
  <c r="FU10" i="28"/>
  <c r="FU8" i="28"/>
  <c r="FU9" i="28"/>
  <c r="HA18" i="28"/>
  <c r="HA53" i="28"/>
  <c r="HA57" i="28"/>
  <c r="HA17" i="28"/>
  <c r="HA56" i="28"/>
  <c r="HA54" i="28"/>
  <c r="HA51" i="28"/>
  <c r="HA52" i="28"/>
  <c r="HA12" i="28"/>
  <c r="R179" i="37"/>
  <c r="HA15" i="28"/>
  <c r="HA50" i="28"/>
  <c r="HA13" i="28"/>
  <c r="HA55" i="28"/>
  <c r="HA14" i="28"/>
  <c r="V250" i="37"/>
  <c r="U304" i="37"/>
  <c r="F304" i="37" s="1"/>
  <c r="Q346" i="37"/>
  <c r="T330" i="37"/>
  <c r="T337" i="37"/>
  <c r="T344" i="37"/>
  <c r="T309" i="37"/>
  <c r="T316" i="37"/>
  <c r="T323" i="37"/>
  <c r="Q325" i="37"/>
  <c r="Q339" i="37"/>
  <c r="Q332" i="37"/>
  <c r="U330" i="37"/>
  <c r="U337" i="37"/>
  <c r="U344" i="37"/>
  <c r="U316" i="37"/>
  <c r="U323" i="37"/>
  <c r="U309" i="37"/>
  <c r="F302" i="37"/>
  <c r="Q318" i="37"/>
  <c r="V241" i="37"/>
  <c r="V249" i="37"/>
  <c r="P29" i="38"/>
  <c r="P23" i="38" s="1"/>
  <c r="AK243" i="37"/>
  <c r="S12" i="37"/>
  <c r="S123" i="37" s="1"/>
  <c r="T11" i="37"/>
  <c r="DG49" i="28"/>
  <c r="DG48" i="28"/>
  <c r="DG43" i="28"/>
  <c r="DG47" i="28"/>
  <c r="DG45" i="28"/>
  <c r="DG44" i="28"/>
  <c r="DG42" i="28"/>
  <c r="DG8" i="28"/>
  <c r="DG11" i="28"/>
  <c r="DG10" i="28"/>
  <c r="DG9" i="28"/>
  <c r="AQ822" i="33"/>
  <c r="AQ824" i="33" s="1"/>
  <c r="Q13" i="38" s="1"/>
  <c r="U236" i="37"/>
  <c r="AP8" i="33"/>
  <c r="FU47" i="28"/>
  <c r="FU46" i="28"/>
  <c r="DG46" i="28" s="1"/>
  <c r="FU42" i="28"/>
  <c r="FU44" i="28"/>
  <c r="FU49" i="28"/>
  <c r="FU45" i="28"/>
  <c r="FU48" i="28"/>
  <c r="FU43" i="28"/>
  <c r="U284" i="37"/>
  <c r="U263" i="37"/>
  <c r="U256" i="37"/>
  <c r="U270" i="37"/>
  <c r="U277" i="37"/>
  <c r="U291" i="37"/>
  <c r="AL249" i="37"/>
  <c r="U248" i="37"/>
  <c r="AK250" i="37"/>
  <c r="AJ248" i="37"/>
  <c r="HA48" i="28"/>
  <c r="HA46" i="28"/>
  <c r="HA42" i="28"/>
  <c r="HA44" i="28"/>
  <c r="HA43" i="28"/>
  <c r="HA49" i="28"/>
  <c r="HA47" i="28"/>
  <c r="HA45" i="28"/>
  <c r="HA8" i="28"/>
  <c r="HA9" i="28"/>
  <c r="HA11" i="28"/>
  <c r="HA10" i="28"/>
  <c r="R178" i="37"/>
  <c r="U234" i="37"/>
  <c r="AL241" i="37" s="1"/>
  <c r="S567" i="38"/>
  <c r="S179" i="37" s="1"/>
  <c r="AK249" i="37"/>
  <c r="T291" i="37"/>
  <c r="AK291" i="37" s="1"/>
  <c r="T270" i="37"/>
  <c r="T256" i="37"/>
  <c r="AK256" i="37" s="1"/>
  <c r="T277" i="37"/>
  <c r="AK277" i="37" s="1"/>
  <c r="T284" i="37"/>
  <c r="AK284" i="37" s="1"/>
  <c r="T263" i="37"/>
  <c r="AK263" i="37" s="1"/>
  <c r="T248" i="37"/>
  <c r="V189" i="51" s="1"/>
  <c r="S566" i="38"/>
  <c r="DG53" i="28"/>
  <c r="DG15" i="28"/>
  <c r="DG18" i="28"/>
  <c r="DG12" i="28"/>
  <c r="DG16" i="28"/>
  <c r="DG14" i="28"/>
  <c r="DG13" i="28"/>
  <c r="DG51" i="28"/>
  <c r="DG52" i="28"/>
  <c r="DG54" i="28"/>
  <c r="DG55" i="28"/>
  <c r="DG50" i="28"/>
  <c r="DG57" i="28"/>
  <c r="DG56" i="28"/>
  <c r="DG17" i="28"/>
  <c r="AL242" i="37"/>
  <c r="AN242" i="37" s="1"/>
  <c r="S122" i="37"/>
  <c r="FU53" i="28"/>
  <c r="FU12" i="28"/>
  <c r="FU18" i="28"/>
  <c r="FU51" i="28"/>
  <c r="FU52" i="28"/>
  <c r="FU56" i="28"/>
  <c r="FU54" i="28"/>
  <c r="FU55" i="28"/>
  <c r="FU57" i="28"/>
  <c r="FU50" i="28"/>
  <c r="FU17" i="28"/>
  <c r="T234" i="37"/>
  <c r="AK241" i="37" s="1"/>
  <c r="AL250" i="37"/>
  <c r="DU16" i="28"/>
  <c r="DU13" i="28"/>
  <c r="DU18" i="28"/>
  <c r="DU12" i="28"/>
  <c r="DU14" i="28"/>
  <c r="DU17" i="28"/>
  <c r="DU15" i="28"/>
  <c r="DU53" i="28"/>
  <c r="DU51" i="28"/>
  <c r="DU52" i="28"/>
  <c r="DU56" i="28"/>
  <c r="DU54" i="28"/>
  <c r="DU50" i="28"/>
  <c r="DU57" i="28"/>
  <c r="DU55" i="28"/>
  <c r="DU11" i="28"/>
  <c r="DU8" i="28"/>
  <c r="DU10" i="28"/>
  <c r="DU9" i="28"/>
  <c r="DU43" i="28"/>
  <c r="DU47" i="28"/>
  <c r="DU42" i="28"/>
  <c r="DU44" i="28"/>
  <c r="DU49" i="28"/>
  <c r="DU48" i="28"/>
  <c r="DU45" i="28"/>
  <c r="DU46" i="28"/>
  <c r="O504" i="38"/>
  <c r="P511" i="38"/>
  <c r="P497" i="38"/>
  <c r="O503" i="38"/>
  <c r="P510" i="38"/>
  <c r="P496" i="38"/>
  <c r="S984" i="37" s="1"/>
  <c r="Q170" i="38"/>
  <c r="AI492" i="38"/>
  <c r="P492" i="38" s="1"/>
  <c r="Q169" i="38"/>
  <c r="AI490" i="38"/>
  <c r="P490" i="38" s="1"/>
  <c r="Q178" i="38"/>
  <c r="AI489" i="38"/>
  <c r="P489" i="38" s="1"/>
  <c r="Q179" i="38"/>
  <c r="AI491" i="38"/>
  <c r="P491" i="38" s="1"/>
  <c r="AS820" i="33"/>
  <c r="AU828" i="33"/>
  <c r="AS818" i="33"/>
  <c r="AT829" i="33"/>
  <c r="AS821" i="33"/>
  <c r="AS819" i="33"/>
  <c r="AT827" i="33"/>
  <c r="AR823" i="33"/>
  <c r="AR830" i="33"/>
  <c r="AT826" i="33"/>
  <c r="AS892" i="33"/>
  <c r="AS825" i="33"/>
  <c r="AS870" i="33"/>
  <c r="DT51" i="28"/>
  <c r="DT15" i="28"/>
  <c r="DT16" i="28"/>
  <c r="DT52" i="28"/>
  <c r="DT14" i="28"/>
  <c r="DT55" i="28"/>
  <c r="DT18" i="28"/>
  <c r="DT56" i="28"/>
  <c r="DT17" i="28"/>
  <c r="DT57" i="28"/>
  <c r="DT13" i="28"/>
  <c r="DT12" i="28"/>
  <c r="DT54" i="28"/>
  <c r="DT50" i="28"/>
  <c r="EB46" i="28"/>
  <c r="AT848" i="33"/>
  <c r="AT847" i="33"/>
  <c r="AQ640" i="33"/>
  <c r="AQ642" i="33" s="1"/>
  <c r="Q12" i="38" s="1"/>
  <c r="AQ643" i="33"/>
  <c r="Q18" i="38" s="1"/>
  <c r="Q19" i="38" s="1"/>
  <c r="AT849" i="33"/>
  <c r="AT837" i="33"/>
  <c r="AT832" i="33" s="1"/>
  <c r="AQ696" i="33"/>
  <c r="AQ7" i="33" s="1"/>
  <c r="AT655" i="33"/>
  <c r="AT653" i="33" s="1"/>
  <c r="AT838" i="33"/>
  <c r="AT820" i="33" s="1"/>
  <c r="AT839" i="33"/>
  <c r="AT834" i="33" s="1"/>
  <c r="AT649" i="33"/>
  <c r="AS653" i="33"/>
  <c r="AS845" i="33"/>
  <c r="AT846" i="33"/>
  <c r="AV650" i="33"/>
  <c r="AW651" i="33"/>
  <c r="AS835" i="33"/>
  <c r="AT836" i="33"/>
  <c r="AT831" i="33" s="1"/>
  <c r="AU654" i="33"/>
  <c r="AU648" i="33"/>
  <c r="AU840" i="33"/>
  <c r="AV841" i="33"/>
  <c r="AS644" i="33"/>
  <c r="AS671" i="33"/>
  <c r="AR669" i="33"/>
  <c r="AR696" i="33" s="1"/>
  <c r="AR7" i="33" s="1"/>
  <c r="BF1117" i="33"/>
  <c r="BF1121" i="33" s="1"/>
  <c r="BF1128" i="33"/>
  <c r="AQ916" i="33"/>
  <c r="AT894" i="33"/>
  <c r="AT872" i="33"/>
  <c r="AS907" i="33"/>
  <c r="AS885" i="33"/>
  <c r="AS909" i="33"/>
  <c r="AS887" i="33"/>
  <c r="AR817" i="33"/>
  <c r="AR822" i="33" s="1"/>
  <c r="AR891" i="33"/>
  <c r="AS893" i="33"/>
  <c r="AS871" i="33"/>
  <c r="AU883" i="33"/>
  <c r="AU905" i="33"/>
  <c r="AS902" i="33"/>
  <c r="AS880" i="33"/>
  <c r="AS900" i="33"/>
  <c r="AS878" i="33"/>
  <c r="AS888" i="33"/>
  <c r="AS910" i="33"/>
  <c r="AS897" i="33"/>
  <c r="AS875" i="33"/>
  <c r="AR869" i="33"/>
  <c r="AS886" i="33"/>
  <c r="AS908" i="33"/>
  <c r="AS895" i="33"/>
  <c r="AS873" i="33"/>
  <c r="AS899" i="33"/>
  <c r="AS877" i="33"/>
  <c r="AS903" i="33"/>
  <c r="AS881" i="33"/>
  <c r="AS898" i="33"/>
  <c r="AS876" i="33"/>
  <c r="AU882" i="33"/>
  <c r="AU904" i="33"/>
  <c r="AT679" i="33"/>
  <c r="AT693" i="33"/>
  <c r="AT676" i="33"/>
  <c r="AT690" i="33"/>
  <c r="AS688" i="33"/>
  <c r="AS683" i="33" s="1"/>
  <c r="AT673" i="33"/>
  <c r="AT687" i="33"/>
  <c r="AR639" i="33"/>
  <c r="AT670" i="33"/>
  <c r="AU684" i="33"/>
  <c r="AU691" i="33"/>
  <c r="AT677" i="33"/>
  <c r="AS680" i="33"/>
  <c r="AS674" i="33"/>
  <c r="V183" i="51" l="1" a="1"/>
  <c r="V183" i="51" s="1"/>
  <c r="W183" i="51" s="1" a="1"/>
  <c r="W183" i="51" s="1"/>
  <c r="AU646" i="33"/>
  <c r="AS912" i="33" a="1"/>
  <c r="AS912" i="33" s="1"/>
  <c r="AV645" i="33"/>
  <c r="W189" i="51"/>
  <c r="F316" i="37"/>
  <c r="U299" i="37"/>
  <c r="U300" i="37" s="1"/>
  <c r="FV14" i="28"/>
  <c r="FV13" i="28"/>
  <c r="FV12" i="28"/>
  <c r="FV18" i="28"/>
  <c r="FV17" i="28"/>
  <c r="FV16" i="28"/>
  <c r="FV15" i="28"/>
  <c r="FV11" i="28"/>
  <c r="FV10" i="28"/>
  <c r="FV8" i="28"/>
  <c r="FV9" i="28"/>
  <c r="T566" i="38"/>
  <c r="T178" i="37" s="1"/>
  <c r="F337" i="37"/>
  <c r="F309" i="37"/>
  <c r="F323" i="37"/>
  <c r="F344" i="37"/>
  <c r="T299" i="37"/>
  <c r="T300" i="37" s="1"/>
  <c r="F330" i="37"/>
  <c r="AN249" i="37"/>
  <c r="AL263" i="37"/>
  <c r="AN263" i="37" s="1"/>
  <c r="V263" i="37"/>
  <c r="AL284" i="37"/>
  <c r="AN284" i="37" s="1"/>
  <c r="V284" i="37"/>
  <c r="V248" i="37"/>
  <c r="AL277" i="37"/>
  <c r="AN277" i="37" s="1"/>
  <c r="V277" i="37"/>
  <c r="AL270" i="37"/>
  <c r="V270" i="37"/>
  <c r="AL256" i="37"/>
  <c r="AN256" i="37" s="1"/>
  <c r="V256" i="37"/>
  <c r="AL291" i="37"/>
  <c r="AN291" i="37" s="1"/>
  <c r="V291" i="37"/>
  <c r="AN250" i="37"/>
  <c r="AL248" i="37"/>
  <c r="AN241" i="37"/>
  <c r="FV46" i="28"/>
  <c r="DH46" i="28" s="1"/>
  <c r="FV47" i="28"/>
  <c r="FV42" i="28"/>
  <c r="FV48" i="28"/>
  <c r="FV49" i="28"/>
  <c r="FV45" i="28"/>
  <c r="FV43" i="28"/>
  <c r="FV44" i="28"/>
  <c r="T122" i="37"/>
  <c r="T12" i="37"/>
  <c r="T123" i="37" s="1"/>
  <c r="T567" i="38"/>
  <c r="DH53" i="28"/>
  <c r="DH15" i="28"/>
  <c r="DH13" i="28"/>
  <c r="DH18" i="28"/>
  <c r="DH16" i="28"/>
  <c r="DH14" i="28"/>
  <c r="DH12" i="28"/>
  <c r="DH51" i="28"/>
  <c r="DH52" i="28"/>
  <c r="DH54" i="28"/>
  <c r="DH57" i="28"/>
  <c r="DH56" i="28"/>
  <c r="DH50" i="28"/>
  <c r="DH55" i="28"/>
  <c r="DH17" i="28"/>
  <c r="AL243" i="37"/>
  <c r="AN243" i="37" s="1"/>
  <c r="AK270" i="37"/>
  <c r="FV53" i="28"/>
  <c r="FV52" i="28"/>
  <c r="FV51" i="28"/>
  <c r="FV55" i="28"/>
  <c r="FV50" i="28"/>
  <c r="FV54" i="28"/>
  <c r="FV57" i="28"/>
  <c r="FV56" i="28"/>
  <c r="U11" i="37"/>
  <c r="HB49" i="28"/>
  <c r="HB48" i="28"/>
  <c r="HB43" i="28"/>
  <c r="HB47" i="28"/>
  <c r="HB42" i="28"/>
  <c r="HB45" i="28"/>
  <c r="HB44" i="28"/>
  <c r="HB46" i="28"/>
  <c r="HB8" i="28"/>
  <c r="HB10" i="28"/>
  <c r="HB9" i="28"/>
  <c r="HB11" i="28"/>
  <c r="S178" i="37"/>
  <c r="Q29" i="38"/>
  <c r="Q23" i="38" s="1"/>
  <c r="AK248" i="37"/>
  <c r="HB53" i="28"/>
  <c r="HB15" i="28"/>
  <c r="HB14" i="28"/>
  <c r="HB13" i="28"/>
  <c r="HB18" i="28"/>
  <c r="HB16" i="28"/>
  <c r="HB12" i="28"/>
  <c r="HB52" i="28"/>
  <c r="HB51" i="28"/>
  <c r="HB55" i="28"/>
  <c r="HB56" i="28"/>
  <c r="HB50" i="28"/>
  <c r="HB54" i="28"/>
  <c r="HB57" i="28"/>
  <c r="HB17" i="28"/>
  <c r="AQ8" i="33"/>
  <c r="DH43" i="28"/>
  <c r="DH49" i="28"/>
  <c r="DH44" i="28"/>
  <c r="DH48" i="28"/>
  <c r="DH45" i="28"/>
  <c r="DH47" i="28"/>
  <c r="DH42" i="28"/>
  <c r="DH8" i="28"/>
  <c r="DH10" i="28"/>
  <c r="DH9" i="28"/>
  <c r="DH11" i="28"/>
  <c r="DV11" i="28"/>
  <c r="DV8" i="28"/>
  <c r="DV9" i="28"/>
  <c r="DV10" i="28"/>
  <c r="DV43" i="28"/>
  <c r="DV45" i="28"/>
  <c r="DV49" i="28"/>
  <c r="DV48" i="28"/>
  <c r="DV42" i="28"/>
  <c r="DV47" i="28"/>
  <c r="DV44" i="28"/>
  <c r="DV46" i="28"/>
  <c r="DV14" i="28"/>
  <c r="DV16" i="28"/>
  <c r="DV13" i="28"/>
  <c r="DV15" i="28"/>
  <c r="DV17" i="28"/>
  <c r="DV18" i="28"/>
  <c r="DV12" i="28"/>
  <c r="DV53" i="28"/>
  <c r="DV51" i="28"/>
  <c r="DV52" i="28"/>
  <c r="DV50" i="28"/>
  <c r="DV54" i="28"/>
  <c r="DV56" i="28"/>
  <c r="DV57" i="28"/>
  <c r="DV55" i="28"/>
  <c r="P504" i="38"/>
  <c r="P503" i="38"/>
  <c r="Q510" i="38"/>
  <c r="Q496" i="38"/>
  <c r="T984" i="37" s="1"/>
  <c r="Q511" i="38"/>
  <c r="Q497" i="38"/>
  <c r="R178" i="38"/>
  <c r="AJ489" i="38"/>
  <c r="Q489" i="38" s="1"/>
  <c r="R169" i="38"/>
  <c r="AJ490" i="38"/>
  <c r="Q490" i="38" s="1"/>
  <c r="R179" i="38"/>
  <c r="AK491" i="38" s="1"/>
  <c r="R491" i="38" s="1"/>
  <c r="AJ491" i="38"/>
  <c r="Q491" i="38" s="1"/>
  <c r="R170" i="38"/>
  <c r="AK492" i="38" s="1"/>
  <c r="R492" i="38" s="1"/>
  <c r="AJ492" i="38"/>
  <c r="Q492" i="38" s="1"/>
  <c r="AR824" i="33"/>
  <c r="AT819" i="33"/>
  <c r="AU827" i="33"/>
  <c r="AU829" i="33"/>
  <c r="AT821" i="33"/>
  <c r="AT818" i="33"/>
  <c r="AV828" i="33"/>
  <c r="AS823" i="33"/>
  <c r="AS830" i="33"/>
  <c r="AU838" i="33"/>
  <c r="AU833" i="33" s="1"/>
  <c r="AT833" i="33"/>
  <c r="AU826" i="33"/>
  <c r="AT825" i="33"/>
  <c r="AT892" i="33"/>
  <c r="AT870" i="33"/>
  <c r="AT694" i="33"/>
  <c r="AU839" i="33"/>
  <c r="AU834" i="33" s="1"/>
  <c r="AU837" i="33"/>
  <c r="AU832" i="33" s="1"/>
  <c r="AU847" i="33"/>
  <c r="AR640" i="33"/>
  <c r="AR642" i="33" s="1"/>
  <c r="AR643" i="33"/>
  <c r="AU649" i="33"/>
  <c r="AU688" i="33" s="1"/>
  <c r="AT688" i="33"/>
  <c r="AU848" i="33"/>
  <c r="AU655" i="33"/>
  <c r="AT647" i="33"/>
  <c r="AT641" i="33" s="1"/>
  <c r="AU849" i="33"/>
  <c r="AV840" i="33"/>
  <c r="AW841" i="33"/>
  <c r="AW650" i="33"/>
  <c r="AX651" i="33"/>
  <c r="AV654" i="33"/>
  <c r="AV648" i="33"/>
  <c r="AT845" i="33"/>
  <c r="AU846" i="33"/>
  <c r="AT835" i="33"/>
  <c r="AU836" i="33"/>
  <c r="AU831" i="33" s="1"/>
  <c r="AT685" i="33"/>
  <c r="AU644" i="33"/>
  <c r="AT644" i="33"/>
  <c r="AT671" i="33"/>
  <c r="AR916" i="33"/>
  <c r="AR8" i="33" s="1"/>
  <c r="AV882" i="33"/>
  <c r="AV904" i="33"/>
  <c r="AT886" i="33"/>
  <c r="AT908" i="33"/>
  <c r="AT888" i="33"/>
  <c r="AT910" i="33"/>
  <c r="AT898" i="33"/>
  <c r="AT876" i="33"/>
  <c r="AT900" i="33"/>
  <c r="AT878" i="33"/>
  <c r="AT909" i="33"/>
  <c r="AT887" i="33"/>
  <c r="AV883" i="33"/>
  <c r="AV905" i="33"/>
  <c r="AT897" i="33"/>
  <c r="AT875" i="33"/>
  <c r="AS817" i="33"/>
  <c r="AS822" i="33" s="1"/>
  <c r="AU894" i="33"/>
  <c r="AU872" i="33"/>
  <c r="AT899" i="33"/>
  <c r="AT877" i="33"/>
  <c r="AS869" i="33"/>
  <c r="AT907" i="33"/>
  <c r="AT885" i="33"/>
  <c r="AS639" i="33"/>
  <c r="AT895" i="33"/>
  <c r="AT873" i="33"/>
  <c r="AS891" i="33"/>
  <c r="AT902" i="33"/>
  <c r="AT880" i="33"/>
  <c r="AT903" i="33"/>
  <c r="AT881" i="33"/>
  <c r="AT893" i="33"/>
  <c r="AT871" i="33"/>
  <c r="AS669" i="33"/>
  <c r="AS696" i="33" s="1"/>
  <c r="AS7" i="33" s="1"/>
  <c r="AU673" i="33"/>
  <c r="AU687" i="33"/>
  <c r="AU676" i="33"/>
  <c r="AU690" i="33"/>
  <c r="AU679" i="33"/>
  <c r="AU693" i="33"/>
  <c r="AT674" i="33"/>
  <c r="AU670" i="33"/>
  <c r="AV684" i="33"/>
  <c r="AV691" i="33"/>
  <c r="AU677" i="33"/>
  <c r="AT680" i="33"/>
  <c r="AT912" i="33" l="1" a="1"/>
  <c r="AT912" i="33" s="1"/>
  <c r="AW645" i="33"/>
  <c r="AV646" i="33"/>
  <c r="E953" i="51" a="1"/>
  <c r="E953" i="51" s="1"/>
  <c r="C161" i="48" a="1"/>
  <c r="C161" i="48" s="1"/>
  <c r="C150" i="48" a="1"/>
  <c r="C150" i="48" s="1"/>
  <c r="FW10" i="28"/>
  <c r="FW15" i="28"/>
  <c r="FW14" i="28"/>
  <c r="FW13" i="28"/>
  <c r="FW12" i="28"/>
  <c r="FW18" i="28"/>
  <c r="FW17" i="28"/>
  <c r="HC10" i="28"/>
  <c r="HC42" i="28"/>
  <c r="HC45" i="28"/>
  <c r="HC43" i="28"/>
  <c r="HC47" i="28"/>
  <c r="HC44" i="28"/>
  <c r="HC11" i="28"/>
  <c r="HC46" i="28"/>
  <c r="HC9" i="28"/>
  <c r="HC48" i="28"/>
  <c r="HC8" i="28"/>
  <c r="HC49" i="28"/>
  <c r="AN248" i="37"/>
  <c r="F299" i="37"/>
  <c r="T307" i="37"/>
  <c r="T311" i="37" s="1"/>
  <c r="T328" i="37"/>
  <c r="T332" i="37" s="1"/>
  <c r="T335" i="37"/>
  <c r="T339" i="37" s="1"/>
  <c r="T321" i="37"/>
  <c r="T314" i="37"/>
  <c r="T318" i="37" s="1"/>
  <c r="T342" i="37"/>
  <c r="T346" i="37" s="1"/>
  <c r="U307" i="37"/>
  <c r="U314" i="37"/>
  <c r="U328" i="37"/>
  <c r="U335" i="37"/>
  <c r="U321" i="37"/>
  <c r="U325" i="37" s="1"/>
  <c r="U342" i="37"/>
  <c r="F300" i="37"/>
  <c r="AN270" i="37"/>
  <c r="E952" i="51" s="1" a="1"/>
  <c r="U566" i="38"/>
  <c r="HD42" i="28" s="1"/>
  <c r="DI43" i="28"/>
  <c r="DI44" i="28"/>
  <c r="DI48" i="28"/>
  <c r="DI45" i="28"/>
  <c r="DI47" i="28"/>
  <c r="DI49" i="28"/>
  <c r="DI42" i="28"/>
  <c r="DI8" i="28"/>
  <c r="DI9" i="28"/>
  <c r="DI11" i="28"/>
  <c r="DI10" i="28"/>
  <c r="FW42" i="28"/>
  <c r="FW45" i="28"/>
  <c r="FW49" i="28"/>
  <c r="FW48" i="28"/>
  <c r="FW46" i="28"/>
  <c r="DI46" i="28" s="1"/>
  <c r="FW43" i="28"/>
  <c r="FW47" i="28"/>
  <c r="FW44" i="28"/>
  <c r="FW8" i="28"/>
  <c r="FW9" i="28"/>
  <c r="FW11" i="28"/>
  <c r="U12" i="37"/>
  <c r="U123" i="37" s="1"/>
  <c r="U122" i="37"/>
  <c r="U567" i="38"/>
  <c r="U179" i="37" s="1"/>
  <c r="HC53" i="28"/>
  <c r="HC18" i="28"/>
  <c r="HC16" i="28"/>
  <c r="HC14" i="28"/>
  <c r="HC12" i="28"/>
  <c r="HC13" i="28"/>
  <c r="HC15" i="28"/>
  <c r="HC51" i="28"/>
  <c r="HC52" i="28"/>
  <c r="HC56" i="28"/>
  <c r="HC57" i="28"/>
  <c r="HC50" i="28"/>
  <c r="HC54" i="28"/>
  <c r="HC55" i="28"/>
  <c r="HC17" i="28"/>
  <c r="AV848" i="33"/>
  <c r="DI53" i="28"/>
  <c r="DI18" i="28"/>
  <c r="DI16" i="28"/>
  <c r="DI14" i="28"/>
  <c r="DI15" i="28"/>
  <c r="DI12" i="28"/>
  <c r="DI13" i="28"/>
  <c r="DI52" i="28"/>
  <c r="DI51" i="28"/>
  <c r="DI57" i="28"/>
  <c r="DI54" i="28"/>
  <c r="DI55" i="28"/>
  <c r="DI50" i="28"/>
  <c r="DI56" i="28"/>
  <c r="DI17" i="28"/>
  <c r="FW53" i="28"/>
  <c r="FW16" i="28"/>
  <c r="FW51" i="28"/>
  <c r="FW52" i="28"/>
  <c r="FW56" i="28"/>
  <c r="FW50" i="28"/>
  <c r="FW57" i="28"/>
  <c r="FW54" i="28"/>
  <c r="FW55" i="28"/>
  <c r="T179" i="37"/>
  <c r="DW17" i="28"/>
  <c r="DW14" i="28"/>
  <c r="DW16" i="28"/>
  <c r="DW18" i="28"/>
  <c r="DW12" i="28"/>
  <c r="DW15" i="28"/>
  <c r="DW13" i="28"/>
  <c r="DW53" i="28"/>
  <c r="DW51" i="28"/>
  <c r="DW52" i="28"/>
  <c r="DW57" i="28"/>
  <c r="DW50" i="28"/>
  <c r="DW56" i="28"/>
  <c r="DW54" i="28"/>
  <c r="DW55" i="28"/>
  <c r="DW9" i="28"/>
  <c r="DW11" i="28"/>
  <c r="DW8" i="28"/>
  <c r="DW10" i="28"/>
  <c r="DW43" i="28"/>
  <c r="DW49" i="28"/>
  <c r="DW42" i="28"/>
  <c r="DW44" i="28"/>
  <c r="DW47" i="28"/>
  <c r="DW48" i="28"/>
  <c r="DW45" i="28"/>
  <c r="DW46" i="28"/>
  <c r="Q504" i="38"/>
  <c r="Q503" i="38"/>
  <c r="AK489" i="38"/>
  <c r="R489" i="38" s="1"/>
  <c r="R504" i="38" s="1"/>
  <c r="R511" i="38"/>
  <c r="R497" i="38"/>
  <c r="AK490" i="38"/>
  <c r="R490" i="38" s="1"/>
  <c r="R510" i="38"/>
  <c r="R496" i="38"/>
  <c r="U984" i="37" s="1"/>
  <c r="AU820" i="33"/>
  <c r="AW828" i="33"/>
  <c r="AU818" i="33"/>
  <c r="AV829" i="33"/>
  <c r="AU821" i="33"/>
  <c r="AU819" i="33"/>
  <c r="AV827" i="33"/>
  <c r="AT823" i="33"/>
  <c r="AT830" i="33"/>
  <c r="AS824" i="33"/>
  <c r="AV826" i="33"/>
  <c r="AU825" i="33"/>
  <c r="AU892" i="33"/>
  <c r="AU870" i="33"/>
  <c r="AU647" i="33"/>
  <c r="AU641" i="33" s="1"/>
  <c r="AV849" i="33"/>
  <c r="AV837" i="33"/>
  <c r="AV832" i="33" s="1"/>
  <c r="AS640" i="33"/>
  <c r="AS642" i="33" s="1"/>
  <c r="AS643" i="33"/>
  <c r="AV655" i="33"/>
  <c r="AV653" i="33" s="1"/>
  <c r="AV847" i="33"/>
  <c r="AT683" i="33"/>
  <c r="AV838" i="33"/>
  <c r="AV649" i="33"/>
  <c r="AU653" i="33"/>
  <c r="AV839" i="33"/>
  <c r="AV834" i="33" s="1"/>
  <c r="AU835" i="33"/>
  <c r="AV836" i="33"/>
  <c r="AV831" i="33" s="1"/>
  <c r="AW648" i="33"/>
  <c r="AX650" i="33"/>
  <c r="AY651" i="33"/>
  <c r="AW840" i="33"/>
  <c r="AX841" i="33"/>
  <c r="AU845" i="33"/>
  <c r="AV846" i="33"/>
  <c r="AW654" i="33"/>
  <c r="AU685" i="33"/>
  <c r="AV644" i="33"/>
  <c r="AU671" i="33"/>
  <c r="AS916" i="33"/>
  <c r="AS8" i="33" s="1"/>
  <c r="AT891" i="33"/>
  <c r="AU893" i="33"/>
  <c r="AU871" i="33"/>
  <c r="AU900" i="33"/>
  <c r="AU878" i="33"/>
  <c r="AU895" i="33"/>
  <c r="AU873" i="33"/>
  <c r="AU886" i="33"/>
  <c r="AU908" i="33"/>
  <c r="AU903" i="33"/>
  <c r="AU881" i="33"/>
  <c r="AV894" i="33"/>
  <c r="AV872" i="33"/>
  <c r="AW905" i="33"/>
  <c r="AW883" i="33"/>
  <c r="AU875" i="33"/>
  <c r="AU897" i="33"/>
  <c r="AU885" i="33"/>
  <c r="AU907" i="33"/>
  <c r="AT817" i="33"/>
  <c r="AT822" i="33" s="1"/>
  <c r="AU898" i="33"/>
  <c r="AU876" i="33"/>
  <c r="AU887" i="33"/>
  <c r="AU909" i="33"/>
  <c r="AU902" i="33"/>
  <c r="AU880" i="33"/>
  <c r="AT869" i="33"/>
  <c r="AU899" i="33"/>
  <c r="AU877" i="33"/>
  <c r="AU888" i="33"/>
  <c r="AU910" i="33"/>
  <c r="AW882" i="33"/>
  <c r="AW904" i="33"/>
  <c r="AT669" i="33"/>
  <c r="AT639" i="33"/>
  <c r="AV673" i="33"/>
  <c r="AV687" i="33"/>
  <c r="AV676" i="33"/>
  <c r="AV690" i="33"/>
  <c r="AU694" i="33"/>
  <c r="AV679" i="33"/>
  <c r="AV693" i="33"/>
  <c r="AW691" i="33"/>
  <c r="AV677" i="33"/>
  <c r="AV670" i="33"/>
  <c r="AU680" i="33"/>
  <c r="AU674" i="33"/>
  <c r="AX645" i="33" l="1"/>
  <c r="AW646" i="33"/>
  <c r="AV820" i="33"/>
  <c r="AW684" i="33"/>
  <c r="AU912" i="33" a="1"/>
  <c r="AU912" i="33" s="1"/>
  <c r="E952" i="51"/>
  <c r="M952" i="51" s="1"/>
  <c r="C149" i="48" a="1"/>
  <c r="C149" i="48" s="1"/>
  <c r="FX16" i="28"/>
  <c r="FX15" i="28"/>
  <c r="FX14" i="28"/>
  <c r="FX13" i="28"/>
  <c r="FX12" i="28"/>
  <c r="FX17" i="28"/>
  <c r="HD44" i="28"/>
  <c r="HD8" i="28"/>
  <c r="HD49" i="28"/>
  <c r="HD11" i="28"/>
  <c r="HD45" i="28"/>
  <c r="U178" i="37"/>
  <c r="HD43" i="28"/>
  <c r="HD9" i="28"/>
  <c r="HD46" i="28"/>
  <c r="HD48" i="28"/>
  <c r="HD47" i="28"/>
  <c r="HD10" i="28"/>
  <c r="U318" i="37"/>
  <c r="F318" i="37" s="1"/>
  <c r="F314" i="37"/>
  <c r="U311" i="37"/>
  <c r="F311" i="37" s="1"/>
  <c r="F307" i="37"/>
  <c r="U346" i="37"/>
  <c r="F346" i="37" s="1"/>
  <c r="F342" i="37"/>
  <c r="T325" i="37"/>
  <c r="F325" i="37" s="1"/>
  <c r="F321" i="37"/>
  <c r="U339" i="37"/>
  <c r="F339" i="37" s="1"/>
  <c r="F335" i="37"/>
  <c r="U332" i="37"/>
  <c r="F332" i="37" s="1"/>
  <c r="F328" i="37"/>
  <c r="FX53" i="28"/>
  <c r="FX18" i="28"/>
  <c r="FX51" i="28"/>
  <c r="FX52" i="28"/>
  <c r="FX56" i="28"/>
  <c r="FX57" i="28"/>
  <c r="FX55" i="28"/>
  <c r="FX50" i="28"/>
  <c r="FX54" i="28"/>
  <c r="DJ49" i="28"/>
  <c r="DJ45" i="28"/>
  <c r="DJ48" i="28"/>
  <c r="DJ42" i="28"/>
  <c r="DJ47" i="28"/>
  <c r="DJ44" i="28"/>
  <c r="DJ43" i="28"/>
  <c r="DJ8" i="28"/>
  <c r="DJ9" i="28"/>
  <c r="DJ10" i="28"/>
  <c r="DJ11" i="28"/>
  <c r="FX43" i="28"/>
  <c r="FX44" i="28"/>
  <c r="FX46" i="28"/>
  <c r="DJ46" i="28" s="1"/>
  <c r="FX42" i="28"/>
  <c r="FX49" i="28"/>
  <c r="FX45" i="28"/>
  <c r="FX47" i="28"/>
  <c r="FX48" i="28"/>
  <c r="FX8" i="28"/>
  <c r="FX10" i="28"/>
  <c r="FX9" i="28"/>
  <c r="FX11" i="28"/>
  <c r="DJ53" i="28"/>
  <c r="DJ13" i="28"/>
  <c r="DJ18" i="28"/>
  <c r="DJ15" i="28"/>
  <c r="DJ16" i="28"/>
  <c r="DJ14" i="28"/>
  <c r="DJ12" i="28"/>
  <c r="DJ51" i="28"/>
  <c r="DJ52" i="28"/>
  <c r="DJ56" i="28"/>
  <c r="DJ57" i="28"/>
  <c r="DJ55" i="28"/>
  <c r="DJ50" i="28"/>
  <c r="DJ54" i="28"/>
  <c r="DJ17" i="28"/>
  <c r="HD53" i="28"/>
  <c r="HD18" i="28"/>
  <c r="HD14" i="28"/>
  <c r="HD15" i="28"/>
  <c r="HD16" i="28"/>
  <c r="HD12" i="28"/>
  <c r="HD13" i="28"/>
  <c r="HD51" i="28"/>
  <c r="HD52" i="28"/>
  <c r="HD55" i="28"/>
  <c r="HD50" i="28"/>
  <c r="HD57" i="28"/>
  <c r="HD56" i="28"/>
  <c r="HD54" i="28"/>
  <c r="HD17" i="28"/>
  <c r="DY15" i="28"/>
  <c r="DY12" i="28"/>
  <c r="DY17" i="28"/>
  <c r="DY14" i="28"/>
  <c r="DY16" i="28"/>
  <c r="DY18" i="28"/>
  <c r="DY13" i="28"/>
  <c r="DY53" i="28"/>
  <c r="DY51" i="28"/>
  <c r="DY52" i="28"/>
  <c r="DY54" i="28"/>
  <c r="DY56" i="28"/>
  <c r="DY57" i="28"/>
  <c r="DY55" i="28"/>
  <c r="DY50" i="28"/>
  <c r="DX9" i="28"/>
  <c r="DX11" i="28"/>
  <c r="DX10" i="28"/>
  <c r="DX8" i="28"/>
  <c r="DX45" i="28"/>
  <c r="DX43" i="28"/>
  <c r="DX47" i="28"/>
  <c r="DX49" i="28"/>
  <c r="DX44" i="28"/>
  <c r="DX48" i="28"/>
  <c r="DX42" i="28"/>
  <c r="DX46" i="28"/>
  <c r="DX12" i="28"/>
  <c r="DX17" i="28"/>
  <c r="DX14" i="28"/>
  <c r="DX13" i="28"/>
  <c r="DX15" i="28"/>
  <c r="DX16" i="28"/>
  <c r="DX18" i="28"/>
  <c r="DX53" i="28"/>
  <c r="DX52" i="28"/>
  <c r="DX51" i="28"/>
  <c r="DX50" i="28"/>
  <c r="DX56" i="28"/>
  <c r="DX57" i="28"/>
  <c r="DX54" i="28"/>
  <c r="DX55" i="28"/>
  <c r="R503" i="38"/>
  <c r="AW829" i="33"/>
  <c r="AV821" i="33"/>
  <c r="AV818" i="33"/>
  <c r="AV819" i="33"/>
  <c r="AW827" i="33"/>
  <c r="AX828" i="33"/>
  <c r="AW838" i="33"/>
  <c r="AW833" i="33" s="1"/>
  <c r="AV833" i="33"/>
  <c r="AT824" i="33"/>
  <c r="AU823" i="33"/>
  <c r="AU830" i="33"/>
  <c r="AW826" i="33"/>
  <c r="AV892" i="33"/>
  <c r="AV870" i="33"/>
  <c r="AV825" i="33"/>
  <c r="AW847" i="33"/>
  <c r="AW839" i="33"/>
  <c r="AW834" i="33" s="1"/>
  <c r="AT696" i="33"/>
  <c r="AT7" i="33" s="1"/>
  <c r="AW837" i="33"/>
  <c r="AW832" i="33" s="1"/>
  <c r="AW649" i="33"/>
  <c r="AW688" i="33" s="1"/>
  <c r="AV694" i="33"/>
  <c r="AT640" i="33"/>
  <c r="AT642" i="33" s="1"/>
  <c r="AT643" i="33"/>
  <c r="AV647" i="33"/>
  <c r="AV641" i="33" s="1"/>
  <c r="AV688" i="33"/>
  <c r="AW655" i="33"/>
  <c r="AW848" i="33"/>
  <c r="AW849" i="33"/>
  <c r="AW846" i="33"/>
  <c r="AV845" i="33"/>
  <c r="AX654" i="33"/>
  <c r="AY650" i="33"/>
  <c r="AZ651" i="33"/>
  <c r="AW836" i="33"/>
  <c r="AW831" i="33" s="1"/>
  <c r="AV835" i="33"/>
  <c r="AX648" i="33"/>
  <c r="AX840" i="33"/>
  <c r="AY841" i="33"/>
  <c r="AU683" i="33"/>
  <c r="AV685" i="33"/>
  <c r="AV671" i="33"/>
  <c r="AW644" i="33"/>
  <c r="AT916" i="33"/>
  <c r="AT8" i="33" s="1"/>
  <c r="AV900" i="33"/>
  <c r="AV878" i="33"/>
  <c r="AX882" i="33"/>
  <c r="AX904" i="33"/>
  <c r="AV898" i="33"/>
  <c r="AV876" i="33"/>
  <c r="AV903" i="33"/>
  <c r="AV881" i="33"/>
  <c r="AV902" i="33"/>
  <c r="AV880" i="33"/>
  <c r="AX905" i="33"/>
  <c r="AX883" i="33"/>
  <c r="AU817" i="33"/>
  <c r="AU822" i="33" s="1"/>
  <c r="AV888" i="33"/>
  <c r="AV910" i="33"/>
  <c r="AV886" i="33"/>
  <c r="AV908" i="33"/>
  <c r="AU869" i="33"/>
  <c r="AV885" i="33"/>
  <c r="AV907" i="33"/>
  <c r="AU891" i="33"/>
  <c r="AV887" i="33"/>
  <c r="AV909" i="33"/>
  <c r="AV897" i="33"/>
  <c r="AV875" i="33"/>
  <c r="AW894" i="33"/>
  <c r="AW872" i="33"/>
  <c r="AV893" i="33"/>
  <c r="AV871" i="33"/>
  <c r="AV899" i="33"/>
  <c r="AV877" i="33"/>
  <c r="AV895" i="33"/>
  <c r="AV873" i="33"/>
  <c r="AU639" i="33"/>
  <c r="AW676" i="33"/>
  <c r="AW690" i="33"/>
  <c r="AW673" i="33"/>
  <c r="AW687" i="33"/>
  <c r="AW679" i="33"/>
  <c r="AW693" i="33"/>
  <c r="AU669" i="33"/>
  <c r="AV680" i="33"/>
  <c r="AW670" i="33"/>
  <c r="AX684" i="33"/>
  <c r="AV674" i="33"/>
  <c r="AX691" i="33"/>
  <c r="AW677" i="33"/>
  <c r="AV912" i="33" l="1" a="1"/>
  <c r="AV912" i="33" s="1"/>
  <c r="AX646" i="33"/>
  <c r="AY645" i="33"/>
  <c r="P952" i="51"/>
  <c r="Q952" i="51"/>
  <c r="L952" i="51"/>
  <c r="O952" i="51"/>
  <c r="N952" i="51"/>
  <c r="E161" i="48" a="1"/>
  <c r="E161" i="48" s="1"/>
  <c r="DY9" i="28"/>
  <c r="DY8" i="28"/>
  <c r="DY10" i="28"/>
  <c r="DY11" i="28"/>
  <c r="DY45" i="28"/>
  <c r="DY42" i="28"/>
  <c r="DY48" i="28"/>
  <c r="DY49" i="28"/>
  <c r="DY47" i="28"/>
  <c r="DY44" i="28"/>
  <c r="DY43" i="28"/>
  <c r="DY46" i="28"/>
  <c r="AW647" i="33"/>
  <c r="AW641" i="33" s="1"/>
  <c r="AU824" i="33"/>
  <c r="AW820" i="33"/>
  <c r="AY828" i="33"/>
  <c r="AW819" i="33"/>
  <c r="AX827" i="33"/>
  <c r="AX848" i="33"/>
  <c r="AW818" i="33"/>
  <c r="AX829" i="33"/>
  <c r="AW821" i="33"/>
  <c r="AV823" i="33"/>
  <c r="AV830" i="33"/>
  <c r="AX826" i="33"/>
  <c r="AW870" i="33"/>
  <c r="AW912" i="33" s="1" a="1"/>
  <c r="AW912" i="33" s="1"/>
  <c r="AW892" i="33"/>
  <c r="AW825" i="33"/>
  <c r="AX839" i="33"/>
  <c r="AX834" i="33" s="1"/>
  <c r="AX849" i="33"/>
  <c r="AX655" i="33"/>
  <c r="AX694" i="33" s="1"/>
  <c r="AX847" i="33"/>
  <c r="AX837" i="33"/>
  <c r="AX832" i="33" s="1"/>
  <c r="AW653" i="33"/>
  <c r="AU640" i="33"/>
  <c r="AU642" i="33" s="1"/>
  <c r="AU643" i="33"/>
  <c r="AW694" i="33"/>
  <c r="AX649" i="33"/>
  <c r="AX838" i="33"/>
  <c r="AV683" i="33"/>
  <c r="AY840" i="33"/>
  <c r="AZ841" i="33"/>
  <c r="AX836" i="33"/>
  <c r="AX831" i="33" s="1"/>
  <c r="AW835" i="33"/>
  <c r="AY654" i="33"/>
  <c r="AZ650" i="33"/>
  <c r="BA651" i="33"/>
  <c r="AY648" i="33"/>
  <c r="AW845" i="33"/>
  <c r="AX846" i="33"/>
  <c r="AU696" i="33"/>
  <c r="AU7" i="33" s="1"/>
  <c r="AW685" i="33"/>
  <c r="AW671" i="33"/>
  <c r="AX644" i="33"/>
  <c r="AU916" i="33"/>
  <c r="AU8" i="33" s="1"/>
  <c r="AW902" i="33"/>
  <c r="AW880" i="33"/>
  <c r="AW885" i="33"/>
  <c r="AW907" i="33"/>
  <c r="AW910" i="33"/>
  <c r="AW888" i="33"/>
  <c r="AW898" i="33"/>
  <c r="AW876" i="33"/>
  <c r="AW895" i="33"/>
  <c r="AW873" i="33"/>
  <c r="AX894" i="33"/>
  <c r="AX872" i="33"/>
  <c r="AW887" i="33"/>
  <c r="AW909" i="33"/>
  <c r="AY882" i="33"/>
  <c r="AY904" i="33"/>
  <c r="AV817" i="33"/>
  <c r="AV822" i="33" s="1"/>
  <c r="AW897" i="33"/>
  <c r="AW875" i="33"/>
  <c r="AW899" i="33"/>
  <c r="AW877" i="33"/>
  <c r="AV869" i="33"/>
  <c r="AW908" i="33"/>
  <c r="AW886" i="33"/>
  <c r="AW903" i="33"/>
  <c r="AW881" i="33"/>
  <c r="AW893" i="33"/>
  <c r="AW871" i="33"/>
  <c r="AV891" i="33"/>
  <c r="AY883" i="33"/>
  <c r="AY905" i="33"/>
  <c r="AW900" i="33"/>
  <c r="AW878" i="33"/>
  <c r="AV639" i="33"/>
  <c r="AV669" i="33"/>
  <c r="AX673" i="33"/>
  <c r="AX687" i="33"/>
  <c r="AX679" i="33"/>
  <c r="AX693" i="33"/>
  <c r="AX676" i="33"/>
  <c r="AX690" i="33"/>
  <c r="AX670" i="33"/>
  <c r="AY684" i="33"/>
  <c r="AY691" i="33"/>
  <c r="AX677" i="33"/>
  <c r="AW674" i="33"/>
  <c r="AW680" i="33"/>
  <c r="AZ645" i="33" l="1"/>
  <c r="AY646" i="33"/>
  <c r="AX820" i="33"/>
  <c r="AX819" i="33"/>
  <c r="AY827" i="33"/>
  <c r="AY829" i="33"/>
  <c r="AX821" i="33"/>
  <c r="AX818" i="33"/>
  <c r="AZ828" i="33"/>
  <c r="AV824" i="33"/>
  <c r="AW823" i="33"/>
  <c r="AW830" i="33"/>
  <c r="AY838" i="33"/>
  <c r="AY833" i="33" s="1"/>
  <c r="AX833" i="33"/>
  <c r="AY826" i="33"/>
  <c r="AX892" i="33"/>
  <c r="AX870" i="33"/>
  <c r="AX825" i="33"/>
  <c r="AY839" i="33"/>
  <c r="AY834" i="33" s="1"/>
  <c r="AY849" i="33"/>
  <c r="AY837" i="33"/>
  <c r="AY832" i="33" s="1"/>
  <c r="AX653" i="33"/>
  <c r="AY649" i="33"/>
  <c r="AY647" i="33" s="1"/>
  <c r="AY641" i="33" s="1"/>
  <c r="AV696" i="33"/>
  <c r="AV7" i="33" s="1"/>
  <c r="AW683" i="33"/>
  <c r="AY848" i="33"/>
  <c r="AZ848" i="33" s="1"/>
  <c r="AY847" i="33"/>
  <c r="AV640" i="33"/>
  <c r="AV642" i="33" s="1"/>
  <c r="AV643" i="33"/>
  <c r="AY655" i="33"/>
  <c r="AX688" i="33"/>
  <c r="AX647" i="33"/>
  <c r="AX641" i="33" s="1"/>
  <c r="AY836" i="33"/>
  <c r="AY831" i="33" s="1"/>
  <c r="AX835" i="33"/>
  <c r="AZ654" i="33"/>
  <c r="AZ648" i="33"/>
  <c r="BA650" i="33"/>
  <c r="BB651" i="33"/>
  <c r="AX845" i="33"/>
  <c r="AY846" i="33"/>
  <c r="AZ840" i="33"/>
  <c r="BA841" i="33"/>
  <c r="AX685" i="33"/>
  <c r="AY644" i="33"/>
  <c r="AX671" i="33"/>
  <c r="AV916" i="33"/>
  <c r="AV8" i="33" s="1"/>
  <c r="AW891" i="33"/>
  <c r="AX885" i="33"/>
  <c r="AX907" i="33"/>
  <c r="AX893" i="33"/>
  <c r="AX871" i="33"/>
  <c r="AX898" i="33"/>
  <c r="AX876" i="33"/>
  <c r="AX887" i="33"/>
  <c r="AX909" i="33"/>
  <c r="AZ883" i="33"/>
  <c r="AZ905" i="33"/>
  <c r="AX899" i="33"/>
  <c r="AX877" i="33"/>
  <c r="AX903" i="33"/>
  <c r="AX881" i="33"/>
  <c r="AX902" i="33"/>
  <c r="AX880" i="33"/>
  <c r="AX895" i="33"/>
  <c r="AX873" i="33"/>
  <c r="AY894" i="33"/>
  <c r="AY872" i="33"/>
  <c r="AX900" i="33"/>
  <c r="AX878" i="33"/>
  <c r="AW817" i="33"/>
  <c r="AW822" i="33" s="1"/>
  <c r="AX910" i="33"/>
  <c r="AX888" i="33"/>
  <c r="AX897" i="33"/>
  <c r="AX875" i="33"/>
  <c r="AW869" i="33"/>
  <c r="AX908" i="33"/>
  <c r="AX886" i="33"/>
  <c r="AZ882" i="33"/>
  <c r="AZ904" i="33"/>
  <c r="AW639" i="33"/>
  <c r="AW669" i="33"/>
  <c r="AY676" i="33"/>
  <c r="AY690" i="33"/>
  <c r="AY673" i="33"/>
  <c r="AY687" i="33"/>
  <c r="AY679" i="33"/>
  <c r="AY693" i="33"/>
  <c r="AY670" i="33"/>
  <c r="AZ684" i="33"/>
  <c r="AZ691" i="33"/>
  <c r="AY677" i="33"/>
  <c r="AX674" i="33"/>
  <c r="AX680" i="33"/>
  <c r="AX912" i="33" l="1" a="1"/>
  <c r="AX912" i="33" s="1"/>
  <c r="AZ646" i="33"/>
  <c r="BA645" i="33"/>
  <c r="AY820" i="33"/>
  <c r="BA828" i="33"/>
  <c r="AZ829" i="33"/>
  <c r="AY821" i="33"/>
  <c r="AY819" i="33"/>
  <c r="AZ827" i="33"/>
  <c r="AY818" i="33"/>
  <c r="AY688" i="33"/>
  <c r="AX823" i="33"/>
  <c r="AX830" i="33"/>
  <c r="AW824" i="33"/>
  <c r="AZ826" i="33"/>
  <c r="AY825" i="33"/>
  <c r="AY892" i="33"/>
  <c r="AY870" i="33"/>
  <c r="AZ839" i="33"/>
  <c r="AZ834" i="33" s="1"/>
  <c r="AZ849" i="33"/>
  <c r="AZ847" i="33"/>
  <c r="AZ655" i="33"/>
  <c r="AZ694" i="33" s="1"/>
  <c r="AZ838" i="33"/>
  <c r="AZ820" i="33" s="1"/>
  <c r="AY653" i="33"/>
  <c r="AW696" i="33"/>
  <c r="AW7" i="33" s="1"/>
  <c r="AX683" i="33"/>
  <c r="AZ837" i="33"/>
  <c r="AZ832" i="33" s="1"/>
  <c r="AZ649" i="33"/>
  <c r="AZ688" i="33" s="1"/>
  <c r="AW640" i="33"/>
  <c r="AW642" i="33" s="1"/>
  <c r="AW643" i="33"/>
  <c r="BA840" i="33"/>
  <c r="BB841" i="33"/>
  <c r="BA648" i="33"/>
  <c r="BA654" i="33"/>
  <c r="AY845" i="33"/>
  <c r="AZ846" i="33"/>
  <c r="BB650" i="33"/>
  <c r="BC651" i="33"/>
  <c r="AY835" i="33"/>
  <c r="AZ836" i="33"/>
  <c r="AZ831" i="33" s="1"/>
  <c r="AW916" i="33"/>
  <c r="AW8" i="33" s="1"/>
  <c r="AY685" i="33"/>
  <c r="AY671" i="33"/>
  <c r="AX817" i="33"/>
  <c r="AX822" i="33" s="1"/>
  <c r="BA904" i="33"/>
  <c r="BA882" i="33"/>
  <c r="AX869" i="33"/>
  <c r="AY886" i="33"/>
  <c r="AY908" i="33"/>
  <c r="AY903" i="33"/>
  <c r="AY881" i="33"/>
  <c r="AY893" i="33"/>
  <c r="AY871" i="33"/>
  <c r="AY897" i="33"/>
  <c r="AY875" i="33"/>
  <c r="AY888" i="33"/>
  <c r="AY910" i="33"/>
  <c r="AY895" i="33"/>
  <c r="AY873" i="33"/>
  <c r="AY899" i="33"/>
  <c r="AY877" i="33"/>
  <c r="AY887" i="33"/>
  <c r="AY909" i="33"/>
  <c r="AY885" i="33"/>
  <c r="AY907" i="33"/>
  <c r="AX891" i="33"/>
  <c r="AZ894" i="33"/>
  <c r="AZ872" i="33"/>
  <c r="AY902" i="33"/>
  <c r="AY880" i="33"/>
  <c r="AY900" i="33"/>
  <c r="AY878" i="33"/>
  <c r="BA883" i="33"/>
  <c r="BA905" i="33"/>
  <c r="AY898" i="33"/>
  <c r="AY876" i="33"/>
  <c r="AX639" i="33"/>
  <c r="AZ673" i="33"/>
  <c r="AZ687" i="33"/>
  <c r="AY694" i="33"/>
  <c r="AZ679" i="33"/>
  <c r="AZ693" i="33"/>
  <c r="AZ676" i="33"/>
  <c r="AZ690" i="33"/>
  <c r="AX669" i="33"/>
  <c r="AY674" i="33"/>
  <c r="BA691" i="33"/>
  <c r="AZ677" i="33"/>
  <c r="AY680" i="33"/>
  <c r="AZ670" i="33"/>
  <c r="BA684" i="33"/>
  <c r="BA646" i="33" l="1"/>
  <c r="AZ644" i="33"/>
  <c r="AY912" i="33" a="1"/>
  <c r="AY912" i="33" s="1"/>
  <c r="BB645" i="33"/>
  <c r="AZ819" i="33"/>
  <c r="BA827" i="33"/>
  <c r="AZ818" i="33"/>
  <c r="BA829" i="33"/>
  <c r="AZ821" i="33"/>
  <c r="AZ653" i="33"/>
  <c r="BA849" i="33"/>
  <c r="BB828" i="33"/>
  <c r="AX824" i="33"/>
  <c r="BA838" i="33"/>
  <c r="BA833" i="33" s="1"/>
  <c r="AZ833" i="33"/>
  <c r="AY823" i="33"/>
  <c r="AY830" i="33"/>
  <c r="BA826" i="33"/>
  <c r="AZ825" i="33"/>
  <c r="AZ892" i="33"/>
  <c r="AZ870" i="33"/>
  <c r="BA848" i="33"/>
  <c r="BB848" i="33" s="1"/>
  <c r="BA839" i="33"/>
  <c r="BA834" i="33" s="1"/>
  <c r="AX696" i="33"/>
  <c r="AX7" i="33" s="1"/>
  <c r="BA655" i="33"/>
  <c r="BA653" i="33" s="1"/>
  <c r="AZ647" i="33"/>
  <c r="AZ641" i="33" s="1"/>
  <c r="BA649" i="33"/>
  <c r="BA688" i="33" s="1"/>
  <c r="BA837" i="33"/>
  <c r="BA832" i="33" s="1"/>
  <c r="BA847" i="33"/>
  <c r="AX640" i="33"/>
  <c r="AX642" i="33" s="1"/>
  <c r="AX643" i="33"/>
  <c r="BB654" i="33"/>
  <c r="BB648" i="33"/>
  <c r="BC650" i="33"/>
  <c r="BD651" i="33"/>
  <c r="BA836" i="33"/>
  <c r="BA831" i="33" s="1"/>
  <c r="AZ835" i="33"/>
  <c r="BB840" i="33"/>
  <c r="BC841" i="33"/>
  <c r="BA846" i="33"/>
  <c r="AZ845" i="33"/>
  <c r="AY683" i="33"/>
  <c r="AZ685" i="33"/>
  <c r="AZ683" i="33" s="1"/>
  <c r="BA644" i="33"/>
  <c r="AZ671" i="33"/>
  <c r="AY817" i="33"/>
  <c r="AY822" i="33" s="1"/>
  <c r="AX916" i="33"/>
  <c r="AX8" i="33" s="1"/>
  <c r="AY891" i="33"/>
  <c r="AZ887" i="33"/>
  <c r="AZ909" i="33"/>
  <c r="AZ895" i="33"/>
  <c r="AZ873" i="33"/>
  <c r="AY869" i="33"/>
  <c r="AZ886" i="33"/>
  <c r="AZ908" i="33"/>
  <c r="BA894" i="33"/>
  <c r="BA872" i="33"/>
  <c r="AZ888" i="33"/>
  <c r="AZ910" i="33"/>
  <c r="AZ893" i="33"/>
  <c r="AZ871" i="33"/>
  <c r="BB883" i="33"/>
  <c r="BB905" i="33"/>
  <c r="AZ902" i="33"/>
  <c r="AZ880" i="33"/>
  <c r="AZ885" i="33"/>
  <c r="AZ907" i="33"/>
  <c r="AZ900" i="33"/>
  <c r="AZ878" i="33"/>
  <c r="AZ899" i="33"/>
  <c r="AZ877" i="33"/>
  <c r="AZ897" i="33"/>
  <c r="AZ875" i="33"/>
  <c r="AZ881" i="33"/>
  <c r="AZ903" i="33"/>
  <c r="AZ898" i="33"/>
  <c r="AZ876" i="33"/>
  <c r="BB904" i="33"/>
  <c r="BB882" i="33"/>
  <c r="AY639" i="33"/>
  <c r="BA673" i="33"/>
  <c r="BA687" i="33"/>
  <c r="BA679" i="33"/>
  <c r="BA693" i="33"/>
  <c r="BA676" i="33"/>
  <c r="BA690" i="33"/>
  <c r="AZ680" i="33"/>
  <c r="BB691" i="33"/>
  <c r="BA677" i="33"/>
  <c r="BA670" i="33"/>
  <c r="BB684" i="33"/>
  <c r="AZ674" i="33"/>
  <c r="AY669" i="33"/>
  <c r="AZ912" i="33" l="1" a="1"/>
  <c r="AZ912" i="33" s="1"/>
  <c r="BB839" i="33"/>
  <c r="BB834" i="33" s="1"/>
  <c r="BC645" i="33"/>
  <c r="BB646" i="33"/>
  <c r="AY824" i="33"/>
  <c r="BB849" i="33"/>
  <c r="BA818" i="33"/>
  <c r="BC828" i="33"/>
  <c r="BB829" i="33"/>
  <c r="BA821" i="33"/>
  <c r="BA819" i="33"/>
  <c r="BB827" i="33"/>
  <c r="BA820" i="33"/>
  <c r="AZ823" i="33"/>
  <c r="AZ830" i="33"/>
  <c r="BA694" i="33"/>
  <c r="BB838" i="33"/>
  <c r="BB833" i="33" s="1"/>
  <c r="BB826" i="33"/>
  <c r="BA892" i="33"/>
  <c r="BA870" i="33"/>
  <c r="BA825" i="33"/>
  <c r="BB847" i="33"/>
  <c r="BB649" i="33"/>
  <c r="BB647" i="33" s="1"/>
  <c r="BB641" i="33" s="1"/>
  <c r="BA647" i="33"/>
  <c r="BA641" i="33" s="1"/>
  <c r="BB655" i="33"/>
  <c r="BB653" i="33" s="1"/>
  <c r="BB837" i="33"/>
  <c r="BB832" i="33" s="1"/>
  <c r="AY640" i="33"/>
  <c r="AY642" i="33" s="1"/>
  <c r="AY643" i="33"/>
  <c r="BD650" i="33"/>
  <c r="BE651" i="33"/>
  <c r="BC840" i="33"/>
  <c r="BD841" i="33"/>
  <c r="BC654" i="33"/>
  <c r="BA835" i="33"/>
  <c r="BB836" i="33"/>
  <c r="BB831" i="33" s="1"/>
  <c r="BC648" i="33"/>
  <c r="BA845" i="33"/>
  <c r="BB846" i="33"/>
  <c r="AY696" i="33"/>
  <c r="AY7" i="33" s="1"/>
  <c r="BA685" i="33"/>
  <c r="BA683" i="33" s="1"/>
  <c r="BB644" i="33"/>
  <c r="BA671" i="33"/>
  <c r="AY916" i="33"/>
  <c r="AY8" i="33" s="1"/>
  <c r="AZ869" i="33"/>
  <c r="BA897" i="33"/>
  <c r="BA875" i="33"/>
  <c r="AZ891" i="33"/>
  <c r="BB894" i="33"/>
  <c r="BB872" i="33"/>
  <c r="BA881" i="33"/>
  <c r="BA903" i="33"/>
  <c r="BA888" i="33"/>
  <c r="BA910" i="33"/>
  <c r="BA902" i="33"/>
  <c r="BA880" i="33"/>
  <c r="BA886" i="33"/>
  <c r="BA908" i="33"/>
  <c r="BA907" i="33"/>
  <c r="BA885" i="33"/>
  <c r="BA895" i="33"/>
  <c r="BA873" i="33"/>
  <c r="BA900" i="33"/>
  <c r="BA878" i="33"/>
  <c r="BA898" i="33"/>
  <c r="BA876" i="33"/>
  <c r="BA899" i="33"/>
  <c r="BA877" i="33"/>
  <c r="BC882" i="33"/>
  <c r="BC904" i="33"/>
  <c r="BA893" i="33"/>
  <c r="BA871" i="33"/>
  <c r="BC883" i="33"/>
  <c r="BC905" i="33"/>
  <c r="AZ817" i="33"/>
  <c r="AZ822" i="33" s="1"/>
  <c r="BA909" i="33"/>
  <c r="BA887" i="33"/>
  <c r="AZ639" i="33"/>
  <c r="AZ669" i="33"/>
  <c r="AZ696" i="33" s="1"/>
  <c r="AZ7" i="33" s="1"/>
  <c r="BB679" i="33"/>
  <c r="BB693" i="33"/>
  <c r="BB673" i="33"/>
  <c r="BB687" i="33"/>
  <c r="BB676" i="33"/>
  <c r="BB690" i="33"/>
  <c r="BB670" i="33"/>
  <c r="BC684" i="33"/>
  <c r="BA674" i="33"/>
  <c r="BC691" i="33"/>
  <c r="BB677" i="33"/>
  <c r="BA680" i="33"/>
  <c r="BC646" i="33" l="1"/>
  <c r="BA912" i="33" a="1"/>
  <c r="BA912" i="33" s="1"/>
  <c r="BC839" i="33"/>
  <c r="BC834" i="33" s="1"/>
  <c r="BD645" i="33"/>
  <c r="BB819" i="33"/>
  <c r="BC827" i="33"/>
  <c r="BC829" i="33"/>
  <c r="BD839" i="33" s="1"/>
  <c r="BD834" i="33" s="1"/>
  <c r="BB821" i="33"/>
  <c r="BB818" i="33"/>
  <c r="BB820" i="33"/>
  <c r="BC838" i="33"/>
  <c r="BC833" i="33" s="1"/>
  <c r="BD828" i="33"/>
  <c r="BC849" i="33"/>
  <c r="BC848" i="33"/>
  <c r="AZ824" i="33"/>
  <c r="BA823" i="33"/>
  <c r="BA830" i="33"/>
  <c r="BC826" i="33"/>
  <c r="BB825" i="33"/>
  <c r="BB892" i="33"/>
  <c r="BB870" i="33"/>
  <c r="BB694" i="33"/>
  <c r="BC649" i="33"/>
  <c r="BC647" i="33" s="1"/>
  <c r="BC641" i="33" s="1"/>
  <c r="BB688" i="33"/>
  <c r="BC655" i="33"/>
  <c r="BC837" i="33"/>
  <c r="BC832" i="33" s="1"/>
  <c r="BC847" i="33"/>
  <c r="AZ640" i="33"/>
  <c r="AZ642" i="33" s="1"/>
  <c r="AZ643" i="33"/>
  <c r="BD648" i="33"/>
  <c r="BD654" i="33"/>
  <c r="BD840" i="33"/>
  <c r="BE841" i="33"/>
  <c r="BB835" i="33"/>
  <c r="BC836" i="33"/>
  <c r="BC831" i="33" s="1"/>
  <c r="BC846" i="33"/>
  <c r="BB845" i="33"/>
  <c r="BE650" i="33"/>
  <c r="BF651" i="33"/>
  <c r="BF650" i="33" s="1"/>
  <c r="BB685" i="33"/>
  <c r="BC644" i="33"/>
  <c r="BB671" i="33"/>
  <c r="AZ916" i="33"/>
  <c r="AZ8" i="33" s="1"/>
  <c r="BA817" i="33"/>
  <c r="BA822" i="33" s="1"/>
  <c r="BB900" i="33"/>
  <c r="BB878" i="33"/>
  <c r="BD882" i="33"/>
  <c r="BD904" i="33"/>
  <c r="BB888" i="33"/>
  <c r="BB910" i="33"/>
  <c r="BC894" i="33"/>
  <c r="BC872" i="33"/>
  <c r="BA869" i="33"/>
  <c r="BB899" i="33"/>
  <c r="BB877" i="33"/>
  <c r="BB886" i="33"/>
  <c r="BB908" i="33"/>
  <c r="BA891" i="33"/>
  <c r="BB898" i="33"/>
  <c r="BB876" i="33"/>
  <c r="BB895" i="33"/>
  <c r="BB873" i="33"/>
  <c r="BB897" i="33"/>
  <c r="BB875" i="33"/>
  <c r="BB893" i="33"/>
  <c r="BB871" i="33"/>
  <c r="BB907" i="33"/>
  <c r="BB885" i="33"/>
  <c r="BB902" i="33"/>
  <c r="BB880" i="33"/>
  <c r="BB881" i="33"/>
  <c r="BB903" i="33"/>
  <c r="BD883" i="33"/>
  <c r="BD905" i="33"/>
  <c r="BB909" i="33"/>
  <c r="BB887" i="33"/>
  <c r="BA669" i="33"/>
  <c r="BA696" i="33" s="1"/>
  <c r="BA7" i="33" s="1"/>
  <c r="BA639" i="33"/>
  <c r="BC673" i="33"/>
  <c r="BC687" i="33"/>
  <c r="BC679" i="33"/>
  <c r="BC693" i="33"/>
  <c r="BC676" i="33"/>
  <c r="BC690" i="33"/>
  <c r="BC670" i="33"/>
  <c r="BB680" i="33"/>
  <c r="BB674" i="33"/>
  <c r="BD691" i="33"/>
  <c r="BC677" i="33"/>
  <c r="BB912" i="33" l="1" a="1"/>
  <c r="BB912" i="33" s="1"/>
  <c r="BE645" i="33"/>
  <c r="BE684" i="33" s="1"/>
  <c r="BD684" i="33"/>
  <c r="BD646" i="33"/>
  <c r="BD849" i="33"/>
  <c r="BD848" i="33"/>
  <c r="BD838" i="33"/>
  <c r="BD833" i="33" s="1"/>
  <c r="BC818" i="33"/>
  <c r="BE828" i="33"/>
  <c r="BD829" i="33"/>
  <c r="BC821" i="33"/>
  <c r="BC819" i="33"/>
  <c r="BD827" i="33"/>
  <c r="BC820" i="33"/>
  <c r="BB823" i="33"/>
  <c r="BB830" i="33"/>
  <c r="BA824" i="33"/>
  <c r="BD826" i="33"/>
  <c r="BC892" i="33"/>
  <c r="BC870" i="33"/>
  <c r="BC912" i="33" s="1" a="1"/>
  <c r="BC912" i="33" s="1"/>
  <c r="BC825" i="33"/>
  <c r="BB683" i="33"/>
  <c r="BD655" i="33"/>
  <c r="BD653" i="33" s="1"/>
  <c r="BC653" i="33"/>
  <c r="BD649" i="33"/>
  <c r="BC694" i="33"/>
  <c r="BD847" i="33"/>
  <c r="BD837" i="33"/>
  <c r="BD832" i="33" s="1"/>
  <c r="BA640" i="33"/>
  <c r="BA642" i="33" s="1"/>
  <c r="BA643" i="33"/>
  <c r="BD846" i="33"/>
  <c r="BC845" i="33"/>
  <c r="BE840" i="33"/>
  <c r="BF841" i="33"/>
  <c r="BF840" i="33" s="1"/>
  <c r="BE654" i="33"/>
  <c r="BC835" i="33"/>
  <c r="BD836" i="33"/>
  <c r="BD831" i="33" s="1"/>
  <c r="BE648" i="33"/>
  <c r="BC685" i="33"/>
  <c r="BC671" i="33"/>
  <c r="BD644" i="33"/>
  <c r="BA916" i="33"/>
  <c r="BA8" i="33" s="1"/>
  <c r="BB817" i="33"/>
  <c r="BB822" i="33" s="1"/>
  <c r="BC887" i="33"/>
  <c r="BC909" i="33"/>
  <c r="BB891" i="33"/>
  <c r="BC893" i="33"/>
  <c r="BC871" i="33"/>
  <c r="BC895" i="33"/>
  <c r="BC873" i="33"/>
  <c r="BC877" i="33"/>
  <c r="BC899" i="33"/>
  <c r="BE882" i="33"/>
  <c r="BE904" i="33"/>
  <c r="BC902" i="33"/>
  <c r="BC880" i="33"/>
  <c r="BE905" i="33"/>
  <c r="BE883" i="33"/>
  <c r="BC885" i="33"/>
  <c r="BC907" i="33"/>
  <c r="BB869" i="33"/>
  <c r="BC897" i="33"/>
  <c r="BC875" i="33"/>
  <c r="BD894" i="33"/>
  <c r="BD872" i="33"/>
  <c r="BC881" i="33"/>
  <c r="BC903" i="33"/>
  <c r="BC886" i="33"/>
  <c r="BC908" i="33"/>
  <c r="BC898" i="33"/>
  <c r="BC876" i="33"/>
  <c r="BC888" i="33"/>
  <c r="BC910" i="33"/>
  <c r="BC900" i="33"/>
  <c r="BC878" i="33"/>
  <c r="BB639" i="33"/>
  <c r="BB669" i="33"/>
  <c r="BD676" i="33"/>
  <c r="BD690" i="33"/>
  <c r="BC688" i="33"/>
  <c r="BD679" i="33"/>
  <c r="BD693" i="33"/>
  <c r="BD673" i="33"/>
  <c r="BD687" i="33"/>
  <c r="BC674" i="33"/>
  <c r="BC680" i="33"/>
  <c r="BE691" i="33"/>
  <c r="BD677" i="33"/>
  <c r="BD670" i="33"/>
  <c r="BE646" i="33" l="1"/>
  <c r="BD820" i="33"/>
  <c r="BF645" i="33"/>
  <c r="BE838" i="33"/>
  <c r="BE833" i="33" s="1"/>
  <c r="BE848" i="33"/>
  <c r="BF848" i="33" s="1"/>
  <c r="BB824" i="33"/>
  <c r="BD819" i="33"/>
  <c r="BE827" i="33"/>
  <c r="BD818" i="33"/>
  <c r="BE829" i="33"/>
  <c r="BD821" i="33"/>
  <c r="BE849" i="33"/>
  <c r="BF828" i="33"/>
  <c r="BE839" i="33"/>
  <c r="BE834" i="33" s="1"/>
  <c r="BC823" i="33"/>
  <c r="BC830" i="33"/>
  <c r="BE826" i="33"/>
  <c r="BD825" i="33"/>
  <c r="BD892" i="33"/>
  <c r="BD870" i="33"/>
  <c r="BD694" i="33"/>
  <c r="BB696" i="33"/>
  <c r="BB7" i="33" s="1"/>
  <c r="BE649" i="33"/>
  <c r="BE688" i="33" s="1"/>
  <c r="BD688" i="33"/>
  <c r="BD647" i="33"/>
  <c r="BD641" i="33" s="1"/>
  <c r="BE655" i="33"/>
  <c r="BE694" i="33" s="1"/>
  <c r="BE837" i="33"/>
  <c r="BE832" i="33" s="1"/>
  <c r="BE847" i="33"/>
  <c r="BB640" i="33"/>
  <c r="BB642" i="33" s="1"/>
  <c r="BB643" i="33"/>
  <c r="BF654" i="33"/>
  <c r="BE846" i="33"/>
  <c r="BD845" i="33"/>
  <c r="BF648" i="33"/>
  <c r="BD835" i="33"/>
  <c r="BE836" i="33"/>
  <c r="BE831" i="33" s="1"/>
  <c r="BC683" i="33"/>
  <c r="BD685" i="33"/>
  <c r="BE644" i="33"/>
  <c r="BD671" i="33"/>
  <c r="BB916" i="33"/>
  <c r="BB8" i="33" s="1"/>
  <c r="BC817" i="33"/>
  <c r="BC822" i="33" s="1"/>
  <c r="BD885" i="33"/>
  <c r="BD907" i="33"/>
  <c r="BE894" i="33"/>
  <c r="BE872" i="33"/>
  <c r="BF882" i="33"/>
  <c r="BF904" i="33"/>
  <c r="BC869" i="33"/>
  <c r="BD893" i="33"/>
  <c r="BD871" i="33"/>
  <c r="BC891" i="33"/>
  <c r="BD886" i="33"/>
  <c r="BD908" i="33"/>
  <c r="BD888" i="33"/>
  <c r="BD910" i="33"/>
  <c r="BD899" i="33"/>
  <c r="BD877" i="33"/>
  <c r="BD898" i="33"/>
  <c r="BD876" i="33"/>
  <c r="BF905" i="33"/>
  <c r="BF883" i="33"/>
  <c r="BD887" i="33"/>
  <c r="BD909" i="33"/>
  <c r="BD881" i="33"/>
  <c r="BD903" i="33"/>
  <c r="BD897" i="33"/>
  <c r="BD875" i="33"/>
  <c r="BD900" i="33"/>
  <c r="BD878" i="33"/>
  <c r="BD902" i="33"/>
  <c r="BD880" i="33"/>
  <c r="BD895" i="33"/>
  <c r="BD873" i="33"/>
  <c r="BC639" i="33"/>
  <c r="BC669" i="33"/>
  <c r="BE676" i="33"/>
  <c r="BE690" i="33"/>
  <c r="BE673" i="33"/>
  <c r="BE687" i="33"/>
  <c r="BE679" i="33"/>
  <c r="BE693" i="33"/>
  <c r="BE677" i="33"/>
  <c r="BD680" i="33"/>
  <c r="BD674" i="33"/>
  <c r="BE670" i="33"/>
  <c r="BF684" i="33"/>
  <c r="BF690" i="33"/>
  <c r="BD912" i="33" l="1" a="1"/>
  <c r="BD912" i="33" s="1"/>
  <c r="BF838" i="33"/>
  <c r="BF833" i="33" s="1"/>
  <c r="BE820" i="33"/>
  <c r="BF646" i="33"/>
  <c r="BF849" i="33"/>
  <c r="BC824" i="33"/>
  <c r="BE647" i="33"/>
  <c r="BE641" i="33" s="1"/>
  <c r="BE818" i="33"/>
  <c r="BF829" i="33"/>
  <c r="BE821" i="33"/>
  <c r="BF839" i="33"/>
  <c r="BF834" i="33" s="1"/>
  <c r="BE819" i="33"/>
  <c r="BF827" i="33"/>
  <c r="BD823" i="33"/>
  <c r="BD830" i="33"/>
  <c r="BF826" i="33"/>
  <c r="BE825" i="33"/>
  <c r="BE870" i="33"/>
  <c r="BE892" i="33"/>
  <c r="BD683" i="33"/>
  <c r="BF649" i="33"/>
  <c r="BF647" i="33" s="1"/>
  <c r="BF641" i="33" s="1"/>
  <c r="BE653" i="33"/>
  <c r="BF655" i="33"/>
  <c r="BF653" i="33" s="1"/>
  <c r="BF847" i="33"/>
  <c r="BF837" i="33"/>
  <c r="BF832" i="33" s="1"/>
  <c r="BC640" i="33"/>
  <c r="BC642" i="33" s="1"/>
  <c r="BC643" i="33"/>
  <c r="BF693" i="33"/>
  <c r="BF836" i="33"/>
  <c r="BF831" i="33" s="1"/>
  <c r="BE835" i="33"/>
  <c r="BF846" i="33"/>
  <c r="BE845" i="33"/>
  <c r="BF687" i="33"/>
  <c r="BC696" i="33"/>
  <c r="BC7" i="33" s="1"/>
  <c r="BE685" i="33"/>
  <c r="BE683" i="33" s="1"/>
  <c r="BE671" i="33"/>
  <c r="BF644" i="33"/>
  <c r="BC916" i="33"/>
  <c r="BC8" i="33" s="1"/>
  <c r="BD869" i="33"/>
  <c r="BD891" i="33"/>
  <c r="BE900" i="33"/>
  <c r="BE878" i="33"/>
  <c r="BE903" i="33"/>
  <c r="BE881" i="33"/>
  <c r="BE908" i="33"/>
  <c r="BE886" i="33"/>
  <c r="BF894" i="33"/>
  <c r="BF872" i="33"/>
  <c r="BE910" i="33"/>
  <c r="BE888" i="33"/>
  <c r="BE895" i="33"/>
  <c r="BE873" i="33"/>
  <c r="BE898" i="33"/>
  <c r="BE876" i="33"/>
  <c r="BE897" i="33"/>
  <c r="BE875" i="33"/>
  <c r="BE899" i="33"/>
  <c r="BE877" i="33"/>
  <c r="BE885" i="33"/>
  <c r="BE907" i="33"/>
  <c r="BE902" i="33"/>
  <c r="BE880" i="33"/>
  <c r="BE887" i="33"/>
  <c r="BE909" i="33"/>
  <c r="BE893" i="33"/>
  <c r="BE871" i="33"/>
  <c r="BD817" i="33"/>
  <c r="BD822" i="33" s="1"/>
  <c r="BD669" i="33"/>
  <c r="BF677" i="33"/>
  <c r="BF691" i="33"/>
  <c r="BD639" i="33"/>
  <c r="BF673" i="33"/>
  <c r="BF670" i="33"/>
  <c r="BF676" i="33"/>
  <c r="BE674" i="33"/>
  <c r="BF679" i="33"/>
  <c r="BE680" i="33"/>
  <c r="BE912" i="33" l="1" a="1"/>
  <c r="BE912" i="33" s="1"/>
  <c r="BF820" i="33"/>
  <c r="BF819" i="33"/>
  <c r="BF821" i="33"/>
  <c r="BF818" i="33"/>
  <c r="BE823" i="33"/>
  <c r="BE830" i="33"/>
  <c r="BD824" i="33"/>
  <c r="BF825" i="33"/>
  <c r="BF870" i="33"/>
  <c r="BF892" i="33"/>
  <c r="BD696" i="33"/>
  <c r="BD7" i="33" s="1"/>
  <c r="BF845" i="33"/>
  <c r="BF835" i="33"/>
  <c r="BD640" i="33"/>
  <c r="BD642" i="33" s="1"/>
  <c r="BD643" i="33"/>
  <c r="BF671" i="33"/>
  <c r="BF685" i="33"/>
  <c r="BD916" i="33"/>
  <c r="BD8" i="33" s="1"/>
  <c r="BF908" i="33"/>
  <c r="BF886" i="33"/>
  <c r="BE817" i="33"/>
  <c r="BE822" i="33" s="1"/>
  <c r="BF902" i="33"/>
  <c r="BF880" i="33"/>
  <c r="BF903" i="33"/>
  <c r="BF881" i="33"/>
  <c r="BE869" i="33"/>
  <c r="BF899" i="33"/>
  <c r="BF877" i="33"/>
  <c r="BF900" i="33"/>
  <c r="BF878" i="33"/>
  <c r="BF898" i="33"/>
  <c r="BF876" i="33"/>
  <c r="BE891" i="33"/>
  <c r="BF897" i="33"/>
  <c r="BF875" i="33"/>
  <c r="BF893" i="33"/>
  <c r="BF871" i="33"/>
  <c r="BF910" i="33"/>
  <c r="BF888" i="33"/>
  <c r="BF887" i="33"/>
  <c r="BF909" i="33"/>
  <c r="BF885" i="33"/>
  <c r="BF907" i="33"/>
  <c r="BF895" i="33"/>
  <c r="BF873" i="33"/>
  <c r="BE639" i="33"/>
  <c r="BF639" i="33"/>
  <c r="BE669" i="33"/>
  <c r="BE696" i="33" s="1"/>
  <c r="BE7" i="33" s="1"/>
  <c r="BF674" i="33"/>
  <c r="BF688" i="33"/>
  <c r="BF680" i="33"/>
  <c r="BF694" i="33"/>
  <c r="BF912" i="33" l="1" a="1"/>
  <c r="BF912" i="33" s="1"/>
  <c r="BE824" i="33"/>
  <c r="BF823" i="33"/>
  <c r="BF830" i="33"/>
  <c r="BE640" i="33"/>
  <c r="BE642" i="33" s="1"/>
  <c r="BE643" i="33"/>
  <c r="BF640" i="33"/>
  <c r="BF642" i="33" s="1"/>
  <c r="BE916" i="33"/>
  <c r="BE8" i="33" s="1"/>
  <c r="BF817" i="33"/>
  <c r="BF669" i="33"/>
  <c r="BF869" i="33"/>
  <c r="BF891" i="33"/>
  <c r="BF683" i="33"/>
  <c r="BF643" i="33" l="1"/>
  <c r="BF822" i="33"/>
  <c r="BF824" i="33" s="1"/>
  <c r="BF916" i="33"/>
  <c r="BF8" i="33" s="1"/>
  <c r="BF696" i="33"/>
  <c r="BF7" i="33" s="1"/>
  <c r="AC807" i="33" l="1"/>
  <c r="AC810" i="33" s="1"/>
  <c r="AB807" i="33"/>
  <c r="AB810" i="33" s="1"/>
  <c r="X807" i="33"/>
  <c r="X810" i="33" s="1"/>
  <c r="W807" i="33"/>
  <c r="W810" i="33" s="1"/>
  <c r="V807" i="33"/>
  <c r="V810" i="33" s="1"/>
  <c r="U807" i="33"/>
  <c r="T807" i="33"/>
  <c r="S807" i="33"/>
  <c r="R807" i="33"/>
  <c r="R810" i="33" s="1"/>
  <c r="Q807" i="33"/>
  <c r="Q810" i="33" s="1"/>
  <c r="P807" i="33"/>
  <c r="P810" i="33" s="1"/>
  <c r="O807" i="33"/>
  <c r="O810" i="33" s="1"/>
  <c r="AC801" i="33"/>
  <c r="AB801" i="33"/>
  <c r="X801" i="33"/>
  <c r="W801" i="33"/>
  <c r="V801" i="33"/>
  <c r="U801" i="33"/>
  <c r="T801" i="33"/>
  <c r="S801" i="33"/>
  <c r="R801" i="33"/>
  <c r="Q801" i="33"/>
  <c r="P801" i="33"/>
  <c r="O801" i="33"/>
  <c r="AC799" i="33"/>
  <c r="AB799" i="33"/>
  <c r="X799" i="33"/>
  <c r="W799" i="33"/>
  <c r="V799" i="33"/>
  <c r="U799" i="33"/>
  <c r="T799" i="33"/>
  <c r="S799" i="33"/>
  <c r="R799" i="33"/>
  <c r="Q799" i="33"/>
  <c r="P799" i="33"/>
  <c r="O799" i="33"/>
  <c r="AC798" i="33"/>
  <c r="AB798" i="33"/>
  <c r="X798" i="33"/>
  <c r="W798" i="33"/>
  <c r="V798" i="33"/>
  <c r="U798" i="33"/>
  <c r="T798" i="33"/>
  <c r="S798" i="33"/>
  <c r="R798" i="33"/>
  <c r="Q798" i="33"/>
  <c r="P798" i="33"/>
  <c r="O798" i="33"/>
  <c r="AC797" i="33"/>
  <c r="AB797" i="33"/>
  <c r="X797" i="33"/>
  <c r="W797" i="33"/>
  <c r="V797" i="33"/>
  <c r="U797" i="33"/>
  <c r="T797" i="33"/>
  <c r="S797" i="33"/>
  <c r="R797" i="33"/>
  <c r="Q797" i="33"/>
  <c r="P797" i="33"/>
  <c r="O797" i="33"/>
  <c r="AC811" i="33"/>
  <c r="U811" i="33"/>
  <c r="T811" i="33"/>
  <c r="S811" i="33"/>
  <c r="R811" i="33"/>
  <c r="AC791" i="33"/>
  <c r="AB791" i="33"/>
  <c r="X791" i="33"/>
  <c r="W791" i="33"/>
  <c r="V791" i="33"/>
  <c r="U791" i="33"/>
  <c r="T791" i="33"/>
  <c r="S791" i="33"/>
  <c r="R791" i="33"/>
  <c r="Q791" i="33"/>
  <c r="P791" i="33"/>
  <c r="O791" i="33"/>
  <c r="AC790" i="33"/>
  <c r="AB790" i="33"/>
  <c r="X790" i="33"/>
  <c r="W790" i="33"/>
  <c r="V790" i="33"/>
  <c r="U790" i="33"/>
  <c r="T790" i="33"/>
  <c r="S790" i="33"/>
  <c r="R790" i="33"/>
  <c r="Q790" i="33"/>
  <c r="P790" i="33"/>
  <c r="O790" i="33"/>
  <c r="AC789" i="33"/>
  <c r="AB789" i="33"/>
  <c r="X789" i="33"/>
  <c r="W789" i="33"/>
  <c r="V789" i="33"/>
  <c r="U789" i="33"/>
  <c r="T789" i="33"/>
  <c r="S789" i="33"/>
  <c r="R789" i="33"/>
  <c r="Q789" i="33"/>
  <c r="P789" i="33"/>
  <c r="O789" i="33"/>
  <c r="AC788" i="33"/>
  <c r="AC812" i="33" s="1"/>
  <c r="AC806" i="33" s="1"/>
  <c r="AB788" i="33"/>
  <c r="X788" i="33"/>
  <c r="W788" i="33"/>
  <c r="V788" i="33"/>
  <c r="U788" i="33"/>
  <c r="T788" i="33"/>
  <c r="S788" i="33"/>
  <c r="R788" i="33"/>
  <c r="R812" i="33" s="1"/>
  <c r="R806" i="33" s="1"/>
  <c r="Q788" i="33"/>
  <c r="P788" i="33"/>
  <c r="O788" i="33"/>
  <c r="AC773" i="33"/>
  <c r="AB773" i="33"/>
  <c r="X773" i="33"/>
  <c r="W773" i="33"/>
  <c r="V773" i="33"/>
  <c r="U773" i="33"/>
  <c r="T773" i="33"/>
  <c r="S773" i="33"/>
  <c r="R773" i="33"/>
  <c r="Q773" i="33"/>
  <c r="P773" i="33"/>
  <c r="O773" i="33"/>
  <c r="AC772" i="33"/>
  <c r="AB772" i="33"/>
  <c r="X772" i="33"/>
  <c r="W772" i="33"/>
  <c r="V772" i="33"/>
  <c r="U772" i="33"/>
  <c r="T772" i="33"/>
  <c r="S772" i="33"/>
  <c r="R772" i="33"/>
  <c r="Q772" i="33"/>
  <c r="P772" i="33"/>
  <c r="O772" i="33"/>
  <c r="AC757" i="33"/>
  <c r="AB757" i="33"/>
  <c r="X757" i="33"/>
  <c r="W757" i="33"/>
  <c r="V757" i="33"/>
  <c r="U757" i="33"/>
  <c r="T757" i="33"/>
  <c r="S757" i="33"/>
  <c r="R757" i="33"/>
  <c r="Q757" i="33"/>
  <c r="P757" i="33"/>
  <c r="O757" i="33"/>
  <c r="AC756" i="33"/>
  <c r="AB756" i="33"/>
  <c r="X756" i="33"/>
  <c r="W756" i="33"/>
  <c r="V756" i="33"/>
  <c r="U756" i="33"/>
  <c r="T756" i="33"/>
  <c r="S756" i="33"/>
  <c r="R756" i="33"/>
  <c r="Q756" i="33"/>
  <c r="P756" i="33"/>
  <c r="O756" i="33"/>
  <c r="AC740" i="33"/>
  <c r="AB740" i="33"/>
  <c r="X740" i="33"/>
  <c r="W740" i="33"/>
  <c r="V740" i="33"/>
  <c r="U740" i="33"/>
  <c r="T740" i="33"/>
  <c r="S740" i="33"/>
  <c r="R740" i="33"/>
  <c r="Q740" i="33"/>
  <c r="P740" i="33"/>
  <c r="O740" i="33"/>
  <c r="AC739" i="33"/>
  <c r="AB739" i="33"/>
  <c r="X739" i="33"/>
  <c r="W739" i="33"/>
  <c r="V739" i="33"/>
  <c r="U739" i="33"/>
  <c r="T739" i="33"/>
  <c r="S739" i="33"/>
  <c r="R739" i="33"/>
  <c r="Q739" i="33"/>
  <c r="P739" i="33"/>
  <c r="O739" i="33"/>
  <c r="S793" i="33" l="1"/>
  <c r="S794" i="33" s="1"/>
  <c r="S782" i="33" s="1"/>
  <c r="O803" i="33"/>
  <c r="O783" i="33" s="1"/>
  <c r="W803" i="33"/>
  <c r="W783" i="33" s="1"/>
  <c r="U793" i="33"/>
  <c r="U794" i="33" s="1"/>
  <c r="U782" i="33" s="1"/>
  <c r="Q803" i="33"/>
  <c r="Q783" i="33" s="1"/>
  <c r="AB803" i="33"/>
  <c r="AB783" i="33" s="1"/>
  <c r="V803" i="33"/>
  <c r="V783" i="33" s="1"/>
  <c r="S810" i="33"/>
  <c r="O812" i="33"/>
  <c r="O806" i="33" s="1"/>
  <c r="W812" i="33"/>
  <c r="W806" i="33" s="1"/>
  <c r="T810" i="33"/>
  <c r="P812" i="33"/>
  <c r="P806" i="33" s="1"/>
  <c r="X812" i="33"/>
  <c r="X806" i="33" s="1"/>
  <c r="P811" i="33"/>
  <c r="X811" i="33"/>
  <c r="V793" i="33"/>
  <c r="V794" i="33" s="1"/>
  <c r="V782" i="33" s="1"/>
  <c r="V811" i="33"/>
  <c r="R803" i="33"/>
  <c r="R783" i="33" s="1"/>
  <c r="AC803" i="33"/>
  <c r="AC783" i="33" s="1"/>
  <c r="O811" i="33"/>
  <c r="W811" i="33"/>
  <c r="S803" i="33"/>
  <c r="S783" i="33" s="1"/>
  <c r="T803" i="33"/>
  <c r="T783" i="33" s="1"/>
  <c r="U810" i="33"/>
  <c r="Q812" i="33"/>
  <c r="Q806" i="33" s="1"/>
  <c r="AB793" i="33"/>
  <c r="AB794" i="33" s="1"/>
  <c r="AB782" i="33" s="1"/>
  <c r="Q811" i="33"/>
  <c r="AB811" i="33"/>
  <c r="U803" i="33"/>
  <c r="U783" i="33" s="1"/>
  <c r="S812" i="33"/>
  <c r="S806" i="33" s="1"/>
  <c r="T793" i="33"/>
  <c r="T794" i="33" s="1"/>
  <c r="T782" i="33" s="1"/>
  <c r="P803" i="33"/>
  <c r="P783" i="33" s="1"/>
  <c r="X803" i="33"/>
  <c r="X783" i="33" s="1"/>
  <c r="U812" i="33"/>
  <c r="U806" i="33" s="1"/>
  <c r="O793" i="33"/>
  <c r="O794" i="33" s="1"/>
  <c r="O782" i="33" s="1"/>
  <c r="P793" i="33"/>
  <c r="P794" i="33" s="1"/>
  <c r="P782" i="33" s="1"/>
  <c r="X793" i="33"/>
  <c r="X794" i="33" s="1"/>
  <c r="X782" i="33" s="1"/>
  <c r="T812" i="33"/>
  <c r="T806" i="33" s="1"/>
  <c r="R793" i="33"/>
  <c r="R794" i="33" s="1"/>
  <c r="R782" i="33" s="1"/>
  <c r="AC793" i="33"/>
  <c r="AC794" i="33" s="1"/>
  <c r="AC782" i="33" s="1"/>
  <c r="V812" i="33"/>
  <c r="V806" i="33" s="1"/>
  <c r="W793" i="33"/>
  <c r="W794" i="33" s="1"/>
  <c r="W782" i="33" s="1"/>
  <c r="Q793" i="33"/>
  <c r="Q794" i="33" s="1"/>
  <c r="Q782" i="33" s="1"/>
  <c r="AB812" i="33"/>
  <c r="AB806" i="33" s="1"/>
  <c r="AD256" i="33"/>
  <c r="AE254" i="33"/>
  <c r="AG253" i="33" l="1"/>
  <c r="BC253" i="33"/>
  <c r="BF253" i="33"/>
  <c r="AD22" i="33"/>
  <c r="AD267" i="33"/>
  <c r="AE267" i="33" s="1"/>
  <c r="AF267" i="33" s="1"/>
  <c r="AD271" i="33"/>
  <c r="AD270" i="33"/>
  <c r="AE270" i="33" s="1"/>
  <c r="AF270" i="33" s="1"/>
  <c r="AD255" i="33"/>
  <c r="AE255" i="33" s="1"/>
  <c r="AF255" i="33" s="1"/>
  <c r="AD363" i="33"/>
  <c r="AD257" i="33"/>
  <c r="AD369" i="33" s="1"/>
  <c r="AD258" i="33"/>
  <c r="AE258" i="33" s="1"/>
  <c r="AF258" i="33" s="1"/>
  <c r="AD259" i="33"/>
  <c r="AD402" i="33" s="1"/>
  <c r="AD260" i="33"/>
  <c r="AD261" i="33"/>
  <c r="AD426" i="33" s="1"/>
  <c r="AD262" i="33"/>
  <c r="AD478" i="33" s="1"/>
  <c r="AD263" i="33"/>
  <c r="AE263" i="33" s="1"/>
  <c r="AF263" i="33" s="1"/>
  <c r="AD264" i="33"/>
  <c r="AD497" i="33" s="1"/>
  <c r="AD265" i="33"/>
  <c r="AD514" i="33" s="1"/>
  <c r="AD266" i="33"/>
  <c r="AE266" i="33" s="1"/>
  <c r="AF266" i="33" s="1"/>
  <c r="AD325" i="33"/>
  <c r="X610" i="33"/>
  <c r="W610" i="33"/>
  <c r="V610" i="33"/>
  <c r="U610" i="33"/>
  <c r="T610" i="33"/>
  <c r="S610" i="33"/>
  <c r="R610" i="33"/>
  <c r="Q610" i="33"/>
  <c r="P610" i="33"/>
  <c r="O610" i="33"/>
  <c r="X602" i="33"/>
  <c r="W602" i="33"/>
  <c r="V602" i="33"/>
  <c r="U602" i="33"/>
  <c r="T602" i="33"/>
  <c r="S602" i="33"/>
  <c r="R602" i="33"/>
  <c r="Q602" i="33"/>
  <c r="P602" i="33"/>
  <c r="O602" i="33"/>
  <c r="AC586" i="33"/>
  <c r="AB586" i="33"/>
  <c r="X586" i="33"/>
  <c r="W586" i="33"/>
  <c r="V586" i="33"/>
  <c r="U586" i="33"/>
  <c r="T586" i="33"/>
  <c r="S586" i="33"/>
  <c r="R586" i="33"/>
  <c r="Q586" i="33"/>
  <c r="P586" i="33"/>
  <c r="O586" i="33"/>
  <c r="AC585" i="33"/>
  <c r="AB585" i="33"/>
  <c r="X585" i="33"/>
  <c r="W585" i="33"/>
  <c r="V585" i="33"/>
  <c r="U585" i="33"/>
  <c r="T585" i="33"/>
  <c r="S585" i="33"/>
  <c r="R585" i="33"/>
  <c r="Q585" i="33"/>
  <c r="P585" i="33"/>
  <c r="O585" i="33"/>
  <c r="AC564" i="33"/>
  <c r="AB564" i="33"/>
  <c r="X564" i="33"/>
  <c r="W564" i="33"/>
  <c r="V564" i="33"/>
  <c r="U564" i="33"/>
  <c r="T564" i="33"/>
  <c r="S564" i="33"/>
  <c r="R564" i="33"/>
  <c r="Q564" i="33"/>
  <c r="P564" i="33"/>
  <c r="O564" i="33"/>
  <c r="AC563" i="33"/>
  <c r="AB563" i="33"/>
  <c r="X563" i="33"/>
  <c r="W563" i="33"/>
  <c r="V563" i="33"/>
  <c r="U563" i="33"/>
  <c r="T563" i="33"/>
  <c r="S563" i="33"/>
  <c r="R563" i="33"/>
  <c r="Q563" i="33"/>
  <c r="P563" i="33"/>
  <c r="O563" i="33"/>
  <c r="AC541" i="33"/>
  <c r="AB541" i="33"/>
  <c r="X541" i="33"/>
  <c r="W541" i="33"/>
  <c r="V541" i="33"/>
  <c r="U541" i="33"/>
  <c r="T541" i="33"/>
  <c r="S541" i="33"/>
  <c r="R541" i="33"/>
  <c r="Q541" i="33"/>
  <c r="P541" i="33"/>
  <c r="O541" i="33"/>
  <c r="AC540" i="33"/>
  <c r="AB540" i="33"/>
  <c r="X540" i="33"/>
  <c r="W540" i="33"/>
  <c r="V540" i="33"/>
  <c r="U540" i="33"/>
  <c r="T540" i="33"/>
  <c r="S540" i="33"/>
  <c r="R540" i="33"/>
  <c r="Q540" i="33"/>
  <c r="P540" i="33"/>
  <c r="O540" i="33"/>
  <c r="AC519" i="33"/>
  <c r="AB519" i="33"/>
  <c r="X519" i="33"/>
  <c r="W519" i="33"/>
  <c r="V519" i="33"/>
  <c r="U519" i="33"/>
  <c r="T519" i="33"/>
  <c r="S519" i="33"/>
  <c r="R519" i="33"/>
  <c r="Q519" i="33"/>
  <c r="P519" i="33"/>
  <c r="O519" i="33"/>
  <c r="AC518" i="33"/>
  <c r="AB518" i="33"/>
  <c r="X518" i="33"/>
  <c r="W518" i="33"/>
  <c r="V518" i="33"/>
  <c r="U518" i="33"/>
  <c r="T518" i="33"/>
  <c r="S518" i="33"/>
  <c r="R518" i="33"/>
  <c r="Q518" i="33"/>
  <c r="P518" i="33"/>
  <c r="O518" i="33"/>
  <c r="AC500" i="33"/>
  <c r="AB500" i="33"/>
  <c r="X500" i="33"/>
  <c r="W500" i="33"/>
  <c r="V500" i="33"/>
  <c r="U500" i="33"/>
  <c r="T500" i="33"/>
  <c r="S500" i="33"/>
  <c r="R500" i="33"/>
  <c r="Q500" i="33"/>
  <c r="P500" i="33"/>
  <c r="O500" i="33"/>
  <c r="AC499" i="33"/>
  <c r="AB499" i="33"/>
  <c r="X499" i="33"/>
  <c r="W499" i="33"/>
  <c r="V499" i="33"/>
  <c r="U499" i="33"/>
  <c r="T499" i="33"/>
  <c r="S499" i="33"/>
  <c r="R499" i="33"/>
  <c r="Q499" i="33"/>
  <c r="P499" i="33"/>
  <c r="O499" i="33"/>
  <c r="AC481" i="33"/>
  <c r="AB481" i="33"/>
  <c r="X481" i="33"/>
  <c r="W481" i="33"/>
  <c r="V481" i="33"/>
  <c r="U481" i="33"/>
  <c r="T481" i="33"/>
  <c r="S481" i="33"/>
  <c r="R481" i="33"/>
  <c r="Q481" i="33"/>
  <c r="P481" i="33"/>
  <c r="O481" i="33"/>
  <c r="AC480" i="33"/>
  <c r="AB480" i="33"/>
  <c r="X480" i="33"/>
  <c r="W480" i="33"/>
  <c r="V480" i="33"/>
  <c r="U480" i="33"/>
  <c r="T480" i="33"/>
  <c r="S480" i="33"/>
  <c r="R480" i="33"/>
  <c r="Q480" i="33"/>
  <c r="P480" i="33"/>
  <c r="O480" i="33"/>
  <c r="AC462" i="33"/>
  <c r="AB462" i="33"/>
  <c r="X462" i="33"/>
  <c r="W462" i="33"/>
  <c r="V462" i="33"/>
  <c r="U462" i="33"/>
  <c r="T462" i="33"/>
  <c r="S462" i="33"/>
  <c r="R462" i="33"/>
  <c r="Q462" i="33"/>
  <c r="P462" i="33"/>
  <c r="O462" i="33"/>
  <c r="AC461" i="33"/>
  <c r="AB461" i="33"/>
  <c r="X461" i="33"/>
  <c r="W461" i="33"/>
  <c r="V461" i="33"/>
  <c r="U461" i="33"/>
  <c r="T461" i="33"/>
  <c r="S461" i="33"/>
  <c r="R461" i="33"/>
  <c r="Q461" i="33"/>
  <c r="P461" i="33"/>
  <c r="O461" i="33"/>
  <c r="AC443" i="33"/>
  <c r="AB443" i="33"/>
  <c r="X443" i="33"/>
  <c r="W443" i="33"/>
  <c r="V443" i="33"/>
  <c r="U443" i="33"/>
  <c r="T443" i="33"/>
  <c r="S443" i="33"/>
  <c r="R443" i="33"/>
  <c r="Q443" i="33"/>
  <c r="P443" i="33"/>
  <c r="O443" i="33"/>
  <c r="AC442" i="33"/>
  <c r="AB442" i="33"/>
  <c r="X442" i="33"/>
  <c r="W442" i="33"/>
  <c r="V442" i="33"/>
  <c r="U442" i="33"/>
  <c r="T442" i="33"/>
  <c r="S442" i="33"/>
  <c r="R442" i="33"/>
  <c r="Q442" i="33"/>
  <c r="P442" i="33"/>
  <c r="O442" i="33"/>
  <c r="AC424" i="33"/>
  <c r="AB424" i="33"/>
  <c r="X424" i="33"/>
  <c r="W424" i="33"/>
  <c r="V424" i="33"/>
  <c r="U424" i="33"/>
  <c r="T424" i="33"/>
  <c r="S424" i="33"/>
  <c r="R424" i="33"/>
  <c r="Q424" i="33"/>
  <c r="P424" i="33"/>
  <c r="O424" i="33"/>
  <c r="AC423" i="33"/>
  <c r="AB423" i="33"/>
  <c r="X423" i="33"/>
  <c r="W423" i="33"/>
  <c r="V423" i="33"/>
  <c r="U423" i="33"/>
  <c r="T423" i="33"/>
  <c r="S423" i="33"/>
  <c r="R423" i="33"/>
  <c r="Q423" i="33"/>
  <c r="P423" i="33"/>
  <c r="O423" i="33"/>
  <c r="AC405" i="33"/>
  <c r="AB405" i="33"/>
  <c r="X405" i="33"/>
  <c r="W405" i="33"/>
  <c r="V405" i="33"/>
  <c r="U405" i="33"/>
  <c r="T405" i="33"/>
  <c r="S405" i="33"/>
  <c r="R405" i="33"/>
  <c r="Q405" i="33"/>
  <c r="P405" i="33"/>
  <c r="O405" i="33"/>
  <c r="AC404" i="33"/>
  <c r="AB404" i="33"/>
  <c r="X404" i="33"/>
  <c r="W404" i="33"/>
  <c r="V404" i="33"/>
  <c r="U404" i="33"/>
  <c r="T404" i="33"/>
  <c r="S404" i="33"/>
  <c r="R404" i="33"/>
  <c r="Q404" i="33"/>
  <c r="P404" i="33"/>
  <c r="O404" i="33"/>
  <c r="AC386" i="33"/>
  <c r="AB386" i="33"/>
  <c r="X386" i="33"/>
  <c r="W386" i="33"/>
  <c r="V386" i="33"/>
  <c r="U386" i="33"/>
  <c r="T386" i="33"/>
  <c r="S386" i="33"/>
  <c r="R386" i="33"/>
  <c r="Q386" i="33"/>
  <c r="P386" i="33"/>
  <c r="O386" i="33"/>
  <c r="AC385" i="33"/>
  <c r="AB385" i="33"/>
  <c r="X385" i="33"/>
  <c r="W385" i="33"/>
  <c r="V385" i="33"/>
  <c r="U385" i="33"/>
  <c r="T385" i="33"/>
  <c r="S385" i="33"/>
  <c r="R385" i="33"/>
  <c r="Q385" i="33"/>
  <c r="P385" i="33"/>
  <c r="O385" i="33"/>
  <c r="AC366" i="33"/>
  <c r="AB366" i="33"/>
  <c r="X366" i="33"/>
  <c r="W366" i="33"/>
  <c r="V366" i="33"/>
  <c r="U366" i="33"/>
  <c r="T366" i="33"/>
  <c r="S366" i="33"/>
  <c r="R366" i="33"/>
  <c r="Q366" i="33"/>
  <c r="P366" i="33"/>
  <c r="O366" i="33"/>
  <c r="AC365" i="33"/>
  <c r="AB365" i="33"/>
  <c r="X365" i="33"/>
  <c r="W365" i="33"/>
  <c r="V365" i="33"/>
  <c r="U365" i="33"/>
  <c r="T365" i="33"/>
  <c r="S365" i="33"/>
  <c r="R365" i="33"/>
  <c r="Q365" i="33"/>
  <c r="P365" i="33"/>
  <c r="O365" i="33"/>
  <c r="AC347" i="33"/>
  <c r="AB347" i="33"/>
  <c r="X347" i="33"/>
  <c r="W347" i="33"/>
  <c r="V347" i="33"/>
  <c r="U347" i="33"/>
  <c r="T347" i="33"/>
  <c r="S347" i="33"/>
  <c r="R347" i="33"/>
  <c r="Q347" i="33"/>
  <c r="P347" i="33"/>
  <c r="O347" i="33"/>
  <c r="AC346" i="33"/>
  <c r="AB346" i="33"/>
  <c r="X346" i="33"/>
  <c r="W346" i="33"/>
  <c r="V346" i="33"/>
  <c r="U346" i="33"/>
  <c r="T346" i="33"/>
  <c r="S346" i="33"/>
  <c r="R346" i="33"/>
  <c r="Q346" i="33"/>
  <c r="P346" i="33"/>
  <c r="O346" i="33"/>
  <c r="AC328" i="33"/>
  <c r="AB328" i="33"/>
  <c r="X328" i="33"/>
  <c r="W328" i="33"/>
  <c r="V328" i="33"/>
  <c r="U328" i="33"/>
  <c r="T328" i="33"/>
  <c r="S328" i="33"/>
  <c r="R328" i="33"/>
  <c r="Q328" i="33"/>
  <c r="P328" i="33"/>
  <c r="O328" i="33"/>
  <c r="AC327" i="33"/>
  <c r="AB327" i="33"/>
  <c r="X327" i="33"/>
  <c r="W327" i="33"/>
  <c r="V327" i="33"/>
  <c r="U327" i="33"/>
  <c r="T327" i="33"/>
  <c r="S327" i="33"/>
  <c r="R327" i="33"/>
  <c r="Q327" i="33"/>
  <c r="P327" i="33"/>
  <c r="O327" i="33"/>
  <c r="AC309" i="33"/>
  <c r="AB309" i="33"/>
  <c r="X309" i="33"/>
  <c r="W309" i="33"/>
  <c r="V309" i="33"/>
  <c r="U309" i="33"/>
  <c r="T309" i="33"/>
  <c r="S309" i="33"/>
  <c r="R309" i="33"/>
  <c r="Q309" i="33"/>
  <c r="P309" i="33"/>
  <c r="O309" i="33"/>
  <c r="AC308" i="33"/>
  <c r="AB308" i="33"/>
  <c r="X308" i="33"/>
  <c r="W308" i="33"/>
  <c r="V308" i="33"/>
  <c r="U308" i="33"/>
  <c r="T308" i="33"/>
  <c r="S308" i="33"/>
  <c r="R308" i="33"/>
  <c r="Q308" i="33"/>
  <c r="P308" i="33"/>
  <c r="O308" i="33"/>
  <c r="AC283" i="33"/>
  <c r="AC279" i="33"/>
  <c r="AH253" i="33" l="1"/>
  <c r="F10" i="38"/>
  <c r="F22" i="38" s="1"/>
  <c r="AD547" i="33"/>
  <c r="AD583" i="33"/>
  <c r="AD582" i="33"/>
  <c r="AD581" i="33"/>
  <c r="AD569" i="33"/>
  <c r="AD576" i="33"/>
  <c r="AD573" i="33"/>
  <c r="AE22" i="33"/>
  <c r="AD401" i="33"/>
  <c r="AD537" i="33"/>
  <c r="AE537" i="33" s="1"/>
  <c r="AF537" i="33" s="1"/>
  <c r="AD483" i="33"/>
  <c r="AD495" i="33"/>
  <c r="AD528" i="33"/>
  <c r="AE528" i="33" s="1"/>
  <c r="AF528" i="33" s="1"/>
  <c r="AD362" i="33"/>
  <c r="AD531" i="33"/>
  <c r="AE531" i="33" s="1"/>
  <c r="AF531" i="33" s="1"/>
  <c r="AD536" i="33"/>
  <c r="AE536" i="33" s="1"/>
  <c r="AF536" i="33" s="1"/>
  <c r="AE264" i="33"/>
  <c r="AF264" i="33" s="1"/>
  <c r="AG264" i="33" s="1"/>
  <c r="AD490" i="33"/>
  <c r="AD487" i="33"/>
  <c r="AE256" i="33"/>
  <c r="AF256" i="33" s="1"/>
  <c r="AG256" i="33" s="1"/>
  <c r="AD361" i="33"/>
  <c r="AD356" i="33"/>
  <c r="AD353" i="33"/>
  <c r="AD349" i="33"/>
  <c r="AD382" i="33"/>
  <c r="AD383" i="33"/>
  <c r="AE262" i="33"/>
  <c r="AF262" i="33" s="1"/>
  <c r="AG262" i="33" s="1"/>
  <c r="AD476" i="33"/>
  <c r="AD471" i="33"/>
  <c r="AD468" i="33"/>
  <c r="AD509" i="33"/>
  <c r="AE261" i="33"/>
  <c r="AF261" i="33" s="1"/>
  <c r="AG261" i="33" s="1"/>
  <c r="AD452" i="33"/>
  <c r="AD440" i="33"/>
  <c r="AD449" i="33"/>
  <c r="AD439" i="33"/>
  <c r="AD445" i="33"/>
  <c r="AD438" i="33"/>
  <c r="AE271" i="33"/>
  <c r="AD561" i="33"/>
  <c r="AD560" i="33"/>
  <c r="AD430" i="33"/>
  <c r="AD551" i="33"/>
  <c r="AE265" i="33"/>
  <c r="AF265" i="33" s="1"/>
  <c r="AG265" i="33" s="1"/>
  <c r="AD506" i="33"/>
  <c r="AD502" i="33"/>
  <c r="AE260" i="33"/>
  <c r="AF260" i="33" s="1"/>
  <c r="AG260" i="33" s="1"/>
  <c r="AH260" i="33" s="1"/>
  <c r="AD420" i="33"/>
  <c r="AD419" i="33"/>
  <c r="AD414" i="33"/>
  <c r="AD407" i="33"/>
  <c r="AD433" i="33"/>
  <c r="AD457" i="33"/>
  <c r="AD515" i="33"/>
  <c r="AD554" i="33"/>
  <c r="AE259" i="33"/>
  <c r="AF259" i="33" s="1"/>
  <c r="AG259" i="33" s="1"/>
  <c r="AD400" i="33"/>
  <c r="AD395" i="33"/>
  <c r="AD392" i="33"/>
  <c r="AD411" i="33"/>
  <c r="AD458" i="33"/>
  <c r="AD464" i="33"/>
  <c r="AD516" i="33"/>
  <c r="AD559" i="33"/>
  <c r="AE257" i="33"/>
  <c r="AF257" i="33" s="1"/>
  <c r="AG257" i="33" s="1"/>
  <c r="AD381" i="33"/>
  <c r="AD376" i="33"/>
  <c r="AD373" i="33"/>
  <c r="AD388" i="33"/>
  <c r="AD421" i="33"/>
  <c r="AD459" i="33"/>
  <c r="AD477" i="33"/>
  <c r="AD496" i="33"/>
  <c r="AD538" i="33"/>
  <c r="AE538" i="33" s="1"/>
  <c r="AF538" i="33" s="1"/>
  <c r="AD524" i="33"/>
  <c r="AG266" i="33"/>
  <c r="AD330" i="33"/>
  <c r="AE330" i="33" s="1"/>
  <c r="AD343" i="33"/>
  <c r="AE343" i="33" s="1"/>
  <c r="AF343" i="33" s="1"/>
  <c r="AD334" i="33"/>
  <c r="AE334" i="33" s="1"/>
  <c r="AF334" i="33" s="1"/>
  <c r="AD337" i="33"/>
  <c r="AE337" i="33" s="1"/>
  <c r="AF337" i="33" s="1"/>
  <c r="AD342" i="33"/>
  <c r="AE342" i="33" s="1"/>
  <c r="AF342" i="33" s="1"/>
  <c r="AD344" i="33"/>
  <c r="AE344" i="33" s="1"/>
  <c r="AF344" i="33" s="1"/>
  <c r="AD315" i="33"/>
  <c r="AG255" i="33"/>
  <c r="AD318" i="33"/>
  <c r="AD323" i="33"/>
  <c r="AD324" i="33"/>
  <c r="AG258" i="33"/>
  <c r="AG263" i="33"/>
  <c r="AG270" i="33"/>
  <c r="AG267" i="33"/>
  <c r="AD311" i="33"/>
  <c r="AF254" i="33"/>
  <c r="AG254" i="33" s="1"/>
  <c r="O601" i="33"/>
  <c r="W601" i="33"/>
  <c r="W608" i="33" s="1"/>
  <c r="P601" i="33"/>
  <c r="P608" i="33" s="1"/>
  <c r="X601" i="33"/>
  <c r="X608" i="33" s="1"/>
  <c r="Q601" i="33"/>
  <c r="Q608" i="33" s="1"/>
  <c r="AB601" i="33"/>
  <c r="AB608" i="33" s="1"/>
  <c r="AB610" i="33" s="1"/>
  <c r="R601" i="33"/>
  <c r="R608" i="33" s="1"/>
  <c r="AC601" i="33"/>
  <c r="AC608" i="33" s="1"/>
  <c r="AC610" i="33" s="1"/>
  <c r="S601" i="33"/>
  <c r="S608" i="33" s="1"/>
  <c r="T601" i="33"/>
  <c r="T608" i="33" s="1"/>
  <c r="U601" i="33"/>
  <c r="U608" i="33" s="1"/>
  <c r="V601" i="33"/>
  <c r="V608" i="33" s="1"/>
  <c r="AC623" i="33" l="1"/>
  <c r="AC633" i="33" s="1"/>
  <c r="AC634" i="33" s="1"/>
  <c r="AB623" i="33"/>
  <c r="AB633" i="33" s="1"/>
  <c r="AB634" i="33" s="1"/>
  <c r="AB6" i="33"/>
  <c r="AB618" i="33"/>
  <c r="AC6" i="33"/>
  <c r="AC618" i="33"/>
  <c r="AH263" i="33"/>
  <c r="AH258" i="33"/>
  <c r="AH259" i="33"/>
  <c r="AH261" i="33"/>
  <c r="AH257" i="33"/>
  <c r="AH264" i="33"/>
  <c r="AH255" i="33"/>
  <c r="AH266" i="33"/>
  <c r="AH265" i="33"/>
  <c r="AH256" i="33"/>
  <c r="AH267" i="33"/>
  <c r="AH262" i="33"/>
  <c r="AH270" i="33"/>
  <c r="AI253" i="33"/>
  <c r="G10" i="38"/>
  <c r="G22" i="38" s="1"/>
  <c r="AF271" i="33"/>
  <c r="AE583" i="33"/>
  <c r="AE581" i="33"/>
  <c r="AE582" i="33"/>
  <c r="AE576" i="33"/>
  <c r="AE569" i="33"/>
  <c r="AE573" i="33"/>
  <c r="AD584" i="33"/>
  <c r="AF22" i="33"/>
  <c r="AE421" i="33"/>
  <c r="AF421" i="33" s="1"/>
  <c r="O603" i="33"/>
  <c r="O608" i="33"/>
  <c r="AE551" i="33"/>
  <c r="AE433" i="33"/>
  <c r="AF433" i="33" s="1"/>
  <c r="AG433" i="33" s="1"/>
  <c r="AE411" i="33"/>
  <c r="AF411" i="33" s="1"/>
  <c r="AG411" i="33" s="1"/>
  <c r="AH411" i="33" s="1"/>
  <c r="AE468" i="33"/>
  <c r="AF468" i="33" s="1"/>
  <c r="AG468" i="33" s="1"/>
  <c r="AE395" i="33"/>
  <c r="AF395" i="33" s="1"/>
  <c r="AG395" i="33" s="1"/>
  <c r="AE449" i="33"/>
  <c r="AF449" i="33" s="1"/>
  <c r="AG449" i="33" s="1"/>
  <c r="AE420" i="33"/>
  <c r="AF420" i="33" s="1"/>
  <c r="AG420" i="33" s="1"/>
  <c r="AH420" i="33" s="1"/>
  <c r="AE400" i="33"/>
  <c r="AF400" i="33" s="1"/>
  <c r="AG400" i="33" s="1"/>
  <c r="AH400" i="33" s="1"/>
  <c r="AE457" i="33"/>
  <c r="AF457" i="33" s="1"/>
  <c r="AG457" i="33" s="1"/>
  <c r="AH457" i="33" s="1"/>
  <c r="AE506" i="33"/>
  <c r="AF506" i="33" s="1"/>
  <c r="AG506" i="33" s="1"/>
  <c r="AE445" i="33"/>
  <c r="AF445" i="33" s="1"/>
  <c r="AE439" i="33"/>
  <c r="AF439" i="33" s="1"/>
  <c r="AG439" i="33" s="1"/>
  <c r="AE426" i="33"/>
  <c r="AF426" i="33" s="1"/>
  <c r="AG426" i="33" s="1"/>
  <c r="AD292" i="33"/>
  <c r="AD611" i="33" s="1"/>
  <c r="AE311" i="33"/>
  <c r="AD305" i="33"/>
  <c r="AD616" i="33" s="1"/>
  <c r="AD19" i="33" s="1"/>
  <c r="AD403" i="33"/>
  <c r="AD592" i="33" s="1" a="1"/>
  <c r="AD592" i="33" s="1"/>
  <c r="AE458" i="33"/>
  <c r="AF458" i="33" s="1"/>
  <c r="AG458" i="33" s="1"/>
  <c r="AE438" i="33"/>
  <c r="AF438" i="33" s="1"/>
  <c r="AG438" i="33" s="1"/>
  <c r="AE362" i="33"/>
  <c r="AF362" i="33" s="1"/>
  <c r="AG362" i="33" s="1"/>
  <c r="AD296" i="33"/>
  <c r="AD612" i="33" s="1"/>
  <c r="AD15" i="33" s="1"/>
  <c r="E388" i="38" s="1"/>
  <c r="AS28" i="28" s="1"/>
  <c r="AG421" i="33"/>
  <c r="AH421" i="33" s="1"/>
  <c r="AE495" i="33"/>
  <c r="AF495" i="33" s="1"/>
  <c r="AG495" i="33" s="1"/>
  <c r="W603" i="33"/>
  <c r="AD304" i="33"/>
  <c r="AD615" i="33" s="1"/>
  <c r="AD18" i="33" s="1"/>
  <c r="AE496" i="33"/>
  <c r="AF496" i="33" s="1"/>
  <c r="AG496" i="33" s="1"/>
  <c r="AD299" i="33"/>
  <c r="AD613" i="33" s="1"/>
  <c r="AD16" i="33" s="1"/>
  <c r="AE477" i="33"/>
  <c r="AF477" i="33" s="1"/>
  <c r="AG477" i="33" s="1"/>
  <c r="AE559" i="33"/>
  <c r="AF559" i="33" s="1"/>
  <c r="AE414" i="33"/>
  <c r="AF414" i="33" s="1"/>
  <c r="AG414" i="33" s="1"/>
  <c r="AH414" i="33" s="1"/>
  <c r="AE430" i="33"/>
  <c r="AF430" i="33" s="1"/>
  <c r="AG430" i="33" s="1"/>
  <c r="AE440" i="33"/>
  <c r="AF440" i="33" s="1"/>
  <c r="AG440" i="33" s="1"/>
  <c r="AE471" i="33"/>
  <c r="AF471" i="33" s="1"/>
  <c r="AG471" i="33" s="1"/>
  <c r="AH471" i="33" s="1"/>
  <c r="AE459" i="33"/>
  <c r="AF459" i="33" s="1"/>
  <c r="AG459" i="33" s="1"/>
  <c r="AE419" i="33"/>
  <c r="AF419" i="33" s="1"/>
  <c r="AG419" i="33" s="1"/>
  <c r="AH419" i="33" s="1"/>
  <c r="AE560" i="33"/>
  <c r="AE452" i="33"/>
  <c r="AF452" i="33" s="1"/>
  <c r="AG452" i="33" s="1"/>
  <c r="AE361" i="33"/>
  <c r="AF361" i="33" s="1"/>
  <c r="AG361" i="33" s="1"/>
  <c r="AD306" i="33"/>
  <c r="AD614" i="33" s="1"/>
  <c r="AD17" i="33" s="1"/>
  <c r="AE388" i="33"/>
  <c r="AE464" i="33"/>
  <c r="AD479" i="33"/>
  <c r="AD597" i="33" s="1" a="1"/>
  <c r="AD597" i="33" s="1"/>
  <c r="AE382" i="33"/>
  <c r="AF382" i="33" s="1"/>
  <c r="AG382" i="33" s="1"/>
  <c r="AG536" i="33"/>
  <c r="AE524" i="33"/>
  <c r="AD539" i="33"/>
  <c r="AD605" i="33" s="1" a="1"/>
  <c r="AD605" i="33" s="1"/>
  <c r="AE373" i="33"/>
  <c r="AF373" i="33" s="1"/>
  <c r="AG373" i="33" s="1"/>
  <c r="AE554" i="33"/>
  <c r="AE561" i="33"/>
  <c r="AE476" i="33"/>
  <c r="AF476" i="33" s="1"/>
  <c r="AG476" i="33" s="1"/>
  <c r="AE349" i="33"/>
  <c r="AD364" i="33"/>
  <c r="AD590" i="33" s="1" a="1"/>
  <c r="AD590" i="33" s="1"/>
  <c r="AG531" i="33"/>
  <c r="AE478" i="33"/>
  <c r="AF478" i="33" s="1"/>
  <c r="AG478" i="33" s="1"/>
  <c r="AG538" i="33"/>
  <c r="AE376" i="33"/>
  <c r="AF376" i="33" s="1"/>
  <c r="AG376" i="33" s="1"/>
  <c r="AE515" i="33"/>
  <c r="AF515" i="33" s="1"/>
  <c r="AG515" i="33" s="1"/>
  <c r="AE353" i="33"/>
  <c r="AF353" i="33" s="1"/>
  <c r="AG353" i="33" s="1"/>
  <c r="AD384" i="33"/>
  <c r="AD591" i="33" s="1" a="1"/>
  <c r="AD591" i="33" s="1"/>
  <c r="AD562" i="33"/>
  <c r="AD607" i="33" s="1" a="1"/>
  <c r="AD607" i="33" s="1"/>
  <c r="AG528" i="33"/>
  <c r="AE381" i="33"/>
  <c r="AF381" i="33" s="1"/>
  <c r="AG381" i="33" s="1"/>
  <c r="AH381" i="33" s="1"/>
  <c r="AE392" i="33"/>
  <c r="AF392" i="33" s="1"/>
  <c r="AG392" i="33" s="1"/>
  <c r="AE502" i="33"/>
  <c r="AD517" i="33"/>
  <c r="AD600" i="33" s="1" a="1"/>
  <c r="AD600" i="33" s="1"/>
  <c r="AE383" i="33"/>
  <c r="AF383" i="33" s="1"/>
  <c r="AG383" i="33" s="1"/>
  <c r="AH383" i="33" s="1"/>
  <c r="AE356" i="33"/>
  <c r="AF356" i="33" s="1"/>
  <c r="AE369" i="33"/>
  <c r="AE547" i="33"/>
  <c r="AD460" i="33"/>
  <c r="AD596" i="33" s="1" a="1"/>
  <c r="AD596" i="33" s="1"/>
  <c r="AE514" i="33"/>
  <c r="AF514" i="33" s="1"/>
  <c r="AG514" i="33" s="1"/>
  <c r="AD441" i="33"/>
  <c r="AD595" i="33" s="1" a="1"/>
  <c r="AD595" i="33" s="1"/>
  <c r="AD422" i="33"/>
  <c r="AD593" i="33" s="1" a="1"/>
  <c r="AD593" i="33" s="1"/>
  <c r="AE407" i="33"/>
  <c r="AE497" i="33"/>
  <c r="AF497" i="33" s="1"/>
  <c r="AG497" i="33" s="1"/>
  <c r="AH497" i="33" s="1"/>
  <c r="AE516" i="33"/>
  <c r="AF516" i="33" s="1"/>
  <c r="AG516" i="33" s="1"/>
  <c r="AE509" i="33"/>
  <c r="AF509" i="33" s="1"/>
  <c r="AG509" i="33" s="1"/>
  <c r="AE401" i="33"/>
  <c r="AF401" i="33" s="1"/>
  <c r="AG401" i="33" s="1"/>
  <c r="AE487" i="33"/>
  <c r="AF487" i="33" s="1"/>
  <c r="AG487" i="33" s="1"/>
  <c r="AE402" i="33"/>
  <c r="AF402" i="33" s="1"/>
  <c r="AG402" i="33" s="1"/>
  <c r="AH402" i="33" s="1"/>
  <c r="AG537" i="33"/>
  <c r="AD498" i="33"/>
  <c r="AD599" i="33" s="1" a="1"/>
  <c r="AD599" i="33" s="1"/>
  <c r="AE490" i="33"/>
  <c r="AF490" i="33" s="1"/>
  <c r="AG490" i="33" s="1"/>
  <c r="AH490" i="33" s="1"/>
  <c r="AE483" i="33"/>
  <c r="AE363" i="33"/>
  <c r="AF363" i="33" s="1"/>
  <c r="AG363" i="33" s="1"/>
  <c r="AD326" i="33"/>
  <c r="AD588" i="33" s="1" a="1"/>
  <c r="AD588" i="33" s="1"/>
  <c r="AD345" i="33"/>
  <c r="AD589" i="33" s="1" a="1"/>
  <c r="AD589" i="33" s="1"/>
  <c r="AG342" i="33"/>
  <c r="AG337" i="33"/>
  <c r="AH337" i="33" s="1"/>
  <c r="AG343" i="33"/>
  <c r="AG334" i="33"/>
  <c r="AF330" i="33"/>
  <c r="AG330" i="33" s="1"/>
  <c r="AE345" i="33"/>
  <c r="AE589" i="33" s="1" a="1"/>
  <c r="AE589" i="33" s="1"/>
  <c r="AG344" i="33"/>
  <c r="AH344" i="33" s="1"/>
  <c r="AE323" i="33"/>
  <c r="AE325" i="33"/>
  <c r="AE324" i="33"/>
  <c r="AE318" i="33"/>
  <c r="AE315" i="33"/>
  <c r="R603" i="33"/>
  <c r="S603" i="33"/>
  <c r="X603" i="33"/>
  <c r="Q603" i="33"/>
  <c r="P603" i="33"/>
  <c r="T603" i="33"/>
  <c r="AB603" i="33"/>
  <c r="V603" i="33"/>
  <c r="AC603" i="33"/>
  <c r="U603" i="33"/>
  <c r="AD28" i="33" l="1"/>
  <c r="BI28" i="28"/>
  <c r="AB624" i="33"/>
  <c r="AC624" i="33"/>
  <c r="AH376" i="33"/>
  <c r="AH373" i="33"/>
  <c r="G10" i="37"/>
  <c r="Y6" i="33"/>
  <c r="G177" i="37"/>
  <c r="AH516" i="33"/>
  <c r="AH395" i="33"/>
  <c r="AH392" i="33"/>
  <c r="AH401" i="33"/>
  <c r="AH452" i="33"/>
  <c r="AH438" i="33"/>
  <c r="AD617" i="33"/>
  <c r="AD14" i="33"/>
  <c r="AH439" i="33"/>
  <c r="AH343" i="33"/>
  <c r="AH459" i="33"/>
  <c r="AH496" i="33"/>
  <c r="AH458" i="33"/>
  <c r="AH433" i="33"/>
  <c r="AH440" i="33"/>
  <c r="AH342" i="33"/>
  <c r="AH487" i="33"/>
  <c r="AH430" i="33"/>
  <c r="AH495" i="33"/>
  <c r="AH449" i="33"/>
  <c r="AH334" i="33"/>
  <c r="AH382" i="33"/>
  <c r="AH476" i="33"/>
  <c r="AH538" i="33"/>
  <c r="AH478" i="33"/>
  <c r="AH353" i="33"/>
  <c r="AH537" i="33"/>
  <c r="AH515" i="33"/>
  <c r="AH361" i="33"/>
  <c r="AH363" i="33"/>
  <c r="AH509" i="33"/>
  <c r="AH528" i="33"/>
  <c r="AH531" i="33"/>
  <c r="AH536" i="33"/>
  <c r="AH362" i="33"/>
  <c r="AH506" i="33"/>
  <c r="AH514" i="33"/>
  <c r="AI262" i="33"/>
  <c r="AH477" i="33"/>
  <c r="AH468" i="33"/>
  <c r="AI260" i="33"/>
  <c r="AI414" i="33" s="1"/>
  <c r="AJ253" i="33"/>
  <c r="H10" i="38"/>
  <c r="H22" i="38" s="1"/>
  <c r="AI259" i="33"/>
  <c r="AI267" i="33"/>
  <c r="AI264" i="33"/>
  <c r="AI256" i="33"/>
  <c r="AI257" i="33"/>
  <c r="AI381" i="33" s="1"/>
  <c r="AI265" i="33"/>
  <c r="AI263" i="33"/>
  <c r="AI266" i="33"/>
  <c r="AI258" i="33"/>
  <c r="AI255" i="33"/>
  <c r="AI270" i="33"/>
  <c r="AI261" i="33"/>
  <c r="AF560" i="33"/>
  <c r="AF554" i="33"/>
  <c r="AE584" i="33"/>
  <c r="AG271" i="33"/>
  <c r="AG559" i="33" s="1"/>
  <c r="AF573" i="33"/>
  <c r="AF582" i="33"/>
  <c r="AF576" i="33"/>
  <c r="AF583" i="33"/>
  <c r="AF581" i="33"/>
  <c r="AF569" i="33"/>
  <c r="AF561" i="33"/>
  <c r="AF551" i="33"/>
  <c r="AG22" i="33"/>
  <c r="AE403" i="33"/>
  <c r="AE592" i="33" s="1" a="1"/>
  <c r="AE592" i="33" s="1"/>
  <c r="AE460" i="33"/>
  <c r="AE596" i="33" s="1" a="1"/>
  <c r="AE596" i="33" s="1"/>
  <c r="AD307" i="33"/>
  <c r="AF315" i="33"/>
  <c r="AF296" i="33" s="1"/>
  <c r="AE296" i="33"/>
  <c r="AE612" i="33" s="1"/>
  <c r="AE15" i="33" s="1"/>
  <c r="F388" i="38" s="1"/>
  <c r="AT28" i="28" s="1"/>
  <c r="AE292" i="33"/>
  <c r="AE611" i="33" s="1"/>
  <c r="AE441" i="33"/>
  <c r="AE595" i="33" s="1" a="1"/>
  <c r="AE595" i="33" s="1"/>
  <c r="AF323" i="33"/>
  <c r="AF304" i="33" s="1"/>
  <c r="AF615" i="33" s="1"/>
  <c r="AF18" i="33" s="1"/>
  <c r="AE304" i="33"/>
  <c r="AE615" i="33" s="1"/>
  <c r="AE18" i="33" s="1"/>
  <c r="AF318" i="33"/>
  <c r="AF299" i="33" s="1"/>
  <c r="AE299" i="33"/>
  <c r="AE613" i="33" s="1"/>
  <c r="AE16" i="33" s="1"/>
  <c r="AF324" i="33"/>
  <c r="AF305" i="33" s="1"/>
  <c r="AF616" i="33" s="1"/>
  <c r="AF19" i="33" s="1"/>
  <c r="AE305" i="33"/>
  <c r="AE616" i="33" s="1"/>
  <c r="AE19" i="33" s="1"/>
  <c r="AF325" i="33"/>
  <c r="AF306" i="33" s="1"/>
  <c r="AF614" i="33" s="1"/>
  <c r="AF17" i="33" s="1"/>
  <c r="AE306" i="33"/>
  <c r="AE614" i="33" s="1"/>
  <c r="AE17" i="33" s="1"/>
  <c r="AG445" i="33"/>
  <c r="AF460" i="33"/>
  <c r="AF596" i="33" s="1" a="1"/>
  <c r="AF596" i="33" s="1"/>
  <c r="AF502" i="33"/>
  <c r="AE517" i="33"/>
  <c r="AE600" i="33" s="1" a="1"/>
  <c r="AE600" i="33" s="1"/>
  <c r="AF441" i="33"/>
  <c r="AF595" i="33" s="1" a="1"/>
  <c r="AF595" i="33" s="1"/>
  <c r="AF547" i="33"/>
  <c r="AE562" i="33"/>
  <c r="AE607" i="33" s="1" a="1"/>
  <c r="AE607" i="33" s="1"/>
  <c r="AF407" i="33"/>
  <c r="AE422" i="33"/>
  <c r="AE593" i="33" s="1" a="1"/>
  <c r="AE593" i="33" s="1"/>
  <c r="AE384" i="33"/>
  <c r="AE591" i="33" s="1" a="1"/>
  <c r="AE591" i="33" s="1"/>
  <c r="AF369" i="33"/>
  <c r="AF524" i="33"/>
  <c r="AE539" i="33"/>
  <c r="AE605" i="33" s="1" a="1"/>
  <c r="AE605" i="33" s="1"/>
  <c r="AF464" i="33"/>
  <c r="AE479" i="33"/>
  <c r="AE597" i="33" s="1" a="1"/>
  <c r="AE597" i="33" s="1"/>
  <c r="AD602" i="33"/>
  <c r="AD610" i="33" s="1"/>
  <c r="AG356" i="33"/>
  <c r="AH356" i="33" s="1"/>
  <c r="AE364" i="33"/>
  <c r="AE590" i="33" s="1" a="1"/>
  <c r="AE590" i="33" s="1"/>
  <c r="AF349" i="33"/>
  <c r="AG349" i="33" s="1"/>
  <c r="AF388" i="33"/>
  <c r="AF403" i="33" s="1"/>
  <c r="AF592" i="33" s="1" a="1"/>
  <c r="AF592" i="33" s="1"/>
  <c r="AF483" i="33"/>
  <c r="AE498" i="33"/>
  <c r="AE599" i="33" s="1" a="1"/>
  <c r="AE599" i="33" s="1"/>
  <c r="AH426" i="33"/>
  <c r="AG441" i="33"/>
  <c r="AG595" i="33" s="1" a="1"/>
  <c r="AG595" i="33" s="1"/>
  <c r="AH330" i="33"/>
  <c r="AG345" i="33"/>
  <c r="AG589" i="33" s="1" a="1"/>
  <c r="AG589" i="33" s="1"/>
  <c r="AF345" i="33"/>
  <c r="AF589" i="33" s="1" a="1"/>
  <c r="AF589" i="33" s="1"/>
  <c r="AF311" i="33"/>
  <c r="AE326" i="33"/>
  <c r="AE588" i="33" s="1" a="1"/>
  <c r="AE588" i="33" s="1"/>
  <c r="AH254" i="33"/>
  <c r="AI254" i="33" s="1"/>
  <c r="EV28" i="28" l="1" a="1"/>
  <c r="EV28" i="28" s="1"/>
  <c r="BJ28" i="28"/>
  <c r="AD20" i="33"/>
  <c r="BP9" i="37" a="1"/>
  <c r="E392" i="38"/>
  <c r="AS32" i="28" s="1"/>
  <c r="E391" i="38"/>
  <c r="AS31" i="28" s="1"/>
  <c r="AE28" i="33"/>
  <c r="AF28" i="33" s="1"/>
  <c r="AF613" i="33"/>
  <c r="G121" i="37"/>
  <c r="AF612" i="33"/>
  <c r="AF15" i="33" s="1"/>
  <c r="G388" i="38" s="1"/>
  <c r="AU28" i="28" s="1"/>
  <c r="AE617" i="33"/>
  <c r="AE14" i="33"/>
  <c r="AF16" i="33"/>
  <c r="AI487" i="33"/>
  <c r="E202" i="38"/>
  <c r="E201" i="38"/>
  <c r="E204" i="38"/>
  <c r="E206" i="38"/>
  <c r="E203" i="38"/>
  <c r="AI356" i="33"/>
  <c r="AI468" i="33"/>
  <c r="AI478" i="33"/>
  <c r="AI477" i="33"/>
  <c r="AJ262" i="33"/>
  <c r="AI471" i="33"/>
  <c r="AI476" i="33"/>
  <c r="AJ265" i="33"/>
  <c r="AJ259" i="33"/>
  <c r="AJ261" i="33"/>
  <c r="AJ270" i="33"/>
  <c r="AJ257" i="33"/>
  <c r="AJ381" i="33" s="1"/>
  <c r="AJ255" i="33"/>
  <c r="AJ256" i="33"/>
  <c r="AJ258" i="33"/>
  <c r="AJ266" i="33"/>
  <c r="AJ264" i="33"/>
  <c r="AJ263" i="33"/>
  <c r="AJ267" i="33"/>
  <c r="AI361" i="33"/>
  <c r="AI496" i="33"/>
  <c r="AI395" i="33"/>
  <c r="AI400" i="33"/>
  <c r="AI419" i="33"/>
  <c r="AG551" i="33"/>
  <c r="AI363" i="33"/>
  <c r="AI402" i="33"/>
  <c r="AI411" i="33"/>
  <c r="AI420" i="33"/>
  <c r="AI495" i="33"/>
  <c r="AI421" i="33"/>
  <c r="AI362" i="33"/>
  <c r="AI392" i="33"/>
  <c r="AJ260" i="33"/>
  <c r="AJ414" i="33" s="1"/>
  <c r="AI344" i="33"/>
  <c r="AI440" i="33"/>
  <c r="AI514" i="33"/>
  <c r="AI376" i="33"/>
  <c r="AI459" i="33"/>
  <c r="AI438" i="33"/>
  <c r="AI457" i="33"/>
  <c r="AI452" i="33"/>
  <c r="AI449" i="33"/>
  <c r="AI342" i="33"/>
  <c r="AI515" i="33"/>
  <c r="AI353" i="33"/>
  <c r="AI382" i="33"/>
  <c r="AI439" i="33"/>
  <c r="AI531" i="33"/>
  <c r="AI537" i="33"/>
  <c r="AI383" i="33"/>
  <c r="AI497" i="33"/>
  <c r="AI528" i="33"/>
  <c r="AI430" i="33"/>
  <c r="AI337" i="33"/>
  <c r="AI433" i="33"/>
  <c r="AI490" i="33"/>
  <c r="AI509" i="33"/>
  <c r="AI373" i="33"/>
  <c r="AI343" i="33"/>
  <c r="AI506" i="33"/>
  <c r="AI334" i="33"/>
  <c r="AI536" i="33"/>
  <c r="AI538" i="33"/>
  <c r="AI401" i="33"/>
  <c r="AI458" i="33"/>
  <c r="AK253" i="33"/>
  <c r="I10" i="38"/>
  <c r="I22" i="38" s="1"/>
  <c r="AI516" i="33"/>
  <c r="AD6" i="33"/>
  <c r="E966" i="51" s="1"/>
  <c r="AD609" i="33"/>
  <c r="AG561" i="33"/>
  <c r="AG554" i="33"/>
  <c r="AG560" i="33"/>
  <c r="AF584" i="33"/>
  <c r="AH271" i="33"/>
  <c r="AG573" i="33"/>
  <c r="AG582" i="33"/>
  <c r="AG576" i="33"/>
  <c r="AG583" i="33"/>
  <c r="AG581" i="33"/>
  <c r="AG569" i="33"/>
  <c r="AH22" i="33"/>
  <c r="AD623" i="33"/>
  <c r="AG315" i="33"/>
  <c r="AG296" i="33" s="1"/>
  <c r="AG318" i="33"/>
  <c r="AG299" i="33" s="1"/>
  <c r="AG613" i="33" s="1"/>
  <c r="AG325" i="33"/>
  <c r="AG306" i="33" s="1"/>
  <c r="AG324" i="33"/>
  <c r="AG305" i="33" s="1"/>
  <c r="AG311" i="33"/>
  <c r="AH311" i="33" s="1"/>
  <c r="AF292" i="33"/>
  <c r="AF611" i="33" s="1"/>
  <c r="AF14" i="33" s="1"/>
  <c r="AE307" i="33"/>
  <c r="AG323" i="33"/>
  <c r="AG304" i="33" s="1"/>
  <c r="AG615" i="33" s="1"/>
  <c r="AG18" i="33" s="1"/>
  <c r="AF479" i="33"/>
  <c r="AF597" i="33" s="1" a="1"/>
  <c r="AF597" i="33" s="1"/>
  <c r="AG464" i="33"/>
  <c r="AG364" i="33"/>
  <c r="AG590" i="33" s="1" a="1"/>
  <c r="AG590" i="33" s="1"/>
  <c r="AH349" i="33"/>
  <c r="AG502" i="33"/>
  <c r="AF517" i="33"/>
  <c r="AF600" i="33" s="1" a="1"/>
  <c r="AF600" i="33" s="1"/>
  <c r="AH441" i="33"/>
  <c r="AH595" i="33" s="1" a="1"/>
  <c r="AH595" i="33" s="1"/>
  <c r="AI426" i="33"/>
  <c r="AF364" i="33"/>
  <c r="AF590" i="33" s="1" a="1"/>
  <c r="AF590" i="33" s="1"/>
  <c r="AG460" i="33"/>
  <c r="AG596" i="33" s="1" a="1"/>
  <c r="AG596" i="33" s="1"/>
  <c r="AH445" i="33"/>
  <c r="AF422" i="33"/>
  <c r="AF593" i="33" s="1" a="1"/>
  <c r="AF593" i="33" s="1"/>
  <c r="AG407" i="33"/>
  <c r="AG483" i="33"/>
  <c r="AF498" i="33"/>
  <c r="AF599" i="33" s="1" a="1"/>
  <c r="AF599" i="33" s="1"/>
  <c r="AE602" i="33"/>
  <c r="AE610" i="33" s="1"/>
  <c r="AE609" i="33" s="1"/>
  <c r="AG547" i="33"/>
  <c r="AF562" i="33"/>
  <c r="AF607" i="33" s="1" a="1"/>
  <c r="AF607" i="33" s="1"/>
  <c r="AG388" i="33"/>
  <c r="AG403" i="33" s="1"/>
  <c r="AG592" i="33" s="1" a="1"/>
  <c r="AG592" i="33" s="1"/>
  <c r="AG524" i="33"/>
  <c r="AF539" i="33"/>
  <c r="AF605" i="33" s="1" a="1"/>
  <c r="AF605" i="33" s="1"/>
  <c r="AF384" i="33"/>
  <c r="AF591" i="33" s="1" a="1"/>
  <c r="AF591" i="33" s="1"/>
  <c r="AG369" i="33"/>
  <c r="AI330" i="33"/>
  <c r="AH345" i="33"/>
  <c r="AH589" i="33" s="1" a="1"/>
  <c r="AH589" i="33" s="1"/>
  <c r="AF326" i="33"/>
  <c r="AF588" i="33" s="1" a="1"/>
  <c r="AF588" i="33" s="1"/>
  <c r="AJ254" i="33"/>
  <c r="AG28" i="33" l="1"/>
  <c r="BR9" i="37" a="1"/>
  <c r="G392" i="38"/>
  <c r="AU32" i="28" s="1"/>
  <c r="G391" i="38"/>
  <c r="AU31" i="28" s="1"/>
  <c r="AD31" i="33"/>
  <c r="BI31" i="28"/>
  <c r="AE20" i="33"/>
  <c r="BQ9" i="37" a="1"/>
  <c r="F392" i="38"/>
  <c r="AT32" i="28" s="1"/>
  <c r="F391" i="38"/>
  <c r="AT31" i="28" s="1"/>
  <c r="AD32" i="33"/>
  <c r="BI32" i="28"/>
  <c r="BP9" i="37"/>
  <c r="EF31" i="28" s="1"/>
  <c r="EF28" i="28"/>
  <c r="E205" i="38"/>
  <c r="H570" i="38" s="1"/>
  <c r="EW28" i="28" a="1"/>
  <c r="EW28" i="28" s="1"/>
  <c r="BK28" i="28"/>
  <c r="E971" i="51"/>
  <c r="E989" i="51" a="1"/>
  <c r="E989" i="51" s="1"/>
  <c r="AG612" i="33"/>
  <c r="AG15" i="33" s="1"/>
  <c r="H388" i="38" s="1"/>
  <c r="AV28" i="28" s="1"/>
  <c r="AG614" i="33"/>
  <c r="AG17" i="33" s="1"/>
  <c r="AJ468" i="33"/>
  <c r="AG616" i="33"/>
  <c r="AG19" i="33" s="1"/>
  <c r="AF617" i="33"/>
  <c r="AG16" i="33"/>
  <c r="H177" i="37"/>
  <c r="AJ487" i="33"/>
  <c r="AJ356" i="33"/>
  <c r="AK254" i="33"/>
  <c r="E514" i="38"/>
  <c r="E500" i="38"/>
  <c r="AJ476" i="33"/>
  <c r="AF307" i="33"/>
  <c r="AF20" i="33"/>
  <c r="AJ478" i="33"/>
  <c r="AJ531" i="33"/>
  <c r="AJ515" i="33"/>
  <c r="AJ514" i="33"/>
  <c r="AJ536" i="33"/>
  <c r="AJ459" i="33"/>
  <c r="AJ430" i="33"/>
  <c r="AJ495" i="33"/>
  <c r="AJ400" i="33"/>
  <c r="AJ471" i="33"/>
  <c r="AJ477" i="33"/>
  <c r="AJ458" i="33"/>
  <c r="AJ440" i="33"/>
  <c r="AJ537" i="33"/>
  <c r="AJ538" i="33"/>
  <c r="AJ528" i="33"/>
  <c r="AJ452" i="33"/>
  <c r="AJ392" i="33"/>
  <c r="AJ433" i="33"/>
  <c r="AJ457" i="33"/>
  <c r="AJ506" i="33"/>
  <c r="AJ376" i="33"/>
  <c r="AJ401" i="33"/>
  <c r="AJ509" i="33"/>
  <c r="AJ449" i="33"/>
  <c r="AJ439" i="33"/>
  <c r="AJ516" i="33"/>
  <c r="AJ343" i="33"/>
  <c r="AJ395" i="33"/>
  <c r="AJ373" i="33"/>
  <c r="AJ383" i="33"/>
  <c r="AJ402" i="33"/>
  <c r="AJ438" i="33"/>
  <c r="AJ382" i="33"/>
  <c r="AJ353" i="33"/>
  <c r="AJ334" i="33"/>
  <c r="AJ342" i="33"/>
  <c r="AJ344" i="33"/>
  <c r="AJ497" i="33"/>
  <c r="AJ490" i="33"/>
  <c r="AJ496" i="33"/>
  <c r="AJ363" i="33"/>
  <c r="AJ361" i="33"/>
  <c r="AJ337" i="33"/>
  <c r="AJ362" i="33"/>
  <c r="AJ421" i="33"/>
  <c r="AJ419" i="33"/>
  <c r="AJ420" i="33"/>
  <c r="AJ411" i="33"/>
  <c r="H10" i="37"/>
  <c r="AL253" i="33"/>
  <c r="J10" i="38"/>
  <c r="J22" i="38" s="1"/>
  <c r="AK267" i="33"/>
  <c r="AK257" i="33"/>
  <c r="AK259" i="33"/>
  <c r="AK263" i="33"/>
  <c r="AK265" i="33"/>
  <c r="AK264" i="33"/>
  <c r="AK266" i="33"/>
  <c r="AL266" i="33" s="1"/>
  <c r="AK260" i="33"/>
  <c r="AK270" i="33"/>
  <c r="AK258" i="33"/>
  <c r="AK256" i="33"/>
  <c r="AK262" i="33"/>
  <c r="AK261" i="33"/>
  <c r="AK255" i="33"/>
  <c r="AH554" i="33"/>
  <c r="AE6" i="33"/>
  <c r="F966" i="51" s="1"/>
  <c r="AE623" i="33"/>
  <c r="AH561" i="33"/>
  <c r="AH559" i="33"/>
  <c r="AG584" i="33"/>
  <c r="AH551" i="33"/>
  <c r="AH560" i="33"/>
  <c r="AI271" i="33"/>
  <c r="AH576" i="33"/>
  <c r="AH582" i="33"/>
  <c r="AH569" i="33"/>
  <c r="AH581" i="33"/>
  <c r="AH583" i="33"/>
  <c r="AH573" i="33"/>
  <c r="AD11" i="33"/>
  <c r="AD633" i="33"/>
  <c r="AD634" i="33" s="1"/>
  <c r="AD624" i="33"/>
  <c r="AI22" i="33"/>
  <c r="AH315" i="33"/>
  <c r="AI315" i="33" s="1"/>
  <c r="AI296" i="33" s="1"/>
  <c r="AH318" i="33"/>
  <c r="AH299" i="33" s="1"/>
  <c r="AH325" i="33"/>
  <c r="AI325" i="33" s="1"/>
  <c r="AI306" i="33" s="1"/>
  <c r="AH324" i="33"/>
  <c r="AI324" i="33" s="1"/>
  <c r="AH323" i="33"/>
  <c r="AI323" i="33" s="1"/>
  <c r="AF602" i="33"/>
  <c r="AF610" i="33" s="1"/>
  <c r="AF609" i="33" s="1"/>
  <c r="AI311" i="33"/>
  <c r="AJ311" i="33" s="1"/>
  <c r="AG292" i="33"/>
  <c r="AG611" i="33" s="1"/>
  <c r="AG14" i="33" s="1"/>
  <c r="AG326" i="33"/>
  <c r="AG588" i="33" s="1" a="1"/>
  <c r="AG588" i="33" s="1"/>
  <c r="AH524" i="33"/>
  <c r="AG539" i="33"/>
  <c r="AG605" i="33" s="1" a="1"/>
  <c r="AG605" i="33" s="1"/>
  <c r="AG422" i="33"/>
  <c r="AG593" i="33" s="1" a="1"/>
  <c r="AG593" i="33" s="1"/>
  <c r="AH407" i="33"/>
  <c r="AH502" i="33"/>
  <c r="AG517" i="33"/>
  <c r="AG600" i="33" s="1" a="1"/>
  <c r="AG600" i="33" s="1"/>
  <c r="AH388" i="33"/>
  <c r="AH403" i="33" s="1"/>
  <c r="AH592" i="33" s="1" a="1"/>
  <c r="AH592" i="33" s="1"/>
  <c r="AH364" i="33"/>
  <c r="AH590" i="33" s="1" a="1"/>
  <c r="AH590" i="33" s="1"/>
  <c r="AI349" i="33"/>
  <c r="AI445" i="33"/>
  <c r="AH460" i="33"/>
  <c r="AH596" i="33" s="1" a="1"/>
  <c r="AH596" i="33" s="1"/>
  <c r="AG479" i="33"/>
  <c r="AG597" i="33" s="1" a="1"/>
  <c r="AG597" i="33" s="1"/>
  <c r="AH464" i="33"/>
  <c r="AH547" i="33"/>
  <c r="AG562" i="33"/>
  <c r="AG607" i="33" s="1" a="1"/>
  <c r="AG607" i="33" s="1"/>
  <c r="AG384" i="33"/>
  <c r="AG591" i="33" s="1" a="1"/>
  <c r="AG591" i="33" s="1"/>
  <c r="AH369" i="33"/>
  <c r="AJ426" i="33"/>
  <c r="AI441" i="33"/>
  <c r="AI595" i="33" s="1" a="1"/>
  <c r="AI595" i="33" s="1"/>
  <c r="AH483" i="33"/>
  <c r="AG498" i="33"/>
  <c r="AG599" i="33" s="1" a="1"/>
  <c r="AG599" i="33" s="1"/>
  <c r="AI345" i="33"/>
  <c r="AI589" i="33" s="1" a="1"/>
  <c r="AI589" i="33" s="1"/>
  <c r="AJ330" i="33"/>
  <c r="AL254" i="33"/>
  <c r="F201" i="38" l="1"/>
  <c r="EX28" i="28" a="1"/>
  <c r="EX28" i="28" s="1"/>
  <c r="BL28" i="28"/>
  <c r="F205" i="38"/>
  <c r="AE31" i="33"/>
  <c r="AF31" i="33" s="1"/>
  <c r="F203" i="38"/>
  <c r="AE32" i="33"/>
  <c r="AF32" i="33" s="1"/>
  <c r="AG32" i="33" s="1"/>
  <c r="BS9" i="37" a="1"/>
  <c r="H392" i="38"/>
  <c r="AV32" i="28" s="1"/>
  <c r="H391" i="38"/>
  <c r="AV31" i="28" s="1"/>
  <c r="F202" i="38"/>
  <c r="F204" i="38"/>
  <c r="F514" i="38" s="1"/>
  <c r="F206" i="38"/>
  <c r="BQ9" i="37"/>
  <c r="EG31" i="28" s="1"/>
  <c r="EG28" i="28"/>
  <c r="BR9" i="37"/>
  <c r="EH31" i="28" s="1"/>
  <c r="EH28" i="28"/>
  <c r="EV32" i="28"/>
  <c r="BJ32" i="28"/>
  <c r="EV31" i="28"/>
  <c r="BJ31" i="28"/>
  <c r="H121" i="37"/>
  <c r="E507" i="38"/>
  <c r="AK471" i="33"/>
  <c r="AH613" i="33"/>
  <c r="AH16" i="33" s="1"/>
  <c r="AG617" i="33"/>
  <c r="I177" i="37"/>
  <c r="C133" i="38" a="1"/>
  <c r="G201" i="38"/>
  <c r="G206" i="38"/>
  <c r="G205" i="38"/>
  <c r="G204" i="38"/>
  <c r="I570" i="38"/>
  <c r="AG307" i="33"/>
  <c r="G202" i="38"/>
  <c r="G203" i="38"/>
  <c r="AK376" i="33"/>
  <c r="H9" i="37"/>
  <c r="AL255" i="33"/>
  <c r="AK497" i="33"/>
  <c r="AL261" i="33"/>
  <c r="AL265" i="33"/>
  <c r="AK478" i="33"/>
  <c r="AL263" i="33"/>
  <c r="AK344" i="33"/>
  <c r="AL258" i="33"/>
  <c r="AL270" i="33"/>
  <c r="AL267" i="33"/>
  <c r="AK528" i="33"/>
  <c r="AK452" i="33"/>
  <c r="AK490" i="33"/>
  <c r="AK337" i="33"/>
  <c r="AK537" i="33"/>
  <c r="AK373" i="33"/>
  <c r="AK538" i="33"/>
  <c r="AL538" i="33" s="1"/>
  <c r="AK440" i="33"/>
  <c r="I10" i="37"/>
  <c r="I121" i="37" s="1"/>
  <c r="AK459" i="33"/>
  <c r="AL256" i="33"/>
  <c r="AK361" i="33"/>
  <c r="AK362" i="33"/>
  <c r="AK356" i="33"/>
  <c r="AK363" i="33"/>
  <c r="AK514" i="33"/>
  <c r="AK457" i="33"/>
  <c r="AL257" i="33"/>
  <c r="AK381" i="33"/>
  <c r="AK515" i="33"/>
  <c r="AK439" i="33"/>
  <c r="AK449" i="33"/>
  <c r="AK334" i="33"/>
  <c r="AK382" i="33"/>
  <c r="AK531" i="33"/>
  <c r="AK430" i="33"/>
  <c r="AK383" i="33"/>
  <c r="AL259" i="33"/>
  <c r="AK395" i="33"/>
  <c r="AK400" i="33"/>
  <c r="AK392" i="33"/>
  <c r="AK402" i="33"/>
  <c r="AM253" i="33"/>
  <c r="K10" i="38"/>
  <c r="K22" i="38" s="1"/>
  <c r="AK509" i="33"/>
  <c r="AK438" i="33"/>
  <c r="AK353" i="33"/>
  <c r="AK433" i="33"/>
  <c r="AK343" i="33"/>
  <c r="AK506" i="33"/>
  <c r="AK342" i="33"/>
  <c r="AK516" i="33"/>
  <c r="AL262" i="33"/>
  <c r="AK476" i="33"/>
  <c r="AK468" i="33"/>
  <c r="AK477" i="33"/>
  <c r="AL260" i="33"/>
  <c r="AK419" i="33"/>
  <c r="AK420" i="33"/>
  <c r="AK421" i="33"/>
  <c r="AK414" i="33"/>
  <c r="AK411" i="33"/>
  <c r="AL264" i="33"/>
  <c r="AK487" i="33"/>
  <c r="AK496" i="33"/>
  <c r="AK495" i="33"/>
  <c r="AK401" i="33"/>
  <c r="AK458" i="33"/>
  <c r="AK536" i="33"/>
  <c r="AF6" i="33"/>
  <c r="G966" i="51" s="1"/>
  <c r="AF623" i="33"/>
  <c r="AI561" i="33"/>
  <c r="AI614" i="33" s="1"/>
  <c r="AI17" i="33" s="1"/>
  <c r="AI559" i="33"/>
  <c r="AH584" i="33"/>
  <c r="AJ271" i="33"/>
  <c r="AI582" i="33"/>
  <c r="AI569" i="33"/>
  <c r="AI581" i="33"/>
  <c r="AI573" i="33"/>
  <c r="AI583" i="33"/>
  <c r="AI576" i="33"/>
  <c r="AI560" i="33"/>
  <c r="AI551" i="33"/>
  <c r="AI612" i="33" s="1"/>
  <c r="AI554" i="33"/>
  <c r="AE633" i="33"/>
  <c r="AE634" i="33" s="1"/>
  <c r="AE624" i="33"/>
  <c r="AJ22" i="33"/>
  <c r="AH296" i="33"/>
  <c r="AH612" i="33" s="1"/>
  <c r="AI318" i="33"/>
  <c r="AI299" i="33" s="1"/>
  <c r="AH306" i="33"/>
  <c r="AH614" i="33" s="1"/>
  <c r="AH17" i="33" s="1"/>
  <c r="AH326" i="33"/>
  <c r="AH588" i="33" s="1" a="1"/>
  <c r="AH588" i="33" s="1"/>
  <c r="AI304" i="33"/>
  <c r="AJ323" i="33"/>
  <c r="AK323" i="33" s="1"/>
  <c r="AH304" i="33"/>
  <c r="AH615" i="33" s="1"/>
  <c r="AH18" i="33" s="1"/>
  <c r="AI305" i="33"/>
  <c r="AJ324" i="33"/>
  <c r="AJ305" i="33" s="1"/>
  <c r="AH305" i="33"/>
  <c r="AH616" i="33" s="1"/>
  <c r="AH19" i="33" s="1"/>
  <c r="AJ315" i="33"/>
  <c r="AJ296" i="33" s="1"/>
  <c r="AH292" i="33"/>
  <c r="AH611" i="33" s="1"/>
  <c r="AH14" i="33" s="1"/>
  <c r="AJ325" i="33"/>
  <c r="AJ306" i="33" s="1"/>
  <c r="AK311" i="33"/>
  <c r="AL311" i="33" s="1"/>
  <c r="AG602" i="33"/>
  <c r="AG610" i="33" s="1"/>
  <c r="AG609" i="33" s="1"/>
  <c r="AI502" i="33"/>
  <c r="AH517" i="33"/>
  <c r="AH600" i="33" s="1" a="1"/>
  <c r="AH600" i="33" s="1"/>
  <c r="AK426" i="33"/>
  <c r="AJ441" i="33"/>
  <c r="AJ595" i="33" s="1" a="1"/>
  <c r="AJ595" i="33" s="1"/>
  <c r="AH422" i="33"/>
  <c r="AH593" i="33" s="1" a="1"/>
  <c r="AH593" i="33" s="1"/>
  <c r="AI407" i="33"/>
  <c r="AI369" i="33"/>
  <c r="AH384" i="33"/>
  <c r="AH591" i="33" s="1" a="1"/>
  <c r="AH591" i="33" s="1"/>
  <c r="AJ445" i="33"/>
  <c r="AI460" i="33"/>
  <c r="AI596" i="33" s="1" a="1"/>
  <c r="AI596" i="33" s="1"/>
  <c r="AJ349" i="33"/>
  <c r="AI364" i="33"/>
  <c r="AI590" i="33" s="1" a="1"/>
  <c r="AI590" i="33" s="1"/>
  <c r="AI524" i="33"/>
  <c r="AH539" i="33"/>
  <c r="AH605" i="33" s="1" a="1"/>
  <c r="AH605" i="33" s="1"/>
  <c r="AH562" i="33"/>
  <c r="AH607" i="33" s="1" a="1"/>
  <c r="AH607" i="33" s="1"/>
  <c r="AI547" i="33"/>
  <c r="AI388" i="33"/>
  <c r="AI403" i="33" s="1"/>
  <c r="AI592" i="33" s="1" a="1"/>
  <c r="AI592" i="33" s="1"/>
  <c r="AI483" i="33"/>
  <c r="AH498" i="33"/>
  <c r="AH599" i="33" s="1" a="1"/>
  <c r="AH599" i="33" s="1"/>
  <c r="AI464" i="33"/>
  <c r="AH479" i="33"/>
  <c r="AH597" i="33" s="1" a="1"/>
  <c r="AH597" i="33" s="1"/>
  <c r="AJ345" i="33"/>
  <c r="AJ589" i="33" s="1" a="1"/>
  <c r="AJ589" i="33" s="1"/>
  <c r="AK330" i="33"/>
  <c r="BS9" i="37" l="1"/>
  <c r="EI31" i="28" s="1"/>
  <c r="EI28" i="28"/>
  <c r="EW31" i="28"/>
  <c r="BK31" i="28"/>
  <c r="EY28" i="28" a="1"/>
  <c r="EY28" i="28" s="1"/>
  <c r="AH32" i="33"/>
  <c r="I392" i="38"/>
  <c r="AW32" i="28" s="1"/>
  <c r="I391" i="38"/>
  <c r="AW31" i="28" s="1"/>
  <c r="F500" i="38"/>
  <c r="E638" i="38" s="1"/>
  <c r="I721" i="37" s="1" a="1"/>
  <c r="I721" i="37" s="1"/>
  <c r="I716" i="37" s="1"/>
  <c r="I715" i="37" s="1"/>
  <c r="EW32" i="28"/>
  <c r="BK32" i="28"/>
  <c r="AG31" i="33"/>
  <c r="G971" i="51"/>
  <c r="I989" i="51" a="1"/>
  <c r="I989" i="51" s="1"/>
  <c r="AI616" i="33"/>
  <c r="AI19" i="33" s="1"/>
  <c r="AI615" i="33"/>
  <c r="AI18" i="33" s="1"/>
  <c r="E637" i="38"/>
  <c r="I713" i="37" s="1" a="1"/>
  <c r="I713" i="37" s="1"/>
  <c r="I708" i="37" s="1"/>
  <c r="I707" i="37" s="1"/>
  <c r="E639" i="38"/>
  <c r="I729" i="37" s="1" a="1"/>
  <c r="I729" i="37" s="1"/>
  <c r="I724" i="37" s="1"/>
  <c r="I723" i="37" s="1"/>
  <c r="E641" i="38"/>
  <c r="I745" i="37" s="1" a="1"/>
  <c r="I745" i="37" s="1"/>
  <c r="I740" i="37" s="1"/>
  <c r="I739" i="37" s="1"/>
  <c r="F507" i="38"/>
  <c r="E636" i="38" s="1"/>
  <c r="O39" i="28"/>
  <c r="R86" i="28"/>
  <c r="P39" i="28"/>
  <c r="DZ39" i="28" s="1"/>
  <c r="EA39" i="28" s="1"/>
  <c r="Q86" i="28"/>
  <c r="Q39" i="28"/>
  <c r="P86" i="28"/>
  <c r="R39" i="28"/>
  <c r="O86" i="28"/>
  <c r="AL438" i="33"/>
  <c r="AI15" i="33"/>
  <c r="J388" i="38" s="1"/>
  <c r="AX28" i="28" s="1"/>
  <c r="AI613" i="33"/>
  <c r="AI16" i="33" s="1"/>
  <c r="AH617" i="33"/>
  <c r="AH15" i="33"/>
  <c r="C133" i="38"/>
  <c r="J177" i="37"/>
  <c r="J570" i="38"/>
  <c r="AG20" i="33"/>
  <c r="G514" i="38"/>
  <c r="G500" i="38"/>
  <c r="AL536" i="33"/>
  <c r="AL342" i="33"/>
  <c r="AL344" i="33"/>
  <c r="AL343" i="33"/>
  <c r="AL334" i="33"/>
  <c r="AL337" i="33"/>
  <c r="AL433" i="33"/>
  <c r="AL449" i="33"/>
  <c r="AL439" i="33"/>
  <c r="AL458" i="33"/>
  <c r="AL430" i="33"/>
  <c r="AL459" i="33"/>
  <c r="AL457" i="33"/>
  <c r="AL452" i="33"/>
  <c r="AL515" i="33"/>
  <c r="AL509" i="33"/>
  <c r="AL516" i="33"/>
  <c r="AL401" i="33"/>
  <c r="AL506" i="33"/>
  <c r="AL514" i="33"/>
  <c r="AL381" i="33"/>
  <c r="AL440" i="33"/>
  <c r="AL421" i="33"/>
  <c r="AL373" i="33"/>
  <c r="AL528" i="33"/>
  <c r="AL420" i="33"/>
  <c r="AM267" i="33"/>
  <c r="AL531" i="33"/>
  <c r="AL537" i="33"/>
  <c r="AL495" i="33"/>
  <c r="AL419" i="33"/>
  <c r="AM254" i="33"/>
  <c r="AM311" i="33" s="1"/>
  <c r="AL496" i="33"/>
  <c r="AM260" i="33"/>
  <c r="AM258" i="33"/>
  <c r="AK304" i="33"/>
  <c r="AL487" i="33"/>
  <c r="AL363" i="33"/>
  <c r="AM264" i="33"/>
  <c r="AL353" i="33"/>
  <c r="AL356" i="33"/>
  <c r="AM259" i="33"/>
  <c r="AL362" i="33"/>
  <c r="AL414" i="33"/>
  <c r="AM262" i="33"/>
  <c r="AL383" i="33"/>
  <c r="AL361" i="33"/>
  <c r="J10" i="37"/>
  <c r="J121" i="37" s="1"/>
  <c r="AM255" i="33"/>
  <c r="AM343" i="33" s="1"/>
  <c r="AM263" i="33"/>
  <c r="AN253" i="33"/>
  <c r="L10" i="38"/>
  <c r="L22" i="38" s="1"/>
  <c r="AM270" i="33"/>
  <c r="AL471" i="33"/>
  <c r="AL490" i="33"/>
  <c r="AM261" i="33"/>
  <c r="AM257" i="33"/>
  <c r="AM265" i="33"/>
  <c r="AL402" i="33"/>
  <c r="AL477" i="33"/>
  <c r="AM477" i="33" s="1"/>
  <c r="AL392" i="33"/>
  <c r="AL468" i="33"/>
  <c r="AL400" i="33"/>
  <c r="AL497" i="33"/>
  <c r="AM266" i="33"/>
  <c r="AL478" i="33"/>
  <c r="AL411" i="33"/>
  <c r="AL476" i="33"/>
  <c r="AM476" i="33" s="1"/>
  <c r="AL395" i="33"/>
  <c r="AL382" i="33"/>
  <c r="AM256" i="33"/>
  <c r="AL376" i="33"/>
  <c r="AG6" i="33"/>
  <c r="H966" i="51" s="1"/>
  <c r="AG623" i="33"/>
  <c r="AJ559" i="33"/>
  <c r="AJ560" i="33"/>
  <c r="AJ616" i="33" s="1"/>
  <c r="AJ19" i="33" s="1"/>
  <c r="AJ554" i="33"/>
  <c r="AJ551" i="33"/>
  <c r="AJ612" i="33" s="1"/>
  <c r="AK271" i="33"/>
  <c r="AJ581" i="33"/>
  <c r="AJ573" i="33"/>
  <c r="AJ576" i="33"/>
  <c r="AJ569" i="33"/>
  <c r="AJ583" i="33"/>
  <c r="AJ582" i="33"/>
  <c r="AI584" i="33"/>
  <c r="AJ561" i="33"/>
  <c r="AJ614" i="33" s="1"/>
  <c r="AJ17" i="33" s="1"/>
  <c r="AF633" i="33"/>
  <c r="AF634" i="33" s="1"/>
  <c r="AF624" i="33"/>
  <c r="AF11" i="33"/>
  <c r="AK22" i="33"/>
  <c r="AI326" i="33"/>
  <c r="AI588" i="33" s="1" a="1"/>
  <c r="AI588" i="33" s="1"/>
  <c r="AJ318" i="33"/>
  <c r="AJ326" i="33" s="1"/>
  <c r="AJ588" i="33" s="1" a="1"/>
  <c r="AJ588" i="33" s="1"/>
  <c r="AJ304" i="33"/>
  <c r="AH307" i="33"/>
  <c r="AL323" i="33"/>
  <c r="AK315" i="33"/>
  <c r="AK296" i="33" s="1"/>
  <c r="AK324" i="33"/>
  <c r="AK325" i="33"/>
  <c r="AK306" i="33" s="1"/>
  <c r="AI292" i="33"/>
  <c r="AI611" i="33" s="1"/>
  <c r="AI14" i="33" s="1"/>
  <c r="AH602" i="33"/>
  <c r="AH610" i="33" s="1"/>
  <c r="AH609" i="33" s="1"/>
  <c r="AJ407" i="33"/>
  <c r="AI422" i="33"/>
  <c r="AI593" i="33" s="1" a="1"/>
  <c r="AI593" i="33" s="1"/>
  <c r="AJ388" i="33"/>
  <c r="AJ403" i="33" s="1"/>
  <c r="AJ592" i="33" s="1" a="1"/>
  <c r="AJ592" i="33" s="1"/>
  <c r="AJ364" i="33"/>
  <c r="AJ590" i="33" s="1" a="1"/>
  <c r="AJ590" i="33" s="1"/>
  <c r="AK349" i="33"/>
  <c r="AK441" i="33"/>
  <c r="AK595" i="33" s="1" a="1"/>
  <c r="AK595" i="33" s="1"/>
  <c r="AL426" i="33"/>
  <c r="AI562" i="33"/>
  <c r="AI607" i="33" s="1" a="1"/>
  <c r="AI607" i="33" s="1"/>
  <c r="AJ547" i="33"/>
  <c r="AJ460" i="33"/>
  <c r="AJ596" i="33" s="1" a="1"/>
  <c r="AJ596" i="33" s="1"/>
  <c r="AK445" i="33"/>
  <c r="AI517" i="33"/>
  <c r="AI600" i="33" s="1" a="1"/>
  <c r="AI600" i="33" s="1"/>
  <c r="AJ502" i="33"/>
  <c r="AI479" i="33"/>
  <c r="AI597" i="33" s="1" a="1"/>
  <c r="AI597" i="33" s="1"/>
  <c r="AJ464" i="33"/>
  <c r="AI384" i="33"/>
  <c r="AI591" i="33" s="1" a="1"/>
  <c r="AI591" i="33" s="1"/>
  <c r="AJ369" i="33"/>
  <c r="AI539" i="33"/>
  <c r="AI605" i="33" s="1" a="1"/>
  <c r="AI605" i="33" s="1"/>
  <c r="AJ524" i="33"/>
  <c r="AJ483" i="33"/>
  <c r="AI498" i="33"/>
  <c r="AI599" i="33" s="1" a="1"/>
  <c r="AI599" i="33" s="1"/>
  <c r="AK345" i="33"/>
  <c r="AK589" i="33" s="1" a="1"/>
  <c r="AK589" i="33" s="1"/>
  <c r="AL330" i="33"/>
  <c r="AI32" i="33" l="1"/>
  <c r="EX32" i="28"/>
  <c r="BL32" i="28"/>
  <c r="BU9" i="37" a="1"/>
  <c r="J392" i="38"/>
  <c r="AX32" i="28" s="1"/>
  <c r="J391" i="38"/>
  <c r="AX31" i="28" s="1"/>
  <c r="EX31" i="28"/>
  <c r="BL31" i="28"/>
  <c r="E635" i="38"/>
  <c r="I697" i="37" s="1" a="1"/>
  <c r="I697" i="37" s="1"/>
  <c r="AH31" i="33"/>
  <c r="AH20" i="33"/>
  <c r="I202" i="38" s="1"/>
  <c r="I388" i="38"/>
  <c r="AW28" i="28" s="1"/>
  <c r="E640" i="38"/>
  <c r="I737" i="37" s="1" a="1"/>
  <c r="I737" i="37" s="1"/>
  <c r="I732" i="37" s="1"/>
  <c r="I731" i="37" s="1"/>
  <c r="BT9" i="37" a="1"/>
  <c r="H971" i="51"/>
  <c r="K989" i="51" a="1"/>
  <c r="K989" i="51" s="1"/>
  <c r="AO253" i="33"/>
  <c r="M10" i="38"/>
  <c r="M22" i="38" s="1"/>
  <c r="U285" i="37"/>
  <c r="U292" i="37"/>
  <c r="R257" i="37"/>
  <c r="T292" i="37"/>
  <c r="Q264" i="37"/>
  <c r="S278" i="37"/>
  <c r="U257" i="37"/>
  <c r="R264" i="37"/>
  <c r="Q271" i="37"/>
  <c r="Q292" i="37"/>
  <c r="T271" i="37"/>
  <c r="T278" i="37"/>
  <c r="S257" i="37"/>
  <c r="R278" i="37"/>
  <c r="R285" i="37"/>
  <c r="S292" i="37"/>
  <c r="T264" i="37"/>
  <c r="U271" i="37"/>
  <c r="T285" i="37"/>
  <c r="Q257" i="37"/>
  <c r="U264" i="37"/>
  <c r="U278" i="37"/>
  <c r="T257" i="37"/>
  <c r="S271" i="37"/>
  <c r="R292" i="37"/>
  <c r="Q278" i="37"/>
  <c r="R271" i="37"/>
  <c r="Q285" i="37"/>
  <c r="S285" i="37"/>
  <c r="S264" i="37"/>
  <c r="G264" i="37"/>
  <c r="G292" i="37"/>
  <c r="G278" i="37"/>
  <c r="G257" i="37"/>
  <c r="G271" i="37"/>
  <c r="G285" i="37"/>
  <c r="AJ615" i="33"/>
  <c r="AJ18" i="33" s="1"/>
  <c r="H292" i="37"/>
  <c r="H271" i="37"/>
  <c r="H264" i="37"/>
  <c r="H257" i="37"/>
  <c r="H278" i="37"/>
  <c r="H285" i="37"/>
  <c r="I292" i="37"/>
  <c r="I285" i="37"/>
  <c r="I271" i="37"/>
  <c r="I278" i="37"/>
  <c r="I264" i="37"/>
  <c r="I257" i="37"/>
  <c r="J271" i="37"/>
  <c r="J278" i="37"/>
  <c r="J264" i="37"/>
  <c r="J285" i="37"/>
  <c r="J292" i="37"/>
  <c r="J257" i="37"/>
  <c r="K257" i="37"/>
  <c r="K292" i="37"/>
  <c r="K271" i="37"/>
  <c r="K278" i="37"/>
  <c r="K264" i="37"/>
  <c r="K285" i="37"/>
  <c r="L292" i="37"/>
  <c r="L257" i="37"/>
  <c r="L285" i="37"/>
  <c r="L264" i="37"/>
  <c r="L271" i="37"/>
  <c r="L278" i="37"/>
  <c r="M278" i="37"/>
  <c r="M264" i="37"/>
  <c r="M285" i="37"/>
  <c r="M292" i="37"/>
  <c r="M257" i="37"/>
  <c r="M271" i="37"/>
  <c r="N285" i="37"/>
  <c r="N292" i="37"/>
  <c r="N257" i="37"/>
  <c r="N271" i="37"/>
  <c r="N278" i="37"/>
  <c r="N264" i="37"/>
  <c r="O278" i="37"/>
  <c r="O285" i="37"/>
  <c r="O264" i="37"/>
  <c r="O271" i="37"/>
  <c r="O257" i="37"/>
  <c r="O292" i="37"/>
  <c r="P285" i="37"/>
  <c r="P257" i="37"/>
  <c r="P264" i="37"/>
  <c r="P278" i="37"/>
  <c r="P292" i="37"/>
  <c r="P271" i="37"/>
  <c r="I692" i="37"/>
  <c r="I691" i="37" s="1"/>
  <c r="F635" i="38"/>
  <c r="J697" i="37" s="1" a="1"/>
  <c r="J697" i="37" s="1"/>
  <c r="F637" i="38"/>
  <c r="J713" i="37" s="1" a="1"/>
  <c r="J713" i="37" s="1"/>
  <c r="F638" i="38"/>
  <c r="J721" i="37" s="1" a="1"/>
  <c r="J721" i="37" s="1"/>
  <c r="F639" i="38"/>
  <c r="J729" i="37" s="1" a="1"/>
  <c r="J729" i="37" s="1"/>
  <c r="F640" i="38"/>
  <c r="J737" i="37" s="1" a="1"/>
  <c r="J737" i="37" s="1"/>
  <c r="J732" i="37" s="1"/>
  <c r="J731" i="37" s="1"/>
  <c r="F641" i="38"/>
  <c r="J745" i="37" s="1" a="1"/>
  <c r="J745" i="37" s="1"/>
  <c r="J740" i="37" s="1"/>
  <c r="J739" i="37" s="1"/>
  <c r="AD39" i="28"/>
  <c r="AF39" i="28"/>
  <c r="AE39" i="28"/>
  <c r="AD35" i="28"/>
  <c r="AF35" i="28"/>
  <c r="AE35" i="28"/>
  <c r="AD86" i="28"/>
  <c r="AF86" i="28"/>
  <c r="AE86" i="28"/>
  <c r="G507" i="38"/>
  <c r="F636" i="38" s="1"/>
  <c r="N39" i="28"/>
  <c r="Y39" i="28" s="1" a="1"/>
  <c r="Y39" i="28" s="1"/>
  <c r="N86" i="28"/>
  <c r="Y86" i="28" s="1" a="1"/>
  <c r="Y86" i="28" s="1"/>
  <c r="Y35" i="28" a="1"/>
  <c r="Y35" i="28" s="1"/>
  <c r="AM516" i="33"/>
  <c r="AJ15" i="33"/>
  <c r="K388" i="38" s="1"/>
  <c r="AY28" i="28" s="1"/>
  <c r="K177" i="37"/>
  <c r="K176" i="37" s="1"/>
  <c r="AI617" i="33"/>
  <c r="I204" i="38"/>
  <c r="I201" i="38"/>
  <c r="I205" i="38"/>
  <c r="H202" i="38"/>
  <c r="H204" i="38"/>
  <c r="H205" i="38"/>
  <c r="H203" i="38"/>
  <c r="H206" i="38"/>
  <c r="AI307" i="33"/>
  <c r="H201" i="38"/>
  <c r="I206" i="38"/>
  <c r="I203" i="38"/>
  <c r="AM430" i="33"/>
  <c r="AM401" i="33"/>
  <c r="AM382" i="33"/>
  <c r="AN254" i="33"/>
  <c r="AM381" i="33"/>
  <c r="AM421" i="33"/>
  <c r="AM478" i="33"/>
  <c r="AN260" i="33"/>
  <c r="AO260" i="33" s="1"/>
  <c r="AM400" i="33"/>
  <c r="J9" i="37"/>
  <c r="AM457" i="33"/>
  <c r="AM433" i="33"/>
  <c r="AM531" i="33"/>
  <c r="AM383" i="33"/>
  <c r="AM495" i="33"/>
  <c r="AM487" i="33"/>
  <c r="AM497" i="33"/>
  <c r="AM468" i="33"/>
  <c r="AM509" i="33"/>
  <c r="AM490" i="33"/>
  <c r="AM496" i="33"/>
  <c r="AM395" i="33"/>
  <c r="AM392" i="33"/>
  <c r="AM334" i="33"/>
  <c r="AM342" i="33"/>
  <c r="AM411" i="33"/>
  <c r="AM419" i="33"/>
  <c r="AM376" i="33"/>
  <c r="AN266" i="33"/>
  <c r="AM402" i="33"/>
  <c r="AM506" i="33"/>
  <c r="AM414" i="33"/>
  <c r="AM420" i="33"/>
  <c r="AL304" i="33"/>
  <c r="AN256" i="33"/>
  <c r="AM471" i="33"/>
  <c r="K10" i="37"/>
  <c r="BB20" i="43" s="1"/>
  <c r="AM439" i="33"/>
  <c r="AN270" i="33"/>
  <c r="AM537" i="33"/>
  <c r="AM538" i="33"/>
  <c r="AM528" i="33"/>
  <c r="AN259" i="33"/>
  <c r="AN402" i="33" s="1"/>
  <c r="AN261" i="33"/>
  <c r="AM452" i="33"/>
  <c r="AM440" i="33"/>
  <c r="AN262" i="33"/>
  <c r="AM458" i="33"/>
  <c r="AM438" i="33"/>
  <c r="AM353" i="33"/>
  <c r="AM459" i="33"/>
  <c r="AM536" i="33"/>
  <c r="AN265" i="33"/>
  <c r="AO265" i="33" s="1"/>
  <c r="AM514" i="33"/>
  <c r="AM373" i="33"/>
  <c r="AN264" i="33"/>
  <c r="AM356" i="33"/>
  <c r="AM363" i="33"/>
  <c r="AN263" i="33"/>
  <c r="AM515" i="33"/>
  <c r="AN267" i="33"/>
  <c r="AO267" i="33" s="1"/>
  <c r="AM361" i="33"/>
  <c r="AM362" i="33"/>
  <c r="AM449" i="33"/>
  <c r="AN257" i="33"/>
  <c r="AN255" i="33"/>
  <c r="AM344" i="33"/>
  <c r="AM337" i="33"/>
  <c r="AN258" i="33"/>
  <c r="AO258" i="33" s="1"/>
  <c r="AK561" i="33"/>
  <c r="AK614" i="33" s="1"/>
  <c r="AK17" i="33" s="1"/>
  <c r="AH6" i="33"/>
  <c r="I966" i="51" s="1"/>
  <c r="AH623" i="33"/>
  <c r="AK551" i="33"/>
  <c r="AK612" i="33" s="1"/>
  <c r="AK15" i="33" s="1"/>
  <c r="L388" i="38" s="1"/>
  <c r="AZ28" i="28" s="1"/>
  <c r="AK554" i="33"/>
  <c r="AK560" i="33"/>
  <c r="AJ584" i="33"/>
  <c r="AL271" i="33"/>
  <c r="AK576" i="33"/>
  <c r="AK582" i="33"/>
  <c r="AK573" i="33"/>
  <c r="AK581" i="33"/>
  <c r="AK583" i="33"/>
  <c r="AK569" i="33"/>
  <c r="AK559" i="33"/>
  <c r="AK615" i="33" s="1"/>
  <c r="AK18" i="33" s="1"/>
  <c r="AG624" i="33"/>
  <c r="AG11" i="33"/>
  <c r="AL22" i="33"/>
  <c r="AM323" i="33"/>
  <c r="AJ299" i="33"/>
  <c r="AJ613" i="33" s="1"/>
  <c r="AJ16" i="33" s="1"/>
  <c r="AK318" i="33"/>
  <c r="AK299" i="33" s="1"/>
  <c r="AL315" i="33"/>
  <c r="AL296" i="33" s="1"/>
  <c r="AK305" i="33"/>
  <c r="AL324" i="33"/>
  <c r="AL325" i="33"/>
  <c r="AL306" i="33" s="1"/>
  <c r="AJ292" i="33"/>
  <c r="AJ611" i="33" s="1"/>
  <c r="AJ14" i="33" s="1"/>
  <c r="AI602" i="33"/>
  <c r="AI610" i="33" s="1"/>
  <c r="AI609" i="33" s="1"/>
  <c r="AK460" i="33"/>
  <c r="AK596" i="33" s="1" a="1"/>
  <c r="AK596" i="33" s="1"/>
  <c r="AL445" i="33"/>
  <c r="AK369" i="33"/>
  <c r="AJ384" i="33"/>
  <c r="AJ591" i="33" s="1" a="1"/>
  <c r="AJ591" i="33" s="1"/>
  <c r="AJ562" i="33"/>
  <c r="AJ607" i="33" s="1" a="1"/>
  <c r="AJ607" i="33" s="1"/>
  <c r="AK547" i="33"/>
  <c r="AL441" i="33"/>
  <c r="AL595" i="33" s="1" a="1"/>
  <c r="AL595" i="33" s="1"/>
  <c r="AM426" i="33"/>
  <c r="AJ498" i="33"/>
  <c r="AJ599" i="33" s="1" a="1"/>
  <c r="AJ599" i="33" s="1"/>
  <c r="AK483" i="33"/>
  <c r="AJ517" i="33"/>
  <c r="AJ600" i="33" s="1" a="1"/>
  <c r="AJ600" i="33" s="1"/>
  <c r="AK502" i="33"/>
  <c r="AJ539" i="33"/>
  <c r="AJ605" i="33" s="1" a="1"/>
  <c r="AJ605" i="33" s="1"/>
  <c r="AK524" i="33"/>
  <c r="AL349" i="33"/>
  <c r="AK364" i="33"/>
  <c r="AK590" i="33" s="1" a="1"/>
  <c r="AK590" i="33" s="1"/>
  <c r="AJ422" i="33"/>
  <c r="AJ593" i="33" s="1" a="1"/>
  <c r="AJ593" i="33" s="1"/>
  <c r="AK407" i="33"/>
  <c r="AK388" i="33"/>
  <c r="AK403" i="33" s="1"/>
  <c r="AK592" i="33" s="1" a="1"/>
  <c r="AK592" i="33" s="1"/>
  <c r="AJ479" i="33"/>
  <c r="AJ597" i="33" s="1" a="1"/>
  <c r="AJ597" i="33" s="1"/>
  <c r="AK464" i="33"/>
  <c r="AL345" i="33"/>
  <c r="AL589" i="33" s="1" a="1"/>
  <c r="AL589" i="33" s="1"/>
  <c r="AM330" i="33"/>
  <c r="K121" i="37" l="1"/>
  <c r="AO263" i="33"/>
  <c r="AH28" i="33"/>
  <c r="BM28" i="28"/>
  <c r="AO255" i="33"/>
  <c r="AO266" i="33"/>
  <c r="BT9" i="37"/>
  <c r="EJ31" i="28" s="1"/>
  <c r="EJ28" i="28"/>
  <c r="AO257" i="33"/>
  <c r="AO254" i="33"/>
  <c r="BU9" i="37"/>
  <c r="EK31" i="28" s="1"/>
  <c r="EK28" i="28"/>
  <c r="AO256" i="33"/>
  <c r="AI31" i="33"/>
  <c r="AJ31" i="33" s="1"/>
  <c r="BV9" i="37" a="1"/>
  <c r="K392" i="38"/>
  <c r="AY32" i="28" s="1"/>
  <c r="K391" i="38"/>
  <c r="AY31" i="28" s="1"/>
  <c r="AO262" i="33"/>
  <c r="AO270" i="33"/>
  <c r="BM32" i="28"/>
  <c r="EY32" i="28"/>
  <c r="EY31" i="28"/>
  <c r="BM31" i="28"/>
  <c r="AO261" i="33"/>
  <c r="BM20" i="43"/>
  <c r="CD58" i="28" s="1"/>
  <c r="I971" i="51"/>
  <c r="M989" i="51" a="1"/>
  <c r="M989" i="51" s="1"/>
  <c r="V264" i="37"/>
  <c r="V278" i="37"/>
  <c r="V285" i="37"/>
  <c r="V271" i="37"/>
  <c r="V257" i="37"/>
  <c r="V292" i="37"/>
  <c r="AP253" i="33"/>
  <c r="AP263" i="33" s="1"/>
  <c r="N10" i="38"/>
  <c r="N22" i="38" s="1"/>
  <c r="AJ292" i="37"/>
  <c r="S290" i="37"/>
  <c r="AI264" i="37"/>
  <c r="R262" i="37"/>
  <c r="AL257" i="37"/>
  <c r="U255" i="37"/>
  <c r="AJ264" i="37"/>
  <c r="S262" i="37"/>
  <c r="AL278" i="37"/>
  <c r="U276" i="37"/>
  <c r="AI278" i="37"/>
  <c r="R276" i="37"/>
  <c r="AJ278" i="37"/>
  <c r="S276" i="37"/>
  <c r="AI285" i="37"/>
  <c r="R283" i="37"/>
  <c r="AJ285" i="37"/>
  <c r="S283" i="37"/>
  <c r="AL264" i="37"/>
  <c r="U262" i="37"/>
  <c r="AJ257" i="37"/>
  <c r="S255" i="37"/>
  <c r="AH264" i="37"/>
  <c r="Q262" i="37"/>
  <c r="AH285" i="37"/>
  <c r="Q283" i="37"/>
  <c r="AH257" i="37"/>
  <c r="Q255" i="37"/>
  <c r="AK278" i="37"/>
  <c r="T276" i="37"/>
  <c r="AK292" i="37"/>
  <c r="T290" i="37"/>
  <c r="AK257" i="37"/>
  <c r="T255" i="37"/>
  <c r="AI271" i="37"/>
  <c r="R269" i="37"/>
  <c r="AK285" i="37"/>
  <c r="T283" i="37"/>
  <c r="AK271" i="37"/>
  <c r="T269" i="37"/>
  <c r="AI257" i="37"/>
  <c r="R255" i="37"/>
  <c r="AJ271" i="37"/>
  <c r="S269" i="37"/>
  <c r="AH278" i="37"/>
  <c r="Q276" i="37"/>
  <c r="AL271" i="37"/>
  <c r="U269" i="37"/>
  <c r="AH292" i="37"/>
  <c r="Q290" i="37"/>
  <c r="AL292" i="37"/>
  <c r="U290" i="37"/>
  <c r="AI292" i="37"/>
  <c r="R290" i="37"/>
  <c r="AK264" i="37"/>
  <c r="T262" i="37"/>
  <c r="AH271" i="37"/>
  <c r="Q269" i="37"/>
  <c r="AL285" i="37"/>
  <c r="U283" i="37"/>
  <c r="F285" i="37"/>
  <c r="F264" i="37"/>
  <c r="F278" i="37"/>
  <c r="F271" i="37"/>
  <c r="F292" i="37"/>
  <c r="F257" i="37"/>
  <c r="X285" i="37"/>
  <c r="G283" i="37"/>
  <c r="X271" i="37"/>
  <c r="G269" i="37"/>
  <c r="X257" i="37"/>
  <c r="G255" i="37"/>
  <c r="X278" i="37"/>
  <c r="G276" i="37"/>
  <c r="X292" i="37"/>
  <c r="G290" i="37"/>
  <c r="X264" i="37"/>
  <c r="G262" i="37"/>
  <c r="AE257" i="37"/>
  <c r="N255" i="37"/>
  <c r="N306" i="37" s="1"/>
  <c r="AG292" i="37"/>
  <c r="P290" i="37"/>
  <c r="AE285" i="37"/>
  <c r="N283" i="37"/>
  <c r="AB271" i="37"/>
  <c r="K269" i="37"/>
  <c r="K320" i="37" s="1"/>
  <c r="Y278" i="37"/>
  <c r="H276" i="37"/>
  <c r="AG278" i="37"/>
  <c r="P276" i="37"/>
  <c r="AF285" i="37"/>
  <c r="O283" i="37"/>
  <c r="AC264" i="37"/>
  <c r="L262" i="37"/>
  <c r="Y257" i="37"/>
  <c r="H255" i="37"/>
  <c r="H306" i="37" s="1"/>
  <c r="AG264" i="37"/>
  <c r="P262" i="37"/>
  <c r="AG257" i="37"/>
  <c r="P255" i="37"/>
  <c r="P306" i="37" s="1"/>
  <c r="AE264" i="37"/>
  <c r="N262" i="37"/>
  <c r="AD292" i="37"/>
  <c r="M290" i="37"/>
  <c r="AC257" i="37"/>
  <c r="L255" i="37"/>
  <c r="L306" i="37" s="1"/>
  <c r="AA257" i="37"/>
  <c r="J255" i="37"/>
  <c r="J306" i="37" s="1"/>
  <c r="Z278" i="37"/>
  <c r="I276" i="37"/>
  <c r="Y271" i="37"/>
  <c r="H269" i="37"/>
  <c r="AD278" i="37"/>
  <c r="M276" i="37"/>
  <c r="AA264" i="37"/>
  <c r="J262" i="37"/>
  <c r="J313" i="37" s="1"/>
  <c r="AG271" i="37"/>
  <c r="P269" i="37"/>
  <c r="AE292" i="37"/>
  <c r="N290" i="37"/>
  <c r="AB278" i="37"/>
  <c r="K276" i="37"/>
  <c r="K327" i="37" s="1"/>
  <c r="AA278" i="37"/>
  <c r="J276" i="37"/>
  <c r="J327" i="37" s="1"/>
  <c r="Y285" i="37"/>
  <c r="H283" i="37"/>
  <c r="AF264" i="37"/>
  <c r="O262" i="37"/>
  <c r="AC271" i="37"/>
  <c r="L269" i="37"/>
  <c r="AA271" i="37"/>
  <c r="J269" i="37"/>
  <c r="J320" i="37" s="1"/>
  <c r="AD271" i="37"/>
  <c r="M269" i="37"/>
  <c r="AB292" i="37"/>
  <c r="K290" i="37"/>
  <c r="K341" i="37" s="1"/>
  <c r="Z257" i="37"/>
  <c r="I255" i="37"/>
  <c r="I306" i="37" s="1"/>
  <c r="AC285" i="37"/>
  <c r="L283" i="37"/>
  <c r="AG285" i="37"/>
  <c r="P283" i="37"/>
  <c r="AE278" i="37"/>
  <c r="N276" i="37"/>
  <c r="AD285" i="37"/>
  <c r="M283" i="37"/>
  <c r="AC292" i="37"/>
  <c r="L290" i="37"/>
  <c r="AA292" i="37"/>
  <c r="J290" i="37"/>
  <c r="J341" i="37" s="1"/>
  <c r="Z271" i="37"/>
  <c r="I269" i="37"/>
  <c r="Y292" i="37"/>
  <c r="H290" i="37"/>
  <c r="AF257" i="37"/>
  <c r="O255" i="37"/>
  <c r="O306" i="37" s="1"/>
  <c r="AB264" i="37"/>
  <c r="K262" i="37"/>
  <c r="K313" i="37" s="1"/>
  <c r="Z292" i="37"/>
  <c r="I290" i="37"/>
  <c r="AF271" i="37"/>
  <c r="O269" i="37"/>
  <c r="AC278" i="37"/>
  <c r="L276" i="37"/>
  <c r="AF278" i="37"/>
  <c r="O276" i="37"/>
  <c r="AD257" i="37"/>
  <c r="M255" i="37"/>
  <c r="M306" i="37" s="1"/>
  <c r="AB257" i="37"/>
  <c r="K255" i="37"/>
  <c r="K306" i="37" s="1"/>
  <c r="Z264" i="37"/>
  <c r="I262" i="37"/>
  <c r="Y264" i="37"/>
  <c r="H262" i="37"/>
  <c r="AF292" i="37"/>
  <c r="O290" i="37"/>
  <c r="AE271" i="37"/>
  <c r="N269" i="37"/>
  <c r="AD264" i="37"/>
  <c r="M262" i="37"/>
  <c r="AB285" i="37"/>
  <c r="K283" i="37"/>
  <c r="K334" i="37" s="1"/>
  <c r="AA285" i="37"/>
  <c r="J283" i="37"/>
  <c r="J334" i="37" s="1"/>
  <c r="Z285" i="37"/>
  <c r="I283" i="37"/>
  <c r="J724" i="37"/>
  <c r="J723" i="37" s="1"/>
  <c r="J730" i="37" s="1"/>
  <c r="J716" i="37"/>
  <c r="J715" i="37" s="1"/>
  <c r="J722" i="37" s="1"/>
  <c r="J708" i="37"/>
  <c r="J707" i="37" s="1"/>
  <c r="J714" i="37" s="1"/>
  <c r="AV58" i="28"/>
  <c r="J692" i="37"/>
  <c r="J738" i="37"/>
  <c r="J746" i="37"/>
  <c r="AK613" i="33"/>
  <c r="AK16" i="33" s="1"/>
  <c r="L177" i="37"/>
  <c r="L176" i="37" s="1"/>
  <c r="AK616" i="33"/>
  <c r="AK19" i="33" s="1"/>
  <c r="AJ617" i="33"/>
  <c r="I514" i="38"/>
  <c r="AN311" i="33"/>
  <c r="AO311" i="33" s="1"/>
  <c r="L570" i="38"/>
  <c r="I500" i="38"/>
  <c r="AJ20" i="33"/>
  <c r="K205" i="38" s="1"/>
  <c r="H500" i="38"/>
  <c r="K570" i="38"/>
  <c r="H514" i="38"/>
  <c r="AI20" i="33"/>
  <c r="J201" i="38" s="1"/>
  <c r="AN414" i="33"/>
  <c r="AO414" i="33" s="1"/>
  <c r="AN419" i="33"/>
  <c r="AO419" i="33" s="1"/>
  <c r="AN421" i="33"/>
  <c r="AO421" i="33" s="1"/>
  <c r="AN411" i="33"/>
  <c r="AO411" i="33" s="1"/>
  <c r="AN420" i="33"/>
  <c r="AO420" i="33" s="1"/>
  <c r="AN490" i="33"/>
  <c r="AN459" i="33"/>
  <c r="AO459" i="33" s="1"/>
  <c r="AN468" i="33"/>
  <c r="AO468" i="33" s="1"/>
  <c r="AN363" i="33"/>
  <c r="AO363" i="33" s="1"/>
  <c r="AN356" i="33"/>
  <c r="AO356" i="33" s="1"/>
  <c r="AN353" i="33"/>
  <c r="AO353" i="33" s="1"/>
  <c r="AN449" i="33"/>
  <c r="AO449" i="33" s="1"/>
  <c r="AN362" i="33"/>
  <c r="AO362" i="33" s="1"/>
  <c r="AN361" i="33"/>
  <c r="AO361" i="33" s="1"/>
  <c r="K9" i="37"/>
  <c r="AN531" i="33"/>
  <c r="AO531" i="33" s="1"/>
  <c r="AN515" i="33"/>
  <c r="AO515" i="33" s="1"/>
  <c r="AN536" i="33"/>
  <c r="AO536" i="33" s="1"/>
  <c r="AN537" i="33"/>
  <c r="AO537" i="33" s="1"/>
  <c r="AN477" i="33"/>
  <c r="AO477" i="33" s="1"/>
  <c r="AN538" i="33"/>
  <c r="AO538" i="33" s="1"/>
  <c r="AN471" i="33"/>
  <c r="AO471" i="33" s="1"/>
  <c r="AN392" i="33"/>
  <c r="AN400" i="33"/>
  <c r="AN476" i="33"/>
  <c r="AO476" i="33" s="1"/>
  <c r="AM304" i="33"/>
  <c r="AN458" i="33"/>
  <c r="AO458" i="33" s="1"/>
  <c r="AN452" i="33"/>
  <c r="AO452" i="33" s="1"/>
  <c r="AN395" i="33"/>
  <c r="AM22" i="33"/>
  <c r="L10" i="37"/>
  <c r="BC20" i="43" s="1"/>
  <c r="AO264" i="33"/>
  <c r="AP264" i="33" s="1"/>
  <c r="AN495" i="33"/>
  <c r="AN487" i="33"/>
  <c r="AN496" i="33"/>
  <c r="AN342" i="33"/>
  <c r="AO342" i="33" s="1"/>
  <c r="AN343" i="33"/>
  <c r="AO343" i="33" s="1"/>
  <c r="AN506" i="33"/>
  <c r="AO506" i="33" s="1"/>
  <c r="AN337" i="33"/>
  <c r="AO337" i="33" s="1"/>
  <c r="AN376" i="33"/>
  <c r="AO376" i="33" s="1"/>
  <c r="AN373" i="33"/>
  <c r="AO373" i="33" s="1"/>
  <c r="AN433" i="33"/>
  <c r="AO433" i="33" s="1"/>
  <c r="AN497" i="33"/>
  <c r="AN334" i="33"/>
  <c r="AO334" i="33" s="1"/>
  <c r="AN344" i="33"/>
  <c r="AO344" i="33" s="1"/>
  <c r="AN514" i="33"/>
  <c r="AO514" i="33" s="1"/>
  <c r="AN382" i="33"/>
  <c r="AO382" i="33" s="1"/>
  <c r="AN457" i="33"/>
  <c r="AO457" i="33" s="1"/>
  <c r="AN439" i="33"/>
  <c r="AO439" i="33" s="1"/>
  <c r="AN509" i="33"/>
  <c r="AO509" i="33" s="1"/>
  <c r="AO259" i="33"/>
  <c r="AN401" i="33"/>
  <c r="AN478" i="33"/>
  <c r="AO478" i="33" s="1"/>
  <c r="AN438" i="33"/>
  <c r="AO438" i="33" s="1"/>
  <c r="AN516" i="33"/>
  <c r="AO516" i="33" s="1"/>
  <c r="AN383" i="33"/>
  <c r="AO383" i="33" s="1"/>
  <c r="AN430" i="33"/>
  <c r="AO430" i="33" s="1"/>
  <c r="AN440" i="33"/>
  <c r="AO440" i="33" s="1"/>
  <c r="AN528" i="33"/>
  <c r="AO528" i="33" s="1"/>
  <c r="AN381" i="33"/>
  <c r="AO381" i="33" s="1"/>
  <c r="AL561" i="33"/>
  <c r="AL614" i="33" s="1"/>
  <c r="AL17" i="33" s="1"/>
  <c r="AI6" i="33"/>
  <c r="J966" i="51" s="1"/>
  <c r="AI623" i="33"/>
  <c r="AL554" i="33"/>
  <c r="AL559" i="33"/>
  <c r="AL615" i="33" s="1"/>
  <c r="AL18" i="33" s="1"/>
  <c r="AL560" i="33"/>
  <c r="AM271" i="33"/>
  <c r="AL583" i="33"/>
  <c r="AL569" i="33"/>
  <c r="AL582" i="33"/>
  <c r="AL576" i="33"/>
  <c r="AL573" i="33"/>
  <c r="AL581" i="33"/>
  <c r="AK584" i="33"/>
  <c r="AL551" i="33"/>
  <c r="AL612" i="33" s="1"/>
  <c r="AL15" i="33" s="1"/>
  <c r="M388" i="38" s="1"/>
  <c r="BA28" i="28" s="1"/>
  <c r="AH624" i="33"/>
  <c r="AH11" i="33"/>
  <c r="AJ307" i="33"/>
  <c r="AK326" i="33"/>
  <c r="AK588" i="33" s="1" a="1"/>
  <c r="AK588" i="33" s="1"/>
  <c r="AN323" i="33"/>
  <c r="AL318" i="33"/>
  <c r="AM318" i="33" s="1"/>
  <c r="AM315" i="33"/>
  <c r="AM325" i="33"/>
  <c r="AL305" i="33"/>
  <c r="AM324" i="33"/>
  <c r="AK292" i="33"/>
  <c r="AK611" i="33" s="1"/>
  <c r="AJ602" i="33"/>
  <c r="AJ610" i="33" s="1"/>
  <c r="AJ609" i="33" s="1"/>
  <c r="AK498" i="33"/>
  <c r="AK599" i="33" s="1" a="1"/>
  <c r="AK599" i="33" s="1"/>
  <c r="AL483" i="33"/>
  <c r="AL460" i="33"/>
  <c r="AL596" i="33" s="1" a="1"/>
  <c r="AL596" i="33" s="1"/>
  <c r="AM445" i="33"/>
  <c r="AK479" i="33"/>
  <c r="AK597" i="33" s="1" a="1"/>
  <c r="AK597" i="33" s="1"/>
  <c r="AL464" i="33"/>
  <c r="AM349" i="33"/>
  <c r="AL364" i="33"/>
  <c r="AL590" i="33" s="1" a="1"/>
  <c r="AL590" i="33" s="1"/>
  <c r="AN426" i="33"/>
  <c r="AM441" i="33"/>
  <c r="AM595" i="33" s="1" a="1"/>
  <c r="AM595" i="33" s="1"/>
  <c r="AK539" i="33"/>
  <c r="AK605" i="33" s="1" a="1"/>
  <c r="AK605" i="33" s="1"/>
  <c r="AL524" i="33"/>
  <c r="AL388" i="33"/>
  <c r="AK562" i="33"/>
  <c r="AK607" i="33" s="1" a="1"/>
  <c r="AK607" i="33" s="1"/>
  <c r="AL547" i="33"/>
  <c r="AK384" i="33"/>
  <c r="AK591" i="33" s="1" a="1"/>
  <c r="AK591" i="33" s="1"/>
  <c r="AL369" i="33"/>
  <c r="AK517" i="33"/>
  <c r="AK600" i="33" s="1" a="1"/>
  <c r="AK600" i="33" s="1"/>
  <c r="AL502" i="33"/>
  <c r="AK422" i="33"/>
  <c r="AK593" i="33" s="1" a="1"/>
  <c r="AK593" i="33" s="1"/>
  <c r="AL407" i="33"/>
  <c r="AM345" i="33"/>
  <c r="AM589" i="33" s="1" a="1"/>
  <c r="AM589" i="33" s="1"/>
  <c r="AN330" i="33"/>
  <c r="AP254" i="33"/>
  <c r="EI58" i="28" l="1"/>
  <c r="L121" i="37"/>
  <c r="BN20" i="43"/>
  <c r="CE58" i="28" s="1"/>
  <c r="EJ58" i="28" s="1"/>
  <c r="BY28" i="28"/>
  <c r="AQ28" i="28"/>
  <c r="AP259" i="33"/>
  <c r="EZ31" i="28"/>
  <c r="BN31" i="28"/>
  <c r="EZ28" i="28" a="1"/>
  <c r="EZ28" i="28" s="1"/>
  <c r="BN28" i="28"/>
  <c r="AI28" i="33"/>
  <c r="AJ28" i="33" s="1"/>
  <c r="AK28" i="33" s="1"/>
  <c r="AL28" i="33" s="1"/>
  <c r="AJ32" i="33"/>
  <c r="BV9" i="37"/>
  <c r="EL31" i="28" s="1"/>
  <c r="EL28" i="28"/>
  <c r="EZ32" i="28"/>
  <c r="BN32" i="28"/>
  <c r="E955" i="51" a="1"/>
  <c r="E955" i="51" s="1"/>
  <c r="J971" i="51"/>
  <c r="O989" i="51" a="1"/>
  <c r="O989" i="51" s="1"/>
  <c r="G306" i="37"/>
  <c r="I190" i="51"/>
  <c r="J190" i="51" s="1"/>
  <c r="K190" i="51" s="1"/>
  <c r="L190" i="51" s="1"/>
  <c r="M190" i="51" s="1"/>
  <c r="N190" i="51" s="1"/>
  <c r="O190" i="51" s="1"/>
  <c r="P190" i="51" s="1"/>
  <c r="Q190" i="51" s="1"/>
  <c r="R190" i="51" s="1"/>
  <c r="S190" i="51" s="1"/>
  <c r="T190" i="51" s="1"/>
  <c r="U190" i="51" s="1"/>
  <c r="V190" i="51" s="1"/>
  <c r="W190" i="51" s="1"/>
  <c r="C152" i="48" a="1"/>
  <c r="C152" i="48" s="1"/>
  <c r="AE276" i="37"/>
  <c r="N327" i="37"/>
  <c r="AE290" i="37"/>
  <c r="N341" i="37"/>
  <c r="AD290" i="37"/>
  <c r="M341" i="37"/>
  <c r="AK262" i="37"/>
  <c r="T313" i="37"/>
  <c r="AL269" i="37"/>
  <c r="U320" i="37"/>
  <c r="AK290" i="37"/>
  <c r="T341" i="37"/>
  <c r="AJ262" i="37"/>
  <c r="S313" i="37"/>
  <c r="AF290" i="37"/>
  <c r="O341" i="37"/>
  <c r="Y269" i="37"/>
  <c r="H320" i="37"/>
  <c r="AH262" i="37"/>
  <c r="Q313" i="37"/>
  <c r="Y262" i="37"/>
  <c r="H313" i="37"/>
  <c r="AF276" i="37"/>
  <c r="O327" i="37"/>
  <c r="AG283" i="37"/>
  <c r="P334" i="37"/>
  <c r="AD269" i="37"/>
  <c r="M320" i="37"/>
  <c r="Y283" i="37"/>
  <c r="H334" i="37"/>
  <c r="AG269" i="37"/>
  <c r="P320" i="37"/>
  <c r="Z276" i="37"/>
  <c r="I327" i="37"/>
  <c r="AE262" i="37"/>
  <c r="N313" i="37"/>
  <c r="AC262" i="37"/>
  <c r="L313" i="37"/>
  <c r="X262" i="37"/>
  <c r="G313" i="37"/>
  <c r="X269" i="37"/>
  <c r="G320" i="37"/>
  <c r="AI290" i="37"/>
  <c r="R341" i="37"/>
  <c r="AH276" i="37"/>
  <c r="Q327" i="37"/>
  <c r="AK283" i="37"/>
  <c r="T334" i="37"/>
  <c r="AK276" i="37"/>
  <c r="T327" i="37"/>
  <c r="AJ255" i="37"/>
  <c r="S306" i="37"/>
  <c r="AJ276" i="37"/>
  <c r="S327" i="37"/>
  <c r="AL255" i="37"/>
  <c r="U306" i="37"/>
  <c r="Z269" i="37"/>
  <c r="I320" i="37"/>
  <c r="AK269" i="37"/>
  <c r="T320" i="37"/>
  <c r="AD262" i="37"/>
  <c r="M313" i="37"/>
  <c r="Z262" i="37"/>
  <c r="I313" i="37"/>
  <c r="AC276" i="37"/>
  <c r="L327" i="37"/>
  <c r="AC290" i="37"/>
  <c r="L341" i="37"/>
  <c r="AC283" i="37"/>
  <c r="L334" i="37"/>
  <c r="AF283" i="37"/>
  <c r="O334" i="37"/>
  <c r="AE283" i="37"/>
  <c r="N334" i="37"/>
  <c r="X290" i="37"/>
  <c r="G341" i="37"/>
  <c r="X283" i="37"/>
  <c r="G334" i="37"/>
  <c r="AL283" i="37"/>
  <c r="U334" i="37"/>
  <c r="AL290" i="37"/>
  <c r="U341" i="37"/>
  <c r="AJ269" i="37"/>
  <c r="S320" i="37"/>
  <c r="AI269" i="37"/>
  <c r="R320" i="37"/>
  <c r="AH255" i="37"/>
  <c r="Q306" i="37"/>
  <c r="AL262" i="37"/>
  <c r="U313" i="37"/>
  <c r="AI276" i="37"/>
  <c r="R327" i="37"/>
  <c r="AI262" i="37"/>
  <c r="R313" i="37"/>
  <c r="Z290" i="37"/>
  <c r="I341" i="37"/>
  <c r="AF262" i="37"/>
  <c r="O313" i="37"/>
  <c r="AI283" i="37"/>
  <c r="R334" i="37"/>
  <c r="Y276" i="37"/>
  <c r="H327" i="37"/>
  <c r="Z283" i="37"/>
  <c r="I334" i="37"/>
  <c r="AE269" i="37"/>
  <c r="N320" i="37"/>
  <c r="AF269" i="37"/>
  <c r="O320" i="37"/>
  <c r="Y290" i="37"/>
  <c r="H341" i="37"/>
  <c r="AD283" i="37"/>
  <c r="M334" i="37"/>
  <c r="AC269" i="37"/>
  <c r="L320" i="37"/>
  <c r="AD276" i="37"/>
  <c r="M327" i="37"/>
  <c r="AG262" i="37"/>
  <c r="P313" i="37"/>
  <c r="AG276" i="37"/>
  <c r="P327" i="37"/>
  <c r="AG290" i="37"/>
  <c r="P341" i="37"/>
  <c r="X276" i="37"/>
  <c r="G327" i="37"/>
  <c r="AH269" i="37"/>
  <c r="Q320" i="37"/>
  <c r="AH290" i="37"/>
  <c r="Q341" i="37"/>
  <c r="AI255" i="37"/>
  <c r="R306" i="37"/>
  <c r="AK255" i="37"/>
  <c r="T306" i="37"/>
  <c r="AH283" i="37"/>
  <c r="Q334" i="37"/>
  <c r="AJ283" i="37"/>
  <c r="S334" i="37"/>
  <c r="AL276" i="37"/>
  <c r="U327" i="37"/>
  <c r="AJ290" i="37"/>
  <c r="S341" i="37"/>
  <c r="AA283" i="37"/>
  <c r="V283" i="37"/>
  <c r="AA269" i="37"/>
  <c r="V269" i="37"/>
  <c r="AA276" i="37"/>
  <c r="V276" i="37"/>
  <c r="AA262" i="37"/>
  <c r="V262" i="37"/>
  <c r="V255" i="37"/>
  <c r="AA290" i="37"/>
  <c r="V290" i="37"/>
  <c r="AP381" i="33"/>
  <c r="AP477" i="33"/>
  <c r="AP270" i="33"/>
  <c r="AP538" i="33" s="1"/>
  <c r="AP537" i="33"/>
  <c r="AP353" i="33"/>
  <c r="AP260" i="33"/>
  <c r="AP420" i="33" s="1"/>
  <c r="AP262" i="33"/>
  <c r="AP478" i="33" s="1"/>
  <c r="AP356" i="33"/>
  <c r="AP265" i="33"/>
  <c r="AP509" i="33" s="1"/>
  <c r="AP256" i="33"/>
  <c r="AP362" i="33" s="1"/>
  <c r="AP376" i="33"/>
  <c r="AP476" i="33"/>
  <c r="AP363" i="33"/>
  <c r="AP267" i="33"/>
  <c r="AP257" i="33"/>
  <c r="AP383" i="33" s="1"/>
  <c r="AP382" i="33"/>
  <c r="AP468" i="33"/>
  <c r="AP258" i="33"/>
  <c r="AP266" i="33"/>
  <c r="AP506" i="33"/>
  <c r="AP261" i="33"/>
  <c r="AP440" i="33" s="1"/>
  <c r="AP255" i="33"/>
  <c r="AP344" i="33" s="1"/>
  <c r="AQ253" i="33"/>
  <c r="AQ264" i="33" s="1"/>
  <c r="O10" i="38"/>
  <c r="O22" i="38" s="1"/>
  <c r="AN292" i="37"/>
  <c r="AN271" i="37"/>
  <c r="AN285" i="37"/>
  <c r="AN278" i="37"/>
  <c r="AN264" i="37"/>
  <c r="AN257" i="37"/>
  <c r="AD255" i="37"/>
  <c r="X255" i="37"/>
  <c r="AF255" i="37"/>
  <c r="AA255" i="37"/>
  <c r="Y255" i="37"/>
  <c r="AE255" i="37"/>
  <c r="Z255" i="37"/>
  <c r="AC255" i="37"/>
  <c r="AG255" i="37"/>
  <c r="AB262" i="37"/>
  <c r="F262" i="37"/>
  <c r="AB290" i="37"/>
  <c r="F290" i="37"/>
  <c r="AB283" i="37"/>
  <c r="F283" i="37"/>
  <c r="AB269" i="37"/>
  <c r="F269" i="37"/>
  <c r="AB255" i="37"/>
  <c r="F255" i="37"/>
  <c r="AB276" i="37"/>
  <c r="F276" i="37"/>
  <c r="AM285" i="37"/>
  <c r="AM278" i="37"/>
  <c r="AM264" i="37"/>
  <c r="AM271" i="37"/>
  <c r="AM257" i="37"/>
  <c r="AM292" i="37"/>
  <c r="GD58" i="28"/>
  <c r="GE58" i="28"/>
  <c r="BL58" i="28"/>
  <c r="EY58" i="28" s="1" a="1"/>
  <c r="EY58" i="28" s="1"/>
  <c r="AW58" i="28"/>
  <c r="AG627" i="33"/>
  <c r="J691" i="37"/>
  <c r="J698" i="37" s="1"/>
  <c r="G635" i="38"/>
  <c r="K697" i="37" s="1" a="1"/>
  <c r="K697" i="37" s="1"/>
  <c r="G637" i="38"/>
  <c r="K713" i="37" s="1" a="1"/>
  <c r="K713" i="37" s="1"/>
  <c r="G638" i="38"/>
  <c r="K721" i="37" s="1" a="1"/>
  <c r="K721" i="37" s="1"/>
  <c r="G639" i="38"/>
  <c r="K729" i="37" s="1" a="1"/>
  <c r="K729" i="37" s="1"/>
  <c r="G640" i="38"/>
  <c r="K737" i="37" s="1" a="1"/>
  <c r="K737" i="37" s="1"/>
  <c r="G641" i="38"/>
  <c r="K745" i="37" s="1" a="1"/>
  <c r="K745" i="37" s="1"/>
  <c r="H639" i="38"/>
  <c r="L729" i="37" s="1" a="1"/>
  <c r="L729" i="37" s="1"/>
  <c r="H637" i="38"/>
  <c r="L713" i="37" s="1" a="1"/>
  <c r="L713" i="37" s="1"/>
  <c r="H635" i="38"/>
  <c r="L697" i="37" s="1" a="1"/>
  <c r="L697" i="37" s="1"/>
  <c r="H638" i="38"/>
  <c r="L721" i="37" s="1" a="1"/>
  <c r="L721" i="37" s="1"/>
  <c r="H640" i="38"/>
  <c r="L737" i="37" s="1" a="1"/>
  <c r="L737" i="37" s="1"/>
  <c r="H641" i="38"/>
  <c r="L745" i="37" s="1" a="1"/>
  <c r="L745" i="37" s="1"/>
  <c r="AL616" i="33"/>
  <c r="AL19" i="33" s="1"/>
  <c r="M177" i="37"/>
  <c r="M176" i="37" s="1"/>
  <c r="AK617" i="33"/>
  <c r="AK14" i="33"/>
  <c r="K201" i="38"/>
  <c r="J203" i="38"/>
  <c r="J202" i="38"/>
  <c r="J204" i="38"/>
  <c r="J206" i="38"/>
  <c r="J205" i="38"/>
  <c r="AK307" i="33"/>
  <c r="K203" i="38"/>
  <c r="K204" i="38"/>
  <c r="K202" i="38"/>
  <c r="K206" i="38"/>
  <c r="AO401" i="33"/>
  <c r="AP401" i="33" s="1"/>
  <c r="L9" i="37"/>
  <c r="AO402" i="33"/>
  <c r="AP402" i="33" s="1"/>
  <c r="AO497" i="33"/>
  <c r="AP497" i="33" s="1"/>
  <c r="AO496" i="33"/>
  <c r="AP496" i="33" s="1"/>
  <c r="AO395" i="33"/>
  <c r="AP395" i="33" s="1"/>
  <c r="AN304" i="33"/>
  <c r="AO487" i="33"/>
  <c r="AP487" i="33" s="1"/>
  <c r="AO495" i="33"/>
  <c r="AP495" i="33" s="1"/>
  <c r="AO400" i="33"/>
  <c r="AP400" i="33" s="1"/>
  <c r="M10" i="37"/>
  <c r="BD20" i="43" s="1"/>
  <c r="AO392" i="33"/>
  <c r="AP392" i="33" s="1"/>
  <c r="AO490" i="33"/>
  <c r="AP490" i="33" s="1"/>
  <c r="AM551" i="33"/>
  <c r="AJ6" i="33"/>
  <c r="K966" i="51" s="1"/>
  <c r="AJ623" i="33"/>
  <c r="AM560" i="33"/>
  <c r="AM559" i="33"/>
  <c r="AM615" i="33" s="1"/>
  <c r="AM18" i="33" s="1"/>
  <c r="AN271" i="33"/>
  <c r="AM569" i="33"/>
  <c r="AM573" i="33"/>
  <c r="AM582" i="33"/>
  <c r="AM583" i="33"/>
  <c r="AM581" i="33"/>
  <c r="AM576" i="33"/>
  <c r="AM554" i="33"/>
  <c r="AL584" i="33"/>
  <c r="AM561" i="33"/>
  <c r="AI624" i="33"/>
  <c r="AI11" i="33"/>
  <c r="AL326" i="33"/>
  <c r="AL588" i="33" s="1" a="1"/>
  <c r="AL588" i="33" s="1"/>
  <c r="AO323" i="33"/>
  <c r="AL299" i="33"/>
  <c r="AL613" i="33" s="1"/>
  <c r="AL16" i="33" s="1"/>
  <c r="AM296" i="33"/>
  <c r="AN315" i="33"/>
  <c r="AM306" i="33"/>
  <c r="AN325" i="33"/>
  <c r="AL292" i="33"/>
  <c r="AL611" i="33" s="1"/>
  <c r="AM305" i="33"/>
  <c r="AN324" i="33"/>
  <c r="AK602" i="33"/>
  <c r="AK610" i="33" s="1"/>
  <c r="AK609" i="33" s="1"/>
  <c r="AM299" i="33"/>
  <c r="AM613" i="33" s="1"/>
  <c r="AM16" i="33" s="1"/>
  <c r="AN318" i="33"/>
  <c r="AM326" i="33"/>
  <c r="AM588" i="33" s="1" a="1"/>
  <c r="AM588" i="33" s="1"/>
  <c r="AM388" i="33"/>
  <c r="AL403" i="33"/>
  <c r="AL592" i="33" s="1" a="1"/>
  <c r="AL592" i="33" s="1"/>
  <c r="AM464" i="33"/>
  <c r="AL479" i="33"/>
  <c r="AL597" i="33" s="1" a="1"/>
  <c r="AL597" i="33" s="1"/>
  <c r="AL384" i="33"/>
  <c r="AL591" i="33" s="1" a="1"/>
  <c r="AL591" i="33" s="1"/>
  <c r="AM369" i="33"/>
  <c r="AN445" i="33"/>
  <c r="AM460" i="33"/>
  <c r="AM596" i="33" s="1" a="1"/>
  <c r="AM596" i="33" s="1"/>
  <c r="AM364" i="33"/>
  <c r="AM590" i="33" s="1" a="1"/>
  <c r="AM590" i="33" s="1"/>
  <c r="AN349" i="33"/>
  <c r="AL539" i="33"/>
  <c r="AL605" i="33" s="1" a="1"/>
  <c r="AL605" i="33" s="1"/>
  <c r="AM524" i="33"/>
  <c r="AN441" i="33"/>
  <c r="AN595" i="33" s="1" a="1"/>
  <c r="AN595" i="33" s="1"/>
  <c r="AO426" i="33"/>
  <c r="AL498" i="33"/>
  <c r="AL599" i="33" s="1" a="1"/>
  <c r="AL599" i="33" s="1"/>
  <c r="AM483" i="33"/>
  <c r="AL422" i="33"/>
  <c r="AL593" i="33" s="1" a="1"/>
  <c r="AL593" i="33" s="1"/>
  <c r="AM407" i="33"/>
  <c r="AM502" i="33"/>
  <c r="AL517" i="33"/>
  <c r="AL600" i="33" s="1" a="1"/>
  <c r="AL600" i="33" s="1"/>
  <c r="AM547" i="33"/>
  <c r="AL562" i="33"/>
  <c r="AL607" i="33" s="1" a="1"/>
  <c r="AL607" i="33" s="1"/>
  <c r="AN345" i="33"/>
  <c r="AN589" i="33" s="1" a="1"/>
  <c r="AN589" i="33" s="1"/>
  <c r="AO330" i="33"/>
  <c r="AP311" i="33"/>
  <c r="AQ254" i="33"/>
  <c r="M121" i="37" l="1"/>
  <c r="BO20" i="43"/>
  <c r="CF58" i="28" s="1"/>
  <c r="AP514" i="33"/>
  <c r="AP419" i="33"/>
  <c r="FA31" i="28"/>
  <c r="BO31" i="28"/>
  <c r="AP414" i="33"/>
  <c r="AP536" i="33"/>
  <c r="AP411" i="33"/>
  <c r="AP515" i="33"/>
  <c r="AP373" i="33"/>
  <c r="AK32" i="33"/>
  <c r="FA32" i="28"/>
  <c r="BO32" i="28"/>
  <c r="AK20" i="33"/>
  <c r="L206" i="38" s="1"/>
  <c r="BW9" i="37" a="1"/>
  <c r="L392" i="38"/>
  <c r="AZ32" i="28" s="1"/>
  <c r="L391" i="38"/>
  <c r="AZ31" i="28" s="1"/>
  <c r="AK31" i="33" s="1"/>
  <c r="AP531" i="33"/>
  <c r="AP528" i="33"/>
  <c r="AM28" i="33"/>
  <c r="AP516" i="33"/>
  <c r="AP421" i="33"/>
  <c r="AP361" i="33"/>
  <c r="FA28" i="28" a="1"/>
  <c r="FA28" i="28" s="1"/>
  <c r="BO28" i="28"/>
  <c r="K971" i="51"/>
  <c r="Q989" i="51" a="1"/>
  <c r="Q989" i="51" s="1"/>
  <c r="E954" i="51" a="1"/>
  <c r="C151" i="48" a="1"/>
  <c r="C151" i="48" s="1"/>
  <c r="AM283" i="37"/>
  <c r="F334" i="37"/>
  <c r="F313" i="37"/>
  <c r="F341" i="37"/>
  <c r="F320" i="37"/>
  <c r="F327" i="37"/>
  <c r="F306" i="37"/>
  <c r="AM269" i="37"/>
  <c r="AM276" i="37"/>
  <c r="AM290" i="37"/>
  <c r="AM262" i="37"/>
  <c r="AQ487" i="33"/>
  <c r="AP342" i="33"/>
  <c r="AP449" i="33"/>
  <c r="AP334" i="33"/>
  <c r="AQ490" i="33"/>
  <c r="AP459" i="33"/>
  <c r="AQ459" i="33" s="1"/>
  <c r="AP337" i="33"/>
  <c r="AQ496" i="33"/>
  <c r="AQ259" i="33"/>
  <c r="AQ392" i="33" s="1"/>
  <c r="AP458" i="33"/>
  <c r="AP452" i="33"/>
  <c r="AQ497" i="33"/>
  <c r="AQ255" i="33"/>
  <c r="AP457" i="33"/>
  <c r="AP439" i="33"/>
  <c r="AP433" i="33"/>
  <c r="AP471" i="33"/>
  <c r="AQ261" i="33"/>
  <c r="AP438" i="33"/>
  <c r="AQ438" i="33" s="1"/>
  <c r="AP430" i="33"/>
  <c r="AP343" i="33"/>
  <c r="AQ343" i="33" s="1"/>
  <c r="AQ258" i="33"/>
  <c r="AQ495" i="33"/>
  <c r="AQ401" i="33"/>
  <c r="AQ337" i="33"/>
  <c r="FN58" i="28"/>
  <c r="AR253" i="33"/>
  <c r="P10" i="38"/>
  <c r="P22" i="38" s="1"/>
  <c r="AQ256" i="33"/>
  <c r="AQ257" i="33"/>
  <c r="AQ265" i="33"/>
  <c r="AQ267" i="33"/>
  <c r="AQ262" i="33"/>
  <c r="AQ270" i="33"/>
  <c r="AQ266" i="33"/>
  <c r="AR266" i="33" s="1"/>
  <c r="AQ260" i="33"/>
  <c r="AQ263" i="33"/>
  <c r="AR263" i="33" s="1"/>
  <c r="AN290" i="37"/>
  <c r="AN283" i="37"/>
  <c r="AN276" i="37"/>
  <c r="AN269" i="37"/>
  <c r="AN262" i="37"/>
  <c r="AN255" i="37"/>
  <c r="AM255" i="37"/>
  <c r="AM616" i="33"/>
  <c r="AM19" i="33" s="1"/>
  <c r="BM58" i="28"/>
  <c r="EZ58" i="28" s="1" a="1"/>
  <c r="EZ58" i="28" s="1"/>
  <c r="CZ58" i="28"/>
  <c r="GT58" i="28"/>
  <c r="AH627" i="33"/>
  <c r="AX58" i="28"/>
  <c r="AM612" i="33"/>
  <c r="AM15" i="33" s="1"/>
  <c r="N388" i="38" s="1"/>
  <c r="BB28" i="28" s="1"/>
  <c r="AM614" i="33"/>
  <c r="AM17" i="33" s="1"/>
  <c r="AL617" i="33"/>
  <c r="AL14" i="33"/>
  <c r="N177" i="37"/>
  <c r="N176" i="37" s="1"/>
  <c r="N570" i="38"/>
  <c r="M570" i="38"/>
  <c r="K500" i="38"/>
  <c r="J500" i="38"/>
  <c r="K514" i="38"/>
  <c r="L201" i="38"/>
  <c r="L202" i="38"/>
  <c r="L203" i="38"/>
  <c r="L204" i="38"/>
  <c r="L205" i="38"/>
  <c r="J514" i="38"/>
  <c r="M9" i="37"/>
  <c r="AO304" i="33"/>
  <c r="N10" i="37"/>
  <c r="BE20" i="43" s="1"/>
  <c r="AN551" i="33"/>
  <c r="AK6" i="33"/>
  <c r="L966" i="51" s="1"/>
  <c r="AK623" i="33"/>
  <c r="AM584" i="33"/>
  <c r="AO271" i="33"/>
  <c r="AN582" i="33"/>
  <c r="AN576" i="33"/>
  <c r="AN569" i="33"/>
  <c r="AN581" i="33"/>
  <c r="AN573" i="33"/>
  <c r="AN583" i="33"/>
  <c r="AN561" i="33"/>
  <c r="AN554" i="33"/>
  <c r="AN559" i="33"/>
  <c r="AN615" i="33" s="1"/>
  <c r="AN18" i="33" s="1"/>
  <c r="AN560" i="33"/>
  <c r="AJ624" i="33"/>
  <c r="AJ11" i="33"/>
  <c r="AL307" i="33"/>
  <c r="AP323" i="33"/>
  <c r="AN296" i="33"/>
  <c r="AO315" i="33"/>
  <c r="AN306" i="33"/>
  <c r="AO325" i="33"/>
  <c r="AN305" i="33"/>
  <c r="AO324" i="33"/>
  <c r="AM292" i="33"/>
  <c r="AM611" i="33" s="1"/>
  <c r="AL602" i="33"/>
  <c r="AL610" i="33" s="1"/>
  <c r="AL609" i="33" s="1"/>
  <c r="AN299" i="33"/>
  <c r="AN326" i="33"/>
  <c r="AN588" i="33" s="1" a="1"/>
  <c r="AN588" i="33" s="1"/>
  <c r="AO318" i="33"/>
  <c r="AN364" i="33"/>
  <c r="AN590" i="33" s="1" a="1"/>
  <c r="AN590" i="33" s="1"/>
  <c r="AO349" i="33"/>
  <c r="AM403" i="33"/>
  <c r="AM592" i="33" s="1" a="1"/>
  <c r="AM592" i="33" s="1"/>
  <c r="AN388" i="33"/>
  <c r="AO441" i="33"/>
  <c r="AO595" i="33" s="1" a="1"/>
  <c r="AO595" i="33" s="1"/>
  <c r="AP426" i="33"/>
  <c r="AN460" i="33"/>
  <c r="AN596" i="33" s="1" a="1"/>
  <c r="AN596" i="33" s="1"/>
  <c r="AO445" i="33"/>
  <c r="AN547" i="33"/>
  <c r="AM562" i="33"/>
  <c r="AM607" i="33" s="1" a="1"/>
  <c r="AM607" i="33" s="1"/>
  <c r="AM384" i="33"/>
  <c r="AM591" i="33" s="1" a="1"/>
  <c r="AM591" i="33" s="1"/>
  <c r="AN369" i="33"/>
  <c r="AN502" i="33"/>
  <c r="AM517" i="33"/>
  <c r="AM600" i="33" s="1" a="1"/>
  <c r="AM600" i="33" s="1"/>
  <c r="AM539" i="33"/>
  <c r="AM605" i="33" s="1" a="1"/>
  <c r="AM605" i="33" s="1"/>
  <c r="AN524" i="33"/>
  <c r="AM498" i="33"/>
  <c r="AM599" i="33" s="1" a="1"/>
  <c r="AM599" i="33" s="1"/>
  <c r="AN483" i="33"/>
  <c r="AM422" i="33"/>
  <c r="AM593" i="33" s="1" a="1"/>
  <c r="AM593" i="33" s="1"/>
  <c r="AN407" i="33"/>
  <c r="AM479" i="33"/>
  <c r="AM597" i="33" s="1" a="1"/>
  <c r="AM597" i="33" s="1"/>
  <c r="AN464" i="33"/>
  <c r="AO345" i="33"/>
  <c r="AO589" i="33" s="1" a="1"/>
  <c r="AO589" i="33" s="1"/>
  <c r="AP330" i="33"/>
  <c r="AQ311" i="33"/>
  <c r="AR254" i="33"/>
  <c r="GF58" i="28" l="1"/>
  <c r="EK58" i="28"/>
  <c r="N121" i="37"/>
  <c r="BP20" i="43"/>
  <c r="CG58" i="28" s="1"/>
  <c r="FB28" i="28" a="1"/>
  <c r="FB28" i="28" s="1"/>
  <c r="BP28" i="28"/>
  <c r="AL20" i="33"/>
  <c r="M201" i="38" s="1"/>
  <c r="N201" i="38" s="1"/>
  <c r="BX9" i="37" a="1"/>
  <c r="M392" i="38"/>
  <c r="BA32" i="28" s="1"/>
  <c r="AQ32" i="28" s="1"/>
  <c r="M391" i="38"/>
  <c r="BA31" i="28" s="1"/>
  <c r="AQ433" i="33"/>
  <c r="AQ452" i="33"/>
  <c r="BY32" i="28"/>
  <c r="AQ402" i="33"/>
  <c r="AQ449" i="33"/>
  <c r="BW9" i="37"/>
  <c r="EM31" i="28" s="1"/>
  <c r="EM28" i="28"/>
  <c r="AP304" i="33"/>
  <c r="FB32" i="28"/>
  <c r="BP32" i="28"/>
  <c r="FB31" i="28"/>
  <c r="BP31" i="28"/>
  <c r="AL32" i="33"/>
  <c r="AM32" i="33" s="1"/>
  <c r="AQ342" i="33"/>
  <c r="AQ395" i="33"/>
  <c r="L971" i="51"/>
  <c r="S989" i="51" a="1"/>
  <c r="S989" i="51" s="1"/>
  <c r="E954" i="51"/>
  <c r="Q954" i="51" s="1"/>
  <c r="AQ334" i="33"/>
  <c r="AQ439" i="33"/>
  <c r="AQ458" i="33"/>
  <c r="AQ440" i="33"/>
  <c r="AR440" i="33" s="1"/>
  <c r="AQ457" i="33"/>
  <c r="AR457" i="33" s="1"/>
  <c r="AQ430" i="33"/>
  <c r="AQ344" i="33"/>
  <c r="AR344" i="33" s="1"/>
  <c r="AS344" i="33" s="1"/>
  <c r="AT344" i="33" s="1"/>
  <c r="AU344" i="33" s="1"/>
  <c r="AV344" i="33" s="1"/>
  <c r="AW344" i="33" s="1"/>
  <c r="AX344" i="33" s="1"/>
  <c r="AY344" i="33" s="1"/>
  <c r="AZ344" i="33" s="1"/>
  <c r="BA344" i="33" s="1"/>
  <c r="BB344" i="33" s="1"/>
  <c r="BC344" i="33" s="1"/>
  <c r="BD344" i="33" s="1"/>
  <c r="BE344" i="33" s="1"/>
  <c r="BF344" i="33" s="1"/>
  <c r="AQ400" i="33"/>
  <c r="AS253" i="33"/>
  <c r="AT253" i="33" s="1"/>
  <c r="AU253" i="33" s="1"/>
  <c r="AV253" i="33" s="1"/>
  <c r="AW253" i="33" s="1"/>
  <c r="AX253" i="33" s="1"/>
  <c r="AY253" i="33" s="1"/>
  <c r="AZ253" i="33" s="1"/>
  <c r="BA253" i="33" s="1"/>
  <c r="Q10" i="38"/>
  <c r="Q22" i="38" s="1"/>
  <c r="AR261" i="33"/>
  <c r="AR459" i="33" s="1"/>
  <c r="AR270" i="33"/>
  <c r="AQ538" i="33"/>
  <c r="AQ536" i="33"/>
  <c r="AQ537" i="33"/>
  <c r="AQ528" i="33"/>
  <c r="AQ531" i="33"/>
  <c r="AR265" i="33"/>
  <c r="AQ509" i="33"/>
  <c r="AR509" i="33" s="1"/>
  <c r="AQ516" i="33"/>
  <c r="AR516" i="33" s="1"/>
  <c r="AQ514" i="33"/>
  <c r="AR514" i="33" s="1"/>
  <c r="AQ506" i="33"/>
  <c r="AQ515" i="33"/>
  <c r="AR256" i="33"/>
  <c r="AQ363" i="33"/>
  <c r="AQ362" i="33"/>
  <c r="AQ361" i="33"/>
  <c r="AR361" i="33" s="1"/>
  <c r="AQ356" i="33"/>
  <c r="AR356" i="33" s="1"/>
  <c r="AQ353" i="33"/>
  <c r="AR353" i="33" s="1"/>
  <c r="GU58" i="28"/>
  <c r="AR262" i="33"/>
  <c r="AS262" i="33" s="1"/>
  <c r="AT262" i="33" s="1"/>
  <c r="AU262" i="33" s="1"/>
  <c r="AV262" i="33" s="1"/>
  <c r="AW262" i="33" s="1"/>
  <c r="AX262" i="33" s="1"/>
  <c r="AY262" i="33" s="1"/>
  <c r="AZ262" i="33" s="1"/>
  <c r="BA262" i="33" s="1"/>
  <c r="BB262" i="33" s="1"/>
  <c r="BC262" i="33" s="1"/>
  <c r="BD262" i="33" s="1"/>
  <c r="BE262" i="33" s="1"/>
  <c r="BF262" i="33" s="1"/>
  <c r="AQ468" i="33"/>
  <c r="AQ478" i="33"/>
  <c r="AQ477" i="33"/>
  <c r="AQ471" i="33"/>
  <c r="AQ476" i="33"/>
  <c r="AR257" i="33"/>
  <c r="AQ381" i="33"/>
  <c r="AQ383" i="33"/>
  <c r="AR383" i="33" s="1"/>
  <c r="AQ373" i="33"/>
  <c r="AQ376" i="33"/>
  <c r="AQ382" i="33"/>
  <c r="AR438" i="33"/>
  <c r="AR264" i="33"/>
  <c r="AR258" i="33"/>
  <c r="AS258" i="33" s="1"/>
  <c r="AT258" i="33" s="1"/>
  <c r="AU258" i="33" s="1"/>
  <c r="AV258" i="33" s="1"/>
  <c r="AW258" i="33" s="1"/>
  <c r="AX258" i="33" s="1"/>
  <c r="AY258" i="33" s="1"/>
  <c r="AZ258" i="33" s="1"/>
  <c r="BA258" i="33" s="1"/>
  <c r="BB258" i="33" s="1"/>
  <c r="BC258" i="33" s="1"/>
  <c r="BD258" i="33" s="1"/>
  <c r="BE258" i="33" s="1"/>
  <c r="BF258" i="33" s="1"/>
  <c r="AR267" i="33"/>
  <c r="AS267" i="33" s="1"/>
  <c r="AT267" i="33" s="1"/>
  <c r="AU267" i="33" s="1"/>
  <c r="AV267" i="33" s="1"/>
  <c r="AW267" i="33" s="1"/>
  <c r="AX267" i="33" s="1"/>
  <c r="AY267" i="33" s="1"/>
  <c r="AZ267" i="33" s="1"/>
  <c r="BA267" i="33" s="1"/>
  <c r="BB267" i="33" s="1"/>
  <c r="BC267" i="33" s="1"/>
  <c r="BD267" i="33" s="1"/>
  <c r="BE267" i="33" s="1"/>
  <c r="BF267" i="33" s="1"/>
  <c r="AR343" i="33"/>
  <c r="AS343" i="33" s="1"/>
  <c r="AT343" i="33" s="1"/>
  <c r="AU343" i="33" s="1"/>
  <c r="AV343" i="33" s="1"/>
  <c r="AW343" i="33" s="1"/>
  <c r="AX343" i="33" s="1"/>
  <c r="AY343" i="33" s="1"/>
  <c r="AZ343" i="33" s="1"/>
  <c r="BA343" i="33" s="1"/>
  <c r="BB343" i="33" s="1"/>
  <c r="BC343" i="33" s="1"/>
  <c r="BD343" i="33" s="1"/>
  <c r="BE343" i="33" s="1"/>
  <c r="BF343" i="33" s="1"/>
  <c r="AR255" i="33"/>
  <c r="AS255" i="33" s="1"/>
  <c r="AT255" i="33" s="1"/>
  <c r="AU255" i="33" s="1"/>
  <c r="AV255" i="33" s="1"/>
  <c r="AW255" i="33" s="1"/>
  <c r="AX255" i="33" s="1"/>
  <c r="AY255" i="33" s="1"/>
  <c r="AZ255" i="33" s="1"/>
  <c r="BA255" i="33" s="1"/>
  <c r="BB255" i="33" s="1"/>
  <c r="BC255" i="33" s="1"/>
  <c r="BD255" i="33" s="1"/>
  <c r="BE255" i="33" s="1"/>
  <c r="BF255" i="33" s="1"/>
  <c r="AS263" i="33"/>
  <c r="AT263" i="33" s="1"/>
  <c r="AU263" i="33" s="1"/>
  <c r="AV263" i="33" s="1"/>
  <c r="AW263" i="33" s="1"/>
  <c r="AX263" i="33" s="1"/>
  <c r="AY263" i="33" s="1"/>
  <c r="AZ263" i="33" s="1"/>
  <c r="BA263" i="33" s="1"/>
  <c r="BB263" i="33" s="1"/>
  <c r="BC263" i="33" s="1"/>
  <c r="BD263" i="33" s="1"/>
  <c r="BE263" i="33" s="1"/>
  <c r="BF263" i="33" s="1"/>
  <c r="AR334" i="33"/>
  <c r="AS334" i="33" s="1"/>
  <c r="AT334" i="33" s="1"/>
  <c r="AU334" i="33" s="1"/>
  <c r="AV334" i="33" s="1"/>
  <c r="AW334" i="33" s="1"/>
  <c r="AX334" i="33" s="1"/>
  <c r="AY334" i="33" s="1"/>
  <c r="AZ334" i="33" s="1"/>
  <c r="BA334" i="33" s="1"/>
  <c r="BB334" i="33" s="1"/>
  <c r="BC334" i="33" s="1"/>
  <c r="BD334" i="33" s="1"/>
  <c r="BE334" i="33" s="1"/>
  <c r="BF334" i="33" s="1"/>
  <c r="AR342" i="33"/>
  <c r="AS342" i="33" s="1"/>
  <c r="AT342" i="33" s="1"/>
  <c r="AU342" i="33" s="1"/>
  <c r="AV342" i="33" s="1"/>
  <c r="AW342" i="33" s="1"/>
  <c r="AX342" i="33" s="1"/>
  <c r="AY342" i="33" s="1"/>
  <c r="AZ342" i="33" s="1"/>
  <c r="BA342" i="33" s="1"/>
  <c r="BB342" i="33" s="1"/>
  <c r="BC342" i="33" s="1"/>
  <c r="BD342" i="33" s="1"/>
  <c r="BE342" i="33" s="1"/>
  <c r="BF342" i="33" s="1"/>
  <c r="AR259" i="33"/>
  <c r="AR260" i="33"/>
  <c r="AS260" i="33" s="1"/>
  <c r="AT260" i="33" s="1"/>
  <c r="AU260" i="33" s="1"/>
  <c r="AV260" i="33" s="1"/>
  <c r="AW260" i="33" s="1"/>
  <c r="AX260" i="33" s="1"/>
  <c r="AY260" i="33" s="1"/>
  <c r="AZ260" i="33" s="1"/>
  <c r="BA260" i="33" s="1"/>
  <c r="BB260" i="33" s="1"/>
  <c r="BC260" i="33" s="1"/>
  <c r="BD260" i="33" s="1"/>
  <c r="BE260" i="33" s="1"/>
  <c r="BF260" i="33" s="1"/>
  <c r="AQ421" i="33"/>
  <c r="AQ414" i="33"/>
  <c r="AQ411" i="33"/>
  <c r="AQ420" i="33"/>
  <c r="AQ419" i="33"/>
  <c r="AR449" i="33"/>
  <c r="AR337" i="33"/>
  <c r="AS337" i="33" s="1"/>
  <c r="AT337" i="33" s="1"/>
  <c r="AU337" i="33" s="1"/>
  <c r="AV337" i="33" s="1"/>
  <c r="AW337" i="33" s="1"/>
  <c r="AX337" i="33" s="1"/>
  <c r="AY337" i="33" s="1"/>
  <c r="AZ337" i="33" s="1"/>
  <c r="BA337" i="33" s="1"/>
  <c r="BB337" i="33" s="1"/>
  <c r="BC337" i="33" s="1"/>
  <c r="BD337" i="33" s="1"/>
  <c r="BE337" i="33" s="1"/>
  <c r="BF337" i="33" s="1"/>
  <c r="O201" i="38"/>
  <c r="DO58" i="28"/>
  <c r="AN613" i="33"/>
  <c r="AN16" i="33" s="1"/>
  <c r="AN612" i="33"/>
  <c r="AN15" i="33" s="1"/>
  <c r="O388" i="38" s="1"/>
  <c r="BC28" i="28" s="1"/>
  <c r="DA58" i="28"/>
  <c r="DP58" i="28" s="1"/>
  <c r="FO58" i="28"/>
  <c r="BN58" i="28"/>
  <c r="FA58" i="28" s="1" a="1"/>
  <c r="FA58" i="28" s="1"/>
  <c r="AI627" i="33"/>
  <c r="AY58" i="28"/>
  <c r="I637" i="38"/>
  <c r="M713" i="37" s="1" a="1"/>
  <c r="M713" i="37" s="1"/>
  <c r="I641" i="38"/>
  <c r="M745" i="37" s="1" a="1"/>
  <c r="M745" i="37" s="1"/>
  <c r="I639" i="38"/>
  <c r="M729" i="37" s="1" a="1"/>
  <c r="M729" i="37" s="1"/>
  <c r="I635" i="38"/>
  <c r="M697" i="37" s="1" a="1"/>
  <c r="M697" i="37" s="1"/>
  <c r="I638" i="38"/>
  <c r="M721" i="37" s="1" a="1"/>
  <c r="M721" i="37" s="1"/>
  <c r="I640" i="38"/>
  <c r="M737" i="37" s="1" a="1"/>
  <c r="M737" i="37" s="1"/>
  <c r="J637" i="38"/>
  <c r="N713" i="37" s="1" a="1"/>
  <c r="N713" i="37" s="1"/>
  <c r="J640" i="38"/>
  <c r="N737" i="37" s="1" a="1"/>
  <c r="N737" i="37" s="1"/>
  <c r="J635" i="38"/>
  <c r="N697" i="37" s="1" a="1"/>
  <c r="N697" i="37" s="1"/>
  <c r="J639" i="38"/>
  <c r="N729" i="37" s="1" a="1"/>
  <c r="N729" i="37" s="1"/>
  <c r="J638" i="38"/>
  <c r="N721" i="37" s="1" a="1"/>
  <c r="N721" i="37" s="1"/>
  <c r="J641" i="38"/>
  <c r="N745" i="37" s="1" a="1"/>
  <c r="N745" i="37" s="1"/>
  <c r="AN616" i="33"/>
  <c r="AN19" i="33" s="1"/>
  <c r="AM14" i="33"/>
  <c r="AM617" i="33"/>
  <c r="O177" i="37"/>
  <c r="O176" i="37" s="1"/>
  <c r="AN614" i="33"/>
  <c r="AN17" i="33" s="1"/>
  <c r="M203" i="38"/>
  <c r="N203" i="38" s="1"/>
  <c r="O203" i="38" s="1"/>
  <c r="P203" i="38" s="1"/>
  <c r="Q203" i="38" s="1"/>
  <c r="R203" i="38" s="1"/>
  <c r="L500" i="38"/>
  <c r="O570" i="38"/>
  <c r="L514" i="38"/>
  <c r="M202" i="38"/>
  <c r="N202" i="38" s="1"/>
  <c r="O202" i="38" s="1"/>
  <c r="P202" i="38" s="1"/>
  <c r="Q202" i="38" s="1"/>
  <c r="R202" i="38" s="1"/>
  <c r="M205" i="38"/>
  <c r="N205" i="38" s="1"/>
  <c r="O205" i="38" s="1"/>
  <c r="P205" i="38" s="1"/>
  <c r="Q205" i="38" s="1"/>
  <c r="R205" i="38" s="1"/>
  <c r="M204" i="38"/>
  <c r="N204" i="38" s="1"/>
  <c r="O204" i="38" s="1"/>
  <c r="P204" i="38" s="1"/>
  <c r="Q204" i="38" s="1"/>
  <c r="R204" i="38" s="1"/>
  <c r="M206" i="38"/>
  <c r="N206" i="38" s="1"/>
  <c r="O206" i="38" s="1"/>
  <c r="P206" i="38" s="1"/>
  <c r="Q206" i="38" s="1"/>
  <c r="R206" i="38" s="1"/>
  <c r="AM307" i="33"/>
  <c r="N9" i="37"/>
  <c r="O10" i="37"/>
  <c r="BF20" i="43" s="1"/>
  <c r="AL6" i="33"/>
  <c r="M966" i="51" s="1"/>
  <c r="AL623" i="33"/>
  <c r="AO554" i="33"/>
  <c r="AO559" i="33"/>
  <c r="AO615" i="33" s="1"/>
  <c r="AO18" i="33" s="1"/>
  <c r="AO561" i="33"/>
  <c r="AN584" i="33"/>
  <c r="AO560" i="33"/>
  <c r="AP271" i="33"/>
  <c r="AO582" i="33"/>
  <c r="AO576" i="33"/>
  <c r="AO581" i="33"/>
  <c r="AO573" i="33"/>
  <c r="AO569" i="33"/>
  <c r="AO583" i="33"/>
  <c r="AO551" i="33"/>
  <c r="AK624" i="33"/>
  <c r="AK11" i="33"/>
  <c r="AQ323" i="33"/>
  <c r="AO296" i="33"/>
  <c r="AP315" i="33"/>
  <c r="AO306" i="33"/>
  <c r="AO614" i="33" s="1"/>
  <c r="AO17" i="33" s="1"/>
  <c r="AP325" i="33"/>
  <c r="AO305" i="33"/>
  <c r="AP324" i="33"/>
  <c r="AN292" i="33"/>
  <c r="AN611" i="33" s="1"/>
  <c r="AN14" i="33" s="1"/>
  <c r="AM602" i="33"/>
  <c r="AM610" i="33" s="1"/>
  <c r="AM609" i="33" s="1"/>
  <c r="AO299" i="33"/>
  <c r="AO613" i="33" s="1"/>
  <c r="AO326" i="33"/>
  <c r="AO588" i="33" s="1" a="1"/>
  <c r="AO588" i="33" s="1"/>
  <c r="AP318" i="33"/>
  <c r="AO369" i="33"/>
  <c r="AN384" i="33"/>
  <c r="AN591" i="33" s="1" a="1"/>
  <c r="AN591" i="33" s="1"/>
  <c r="AQ426" i="33"/>
  <c r="AP441" i="33"/>
  <c r="AP595" i="33" s="1" a="1"/>
  <c r="AP595" i="33" s="1"/>
  <c r="AO547" i="33"/>
  <c r="AN562" i="33"/>
  <c r="AN607" i="33" s="1" a="1"/>
  <c r="AN607" i="33" s="1"/>
  <c r="AO364" i="33"/>
  <c r="AO590" i="33" s="1" a="1"/>
  <c r="AO590" i="33" s="1"/>
  <c r="AP349" i="33"/>
  <c r="AO502" i="33"/>
  <c r="AN517" i="33"/>
  <c r="AN600" i="33" s="1" a="1"/>
  <c r="AN600" i="33" s="1"/>
  <c r="AN422" i="33"/>
  <c r="AN593" i="33" s="1" a="1"/>
  <c r="AN593" i="33" s="1"/>
  <c r="AO407" i="33"/>
  <c r="AN539" i="33"/>
  <c r="AN605" i="33" s="1" a="1"/>
  <c r="AN605" i="33" s="1"/>
  <c r="AO524" i="33"/>
  <c r="AN403" i="33"/>
  <c r="AN592" i="33" s="1" a="1"/>
  <c r="AN592" i="33" s="1"/>
  <c r="AO388" i="33"/>
  <c r="AN498" i="33"/>
  <c r="AN599" i="33" s="1" a="1"/>
  <c r="AN599" i="33" s="1"/>
  <c r="AO483" i="33"/>
  <c r="AO464" i="33"/>
  <c r="AN479" i="33"/>
  <c r="AN597" i="33" s="1" a="1"/>
  <c r="AN597" i="33" s="1"/>
  <c r="AO460" i="33"/>
  <c r="AO596" i="33" s="1" a="1"/>
  <c r="AO596" i="33" s="1"/>
  <c r="AP445" i="33"/>
  <c r="AQ330" i="33"/>
  <c r="AP345" i="33"/>
  <c r="AP589" i="33" s="1" a="1"/>
  <c r="AP589" i="33" s="1"/>
  <c r="AR311" i="33"/>
  <c r="AS254" i="33"/>
  <c r="EL58" i="28" l="1"/>
  <c r="O121" i="37"/>
  <c r="O120" i="37" s="1"/>
  <c r="GG58" i="28"/>
  <c r="BQ20" i="43"/>
  <c r="CH58" i="28" s="1"/>
  <c r="FC28" i="28" a="1"/>
  <c r="FC28" i="28" s="1"/>
  <c r="BQ28" i="28"/>
  <c r="AM20" i="33"/>
  <c r="BY9" i="37" a="1"/>
  <c r="N392" i="38"/>
  <c r="BB32" i="28" s="1"/>
  <c r="N391" i="38"/>
  <c r="BB31" i="28" s="1"/>
  <c r="AQ31" i="28"/>
  <c r="BY31" i="28"/>
  <c r="AR458" i="33"/>
  <c r="BX9" i="37"/>
  <c r="EN31" i="28" s="1"/>
  <c r="EN28" i="28"/>
  <c r="AQ304" i="33"/>
  <c r="BZ9" i="37" a="1"/>
  <c r="O392" i="38"/>
  <c r="BC32" i="28" s="1"/>
  <c r="O391" i="38"/>
  <c r="BC31" i="28" s="1"/>
  <c r="FC31" i="28"/>
  <c r="BQ31" i="28"/>
  <c r="AL31" i="33"/>
  <c r="AM31" i="33" s="1"/>
  <c r="AR381" i="33"/>
  <c r="FC32" i="28"/>
  <c r="BQ32" i="28"/>
  <c r="P954" i="51"/>
  <c r="N954" i="51"/>
  <c r="L954" i="51"/>
  <c r="M954" i="51"/>
  <c r="M971" i="51"/>
  <c r="U989" i="51" a="1"/>
  <c r="U989" i="51" s="1"/>
  <c r="O954" i="51"/>
  <c r="AR538" i="33"/>
  <c r="AR421" i="33"/>
  <c r="AS421" i="33" s="1"/>
  <c r="AT421" i="33" s="1"/>
  <c r="AU421" i="33" s="1"/>
  <c r="AV421" i="33" s="1"/>
  <c r="AW421" i="33" s="1"/>
  <c r="AX421" i="33" s="1"/>
  <c r="AY421" i="33" s="1"/>
  <c r="AZ421" i="33" s="1"/>
  <c r="BA421" i="33" s="1"/>
  <c r="BB421" i="33" s="1"/>
  <c r="BC421" i="33" s="1"/>
  <c r="BD421" i="33" s="1"/>
  <c r="BE421" i="33" s="1"/>
  <c r="BF421" i="33" s="1"/>
  <c r="AR515" i="33"/>
  <c r="AR537" i="33"/>
  <c r="AR439" i="33"/>
  <c r="AR433" i="33"/>
  <c r="AS257" i="33"/>
  <c r="AT257" i="33" s="1"/>
  <c r="AU257" i="33" s="1"/>
  <c r="AV257" i="33" s="1"/>
  <c r="AW257" i="33" s="1"/>
  <c r="AX257" i="33" s="1"/>
  <c r="AY257" i="33" s="1"/>
  <c r="AZ257" i="33" s="1"/>
  <c r="BA257" i="33" s="1"/>
  <c r="BB257" i="33" s="1"/>
  <c r="BC257" i="33" s="1"/>
  <c r="BD257" i="33" s="1"/>
  <c r="BE257" i="33" s="1"/>
  <c r="BF257" i="33" s="1"/>
  <c r="AR506" i="33"/>
  <c r="AR536" i="33"/>
  <c r="R570" i="38"/>
  <c r="GV58" i="28"/>
  <c r="AS259" i="33"/>
  <c r="AT259" i="33" s="1"/>
  <c r="AU259" i="33" s="1"/>
  <c r="AV259" i="33" s="1"/>
  <c r="AW259" i="33" s="1"/>
  <c r="AX259" i="33" s="1"/>
  <c r="AY259" i="33" s="1"/>
  <c r="AZ259" i="33" s="1"/>
  <c r="BA259" i="33" s="1"/>
  <c r="BB259" i="33" s="1"/>
  <c r="BC259" i="33" s="1"/>
  <c r="BD259" i="33" s="1"/>
  <c r="BE259" i="33" s="1"/>
  <c r="BF259" i="33" s="1"/>
  <c r="AR401" i="33"/>
  <c r="AS401" i="33" s="1"/>
  <c r="AT401" i="33" s="1"/>
  <c r="AU401" i="33" s="1"/>
  <c r="AV401" i="33" s="1"/>
  <c r="AW401" i="33" s="1"/>
  <c r="AX401" i="33" s="1"/>
  <c r="AY401" i="33" s="1"/>
  <c r="AZ401" i="33" s="1"/>
  <c r="BA401" i="33" s="1"/>
  <c r="BB401" i="33" s="1"/>
  <c r="BC401" i="33" s="1"/>
  <c r="BD401" i="33" s="1"/>
  <c r="BE401" i="33" s="1"/>
  <c r="BF401" i="33" s="1"/>
  <c r="AR392" i="33"/>
  <c r="AS392" i="33" s="1"/>
  <c r="AT392" i="33" s="1"/>
  <c r="AU392" i="33" s="1"/>
  <c r="AV392" i="33" s="1"/>
  <c r="AW392" i="33" s="1"/>
  <c r="AX392" i="33" s="1"/>
  <c r="AY392" i="33" s="1"/>
  <c r="AZ392" i="33" s="1"/>
  <c r="BA392" i="33" s="1"/>
  <c r="BB392" i="33" s="1"/>
  <c r="BC392" i="33" s="1"/>
  <c r="BD392" i="33" s="1"/>
  <c r="BE392" i="33" s="1"/>
  <c r="BF392" i="33" s="1"/>
  <c r="AR402" i="33"/>
  <c r="AR395" i="33"/>
  <c r="AR400" i="33"/>
  <c r="AS264" i="33"/>
  <c r="AT264" i="33" s="1"/>
  <c r="AU264" i="33" s="1"/>
  <c r="AV264" i="33" s="1"/>
  <c r="AW264" i="33" s="1"/>
  <c r="AX264" i="33" s="1"/>
  <c r="AY264" i="33" s="1"/>
  <c r="AZ264" i="33" s="1"/>
  <c r="BA264" i="33" s="1"/>
  <c r="BB264" i="33" s="1"/>
  <c r="BC264" i="33" s="1"/>
  <c r="BD264" i="33" s="1"/>
  <c r="BE264" i="33" s="1"/>
  <c r="BF264" i="33" s="1"/>
  <c r="AR496" i="33"/>
  <c r="AR490" i="33"/>
  <c r="AS490" i="33" s="1"/>
  <c r="AT490" i="33" s="1"/>
  <c r="AU490" i="33" s="1"/>
  <c r="AV490" i="33" s="1"/>
  <c r="AW490" i="33" s="1"/>
  <c r="AX490" i="33" s="1"/>
  <c r="AY490" i="33" s="1"/>
  <c r="AZ490" i="33" s="1"/>
  <c r="BA490" i="33" s="1"/>
  <c r="BB490" i="33" s="1"/>
  <c r="BC490" i="33" s="1"/>
  <c r="BD490" i="33" s="1"/>
  <c r="BE490" i="33" s="1"/>
  <c r="BF490" i="33" s="1"/>
  <c r="AR497" i="33"/>
  <c r="AR487" i="33"/>
  <c r="AR495" i="33"/>
  <c r="AR476" i="33"/>
  <c r="AS476" i="33" s="1"/>
  <c r="AT476" i="33" s="1"/>
  <c r="AU476" i="33" s="1"/>
  <c r="AV476" i="33" s="1"/>
  <c r="AW476" i="33" s="1"/>
  <c r="AX476" i="33" s="1"/>
  <c r="AY476" i="33" s="1"/>
  <c r="AZ476" i="33" s="1"/>
  <c r="BA476" i="33" s="1"/>
  <c r="BB476" i="33" s="1"/>
  <c r="BC476" i="33" s="1"/>
  <c r="BD476" i="33" s="1"/>
  <c r="BE476" i="33" s="1"/>
  <c r="BF476" i="33" s="1"/>
  <c r="AS270" i="33"/>
  <c r="AT270" i="33" s="1"/>
  <c r="AU270" i="33" s="1"/>
  <c r="AV270" i="33" s="1"/>
  <c r="AW270" i="33" s="1"/>
  <c r="AX270" i="33" s="1"/>
  <c r="AY270" i="33" s="1"/>
  <c r="AZ270" i="33" s="1"/>
  <c r="BA270" i="33" s="1"/>
  <c r="BB270" i="33" s="1"/>
  <c r="BC270" i="33" s="1"/>
  <c r="BD270" i="33" s="1"/>
  <c r="BE270" i="33" s="1"/>
  <c r="BF270" i="33" s="1"/>
  <c r="AR419" i="33"/>
  <c r="AS419" i="33" s="1"/>
  <c r="AT419" i="33" s="1"/>
  <c r="AU419" i="33" s="1"/>
  <c r="AV419" i="33" s="1"/>
  <c r="AW419" i="33" s="1"/>
  <c r="AX419" i="33" s="1"/>
  <c r="AY419" i="33" s="1"/>
  <c r="AZ419" i="33" s="1"/>
  <c r="BA419" i="33" s="1"/>
  <c r="BB419" i="33" s="1"/>
  <c r="BC419" i="33" s="1"/>
  <c r="BD419" i="33" s="1"/>
  <c r="BE419" i="33" s="1"/>
  <c r="BF419" i="33" s="1"/>
  <c r="AR471" i="33"/>
  <c r="AS471" i="33" s="1"/>
  <c r="AT471" i="33" s="1"/>
  <c r="AU471" i="33" s="1"/>
  <c r="AV471" i="33" s="1"/>
  <c r="AW471" i="33" s="1"/>
  <c r="AX471" i="33" s="1"/>
  <c r="AY471" i="33" s="1"/>
  <c r="AZ471" i="33" s="1"/>
  <c r="BA471" i="33" s="1"/>
  <c r="BB471" i="33" s="1"/>
  <c r="BC471" i="33" s="1"/>
  <c r="BD471" i="33" s="1"/>
  <c r="BE471" i="33" s="1"/>
  <c r="BF471" i="33" s="1"/>
  <c r="AR452" i="33"/>
  <c r="AR420" i="33"/>
  <c r="AS420" i="33" s="1"/>
  <c r="AT420" i="33" s="1"/>
  <c r="AU420" i="33" s="1"/>
  <c r="AV420" i="33" s="1"/>
  <c r="AW420" i="33" s="1"/>
  <c r="AX420" i="33" s="1"/>
  <c r="AY420" i="33" s="1"/>
  <c r="AZ420" i="33" s="1"/>
  <c r="BA420" i="33" s="1"/>
  <c r="BB420" i="33" s="1"/>
  <c r="BC420" i="33" s="1"/>
  <c r="BD420" i="33" s="1"/>
  <c r="BE420" i="33" s="1"/>
  <c r="BF420" i="33" s="1"/>
  <c r="AR382" i="33"/>
  <c r="AR477" i="33"/>
  <c r="AS477" i="33" s="1"/>
  <c r="AT477" i="33" s="1"/>
  <c r="AU477" i="33" s="1"/>
  <c r="AV477" i="33" s="1"/>
  <c r="AW477" i="33" s="1"/>
  <c r="AX477" i="33" s="1"/>
  <c r="AY477" i="33" s="1"/>
  <c r="AZ477" i="33" s="1"/>
  <c r="BA477" i="33" s="1"/>
  <c r="BB477" i="33" s="1"/>
  <c r="BC477" i="33" s="1"/>
  <c r="BD477" i="33" s="1"/>
  <c r="BE477" i="33" s="1"/>
  <c r="BF477" i="33" s="1"/>
  <c r="AR362" i="33"/>
  <c r="AS265" i="33"/>
  <c r="AT265" i="33" s="1"/>
  <c r="AU265" i="33" s="1"/>
  <c r="AV265" i="33" s="1"/>
  <c r="AW265" i="33" s="1"/>
  <c r="AX265" i="33" s="1"/>
  <c r="AY265" i="33" s="1"/>
  <c r="AZ265" i="33" s="1"/>
  <c r="BA265" i="33" s="1"/>
  <c r="BB265" i="33" s="1"/>
  <c r="BC265" i="33" s="1"/>
  <c r="BD265" i="33" s="1"/>
  <c r="BE265" i="33" s="1"/>
  <c r="BF265" i="33" s="1"/>
  <c r="AR430" i="33"/>
  <c r="AR411" i="33"/>
  <c r="AS411" i="33" s="1"/>
  <c r="AT411" i="33" s="1"/>
  <c r="AU411" i="33" s="1"/>
  <c r="AV411" i="33" s="1"/>
  <c r="AW411" i="33" s="1"/>
  <c r="AX411" i="33" s="1"/>
  <c r="AY411" i="33" s="1"/>
  <c r="AZ411" i="33" s="1"/>
  <c r="BA411" i="33" s="1"/>
  <c r="BB411" i="33" s="1"/>
  <c r="BC411" i="33" s="1"/>
  <c r="BD411" i="33" s="1"/>
  <c r="BE411" i="33" s="1"/>
  <c r="BF411" i="33" s="1"/>
  <c r="AR376" i="33"/>
  <c r="AR478" i="33"/>
  <c r="AS478" i="33" s="1"/>
  <c r="AT478" i="33" s="1"/>
  <c r="AU478" i="33" s="1"/>
  <c r="AV478" i="33" s="1"/>
  <c r="AW478" i="33" s="1"/>
  <c r="AX478" i="33" s="1"/>
  <c r="AY478" i="33" s="1"/>
  <c r="AZ478" i="33" s="1"/>
  <c r="BA478" i="33" s="1"/>
  <c r="BB478" i="33" s="1"/>
  <c r="BC478" i="33" s="1"/>
  <c r="BD478" i="33" s="1"/>
  <c r="BE478" i="33" s="1"/>
  <c r="BF478" i="33" s="1"/>
  <c r="AR363" i="33"/>
  <c r="AR531" i="33"/>
  <c r="Q570" i="38"/>
  <c r="AS266" i="33"/>
  <c r="AT266" i="33" s="1"/>
  <c r="AU266" i="33" s="1"/>
  <c r="AV266" i="33" s="1"/>
  <c r="AW266" i="33" s="1"/>
  <c r="AX266" i="33" s="1"/>
  <c r="AY266" i="33" s="1"/>
  <c r="AZ266" i="33" s="1"/>
  <c r="BA266" i="33" s="1"/>
  <c r="BB266" i="33" s="1"/>
  <c r="BC266" i="33" s="1"/>
  <c r="BD266" i="33" s="1"/>
  <c r="BE266" i="33" s="1"/>
  <c r="BF266" i="33" s="1"/>
  <c r="AR414" i="33"/>
  <c r="AS414" i="33" s="1"/>
  <c r="AT414" i="33" s="1"/>
  <c r="AU414" i="33" s="1"/>
  <c r="AV414" i="33" s="1"/>
  <c r="AW414" i="33" s="1"/>
  <c r="AX414" i="33" s="1"/>
  <c r="AY414" i="33" s="1"/>
  <c r="AZ414" i="33" s="1"/>
  <c r="BA414" i="33" s="1"/>
  <c r="BB414" i="33" s="1"/>
  <c r="BC414" i="33" s="1"/>
  <c r="BD414" i="33" s="1"/>
  <c r="BE414" i="33" s="1"/>
  <c r="BF414" i="33" s="1"/>
  <c r="AR373" i="33"/>
  <c r="AR468" i="33"/>
  <c r="AS468" i="33" s="1"/>
  <c r="AT468" i="33" s="1"/>
  <c r="AU468" i="33" s="1"/>
  <c r="AV468" i="33" s="1"/>
  <c r="AW468" i="33" s="1"/>
  <c r="AX468" i="33" s="1"/>
  <c r="AY468" i="33" s="1"/>
  <c r="AZ468" i="33" s="1"/>
  <c r="BA468" i="33" s="1"/>
  <c r="BB468" i="33" s="1"/>
  <c r="BC468" i="33" s="1"/>
  <c r="BD468" i="33" s="1"/>
  <c r="BE468" i="33" s="1"/>
  <c r="BF468" i="33" s="1"/>
  <c r="AS256" i="33"/>
  <c r="AT256" i="33" s="1"/>
  <c r="AU256" i="33" s="1"/>
  <c r="AV256" i="33" s="1"/>
  <c r="AW256" i="33" s="1"/>
  <c r="AX256" i="33" s="1"/>
  <c r="AY256" i="33" s="1"/>
  <c r="AZ256" i="33" s="1"/>
  <c r="BA256" i="33" s="1"/>
  <c r="BB256" i="33" s="1"/>
  <c r="BC256" i="33" s="1"/>
  <c r="BD256" i="33" s="1"/>
  <c r="BE256" i="33" s="1"/>
  <c r="BF256" i="33" s="1"/>
  <c r="AR528" i="33"/>
  <c r="AS261" i="33"/>
  <c r="AT261" i="33" s="1"/>
  <c r="AU261" i="33" s="1"/>
  <c r="AV261" i="33" s="1"/>
  <c r="AW261" i="33" s="1"/>
  <c r="AX261" i="33" s="1"/>
  <c r="AY261" i="33" s="1"/>
  <c r="AZ261" i="33" s="1"/>
  <c r="BA261" i="33" s="1"/>
  <c r="BB261" i="33" s="1"/>
  <c r="BC261" i="33" s="1"/>
  <c r="BD261" i="33" s="1"/>
  <c r="BE261" i="33" s="1"/>
  <c r="BF261" i="33" s="1"/>
  <c r="N500" i="38"/>
  <c r="N514" i="38"/>
  <c r="P201" i="38"/>
  <c r="S570" i="38" s="1"/>
  <c r="O514" i="38"/>
  <c r="O500" i="38"/>
  <c r="DB58" i="28"/>
  <c r="DQ58" i="28" s="1"/>
  <c r="FP58" i="28"/>
  <c r="EM58" i="28"/>
  <c r="AZ58" i="28"/>
  <c r="AJ627" i="33"/>
  <c r="BO58" i="28"/>
  <c r="FB58" i="28" s="1" a="1"/>
  <c r="FB58" i="28" s="1"/>
  <c r="K635" i="38"/>
  <c r="O697" i="37" s="1" a="1"/>
  <c r="O697" i="37" s="1"/>
  <c r="K638" i="38"/>
  <c r="O721" i="37" s="1" a="1"/>
  <c r="O721" i="37" s="1"/>
  <c r="K640" i="38"/>
  <c r="O737" i="37" s="1" a="1"/>
  <c r="O737" i="37" s="1"/>
  <c r="K637" i="38"/>
  <c r="O713" i="37" s="1" a="1"/>
  <c r="O713" i="37" s="1"/>
  <c r="K639" i="38"/>
  <c r="O729" i="37" s="1" a="1"/>
  <c r="O729" i="37" s="1"/>
  <c r="K641" i="38"/>
  <c r="O745" i="37" s="1" a="1"/>
  <c r="O745" i="37" s="1"/>
  <c r="AO16" i="33"/>
  <c r="AN617" i="33"/>
  <c r="AO612" i="33"/>
  <c r="AO15" i="33" s="1"/>
  <c r="P388" i="38" s="1"/>
  <c r="BD28" i="28" s="1"/>
  <c r="AO616" i="33"/>
  <c r="AO19" i="33" s="1"/>
  <c r="P570" i="38"/>
  <c r="AN307" i="33"/>
  <c r="AN20" i="33"/>
  <c r="M514" i="38"/>
  <c r="M500" i="38"/>
  <c r="P177" i="37"/>
  <c r="F177" i="37" s="1"/>
  <c r="O9" i="37"/>
  <c r="P10" i="37"/>
  <c r="BG20" i="43" s="1"/>
  <c r="AP559" i="33"/>
  <c r="AP615" i="33" s="1"/>
  <c r="AP18" i="33" s="1"/>
  <c r="AP551" i="33"/>
  <c r="AP560" i="33"/>
  <c r="AQ271" i="33"/>
  <c r="AP581" i="33"/>
  <c r="AP583" i="33"/>
  <c r="AP582" i="33"/>
  <c r="AP573" i="33"/>
  <c r="AP576" i="33"/>
  <c r="AP569" i="33"/>
  <c r="AP561" i="33"/>
  <c r="AO584" i="33"/>
  <c r="AP554" i="33"/>
  <c r="AM6" i="33"/>
  <c r="AL625" i="33"/>
  <c r="AL624" i="33"/>
  <c r="AL11" i="33"/>
  <c r="AR323" i="33"/>
  <c r="AP296" i="33"/>
  <c r="AQ315" i="33"/>
  <c r="AP306" i="33"/>
  <c r="AQ325" i="33"/>
  <c r="AO292" i="33"/>
  <c r="AO611" i="33" s="1"/>
  <c r="AO14" i="33" s="1"/>
  <c r="AP305" i="33"/>
  <c r="AQ324" i="33"/>
  <c r="AN602" i="33"/>
  <c r="AN610" i="33" s="1"/>
  <c r="AN609" i="33" s="1"/>
  <c r="AP299" i="33"/>
  <c r="AP326" i="33"/>
  <c r="AP588" i="33" s="1" a="1"/>
  <c r="AP588" i="33" s="1"/>
  <c r="AQ318" i="33"/>
  <c r="AO479" i="33"/>
  <c r="AO597" i="33" s="1" a="1"/>
  <c r="AO597" i="33" s="1"/>
  <c r="AP464" i="33"/>
  <c r="AP502" i="33"/>
  <c r="AO517" i="33"/>
  <c r="AO600" i="33" s="1" a="1"/>
  <c r="AO600" i="33" s="1"/>
  <c r="AQ441" i="33"/>
  <c r="AQ595" i="33" s="1" a="1"/>
  <c r="AQ595" i="33" s="1"/>
  <c r="AR426" i="33"/>
  <c r="AO498" i="33"/>
  <c r="AO599" i="33" s="1" a="1"/>
  <c r="AO599" i="33" s="1"/>
  <c r="AP483" i="33"/>
  <c r="AO403" i="33"/>
  <c r="AO592" i="33" s="1" a="1"/>
  <c r="AO592" i="33" s="1"/>
  <c r="AP388" i="33"/>
  <c r="AP364" i="33"/>
  <c r="AP590" i="33" s="1" a="1"/>
  <c r="AP590" i="33" s="1"/>
  <c r="AQ349" i="33"/>
  <c r="AO384" i="33"/>
  <c r="AO591" i="33" s="1" a="1"/>
  <c r="AO591" i="33" s="1"/>
  <c r="AP369" i="33"/>
  <c r="AO562" i="33"/>
  <c r="AO607" i="33" s="1" a="1"/>
  <c r="AO607" i="33" s="1"/>
  <c r="AP547" i="33"/>
  <c r="AO422" i="33"/>
  <c r="AO593" i="33" s="1" a="1"/>
  <c r="AO593" i="33" s="1"/>
  <c r="AP407" i="33"/>
  <c r="AP460" i="33"/>
  <c r="AP596" i="33" s="1" a="1"/>
  <c r="AP596" i="33" s="1"/>
  <c r="AQ445" i="33"/>
  <c r="AO539" i="33"/>
  <c r="AO605" i="33" s="1" a="1"/>
  <c r="AO605" i="33" s="1"/>
  <c r="AP524" i="33"/>
  <c r="AQ345" i="33"/>
  <c r="AQ589" i="33" s="1" a="1"/>
  <c r="AQ589" i="33" s="1"/>
  <c r="AR330" i="33"/>
  <c r="AS311" i="33"/>
  <c r="AT254" i="33"/>
  <c r="GH58" i="28" l="1"/>
  <c r="BR20" i="43"/>
  <c r="CI58" i="28" s="1"/>
  <c r="AS376" i="33"/>
  <c r="AT376" i="33" s="1"/>
  <c r="AU376" i="33" s="1"/>
  <c r="AV376" i="33" s="1"/>
  <c r="AW376" i="33" s="1"/>
  <c r="AX376" i="33" s="1"/>
  <c r="AY376" i="33" s="1"/>
  <c r="AZ376" i="33" s="1"/>
  <c r="BA376" i="33" s="1"/>
  <c r="BB376" i="33" s="1"/>
  <c r="BC376" i="33" s="1"/>
  <c r="BD376" i="33" s="1"/>
  <c r="BE376" i="33" s="1"/>
  <c r="BF376" i="33" s="1"/>
  <c r="AR304" i="33"/>
  <c r="AS373" i="33"/>
  <c r="AT373" i="33" s="1"/>
  <c r="AU373" i="33" s="1"/>
  <c r="AV373" i="33" s="1"/>
  <c r="AW373" i="33" s="1"/>
  <c r="AX373" i="33" s="1"/>
  <c r="AY373" i="33" s="1"/>
  <c r="AZ373" i="33" s="1"/>
  <c r="BA373" i="33" s="1"/>
  <c r="BB373" i="33" s="1"/>
  <c r="BC373" i="33" s="1"/>
  <c r="BD373" i="33" s="1"/>
  <c r="BE373" i="33" s="1"/>
  <c r="BF373" i="33" s="1"/>
  <c r="AS381" i="33"/>
  <c r="AT381" i="33" s="1"/>
  <c r="AU381" i="33" s="1"/>
  <c r="AV381" i="33" s="1"/>
  <c r="AW381" i="33" s="1"/>
  <c r="AX381" i="33" s="1"/>
  <c r="AY381" i="33" s="1"/>
  <c r="AZ381" i="33" s="1"/>
  <c r="BA381" i="33" s="1"/>
  <c r="BB381" i="33" s="1"/>
  <c r="BC381" i="33" s="1"/>
  <c r="BD381" i="33" s="1"/>
  <c r="BE381" i="33" s="1"/>
  <c r="BF381" i="33" s="1"/>
  <c r="FD32" i="28"/>
  <c r="BR32" i="28"/>
  <c r="BZ9" i="37"/>
  <c r="EP31" i="28" s="1"/>
  <c r="EP28" i="28"/>
  <c r="AS383" i="33"/>
  <c r="AT383" i="33" s="1"/>
  <c r="AU383" i="33" s="1"/>
  <c r="AV383" i="33" s="1"/>
  <c r="AW383" i="33" s="1"/>
  <c r="AX383" i="33" s="1"/>
  <c r="AY383" i="33" s="1"/>
  <c r="AZ383" i="33" s="1"/>
  <c r="BA383" i="33" s="1"/>
  <c r="BB383" i="33" s="1"/>
  <c r="BC383" i="33" s="1"/>
  <c r="BD383" i="33" s="1"/>
  <c r="BE383" i="33" s="1"/>
  <c r="BF383" i="33" s="1"/>
  <c r="BY9" i="37"/>
  <c r="EO31" i="28" s="1"/>
  <c r="EO28" i="28"/>
  <c r="CA9" i="37" a="1"/>
  <c r="P392" i="38"/>
  <c r="BD32" i="28" s="1"/>
  <c r="P391" i="38"/>
  <c r="BD31" i="28" s="1"/>
  <c r="FD28" i="28" a="1"/>
  <c r="FD28" i="28" s="1"/>
  <c r="BR28" i="28"/>
  <c r="AS382" i="33"/>
  <c r="AT382" i="33" s="1"/>
  <c r="AU382" i="33" s="1"/>
  <c r="AV382" i="33" s="1"/>
  <c r="AW382" i="33" s="1"/>
  <c r="AX382" i="33" s="1"/>
  <c r="AY382" i="33" s="1"/>
  <c r="AZ382" i="33" s="1"/>
  <c r="BA382" i="33" s="1"/>
  <c r="BB382" i="33" s="1"/>
  <c r="BC382" i="33" s="1"/>
  <c r="BD382" i="33" s="1"/>
  <c r="BE382" i="33" s="1"/>
  <c r="BF382" i="33" s="1"/>
  <c r="FD31" i="28"/>
  <c r="BR31" i="28"/>
  <c r="FU37" i="28"/>
  <c r="FU38" i="28"/>
  <c r="FU34" i="28"/>
  <c r="FT40" i="28"/>
  <c r="FT38" i="28"/>
  <c r="FT37" i="28"/>
  <c r="FT34" i="28"/>
  <c r="AS440" i="33"/>
  <c r="AT440" i="33" s="1"/>
  <c r="AU440" i="33" s="1"/>
  <c r="AV440" i="33" s="1"/>
  <c r="AW440" i="33" s="1"/>
  <c r="AX440" i="33" s="1"/>
  <c r="AY440" i="33" s="1"/>
  <c r="AZ440" i="33" s="1"/>
  <c r="BA440" i="33" s="1"/>
  <c r="BB440" i="33" s="1"/>
  <c r="BC440" i="33" s="1"/>
  <c r="BD440" i="33" s="1"/>
  <c r="BE440" i="33" s="1"/>
  <c r="BF440" i="33" s="1"/>
  <c r="AS449" i="33"/>
  <c r="AT449" i="33" s="1"/>
  <c r="AU449" i="33" s="1"/>
  <c r="AV449" i="33" s="1"/>
  <c r="AW449" i="33" s="1"/>
  <c r="AX449" i="33" s="1"/>
  <c r="AY449" i="33" s="1"/>
  <c r="AZ449" i="33" s="1"/>
  <c r="BA449" i="33" s="1"/>
  <c r="BB449" i="33" s="1"/>
  <c r="BC449" i="33" s="1"/>
  <c r="BD449" i="33" s="1"/>
  <c r="BE449" i="33" s="1"/>
  <c r="BF449" i="33" s="1"/>
  <c r="AS439" i="33"/>
  <c r="AT439" i="33" s="1"/>
  <c r="AU439" i="33" s="1"/>
  <c r="AV439" i="33" s="1"/>
  <c r="AW439" i="33" s="1"/>
  <c r="AX439" i="33" s="1"/>
  <c r="AY439" i="33" s="1"/>
  <c r="AZ439" i="33" s="1"/>
  <c r="BA439" i="33" s="1"/>
  <c r="BB439" i="33" s="1"/>
  <c r="BC439" i="33" s="1"/>
  <c r="BD439" i="33" s="1"/>
  <c r="BE439" i="33" s="1"/>
  <c r="BF439" i="33" s="1"/>
  <c r="AS452" i="33"/>
  <c r="AT452" i="33" s="1"/>
  <c r="AU452" i="33" s="1"/>
  <c r="AV452" i="33" s="1"/>
  <c r="AW452" i="33" s="1"/>
  <c r="AX452" i="33" s="1"/>
  <c r="AY452" i="33" s="1"/>
  <c r="AZ452" i="33" s="1"/>
  <c r="BA452" i="33" s="1"/>
  <c r="BB452" i="33" s="1"/>
  <c r="BC452" i="33" s="1"/>
  <c r="BD452" i="33" s="1"/>
  <c r="BE452" i="33" s="1"/>
  <c r="BF452" i="33" s="1"/>
  <c r="AS400" i="33"/>
  <c r="AT400" i="33" s="1"/>
  <c r="AU400" i="33" s="1"/>
  <c r="AV400" i="33" s="1"/>
  <c r="AW400" i="33" s="1"/>
  <c r="AX400" i="33" s="1"/>
  <c r="AY400" i="33" s="1"/>
  <c r="AZ400" i="33" s="1"/>
  <c r="BA400" i="33" s="1"/>
  <c r="BB400" i="33" s="1"/>
  <c r="BC400" i="33" s="1"/>
  <c r="BD400" i="33" s="1"/>
  <c r="BE400" i="33" s="1"/>
  <c r="BF400" i="33" s="1"/>
  <c r="AS457" i="33"/>
  <c r="AT457" i="33" s="1"/>
  <c r="AU457" i="33" s="1"/>
  <c r="AV457" i="33" s="1"/>
  <c r="AW457" i="33" s="1"/>
  <c r="AX457" i="33" s="1"/>
  <c r="AY457" i="33" s="1"/>
  <c r="AZ457" i="33" s="1"/>
  <c r="BA457" i="33" s="1"/>
  <c r="BB457" i="33" s="1"/>
  <c r="BC457" i="33" s="1"/>
  <c r="BD457" i="33" s="1"/>
  <c r="BE457" i="33" s="1"/>
  <c r="BF457" i="33" s="1"/>
  <c r="AS395" i="33"/>
  <c r="AT395" i="33" s="1"/>
  <c r="AU395" i="33" s="1"/>
  <c r="AV395" i="33" s="1"/>
  <c r="AW395" i="33" s="1"/>
  <c r="AX395" i="33" s="1"/>
  <c r="AY395" i="33" s="1"/>
  <c r="AZ395" i="33" s="1"/>
  <c r="BA395" i="33" s="1"/>
  <c r="BB395" i="33" s="1"/>
  <c r="BC395" i="33" s="1"/>
  <c r="BD395" i="33" s="1"/>
  <c r="BE395" i="33" s="1"/>
  <c r="BF395" i="33" s="1"/>
  <c r="AS430" i="33"/>
  <c r="AT430" i="33" s="1"/>
  <c r="AU430" i="33" s="1"/>
  <c r="AV430" i="33" s="1"/>
  <c r="AW430" i="33" s="1"/>
  <c r="AX430" i="33" s="1"/>
  <c r="AY430" i="33" s="1"/>
  <c r="AZ430" i="33" s="1"/>
  <c r="BA430" i="33" s="1"/>
  <c r="BB430" i="33" s="1"/>
  <c r="BC430" i="33" s="1"/>
  <c r="BD430" i="33" s="1"/>
  <c r="BE430" i="33" s="1"/>
  <c r="BF430" i="33" s="1"/>
  <c r="AS361" i="33"/>
  <c r="AT361" i="33" s="1"/>
  <c r="AU361" i="33" s="1"/>
  <c r="AV361" i="33" s="1"/>
  <c r="AW361" i="33" s="1"/>
  <c r="AX361" i="33" s="1"/>
  <c r="AY361" i="33" s="1"/>
  <c r="AZ361" i="33" s="1"/>
  <c r="BA361" i="33" s="1"/>
  <c r="BB361" i="33" s="1"/>
  <c r="BC361" i="33" s="1"/>
  <c r="BD361" i="33" s="1"/>
  <c r="BE361" i="33" s="1"/>
  <c r="BF361" i="33" s="1"/>
  <c r="AS402" i="33"/>
  <c r="AT402" i="33" s="1"/>
  <c r="AU402" i="33" s="1"/>
  <c r="AV402" i="33" s="1"/>
  <c r="AW402" i="33" s="1"/>
  <c r="AX402" i="33" s="1"/>
  <c r="AY402" i="33" s="1"/>
  <c r="AZ402" i="33" s="1"/>
  <c r="BA402" i="33" s="1"/>
  <c r="BB402" i="33" s="1"/>
  <c r="BC402" i="33" s="1"/>
  <c r="BD402" i="33" s="1"/>
  <c r="BE402" i="33" s="1"/>
  <c r="BF402" i="33" s="1"/>
  <c r="AS528" i="33"/>
  <c r="AT528" i="33" s="1"/>
  <c r="AU528" i="33" s="1"/>
  <c r="AV528" i="33" s="1"/>
  <c r="AW528" i="33" s="1"/>
  <c r="AX528" i="33" s="1"/>
  <c r="AY528" i="33" s="1"/>
  <c r="AZ528" i="33" s="1"/>
  <c r="BA528" i="33" s="1"/>
  <c r="BB528" i="33" s="1"/>
  <c r="BC528" i="33" s="1"/>
  <c r="BD528" i="33" s="1"/>
  <c r="BE528" i="33" s="1"/>
  <c r="BF528" i="33" s="1"/>
  <c r="AS531" i="33"/>
  <c r="AT531" i="33" s="1"/>
  <c r="AU531" i="33" s="1"/>
  <c r="AV531" i="33" s="1"/>
  <c r="AW531" i="33" s="1"/>
  <c r="AX531" i="33" s="1"/>
  <c r="AY531" i="33" s="1"/>
  <c r="AZ531" i="33" s="1"/>
  <c r="BA531" i="33" s="1"/>
  <c r="BB531" i="33" s="1"/>
  <c r="BC531" i="33" s="1"/>
  <c r="BD531" i="33" s="1"/>
  <c r="BE531" i="33" s="1"/>
  <c r="BF531" i="33" s="1"/>
  <c r="AS438" i="33"/>
  <c r="AT438" i="33" s="1"/>
  <c r="AU438" i="33" s="1"/>
  <c r="AV438" i="33" s="1"/>
  <c r="AW438" i="33" s="1"/>
  <c r="AX438" i="33" s="1"/>
  <c r="AY438" i="33" s="1"/>
  <c r="AZ438" i="33" s="1"/>
  <c r="BA438" i="33" s="1"/>
  <c r="BB438" i="33" s="1"/>
  <c r="BC438" i="33" s="1"/>
  <c r="BD438" i="33" s="1"/>
  <c r="BE438" i="33" s="1"/>
  <c r="BF438" i="33" s="1"/>
  <c r="AS487" i="33"/>
  <c r="AT487" i="33" s="1"/>
  <c r="AU487" i="33" s="1"/>
  <c r="AV487" i="33" s="1"/>
  <c r="AW487" i="33" s="1"/>
  <c r="AX487" i="33" s="1"/>
  <c r="AY487" i="33" s="1"/>
  <c r="AZ487" i="33" s="1"/>
  <c r="BA487" i="33" s="1"/>
  <c r="BB487" i="33" s="1"/>
  <c r="BC487" i="33" s="1"/>
  <c r="BD487" i="33" s="1"/>
  <c r="BE487" i="33" s="1"/>
  <c r="BF487" i="33" s="1"/>
  <c r="AS514" i="33"/>
  <c r="AT514" i="33" s="1"/>
  <c r="AU514" i="33" s="1"/>
  <c r="AV514" i="33" s="1"/>
  <c r="AW514" i="33" s="1"/>
  <c r="AX514" i="33" s="1"/>
  <c r="AY514" i="33" s="1"/>
  <c r="AZ514" i="33" s="1"/>
  <c r="BA514" i="33" s="1"/>
  <c r="BB514" i="33" s="1"/>
  <c r="BC514" i="33" s="1"/>
  <c r="BD514" i="33" s="1"/>
  <c r="BE514" i="33" s="1"/>
  <c r="BF514" i="33" s="1"/>
  <c r="AS433" i="33"/>
  <c r="AT433" i="33" s="1"/>
  <c r="AU433" i="33" s="1"/>
  <c r="AV433" i="33" s="1"/>
  <c r="AW433" i="33" s="1"/>
  <c r="AX433" i="33" s="1"/>
  <c r="AY433" i="33" s="1"/>
  <c r="AZ433" i="33" s="1"/>
  <c r="BA433" i="33" s="1"/>
  <c r="BB433" i="33" s="1"/>
  <c r="BC433" i="33" s="1"/>
  <c r="BD433" i="33" s="1"/>
  <c r="BE433" i="33" s="1"/>
  <c r="BF433" i="33" s="1"/>
  <c r="AS363" i="33"/>
  <c r="AT363" i="33" s="1"/>
  <c r="AU363" i="33" s="1"/>
  <c r="AV363" i="33" s="1"/>
  <c r="AW363" i="33" s="1"/>
  <c r="AX363" i="33" s="1"/>
  <c r="AY363" i="33" s="1"/>
  <c r="AZ363" i="33" s="1"/>
  <c r="BA363" i="33" s="1"/>
  <c r="BB363" i="33" s="1"/>
  <c r="BC363" i="33" s="1"/>
  <c r="BD363" i="33" s="1"/>
  <c r="BE363" i="33" s="1"/>
  <c r="BF363" i="33" s="1"/>
  <c r="AS497" i="33"/>
  <c r="AT497" i="33" s="1"/>
  <c r="AU497" i="33" s="1"/>
  <c r="AV497" i="33" s="1"/>
  <c r="AW497" i="33" s="1"/>
  <c r="AX497" i="33" s="1"/>
  <c r="AY497" i="33" s="1"/>
  <c r="AZ497" i="33" s="1"/>
  <c r="BA497" i="33" s="1"/>
  <c r="BB497" i="33" s="1"/>
  <c r="BC497" i="33" s="1"/>
  <c r="BD497" i="33" s="1"/>
  <c r="BE497" i="33" s="1"/>
  <c r="BF497" i="33" s="1"/>
  <c r="AS353" i="33"/>
  <c r="AT353" i="33" s="1"/>
  <c r="AU353" i="33" s="1"/>
  <c r="AV353" i="33" s="1"/>
  <c r="AW353" i="33" s="1"/>
  <c r="AX353" i="33" s="1"/>
  <c r="AY353" i="33" s="1"/>
  <c r="AZ353" i="33" s="1"/>
  <c r="BA353" i="33" s="1"/>
  <c r="BB353" i="33" s="1"/>
  <c r="BC353" i="33" s="1"/>
  <c r="BD353" i="33" s="1"/>
  <c r="BE353" i="33" s="1"/>
  <c r="BF353" i="33" s="1"/>
  <c r="AS537" i="33"/>
  <c r="AT537" i="33" s="1"/>
  <c r="AU537" i="33" s="1"/>
  <c r="AV537" i="33" s="1"/>
  <c r="AW537" i="33" s="1"/>
  <c r="AX537" i="33" s="1"/>
  <c r="AY537" i="33" s="1"/>
  <c r="AZ537" i="33" s="1"/>
  <c r="BA537" i="33" s="1"/>
  <c r="BB537" i="33" s="1"/>
  <c r="BC537" i="33" s="1"/>
  <c r="BD537" i="33" s="1"/>
  <c r="BE537" i="33" s="1"/>
  <c r="BF537" i="33" s="1"/>
  <c r="AM11" i="33"/>
  <c r="Q10" i="37"/>
  <c r="GW58" i="28"/>
  <c r="N639" i="38"/>
  <c r="R729" i="37" s="1" a="1"/>
  <c r="R729" i="37" s="1"/>
  <c r="R724" i="37" s="1"/>
  <c r="R723" i="37" s="1"/>
  <c r="N635" i="38"/>
  <c r="R697" i="37" s="1" a="1"/>
  <c r="R697" i="37" s="1"/>
  <c r="R692" i="37" s="1"/>
  <c r="R691" i="37" s="1"/>
  <c r="N641" i="38"/>
  <c r="R745" i="37" s="1" a="1"/>
  <c r="R745" i="37" s="1"/>
  <c r="R740" i="37" s="1"/>
  <c r="R739" i="37" s="1"/>
  <c r="N638" i="38"/>
  <c r="R721" i="37" s="1" a="1"/>
  <c r="R721" i="37" s="1"/>
  <c r="R716" i="37" s="1"/>
  <c r="R715" i="37" s="1"/>
  <c r="N640" i="38"/>
  <c r="R737" i="37" s="1" a="1"/>
  <c r="R737" i="37" s="1"/>
  <c r="R732" i="37" s="1"/>
  <c r="R731" i="37" s="1"/>
  <c r="N637" i="38"/>
  <c r="R713" i="37" s="1" a="1"/>
  <c r="R713" i="37" s="1"/>
  <c r="R708" i="37" s="1"/>
  <c r="R707" i="37" s="1"/>
  <c r="DG34" i="28"/>
  <c r="DG86" i="28"/>
  <c r="DG37" i="28"/>
  <c r="DG38" i="28"/>
  <c r="DG39" i="28"/>
  <c r="DG40" i="28"/>
  <c r="AS515" i="33"/>
  <c r="AT515" i="33" s="1"/>
  <c r="AU515" i="33" s="1"/>
  <c r="AV515" i="33" s="1"/>
  <c r="AW515" i="33" s="1"/>
  <c r="AX515" i="33" s="1"/>
  <c r="AY515" i="33" s="1"/>
  <c r="AZ515" i="33" s="1"/>
  <c r="BA515" i="33" s="1"/>
  <c r="BB515" i="33" s="1"/>
  <c r="BC515" i="33" s="1"/>
  <c r="BD515" i="33" s="1"/>
  <c r="BE515" i="33" s="1"/>
  <c r="BF515" i="33" s="1"/>
  <c r="FU40" i="28"/>
  <c r="AS496" i="33"/>
  <c r="AT496" i="33" s="1"/>
  <c r="AU496" i="33" s="1"/>
  <c r="AV496" i="33" s="1"/>
  <c r="AW496" i="33" s="1"/>
  <c r="AX496" i="33" s="1"/>
  <c r="AY496" i="33" s="1"/>
  <c r="AZ496" i="33" s="1"/>
  <c r="BA496" i="33" s="1"/>
  <c r="BB496" i="33" s="1"/>
  <c r="BC496" i="33" s="1"/>
  <c r="BD496" i="33" s="1"/>
  <c r="BE496" i="33" s="1"/>
  <c r="BF496" i="33" s="1"/>
  <c r="AS536" i="33"/>
  <c r="AT536" i="33" s="1"/>
  <c r="AU536" i="33" s="1"/>
  <c r="AV536" i="33" s="1"/>
  <c r="AW536" i="33" s="1"/>
  <c r="AX536" i="33" s="1"/>
  <c r="AY536" i="33" s="1"/>
  <c r="AZ536" i="33" s="1"/>
  <c r="BA536" i="33" s="1"/>
  <c r="BB536" i="33" s="1"/>
  <c r="BC536" i="33" s="1"/>
  <c r="BD536" i="33" s="1"/>
  <c r="BE536" i="33" s="1"/>
  <c r="BF536" i="33" s="1"/>
  <c r="HB34" i="28"/>
  <c r="HB86" i="28"/>
  <c r="HB37" i="28"/>
  <c r="HB39" i="28"/>
  <c r="HB38" i="28"/>
  <c r="HB40" i="28"/>
  <c r="AS516" i="33"/>
  <c r="AT516" i="33" s="1"/>
  <c r="AU516" i="33" s="1"/>
  <c r="AV516" i="33" s="1"/>
  <c r="AW516" i="33" s="1"/>
  <c r="AX516" i="33" s="1"/>
  <c r="AY516" i="33" s="1"/>
  <c r="AZ516" i="33" s="1"/>
  <c r="BA516" i="33" s="1"/>
  <c r="BB516" i="33" s="1"/>
  <c r="BC516" i="33" s="1"/>
  <c r="BD516" i="33" s="1"/>
  <c r="BE516" i="33" s="1"/>
  <c r="BF516" i="33" s="1"/>
  <c r="AS506" i="33"/>
  <c r="AT506" i="33" s="1"/>
  <c r="AU506" i="33" s="1"/>
  <c r="AV506" i="33" s="1"/>
  <c r="AW506" i="33" s="1"/>
  <c r="AX506" i="33" s="1"/>
  <c r="AY506" i="33" s="1"/>
  <c r="AZ506" i="33" s="1"/>
  <c r="BA506" i="33" s="1"/>
  <c r="BB506" i="33" s="1"/>
  <c r="BC506" i="33" s="1"/>
  <c r="BD506" i="33" s="1"/>
  <c r="BE506" i="33" s="1"/>
  <c r="BF506" i="33" s="1"/>
  <c r="Q177" i="37"/>
  <c r="Q176" i="37" s="1"/>
  <c r="AS509" i="33"/>
  <c r="AT509" i="33" s="1"/>
  <c r="AU509" i="33" s="1"/>
  <c r="AV509" i="33" s="1"/>
  <c r="AW509" i="33" s="1"/>
  <c r="AX509" i="33" s="1"/>
  <c r="AY509" i="33" s="1"/>
  <c r="AZ509" i="33" s="1"/>
  <c r="BA509" i="33" s="1"/>
  <c r="BB509" i="33" s="1"/>
  <c r="BC509" i="33" s="1"/>
  <c r="BD509" i="33" s="1"/>
  <c r="BE509" i="33" s="1"/>
  <c r="BF509" i="33" s="1"/>
  <c r="AS356" i="33"/>
  <c r="AT356" i="33" s="1"/>
  <c r="AU356" i="33" s="1"/>
  <c r="AV356" i="33" s="1"/>
  <c r="AW356" i="33" s="1"/>
  <c r="AX356" i="33" s="1"/>
  <c r="AY356" i="33" s="1"/>
  <c r="AZ356" i="33" s="1"/>
  <c r="BA356" i="33" s="1"/>
  <c r="BB356" i="33" s="1"/>
  <c r="BC356" i="33" s="1"/>
  <c r="BD356" i="33" s="1"/>
  <c r="BE356" i="33" s="1"/>
  <c r="BF356" i="33" s="1"/>
  <c r="AS458" i="33"/>
  <c r="AT458" i="33" s="1"/>
  <c r="AU458" i="33" s="1"/>
  <c r="AV458" i="33" s="1"/>
  <c r="AW458" i="33" s="1"/>
  <c r="AX458" i="33" s="1"/>
  <c r="AY458" i="33" s="1"/>
  <c r="AZ458" i="33" s="1"/>
  <c r="BA458" i="33" s="1"/>
  <c r="BB458" i="33" s="1"/>
  <c r="BC458" i="33" s="1"/>
  <c r="BD458" i="33" s="1"/>
  <c r="BE458" i="33" s="1"/>
  <c r="BF458" i="33" s="1"/>
  <c r="M635" i="38"/>
  <c r="Q697" i="37" s="1" a="1"/>
  <c r="Q697" i="37" s="1"/>
  <c r="Q692" i="37" s="1"/>
  <c r="Q691" i="37" s="1"/>
  <c r="M641" i="38"/>
  <c r="Q745" i="37" s="1" a="1"/>
  <c r="Q745" i="37" s="1"/>
  <c r="Q740" i="37" s="1"/>
  <c r="Q739" i="37" s="1"/>
  <c r="M638" i="38"/>
  <c r="Q721" i="37" s="1" a="1"/>
  <c r="Q721" i="37" s="1"/>
  <c r="Q716" i="37" s="1"/>
  <c r="Q715" i="37" s="1"/>
  <c r="M640" i="38"/>
  <c r="Q737" i="37" s="1" a="1"/>
  <c r="Q737" i="37" s="1"/>
  <c r="Q732" i="37" s="1"/>
  <c r="Q731" i="37" s="1"/>
  <c r="M637" i="38"/>
  <c r="Q713" i="37" s="1" a="1"/>
  <c r="Q713" i="37" s="1"/>
  <c r="Q708" i="37" s="1"/>
  <c r="Q707" i="37" s="1"/>
  <c r="M639" i="38"/>
  <c r="Q729" i="37" s="1" a="1"/>
  <c r="Q729" i="37" s="1"/>
  <c r="Q724" i="37" s="1"/>
  <c r="Q723" i="37" s="1"/>
  <c r="DF34" i="28"/>
  <c r="DF86" i="28"/>
  <c r="DF37" i="28"/>
  <c r="DF40" i="28"/>
  <c r="DF39" i="28"/>
  <c r="DF38" i="28"/>
  <c r="HA34" i="28"/>
  <c r="HA86" i="28"/>
  <c r="HA37" i="28"/>
  <c r="HA39" i="28"/>
  <c r="HA40" i="28"/>
  <c r="HA38" i="28"/>
  <c r="GZ31" i="28"/>
  <c r="GZ34" i="28"/>
  <c r="GZ28" i="28"/>
  <c r="GZ32" i="28"/>
  <c r="GZ86" i="28"/>
  <c r="GZ37" i="28"/>
  <c r="GZ40" i="28"/>
  <c r="GZ39" i="28"/>
  <c r="GZ38" i="28"/>
  <c r="AS362" i="33"/>
  <c r="AT362" i="33" s="1"/>
  <c r="AU362" i="33" s="1"/>
  <c r="AV362" i="33" s="1"/>
  <c r="AW362" i="33" s="1"/>
  <c r="AX362" i="33" s="1"/>
  <c r="AY362" i="33" s="1"/>
  <c r="AZ362" i="33" s="1"/>
  <c r="BA362" i="33" s="1"/>
  <c r="BB362" i="33" s="1"/>
  <c r="BC362" i="33" s="1"/>
  <c r="BD362" i="33" s="1"/>
  <c r="BE362" i="33" s="1"/>
  <c r="BF362" i="33" s="1"/>
  <c r="AS495" i="33"/>
  <c r="AT495" i="33" s="1"/>
  <c r="AU495" i="33" s="1"/>
  <c r="AV495" i="33" s="1"/>
  <c r="AW495" i="33" s="1"/>
  <c r="AX495" i="33" s="1"/>
  <c r="AY495" i="33" s="1"/>
  <c r="AZ495" i="33" s="1"/>
  <c r="BA495" i="33" s="1"/>
  <c r="BB495" i="33" s="1"/>
  <c r="BC495" i="33" s="1"/>
  <c r="BD495" i="33" s="1"/>
  <c r="BE495" i="33" s="1"/>
  <c r="BF495" i="33" s="1"/>
  <c r="AS538" i="33"/>
  <c r="AT538" i="33" s="1"/>
  <c r="AU538" i="33" s="1"/>
  <c r="AV538" i="33" s="1"/>
  <c r="AW538" i="33" s="1"/>
  <c r="AX538" i="33" s="1"/>
  <c r="AY538" i="33" s="1"/>
  <c r="AZ538" i="33" s="1"/>
  <c r="BA538" i="33" s="1"/>
  <c r="BB538" i="33" s="1"/>
  <c r="BC538" i="33" s="1"/>
  <c r="BD538" i="33" s="1"/>
  <c r="BE538" i="33" s="1"/>
  <c r="BF538" i="33" s="1"/>
  <c r="AS459" i="33"/>
  <c r="AT459" i="33" s="1"/>
  <c r="AU459" i="33" s="1"/>
  <c r="AV459" i="33" s="1"/>
  <c r="AW459" i="33" s="1"/>
  <c r="AX459" i="33" s="1"/>
  <c r="AY459" i="33" s="1"/>
  <c r="AZ459" i="33" s="1"/>
  <c r="BA459" i="33" s="1"/>
  <c r="BB459" i="33" s="1"/>
  <c r="BC459" i="33" s="1"/>
  <c r="BD459" i="33" s="1"/>
  <c r="BE459" i="33" s="1"/>
  <c r="BF459" i="33" s="1"/>
  <c r="Q201" i="38"/>
  <c r="T570" i="38" s="1"/>
  <c r="P514" i="38"/>
  <c r="P500" i="38"/>
  <c r="AP614" i="33"/>
  <c r="AP17" i="33" s="1"/>
  <c r="P121" i="37"/>
  <c r="F10" i="37"/>
  <c r="AP613" i="33"/>
  <c r="AP16" i="33" s="1"/>
  <c r="CT58" i="28"/>
  <c r="FQ58" i="28"/>
  <c r="DC58" i="28"/>
  <c r="DR58" i="28" s="1"/>
  <c r="BP58" i="28"/>
  <c r="FC58" i="28" s="1" a="1"/>
  <c r="FC58" i="28" s="1"/>
  <c r="AK627" i="33"/>
  <c r="BA58" i="28"/>
  <c r="L635" i="38"/>
  <c r="P697" i="37" s="1" a="1"/>
  <c r="P697" i="37" s="1"/>
  <c r="L638" i="38"/>
  <c r="P721" i="37" s="1" a="1"/>
  <c r="P721" i="37" s="1"/>
  <c r="L640" i="38"/>
  <c r="P737" i="37" s="1" a="1"/>
  <c r="P737" i="37" s="1"/>
  <c r="L639" i="38"/>
  <c r="P729" i="37" s="1" a="1"/>
  <c r="P729" i="37" s="1"/>
  <c r="L637" i="38"/>
  <c r="P713" i="37" s="1" a="1"/>
  <c r="P713" i="37" s="1"/>
  <c r="L641" i="38"/>
  <c r="P745" i="37" s="1" a="1"/>
  <c r="P745" i="37" s="1"/>
  <c r="AP612" i="33"/>
  <c r="AP15" i="33" s="1"/>
  <c r="Q388" i="38" s="1"/>
  <c r="BE28" i="28" s="1"/>
  <c r="AP616" i="33"/>
  <c r="AP19" i="33" s="1"/>
  <c r="AO617" i="33"/>
  <c r="AO307" i="33"/>
  <c r="AO20" i="33"/>
  <c r="P176" i="37"/>
  <c r="P9" i="37"/>
  <c r="AQ559" i="33"/>
  <c r="AQ615" i="33" s="1"/>
  <c r="AQ18" i="33" s="1"/>
  <c r="AQ561" i="33"/>
  <c r="AQ560" i="33"/>
  <c r="AQ554" i="33"/>
  <c r="AR271" i="33"/>
  <c r="AQ581" i="33"/>
  <c r="AQ582" i="33"/>
  <c r="AQ569" i="33"/>
  <c r="AQ583" i="33"/>
  <c r="AQ576" i="33"/>
  <c r="AQ573" i="33"/>
  <c r="AP584" i="33"/>
  <c r="AQ551" i="33"/>
  <c r="AN6" i="33"/>
  <c r="AS323" i="33"/>
  <c r="AQ296" i="33"/>
  <c r="AR315" i="33"/>
  <c r="AQ306" i="33"/>
  <c r="AQ614" i="33" s="1"/>
  <c r="AQ17" i="33" s="1"/>
  <c r="AR325" i="33"/>
  <c r="AQ305" i="33"/>
  <c r="AR324" i="33"/>
  <c r="AP292" i="33"/>
  <c r="AP611" i="33" s="1"/>
  <c r="AP14" i="33" s="1"/>
  <c r="AQ299" i="33"/>
  <c r="AR318" i="33"/>
  <c r="AQ326" i="33"/>
  <c r="AQ588" i="33" s="1" a="1"/>
  <c r="AQ588" i="33" s="1"/>
  <c r="AO602" i="33"/>
  <c r="AO610" i="33" s="1"/>
  <c r="AO609" i="33" s="1"/>
  <c r="AQ460" i="33"/>
  <c r="AQ596" i="33" s="1" a="1"/>
  <c r="AQ596" i="33" s="1"/>
  <c r="AR445" i="33"/>
  <c r="AP517" i="33"/>
  <c r="AP600" i="33" s="1" a="1"/>
  <c r="AP600" i="33" s="1"/>
  <c r="AQ502" i="33"/>
  <c r="AR441" i="33"/>
  <c r="AR595" i="33" s="1" a="1"/>
  <c r="AR595" i="33" s="1"/>
  <c r="AS426" i="33"/>
  <c r="AQ407" i="33"/>
  <c r="AP422" i="33"/>
  <c r="AP593" i="33" s="1" a="1"/>
  <c r="AP593" i="33" s="1"/>
  <c r="AP403" i="33"/>
  <c r="AP592" i="33" s="1" a="1"/>
  <c r="AP592" i="33" s="1"/>
  <c r="AQ388" i="33"/>
  <c r="AQ464" i="33"/>
  <c r="AP479" i="33"/>
  <c r="AP597" i="33" s="1" a="1"/>
  <c r="AP597" i="33" s="1"/>
  <c r="AP384" i="33"/>
  <c r="AP591" i="33" s="1" a="1"/>
  <c r="AP591" i="33" s="1"/>
  <c r="AQ369" i="33"/>
  <c r="AP562" i="33"/>
  <c r="AP607" i="33" s="1" a="1"/>
  <c r="AP607" i="33" s="1"/>
  <c r="AQ547" i="33"/>
  <c r="AQ364" i="33"/>
  <c r="AQ590" i="33" s="1" a="1"/>
  <c r="AQ590" i="33" s="1"/>
  <c r="AR349" i="33"/>
  <c r="AP498" i="33"/>
  <c r="AP599" i="33" s="1" a="1"/>
  <c r="AP599" i="33" s="1"/>
  <c r="AQ483" i="33"/>
  <c r="AP539" i="33"/>
  <c r="AP605" i="33" s="1" a="1"/>
  <c r="AP605" i="33" s="1"/>
  <c r="AQ524" i="33"/>
  <c r="AS330" i="33"/>
  <c r="AR345" i="33"/>
  <c r="AR589" i="33" s="1" a="1"/>
  <c r="AR589" i="33" s="1"/>
  <c r="AT311" i="33"/>
  <c r="AU254" i="33"/>
  <c r="BG58" i="28" l="1"/>
  <c r="AQ58" i="28"/>
  <c r="CO58" i="28"/>
  <c r="BS28" i="28"/>
  <c r="FE28" i="28" a="1"/>
  <c r="FE28" i="28" s="1"/>
  <c r="FE32" i="28"/>
  <c r="BS32" i="28"/>
  <c r="CB9" i="37" a="1"/>
  <c r="Q392" i="38"/>
  <c r="BE32" i="28" s="1"/>
  <c r="Q391" i="38"/>
  <c r="BE31" i="28" s="1"/>
  <c r="CA9" i="37"/>
  <c r="EQ31" i="28" s="1"/>
  <c r="EQ28" i="28"/>
  <c r="BS31" i="28"/>
  <c r="FE31" i="28"/>
  <c r="FV38" i="28"/>
  <c r="FV37" i="28"/>
  <c r="FV34" i="28"/>
  <c r="FR58" i="28"/>
  <c r="R746" i="37"/>
  <c r="O639" i="38"/>
  <c r="S729" i="37" s="1" a="1"/>
  <c r="S729" i="37" s="1"/>
  <c r="S724" i="37" s="1"/>
  <c r="S723" i="37" s="1"/>
  <c r="S730" i="37" s="1"/>
  <c r="O635" i="38"/>
  <c r="S697" i="37" s="1" a="1"/>
  <c r="S697" i="37" s="1"/>
  <c r="S692" i="37" s="1"/>
  <c r="S691" i="37" s="1"/>
  <c r="S698" i="37" s="1"/>
  <c r="O641" i="38"/>
  <c r="S745" i="37" s="1" a="1"/>
  <c r="S745" i="37" s="1"/>
  <c r="S740" i="37" s="1"/>
  <c r="S739" i="37" s="1"/>
  <c r="S746" i="37" s="1"/>
  <c r="O637" i="38"/>
  <c r="S713" i="37" s="1" a="1"/>
  <c r="S713" i="37" s="1"/>
  <c r="S708" i="37" s="1"/>
  <c r="S707" i="37" s="1"/>
  <c r="S714" i="37" s="1"/>
  <c r="O638" i="38"/>
  <c r="S721" i="37" s="1" a="1"/>
  <c r="S721" i="37" s="1"/>
  <c r="S716" i="37" s="1"/>
  <c r="S715" i="37" s="1"/>
  <c r="S722" i="37" s="1"/>
  <c r="O640" i="38"/>
  <c r="S737" i="37" s="1" a="1"/>
  <c r="S737" i="37" s="1"/>
  <c r="S732" i="37" s="1"/>
  <c r="S731" i="37" s="1"/>
  <c r="S738" i="37" s="1"/>
  <c r="DH34" i="28"/>
  <c r="DH86" i="28"/>
  <c r="DH37" i="28"/>
  <c r="DH39" i="28"/>
  <c r="DH38" i="28"/>
  <c r="DH40" i="28"/>
  <c r="R698" i="37"/>
  <c r="R722" i="37"/>
  <c r="FV40" i="28"/>
  <c r="R730" i="37"/>
  <c r="HC34" i="28"/>
  <c r="HC86" i="28"/>
  <c r="HC37" i="28"/>
  <c r="HC39" i="28"/>
  <c r="HC40" i="28"/>
  <c r="HC38" i="28"/>
  <c r="Q9" i="37"/>
  <c r="Q121" i="37"/>
  <c r="Q120" i="37" s="1"/>
  <c r="AS304" i="33"/>
  <c r="AN11" i="33"/>
  <c r="R177" i="37"/>
  <c r="R176" i="37" s="1"/>
  <c r="R10" i="37"/>
  <c r="R714" i="37"/>
  <c r="R738" i="37"/>
  <c r="R201" i="38"/>
  <c r="U570" i="38" s="1"/>
  <c r="Q514" i="38"/>
  <c r="Q500" i="38"/>
  <c r="F121" i="37"/>
  <c r="P120" i="37"/>
  <c r="GI58" i="28"/>
  <c r="EN58" i="28"/>
  <c r="ET58" i="28" s="1"/>
  <c r="CP58" i="28"/>
  <c r="DD58" i="28"/>
  <c r="DS58" i="28" s="1"/>
  <c r="GX58" i="28"/>
  <c r="BQ58" i="28"/>
  <c r="FD58" i="28" s="1" a="1"/>
  <c r="FD58" i="28" s="1"/>
  <c r="BY58" i="28"/>
  <c r="AL627" i="33"/>
  <c r="AQ612" i="33"/>
  <c r="AQ15" i="33" s="1"/>
  <c r="R388" i="38" s="1"/>
  <c r="BF28" i="28" s="1"/>
  <c r="BG28" i="28" s="1"/>
  <c r="AQ616" i="33"/>
  <c r="AQ19" i="33" s="1"/>
  <c r="AQ613" i="33"/>
  <c r="AQ16" i="33" s="1"/>
  <c r="AP617" i="33"/>
  <c r="AP307" i="33"/>
  <c r="AP20" i="33"/>
  <c r="AR554" i="33"/>
  <c r="AR560" i="33"/>
  <c r="AR551" i="33"/>
  <c r="AS271" i="33"/>
  <c r="AR582" i="33"/>
  <c r="AR569" i="33"/>
  <c r="AR573" i="33"/>
  <c r="AR576" i="33"/>
  <c r="AR581" i="33"/>
  <c r="AR583" i="33"/>
  <c r="AR559" i="33"/>
  <c r="AR615" i="33" s="1"/>
  <c r="AR18" i="33" s="1"/>
  <c r="AQ584" i="33"/>
  <c r="AR561" i="33"/>
  <c r="AO6" i="33"/>
  <c r="AT323" i="33"/>
  <c r="AT304" i="33" s="1"/>
  <c r="AR296" i="33"/>
  <c r="AS315" i="33"/>
  <c r="AR306" i="33"/>
  <c r="AS325" i="33"/>
  <c r="AR305" i="33"/>
  <c r="AS324" i="33"/>
  <c r="AQ292" i="33"/>
  <c r="AQ611" i="33" s="1"/>
  <c r="AQ14" i="33" s="1"/>
  <c r="AR299" i="33"/>
  <c r="AS318" i="33"/>
  <c r="AR326" i="33"/>
  <c r="AR588" i="33" s="1" a="1"/>
  <c r="AR588" i="33" s="1"/>
  <c r="AP602" i="33"/>
  <c r="AP610" i="33" s="1"/>
  <c r="AP609" i="33" s="1"/>
  <c r="AQ517" i="33"/>
  <c r="AQ600" i="33" s="1" a="1"/>
  <c r="AQ600" i="33" s="1"/>
  <c r="AR502" i="33"/>
  <c r="AQ403" i="33"/>
  <c r="AQ592" i="33" s="1" a="1"/>
  <c r="AQ592" i="33" s="1"/>
  <c r="AR388" i="33"/>
  <c r="AR460" i="33"/>
  <c r="AR596" i="33" s="1" a="1"/>
  <c r="AR596" i="33" s="1"/>
  <c r="AS445" i="33"/>
  <c r="AS349" i="33"/>
  <c r="AR364" i="33"/>
  <c r="AR590" i="33" s="1" a="1"/>
  <c r="AR590" i="33" s="1"/>
  <c r="AQ498" i="33"/>
  <c r="AQ599" i="33" s="1" a="1"/>
  <c r="AQ599" i="33" s="1"/>
  <c r="AR483" i="33"/>
  <c r="AQ562" i="33"/>
  <c r="AQ607" i="33" s="1" a="1"/>
  <c r="AQ607" i="33" s="1"/>
  <c r="AR547" i="33"/>
  <c r="AR524" i="33"/>
  <c r="AQ539" i="33"/>
  <c r="AQ605" i="33" s="1" a="1"/>
  <c r="AQ605" i="33" s="1"/>
  <c r="AQ422" i="33"/>
  <c r="AQ593" i="33" s="1" a="1"/>
  <c r="AQ593" i="33" s="1"/>
  <c r="AR407" i="33"/>
  <c r="AR464" i="33"/>
  <c r="AQ479" i="33"/>
  <c r="AQ597" i="33" s="1" a="1"/>
  <c r="AQ597" i="33" s="1"/>
  <c r="AR369" i="33"/>
  <c r="AQ384" i="33"/>
  <c r="AQ591" i="33" s="1" a="1"/>
  <c r="AQ591" i="33" s="1"/>
  <c r="AS441" i="33"/>
  <c r="AS595" i="33" s="1" a="1"/>
  <c r="AS595" i="33" s="1"/>
  <c r="AT426" i="33"/>
  <c r="AT330" i="33"/>
  <c r="AS345" i="33"/>
  <c r="AS589" i="33" s="1" a="1"/>
  <c r="AS589" i="33" s="1"/>
  <c r="AU311" i="33"/>
  <c r="AV254" i="33"/>
  <c r="CC9" i="37" l="1" a="1"/>
  <c r="R392" i="38"/>
  <c r="BF32" i="28" s="1"/>
  <c r="BG32" i="28" s="1"/>
  <c r="R391" i="38"/>
  <c r="BF31" i="28" s="1"/>
  <c r="BG31" i="28" s="1"/>
  <c r="CB9" i="37"/>
  <c r="ER31" i="28" s="1"/>
  <c r="ER28" i="28"/>
  <c r="BT32" i="28"/>
  <c r="FF32" i="28"/>
  <c r="HA32" i="28"/>
  <c r="FF31" i="28"/>
  <c r="BT31" i="28"/>
  <c r="HA31" i="28"/>
  <c r="FF28" i="28" a="1"/>
  <c r="FF28" i="28" s="1"/>
  <c r="BT28" i="28"/>
  <c r="HA28" i="28"/>
  <c r="FW40" i="28"/>
  <c r="FW34" i="28"/>
  <c r="FW37" i="28"/>
  <c r="FW38" i="28"/>
  <c r="HD34" i="28"/>
  <c r="HD86" i="28"/>
  <c r="HD37" i="28"/>
  <c r="HD40" i="28"/>
  <c r="HD38" i="28"/>
  <c r="HD39" i="28"/>
  <c r="AO11" i="33"/>
  <c r="S177" i="37"/>
  <c r="S176" i="37" s="1"/>
  <c r="S10" i="37"/>
  <c r="R9" i="37"/>
  <c r="R121" i="37"/>
  <c r="R120" i="37" s="1"/>
  <c r="P637" i="38"/>
  <c r="T713" i="37" s="1" a="1"/>
  <c r="T713" i="37" s="1"/>
  <c r="T708" i="37" s="1"/>
  <c r="T707" i="37" s="1"/>
  <c r="T714" i="37" s="1"/>
  <c r="P639" i="38"/>
  <c r="T729" i="37" s="1" a="1"/>
  <c r="T729" i="37" s="1"/>
  <c r="T724" i="37" s="1"/>
  <c r="T723" i="37" s="1"/>
  <c r="T730" i="37" s="1"/>
  <c r="P635" i="38"/>
  <c r="T697" i="37" s="1" a="1"/>
  <c r="T697" i="37" s="1"/>
  <c r="T692" i="37" s="1"/>
  <c r="T691" i="37" s="1"/>
  <c r="T698" i="37" s="1"/>
  <c r="P641" i="38"/>
  <c r="T745" i="37" s="1" a="1"/>
  <c r="T745" i="37" s="1"/>
  <c r="T740" i="37" s="1"/>
  <c r="T739" i="37" s="1"/>
  <c r="T746" i="37" s="1"/>
  <c r="P638" i="38"/>
  <c r="T721" i="37" s="1" a="1"/>
  <c r="T721" i="37" s="1"/>
  <c r="T716" i="37" s="1"/>
  <c r="T715" i="37" s="1"/>
  <c r="T722" i="37" s="1"/>
  <c r="P640" i="38"/>
  <c r="T737" i="37" s="1" a="1"/>
  <c r="T737" i="37" s="1"/>
  <c r="T732" i="37" s="1"/>
  <c r="T731" i="37" s="1"/>
  <c r="T738" i="37" s="1"/>
  <c r="DI34" i="28"/>
  <c r="DI86" i="28"/>
  <c r="DI37" i="28"/>
  <c r="DI39" i="28"/>
  <c r="DI40" i="28"/>
  <c r="DI38" i="28"/>
  <c r="DE58" i="28"/>
  <c r="EB58" i="28" s="1"/>
  <c r="BR58" i="28"/>
  <c r="FE58" i="28" s="1" a="1"/>
  <c r="FE58" i="28" s="1"/>
  <c r="R514" i="38"/>
  <c r="R500" i="38"/>
  <c r="AR612" i="33"/>
  <c r="AR15" i="33" s="1"/>
  <c r="AR613" i="33"/>
  <c r="AR16" i="33" s="1"/>
  <c r="FS58" i="28"/>
  <c r="GY58" i="28"/>
  <c r="AR616" i="33"/>
  <c r="AR19" i="33" s="1"/>
  <c r="AR614" i="33"/>
  <c r="AR17" i="33" s="1"/>
  <c r="AQ617" i="33"/>
  <c r="AQ307" i="33"/>
  <c r="AQ20" i="33"/>
  <c r="AS561" i="33"/>
  <c r="AS559" i="33"/>
  <c r="AS615" i="33" s="1"/>
  <c r="AS18" i="33" s="1"/>
  <c r="AS551" i="33"/>
  <c r="AS560" i="33"/>
  <c r="AR584" i="33"/>
  <c r="AT271" i="33"/>
  <c r="AS581" i="33"/>
  <c r="AS576" i="33"/>
  <c r="AS569" i="33"/>
  <c r="AS573" i="33"/>
  <c r="AS582" i="33"/>
  <c r="AS583" i="33"/>
  <c r="AS554" i="33"/>
  <c r="AP6" i="33"/>
  <c r="AU323" i="33"/>
  <c r="AU304" i="33" s="1"/>
  <c r="AS296" i="33"/>
  <c r="AT315" i="33"/>
  <c r="AS306" i="33"/>
  <c r="AT325" i="33"/>
  <c r="AS305" i="33"/>
  <c r="AS616" i="33" s="1"/>
  <c r="AS19" i="33" s="1"/>
  <c r="AT324" i="33"/>
  <c r="AR292" i="33"/>
  <c r="AR611" i="33" s="1"/>
  <c r="AR14" i="33" s="1"/>
  <c r="AS299" i="33"/>
  <c r="AT318" i="33"/>
  <c r="AS326" i="33"/>
  <c r="AS588" i="33" s="1" a="1"/>
  <c r="AS588" i="33" s="1"/>
  <c r="AQ602" i="33"/>
  <c r="AQ610" i="33" s="1"/>
  <c r="AQ609" i="33" s="1"/>
  <c r="AS524" i="33"/>
  <c r="AR539" i="33"/>
  <c r="AR605" i="33" s="1" a="1"/>
  <c r="AR605" i="33" s="1"/>
  <c r="AS388" i="33"/>
  <c r="AR403" i="33"/>
  <c r="AR592" i="33" s="1" a="1"/>
  <c r="AR592" i="33" s="1"/>
  <c r="AR562" i="33"/>
  <c r="AR607" i="33" s="1" a="1"/>
  <c r="AR607" i="33" s="1"/>
  <c r="AS547" i="33"/>
  <c r="AS483" i="33"/>
  <c r="AR498" i="33"/>
  <c r="AR599" i="33" s="1" a="1"/>
  <c r="AR599" i="33" s="1"/>
  <c r="AS502" i="33"/>
  <c r="AR517" i="33"/>
  <c r="AR600" i="33" s="1" a="1"/>
  <c r="AR600" i="33" s="1"/>
  <c r="AS460" i="33"/>
  <c r="AS596" i="33" s="1" a="1"/>
  <c r="AS596" i="33" s="1"/>
  <c r="AT445" i="33"/>
  <c r="AS369" i="33"/>
  <c r="AR384" i="33"/>
  <c r="AR591" i="33" s="1" a="1"/>
  <c r="AR591" i="33" s="1"/>
  <c r="AR479" i="33"/>
  <c r="AR597" i="33" s="1" a="1"/>
  <c r="AR597" i="33" s="1"/>
  <c r="AS464" i="33"/>
  <c r="AR422" i="33"/>
  <c r="AR593" i="33" s="1" a="1"/>
  <c r="AR593" i="33" s="1"/>
  <c r="AS407" i="33"/>
  <c r="AT441" i="33"/>
  <c r="AT595" i="33" s="1" a="1"/>
  <c r="AT595" i="33" s="1"/>
  <c r="AU426" i="33"/>
  <c r="AS364" i="33"/>
  <c r="AS590" i="33" s="1" a="1"/>
  <c r="AS590" i="33" s="1"/>
  <c r="AT349" i="33"/>
  <c r="AT345" i="33"/>
  <c r="AT589" i="33" s="1" a="1"/>
  <c r="AT589" i="33" s="1"/>
  <c r="AU330" i="33"/>
  <c r="AV311" i="33"/>
  <c r="AW254" i="33"/>
  <c r="FG32" i="28" l="1"/>
  <c r="BU32" i="28"/>
  <c r="HB32" i="28"/>
  <c r="FG28" i="28" a="1"/>
  <c r="FG28" i="28" s="1"/>
  <c r="BU28" i="28"/>
  <c r="HB28" i="28"/>
  <c r="AS614" i="33"/>
  <c r="AS17" i="33" s="1"/>
  <c r="FG31" i="28"/>
  <c r="BU31" i="28"/>
  <c r="HB31" i="28"/>
  <c r="CC9" i="37"/>
  <c r="ES31" i="28" s="1"/>
  <c r="ES28" i="28"/>
  <c r="FX40" i="28"/>
  <c r="FX38" i="28"/>
  <c r="FX37" i="28"/>
  <c r="FX34" i="28"/>
  <c r="S121" i="37"/>
  <c r="S120" i="37" s="1"/>
  <c r="S9" i="37"/>
  <c r="AP11" i="33"/>
  <c r="T177" i="37"/>
  <c r="T176" i="37" s="1"/>
  <c r="T10" i="37"/>
  <c r="Q640" i="38"/>
  <c r="U737" i="37" s="1" a="1"/>
  <c r="U737" i="37" s="1"/>
  <c r="U732" i="37" s="1"/>
  <c r="U731" i="37" s="1"/>
  <c r="U738" i="37" s="1"/>
  <c r="Q637" i="38"/>
  <c r="U713" i="37" s="1" a="1"/>
  <c r="U713" i="37" s="1"/>
  <c r="U708" i="37" s="1"/>
  <c r="U707" i="37" s="1"/>
  <c r="U714" i="37" s="1"/>
  <c r="Q639" i="38"/>
  <c r="U729" i="37" s="1" a="1"/>
  <c r="U729" i="37" s="1"/>
  <c r="U724" i="37" s="1"/>
  <c r="U723" i="37" s="1"/>
  <c r="U730" i="37" s="1"/>
  <c r="Q635" i="38"/>
  <c r="U697" i="37" s="1" a="1"/>
  <c r="U697" i="37" s="1"/>
  <c r="U692" i="37" s="1"/>
  <c r="U691" i="37" s="1"/>
  <c r="U698" i="37" s="1"/>
  <c r="Q641" i="38"/>
  <c r="U745" i="37" s="1" a="1"/>
  <c r="U745" i="37" s="1"/>
  <c r="U740" i="37" s="1"/>
  <c r="U739" i="37" s="1"/>
  <c r="U746" i="37" s="1"/>
  <c r="Q638" i="38"/>
  <c r="U721" i="37" s="1" a="1"/>
  <c r="U721" i="37" s="1"/>
  <c r="U716" i="37" s="1"/>
  <c r="U715" i="37" s="1"/>
  <c r="U722" i="37" s="1"/>
  <c r="DJ34" i="28"/>
  <c r="DJ86" i="28"/>
  <c r="DJ37" i="28"/>
  <c r="DJ40" i="28"/>
  <c r="DJ38" i="28"/>
  <c r="DJ39" i="28"/>
  <c r="DT58" i="28"/>
  <c r="DF58" i="28"/>
  <c r="BS58" i="28"/>
  <c r="GZ58" i="28"/>
  <c r="AS612" i="33"/>
  <c r="AS15" i="33" s="1"/>
  <c r="AS613" i="33"/>
  <c r="AS16" i="33" s="1"/>
  <c r="AR617" i="33"/>
  <c r="AR307" i="33"/>
  <c r="AR20" i="33"/>
  <c r="AT560" i="33"/>
  <c r="AT551" i="33"/>
  <c r="AT554" i="33"/>
  <c r="AS584" i="33"/>
  <c r="AU271" i="33"/>
  <c r="AT573" i="33"/>
  <c r="AT569" i="33"/>
  <c r="AT583" i="33"/>
  <c r="AT582" i="33"/>
  <c r="AT576" i="33"/>
  <c r="AT581" i="33"/>
  <c r="AT559" i="33"/>
  <c r="AT615" i="33" s="1"/>
  <c r="AT18" i="33" s="1"/>
  <c r="AT561" i="33"/>
  <c r="AQ6" i="33"/>
  <c r="AV323" i="33"/>
  <c r="AV304" i="33" s="1"/>
  <c r="AT296" i="33"/>
  <c r="AU315" i="33"/>
  <c r="AT306" i="33"/>
  <c r="AU325" i="33"/>
  <c r="AT305" i="33"/>
  <c r="AU324" i="33"/>
  <c r="AS292" i="33"/>
  <c r="AS611" i="33" s="1"/>
  <c r="AR602" i="33"/>
  <c r="AR610" i="33" s="1"/>
  <c r="AR609" i="33" s="1"/>
  <c r="AT299" i="33"/>
  <c r="AT326" i="33"/>
  <c r="AT588" i="33" s="1" a="1"/>
  <c r="AT588" i="33" s="1"/>
  <c r="AU318" i="33"/>
  <c r="AU445" i="33"/>
  <c r="AT460" i="33"/>
  <c r="AT596" i="33" s="1" a="1"/>
  <c r="AT596" i="33" s="1"/>
  <c r="AS403" i="33"/>
  <c r="AS592" i="33" s="1" a="1"/>
  <c r="AS592" i="33" s="1"/>
  <c r="AT388" i="33"/>
  <c r="AT369" i="33"/>
  <c r="AS384" i="33"/>
  <c r="AS591" i="33" s="1" a="1"/>
  <c r="AS591" i="33" s="1"/>
  <c r="AS517" i="33"/>
  <c r="AS600" i="33" s="1" a="1"/>
  <c r="AS600" i="33" s="1"/>
  <c r="AT502" i="33"/>
  <c r="AS479" i="33"/>
  <c r="AS597" i="33" s="1" a="1"/>
  <c r="AS597" i="33" s="1"/>
  <c r="AT464" i="33"/>
  <c r="AT524" i="33"/>
  <c r="AS539" i="33"/>
  <c r="AS605" i="33" s="1" a="1"/>
  <c r="AS605" i="33" s="1"/>
  <c r="AS422" i="33"/>
  <c r="AS593" i="33" s="1" a="1"/>
  <c r="AS593" i="33" s="1"/>
  <c r="AT407" i="33"/>
  <c r="AT364" i="33"/>
  <c r="AT590" i="33" s="1" a="1"/>
  <c r="AT590" i="33" s="1"/>
  <c r="AU349" i="33"/>
  <c r="AT483" i="33"/>
  <c r="AS498" i="33"/>
  <c r="AS599" i="33" s="1" a="1"/>
  <c r="AS599" i="33" s="1"/>
  <c r="AU441" i="33"/>
  <c r="AU595" i="33" s="1" a="1"/>
  <c r="AU595" i="33" s="1"/>
  <c r="AV426" i="33"/>
  <c r="AS562" i="33"/>
  <c r="AS607" i="33" s="1" a="1"/>
  <c r="AS607" i="33" s="1"/>
  <c r="AT547" i="33"/>
  <c r="AU345" i="33"/>
  <c r="AU589" i="33" s="1" a="1"/>
  <c r="AU589" i="33" s="1"/>
  <c r="AV330" i="33"/>
  <c r="AW311" i="33"/>
  <c r="AX254" i="33"/>
  <c r="FH31" i="28" l="1"/>
  <c r="BV31" i="28"/>
  <c r="HC31" i="28"/>
  <c r="FH32" i="28"/>
  <c r="BV32" i="28"/>
  <c r="HC32" i="28"/>
  <c r="FH28" i="28" a="1"/>
  <c r="FH28" i="28" s="1"/>
  <c r="BV28" i="28"/>
  <c r="HC28" i="28"/>
  <c r="HA58" i="28"/>
  <c r="FF58" i="28" a="1"/>
  <c r="FF58" i="28" s="1"/>
  <c r="AQ11" i="33"/>
  <c r="U177" i="37"/>
  <c r="U176" i="37" s="1"/>
  <c r="U10" i="37"/>
  <c r="T9" i="37"/>
  <c r="T121" i="37"/>
  <c r="T120" i="37" s="1"/>
  <c r="FT58" i="28"/>
  <c r="DG58" i="28"/>
  <c r="DU58" i="28"/>
  <c r="BT58" i="28"/>
  <c r="FG58" i="28" s="1" a="1"/>
  <c r="FG58" i="28" s="1"/>
  <c r="AT616" i="33"/>
  <c r="AT19" i="33" s="1"/>
  <c r="AS617" i="33"/>
  <c r="AS14" i="33"/>
  <c r="AT614" i="33"/>
  <c r="AT17" i="33" s="1"/>
  <c r="AT613" i="33"/>
  <c r="AT16" i="33" s="1"/>
  <c r="AT612" i="33"/>
  <c r="AT15" i="33" s="1"/>
  <c r="AS307" i="33"/>
  <c r="AS20" i="33"/>
  <c r="AU560" i="33"/>
  <c r="AU551" i="33"/>
  <c r="AU561" i="33"/>
  <c r="AV271" i="33"/>
  <c r="AU576" i="33"/>
  <c r="AU581" i="33"/>
  <c r="AU569" i="33"/>
  <c r="AU582" i="33"/>
  <c r="AU583" i="33"/>
  <c r="AU573" i="33"/>
  <c r="AU559" i="33"/>
  <c r="AU615" i="33" s="1"/>
  <c r="AU18" i="33" s="1"/>
  <c r="AT584" i="33"/>
  <c r="AU554" i="33"/>
  <c r="AR6" i="33"/>
  <c r="AR11" i="33" s="1"/>
  <c r="AW323" i="33"/>
  <c r="AW304" i="33" s="1"/>
  <c r="AU296" i="33"/>
  <c r="AU612" i="33" s="1"/>
  <c r="AU15" i="33" s="1"/>
  <c r="AV315" i="33"/>
  <c r="AU306" i="33"/>
  <c r="AV325" i="33"/>
  <c r="AU305" i="33"/>
  <c r="AV324" i="33"/>
  <c r="AU299" i="33"/>
  <c r="AU326" i="33"/>
  <c r="AU588" i="33" s="1" a="1"/>
  <c r="AU588" i="33" s="1"/>
  <c r="AV318" i="33"/>
  <c r="AS602" i="33"/>
  <c r="AS610" i="33" s="1"/>
  <c r="AS609" i="33" s="1"/>
  <c r="AT292" i="33"/>
  <c r="AT611" i="33" s="1"/>
  <c r="AT403" i="33"/>
  <c r="AT592" i="33" s="1" a="1"/>
  <c r="AT592" i="33" s="1"/>
  <c r="AU388" i="33"/>
  <c r="AU464" i="33"/>
  <c r="AT479" i="33"/>
  <c r="AT597" i="33" s="1" a="1"/>
  <c r="AT597" i="33" s="1"/>
  <c r="AV441" i="33"/>
  <c r="AV595" i="33" s="1" a="1"/>
  <c r="AV595" i="33" s="1"/>
  <c r="AW426" i="33"/>
  <c r="AU524" i="33"/>
  <c r="AT539" i="33"/>
  <c r="AT605" i="33" s="1" a="1"/>
  <c r="AT605" i="33" s="1"/>
  <c r="AU483" i="33"/>
  <c r="AT498" i="33"/>
  <c r="AT599" i="33" s="1" a="1"/>
  <c r="AT599" i="33" s="1"/>
  <c r="AU407" i="33"/>
  <c r="AT422" i="33"/>
  <c r="AT593" i="33" s="1" a="1"/>
  <c r="AT593" i="33" s="1"/>
  <c r="AT384" i="33"/>
  <c r="AT591" i="33" s="1" a="1"/>
  <c r="AT591" i="33" s="1"/>
  <c r="AU369" i="33"/>
  <c r="AV349" i="33"/>
  <c r="AU364" i="33"/>
  <c r="AU590" i="33" s="1" a="1"/>
  <c r="AU590" i="33" s="1"/>
  <c r="AV445" i="33"/>
  <c r="AU460" i="33"/>
  <c r="AU596" i="33" s="1" a="1"/>
  <c r="AU596" i="33" s="1"/>
  <c r="AU547" i="33"/>
  <c r="AT562" i="33"/>
  <c r="AT607" i="33" s="1" a="1"/>
  <c r="AT607" i="33" s="1"/>
  <c r="AU502" i="33"/>
  <c r="AT517" i="33"/>
  <c r="AT600" i="33" s="1" a="1"/>
  <c r="AT600" i="33" s="1"/>
  <c r="AV345" i="33"/>
  <c r="AV589" i="33" s="1" a="1"/>
  <c r="AV589" i="33" s="1"/>
  <c r="AW330" i="33"/>
  <c r="AX311" i="33"/>
  <c r="AY254" i="33"/>
  <c r="FI28" i="28" l="1" a="1"/>
  <c r="FI28" i="28" s="1"/>
  <c r="HD28" i="28"/>
  <c r="FI32" i="28"/>
  <c r="HD32" i="28"/>
  <c r="FI31" i="28"/>
  <c r="HD31" i="28"/>
  <c r="AU613" i="33"/>
  <c r="AU16" i="33" s="1"/>
  <c r="U121" i="37"/>
  <c r="U120" i="37" s="1"/>
  <c r="U9" i="37"/>
  <c r="DV58" i="28"/>
  <c r="FU58" i="28"/>
  <c r="DH58" i="28"/>
  <c r="BU58" i="28"/>
  <c r="FH58" i="28" s="1" a="1"/>
  <c r="FH58" i="28" s="1"/>
  <c r="HB58" i="28"/>
  <c r="AU616" i="33"/>
  <c r="AU19" i="33" s="1"/>
  <c r="AT617" i="33"/>
  <c r="AT14" i="33"/>
  <c r="AU614" i="33"/>
  <c r="AU17" i="33" s="1"/>
  <c r="AT307" i="33"/>
  <c r="AT20" i="33"/>
  <c r="AV551" i="33"/>
  <c r="AV559" i="33"/>
  <c r="AV615" i="33" s="1"/>
  <c r="AV18" i="33" s="1"/>
  <c r="AV561" i="33"/>
  <c r="AV554" i="33"/>
  <c r="AU584" i="33"/>
  <c r="AW271" i="33"/>
  <c r="AV583" i="33"/>
  <c r="AV581" i="33"/>
  <c r="AV573" i="33"/>
  <c r="AV582" i="33"/>
  <c r="AV569" i="33"/>
  <c r="AV576" i="33"/>
  <c r="AV560" i="33"/>
  <c r="AS6" i="33"/>
  <c r="AS11" i="33" s="1"/>
  <c r="AX323" i="33"/>
  <c r="AX304" i="33" s="1"/>
  <c r="AV296" i="33"/>
  <c r="AW315" i="33"/>
  <c r="AV306" i="33"/>
  <c r="AW325" i="33"/>
  <c r="AV305" i="33"/>
  <c r="AW324" i="33"/>
  <c r="AU292" i="33"/>
  <c r="AU611" i="33" s="1"/>
  <c r="AT602" i="33"/>
  <c r="AT610" i="33" s="1"/>
  <c r="AT609" i="33" s="1"/>
  <c r="AV299" i="33"/>
  <c r="AW318" i="33"/>
  <c r="AV326" i="33"/>
  <c r="AV588" i="33" s="1" a="1"/>
  <c r="AV588" i="33" s="1"/>
  <c r="AU384" i="33"/>
  <c r="AU591" i="33" s="1" a="1"/>
  <c r="AU591" i="33" s="1"/>
  <c r="AV369" i="33"/>
  <c r="AU539" i="33"/>
  <c r="AU605" i="33" s="1" a="1"/>
  <c r="AU605" i="33" s="1"/>
  <c r="AV524" i="33"/>
  <c r="AV364" i="33"/>
  <c r="AV590" i="33" s="1" a="1"/>
  <c r="AV590" i="33" s="1"/>
  <c r="AW349" i="33"/>
  <c r="AX426" i="33"/>
  <c r="AW441" i="33"/>
  <c r="AW595" i="33" s="1" a="1"/>
  <c r="AW595" i="33" s="1"/>
  <c r="AU562" i="33"/>
  <c r="AU607" i="33" s="1" a="1"/>
  <c r="AU607" i="33" s="1"/>
  <c r="AV547" i="33"/>
  <c r="AU422" i="33"/>
  <c r="AU593" i="33" s="1" a="1"/>
  <c r="AU593" i="33" s="1"/>
  <c r="AV407" i="33"/>
  <c r="AU479" i="33"/>
  <c r="AU597" i="33" s="1" a="1"/>
  <c r="AU597" i="33" s="1"/>
  <c r="AV464" i="33"/>
  <c r="AW445" i="33"/>
  <c r="AV460" i="33"/>
  <c r="AV596" i="33" s="1" a="1"/>
  <c r="AV596" i="33" s="1"/>
  <c r="AU403" i="33"/>
  <c r="AU592" i="33" s="1" a="1"/>
  <c r="AU592" i="33" s="1"/>
  <c r="AV388" i="33"/>
  <c r="AU517" i="33"/>
  <c r="AU600" i="33" s="1" a="1"/>
  <c r="AU600" i="33" s="1"/>
  <c r="AV502" i="33"/>
  <c r="AU498" i="33"/>
  <c r="AU599" i="33" s="1" a="1"/>
  <c r="AU599" i="33" s="1"/>
  <c r="AV483" i="33"/>
  <c r="AX330" i="33"/>
  <c r="AW345" i="33"/>
  <c r="AW589" i="33" s="1" a="1"/>
  <c r="AW589" i="33" s="1"/>
  <c r="AY311" i="33"/>
  <c r="AZ254" i="33"/>
  <c r="AV613" i="33" l="1"/>
  <c r="DW58" i="28"/>
  <c r="DI58" i="28"/>
  <c r="FV58" i="28"/>
  <c r="BV58" i="28"/>
  <c r="FI58" i="28" s="1" a="1"/>
  <c r="FI58" i="28" s="1"/>
  <c r="HC58" i="28"/>
  <c r="AV614" i="33"/>
  <c r="AV17" i="33" s="1"/>
  <c r="AV16" i="33"/>
  <c r="AV612" i="33"/>
  <c r="AV15" i="33" s="1"/>
  <c r="AU14" i="33"/>
  <c r="AU20" i="33" s="1"/>
  <c r="AU617" i="33"/>
  <c r="AV616" i="33"/>
  <c r="AV19" i="33" s="1"/>
  <c r="AU307" i="33"/>
  <c r="AW560" i="33"/>
  <c r="AW554" i="33"/>
  <c r="AW561" i="33"/>
  <c r="AV584" i="33"/>
  <c r="AX271" i="33"/>
  <c r="AW582" i="33"/>
  <c r="AW573" i="33"/>
  <c r="AW569" i="33"/>
  <c r="AW576" i="33"/>
  <c r="AW581" i="33"/>
  <c r="AW583" i="33"/>
  <c r="AW559" i="33"/>
  <c r="AW615" i="33" s="1"/>
  <c r="AW18" i="33" s="1"/>
  <c r="AW551" i="33"/>
  <c r="AT6" i="33"/>
  <c r="AT11" i="33" s="1"/>
  <c r="AY323" i="33"/>
  <c r="AY304" i="33" s="1"/>
  <c r="AW296" i="33"/>
  <c r="AX315" i="33"/>
  <c r="AW306" i="33"/>
  <c r="AX325" i="33"/>
  <c r="AW305" i="33"/>
  <c r="AX324" i="33"/>
  <c r="AV292" i="33"/>
  <c r="AV611" i="33" s="1"/>
  <c r="AV14" i="33" s="1"/>
  <c r="AU602" i="33"/>
  <c r="AU610" i="33" s="1"/>
  <c r="AU609" i="33" s="1"/>
  <c r="AW299" i="33"/>
  <c r="AX318" i="33"/>
  <c r="AW326" i="33"/>
  <c r="AW588" i="33" s="1" a="1"/>
  <c r="AW588" i="33" s="1"/>
  <c r="AW502" i="33"/>
  <c r="AV517" i="33"/>
  <c r="AV600" i="33" s="1" a="1"/>
  <c r="AV600" i="33" s="1"/>
  <c r="AW407" i="33"/>
  <c r="AV422" i="33"/>
  <c r="AV593" i="33" s="1" a="1"/>
  <c r="AV593" i="33" s="1"/>
  <c r="AV539" i="33"/>
  <c r="AV605" i="33" s="1" a="1"/>
  <c r="AV605" i="33" s="1"/>
  <c r="AW524" i="33"/>
  <c r="AV562" i="33"/>
  <c r="AV607" i="33" s="1" a="1"/>
  <c r="AV607" i="33" s="1"/>
  <c r="AW547" i="33"/>
  <c r="AW369" i="33"/>
  <c r="AV384" i="33"/>
  <c r="AV591" i="33" s="1" a="1"/>
  <c r="AV591" i="33" s="1"/>
  <c r="AV403" i="33"/>
  <c r="AV592" i="33" s="1" a="1"/>
  <c r="AV592" i="33" s="1"/>
  <c r="AW388" i="33"/>
  <c r="AW483" i="33"/>
  <c r="AV498" i="33"/>
  <c r="AV599" i="33" s="1" a="1"/>
  <c r="AV599" i="33" s="1"/>
  <c r="AX445" i="33"/>
  <c r="AW460" i="33"/>
  <c r="AW596" i="33" s="1" a="1"/>
  <c r="AW596" i="33" s="1"/>
  <c r="AX441" i="33"/>
  <c r="AX595" i="33" s="1" a="1"/>
  <c r="AX595" i="33" s="1"/>
  <c r="AY426" i="33"/>
  <c r="AV479" i="33"/>
  <c r="AV597" i="33" s="1" a="1"/>
  <c r="AV597" i="33" s="1"/>
  <c r="AW464" i="33"/>
  <c r="AX349" i="33"/>
  <c r="AW364" i="33"/>
  <c r="AW590" i="33" s="1" a="1"/>
  <c r="AW590" i="33" s="1"/>
  <c r="AX345" i="33"/>
  <c r="AX589" i="33" s="1" a="1"/>
  <c r="AX589" i="33" s="1"/>
  <c r="AY330" i="33"/>
  <c r="AZ311" i="33"/>
  <c r="BA254" i="33"/>
  <c r="AX551" i="33" l="1"/>
  <c r="FW58" i="28"/>
  <c r="DJ58" i="28"/>
  <c r="DX58" i="28"/>
  <c r="HD58" i="28"/>
  <c r="AW616" i="33"/>
  <c r="AW19" i="33" s="1"/>
  <c r="AW614" i="33"/>
  <c r="AW17" i="33" s="1"/>
  <c r="AW613" i="33"/>
  <c r="AW612" i="33"/>
  <c r="AW15" i="33" s="1"/>
  <c r="AV617" i="33"/>
  <c r="AV307" i="33"/>
  <c r="AV20" i="33"/>
  <c r="AX559" i="33"/>
  <c r="AX615" i="33" s="1"/>
  <c r="AX18" i="33" s="1"/>
  <c r="AX560" i="33"/>
  <c r="AX561" i="33"/>
  <c r="AX554" i="33"/>
  <c r="AW584" i="33"/>
  <c r="AY271" i="33"/>
  <c r="AY551" i="33" s="1"/>
  <c r="AX576" i="33"/>
  <c r="AX569" i="33"/>
  <c r="AX573" i="33"/>
  <c r="AX582" i="33"/>
  <c r="AX583" i="33"/>
  <c r="AX581" i="33"/>
  <c r="AU6" i="33"/>
  <c r="AU11" i="33" s="1"/>
  <c r="AZ323" i="33"/>
  <c r="AZ304" i="33" s="1"/>
  <c r="AX296" i="33"/>
  <c r="AX612" i="33" s="1"/>
  <c r="AY315" i="33"/>
  <c r="AX306" i="33"/>
  <c r="AX614" i="33" s="1"/>
  <c r="AX17" i="33" s="1"/>
  <c r="AY325" i="33"/>
  <c r="AX305" i="33"/>
  <c r="AY324" i="33"/>
  <c r="AW292" i="33"/>
  <c r="AW611" i="33" s="1"/>
  <c r="AW14" i="33" s="1"/>
  <c r="AV602" i="33"/>
  <c r="AV610" i="33" s="1"/>
  <c r="AV609" i="33" s="1"/>
  <c r="AX299" i="33"/>
  <c r="AX326" i="33"/>
  <c r="AX588" i="33" s="1" a="1"/>
  <c r="AX588" i="33" s="1"/>
  <c r="AY318" i="33"/>
  <c r="AW498" i="33"/>
  <c r="AW599" i="33" s="1" a="1"/>
  <c r="AW599" i="33" s="1"/>
  <c r="AX483" i="33"/>
  <c r="AW539" i="33"/>
  <c r="AW605" i="33" s="1" a="1"/>
  <c r="AW605" i="33" s="1"/>
  <c r="AX524" i="33"/>
  <c r="AW422" i="33"/>
  <c r="AW593" i="33" s="1" a="1"/>
  <c r="AW593" i="33" s="1"/>
  <c r="AX407" i="33"/>
  <c r="AW479" i="33"/>
  <c r="AW597" i="33" s="1" a="1"/>
  <c r="AW597" i="33" s="1"/>
  <c r="AX464" i="33"/>
  <c r="AY441" i="33"/>
  <c r="AY595" i="33" s="1" a="1"/>
  <c r="AY595" i="33" s="1"/>
  <c r="AZ426" i="33"/>
  <c r="AY349" i="33"/>
  <c r="AX364" i="33"/>
  <c r="AX590" i="33" s="1" a="1"/>
  <c r="AX590" i="33" s="1"/>
  <c r="AX369" i="33"/>
  <c r="AW384" i="33"/>
  <c r="AW591" i="33" s="1" a="1"/>
  <c r="AW591" i="33" s="1"/>
  <c r="AW517" i="33"/>
  <c r="AW600" i="33" s="1" a="1"/>
  <c r="AW600" i="33" s="1"/>
  <c r="AX502" i="33"/>
  <c r="AW403" i="33"/>
  <c r="AW592" i="33" s="1" a="1"/>
  <c r="AW592" i="33" s="1"/>
  <c r="AX388" i="33"/>
  <c r="AW562" i="33"/>
  <c r="AW607" i="33" s="1" a="1"/>
  <c r="AW607" i="33" s="1"/>
  <c r="AX547" i="33"/>
  <c r="AX460" i="33"/>
  <c r="AX596" i="33" s="1" a="1"/>
  <c r="AX596" i="33" s="1"/>
  <c r="AY445" i="33"/>
  <c r="AZ330" i="33"/>
  <c r="AY345" i="33"/>
  <c r="AY589" i="33" s="1" a="1"/>
  <c r="AY589" i="33" s="1"/>
  <c r="BA311" i="33"/>
  <c r="BB254" i="33"/>
  <c r="AX613" i="33" l="1"/>
  <c r="AX16" i="33" s="1"/>
  <c r="DY58" i="28"/>
  <c r="FX58" i="28"/>
  <c r="AX616" i="33"/>
  <c r="AX19" i="33" s="1"/>
  <c r="AX15" i="33"/>
  <c r="AW617" i="33"/>
  <c r="AW16" i="33"/>
  <c r="AW20" i="33" s="1"/>
  <c r="AW307" i="33"/>
  <c r="AY561" i="33"/>
  <c r="AX584" i="33"/>
  <c r="AY554" i="33"/>
  <c r="AY559" i="33"/>
  <c r="AY615" i="33" s="1"/>
  <c r="AY18" i="33" s="1"/>
  <c r="AZ271" i="33"/>
  <c r="AY582" i="33"/>
  <c r="AY573" i="33"/>
  <c r="AY576" i="33"/>
  <c r="AY583" i="33"/>
  <c r="AY569" i="33"/>
  <c r="AY581" i="33"/>
  <c r="AY560" i="33"/>
  <c r="AV6" i="33"/>
  <c r="AV11" i="33" s="1"/>
  <c r="BA323" i="33"/>
  <c r="BA304" i="33" s="1"/>
  <c r="AY296" i="33"/>
  <c r="AY612" i="33" s="1"/>
  <c r="AZ315" i="33"/>
  <c r="AY306" i="33"/>
  <c r="AY614" i="33" s="1"/>
  <c r="AY17" i="33" s="1"/>
  <c r="AZ325" i="33"/>
  <c r="AX292" i="33"/>
  <c r="AX611" i="33" s="1"/>
  <c r="AX14" i="33" s="1"/>
  <c r="AY305" i="33"/>
  <c r="AY616" i="33" s="1"/>
  <c r="AY19" i="33" s="1"/>
  <c r="AZ324" i="33"/>
  <c r="AW602" i="33"/>
  <c r="AW610" i="33" s="1"/>
  <c r="AW609" i="33" s="1"/>
  <c r="AY299" i="33"/>
  <c r="AY326" i="33"/>
  <c r="AY588" i="33" s="1" a="1"/>
  <c r="AY588" i="33" s="1"/>
  <c r="AZ318" i="33"/>
  <c r="AX562" i="33"/>
  <c r="AX607" i="33" s="1" a="1"/>
  <c r="AX607" i="33" s="1"/>
  <c r="AY547" i="33"/>
  <c r="AX403" i="33"/>
  <c r="AX592" i="33" s="1" a="1"/>
  <c r="AX592" i="33" s="1"/>
  <c r="AY388" i="33"/>
  <c r="AZ441" i="33"/>
  <c r="AZ595" i="33" s="1" a="1"/>
  <c r="AZ595" i="33" s="1"/>
  <c r="BA426" i="33"/>
  <c r="AY483" i="33"/>
  <c r="AX498" i="33"/>
  <c r="AX599" i="33" s="1" a="1"/>
  <c r="AX599" i="33" s="1"/>
  <c r="AX384" i="33"/>
  <c r="AX591" i="33" s="1" a="1"/>
  <c r="AX591" i="33" s="1"/>
  <c r="AY369" i="33"/>
  <c r="AX422" i="33"/>
  <c r="AX593" i="33" s="1" a="1"/>
  <c r="AX593" i="33" s="1"/>
  <c r="AY407" i="33"/>
  <c r="AX539" i="33"/>
  <c r="AX605" i="33" s="1" a="1"/>
  <c r="AX605" i="33" s="1"/>
  <c r="AY524" i="33"/>
  <c r="AX517" i="33"/>
  <c r="AX600" i="33" s="1" a="1"/>
  <c r="AX600" i="33" s="1"/>
  <c r="AY502" i="33"/>
  <c r="AX479" i="33"/>
  <c r="AX597" i="33" s="1" a="1"/>
  <c r="AX597" i="33" s="1"/>
  <c r="AY464" i="33"/>
  <c r="AZ349" i="33"/>
  <c r="AY364" i="33"/>
  <c r="AY590" i="33" s="1" a="1"/>
  <c r="AY590" i="33" s="1"/>
  <c r="AY460" i="33"/>
  <c r="AY596" i="33" s="1" a="1"/>
  <c r="AY596" i="33" s="1"/>
  <c r="AZ445" i="33"/>
  <c r="AZ345" i="33"/>
  <c r="AZ589" i="33" s="1" a="1"/>
  <c r="AZ589" i="33" s="1"/>
  <c r="BA330" i="33"/>
  <c r="BB311" i="33"/>
  <c r="BC254" i="33"/>
  <c r="AY613" i="33" l="1"/>
  <c r="AY16" i="33" s="1"/>
  <c r="AY15" i="33"/>
  <c r="AX617" i="33"/>
  <c r="AX307" i="33"/>
  <c r="AX20" i="33"/>
  <c r="AZ561" i="33"/>
  <c r="AZ559" i="33"/>
  <c r="AZ615" i="33" s="1"/>
  <c r="AZ18" i="33" s="1"/>
  <c r="AZ554" i="33"/>
  <c r="BA271" i="33"/>
  <c r="AZ576" i="33"/>
  <c r="AZ582" i="33"/>
  <c r="AZ583" i="33"/>
  <c r="AZ569" i="33"/>
  <c r="AZ581" i="33"/>
  <c r="AZ573" i="33"/>
  <c r="AZ560" i="33"/>
  <c r="AY584" i="33"/>
  <c r="AZ551" i="33"/>
  <c r="AW6" i="33"/>
  <c r="AW11" i="33" s="1"/>
  <c r="BB323" i="33"/>
  <c r="BB304" i="33" s="1"/>
  <c r="AZ296" i="33"/>
  <c r="BA315" i="33"/>
  <c r="AZ306" i="33"/>
  <c r="BA325" i="33"/>
  <c r="AY292" i="33"/>
  <c r="AY611" i="33" s="1"/>
  <c r="AY14" i="33" s="1"/>
  <c r="AZ305" i="33"/>
  <c r="BA324" i="33"/>
  <c r="AX602" i="33"/>
  <c r="AX610" i="33" s="1"/>
  <c r="AX609" i="33" s="1"/>
  <c r="AZ299" i="33"/>
  <c r="BA318" i="33"/>
  <c r="AZ326" i="33"/>
  <c r="AZ588" i="33" s="1" a="1"/>
  <c r="AZ588" i="33" s="1"/>
  <c r="AZ388" i="33"/>
  <c r="AY403" i="33"/>
  <c r="AY592" i="33" s="1" a="1"/>
  <c r="AY592" i="33" s="1"/>
  <c r="AZ547" i="33"/>
  <c r="AY562" i="33"/>
  <c r="AY607" i="33" s="1" a="1"/>
  <c r="AY607" i="33" s="1"/>
  <c r="BA349" i="33"/>
  <c r="AZ364" i="33"/>
  <c r="AZ590" i="33" s="1" a="1"/>
  <c r="AZ590" i="33" s="1"/>
  <c r="AY517" i="33"/>
  <c r="AY600" i="33" s="1" a="1"/>
  <c r="AY600" i="33" s="1"/>
  <c r="AZ502" i="33"/>
  <c r="AY422" i="33"/>
  <c r="AY593" i="33" s="1" a="1"/>
  <c r="AY593" i="33" s="1"/>
  <c r="AZ407" i="33"/>
  <c r="AZ369" i="33"/>
  <c r="AY384" i="33"/>
  <c r="AY591" i="33" s="1" a="1"/>
  <c r="AY591" i="33" s="1"/>
  <c r="AZ464" i="33"/>
  <c r="AY479" i="33"/>
  <c r="AY597" i="33" s="1" a="1"/>
  <c r="AY597" i="33" s="1"/>
  <c r="AZ460" i="33"/>
  <c r="AZ596" i="33" s="1" a="1"/>
  <c r="AZ596" i="33" s="1"/>
  <c r="BA445" i="33"/>
  <c r="AZ524" i="33"/>
  <c r="AY539" i="33"/>
  <c r="AY605" i="33" s="1" a="1"/>
  <c r="AY605" i="33" s="1"/>
  <c r="AY498" i="33"/>
  <c r="AY599" i="33" s="1" a="1"/>
  <c r="AY599" i="33" s="1"/>
  <c r="AZ483" i="33"/>
  <c r="BB426" i="33"/>
  <c r="BA441" i="33"/>
  <c r="BA595" i="33" s="1" a="1"/>
  <c r="BA595" i="33" s="1"/>
  <c r="BB330" i="33"/>
  <c r="BA345" i="33"/>
  <c r="BA589" i="33" s="1" a="1"/>
  <c r="BA589" i="33" s="1"/>
  <c r="BC311" i="33"/>
  <c r="BD254" i="33"/>
  <c r="AZ612" i="33" l="1"/>
  <c r="AZ614" i="33"/>
  <c r="AZ17" i="33" s="1"/>
  <c r="AZ613" i="33"/>
  <c r="AZ16" i="33" s="1"/>
  <c r="AZ616" i="33"/>
  <c r="AZ19" i="33" s="1"/>
  <c r="AZ15" i="33"/>
  <c r="AY617" i="33"/>
  <c r="AY307" i="33"/>
  <c r="AY20" i="33"/>
  <c r="BA559" i="33"/>
  <c r="BA615" i="33" s="1"/>
  <c r="BA18" i="33" s="1"/>
  <c r="AZ584" i="33"/>
  <c r="BB271" i="33"/>
  <c r="BA583" i="33"/>
  <c r="BA569" i="33"/>
  <c r="BA581" i="33"/>
  <c r="BA576" i="33"/>
  <c r="BA573" i="33"/>
  <c r="BA582" i="33"/>
  <c r="BA560" i="33"/>
  <c r="BA561" i="33"/>
  <c r="BA551" i="33"/>
  <c r="BA554" i="33"/>
  <c r="AX6" i="33"/>
  <c r="AX11" i="33" s="1"/>
  <c r="BC323" i="33"/>
  <c r="BC304" i="33" s="1"/>
  <c r="BA296" i="33"/>
  <c r="BA612" i="33" s="1"/>
  <c r="BA15" i="33" s="1"/>
  <c r="BB315" i="33"/>
  <c r="BA306" i="33"/>
  <c r="BB325" i="33"/>
  <c r="BA305" i="33"/>
  <c r="BB324" i="33"/>
  <c r="AY602" i="33"/>
  <c r="AY610" i="33" s="1"/>
  <c r="AY609" i="33" s="1"/>
  <c r="AZ292" i="33"/>
  <c r="AZ611" i="33" s="1"/>
  <c r="AZ14" i="33" s="1"/>
  <c r="BA299" i="33"/>
  <c r="BB318" i="33"/>
  <c r="BA326" i="33"/>
  <c r="BA588" i="33" s="1" a="1"/>
  <c r="BA588" i="33" s="1"/>
  <c r="BC426" i="33"/>
  <c r="BB441" i="33"/>
  <c r="BB595" i="33" s="1" a="1"/>
  <c r="BB595" i="33" s="1"/>
  <c r="AZ498" i="33"/>
  <c r="AZ599" i="33" s="1" a="1"/>
  <c r="AZ599" i="33" s="1"/>
  <c r="BA483" i="33"/>
  <c r="BB349" i="33"/>
  <c r="BA364" i="33"/>
  <c r="BA590" i="33" s="1" a="1"/>
  <c r="BA590" i="33" s="1"/>
  <c r="AZ479" i="33"/>
  <c r="AZ597" i="33" s="1" a="1"/>
  <c r="AZ597" i="33" s="1"/>
  <c r="BA464" i="33"/>
  <c r="AZ562" i="33"/>
  <c r="AZ607" i="33" s="1" a="1"/>
  <c r="AZ607" i="33" s="1"/>
  <c r="BA547" i="33"/>
  <c r="AZ539" i="33"/>
  <c r="AZ605" i="33" s="1" a="1"/>
  <c r="AZ605" i="33" s="1"/>
  <c r="BA524" i="33"/>
  <c r="AZ422" i="33"/>
  <c r="AZ593" i="33" s="1" a="1"/>
  <c r="AZ593" i="33" s="1"/>
  <c r="BA407" i="33"/>
  <c r="AZ384" i="33"/>
  <c r="AZ591" i="33" s="1" a="1"/>
  <c r="AZ591" i="33" s="1"/>
  <c r="BA369" i="33"/>
  <c r="BB445" i="33"/>
  <c r="BA460" i="33"/>
  <c r="BA596" i="33" s="1" a="1"/>
  <c r="BA596" i="33" s="1"/>
  <c r="AZ403" i="33"/>
  <c r="AZ592" i="33" s="1" a="1"/>
  <c r="AZ592" i="33" s="1"/>
  <c r="BA388" i="33"/>
  <c r="BA502" i="33"/>
  <c r="AZ517" i="33"/>
  <c r="AZ600" i="33" s="1" a="1"/>
  <c r="AZ600" i="33" s="1"/>
  <c r="BB345" i="33"/>
  <c r="BB589" i="33" s="1" a="1"/>
  <c r="BB589" i="33" s="1"/>
  <c r="BC330" i="33"/>
  <c r="BD311" i="33"/>
  <c r="BE254" i="33"/>
  <c r="BA613" i="33" l="1"/>
  <c r="BA16" i="33" s="1"/>
  <c r="BA614" i="33"/>
  <c r="BA17" i="33" s="1"/>
  <c r="BA616" i="33"/>
  <c r="BA19" i="33" s="1"/>
  <c r="AZ617" i="33"/>
  <c r="BB561" i="33"/>
  <c r="AZ307" i="33"/>
  <c r="AZ20" i="33"/>
  <c r="BB551" i="33"/>
  <c r="BC271" i="33"/>
  <c r="BB573" i="33"/>
  <c r="BB583" i="33"/>
  <c r="BB576" i="33"/>
  <c r="BB569" i="33"/>
  <c r="BB582" i="33"/>
  <c r="BB581" i="33"/>
  <c r="BB560" i="33"/>
  <c r="BB554" i="33"/>
  <c r="BA584" i="33"/>
  <c r="BB559" i="33"/>
  <c r="BB615" i="33" s="1"/>
  <c r="BB18" i="33" s="1"/>
  <c r="AY6" i="33"/>
  <c r="AY11" i="33" s="1"/>
  <c r="BD323" i="33"/>
  <c r="BD304" i="33" s="1"/>
  <c r="BB296" i="33"/>
  <c r="BC315" i="33"/>
  <c r="BB306" i="33"/>
  <c r="BB614" i="33" s="1"/>
  <c r="BB17" i="33" s="1"/>
  <c r="BC325" i="33"/>
  <c r="BB305" i="33"/>
  <c r="BC324" i="33"/>
  <c r="BA292" i="33"/>
  <c r="BA611" i="33" s="1"/>
  <c r="AZ602" i="33"/>
  <c r="AZ610" i="33" s="1"/>
  <c r="AZ609" i="33" s="1"/>
  <c r="BB299" i="33"/>
  <c r="BB326" i="33"/>
  <c r="BB588" i="33" s="1" a="1"/>
  <c r="BB588" i="33" s="1"/>
  <c r="BC318" i="33"/>
  <c r="BC349" i="33"/>
  <c r="BB364" i="33"/>
  <c r="BB590" i="33" s="1" a="1"/>
  <c r="BB590" i="33" s="1"/>
  <c r="BB483" i="33"/>
  <c r="BA498" i="33"/>
  <c r="BA599" i="33" s="1" a="1"/>
  <c r="BA599" i="33" s="1"/>
  <c r="BA422" i="33"/>
  <c r="BA593" i="33" s="1" a="1"/>
  <c r="BA593" i="33" s="1"/>
  <c r="BB407" i="33"/>
  <c r="BB460" i="33"/>
  <c r="BB596" i="33" s="1" a="1"/>
  <c r="BB596" i="33" s="1"/>
  <c r="BC445" i="33"/>
  <c r="BA562" i="33"/>
  <c r="BA607" i="33" s="1" a="1"/>
  <c r="BA607" i="33" s="1"/>
  <c r="BB547" i="33"/>
  <c r="BB502" i="33"/>
  <c r="BA517" i="33"/>
  <c r="BA600" i="33" s="1" a="1"/>
  <c r="BA600" i="33" s="1"/>
  <c r="BA403" i="33"/>
  <c r="BA592" i="33" s="1" a="1"/>
  <c r="BA592" i="33" s="1"/>
  <c r="BB388" i="33"/>
  <c r="BB369" i="33"/>
  <c r="BA384" i="33"/>
  <c r="BA591" i="33" s="1" a="1"/>
  <c r="BA591" i="33" s="1"/>
  <c r="BC441" i="33"/>
  <c r="BC595" i="33" s="1" a="1"/>
  <c r="BC595" i="33" s="1"/>
  <c r="BD426" i="33"/>
  <c r="BB524" i="33"/>
  <c r="BA539" i="33"/>
  <c r="BA605" i="33" s="1" a="1"/>
  <c r="BA605" i="33" s="1"/>
  <c r="BA479" i="33"/>
  <c r="BA597" i="33" s="1" a="1"/>
  <c r="BA597" i="33" s="1"/>
  <c r="BB464" i="33"/>
  <c r="BC345" i="33"/>
  <c r="BC589" i="33" s="1" a="1"/>
  <c r="BC589" i="33" s="1"/>
  <c r="BD330" i="33"/>
  <c r="BE311" i="33"/>
  <c r="BF254" i="33"/>
  <c r="BB613" i="33" l="1"/>
  <c r="BB16" i="33" s="1"/>
  <c r="BB612" i="33"/>
  <c r="BB15" i="33" s="1"/>
  <c r="BA617" i="33"/>
  <c r="BA14" i="33"/>
  <c r="BA20" i="33" s="1"/>
  <c r="BB616" i="33"/>
  <c r="BB19" i="33" s="1"/>
  <c r="BA307" i="33"/>
  <c r="BC554" i="33"/>
  <c r="BB584" i="33"/>
  <c r="BD271" i="33"/>
  <c r="BC583" i="33"/>
  <c r="BC576" i="33"/>
  <c r="BC569" i="33"/>
  <c r="BC581" i="33"/>
  <c r="BC582" i="33"/>
  <c r="BC573" i="33"/>
  <c r="BC559" i="33"/>
  <c r="BC615" i="33" s="1"/>
  <c r="BC18" i="33" s="1"/>
  <c r="BC560" i="33"/>
  <c r="BD560" i="33" s="1"/>
  <c r="BC561" i="33"/>
  <c r="BC551" i="33"/>
  <c r="AZ6" i="33"/>
  <c r="AZ11" i="33" s="1"/>
  <c r="BE323" i="33"/>
  <c r="BE304" i="33" s="1"/>
  <c r="BC296" i="33"/>
  <c r="BD315" i="33"/>
  <c r="BA602" i="33"/>
  <c r="BA610" i="33" s="1"/>
  <c r="BA609" i="33" s="1"/>
  <c r="BC306" i="33"/>
  <c r="BD325" i="33"/>
  <c r="BC305" i="33"/>
  <c r="BD324" i="33"/>
  <c r="BB292" i="33"/>
  <c r="BB611" i="33" s="1"/>
  <c r="BC299" i="33"/>
  <c r="BD318" i="33"/>
  <c r="BC326" i="33"/>
  <c r="BC588" i="33" s="1" a="1"/>
  <c r="BC588" i="33" s="1"/>
  <c r="BC524" i="33"/>
  <c r="BB539" i="33"/>
  <c r="BB605" i="33" s="1" a="1"/>
  <c r="BB605" i="33" s="1"/>
  <c r="BB517" i="33"/>
  <c r="BB600" i="33" s="1" a="1"/>
  <c r="BB600" i="33" s="1"/>
  <c r="BC502" i="33"/>
  <c r="BC483" i="33"/>
  <c r="BB498" i="33"/>
  <c r="BB599" i="33" s="1" a="1"/>
  <c r="BB599" i="33" s="1"/>
  <c r="BD441" i="33"/>
  <c r="BD595" i="33" s="1" a="1"/>
  <c r="BD595" i="33" s="1"/>
  <c r="BE426" i="33"/>
  <c r="BC547" i="33"/>
  <c r="BB562" i="33"/>
  <c r="BB607" i="33" s="1" a="1"/>
  <c r="BB607" i="33" s="1"/>
  <c r="BD445" i="33"/>
  <c r="BC460" i="33"/>
  <c r="BC596" i="33" s="1" a="1"/>
  <c r="BC596" i="33" s="1"/>
  <c r="BC369" i="33"/>
  <c r="BB384" i="33"/>
  <c r="BB591" i="33" s="1" a="1"/>
  <c r="BB591" i="33" s="1"/>
  <c r="BC364" i="33"/>
  <c r="BC590" i="33" s="1" a="1"/>
  <c r="BC590" i="33" s="1"/>
  <c r="BD349" i="33"/>
  <c r="BC464" i="33"/>
  <c r="BB479" i="33"/>
  <c r="BB597" i="33" s="1" a="1"/>
  <c r="BB597" i="33" s="1"/>
  <c r="BC388" i="33"/>
  <c r="BB403" i="33"/>
  <c r="BB592" i="33" s="1" a="1"/>
  <c r="BB592" i="33" s="1"/>
  <c r="BC407" i="33"/>
  <c r="BB422" i="33"/>
  <c r="BB593" i="33" s="1" a="1"/>
  <c r="BB593" i="33" s="1"/>
  <c r="BD345" i="33"/>
  <c r="BD589" i="33" s="1" a="1"/>
  <c r="BD589" i="33" s="1"/>
  <c r="BE330" i="33"/>
  <c r="BF311" i="33"/>
  <c r="BC616" i="33" l="1"/>
  <c r="BC19" i="33" s="1"/>
  <c r="BC612" i="33"/>
  <c r="BC15" i="33" s="1"/>
  <c r="BC613" i="33"/>
  <c r="BC16" i="33" s="1"/>
  <c r="BB617" i="33"/>
  <c r="BB14" i="33"/>
  <c r="BB20" i="33" s="1"/>
  <c r="BC614" i="33"/>
  <c r="BC17" i="33" s="1"/>
  <c r="BB307" i="33"/>
  <c r="BD561" i="33"/>
  <c r="BE271" i="33"/>
  <c r="BD581" i="33"/>
  <c r="BD582" i="33"/>
  <c r="BD569" i="33"/>
  <c r="BD573" i="33"/>
  <c r="BD583" i="33"/>
  <c r="BD576" i="33"/>
  <c r="BD559" i="33"/>
  <c r="BD615" i="33" s="1"/>
  <c r="BD18" i="33" s="1"/>
  <c r="BD554" i="33"/>
  <c r="BE554" i="33" s="1"/>
  <c r="BD551" i="33"/>
  <c r="BC584" i="33"/>
  <c r="BA6" i="33"/>
  <c r="BA11" i="33" s="1"/>
  <c r="BF323" i="33"/>
  <c r="BF304" i="33" s="1"/>
  <c r="BD296" i="33"/>
  <c r="BE315" i="33"/>
  <c r="BD306" i="33"/>
  <c r="BD614" i="33" s="1"/>
  <c r="BD17" i="33" s="1"/>
  <c r="BE325" i="33"/>
  <c r="BD305" i="33"/>
  <c r="BD616" i="33" s="1"/>
  <c r="BD19" i="33" s="1"/>
  <c r="BE324" i="33"/>
  <c r="BD299" i="33"/>
  <c r="BE318" i="33"/>
  <c r="BD326" i="33"/>
  <c r="BD588" i="33" s="1" a="1"/>
  <c r="BD588" i="33" s="1"/>
  <c r="BC292" i="33"/>
  <c r="BC611" i="33" s="1"/>
  <c r="BB602" i="33"/>
  <c r="BB610" i="33" s="1"/>
  <c r="BB609" i="33" s="1"/>
  <c r="BD502" i="33"/>
  <c r="BC517" i="33"/>
  <c r="BC600" i="33" s="1" a="1"/>
  <c r="BC600" i="33" s="1"/>
  <c r="BC479" i="33"/>
  <c r="BC597" i="33" s="1" a="1"/>
  <c r="BC597" i="33" s="1"/>
  <c r="BD464" i="33"/>
  <c r="BC384" i="33"/>
  <c r="BC591" i="33" s="1" a="1"/>
  <c r="BC591" i="33" s="1"/>
  <c r="BD369" i="33"/>
  <c r="BF426" i="33"/>
  <c r="BF441" i="33" s="1"/>
  <c r="BF595" i="33" s="1" a="1"/>
  <c r="BF595" i="33" s="1"/>
  <c r="BE441" i="33"/>
  <c r="BE595" i="33" s="1" a="1"/>
  <c r="BE595" i="33" s="1"/>
  <c r="BC539" i="33"/>
  <c r="BC605" i="33" s="1" a="1"/>
  <c r="BC605" i="33" s="1"/>
  <c r="BD524" i="33"/>
  <c r="BD407" i="33"/>
  <c r="BC422" i="33"/>
  <c r="BC593" i="33" s="1" a="1"/>
  <c r="BC593" i="33" s="1"/>
  <c r="BC498" i="33"/>
  <c r="BC599" i="33" s="1" a="1"/>
  <c r="BC599" i="33" s="1"/>
  <c r="BD483" i="33"/>
  <c r="BE445" i="33"/>
  <c r="BD460" i="33"/>
  <c r="BD596" i="33" s="1" a="1"/>
  <c r="BD596" i="33" s="1"/>
  <c r="BC562" i="33"/>
  <c r="BC607" i="33" s="1" a="1"/>
  <c r="BC607" i="33" s="1"/>
  <c r="BD547" i="33"/>
  <c r="BC403" i="33"/>
  <c r="BC592" i="33" s="1" a="1"/>
  <c r="BC592" i="33" s="1"/>
  <c r="BD388" i="33"/>
  <c r="BD364" i="33"/>
  <c r="BD590" i="33" s="1" a="1"/>
  <c r="BD590" i="33" s="1"/>
  <c r="BE349" i="33"/>
  <c r="BE345" i="33"/>
  <c r="BE589" i="33" s="1" a="1"/>
  <c r="BE589" i="33" s="1"/>
  <c r="BF330" i="33"/>
  <c r="BF345" i="33" s="1"/>
  <c r="BF589" i="33" s="1" a="1"/>
  <c r="BF589" i="33" s="1"/>
  <c r="BD613" i="33" l="1"/>
  <c r="BD16" i="33" s="1"/>
  <c r="BD612" i="33"/>
  <c r="BD15" i="33" s="1"/>
  <c r="BC14" i="33"/>
  <c r="BC617" i="33"/>
  <c r="BC307" i="33"/>
  <c r="BC20" i="33"/>
  <c r="BE551" i="33"/>
  <c r="BD584" i="33"/>
  <c r="BF271" i="33"/>
  <c r="BE569" i="33"/>
  <c r="BE576" i="33"/>
  <c r="BE581" i="33"/>
  <c r="BE573" i="33"/>
  <c r="BE583" i="33"/>
  <c r="BE582" i="33"/>
  <c r="BE559" i="33"/>
  <c r="BE615" i="33" s="1"/>
  <c r="BE18" i="33" s="1"/>
  <c r="BE560" i="33"/>
  <c r="BF560" i="33" s="1"/>
  <c r="BE561" i="33"/>
  <c r="BB6" i="33"/>
  <c r="BB11" i="33" s="1"/>
  <c r="BE296" i="33"/>
  <c r="BF315" i="33"/>
  <c r="BF296" i="33" s="1"/>
  <c r="BE306" i="33"/>
  <c r="BF325" i="33"/>
  <c r="BF306" i="33" s="1"/>
  <c r="BE305" i="33"/>
  <c r="BF324" i="33"/>
  <c r="BF305" i="33" s="1"/>
  <c r="BF616" i="33" s="1"/>
  <c r="BF19" i="33" s="1"/>
  <c r="BD292" i="33"/>
  <c r="BD611" i="33" s="1"/>
  <c r="BD14" i="33" s="1"/>
  <c r="BE299" i="33"/>
  <c r="BE613" i="33" s="1"/>
  <c r="BF318" i="33"/>
  <c r="BE326" i="33"/>
  <c r="BE588" i="33" s="1" a="1"/>
  <c r="BE588" i="33" s="1"/>
  <c r="BC602" i="33"/>
  <c r="BC610" i="33" s="1"/>
  <c r="BC609" i="33" s="1"/>
  <c r="BD422" i="33"/>
  <c r="BD593" i="33" s="1" a="1"/>
  <c r="BD593" i="33" s="1"/>
  <c r="BE407" i="33"/>
  <c r="BD403" i="33"/>
  <c r="BD592" i="33" s="1" a="1"/>
  <c r="BD592" i="33" s="1"/>
  <c r="BE388" i="33"/>
  <c r="BD562" i="33"/>
  <c r="BD607" i="33" s="1" a="1"/>
  <c r="BD607" i="33" s="1"/>
  <c r="BE547" i="33"/>
  <c r="BE524" i="33"/>
  <c r="BD539" i="33"/>
  <c r="BD605" i="33" s="1" a="1"/>
  <c r="BD605" i="33" s="1"/>
  <c r="BD479" i="33"/>
  <c r="BD597" i="33" s="1" a="1"/>
  <c r="BD597" i="33" s="1"/>
  <c r="BE464" i="33"/>
  <c r="BF445" i="33"/>
  <c r="BF460" i="33" s="1"/>
  <c r="BF596" i="33" s="1" a="1"/>
  <c r="BF596" i="33" s="1"/>
  <c r="BE460" i="33"/>
  <c r="BE596" i="33" s="1" a="1"/>
  <c r="BE596" i="33" s="1"/>
  <c r="BE502" i="33"/>
  <c r="BD517" i="33"/>
  <c r="BD600" i="33" s="1" a="1"/>
  <c r="BD600" i="33" s="1"/>
  <c r="BE364" i="33"/>
  <c r="BE590" i="33" s="1" a="1"/>
  <c r="BE590" i="33" s="1"/>
  <c r="BF349" i="33"/>
  <c r="BE483" i="33"/>
  <c r="BD498" i="33"/>
  <c r="BD599" i="33" s="1" a="1"/>
  <c r="BD599" i="33" s="1"/>
  <c r="BE369" i="33"/>
  <c r="BD384" i="33"/>
  <c r="BD591" i="33" s="1" a="1"/>
  <c r="BD591" i="33" s="1"/>
  <c r="BE614" i="33" l="1"/>
  <c r="BE17" i="33" s="1"/>
  <c r="BE616" i="33"/>
  <c r="BE19" i="33" s="1"/>
  <c r="BE612" i="33"/>
  <c r="BE15" i="33" s="1"/>
  <c r="BE16" i="33"/>
  <c r="BD617" i="33"/>
  <c r="BD307" i="33"/>
  <c r="BD20" i="33"/>
  <c r="BF561" i="33"/>
  <c r="BF614" i="33" s="1"/>
  <c r="BF17" i="33" s="1"/>
  <c r="BF573" i="33"/>
  <c r="BF582" i="33"/>
  <c r="BF569" i="33"/>
  <c r="BF576" i="33"/>
  <c r="BF583" i="33"/>
  <c r="BF581" i="33"/>
  <c r="BF559" i="33"/>
  <c r="BF615" i="33" s="1"/>
  <c r="BF18" i="33" s="1"/>
  <c r="BF554" i="33"/>
  <c r="BE584" i="33"/>
  <c r="BF551" i="33"/>
  <c r="BF612" i="33" s="1"/>
  <c r="BC6" i="33"/>
  <c r="BC11" i="33" s="1"/>
  <c r="BE292" i="33"/>
  <c r="BE611" i="33" s="1"/>
  <c r="BE14" i="33" s="1"/>
  <c r="BF364" i="33"/>
  <c r="BF590" i="33" s="1" a="1"/>
  <c r="BF590" i="33" s="1"/>
  <c r="BF299" i="33"/>
  <c r="BF326" i="33"/>
  <c r="BF588" i="33" s="1" a="1"/>
  <c r="BF588" i="33" s="1"/>
  <c r="BD602" i="33"/>
  <c r="BD610" i="33" s="1"/>
  <c r="BD609" i="33" s="1"/>
  <c r="BE517" i="33"/>
  <c r="BE600" i="33" s="1" a="1"/>
  <c r="BE600" i="33" s="1"/>
  <c r="BF502" i="33"/>
  <c r="BF517" i="33" s="1"/>
  <c r="BF600" i="33" s="1" a="1"/>
  <c r="BF600" i="33" s="1"/>
  <c r="BE562" i="33"/>
  <c r="BE607" i="33" s="1" a="1"/>
  <c r="BE607" i="33" s="1"/>
  <c r="BF547" i="33"/>
  <c r="BE384" i="33"/>
  <c r="BE591" i="33" s="1" a="1"/>
  <c r="BE591" i="33" s="1"/>
  <c r="BF369" i="33"/>
  <c r="BF384" i="33" s="1"/>
  <c r="BF591" i="33" s="1" a="1"/>
  <c r="BF591" i="33" s="1"/>
  <c r="BE403" i="33"/>
  <c r="BE592" i="33" s="1" a="1"/>
  <c r="BE592" i="33" s="1"/>
  <c r="BF388" i="33"/>
  <c r="BF403" i="33" s="1"/>
  <c r="BF592" i="33" s="1" a="1"/>
  <c r="BF592" i="33" s="1"/>
  <c r="BF483" i="33"/>
  <c r="BF498" i="33" s="1"/>
  <c r="BF599" i="33" s="1" a="1"/>
  <c r="BF599" i="33" s="1"/>
  <c r="BE498" i="33"/>
  <c r="BE599" i="33" s="1" a="1"/>
  <c r="BE599" i="33" s="1"/>
  <c r="BF464" i="33"/>
  <c r="BF479" i="33" s="1"/>
  <c r="BF597" i="33" s="1" a="1"/>
  <c r="BF597" i="33" s="1"/>
  <c r="BE479" i="33"/>
  <c r="BE597" i="33" s="1" a="1"/>
  <c r="BE597" i="33" s="1"/>
  <c r="BE422" i="33"/>
  <c r="BE593" i="33" s="1" a="1"/>
  <c r="BE593" i="33" s="1"/>
  <c r="BF407" i="33"/>
  <c r="BF422" i="33" s="1"/>
  <c r="BF593" i="33" s="1" a="1"/>
  <c r="BF593" i="33" s="1"/>
  <c r="BF524" i="33"/>
  <c r="BF539" i="33" s="1"/>
  <c r="BF605" i="33" s="1" a="1"/>
  <c r="BF605" i="33" s="1"/>
  <c r="BE539" i="33"/>
  <c r="BE605" i="33" s="1" a="1"/>
  <c r="BE605" i="33" s="1"/>
  <c r="BF613" i="33" l="1"/>
  <c r="BF16" i="33" s="1"/>
  <c r="BF15" i="33"/>
  <c r="BE617" i="33"/>
  <c r="BE307" i="33"/>
  <c r="BE20" i="33"/>
  <c r="BF584" i="33"/>
  <c r="BF562" i="33"/>
  <c r="BF607" i="33" s="1" a="1"/>
  <c r="BF607" i="33" s="1"/>
  <c r="BD6" i="33"/>
  <c r="BD11" i="33" s="1"/>
  <c r="BE602" i="33"/>
  <c r="BE610" i="33" s="1"/>
  <c r="BE609" i="33" s="1"/>
  <c r="BF602" i="33"/>
  <c r="BF292" i="33"/>
  <c r="BF611" i="33" s="1"/>
  <c r="BF14" i="33" s="1"/>
  <c r="BF617" i="33" l="1"/>
  <c r="BF307" i="33"/>
  <c r="BF20" i="33"/>
  <c r="BF610" i="33"/>
  <c r="BF609" i="33" s="1"/>
  <c r="BE6" i="33"/>
  <c r="BE11" i="33" s="1"/>
  <c r="BF6" i="33"/>
  <c r="BF11" i="33" s="1"/>
  <c r="H41" i="27" l="1"/>
  <c r="J41" i="27" s="1"/>
  <c r="H40" i="27"/>
  <c r="J40" i="27" s="1"/>
  <c r="H39" i="27"/>
  <c r="J39" i="27" s="1"/>
  <c r="J43" i="27" l="1"/>
  <c r="J45" i="27" s="1"/>
  <c r="AE1309" i="33" l="1"/>
  <c r="E16" i="38" l="1"/>
  <c r="F16" i="38"/>
  <c r="AE10" i="33"/>
  <c r="F970" i="51" s="1"/>
  <c r="AE1314" i="33"/>
  <c r="AE1320" i="33" s="1"/>
  <c r="AE1321" i="33" s="1"/>
  <c r="F971" i="51" l="1"/>
  <c r="G989" i="51" a="1"/>
  <c r="G989" i="51" s="1"/>
  <c r="I181" i="37"/>
  <c r="J181" i="37"/>
  <c r="J176" i="37" s="1"/>
  <c r="I14" i="37"/>
  <c r="AE11" i="33"/>
  <c r="AE53" i="33"/>
  <c r="AF1321" i="33"/>
  <c r="AF1315" i="33"/>
  <c r="AE1315" i="33"/>
  <c r="F181" i="37" l="1"/>
  <c r="I125" i="37"/>
  <c r="F125" i="37" s="1"/>
  <c r="F14" i="37"/>
  <c r="I176" i="37"/>
  <c r="I9" i="37"/>
  <c r="AC891" i="33"/>
  <c r="AC19" i="33" s="1"/>
  <c r="BO9" i="37" s="1" a="1"/>
  <c r="BO9" i="37" s="1"/>
  <c r="AB891" i="33"/>
  <c r="AB19" i="33" s="1"/>
  <c r="AB20" i="33" l="1"/>
  <c r="C206" i="38" s="1"/>
  <c r="AC20" i="33"/>
  <c r="D206" i="38" s="1"/>
  <c r="AB916" i="33"/>
  <c r="AC916" i="33"/>
  <c r="AA914" i="33" l="1"/>
  <c r="AA915" i="33"/>
  <c r="AA913" i="33"/>
  <c r="AA912" i="33"/>
  <c r="AC926" i="33"/>
  <c r="AC927" i="33" s="1"/>
  <c r="C178" i="38"/>
  <c r="C179" i="38" s="1"/>
  <c r="AB8" i="33"/>
  <c r="D178" i="38"/>
  <c r="AC8" i="33"/>
  <c r="D205" i="38"/>
  <c r="D204" i="38"/>
  <c r="D202" i="38"/>
  <c r="D203" i="38"/>
  <c r="D201" i="38"/>
  <c r="C204" i="38"/>
  <c r="C202" i="38"/>
  <c r="C203" i="38"/>
  <c r="C201" i="38"/>
  <c r="C205" i="38"/>
  <c r="AD228" i="33"/>
  <c r="AD205" i="33"/>
  <c r="AD159" i="33"/>
  <c r="AD182" i="33"/>
  <c r="AD136" i="33"/>
  <c r="AD113" i="33"/>
  <c r="AD926" i="33"/>
  <c r="AD939" i="33" s="1"/>
  <c r="AD940" i="33" s="1"/>
  <c r="AD24" i="33"/>
  <c r="AC939" i="33" l="1"/>
  <c r="AC940" i="33" s="1"/>
  <c r="Y8" i="33"/>
  <c r="G12" i="37"/>
  <c r="AB11" i="33"/>
  <c r="AB148" i="33" s="1"/>
  <c r="AB125" i="33"/>
  <c r="W489" i="38"/>
  <c r="D489" i="38" s="1"/>
  <c r="AE638" i="37" s="1"/>
  <c r="I781" i="51" s="1"/>
  <c r="D179" i="38"/>
  <c r="F567" i="38" s="1"/>
  <c r="H179" i="37"/>
  <c r="AC11" i="33"/>
  <c r="AC234" i="33" s="1"/>
  <c r="AC240" i="33" s="1"/>
  <c r="F570" i="38"/>
  <c r="D570" i="38"/>
  <c r="E570" i="38"/>
  <c r="D514" i="38"/>
  <c r="D500" i="38"/>
  <c r="G570" i="38"/>
  <c r="H138" i="38"/>
  <c r="H137" i="38"/>
  <c r="H135" i="38"/>
  <c r="H136" i="38"/>
  <c r="H140" i="38"/>
  <c r="H139" i="38"/>
  <c r="AE228" i="33"/>
  <c r="AE205" i="33"/>
  <c r="AD927" i="33"/>
  <c r="AE136" i="33"/>
  <c r="AE113" i="33"/>
  <c r="AE159" i="33"/>
  <c r="AE182" i="33"/>
  <c r="AE926" i="33"/>
  <c r="AE24" i="33"/>
  <c r="AC119" i="33" l="1"/>
  <c r="AC125" i="33" s="1"/>
  <c r="AF638" i="37"/>
  <c r="J781" i="51" s="1"/>
  <c r="AH638" i="37"/>
  <c r="L781" i="51" s="1"/>
  <c r="AI638" i="37"/>
  <c r="M781" i="51" s="1"/>
  <c r="AC188" i="33"/>
  <c r="AC194" i="33" s="1"/>
  <c r="AC211" i="33"/>
  <c r="AC217" i="33" s="1"/>
  <c r="AC142" i="33"/>
  <c r="AC148" i="33" s="1"/>
  <c r="AB217" i="33"/>
  <c r="AB171" i="33"/>
  <c r="AB194" i="33"/>
  <c r="AB51" i="33"/>
  <c r="AB78" i="33" s="1"/>
  <c r="AB196" i="33"/>
  <c r="AB173" i="33"/>
  <c r="AB242" i="33"/>
  <c r="AB219" i="33"/>
  <c r="AB150" i="33"/>
  <c r="AB241" i="33"/>
  <c r="AB218" i="33"/>
  <c r="AB149" i="33"/>
  <c r="AB195" i="33"/>
  <c r="AB172" i="33"/>
  <c r="AB193" i="33"/>
  <c r="AB147" i="33"/>
  <c r="AB170" i="33"/>
  <c r="AB239" i="33"/>
  <c r="AB216" i="33"/>
  <c r="AB192" i="33"/>
  <c r="AB169" i="33"/>
  <c r="AB238" i="33"/>
  <c r="AB215" i="33"/>
  <c r="AB146" i="33"/>
  <c r="AC45" i="33"/>
  <c r="AC51" i="33" s="1"/>
  <c r="AC190" i="33"/>
  <c r="AC196" i="33" s="1"/>
  <c r="AC167" i="33"/>
  <c r="AC173" i="33" s="1"/>
  <c r="AC236" i="33"/>
  <c r="AC242" i="33" s="1"/>
  <c r="AC213" i="33"/>
  <c r="AC219" i="33" s="1"/>
  <c r="AC144" i="33"/>
  <c r="AC150" i="33" s="1"/>
  <c r="AC166" i="33"/>
  <c r="AC172" i="33" s="1"/>
  <c r="AC235" i="33"/>
  <c r="AC241" i="33" s="1"/>
  <c r="AC212" i="33"/>
  <c r="AC218" i="33" s="1"/>
  <c r="AC143" i="33"/>
  <c r="AC149" i="33" s="1"/>
  <c r="AC189" i="33"/>
  <c r="AC195" i="33" s="1"/>
  <c r="AC141" i="33"/>
  <c r="AC147" i="33" s="1"/>
  <c r="AC187" i="33"/>
  <c r="AC193" i="33" s="1"/>
  <c r="AC164" i="33"/>
  <c r="AC170" i="33" s="1"/>
  <c r="AC233" i="33"/>
  <c r="AC239" i="33" s="1"/>
  <c r="AC210" i="33"/>
  <c r="AC216" i="33" s="1"/>
  <c r="AC186" i="33"/>
  <c r="AC192" i="33" s="1"/>
  <c r="AC163" i="33"/>
  <c r="AC169" i="33" s="1"/>
  <c r="AC232" i="33"/>
  <c r="AC238" i="33" s="1"/>
  <c r="AC209" i="33"/>
  <c r="AC215" i="33" s="1"/>
  <c r="AC140" i="33"/>
  <c r="AC146" i="33" s="1"/>
  <c r="AC165" i="33"/>
  <c r="AC171" i="33" s="1"/>
  <c r="AB240" i="33"/>
  <c r="AC96" i="33"/>
  <c r="AC102" i="33" s="1"/>
  <c r="AB102" i="33"/>
  <c r="AC12" i="33"/>
  <c r="AC47" i="33"/>
  <c r="AC98" i="33"/>
  <c r="AC104" i="33" s="1"/>
  <c r="AC121" i="33"/>
  <c r="AC127" i="33" s="1"/>
  <c r="AC46" i="33"/>
  <c r="AC52" i="33" s="1"/>
  <c r="AC97" i="33"/>
  <c r="AC103" i="33" s="1"/>
  <c r="AC120" i="33"/>
  <c r="AC126" i="33" s="1"/>
  <c r="AC118" i="33"/>
  <c r="AC124" i="33" s="1"/>
  <c r="AC95" i="33"/>
  <c r="AC101" i="33" s="1"/>
  <c r="AC44" i="33"/>
  <c r="AC50" i="33" s="1"/>
  <c r="AC117" i="33"/>
  <c r="AC123" i="33" s="1"/>
  <c r="AC43" i="33"/>
  <c r="AC49" i="33" s="1"/>
  <c r="AC94" i="33"/>
  <c r="AC100" i="33" s="1"/>
  <c r="G123" i="37"/>
  <c r="G120" i="37" s="1"/>
  <c r="F12" i="37"/>
  <c r="G9" i="37"/>
  <c r="AB12" i="33"/>
  <c r="AB52" i="33"/>
  <c r="AB79" i="33" s="1"/>
  <c r="AB126" i="33"/>
  <c r="AB103" i="33"/>
  <c r="AB104" i="33"/>
  <c r="AB127" i="33"/>
  <c r="AB101" i="33"/>
  <c r="AB124" i="33"/>
  <c r="AB50" i="33"/>
  <c r="AB77" i="33" s="1"/>
  <c r="AB49" i="33"/>
  <c r="AB76" i="33" s="1"/>
  <c r="AB100" i="33"/>
  <c r="AB123" i="33"/>
  <c r="D497" i="38"/>
  <c r="D638" i="38"/>
  <c r="H721" i="37" s="1" a="1"/>
  <c r="H721" i="37" s="1"/>
  <c r="F721" i="37" s="1"/>
  <c r="D640" i="38"/>
  <c r="H737" i="37" s="1" a="1"/>
  <c r="H737" i="37" s="1"/>
  <c r="F737" i="37" s="1"/>
  <c r="D637" i="38"/>
  <c r="H713" i="37" s="1" a="1"/>
  <c r="H713" i="37" s="1"/>
  <c r="F713" i="37" s="1"/>
  <c r="D641" i="38"/>
  <c r="H745" i="37" s="1" a="1"/>
  <c r="H745" i="37" s="1"/>
  <c r="F745" i="37" s="1"/>
  <c r="D635" i="38"/>
  <c r="H697" i="37" s="1" a="1"/>
  <c r="H697" i="37" s="1"/>
  <c r="D639" i="38"/>
  <c r="H729" i="37" s="1" a="1"/>
  <c r="H729" i="37" s="1"/>
  <c r="F729" i="37" s="1"/>
  <c r="H123" i="37"/>
  <c r="D511" i="38"/>
  <c r="G567" i="38"/>
  <c r="E567" i="38"/>
  <c r="D567" i="38"/>
  <c r="D507" i="38"/>
  <c r="D636" i="38" s="1"/>
  <c r="W491" i="38"/>
  <c r="D491" i="38" s="1"/>
  <c r="AE645" i="37" s="1"/>
  <c r="I783" i="51" s="1"/>
  <c r="H176" i="37"/>
  <c r="H141" i="38"/>
  <c r="I136" i="38" s="1"/>
  <c r="I120" i="37"/>
  <c r="AF228" i="33"/>
  <c r="AF205" i="33"/>
  <c r="AF90" i="33"/>
  <c r="AF136" i="33"/>
  <c r="AF159" i="33"/>
  <c r="AF113" i="33"/>
  <c r="AF182" i="33"/>
  <c r="AE927" i="33"/>
  <c r="AE939" i="33"/>
  <c r="AE940" i="33" s="1"/>
  <c r="AF926" i="33"/>
  <c r="AF24" i="33"/>
  <c r="FJ50" i="28" l="1"/>
  <c r="FJ18" i="28"/>
  <c r="FJ16" i="28"/>
  <c r="FJ13" i="28"/>
  <c r="D504" i="38"/>
  <c r="DK53" i="28" s="1"/>
  <c r="CV53" i="28"/>
  <c r="EB53" i="28" s="1"/>
  <c r="H692" i="37"/>
  <c r="H691" i="37" s="1"/>
  <c r="F697" i="37"/>
  <c r="C230" i="51" s="1" a="1"/>
  <c r="C230" i="51" s="1"/>
  <c r="AI645" i="37"/>
  <c r="M783" i="51" s="1"/>
  <c r="AF645" i="37"/>
  <c r="J783" i="51" s="1"/>
  <c r="AH645" i="37"/>
  <c r="L783" i="51" s="1"/>
  <c r="F9" i="37"/>
  <c r="AC221" i="33"/>
  <c r="AC222" i="33" s="1"/>
  <c r="AB82" i="33"/>
  <c r="AB83" i="33" s="1"/>
  <c r="AC198" i="33"/>
  <c r="AC199" i="33" s="1"/>
  <c r="AB152" i="33"/>
  <c r="AB153" i="33" s="1"/>
  <c r="AB221" i="33"/>
  <c r="AB222" i="33" s="1"/>
  <c r="AC175" i="33"/>
  <c r="AC176" i="33" s="1"/>
  <c r="AB244" i="33"/>
  <c r="AB245" i="33" s="1"/>
  <c r="AC152" i="33"/>
  <c r="AC153" i="33" s="1"/>
  <c r="AB198" i="33"/>
  <c r="AB199" i="33" s="1"/>
  <c r="AC244" i="33"/>
  <c r="AC245" i="33" s="1"/>
  <c r="AB175" i="33"/>
  <c r="AB176" i="33" s="1"/>
  <c r="AB129" i="33"/>
  <c r="AB130" i="33" s="1"/>
  <c r="AC106" i="33"/>
  <c r="AC107" i="33" s="1"/>
  <c r="AB106" i="33"/>
  <c r="AB107" i="33" s="1"/>
  <c r="AC55" i="33"/>
  <c r="AC129" i="33"/>
  <c r="AC130" i="33" s="1"/>
  <c r="GP57" i="28"/>
  <c r="G179" i="37"/>
  <c r="H120" i="37"/>
  <c r="F123" i="37"/>
  <c r="H740" i="37"/>
  <c r="H708" i="37"/>
  <c r="H724" i="37"/>
  <c r="H732" i="37"/>
  <c r="H716" i="37"/>
  <c r="GP54" i="28"/>
  <c r="GP18" i="28"/>
  <c r="GP12" i="28"/>
  <c r="GP55" i="28"/>
  <c r="GP56" i="28"/>
  <c r="GP50" i="28"/>
  <c r="FJ52" i="28"/>
  <c r="FJ55" i="28"/>
  <c r="GP17" i="28"/>
  <c r="C147" i="38" a="1"/>
  <c r="C147" i="38" s="1"/>
  <c r="C142" i="38" a="1"/>
  <c r="C142" i="38" s="1"/>
  <c r="C143" i="38" s="1" a="1"/>
  <c r="FJ51" i="28"/>
  <c r="FJ57" i="28"/>
  <c r="FJ15" i="28"/>
  <c r="FJ14" i="28"/>
  <c r="FJ56" i="28"/>
  <c r="FJ53" i="28"/>
  <c r="FJ17" i="28"/>
  <c r="FJ54" i="28"/>
  <c r="GP53" i="28"/>
  <c r="GP51" i="28"/>
  <c r="GP15" i="28"/>
  <c r="GP14" i="28"/>
  <c r="GP52" i="28"/>
  <c r="GP16" i="28"/>
  <c r="GP13" i="28"/>
  <c r="CV15" i="28"/>
  <c r="EB15" i="28" s="1"/>
  <c r="CV12" i="28"/>
  <c r="CV50" i="28"/>
  <c r="EB50" i="28" s="1"/>
  <c r="CV13" i="28"/>
  <c r="EB13" i="28" s="1"/>
  <c r="CV57" i="28"/>
  <c r="EB57" i="28" s="1"/>
  <c r="CV51" i="28"/>
  <c r="EB51" i="28" s="1"/>
  <c r="CV52" i="28"/>
  <c r="EB52" i="28" s="1"/>
  <c r="CV17" i="28"/>
  <c r="EB17" i="28" s="1"/>
  <c r="CV14" i="28"/>
  <c r="EB14" i="28" s="1"/>
  <c r="CV54" i="28"/>
  <c r="EB54" i="28" s="1"/>
  <c r="CV56" i="28"/>
  <c r="EB56" i="28" s="1"/>
  <c r="CV55" i="28"/>
  <c r="EB55" i="28" s="1"/>
  <c r="CV18" i="28"/>
  <c r="EB18" i="28" s="1"/>
  <c r="CV16" i="28"/>
  <c r="EB16" i="28" s="1"/>
  <c r="I135" i="38"/>
  <c r="I138" i="38"/>
  <c r="C151" i="38" s="1" a="1"/>
  <c r="C151" i="38" s="1"/>
  <c r="I137" i="38"/>
  <c r="I139" i="38"/>
  <c r="I140" i="38"/>
  <c r="AG228" i="33"/>
  <c r="AG205" i="33"/>
  <c r="AG90" i="33"/>
  <c r="AG136" i="33"/>
  <c r="AG113" i="33"/>
  <c r="AG159" i="33"/>
  <c r="AG182" i="33"/>
  <c r="AG926" i="33"/>
  <c r="AG24" i="33"/>
  <c r="AF939" i="33"/>
  <c r="AF940" i="33" s="1"/>
  <c r="AF927" i="33"/>
  <c r="S86" i="28" l="1" a="1"/>
  <c r="S86" i="28" s="1"/>
  <c r="S39" i="28" a="1"/>
  <c r="S39" i="28" s="1"/>
  <c r="AC71" i="33"/>
  <c r="AC77" i="33" s="1"/>
  <c r="AC56" i="33"/>
  <c r="AC74" i="33"/>
  <c r="AC80" i="33" s="1"/>
  <c r="AC72" i="33"/>
  <c r="AC78" i="33" s="1"/>
  <c r="AC70" i="33"/>
  <c r="AC76" i="33" s="1"/>
  <c r="G176" i="37"/>
  <c r="F176" i="37" s="1"/>
  <c r="F179" i="37"/>
  <c r="FJ12" i="28"/>
  <c r="AC73" i="33"/>
  <c r="AC79" i="33" s="1"/>
  <c r="EB12" i="28"/>
  <c r="H707" i="37"/>
  <c r="H715" i="37"/>
  <c r="H739" i="37"/>
  <c r="H731" i="37"/>
  <c r="H723" i="37"/>
  <c r="H698" i="37"/>
  <c r="C146" i="38" a="1"/>
  <c r="C144" i="38" a="1"/>
  <c r="C144" i="38" s="1"/>
  <c r="H151" i="38"/>
  <c r="C152" i="38" a="1"/>
  <c r="C152" i="38" s="1"/>
  <c r="C149" i="38" a="1"/>
  <c r="C149" i="38" s="1"/>
  <c r="C148" i="38" a="1"/>
  <c r="C148" i="38" s="1"/>
  <c r="N31" i="28" s="1" a="1"/>
  <c r="N31" i="28" s="1"/>
  <c r="H147" i="38"/>
  <c r="C143" i="38"/>
  <c r="Q28" i="28"/>
  <c r="R28" i="28"/>
  <c r="O28" i="28"/>
  <c r="P28" i="28"/>
  <c r="DK55" i="28"/>
  <c r="DK54" i="28"/>
  <c r="DK52" i="28"/>
  <c r="DK56" i="28"/>
  <c r="DK57" i="28"/>
  <c r="DK51" i="28"/>
  <c r="DK50" i="28"/>
  <c r="DK17" i="28"/>
  <c r="DK16" i="28"/>
  <c r="DK15" i="28"/>
  <c r="DK12" i="28"/>
  <c r="DK18" i="28"/>
  <c r="DK13" i="28"/>
  <c r="DK14" i="28"/>
  <c r="DA38" i="28"/>
  <c r="GV37" i="28"/>
  <c r="GR32" i="28"/>
  <c r="CV34" i="28"/>
  <c r="GX40" i="28"/>
  <c r="GU37" i="28"/>
  <c r="I141" i="38"/>
  <c r="DC39" i="28"/>
  <c r="CY38" i="28"/>
  <c r="FL34" i="28"/>
  <c r="DB37" i="28"/>
  <c r="FN38" i="28"/>
  <c r="CW86" i="28"/>
  <c r="CZ39" i="28"/>
  <c r="DD34" i="28"/>
  <c r="FM38" i="28"/>
  <c r="FP40" i="28"/>
  <c r="FK34" i="28"/>
  <c r="N120" i="37"/>
  <c r="M120" i="37"/>
  <c r="L120" i="37"/>
  <c r="K120" i="37"/>
  <c r="J120" i="37"/>
  <c r="FK37" i="28"/>
  <c r="FJ35" i="28"/>
  <c r="FJ36" i="28"/>
  <c r="AH205" i="33"/>
  <c r="AH228" i="33"/>
  <c r="AH90" i="33"/>
  <c r="AH136" i="33"/>
  <c r="AH113" i="33"/>
  <c r="AH159" i="33"/>
  <c r="AH182" i="33"/>
  <c r="AH24" i="33"/>
  <c r="AH926" i="33"/>
  <c r="AG939" i="33"/>
  <c r="AG940" i="33" s="1"/>
  <c r="AG927" i="33"/>
  <c r="EF29" i="28" l="1"/>
  <c r="EG29" i="28"/>
  <c r="EH29" i="28"/>
  <c r="EI29" i="28"/>
  <c r="EJ29" i="28"/>
  <c r="EK29" i="28"/>
  <c r="EL29" i="28"/>
  <c r="EM29" i="28"/>
  <c r="EN29" i="28"/>
  <c r="EO29" i="28"/>
  <c r="EP29" i="28"/>
  <c r="EQ29" i="28"/>
  <c r="ER29" i="28"/>
  <c r="ES29" i="28"/>
  <c r="EU39" i="28" a="1"/>
  <c r="EU39" i="28" s="1"/>
  <c r="FJ39" i="28" s="1"/>
  <c r="EV39" i="28" a="1"/>
  <c r="EV39" i="28" s="1"/>
  <c r="FK39" i="28" s="1"/>
  <c r="EW39" i="28" a="1"/>
  <c r="EW39" i="28" s="1"/>
  <c r="FL39" i="28" s="1"/>
  <c r="EX39" i="28" a="1"/>
  <c r="EX39" i="28" s="1"/>
  <c r="FM39" i="28" s="1"/>
  <c r="EY39" i="28" a="1"/>
  <c r="EY39" i="28" s="1"/>
  <c r="FN39" i="28" s="1"/>
  <c r="EZ39" i="28" a="1"/>
  <c r="EZ39" i="28" s="1"/>
  <c r="FO39" i="28" s="1"/>
  <c r="FA39" i="28" a="1"/>
  <c r="FA39" i="28" s="1"/>
  <c r="FP39" i="28" s="1"/>
  <c r="FB39" i="28" a="1"/>
  <c r="FB39" i="28" s="1"/>
  <c r="FQ39" i="28" s="1"/>
  <c r="FC39" i="28" a="1"/>
  <c r="FC39" i="28" s="1"/>
  <c r="FR39" i="28" s="1"/>
  <c r="FD39" i="28" a="1"/>
  <c r="FD39" i="28" s="1"/>
  <c r="FS39" i="28" s="1"/>
  <c r="FF39" i="28" a="1"/>
  <c r="FF39" i="28" s="1"/>
  <c r="FU39" i="28" s="1"/>
  <c r="FE39" i="28" a="1"/>
  <c r="FE39" i="28" s="1"/>
  <c r="FT39" i="28" s="1"/>
  <c r="FG39" i="28" a="1"/>
  <c r="FG39" i="28" s="1"/>
  <c r="FV39" i="28" s="1"/>
  <c r="FH39" i="28" a="1"/>
  <c r="FH39" i="28" s="1"/>
  <c r="FW39" i="28" s="1"/>
  <c r="FI39" i="28" a="1"/>
  <c r="FI39" i="28" s="1"/>
  <c r="FX39" i="28" s="1"/>
  <c r="EU86" i="28" a="1"/>
  <c r="EU86" i="28" s="1"/>
  <c r="FJ86" i="28" s="1"/>
  <c r="EV86" i="28" a="1"/>
  <c r="EV86" i="28" s="1"/>
  <c r="FK86" i="28" s="1"/>
  <c r="EW86" i="28" a="1"/>
  <c r="EW86" i="28" s="1"/>
  <c r="FL86" i="28" s="1"/>
  <c r="EX86" i="28" a="1"/>
  <c r="EX86" i="28" s="1"/>
  <c r="FM86" i="28" s="1"/>
  <c r="EY86" i="28" a="1"/>
  <c r="EY86" i="28" s="1"/>
  <c r="FN86" i="28" s="1"/>
  <c r="EZ86" i="28" a="1"/>
  <c r="EZ86" i="28" s="1"/>
  <c r="FO86" i="28" s="1"/>
  <c r="FA86" i="28" a="1"/>
  <c r="FA86" i="28" s="1"/>
  <c r="FP86" i="28" s="1"/>
  <c r="FB86" i="28" a="1"/>
  <c r="FB86" i="28" s="1"/>
  <c r="FQ86" i="28" s="1"/>
  <c r="FC86" i="28" a="1"/>
  <c r="FC86" i="28" s="1"/>
  <c r="FR86" i="28" s="1"/>
  <c r="FD86" i="28" a="1"/>
  <c r="FD86" i="28" s="1"/>
  <c r="FS86" i="28" s="1"/>
  <c r="FF86" i="28" a="1"/>
  <c r="FF86" i="28" s="1"/>
  <c r="FU86" i="28" s="1"/>
  <c r="FE86" i="28" a="1"/>
  <c r="FE86" i="28" s="1"/>
  <c r="FT86" i="28" s="1"/>
  <c r="FG86" i="28" a="1"/>
  <c r="FG86" i="28" s="1"/>
  <c r="FV86" i="28" s="1"/>
  <c r="FH86" i="28" a="1"/>
  <c r="FH86" i="28" s="1"/>
  <c r="FW86" i="28" s="1"/>
  <c r="FI86" i="28" a="1"/>
  <c r="FI86" i="28" s="1"/>
  <c r="FX86" i="28" s="1"/>
  <c r="E389" i="38"/>
  <c r="F389" i="38"/>
  <c r="N389" i="38"/>
  <c r="I389" i="38"/>
  <c r="R389" i="38"/>
  <c r="K389" i="38"/>
  <c r="L389" i="38"/>
  <c r="M389" i="38"/>
  <c r="G389" i="38"/>
  <c r="O389" i="38"/>
  <c r="P389" i="38"/>
  <c r="Q389" i="38"/>
  <c r="J389" i="38"/>
  <c r="D389" i="38"/>
  <c r="H389" i="38"/>
  <c r="C146" i="38"/>
  <c r="I300" i="38" s="1"/>
  <c r="DJ28" i="28"/>
  <c r="DF32" i="28"/>
  <c r="DU32" i="28" s="1"/>
  <c r="DG28" i="28"/>
  <c r="DI31" i="28"/>
  <c r="DX31" i="28" s="1"/>
  <c r="DG32" i="28"/>
  <c r="DV32" i="28" s="1"/>
  <c r="DJ31" i="28"/>
  <c r="DY31" i="28" s="1"/>
  <c r="DH32" i="28"/>
  <c r="DW32" i="28" s="1"/>
  <c r="DF31" i="28"/>
  <c r="DU31" i="28" s="1"/>
  <c r="DI32" i="28"/>
  <c r="DX32" i="28" s="1"/>
  <c r="DH31" i="28"/>
  <c r="DW31" i="28" s="1"/>
  <c r="DF28" i="28"/>
  <c r="DG31" i="28"/>
  <c r="DV31" i="28" s="1"/>
  <c r="DJ32" i="28"/>
  <c r="DY32" i="28" s="1"/>
  <c r="DH28" i="28"/>
  <c r="DI28" i="28"/>
  <c r="N298" i="38"/>
  <c r="O298" i="38"/>
  <c r="P298" i="38"/>
  <c r="R298" i="38"/>
  <c r="Q298" i="38"/>
  <c r="AC82" i="33"/>
  <c r="AC83" i="33" s="1"/>
  <c r="I738" i="37"/>
  <c r="H738" i="37"/>
  <c r="I746" i="37"/>
  <c r="H746" i="37"/>
  <c r="H722" i="37"/>
  <c r="I722" i="37"/>
  <c r="I730" i="37"/>
  <c r="H730" i="37"/>
  <c r="I714" i="37"/>
  <c r="H714" i="37"/>
  <c r="F120" i="37"/>
  <c r="R29" i="28"/>
  <c r="O29" i="28"/>
  <c r="AF29" i="28" s="1"/>
  <c r="Q29" i="28"/>
  <c r="P29" i="28"/>
  <c r="DZ29" i="28" s="1"/>
  <c r="EA29" i="28" s="1"/>
  <c r="N28" i="28"/>
  <c r="CV31" i="28"/>
  <c r="DK31" i="28" s="1"/>
  <c r="CV32" i="28"/>
  <c r="DK32" i="28" s="1"/>
  <c r="CV28" i="28"/>
  <c r="CW28" i="28"/>
  <c r="CX28" i="28"/>
  <c r="CW32" i="28"/>
  <c r="DL32" i="28" s="1"/>
  <c r="CW31" i="28"/>
  <c r="DL31" i="28" s="1"/>
  <c r="CX32" i="28"/>
  <c r="DM32" i="28" s="1"/>
  <c r="CX31" i="28"/>
  <c r="DM31" i="28" s="1"/>
  <c r="CY32" i="28"/>
  <c r="DN32" i="28" s="1"/>
  <c r="CY28" i="28"/>
  <c r="CY31" i="28"/>
  <c r="DN31" i="28" s="1"/>
  <c r="CZ31" i="28"/>
  <c r="DO31" i="28" s="1"/>
  <c r="CZ32" i="28"/>
  <c r="DO32" i="28" s="1"/>
  <c r="CZ28" i="28"/>
  <c r="DA28" i="28"/>
  <c r="DA31" i="28"/>
  <c r="DP31" i="28" s="1"/>
  <c r="DA32" i="28"/>
  <c r="DP32" i="28" s="1"/>
  <c r="DB28" i="28"/>
  <c r="DB31" i="28"/>
  <c r="DQ31" i="28" s="1"/>
  <c r="DB32" i="28"/>
  <c r="DQ32" i="28" s="1"/>
  <c r="DC28" i="28"/>
  <c r="DC31" i="28"/>
  <c r="DR31" i="28" s="1"/>
  <c r="DC32" i="28"/>
  <c r="DR32" i="28" s="1"/>
  <c r="DD32" i="28"/>
  <c r="DS32" i="28" s="1"/>
  <c r="DD31" i="28"/>
  <c r="DS31" i="28" s="1"/>
  <c r="DD28" i="28"/>
  <c r="DE28" i="28"/>
  <c r="DE31" i="28"/>
  <c r="DT31" i="28" s="1"/>
  <c r="DE32" i="28"/>
  <c r="DT32" i="28" s="1"/>
  <c r="FJ32" i="28"/>
  <c r="H148" i="38"/>
  <c r="H149" i="38"/>
  <c r="N32" i="28" a="1"/>
  <c r="C150" i="38" a="1"/>
  <c r="C150" i="38" s="1"/>
  <c r="H150" i="38" s="1"/>
  <c r="H152" i="38"/>
  <c r="N34" i="28" a="1"/>
  <c r="J298" i="38"/>
  <c r="L298" i="38"/>
  <c r="F298" i="38"/>
  <c r="D298" i="38"/>
  <c r="H298" i="38"/>
  <c r="I298" i="38"/>
  <c r="K298" i="38"/>
  <c r="G298" i="38"/>
  <c r="AD28" i="28"/>
  <c r="AE28" i="28"/>
  <c r="AF28" i="28"/>
  <c r="E298" i="38"/>
  <c r="H143" i="38"/>
  <c r="M298" i="38"/>
  <c r="C145" i="38" a="1"/>
  <c r="H144" i="38"/>
  <c r="CY37" i="28"/>
  <c r="CZ38" i="28"/>
  <c r="CX38" i="28"/>
  <c r="CX37" i="28"/>
  <c r="CX34" i="28"/>
  <c r="FK38" i="28"/>
  <c r="GS31" i="28"/>
  <c r="GS34" i="28"/>
  <c r="GX28" i="28"/>
  <c r="GX38" i="28"/>
  <c r="GP31" i="28"/>
  <c r="DE86" i="28"/>
  <c r="GP40" i="28"/>
  <c r="DA37" i="28"/>
  <c r="DA39" i="28"/>
  <c r="FS40" i="28"/>
  <c r="GR28" i="28"/>
  <c r="DD40" i="28"/>
  <c r="GP86" i="28"/>
  <c r="GP37" i="28"/>
  <c r="FS34" i="28"/>
  <c r="GP28" i="28"/>
  <c r="FS37" i="28"/>
  <c r="DE39" i="28"/>
  <c r="GP32" i="28"/>
  <c r="GP39" i="28"/>
  <c r="GP36" i="28"/>
  <c r="GP35" i="28"/>
  <c r="GP34" i="28"/>
  <c r="FS38" i="28"/>
  <c r="GP38" i="28"/>
  <c r="CX86" i="28"/>
  <c r="FQ38" i="28"/>
  <c r="GS40" i="28"/>
  <c r="GS39" i="28"/>
  <c r="CZ86" i="28"/>
  <c r="GS28" i="28"/>
  <c r="GS86" i="28"/>
  <c r="FM34" i="28"/>
  <c r="CX40" i="28"/>
  <c r="GS38" i="28"/>
  <c r="CZ40" i="28"/>
  <c r="FQ37" i="28"/>
  <c r="CX39" i="28"/>
  <c r="GS37" i="28"/>
  <c r="GX39" i="28"/>
  <c r="GS32" i="28"/>
  <c r="FJ34" i="28"/>
  <c r="DD38" i="28"/>
  <c r="GR40" i="28"/>
  <c r="GR86" i="28"/>
  <c r="GR39" i="28"/>
  <c r="GR31" i="28"/>
  <c r="DD37" i="28"/>
  <c r="FJ40" i="28"/>
  <c r="GR38" i="28"/>
  <c r="GR37" i="28"/>
  <c r="GR34" i="28"/>
  <c r="DD86" i="28"/>
  <c r="FJ38" i="28"/>
  <c r="GW39" i="28"/>
  <c r="GW40" i="28"/>
  <c r="DA34" i="28"/>
  <c r="DA40" i="28"/>
  <c r="DA86" i="28"/>
  <c r="DB34" i="28"/>
  <c r="FP38" i="28"/>
  <c r="FK40" i="28"/>
  <c r="GQ39" i="28"/>
  <c r="GY86" i="28"/>
  <c r="GY32" i="28"/>
  <c r="GY38" i="28"/>
  <c r="GY31" i="28"/>
  <c r="GY34" i="28"/>
  <c r="FM37" i="28"/>
  <c r="GY37" i="28"/>
  <c r="GY40" i="28"/>
  <c r="GY28" i="28"/>
  <c r="GY39" i="28"/>
  <c r="GW28" i="28"/>
  <c r="GW32" i="28"/>
  <c r="GW34" i="28"/>
  <c r="GW31" i="28"/>
  <c r="GW37" i="28"/>
  <c r="GW86" i="28"/>
  <c r="GW38" i="28"/>
  <c r="DB86" i="28"/>
  <c r="CV38" i="28"/>
  <c r="FR37" i="28"/>
  <c r="FQ34" i="28"/>
  <c r="FM40" i="28"/>
  <c r="GT32" i="28"/>
  <c r="GQ31" i="28"/>
  <c r="GQ38" i="28"/>
  <c r="FQ40" i="28"/>
  <c r="FL38" i="28"/>
  <c r="GQ40" i="28"/>
  <c r="GQ32" i="28"/>
  <c r="GQ28" i="28"/>
  <c r="GQ86" i="28"/>
  <c r="CV40" i="28"/>
  <c r="FR38" i="28"/>
  <c r="FL37" i="28"/>
  <c r="GT39" i="28"/>
  <c r="GT28" i="28"/>
  <c r="CV39" i="28"/>
  <c r="CV36" i="28"/>
  <c r="FR34" i="28"/>
  <c r="GT31" i="28"/>
  <c r="CV35" i="28"/>
  <c r="FR40" i="28"/>
  <c r="FL40" i="28"/>
  <c r="GT86" i="28"/>
  <c r="CV86" i="28"/>
  <c r="GT34" i="28"/>
  <c r="GT38" i="28"/>
  <c r="GT37" i="28"/>
  <c r="GT40" i="28"/>
  <c r="CV37" i="28"/>
  <c r="DB39" i="28"/>
  <c r="CY39" i="28"/>
  <c r="CY40" i="28"/>
  <c r="FP34" i="28"/>
  <c r="DE37" i="28"/>
  <c r="GX31" i="28"/>
  <c r="GX34" i="28"/>
  <c r="DB40" i="28"/>
  <c r="CZ34" i="28"/>
  <c r="CZ37" i="28"/>
  <c r="DD39" i="28"/>
  <c r="DE34" i="28"/>
  <c r="GX86" i="28"/>
  <c r="GQ37" i="28"/>
  <c r="GQ34" i="28"/>
  <c r="CY34" i="28"/>
  <c r="DE40" i="28"/>
  <c r="DB38" i="28"/>
  <c r="CY86" i="28"/>
  <c r="FO38" i="28"/>
  <c r="GX32" i="28"/>
  <c r="FP37" i="28"/>
  <c r="DE38" i="28"/>
  <c r="GX37" i="28"/>
  <c r="FN34" i="28"/>
  <c r="CW37" i="28"/>
  <c r="FO37" i="28"/>
  <c r="FO34" i="28"/>
  <c r="DC38" i="28"/>
  <c r="GV38" i="28"/>
  <c r="DC37" i="28"/>
  <c r="CW40" i="28"/>
  <c r="CW39" i="28"/>
  <c r="DC86" i="28"/>
  <c r="GU40" i="28"/>
  <c r="FO40" i="28"/>
  <c r="FN40" i="28"/>
  <c r="DC40" i="28"/>
  <c r="CW34" i="28"/>
  <c r="FN37" i="28"/>
  <c r="GU28" i="28"/>
  <c r="GU39" i="28"/>
  <c r="GU32" i="28"/>
  <c r="GV40" i="28"/>
  <c r="GV39" i="28"/>
  <c r="GU31" i="28"/>
  <c r="GV32" i="28"/>
  <c r="GV31" i="28"/>
  <c r="GU86" i="28"/>
  <c r="GV28" i="28"/>
  <c r="GV86" i="28"/>
  <c r="CW38" i="28"/>
  <c r="DC34" i="28"/>
  <c r="GU38" i="28"/>
  <c r="GU34" i="28"/>
  <c r="GV34" i="28"/>
  <c r="FJ31" i="28"/>
  <c r="AI205" i="33"/>
  <c r="AI228" i="33"/>
  <c r="AI90" i="33"/>
  <c r="AI113" i="33"/>
  <c r="AI159" i="33"/>
  <c r="AI182" i="33"/>
  <c r="AI136" i="33"/>
  <c r="AH927" i="33"/>
  <c r="AH939" i="33"/>
  <c r="AH940" i="33" s="1"/>
  <c r="AI926" i="33"/>
  <c r="AI24" i="33"/>
  <c r="DU28" i="28" l="1"/>
  <c r="DX28" i="28"/>
  <c r="DV28" i="28"/>
  <c r="DW28" i="28"/>
  <c r="DY28" i="28"/>
  <c r="EI30" i="28"/>
  <c r="EP30" i="28"/>
  <c r="EM30" i="28"/>
  <c r="ES30" i="28"/>
  <c r="EH30" i="28"/>
  <c r="EN30" i="28"/>
  <c r="EO30" i="28"/>
  <c r="EF30" i="28"/>
  <c r="EQ30" i="28"/>
  <c r="ER30" i="28"/>
  <c r="EL30" i="28"/>
  <c r="EK30" i="28"/>
  <c r="EJ30" i="28"/>
  <c r="EG30" i="28"/>
  <c r="BC29" i="28"/>
  <c r="AR29" i="28"/>
  <c r="BH29" i="28" s="1"/>
  <c r="EU29" i="28" s="1"/>
  <c r="AX29" i="28"/>
  <c r="BF29" i="28"/>
  <c r="AT29" i="28"/>
  <c r="BA29" i="28"/>
  <c r="BE29" i="28"/>
  <c r="AW29" i="28"/>
  <c r="AU29" i="28"/>
  <c r="AV29" i="28"/>
  <c r="AZ29" i="28"/>
  <c r="AY29" i="28"/>
  <c r="BD29" i="28"/>
  <c r="BB29" i="28"/>
  <c r="FJ28" i="28"/>
  <c r="E366" i="38"/>
  <c r="E384" i="38" s="1"/>
  <c r="S298" i="38"/>
  <c r="E390" i="38"/>
  <c r="M390" i="38"/>
  <c r="BA30" i="28" s="1"/>
  <c r="F390" i="38"/>
  <c r="AT30" i="28" s="1"/>
  <c r="N390" i="38"/>
  <c r="BB30" i="28" s="1"/>
  <c r="G390" i="38"/>
  <c r="O390" i="38"/>
  <c r="BC30" i="28" s="1"/>
  <c r="H390" i="38"/>
  <c r="AV30" i="28" s="1"/>
  <c r="P390" i="38"/>
  <c r="BD30" i="28" s="1"/>
  <c r="I390" i="38"/>
  <c r="AW30" i="28" s="1"/>
  <c r="Q390" i="38"/>
  <c r="BE30" i="28" s="1"/>
  <c r="J390" i="38"/>
  <c r="AX30" i="28" s="1"/>
  <c r="R390" i="38"/>
  <c r="BF30" i="28" s="1"/>
  <c r="K390" i="38"/>
  <c r="AY30" i="28" s="1"/>
  <c r="D390" i="38"/>
  <c r="AR30" i="28" s="1"/>
  <c r="L390" i="38"/>
  <c r="AZ30" i="28" s="1"/>
  <c r="AS29" i="28"/>
  <c r="AD29" i="33" s="1"/>
  <c r="J300" i="38"/>
  <c r="R300" i="38"/>
  <c r="H300" i="38"/>
  <c r="Q300" i="38"/>
  <c r="D300" i="38"/>
  <c r="G300" i="38"/>
  <c r="L300" i="38"/>
  <c r="H146" i="38"/>
  <c r="O300" i="38"/>
  <c r="N29" i="28"/>
  <c r="N38" i="28" s="1" a="1"/>
  <c r="DZ38" i="28" s="1"/>
  <c r="EA38" i="28" s="1"/>
  <c r="F300" i="38"/>
  <c r="E300" i="38"/>
  <c r="K300" i="38"/>
  <c r="M300" i="38"/>
  <c r="P300" i="38"/>
  <c r="N300" i="38"/>
  <c r="N507" i="38"/>
  <c r="O507" i="38"/>
  <c r="P507" i="38"/>
  <c r="Q507" i="38"/>
  <c r="R507" i="38"/>
  <c r="N299" i="38"/>
  <c r="O299" i="38"/>
  <c r="P299" i="38"/>
  <c r="Q299" i="38"/>
  <c r="R299" i="38"/>
  <c r="AD29" i="28"/>
  <c r="AE29" i="28"/>
  <c r="DK28" i="28"/>
  <c r="FJ37" i="28"/>
  <c r="Y28" i="28" a="1"/>
  <c r="P40" i="28"/>
  <c r="DZ40" i="28" s="1"/>
  <c r="EA40" i="28" s="1"/>
  <c r="Q40" i="28"/>
  <c r="R40" i="28"/>
  <c r="O40" i="28"/>
  <c r="DN28" i="28"/>
  <c r="DS28" i="28"/>
  <c r="DO28" i="28"/>
  <c r="DP28" i="28"/>
  <c r="DQ28" i="28"/>
  <c r="DR28" i="28"/>
  <c r="DL28" i="28"/>
  <c r="DM28" i="28"/>
  <c r="DT28" i="28"/>
  <c r="Y31" i="28" a="1"/>
  <c r="Y31" i="28" s="1"/>
  <c r="AD31" i="28"/>
  <c r="AF31" i="28"/>
  <c r="AE31" i="28"/>
  <c r="N34" i="28"/>
  <c r="Y34" i="28" s="1" a="1"/>
  <c r="Y34" i="28" s="1"/>
  <c r="AD34" i="28"/>
  <c r="AF34" i="28"/>
  <c r="AE34" i="28"/>
  <c r="N32" i="28"/>
  <c r="AD32" i="28"/>
  <c r="AF32" i="28"/>
  <c r="AE32" i="28"/>
  <c r="H507" i="38"/>
  <c r="O30" i="28"/>
  <c r="P30" i="28"/>
  <c r="Q30" i="28"/>
  <c r="R30" i="28"/>
  <c r="I705" i="37" a="1"/>
  <c r="I705" i="37" s="1"/>
  <c r="I507" i="38"/>
  <c r="J507" i="38"/>
  <c r="K507" i="38"/>
  <c r="M507" i="38"/>
  <c r="L507" i="38"/>
  <c r="I299" i="38"/>
  <c r="E299" i="38"/>
  <c r="K299" i="38"/>
  <c r="M299" i="38"/>
  <c r="G299" i="38"/>
  <c r="H299" i="38"/>
  <c r="L299" i="38"/>
  <c r="C145" i="38"/>
  <c r="N40" i="28" s="1"/>
  <c r="F299" i="38"/>
  <c r="J299" i="38"/>
  <c r="D299" i="38"/>
  <c r="E367" i="38" s="1"/>
  <c r="E385" i="38" s="1"/>
  <c r="EB40" i="28"/>
  <c r="EB39" i="28"/>
  <c r="EB37" i="28"/>
  <c r="EB86" i="28"/>
  <c r="EB38" i="28"/>
  <c r="AJ228" i="33"/>
  <c r="AJ205" i="33"/>
  <c r="AJ90" i="33"/>
  <c r="AJ159" i="33"/>
  <c r="AJ113" i="33"/>
  <c r="AJ182" i="33"/>
  <c r="AJ136" i="33"/>
  <c r="AJ24" i="33"/>
  <c r="AJ926" i="33"/>
  <c r="AI939" i="33"/>
  <c r="AI940" i="33" s="1"/>
  <c r="AI927" i="33"/>
  <c r="BG29" i="28" l="1"/>
  <c r="AE29" i="33"/>
  <c r="AF29" i="33" s="1"/>
  <c r="E394" i="38"/>
  <c r="AS35" i="28" s="1"/>
  <c r="BI35" i="28" s="1"/>
  <c r="EV35" i="28" s="1"/>
  <c r="E395" i="38"/>
  <c r="S299" i="38"/>
  <c r="S300" i="38"/>
  <c r="BY29" i="28"/>
  <c r="Y29" i="28" a="1"/>
  <c r="Y29" i="28" s="1"/>
  <c r="N37" i="28" a="1"/>
  <c r="DZ37" i="28" s="1"/>
  <c r="EA37" i="28" s="1"/>
  <c r="AQ29" i="28"/>
  <c r="AU30" i="28"/>
  <c r="BG30" i="28" s="1"/>
  <c r="AS30" i="28"/>
  <c r="AD30" i="33" s="1"/>
  <c r="BH30" i="28"/>
  <c r="EU30" i="28" s="1"/>
  <c r="FJ30" i="28" s="1"/>
  <c r="BI29" i="28"/>
  <c r="EV29" i="28" s="1"/>
  <c r="CV29" i="28"/>
  <c r="DK29" i="28"/>
  <c r="GP29" i="28"/>
  <c r="Y28" i="28"/>
  <c r="M636" i="38"/>
  <c r="Q705" i="37" s="1" a="1"/>
  <c r="Q705" i="37" s="1"/>
  <c r="Q700" i="37" s="1"/>
  <c r="Q699" i="37" s="1"/>
  <c r="DY39" i="28"/>
  <c r="DY86" i="28"/>
  <c r="Q636" i="38"/>
  <c r="U705" i="37" s="1" a="1"/>
  <c r="U705" i="37" s="1"/>
  <c r="U700" i="37" s="1"/>
  <c r="U699" i="37" s="1"/>
  <c r="DY38" i="28"/>
  <c r="DY40" i="28"/>
  <c r="DY34" i="28"/>
  <c r="DY37" i="28"/>
  <c r="DX86" i="28"/>
  <c r="P636" i="38"/>
  <c r="T705" i="37" s="1" a="1"/>
  <c r="T705" i="37" s="1"/>
  <c r="T700" i="37" s="1"/>
  <c r="T699" i="37" s="1"/>
  <c r="DX38" i="28"/>
  <c r="DX37" i="28"/>
  <c r="DX39" i="28"/>
  <c r="DX40" i="28"/>
  <c r="DX34" i="28"/>
  <c r="DW38" i="28"/>
  <c r="DW40" i="28"/>
  <c r="DW34" i="28"/>
  <c r="DW86" i="28"/>
  <c r="O636" i="38"/>
  <c r="S705" i="37" s="1" a="1"/>
  <c r="S705" i="37" s="1"/>
  <c r="S700" i="37" s="1"/>
  <c r="S699" i="37" s="1"/>
  <c r="DW37" i="28"/>
  <c r="DW39" i="28"/>
  <c r="DV38" i="28"/>
  <c r="DV40" i="28"/>
  <c r="DV37" i="28"/>
  <c r="DV39" i="28"/>
  <c r="DV34" i="28"/>
  <c r="N636" i="38"/>
  <c r="R705" i="37" s="1" a="1"/>
  <c r="R705" i="37" s="1"/>
  <c r="R700" i="37" s="1"/>
  <c r="R699" i="37" s="1"/>
  <c r="DV86" i="28"/>
  <c r="DU40" i="28"/>
  <c r="DU37" i="28"/>
  <c r="DU34" i="28"/>
  <c r="DU86" i="28"/>
  <c r="DU38" i="28"/>
  <c r="DU39" i="28"/>
  <c r="Y40" i="28" a="1"/>
  <c r="Y40" i="28" s="1"/>
  <c r="I700" i="37"/>
  <c r="I699" i="37" s="1"/>
  <c r="AF40" i="28"/>
  <c r="AE40" i="28"/>
  <c r="AD40" i="28"/>
  <c r="DZ30" i="28"/>
  <c r="EA30" i="28" s="1"/>
  <c r="H636" i="38"/>
  <c r="L705" i="37" s="1" a="1"/>
  <c r="L705" i="37" s="1"/>
  <c r="K636" i="38"/>
  <c r="O705" i="37" s="1" a="1"/>
  <c r="O705" i="37" s="1"/>
  <c r="L636" i="38"/>
  <c r="P705" i="37" s="1" a="1"/>
  <c r="P705" i="37" s="1"/>
  <c r="J636" i="38"/>
  <c r="N705" i="37" s="1" a="1"/>
  <c r="N705" i="37" s="1"/>
  <c r="G636" i="38"/>
  <c r="K705" i="37" s="1" a="1"/>
  <c r="K705" i="37" s="1"/>
  <c r="I636" i="38"/>
  <c r="M705" i="37" s="1" a="1"/>
  <c r="M705" i="37" s="1"/>
  <c r="N38" i="28"/>
  <c r="Y38" i="28" s="1" a="1"/>
  <c r="Y38" i="28" s="1"/>
  <c r="AD38" i="28"/>
  <c r="AF38" i="28"/>
  <c r="AE38" i="28"/>
  <c r="N36" i="28" a="1"/>
  <c r="Y32" i="28" a="1"/>
  <c r="Y32" i="28" s="1"/>
  <c r="AF30" i="28"/>
  <c r="AD30" i="28"/>
  <c r="AE30" i="28"/>
  <c r="H145" i="38"/>
  <c r="N30" i="28"/>
  <c r="J705" i="37" a="1"/>
  <c r="J705" i="37" s="1"/>
  <c r="H705" i="37" a="1"/>
  <c r="H705" i="37" s="1"/>
  <c r="DR37" i="28"/>
  <c r="DR39" i="28"/>
  <c r="DR40" i="28"/>
  <c r="DR34" i="28"/>
  <c r="DR86" i="28"/>
  <c r="DR38" i="28"/>
  <c r="DT37" i="28"/>
  <c r="DT39" i="28"/>
  <c r="DT40" i="28"/>
  <c r="DT86" i="28"/>
  <c r="DT34" i="28"/>
  <c r="DT38" i="28"/>
  <c r="DQ39" i="28"/>
  <c r="DQ40" i="28"/>
  <c r="DQ37" i="28"/>
  <c r="DQ86" i="28"/>
  <c r="DQ38" i="28"/>
  <c r="DQ34" i="28"/>
  <c r="DP40" i="28"/>
  <c r="DP86" i="28"/>
  <c r="DP34" i="28"/>
  <c r="DP37" i="28"/>
  <c r="DP38" i="28"/>
  <c r="DP39" i="28"/>
  <c r="DO34" i="28"/>
  <c r="DO38" i="28"/>
  <c r="DO37" i="28"/>
  <c r="DO86" i="28"/>
  <c r="DO39" i="28"/>
  <c r="DO40" i="28"/>
  <c r="DN34" i="28"/>
  <c r="DN37" i="28"/>
  <c r="DN38" i="28"/>
  <c r="DN39" i="28"/>
  <c r="DN86" i="28"/>
  <c r="DN40" i="28"/>
  <c r="DK39" i="28"/>
  <c r="DK36" i="28"/>
  <c r="DK37" i="28"/>
  <c r="DK34" i="28"/>
  <c r="DK38" i="28"/>
  <c r="DK40" i="28"/>
  <c r="DK86" i="28"/>
  <c r="DK35" i="28"/>
  <c r="DM37" i="28"/>
  <c r="DM86" i="28"/>
  <c r="DM34" i="28"/>
  <c r="DM40" i="28"/>
  <c r="DM38" i="28"/>
  <c r="DM39" i="28"/>
  <c r="DS34" i="28"/>
  <c r="DS37" i="28"/>
  <c r="DS40" i="28"/>
  <c r="DS39" i="28"/>
  <c r="DS86" i="28"/>
  <c r="DS38" i="28"/>
  <c r="DL86" i="28"/>
  <c r="DL40" i="28"/>
  <c r="DL38" i="28"/>
  <c r="DL39" i="28"/>
  <c r="DL34" i="28"/>
  <c r="DL37" i="28"/>
  <c r="AK205" i="33"/>
  <c r="AK228" i="33"/>
  <c r="AK90" i="33"/>
  <c r="AK159" i="33"/>
  <c r="AK182" i="33"/>
  <c r="AK113" i="33"/>
  <c r="AK136" i="33"/>
  <c r="AK24" i="33"/>
  <c r="AK926" i="33"/>
  <c r="AJ939" i="33"/>
  <c r="AJ940" i="33" s="1"/>
  <c r="AJ927" i="33"/>
  <c r="AQ35" i="28" l="1"/>
  <c r="AD35" i="33"/>
  <c r="AE35" i="33" s="1"/>
  <c r="AF35" i="33" s="1"/>
  <c r="AG35" i="33" s="1"/>
  <c r="AH35" i="33" s="1"/>
  <c r="AI35" i="33" s="1"/>
  <c r="AJ35" i="33" s="1"/>
  <c r="AK35" i="33" s="1"/>
  <c r="AL35" i="33" s="1"/>
  <c r="BY35" i="28"/>
  <c r="AS36" i="28"/>
  <c r="DL35" i="28"/>
  <c r="BJ35" i="28"/>
  <c r="EW35" i="28" s="1"/>
  <c r="GQ35" i="28"/>
  <c r="CW35" i="28"/>
  <c r="AE37" i="28"/>
  <c r="AF37" i="28"/>
  <c r="AD37" i="28"/>
  <c r="N37" i="28"/>
  <c r="Y37" i="28" s="1" a="1"/>
  <c r="Y37" i="28" s="1"/>
  <c r="AQ30" i="28"/>
  <c r="BY30" i="28"/>
  <c r="AE30" i="33"/>
  <c r="AF30" i="33" s="1"/>
  <c r="AG30" i="33" s="1"/>
  <c r="AH30" i="33" s="1"/>
  <c r="AI30" i="33" s="1"/>
  <c r="AJ30" i="33" s="1"/>
  <c r="AK30" i="33" s="1"/>
  <c r="AL30" i="33" s="1"/>
  <c r="AM30" i="33" s="1"/>
  <c r="AG29" i="33"/>
  <c r="FJ29" i="28"/>
  <c r="BJ29" i="28"/>
  <c r="EW29" i="28" s="1"/>
  <c r="GQ29" i="28"/>
  <c r="CW29" i="28"/>
  <c r="DL29" i="28"/>
  <c r="BI30" i="28"/>
  <c r="EV30" i="28" s="1"/>
  <c r="GP30" i="28"/>
  <c r="CV30" i="28"/>
  <c r="DK30" i="28"/>
  <c r="R706" i="37"/>
  <c r="T706" i="37"/>
  <c r="U706" i="37"/>
  <c r="S706" i="37"/>
  <c r="F705" i="37"/>
  <c r="J700" i="37"/>
  <c r="H700" i="37"/>
  <c r="N36" i="28"/>
  <c r="Y36" i="28" s="1" a="1"/>
  <c r="Y36" i="28" s="1"/>
  <c r="AD36" i="28"/>
  <c r="AE36" i="28"/>
  <c r="AF36" i="28"/>
  <c r="Y30" i="28" a="1"/>
  <c r="AL228" i="33"/>
  <c r="AL205" i="33"/>
  <c r="AL90" i="33"/>
  <c r="AL113" i="33"/>
  <c r="AL182" i="33"/>
  <c r="AL136" i="33"/>
  <c r="AL159" i="33"/>
  <c r="AL926" i="33"/>
  <c r="AL24" i="33"/>
  <c r="AK939" i="33"/>
  <c r="AK940" i="33" s="1"/>
  <c r="AK927" i="33"/>
  <c r="AQ36" i="28" l="1"/>
  <c r="BI36" i="28"/>
  <c r="BY36" i="28"/>
  <c r="AD36" i="33"/>
  <c r="AE36" i="33" s="1"/>
  <c r="AF36" i="33" s="1"/>
  <c r="AG36" i="33" s="1"/>
  <c r="AH36" i="33" s="1"/>
  <c r="AI36" i="33" s="1"/>
  <c r="AJ36" i="33" s="1"/>
  <c r="AK36" i="33" s="1"/>
  <c r="AL36" i="33" s="1"/>
  <c r="BK35" i="28"/>
  <c r="EX35" i="28" s="1"/>
  <c r="GR35" i="28"/>
  <c r="CX35" i="28"/>
  <c r="DM35" i="28"/>
  <c r="AM35" i="33"/>
  <c r="BK29" i="28"/>
  <c r="EX29" i="28" s="1"/>
  <c r="GR29" i="28"/>
  <c r="CX29" i="28"/>
  <c r="DM29" i="28"/>
  <c r="BJ30" i="28"/>
  <c r="EW30" i="28" s="1"/>
  <c r="CW30" i="28"/>
  <c r="GQ30" i="28"/>
  <c r="DL30" i="28"/>
  <c r="AH29" i="33"/>
  <c r="H699" i="37"/>
  <c r="J699" i="37"/>
  <c r="J706" i="37" s="1"/>
  <c r="Y30" i="28"/>
  <c r="AM228" i="33"/>
  <c r="AM90" i="33"/>
  <c r="AM159" i="33"/>
  <c r="AM136" i="33"/>
  <c r="AM205" i="33"/>
  <c r="AM24" i="33"/>
  <c r="AM182" i="33"/>
  <c r="AM113" i="33"/>
  <c r="AL928" i="33"/>
  <c r="AL939" i="33"/>
  <c r="AL927" i="33"/>
  <c r="AM36" i="33" l="1"/>
  <c r="GQ36" i="28"/>
  <c r="EV36" i="28"/>
  <c r="FK36" i="28" s="1"/>
  <c r="CW36" i="28"/>
  <c r="BJ36" i="28"/>
  <c r="DL36" i="28"/>
  <c r="BL35" i="28"/>
  <c r="EY35" i="28" s="1"/>
  <c r="CY35" i="28"/>
  <c r="GS35" i="28"/>
  <c r="DN35" i="28"/>
  <c r="AI29" i="33"/>
  <c r="BK30" i="28"/>
  <c r="EX30" i="28" s="1"/>
  <c r="CX30" i="28"/>
  <c r="GR30" i="28"/>
  <c r="DM30" i="28"/>
  <c r="BL29" i="28"/>
  <c r="EY29" i="28" s="1"/>
  <c r="CY29" i="28"/>
  <c r="DN29" i="28"/>
  <c r="GS29" i="28"/>
  <c r="H706" i="37"/>
  <c r="I706" i="37"/>
  <c r="AL941" i="33"/>
  <c r="AL940" i="33"/>
  <c r="AL23" i="33"/>
  <c r="EW36" i="28" l="1"/>
  <c r="FL36" i="28" s="1"/>
  <c r="BK36" i="28"/>
  <c r="CX36" i="28"/>
  <c r="GR36" i="28"/>
  <c r="DM36" i="28"/>
  <c r="BM35" i="28"/>
  <c r="EZ35" i="28" s="1"/>
  <c r="GT35" i="28"/>
  <c r="CZ35" i="28"/>
  <c r="DO35" i="28"/>
  <c r="BM29" i="28"/>
  <c r="EZ29" i="28" s="1"/>
  <c r="CZ29" i="28"/>
  <c r="GT29" i="28"/>
  <c r="DO29" i="28"/>
  <c r="BL30" i="28"/>
  <c r="EY30" i="28" s="1"/>
  <c r="CY30" i="28"/>
  <c r="GS30" i="28"/>
  <c r="DN30" i="28"/>
  <c r="AJ29" i="33"/>
  <c r="AM23" i="33"/>
  <c r="AL227" i="33"/>
  <c r="AL204" i="33"/>
  <c r="AL181" i="33"/>
  <c r="AL112" i="33"/>
  <c r="AL135" i="33"/>
  <c r="AL158" i="33"/>
  <c r="AL703" i="33"/>
  <c r="AL704" i="33" s="1"/>
  <c r="AL89" i="33"/>
  <c r="EX36" i="28" l="1"/>
  <c r="FM36" i="28" s="1"/>
  <c r="CY36" i="28"/>
  <c r="BL36" i="28"/>
  <c r="GS36" i="28"/>
  <c r="DN36" i="28"/>
  <c r="BN35" i="28"/>
  <c r="FA35" i="28" s="1"/>
  <c r="DA35" i="28"/>
  <c r="GU35" i="28"/>
  <c r="DP35" i="28"/>
  <c r="BM30" i="28"/>
  <c r="EZ30" i="28" s="1"/>
  <c r="GT30" i="28"/>
  <c r="CZ30" i="28"/>
  <c r="DO30" i="28"/>
  <c r="BN29" i="28"/>
  <c r="FA29" i="28" s="1"/>
  <c r="DA29" i="28"/>
  <c r="DP29" i="28"/>
  <c r="GU29" i="28"/>
  <c r="AK29" i="33"/>
  <c r="AM135" i="33"/>
  <c r="AM158" i="33"/>
  <c r="AM181" i="33"/>
  <c r="AM112" i="33"/>
  <c r="AM227" i="33"/>
  <c r="AM89" i="33"/>
  <c r="AM204" i="33"/>
  <c r="AL715" i="33"/>
  <c r="AL716" i="33" s="1"/>
  <c r="AL705" i="33"/>
  <c r="EY36" i="28" l="1"/>
  <c r="FN36" i="28" s="1"/>
  <c r="BM36" i="28"/>
  <c r="GT36" i="28"/>
  <c r="CZ36" i="28"/>
  <c r="DO36" i="28"/>
  <c r="BO35" i="28"/>
  <c r="FB35" i="28" s="1"/>
  <c r="DB35" i="28"/>
  <c r="GV35" i="28"/>
  <c r="DQ35" i="28"/>
  <c r="AL29" i="33"/>
  <c r="BO29" i="28"/>
  <c r="FB29" i="28" s="1"/>
  <c r="DB29" i="28"/>
  <c r="DQ29" i="28"/>
  <c r="GV29" i="28"/>
  <c r="BN30" i="28"/>
  <c r="FA30" i="28" s="1"/>
  <c r="GU30" i="28"/>
  <c r="DA30" i="28"/>
  <c r="DP30" i="28"/>
  <c r="AL717" i="33"/>
  <c r="EZ36" i="28" l="1"/>
  <c r="FO36" i="28" s="1"/>
  <c r="GU36" i="28"/>
  <c r="BN36" i="28"/>
  <c r="DP36" i="28"/>
  <c r="DA36" i="28"/>
  <c r="BP35" i="28"/>
  <c r="FC35" i="28" s="1"/>
  <c r="DC35" i="28"/>
  <c r="GW35" i="28"/>
  <c r="DR35" i="28"/>
  <c r="AM29" i="33"/>
  <c r="BP29" i="28"/>
  <c r="FC29" i="28" s="1"/>
  <c r="GW29" i="28"/>
  <c r="DR29" i="28"/>
  <c r="DC29" i="28"/>
  <c r="BO30" i="28"/>
  <c r="FB30" i="28" s="1"/>
  <c r="DB30" i="28"/>
  <c r="GV30" i="28"/>
  <c r="DQ30" i="28"/>
  <c r="E26" i="38"/>
  <c r="FA36" i="28" l="1"/>
  <c r="FP36" i="28" s="1"/>
  <c r="BO36" i="28"/>
  <c r="GV36" i="28"/>
  <c r="DQ36" i="28"/>
  <c r="DB36" i="28"/>
  <c r="BQ35" i="28"/>
  <c r="FD35" i="28" s="1"/>
  <c r="DD35" i="28"/>
  <c r="GX35" i="28"/>
  <c r="DS35" i="28"/>
  <c r="BP30" i="28"/>
  <c r="FC30" i="28" s="1"/>
  <c r="DC30" i="28"/>
  <c r="GW30" i="28"/>
  <c r="DR30" i="28"/>
  <c r="BQ29" i="28"/>
  <c r="FD29" i="28" s="1"/>
  <c r="DD29" i="28"/>
  <c r="DS29" i="28"/>
  <c r="GX29" i="28"/>
  <c r="F26" i="38"/>
  <c r="FB36" i="28" l="1"/>
  <c r="FQ36" i="28" s="1"/>
  <c r="GW36" i="28"/>
  <c r="BP36" i="28"/>
  <c r="DR36" i="28"/>
  <c r="DC36" i="28"/>
  <c r="BR35" i="28"/>
  <c r="FE35" i="28" s="1"/>
  <c r="DE35" i="28"/>
  <c r="GY35" i="28"/>
  <c r="DT35" i="28"/>
  <c r="BR29" i="28"/>
  <c r="FE29" i="28" s="1"/>
  <c r="GY29" i="28"/>
  <c r="DE29" i="28"/>
  <c r="DT29" i="28"/>
  <c r="BQ30" i="28"/>
  <c r="FD30" i="28" s="1"/>
  <c r="DD30" i="28"/>
  <c r="GX30" i="28"/>
  <c r="DS30" i="28"/>
  <c r="G26" i="38"/>
  <c r="FC36" i="28" l="1"/>
  <c r="FR36" i="28" s="1"/>
  <c r="DD36" i="28"/>
  <c r="DS36" i="28"/>
  <c r="BQ36" i="28"/>
  <c r="GX36" i="28"/>
  <c r="BS35" i="28"/>
  <c r="FF35" i="28" s="1"/>
  <c r="GZ35" i="28"/>
  <c r="DF35" i="28"/>
  <c r="DU35" i="28"/>
  <c r="BR30" i="28"/>
  <c r="FE30" i="28" s="1"/>
  <c r="DE30" i="28"/>
  <c r="GY30" i="28"/>
  <c r="DT30" i="28"/>
  <c r="BS29" i="28"/>
  <c r="FF29" i="28" s="1"/>
  <c r="GZ29" i="28"/>
  <c r="DF29" i="28"/>
  <c r="DU29" i="28"/>
  <c r="H26" i="38"/>
  <c r="FD36" i="28" l="1"/>
  <c r="FS36" i="28" s="1"/>
  <c r="GY36" i="28"/>
  <c r="DT36" i="28"/>
  <c r="BR36" i="28"/>
  <c r="DE36" i="28"/>
  <c r="BT35" i="28"/>
  <c r="FG35" i="28" s="1"/>
  <c r="HA35" i="28"/>
  <c r="DG35" i="28"/>
  <c r="DV35" i="28"/>
  <c r="BT29" i="28"/>
  <c r="FG29" i="28" s="1"/>
  <c r="HA29" i="28"/>
  <c r="DG29" i="28"/>
  <c r="DV29" i="28"/>
  <c r="BS30" i="28"/>
  <c r="FF30" i="28" s="1"/>
  <c r="GZ30" i="28"/>
  <c r="DF30" i="28"/>
  <c r="DU30" i="28"/>
  <c r="I26" i="38"/>
  <c r="FE36" i="28" l="1"/>
  <c r="FT36" i="28" s="1"/>
  <c r="BS36" i="28"/>
  <c r="DF36" i="28"/>
  <c r="GZ36" i="28"/>
  <c r="DU36" i="28"/>
  <c r="BU35" i="28"/>
  <c r="FH35" i="28" s="1"/>
  <c r="HB35" i="28"/>
  <c r="DH35" i="28"/>
  <c r="DW35" i="28"/>
  <c r="BU29" i="28"/>
  <c r="FH29" i="28" s="1"/>
  <c r="HB29" i="28"/>
  <c r="DH29" i="28"/>
  <c r="DW29" i="28"/>
  <c r="BT30" i="28"/>
  <c r="FG30" i="28" s="1"/>
  <c r="HA30" i="28"/>
  <c r="DG30" i="28"/>
  <c r="DV30" i="28"/>
  <c r="J26" i="38"/>
  <c r="FF36" i="28" l="1"/>
  <c r="FU36" i="28" s="1"/>
  <c r="HA36" i="28"/>
  <c r="DV36" i="28"/>
  <c r="BT36" i="28"/>
  <c r="DG36" i="28"/>
  <c r="BV35" i="28"/>
  <c r="FI35" i="28" s="1"/>
  <c r="HC35" i="28"/>
  <c r="DI35" i="28"/>
  <c r="DX35" i="28"/>
  <c r="BV29" i="28"/>
  <c r="FI29" i="28" s="1"/>
  <c r="HC29" i="28"/>
  <c r="DI29" i="28"/>
  <c r="DX29" i="28"/>
  <c r="BU30" i="28"/>
  <c r="FH30" i="28" s="1"/>
  <c r="HB30" i="28"/>
  <c r="DH30" i="28"/>
  <c r="DW30" i="28"/>
  <c r="K26" i="38"/>
  <c r="J17" i="38"/>
  <c r="FG36" i="28" l="1"/>
  <c r="FV36" i="28" s="1"/>
  <c r="BU36" i="28"/>
  <c r="HB36" i="28"/>
  <c r="DH36" i="28"/>
  <c r="DW36" i="28"/>
  <c r="HD35" i="28"/>
  <c r="DJ35" i="28"/>
  <c r="DY35" i="28"/>
  <c r="BV30" i="28"/>
  <c r="FI30" i="28" s="1"/>
  <c r="HC30" i="28"/>
  <c r="DI30" i="28"/>
  <c r="DX30" i="28"/>
  <c r="HD29" i="28"/>
  <c r="DJ29" i="28"/>
  <c r="DY29" i="28"/>
  <c r="J27" i="38"/>
  <c r="L26" i="38"/>
  <c r="M26" i="38" s="1"/>
  <c r="K17" i="38"/>
  <c r="FH36" i="28" l="1"/>
  <c r="FW36" i="28" s="1"/>
  <c r="BV36" i="28"/>
  <c r="DI36" i="28"/>
  <c r="DX36" i="28"/>
  <c r="HC36" i="28"/>
  <c r="HD30" i="28"/>
  <c r="DJ30" i="28"/>
  <c r="DY30" i="28"/>
  <c r="N26" i="38"/>
  <c r="M17" i="38"/>
  <c r="K27" i="38"/>
  <c r="L17" i="38"/>
  <c r="FI36" i="28" l="1"/>
  <c r="FX36" i="28" s="1"/>
  <c r="HD36" i="28"/>
  <c r="DJ36" i="28"/>
  <c r="DY36" i="28"/>
  <c r="O26" i="38"/>
  <c r="N17" i="38"/>
  <c r="L27" i="38"/>
  <c r="M27" i="38" s="1"/>
  <c r="N27" i="38" l="1"/>
  <c r="N14" i="38" s="1"/>
  <c r="N24" i="38" s="1"/>
  <c r="N28" i="38" s="1"/>
  <c r="R754" i="37" s="1"/>
  <c r="P26" i="38"/>
  <c r="O17" i="38"/>
  <c r="CT71" i="28"/>
  <c r="CT70" i="28"/>
  <c r="O27" i="38" l="1"/>
  <c r="O14" i="38" s="1"/>
  <c r="O24" i="38" s="1"/>
  <c r="O28" i="38" s="1"/>
  <c r="S754" i="37" s="1"/>
  <c r="Q26" i="38"/>
  <c r="Q17" i="38" s="1"/>
  <c r="P17" i="38"/>
  <c r="D28" i="38"/>
  <c r="H754" i="37" s="1"/>
  <c r="E23" i="38"/>
  <c r="L23" i="38"/>
  <c r="M14" i="38" s="1"/>
  <c r="M24" i="38" s="1"/>
  <c r="M28" i="38" s="1"/>
  <c r="Q754" i="37" s="1"/>
  <c r="K23" i="38"/>
  <c r="J23" i="38"/>
  <c r="I23" i="38"/>
  <c r="H23" i="38"/>
  <c r="G23" i="38"/>
  <c r="F23" i="38"/>
  <c r="D21" i="38"/>
  <c r="P27" i="38" l="1"/>
  <c r="P14" i="38" s="1"/>
  <c r="P24" i="38" s="1"/>
  <c r="P28" i="38" s="1"/>
  <c r="T754" i="37" s="1"/>
  <c r="L14" i="38"/>
  <c r="L24" i="38" s="1"/>
  <c r="L28" i="38" s="1"/>
  <c r="P754" i="37" s="1"/>
  <c r="G14" i="38"/>
  <c r="G24" i="38" s="1"/>
  <c r="G28" i="38" s="1"/>
  <c r="K754" i="37" s="1"/>
  <c r="K14" i="38"/>
  <c r="K24" i="38" s="1"/>
  <c r="K28" i="38" s="1"/>
  <c r="O754" i="37" s="1"/>
  <c r="I14" i="38"/>
  <c r="I24" i="38" s="1"/>
  <c r="I28" i="38" s="1"/>
  <c r="M754" i="37" s="1"/>
  <c r="H14" i="38"/>
  <c r="H24" i="38" s="1"/>
  <c r="H28" i="38" s="1"/>
  <c r="L754" i="37" s="1"/>
  <c r="F14" i="38"/>
  <c r="F24" i="38" s="1"/>
  <c r="F28" i="38" s="1"/>
  <c r="J754" i="37" s="1"/>
  <c r="E14" i="38"/>
  <c r="E24" i="38" s="1"/>
  <c r="E28" i="38" s="1"/>
  <c r="I754" i="37" s="1"/>
  <c r="J14" i="38"/>
  <c r="J24" i="38" s="1"/>
  <c r="J28" i="38" s="1"/>
  <c r="N754" i="37" s="1"/>
  <c r="Q27" i="38" l="1"/>
  <c r="Q14" i="38" s="1"/>
  <c r="Q24" i="38" s="1"/>
  <c r="Q28" i="38" s="1"/>
  <c r="U754" i="37" s="1"/>
  <c r="F809" i="37"/>
  <c r="F851" i="37"/>
  <c r="F837" i="37"/>
  <c r="F823" i="37"/>
  <c r="F802" i="37"/>
  <c r="F830" i="37"/>
  <c r="F816" i="37"/>
  <c r="F844" i="37"/>
  <c r="T802" i="37" l="1"/>
  <c r="S802" i="37"/>
  <c r="R802" i="37"/>
  <c r="Q802" i="37"/>
  <c r="U802" i="37"/>
  <c r="N802" i="37"/>
  <c r="N803" i="37" s="1"/>
  <c r="G802" i="37"/>
  <c r="G864" i="37" s="1"/>
  <c r="M802" i="37"/>
  <c r="L802" i="37"/>
  <c r="L805" i="37" s="1"/>
  <c r="O802" i="37"/>
  <c r="O804" i="37" s="1"/>
  <c r="K802" i="37"/>
  <c r="J802" i="37"/>
  <c r="J803" i="37" s="1"/>
  <c r="H802" i="37"/>
  <c r="G808" i="37" s="1"/>
  <c r="P802" i="37"/>
  <c r="I802" i="37"/>
  <c r="R806" i="37" l="1"/>
  <c r="R804" i="37"/>
  <c r="R805" i="37"/>
  <c r="R808" i="37"/>
  <c r="R803" i="37"/>
  <c r="R864" i="37"/>
  <c r="S803" i="37"/>
  <c r="S806" i="37"/>
  <c r="S808" i="37"/>
  <c r="S805" i="37"/>
  <c r="S864" i="37"/>
  <c r="S804" i="37"/>
  <c r="Q864" i="37"/>
  <c r="Q805" i="37"/>
  <c r="Q806" i="37"/>
  <c r="Q803" i="37"/>
  <c r="Q804" i="37"/>
  <c r="Q808" i="37"/>
  <c r="T808" i="37"/>
  <c r="T803" i="37"/>
  <c r="T864" i="37"/>
  <c r="T806" i="37"/>
  <c r="T805" i="37"/>
  <c r="T804" i="37"/>
  <c r="U803" i="37"/>
  <c r="U805" i="37"/>
  <c r="U864" i="37"/>
  <c r="U806" i="37"/>
  <c r="U804" i="37"/>
  <c r="U808" i="37"/>
  <c r="N864" i="37"/>
  <c r="N805" i="37"/>
  <c r="N806" i="37"/>
  <c r="G803" i="37"/>
  <c r="V802" i="37"/>
  <c r="V864" i="37" s="1"/>
  <c r="G806" i="37"/>
  <c r="G805" i="37"/>
  <c r="G804" i="37"/>
  <c r="N804" i="37"/>
  <c r="L803" i="37"/>
  <c r="M864" i="37"/>
  <c r="L808" i="37"/>
  <c r="M804" i="37"/>
  <c r="M803" i="37"/>
  <c r="M808" i="37"/>
  <c r="M806" i="37"/>
  <c r="K804" i="37"/>
  <c r="L864" i="37"/>
  <c r="L806" i="37"/>
  <c r="L804" i="37"/>
  <c r="K803" i="37"/>
  <c r="N808" i="37"/>
  <c r="M805" i="37"/>
  <c r="K805" i="37"/>
  <c r="K806" i="37"/>
  <c r="K864" i="37"/>
  <c r="K808" i="37"/>
  <c r="J808" i="37"/>
  <c r="J806" i="37"/>
  <c r="J804" i="37"/>
  <c r="J805" i="37"/>
  <c r="J864" i="37"/>
  <c r="O806" i="37"/>
  <c r="O803" i="37"/>
  <c r="O805" i="37"/>
  <c r="O808" i="37"/>
  <c r="O864" i="37"/>
  <c r="I805" i="37"/>
  <c r="I808" i="37"/>
  <c r="I864" i="37"/>
  <c r="I806" i="37"/>
  <c r="I803" i="37"/>
  <c r="I804" i="37"/>
  <c r="P808" i="37"/>
  <c r="P806" i="37"/>
  <c r="P804" i="37"/>
  <c r="P864" i="37"/>
  <c r="P803" i="37"/>
  <c r="P805" i="37"/>
  <c r="H805" i="37"/>
  <c r="H864" i="37"/>
  <c r="H803" i="37"/>
  <c r="H804" i="37"/>
  <c r="H806" i="37"/>
  <c r="H808" i="37"/>
  <c r="T807" i="37" l="1"/>
  <c r="U807" i="37"/>
  <c r="Q807" i="37"/>
  <c r="S807" i="37"/>
  <c r="R807" i="37"/>
  <c r="G807" i="37"/>
  <c r="N807" i="37"/>
  <c r="L807" i="37"/>
  <c r="K807" i="37"/>
  <c r="M807" i="37"/>
  <c r="J807" i="37"/>
  <c r="O807" i="37"/>
  <c r="P807" i="37"/>
  <c r="H807" i="37"/>
  <c r="I807" i="37"/>
  <c r="I698" i="37" l="1"/>
  <c r="D843" i="38" l="1"/>
  <c r="N33" i="28" l="1" a="1"/>
  <c r="U695" i="37" s="1"/>
  <c r="D383" i="38"/>
  <c r="G383" i="38"/>
  <c r="L383" i="38"/>
  <c r="N383" i="38"/>
  <c r="J383" i="38"/>
  <c r="M383" i="38"/>
  <c r="E383" i="38"/>
  <c r="H383" i="38"/>
  <c r="R383" i="38"/>
  <c r="I383" i="38"/>
  <c r="O383" i="38"/>
  <c r="F383" i="38"/>
  <c r="Q383" i="38"/>
  <c r="P383" i="38"/>
  <c r="K383" i="38"/>
  <c r="T704" i="37"/>
  <c r="R712" i="37"/>
  <c r="R720" i="37"/>
  <c r="R719" i="37"/>
  <c r="Q696" i="37"/>
  <c r="Q735" i="37"/>
  <c r="U712" i="37"/>
  <c r="T735" i="37"/>
  <c r="R728" i="37"/>
  <c r="T695" i="37"/>
  <c r="U711" i="37"/>
  <c r="T743" i="37"/>
  <c r="R743" i="37"/>
  <c r="T711" i="37"/>
  <c r="S703" i="37"/>
  <c r="R695" i="37"/>
  <c r="R711" i="37"/>
  <c r="U744" i="37"/>
  <c r="U704" i="37"/>
  <c r="R696" i="37"/>
  <c r="T736" i="37"/>
  <c r="Q743" i="37"/>
  <c r="S743" i="37"/>
  <c r="Q712" i="37"/>
  <c r="Q727" i="37"/>
  <c r="T696" i="37"/>
  <c r="Q720" i="37"/>
  <c r="T744" i="37"/>
  <c r="Q711" i="37"/>
  <c r="Q703" i="37"/>
  <c r="S719" i="37"/>
  <c r="R735" i="37"/>
  <c r="Q695" i="37"/>
  <c r="R727" i="37"/>
  <c r="S735" i="37"/>
  <c r="S744" i="37"/>
  <c r="T728" i="37"/>
  <c r="Q704" i="37"/>
  <c r="T712" i="37"/>
  <c r="S727" i="37"/>
  <c r="S720" i="37"/>
  <c r="S695" i="37"/>
  <c r="Q744" i="37"/>
  <c r="S704" i="37"/>
  <c r="Q728" i="37"/>
  <c r="G361" i="37"/>
  <c r="G372" i="37"/>
  <c r="G364" i="37"/>
  <c r="G384" i="37"/>
  <c r="G915" i="37" a="1"/>
  <c r="G915" i="37" s="1"/>
  <c r="G712" i="37"/>
  <c r="G943" i="37" a="1"/>
  <c r="G943" i="37" s="1"/>
  <c r="G887" i="37" a="1"/>
  <c r="G887" i="37" s="1"/>
  <c r="G395" i="37"/>
  <c r="G366" i="37"/>
  <c r="G704" i="37"/>
  <c r="G901" i="37" a="1"/>
  <c r="G901" i="37" s="1"/>
  <c r="G396" i="37"/>
  <c r="G736" i="37"/>
  <c r="G696" i="37"/>
  <c r="G388" i="37"/>
  <c r="G365" i="37"/>
  <c r="G727" i="37"/>
  <c r="G695" i="37"/>
  <c r="G379" i="37"/>
  <c r="G397" i="37"/>
  <c r="G370" i="37"/>
  <c r="G957" i="37" a="1"/>
  <c r="G957" i="37" s="1"/>
  <c r="G728" i="37"/>
  <c r="G383" i="37"/>
  <c r="G971" i="37" a="1"/>
  <c r="G971" i="37" s="1"/>
  <c r="G391" i="37"/>
  <c r="G371" i="37"/>
  <c r="G711" i="37"/>
  <c r="G376" i="37"/>
  <c r="G929" i="37" a="1"/>
  <c r="G929" i="37" s="1"/>
  <c r="G367" i="37"/>
  <c r="G389" i="37"/>
  <c r="G743" i="37"/>
  <c r="G394" i="37"/>
  <c r="G360" i="37"/>
  <c r="G744" i="37"/>
  <c r="G373" i="37"/>
  <c r="G390" i="37"/>
  <c r="G382" i="37"/>
  <c r="G735" i="37"/>
  <c r="G719" i="37"/>
  <c r="G359" i="37"/>
  <c r="G378" i="37"/>
  <c r="G377" i="37"/>
  <c r="G358" i="37"/>
  <c r="G703" i="37"/>
  <c r="G720" i="37"/>
  <c r="G385" i="37"/>
  <c r="N33" i="28"/>
  <c r="AF33" i="28"/>
  <c r="AE33" i="28"/>
  <c r="AD33" i="28"/>
  <c r="J735" i="37"/>
  <c r="I727" i="37"/>
  <c r="J720" i="37"/>
  <c r="I711" i="37"/>
  <c r="J743" i="37"/>
  <c r="H728" i="37"/>
  <c r="H743" i="37"/>
  <c r="H695" i="37"/>
  <c r="H720" i="37"/>
  <c r="H719" i="37"/>
  <c r="J703" i="37"/>
  <c r="J711" i="37"/>
  <c r="I728" i="37"/>
  <c r="J736" i="37"/>
  <c r="I703" i="37"/>
  <c r="J704" i="37"/>
  <c r="I719" i="37"/>
  <c r="I695" i="37"/>
  <c r="H744" i="37"/>
  <c r="I696" i="37"/>
  <c r="H727" i="37"/>
  <c r="I704" i="37"/>
  <c r="H703" i="37"/>
  <c r="J744" i="37"/>
  <c r="I735" i="37"/>
  <c r="J727" i="37"/>
  <c r="H736" i="37"/>
  <c r="H696" i="37"/>
  <c r="H704" i="37"/>
  <c r="I720" i="37"/>
  <c r="J695" i="37"/>
  <c r="I744" i="37"/>
  <c r="H711" i="37"/>
  <c r="J719" i="37"/>
  <c r="J696" i="37"/>
  <c r="H735" i="37"/>
  <c r="H712" i="37"/>
  <c r="I743" i="37"/>
  <c r="I736" i="37"/>
  <c r="I712" i="37"/>
  <c r="J712" i="37"/>
  <c r="J728" i="37"/>
  <c r="S712" i="37" l="1"/>
  <c r="Q719" i="37"/>
  <c r="U736" i="37"/>
  <c r="U703" i="37"/>
  <c r="S728" i="37"/>
  <c r="S696" i="37"/>
  <c r="U743" i="37"/>
  <c r="Q736" i="37"/>
  <c r="U696" i="37"/>
  <c r="R736" i="37"/>
  <c r="U720" i="37"/>
  <c r="R704" i="37"/>
  <c r="R703" i="37"/>
  <c r="U728" i="37"/>
  <c r="U735" i="37"/>
  <c r="S711" i="37"/>
  <c r="T719" i="37"/>
  <c r="U719" i="37"/>
  <c r="R744" i="37"/>
  <c r="S736" i="37"/>
  <c r="T703" i="37"/>
  <c r="K393" i="38"/>
  <c r="M393" i="38"/>
  <c r="N393" i="38"/>
  <c r="L393" i="38"/>
  <c r="I393" i="38"/>
  <c r="G393" i="38"/>
  <c r="J393" i="38"/>
  <c r="F393" i="38"/>
  <c r="O393" i="38"/>
  <c r="R393" i="38"/>
  <c r="D393" i="38"/>
  <c r="E393" i="38"/>
  <c r="P393" i="38"/>
  <c r="Q393" i="38"/>
  <c r="H393" i="38"/>
  <c r="T720" i="37"/>
  <c r="U727" i="37"/>
  <c r="T727" i="37"/>
  <c r="S718" i="37"/>
  <c r="Q694" i="37"/>
  <c r="R694" i="37"/>
  <c r="R726" i="37"/>
  <c r="Q710" i="37"/>
  <c r="U742" i="37"/>
  <c r="U694" i="37"/>
  <c r="Q726" i="37"/>
  <c r="U718" i="37"/>
  <c r="Q718" i="37"/>
  <c r="S710" i="37"/>
  <c r="U726" i="37"/>
  <c r="R702" i="37"/>
  <c r="S742" i="37"/>
  <c r="U702" i="37"/>
  <c r="T702" i="37"/>
  <c r="R734" i="37"/>
  <c r="R718" i="37"/>
  <c r="S694" i="37"/>
  <c r="T718" i="37"/>
  <c r="S702" i="37"/>
  <c r="Q734" i="37"/>
  <c r="T742" i="37"/>
  <c r="T726" i="37"/>
  <c r="T710" i="37"/>
  <c r="S734" i="37"/>
  <c r="U710" i="37"/>
  <c r="R742" i="37"/>
  <c r="T694" i="37"/>
  <c r="Q742" i="37"/>
  <c r="R710" i="37"/>
  <c r="U734" i="37"/>
  <c r="Q702" i="37"/>
  <c r="T734" i="37"/>
  <c r="S726" i="37"/>
  <c r="G734" i="37"/>
  <c r="G710" i="37"/>
  <c r="G726" i="37"/>
  <c r="G742" i="37"/>
  <c r="G357" i="37"/>
  <c r="G375" i="37"/>
  <c r="G381" i="37"/>
  <c r="G694" i="37"/>
  <c r="G387" i="37"/>
  <c r="G393" i="37"/>
  <c r="G369" i="37"/>
  <c r="G702" i="37"/>
  <c r="G718" i="37"/>
  <c r="G363" i="37"/>
  <c r="Y33" i="28" a="1"/>
  <c r="H718" i="37"/>
  <c r="J694" i="37"/>
  <c r="H694" i="37"/>
  <c r="H742" i="37"/>
  <c r="I702" i="37"/>
  <c r="H726" i="37"/>
  <c r="H734" i="37"/>
  <c r="J702" i="37"/>
  <c r="J742" i="37"/>
  <c r="I726" i="37"/>
  <c r="H710" i="37"/>
  <c r="I734" i="37"/>
  <c r="I718" i="37"/>
  <c r="I742" i="37"/>
  <c r="J726" i="37"/>
  <c r="J718" i="37"/>
  <c r="J710" i="37"/>
  <c r="J734" i="37"/>
  <c r="I710" i="37"/>
  <c r="I694" i="37"/>
  <c r="H702" i="37"/>
  <c r="Y361" i="37" l="1"/>
  <c r="Y396" i="37"/>
  <c r="Y372" i="37"/>
  <c r="Y379" i="37"/>
  <c r="Y391" i="37"/>
  <c r="Y359" i="37"/>
  <c r="Y360" i="37"/>
  <c r="Y390" i="37"/>
  <c r="Y378" i="37"/>
  <c r="Y366" i="37"/>
  <c r="Y397" i="37"/>
  <c r="Y373" i="37"/>
  <c r="Y367" i="37"/>
  <c r="Y384" i="37"/>
  <c r="Y385" i="37"/>
  <c r="BE33" i="28"/>
  <c r="AT33" i="28"/>
  <c r="AV33" i="28"/>
  <c r="AX33" i="28"/>
  <c r="AU33" i="28"/>
  <c r="AR33" i="28"/>
  <c r="BB33" i="28"/>
  <c r="BD33" i="28"/>
  <c r="AW33" i="28"/>
  <c r="BF33" i="28"/>
  <c r="BA33" i="28"/>
  <c r="AS33" i="28"/>
  <c r="AD33" i="33" s="1"/>
  <c r="AZ33" i="28"/>
  <c r="BC33" i="28"/>
  <c r="AY33" i="28"/>
  <c r="G356" i="37"/>
  <c r="G368" i="37"/>
  <c r="G374" i="37"/>
  <c r="G392" i="37"/>
  <c r="G362" i="37"/>
  <c r="G386" i="37"/>
  <c r="Y377" i="37"/>
  <c r="Y364" i="37"/>
  <c r="Y376" i="37"/>
  <c r="Y382" i="37"/>
  <c r="Y388" i="37"/>
  <c r="Y371" i="37"/>
  <c r="Y370" i="37"/>
  <c r="Y365" i="37"/>
  <c r="Y394" i="37"/>
  <c r="Y395" i="37"/>
  <c r="Y358" i="37"/>
  <c r="Y389" i="37"/>
  <c r="Y383" i="37"/>
  <c r="G380" i="37"/>
  <c r="Y33" i="28"/>
  <c r="Y357" i="37" s="1"/>
  <c r="AQ33" i="28" l="1"/>
  <c r="BH33" i="28"/>
  <c r="AS34" i="37" s="1"/>
  <c r="BY33" i="28"/>
  <c r="AD165" i="33"/>
  <c r="AD171" i="33" s="1"/>
  <c r="AD164" i="33"/>
  <c r="AD170" i="33" s="1"/>
  <c r="AD211" i="33"/>
  <c r="AD217" i="33" s="1"/>
  <c r="AD117" i="33"/>
  <c r="AD123" i="33" s="1"/>
  <c r="AD97" i="33"/>
  <c r="AD103" i="33" s="1"/>
  <c r="AD166" i="33"/>
  <c r="AD172" i="33" s="1"/>
  <c r="AD234" i="33"/>
  <c r="AD240" i="33" s="1"/>
  <c r="AD142" i="33"/>
  <c r="AD148" i="33" s="1"/>
  <c r="AD210" i="33"/>
  <c r="AD216" i="33" s="1"/>
  <c r="AD187" i="33"/>
  <c r="AD193" i="33" s="1"/>
  <c r="AD118" i="33"/>
  <c r="AD124" i="33" s="1"/>
  <c r="AD119" i="33"/>
  <c r="AD125" i="33" s="1"/>
  <c r="AD144" i="33"/>
  <c r="AD150" i="33" s="1"/>
  <c r="AD121" i="33"/>
  <c r="AD127" i="33" s="1"/>
  <c r="AD236" i="33"/>
  <c r="AD242" i="33" s="1"/>
  <c r="AD212" i="33"/>
  <c r="AD218" i="33" s="1"/>
  <c r="AD41" i="33"/>
  <c r="AD233" i="33"/>
  <c r="AD239" i="33" s="1"/>
  <c r="AD96" i="33"/>
  <c r="AD102" i="33" s="1"/>
  <c r="AD98" i="33"/>
  <c r="AD104" i="33" s="1"/>
  <c r="AD143" i="33"/>
  <c r="AD149" i="33" s="1"/>
  <c r="AD94" i="33"/>
  <c r="AD100" i="33" s="1"/>
  <c r="AD163" i="33"/>
  <c r="AD169" i="33" s="1"/>
  <c r="AE33" i="33"/>
  <c r="AD167" i="33"/>
  <c r="AD173" i="33" s="1"/>
  <c r="AD209" i="33"/>
  <c r="AD215" i="33" s="1"/>
  <c r="AD186" i="33"/>
  <c r="AD192" i="33" s="1"/>
  <c r="AD232" i="33"/>
  <c r="AD238" i="33" s="1"/>
  <c r="AD247" i="33" s="1"/>
  <c r="AD190" i="33"/>
  <c r="AD196" i="33" s="1"/>
  <c r="AD95" i="33"/>
  <c r="AD101" i="33" s="1"/>
  <c r="AD140" i="33"/>
  <c r="AD146" i="33" s="1"/>
  <c r="AD235" i="33"/>
  <c r="AD241" i="33" s="1"/>
  <c r="AD141" i="33"/>
  <c r="AD147" i="33" s="1"/>
  <c r="AD188" i="33"/>
  <c r="AD194" i="33" s="1"/>
  <c r="AD120" i="33"/>
  <c r="AD126" i="33" s="1"/>
  <c r="AD213" i="33"/>
  <c r="AD219" i="33" s="1"/>
  <c r="AD189" i="33"/>
  <c r="AD195" i="33" s="1"/>
  <c r="AS16" i="37"/>
  <c r="BG33" i="28"/>
  <c r="AS28" i="37"/>
  <c r="Y375" i="37"/>
  <c r="AS46" i="37"/>
  <c r="AS52" i="37"/>
  <c r="Y369" i="37"/>
  <c r="Y381" i="37"/>
  <c r="Y380" i="37" s="1"/>
  <c r="Y363" i="37"/>
  <c r="Y362" i="37" s="1"/>
  <c r="Y393" i="37"/>
  <c r="Y387" i="37"/>
  <c r="AD175" i="33" l="1"/>
  <c r="AD176" i="33" s="1"/>
  <c r="AS40" i="37"/>
  <c r="AD244" i="33"/>
  <c r="AD245" i="33" s="1"/>
  <c r="AS22" i="37"/>
  <c r="AD198" i="33"/>
  <c r="AD199" i="33" s="1"/>
  <c r="AD221" i="33"/>
  <c r="AD222" i="33" s="1"/>
  <c r="AD106" i="33"/>
  <c r="AD107" i="33" s="1"/>
  <c r="AD129" i="33"/>
  <c r="AD130" i="33" s="1"/>
  <c r="AD152" i="33"/>
  <c r="AD153" i="33" s="1"/>
  <c r="AE41" i="33"/>
  <c r="AE235" i="33"/>
  <c r="AE241" i="33" s="1"/>
  <c r="AE189" i="33"/>
  <c r="AE195" i="33" s="1"/>
  <c r="AE164" i="33"/>
  <c r="AE170" i="33" s="1"/>
  <c r="AE141" i="33"/>
  <c r="AE147" i="33" s="1"/>
  <c r="AE142" i="33"/>
  <c r="AE148" i="33" s="1"/>
  <c r="AE165" i="33"/>
  <c r="AE171" i="33" s="1"/>
  <c r="AE187" i="33"/>
  <c r="AE193" i="33" s="1"/>
  <c r="AE120" i="33"/>
  <c r="AE126" i="33" s="1"/>
  <c r="AE144" i="33"/>
  <c r="AE150" i="33" s="1"/>
  <c r="AE211" i="33"/>
  <c r="AE217" i="33" s="1"/>
  <c r="AE163" i="33"/>
  <c r="AE169" i="33" s="1"/>
  <c r="AE233" i="33"/>
  <c r="AE239" i="33" s="1"/>
  <c r="AE94" i="33"/>
  <c r="AE100" i="33" s="1"/>
  <c r="AF33" i="33"/>
  <c r="AE234" i="33"/>
  <c r="AE240" i="33" s="1"/>
  <c r="AE98" i="33"/>
  <c r="AE104" i="33" s="1"/>
  <c r="AE143" i="33"/>
  <c r="AE149" i="33" s="1"/>
  <c r="AE140" i="33"/>
  <c r="AE146" i="33" s="1"/>
  <c r="AE97" i="33"/>
  <c r="AE103" i="33" s="1"/>
  <c r="AE96" i="33"/>
  <c r="AE102" i="33" s="1"/>
  <c r="AE212" i="33"/>
  <c r="AE218" i="33" s="1"/>
  <c r="AE167" i="33"/>
  <c r="AE173" i="33" s="1"/>
  <c r="AE95" i="33"/>
  <c r="AE101" i="33" s="1"/>
  <c r="AE186" i="33"/>
  <c r="AE192" i="33" s="1"/>
  <c r="AE117" i="33"/>
  <c r="AE123" i="33" s="1"/>
  <c r="AE232" i="33"/>
  <c r="AE238" i="33" s="1"/>
  <c r="AE247" i="33" s="1"/>
  <c r="AE209" i="33"/>
  <c r="AE215" i="33" s="1"/>
  <c r="AE119" i="33"/>
  <c r="AE125" i="33" s="1"/>
  <c r="AE121" i="33"/>
  <c r="AE127" i="33" s="1"/>
  <c r="AE210" i="33"/>
  <c r="AE216" i="33" s="1"/>
  <c r="AE166" i="33"/>
  <c r="AE172" i="33" s="1"/>
  <c r="AE188" i="33"/>
  <c r="AE194" i="33" s="1"/>
  <c r="AE213" i="33"/>
  <c r="AE219" i="33" s="1"/>
  <c r="AE190" i="33"/>
  <c r="AE196" i="33" s="1"/>
  <c r="AE118" i="33"/>
  <c r="AE124" i="33" s="1"/>
  <c r="AE236" i="33"/>
  <c r="AE242" i="33" s="1"/>
  <c r="AD43" i="33"/>
  <c r="E973" i="51" s="1"/>
  <c r="E979" i="51" s="1"/>
  <c r="AD47" i="33"/>
  <c r="AD46" i="33"/>
  <c r="E976" i="51" s="1"/>
  <c r="E982" i="51" s="1"/>
  <c r="AD44" i="33"/>
  <c r="E974" i="51" s="1"/>
  <c r="E980" i="51" s="1"/>
  <c r="AD45" i="33"/>
  <c r="E975" i="51" s="1"/>
  <c r="E981" i="51" s="1"/>
  <c r="AA52" i="37"/>
  <c r="AA16" i="37"/>
  <c r="AA28" i="37"/>
  <c r="AA34" i="37"/>
  <c r="BO25" i="37"/>
  <c r="BO52" i="37"/>
  <c r="BO54" i="37"/>
  <c r="BO28" i="37"/>
  <c r="BO27" i="37"/>
  <c r="AS50" i="37"/>
  <c r="AS43" i="37"/>
  <c r="CV33" i="28"/>
  <c r="AA35" i="37"/>
  <c r="G35" i="37" s="1"/>
  <c r="AA17" i="37"/>
  <c r="G17" i="37" s="1"/>
  <c r="AA38" i="37"/>
  <c r="G38" i="37" s="1"/>
  <c r="AS29" i="37"/>
  <c r="AS36" i="37"/>
  <c r="AS20" i="37"/>
  <c r="AA44" i="37"/>
  <c r="G44" i="37" s="1"/>
  <c r="AS47" i="37"/>
  <c r="BO16" i="37"/>
  <c r="AS26" i="37"/>
  <c r="AA55" i="37"/>
  <c r="AS48" i="37"/>
  <c r="BO18" i="37"/>
  <c r="BO48" i="37"/>
  <c r="AA41" i="37"/>
  <c r="G41" i="37" s="1"/>
  <c r="AA46" i="37"/>
  <c r="BO41" i="37"/>
  <c r="BO22" i="37"/>
  <c r="AA18" i="37"/>
  <c r="G18" i="37" s="1"/>
  <c r="BO45" i="37"/>
  <c r="AS31" i="37"/>
  <c r="AA32" i="37"/>
  <c r="G32" i="37" s="1"/>
  <c r="AS23" i="37"/>
  <c r="AA40" i="37"/>
  <c r="BO43" i="37"/>
  <c r="BO29" i="37"/>
  <c r="BO33" i="37"/>
  <c r="BO51" i="37"/>
  <c r="BO44" i="37"/>
  <c r="AS44" i="37"/>
  <c r="AS38" i="37"/>
  <c r="BI33" i="28"/>
  <c r="AA48" i="37"/>
  <c r="G48" i="37" s="1"/>
  <c r="AA31" i="37"/>
  <c r="AA26" i="37"/>
  <c r="G26" i="37" s="1"/>
  <c r="AS54" i="37"/>
  <c r="AS42" i="37"/>
  <c r="BO34" i="37"/>
  <c r="BO23" i="37"/>
  <c r="BO55" i="37"/>
  <c r="AA49" i="37"/>
  <c r="AA29" i="37"/>
  <c r="G29" i="37" s="1"/>
  <c r="BO37" i="37"/>
  <c r="BO26" i="37"/>
  <c r="AA47" i="37"/>
  <c r="G47" i="37" s="1"/>
  <c r="AA36" i="37"/>
  <c r="G36" i="37" s="1"/>
  <c r="AS53" i="37"/>
  <c r="BO30" i="37"/>
  <c r="AS37" i="37"/>
  <c r="AA24" i="37"/>
  <c r="G24" i="37" s="1"/>
  <c r="AA20" i="37"/>
  <c r="G20" i="37" s="1"/>
  <c r="AS41" i="37"/>
  <c r="BO53" i="37"/>
  <c r="AS19" i="37"/>
  <c r="AA53" i="37"/>
  <c r="G53" i="37" s="1"/>
  <c r="EU33" i="28"/>
  <c r="BO19" i="37"/>
  <c r="BO32" i="37"/>
  <c r="AS49" i="37"/>
  <c r="AA25" i="37"/>
  <c r="AS24" i="37"/>
  <c r="BO47" i="37"/>
  <c r="BO17" i="37"/>
  <c r="BO21" i="37"/>
  <c r="BO24" i="37"/>
  <c r="BO36" i="37"/>
  <c r="BO56" i="37"/>
  <c r="AS55" i="37"/>
  <c r="AA22" i="37"/>
  <c r="GP33" i="28"/>
  <c r="AA43" i="37"/>
  <c r="AA42" i="37"/>
  <c r="G42" i="37" s="1"/>
  <c r="AA54" i="37"/>
  <c r="G54" i="37" s="1"/>
  <c r="AS18" i="37"/>
  <c r="AS17" i="37"/>
  <c r="BO40" i="37"/>
  <c r="BO49" i="37"/>
  <c r="BO15" i="37"/>
  <c r="AA56" i="37"/>
  <c r="G56" i="37" s="1"/>
  <c r="BO50" i="37"/>
  <c r="BO39" i="37"/>
  <c r="AS32" i="37"/>
  <c r="AA30" i="37"/>
  <c r="G30" i="37" s="1"/>
  <c r="BO31" i="37"/>
  <c r="BO38" i="37"/>
  <c r="AS56" i="37"/>
  <c r="AA23" i="37"/>
  <c r="G23" i="37" s="1"/>
  <c r="BO20" i="37"/>
  <c r="BO35" i="37"/>
  <c r="AS25" i="37"/>
  <c r="AA50" i="37"/>
  <c r="G50" i="37" s="1"/>
  <c r="AA19" i="37"/>
  <c r="BO42" i="37"/>
  <c r="BO46" i="37"/>
  <c r="AA37" i="37"/>
  <c r="AS35" i="37"/>
  <c r="AS30" i="37"/>
  <c r="FK28" i="28"/>
  <c r="Y368" i="37"/>
  <c r="Y374" i="37"/>
  <c r="Y386" i="37"/>
  <c r="Y356" i="37"/>
  <c r="Y392" i="37"/>
  <c r="Y557" i="37" l="1"/>
  <c r="Y545" i="37"/>
  <c r="Y581" i="37"/>
  <c r="Y563" i="37"/>
  <c r="Y529" i="37"/>
  <c r="Y530" i="37"/>
  <c r="Y517" i="37"/>
  <c r="Y564" i="37"/>
  <c r="Y518" i="37"/>
  <c r="Y524" i="37"/>
  <c r="Y558" i="37"/>
  <c r="Y535" i="37"/>
  <c r="Y512" i="37"/>
  <c r="Y582" i="37"/>
  <c r="Y500" i="37"/>
  <c r="Y523" i="37"/>
  <c r="Y536" i="37"/>
  <c r="Y546" i="37"/>
  <c r="Y511" i="37"/>
  <c r="Y570" i="37"/>
  <c r="Y576" i="37"/>
  <c r="Y499" i="37"/>
  <c r="Y569" i="37"/>
  <c r="Y575" i="37"/>
  <c r="E977" i="51"/>
  <c r="E983" i="51" s="1"/>
  <c r="E984" i="51" s="1"/>
  <c r="E985" i="51" s="1"/>
  <c r="AE129" i="33"/>
  <c r="AE130" i="33" s="1"/>
  <c r="AS27" i="37"/>
  <c r="AS39" i="37"/>
  <c r="AS15" i="37"/>
  <c r="AS33" i="37"/>
  <c r="AS45" i="37"/>
  <c r="AS51" i="37"/>
  <c r="AS21" i="37"/>
  <c r="G19" i="37"/>
  <c r="AA109" i="37"/>
  <c r="G109" i="37" s="1"/>
  <c r="G25" i="37"/>
  <c r="AA110" i="37"/>
  <c r="G110" i="37" s="1"/>
  <c r="AD50" i="33"/>
  <c r="AE198" i="33"/>
  <c r="AE199" i="33" s="1"/>
  <c r="AE45" i="33"/>
  <c r="F975" i="51" s="1"/>
  <c r="F981" i="51" s="1"/>
  <c r="AE46" i="33"/>
  <c r="F976" i="51" s="1"/>
  <c r="F982" i="51" s="1"/>
  <c r="AE47" i="33"/>
  <c r="AE44" i="33"/>
  <c r="F974" i="51" s="1"/>
  <c r="F980" i="51" s="1"/>
  <c r="AE43" i="33"/>
  <c r="F973" i="51" s="1"/>
  <c r="F979" i="51" s="1"/>
  <c r="G161" i="37"/>
  <c r="AA161" i="37" s="1"/>
  <c r="G672" i="37" a="1"/>
  <c r="G672" i="37" s="1"/>
  <c r="G652" i="37" a="1"/>
  <c r="G652" i="37" s="1"/>
  <c r="G141" i="37"/>
  <c r="AA141" i="37" s="1"/>
  <c r="G131" i="37"/>
  <c r="AA131" i="37" s="1"/>
  <c r="G642" i="37" a="1"/>
  <c r="G642" i="37" s="1"/>
  <c r="G137" i="37"/>
  <c r="AA137" i="37" s="1"/>
  <c r="G648" i="37" a="1"/>
  <c r="G648" i="37" s="1"/>
  <c r="G129" i="37"/>
  <c r="AA129" i="37" s="1"/>
  <c r="G640" i="37" a="1"/>
  <c r="G640" i="37" s="1"/>
  <c r="AA115" i="37"/>
  <c r="G115" i="37" s="1"/>
  <c r="G55" i="37"/>
  <c r="G149" i="37"/>
  <c r="AA149" i="37" s="1"/>
  <c r="G660" i="37" a="1"/>
  <c r="G660" i="37" s="1"/>
  <c r="AD52" i="33"/>
  <c r="G664" i="37" a="1"/>
  <c r="G664" i="37" s="1"/>
  <c r="G153" i="37"/>
  <c r="AA153" i="37" s="1"/>
  <c r="G646" i="37" a="1"/>
  <c r="G646" i="37" s="1"/>
  <c r="G135" i="37"/>
  <c r="AA135" i="37" s="1"/>
  <c r="G140" i="37"/>
  <c r="AA140" i="37" s="1"/>
  <c r="G651" i="37" a="1"/>
  <c r="G651" i="37" s="1"/>
  <c r="G31" i="37"/>
  <c r="AA111" i="37"/>
  <c r="G111" i="37" s="1"/>
  <c r="G128" i="37"/>
  <c r="AA128" i="37" s="1"/>
  <c r="G639" i="37" a="1"/>
  <c r="G639" i="37" s="1"/>
  <c r="G165" i="37"/>
  <c r="AA165" i="37" s="1"/>
  <c r="G676" i="37" a="1"/>
  <c r="G676" i="37" s="1"/>
  <c r="G49" i="37"/>
  <c r="AA114" i="37"/>
  <c r="G114" i="37" s="1"/>
  <c r="G159" i="37"/>
  <c r="AA159" i="37" s="1"/>
  <c r="G670" i="37" a="1"/>
  <c r="G670" i="37" s="1"/>
  <c r="G657" i="37" a="1"/>
  <c r="G657" i="37" s="1"/>
  <c r="G146" i="37"/>
  <c r="AA146" i="37" s="1"/>
  <c r="AD49" i="33"/>
  <c r="AG33" i="33"/>
  <c r="AF209" i="33"/>
  <c r="AF215" i="33" s="1"/>
  <c r="AF121" i="33"/>
  <c r="AF127" i="33" s="1"/>
  <c r="AF119" i="33"/>
  <c r="AF125" i="33" s="1"/>
  <c r="AF144" i="33"/>
  <c r="AF150" i="33" s="1"/>
  <c r="AF141" i="33"/>
  <c r="AF147" i="33" s="1"/>
  <c r="AF236" i="33"/>
  <c r="AF242" i="33" s="1"/>
  <c r="AF98" i="33"/>
  <c r="AF104" i="33" s="1"/>
  <c r="AF163" i="33"/>
  <c r="AF169" i="33" s="1"/>
  <c r="AF212" i="33"/>
  <c r="AF218" i="33" s="1"/>
  <c r="AF232" i="33"/>
  <c r="AF238" i="33" s="1"/>
  <c r="AF247" i="33" s="1"/>
  <c r="AF118" i="33"/>
  <c r="AF124" i="33" s="1"/>
  <c r="AF166" i="33"/>
  <c r="AF172" i="33" s="1"/>
  <c r="AF189" i="33"/>
  <c r="AF195" i="33" s="1"/>
  <c r="AF165" i="33"/>
  <c r="AF171" i="33" s="1"/>
  <c r="AF94" i="33"/>
  <c r="AF100" i="33" s="1"/>
  <c r="AF143" i="33"/>
  <c r="AF149" i="33" s="1"/>
  <c r="AF211" i="33"/>
  <c r="AF217" i="33" s="1"/>
  <c r="AF41" i="33"/>
  <c r="AF96" i="33"/>
  <c r="AF102" i="33" s="1"/>
  <c r="AF187" i="33"/>
  <c r="AF193" i="33" s="1"/>
  <c r="AF213" i="33"/>
  <c r="AF219" i="33" s="1"/>
  <c r="AF210" i="33"/>
  <c r="AF216" i="33" s="1"/>
  <c r="AF120" i="33"/>
  <c r="AF126" i="33" s="1"/>
  <c r="AF234" i="33"/>
  <c r="AF240" i="33" s="1"/>
  <c r="AF188" i="33"/>
  <c r="AF194" i="33" s="1"/>
  <c r="AF117" i="33"/>
  <c r="AF123" i="33" s="1"/>
  <c r="AF186" i="33"/>
  <c r="AF192" i="33" s="1"/>
  <c r="AF97" i="33"/>
  <c r="AF103" i="33" s="1"/>
  <c r="AF164" i="33"/>
  <c r="AF170" i="33" s="1"/>
  <c r="AF190" i="33"/>
  <c r="AF196" i="33" s="1"/>
  <c r="AF142" i="33"/>
  <c r="AF148" i="33" s="1"/>
  <c r="AF95" i="33"/>
  <c r="AF101" i="33" s="1"/>
  <c r="AF233" i="33"/>
  <c r="AF239" i="33" s="1"/>
  <c r="AF167" i="33"/>
  <c r="AF173" i="33" s="1"/>
  <c r="AF235" i="33"/>
  <c r="AF241" i="33" s="1"/>
  <c r="AF140" i="33"/>
  <c r="AF146" i="33" s="1"/>
  <c r="Y515" i="37"/>
  <c r="Y516" i="37"/>
  <c r="Y556" i="37"/>
  <c r="Y580" i="37"/>
  <c r="G509" i="37"/>
  <c r="G920" i="37" a="1"/>
  <c r="G920" i="37" s="1"/>
  <c r="G530" i="37"/>
  <c r="G546" i="37"/>
  <c r="G516" i="37"/>
  <c r="G962" i="37" a="1"/>
  <c r="G962" i="37" s="1"/>
  <c r="G976" i="37" a="1"/>
  <c r="G976" i="37" s="1"/>
  <c r="G557" i="37"/>
  <c r="G560" i="37"/>
  <c r="Y554" i="37"/>
  <c r="Y560" i="37"/>
  <c r="Y514" i="37"/>
  <c r="G891" i="37"/>
  <c r="G933" i="37"/>
  <c r="Y562" i="37"/>
  <c r="Y534" i="37"/>
  <c r="DK33" i="28"/>
  <c r="G517" i="37"/>
  <c r="G498" i="37"/>
  <c r="G535" i="37"/>
  <c r="G563" i="37"/>
  <c r="G947" i="37"/>
  <c r="G523" i="37"/>
  <c r="G576" i="37"/>
  <c r="G562" i="37"/>
  <c r="G496" i="37"/>
  <c r="Y508" i="37"/>
  <c r="Y526" i="37"/>
  <c r="Y509" i="37"/>
  <c r="Y574" i="37"/>
  <c r="G524" i="37"/>
  <c r="G575" i="37"/>
  <c r="G543" i="37"/>
  <c r="G579" i="37"/>
  <c r="G514" i="37"/>
  <c r="Y573" i="37"/>
  <c r="Y555" i="37"/>
  <c r="G932" i="37" a="1"/>
  <c r="G932" i="37" s="1"/>
  <c r="G570" i="37"/>
  <c r="G529" i="37"/>
  <c r="G499" i="37"/>
  <c r="G528" i="37"/>
  <c r="G934" i="37" a="1"/>
  <c r="G934" i="37" s="1"/>
  <c r="G534" i="37"/>
  <c r="G582" i="37"/>
  <c r="G515" i="37"/>
  <c r="G508" i="37"/>
  <c r="Y520" i="37"/>
  <c r="Y572" i="37"/>
  <c r="Y533" i="37"/>
  <c r="Y544" i="37"/>
  <c r="G890" i="37" a="1"/>
  <c r="G890" i="37" s="1"/>
  <c r="G568" i="37"/>
  <c r="G574" i="37"/>
  <c r="Y561" i="37"/>
  <c r="Y579" i="37"/>
  <c r="Y568" i="37"/>
  <c r="G960" i="37" a="1"/>
  <c r="G960" i="37" s="1"/>
  <c r="G567" i="37"/>
  <c r="G510" i="37"/>
  <c r="G892" i="37" a="1"/>
  <c r="G892" i="37" s="1"/>
  <c r="G542" i="37"/>
  <c r="G580" i="37"/>
  <c r="G564" i="37"/>
  <c r="G573" i="37"/>
  <c r="Y510" i="37"/>
  <c r="G946" i="37" a="1"/>
  <c r="G946" i="37" s="1"/>
  <c r="G581" i="37"/>
  <c r="G556" i="37"/>
  <c r="G558" i="37"/>
  <c r="G526" i="37"/>
  <c r="Y542" i="37"/>
  <c r="Y522" i="37"/>
  <c r="G919" i="37"/>
  <c r="G533" i="37"/>
  <c r="G566" i="37"/>
  <c r="Y567" i="37"/>
  <c r="G500" i="37"/>
  <c r="G961" i="37"/>
  <c r="G948" i="37" a="1"/>
  <c r="G948" i="37" s="1"/>
  <c r="G518" i="37"/>
  <c r="G527" i="37"/>
  <c r="G578" i="37"/>
  <c r="Y532" i="37"/>
  <c r="Y543" i="37"/>
  <c r="Y521" i="37"/>
  <c r="G918" i="37" a="1"/>
  <c r="G918" i="37" s="1"/>
  <c r="G521" i="37"/>
  <c r="G975" i="37"/>
  <c r="G497" i="37"/>
  <c r="G572" i="37"/>
  <c r="Y578" i="37"/>
  <c r="Y497" i="37"/>
  <c r="G569" i="37"/>
  <c r="G512" i="37"/>
  <c r="Y498" i="37"/>
  <c r="G511" i="37"/>
  <c r="G554" i="37"/>
  <c r="Y496" i="37"/>
  <c r="Y528" i="37"/>
  <c r="Y527" i="37"/>
  <c r="G544" i="37"/>
  <c r="G520" i="37"/>
  <c r="G561" i="37"/>
  <c r="G555" i="37"/>
  <c r="G974" i="37" a="1"/>
  <c r="G974" i="37" s="1"/>
  <c r="G536" i="37"/>
  <c r="Y566" i="37"/>
  <c r="G522" i="37"/>
  <c r="G614" i="37" s="1"/>
  <c r="G545" i="37"/>
  <c r="G532" i="37"/>
  <c r="AA112" i="37"/>
  <c r="G112" i="37" s="1"/>
  <c r="G37" i="37"/>
  <c r="G645" i="37" a="1"/>
  <c r="G645" i="37" s="1"/>
  <c r="G134" i="37"/>
  <c r="AA134" i="37" s="1"/>
  <c r="G678" i="37" a="1"/>
  <c r="G678" i="37" s="1"/>
  <c r="G167" i="37"/>
  <c r="AA167" i="37" s="1"/>
  <c r="G43" i="37"/>
  <c r="AA113" i="37"/>
  <c r="G113" i="37" s="1"/>
  <c r="G164" i="37"/>
  <c r="AA164" i="37" s="1"/>
  <c r="G675" i="37" a="1"/>
  <c r="G675" i="37" s="1"/>
  <c r="G663" i="37" a="1"/>
  <c r="G663" i="37" s="1"/>
  <c r="G152" i="37"/>
  <c r="AA152" i="37" s="1"/>
  <c r="G666" i="37" a="1"/>
  <c r="G666" i="37" s="1"/>
  <c r="G155" i="37"/>
  <c r="AA155" i="37" s="1"/>
  <c r="G28" i="37"/>
  <c r="AA192" i="37"/>
  <c r="AA27" i="37"/>
  <c r="AA191" i="37"/>
  <c r="AA193" i="37"/>
  <c r="EV33" i="28"/>
  <c r="AT56" i="37"/>
  <c r="AT26" i="37"/>
  <c r="BP18" i="37"/>
  <c r="BP32" i="37"/>
  <c r="BP56" i="37"/>
  <c r="BP25" i="37"/>
  <c r="BP40" i="37"/>
  <c r="AT30" i="37"/>
  <c r="AT35" i="37"/>
  <c r="AB49" i="37"/>
  <c r="AB53" i="37"/>
  <c r="H53" i="37" s="1"/>
  <c r="AB56" i="37"/>
  <c r="H56" i="37" s="1"/>
  <c r="AB32" i="37"/>
  <c r="H32" i="37" s="1"/>
  <c r="AB16" i="37"/>
  <c r="AB55" i="37"/>
  <c r="AB48" i="37"/>
  <c r="H48" i="37" s="1"/>
  <c r="BP35" i="37"/>
  <c r="BP47" i="37"/>
  <c r="BP33" i="37"/>
  <c r="BP39" i="37"/>
  <c r="AT55" i="37"/>
  <c r="AT50" i="37"/>
  <c r="BP53" i="37"/>
  <c r="AT53" i="37"/>
  <c r="AT42" i="37"/>
  <c r="AB36" i="37"/>
  <c r="H36" i="37" s="1"/>
  <c r="AB24" i="37"/>
  <c r="AB31" i="37"/>
  <c r="AB29" i="37"/>
  <c r="H29" i="37" s="1"/>
  <c r="AB28" i="37"/>
  <c r="AT52" i="37"/>
  <c r="AT49" i="37"/>
  <c r="BP51" i="37"/>
  <c r="AT38" i="37"/>
  <c r="BP29" i="37"/>
  <c r="AT17" i="37"/>
  <c r="AB44" i="37"/>
  <c r="H44" i="37" s="1"/>
  <c r="AB40" i="37"/>
  <c r="BP28" i="37"/>
  <c r="AT44" i="37"/>
  <c r="BP44" i="37"/>
  <c r="BP16" i="37"/>
  <c r="BP49" i="37"/>
  <c r="BP21" i="37"/>
  <c r="AT37" i="37"/>
  <c r="AT29" i="37"/>
  <c r="AT47" i="37"/>
  <c r="AT54" i="37"/>
  <c r="AB18" i="37"/>
  <c r="H18" i="37" s="1"/>
  <c r="AB50" i="37"/>
  <c r="H50" i="37" s="1"/>
  <c r="AB54" i="37"/>
  <c r="H54" i="37" s="1"/>
  <c r="AB23" i="37"/>
  <c r="BP54" i="37"/>
  <c r="BP41" i="37"/>
  <c r="BP34" i="37"/>
  <c r="AT24" i="37"/>
  <c r="AT43" i="37"/>
  <c r="BP31" i="37"/>
  <c r="BP23" i="37"/>
  <c r="BJ33" i="28"/>
  <c r="AB43" i="37"/>
  <c r="AB46" i="37"/>
  <c r="AT34" i="37"/>
  <c r="AT20" i="37"/>
  <c r="AT19" i="37"/>
  <c r="AB26" i="37"/>
  <c r="H26" i="37" s="1"/>
  <c r="BP26" i="37"/>
  <c r="AT41" i="37"/>
  <c r="AT18" i="37"/>
  <c r="AB47" i="37"/>
  <c r="H47" i="37" s="1"/>
  <c r="BP15" i="37"/>
  <c r="EF32" i="28" s="1"/>
  <c r="BP20" i="37"/>
  <c r="FK29" i="28" s="1"/>
  <c r="BP37" i="37"/>
  <c r="BP36" i="37"/>
  <c r="AT31" i="37"/>
  <c r="GQ33" i="28"/>
  <c r="AB19" i="37"/>
  <c r="AB22" i="37"/>
  <c r="AB30" i="37"/>
  <c r="H30" i="37" s="1"/>
  <c r="AB41" i="37"/>
  <c r="H41" i="37" s="1"/>
  <c r="AB37" i="37"/>
  <c r="BP55" i="37"/>
  <c r="AT36" i="37"/>
  <c r="AT46" i="37"/>
  <c r="BP17" i="37"/>
  <c r="AT23" i="37"/>
  <c r="AB17" i="37"/>
  <c r="H17" i="37" s="1"/>
  <c r="AT25" i="37"/>
  <c r="BP50" i="37"/>
  <c r="BP27" i="37"/>
  <c r="BP45" i="37"/>
  <c r="BP22" i="37"/>
  <c r="BP19" i="37"/>
  <c r="FK30" i="28" s="1"/>
  <c r="AB38" i="37"/>
  <c r="H38" i="37" s="1"/>
  <c r="AB25" i="37"/>
  <c r="AB34" i="37"/>
  <c r="AT22" i="37"/>
  <c r="BP42" i="37"/>
  <c r="BP52" i="37"/>
  <c r="BP46" i="37"/>
  <c r="BP48" i="37"/>
  <c r="AT32" i="37"/>
  <c r="BP24" i="37"/>
  <c r="BP30" i="37"/>
  <c r="AB35" i="37"/>
  <c r="H35" i="37" s="1"/>
  <c r="BP43" i="37"/>
  <c r="AT48" i="37"/>
  <c r="AB20" i="37"/>
  <c r="H20" i="37" s="1"/>
  <c r="AT16" i="37"/>
  <c r="BP38" i="37"/>
  <c r="AT28" i="37"/>
  <c r="AT40" i="37"/>
  <c r="AB52" i="37"/>
  <c r="CW33" i="28"/>
  <c r="AB42" i="37"/>
  <c r="H42" i="37" s="1"/>
  <c r="G40" i="37"/>
  <c r="AA39" i="37"/>
  <c r="AA200" i="37"/>
  <c r="AA199" i="37"/>
  <c r="AA201" i="37"/>
  <c r="G34" i="37"/>
  <c r="AA196" i="37"/>
  <c r="AA195" i="37"/>
  <c r="AA33" i="37"/>
  <c r="AA197" i="37"/>
  <c r="AE106" i="33"/>
  <c r="AE107" i="33" s="1"/>
  <c r="G191" i="37" a="1"/>
  <c r="G191" i="37" s="1"/>
  <c r="G190" i="37" a="1"/>
  <c r="G190" i="37" s="1"/>
  <c r="G205" i="37" a="1"/>
  <c r="G205" i="37" s="1"/>
  <c r="G217" i="37" a="1"/>
  <c r="G217" i="37" s="1"/>
  <c r="G204" i="37" a="1"/>
  <c r="G204" i="37" s="1"/>
  <c r="G183" i="37" a="1"/>
  <c r="G183" i="37" s="1"/>
  <c r="G189" i="37" a="1"/>
  <c r="G189" i="37" s="1"/>
  <c r="G203" i="37" a="1"/>
  <c r="G203" i="37" s="1"/>
  <c r="G220" i="37" a="1"/>
  <c r="G220" i="37" s="1"/>
  <c r="G215" i="37" a="1"/>
  <c r="G215" i="37" s="1"/>
  <c r="G187" i="37" a="1"/>
  <c r="G187" i="37" s="1"/>
  <c r="G201" i="37" a="1"/>
  <c r="G201" i="37" s="1"/>
  <c r="G198" i="37" a="1"/>
  <c r="G198" i="37" s="1"/>
  <c r="G209" i="37" a="1"/>
  <c r="G209" i="37" s="1"/>
  <c r="G196" i="37" a="1"/>
  <c r="G196" i="37" s="1"/>
  <c r="G221" i="37" a="1"/>
  <c r="G221" i="37" s="1"/>
  <c r="G199" i="37" a="1"/>
  <c r="G199" i="37" s="1"/>
  <c r="G223" i="37" a="1"/>
  <c r="G223" i="37" s="1"/>
  <c r="G195" i="37" a="1"/>
  <c r="G195" i="37" s="1"/>
  <c r="G214" i="37" a="1"/>
  <c r="G214" i="37" s="1"/>
  <c r="G202" i="37" a="1"/>
  <c r="G202" i="37" s="1"/>
  <c r="G192" i="37" a="1"/>
  <c r="G192" i="37" s="1"/>
  <c r="G197" i="37" a="1"/>
  <c r="G197" i="37" s="1"/>
  <c r="G208" i="37" a="1"/>
  <c r="G208" i="37" s="1"/>
  <c r="G185" i="37" a="1"/>
  <c r="G185" i="37" s="1"/>
  <c r="G193" i="37" a="1"/>
  <c r="G193" i="37" s="1"/>
  <c r="G186" i="37" a="1"/>
  <c r="G186" i="37" s="1"/>
  <c r="G211" i="37" a="1"/>
  <c r="G211" i="37" s="1"/>
  <c r="G184" i="37" a="1"/>
  <c r="G184" i="37" s="1"/>
  <c r="G658" i="37" a="1"/>
  <c r="G658" i="37" s="1"/>
  <c r="G147" i="37"/>
  <c r="AA147" i="37" s="1"/>
  <c r="G654" i="37" a="1"/>
  <c r="G654" i="37" s="1"/>
  <c r="G143" i="37"/>
  <c r="AA143" i="37" s="1"/>
  <c r="G16" i="37"/>
  <c r="AA183" i="37"/>
  <c r="AA185" i="37"/>
  <c r="AA15" i="37"/>
  <c r="AA184" i="37"/>
  <c r="AE221" i="33"/>
  <c r="AE222" i="33" s="1"/>
  <c r="AE175" i="33"/>
  <c r="AE176" i="33" s="1"/>
  <c r="G791" i="37"/>
  <c r="G788" i="37" s="1"/>
  <c r="G771" i="37"/>
  <c r="G768" i="37" s="1"/>
  <c r="G787" i="37"/>
  <c r="G784" i="37" s="1"/>
  <c r="FJ33" i="28"/>
  <c r="G795" i="37"/>
  <c r="G792" i="37" s="1"/>
  <c r="G783" i="37"/>
  <c r="G780" i="37" s="1"/>
  <c r="G775" i="37"/>
  <c r="G772" i="37" s="1"/>
  <c r="G779" i="37"/>
  <c r="G776" i="37" s="1"/>
  <c r="G46" i="37"/>
  <c r="AA205" i="37"/>
  <c r="AA204" i="37"/>
  <c r="AA203" i="37"/>
  <c r="AA45" i="37"/>
  <c r="G22" i="37"/>
  <c r="G213" i="37" s="1" a="1"/>
  <c r="G213" i="37" s="1"/>
  <c r="AA187" i="37"/>
  <c r="AA188" i="37"/>
  <c r="AA21" i="37"/>
  <c r="AA189" i="37"/>
  <c r="G158" i="37"/>
  <c r="AA158" i="37" s="1"/>
  <c r="G669" i="37" a="1"/>
  <c r="G669" i="37" s="1"/>
  <c r="G52" i="37"/>
  <c r="AA51" i="37"/>
  <c r="AA208" i="37"/>
  <c r="AA209" i="37"/>
  <c r="AA207" i="37"/>
  <c r="AD51" i="33"/>
  <c r="AE244" i="33"/>
  <c r="AE245" i="33" s="1"/>
  <c r="AE152" i="33"/>
  <c r="AE153" i="33" s="1"/>
  <c r="FL28" i="28"/>
  <c r="Y591" i="37" l="1"/>
  <c r="Y627" i="37"/>
  <c r="F989" i="51" a="1"/>
  <c r="F989" i="51" s="1"/>
  <c r="Y603" i="37"/>
  <c r="Y615" i="37"/>
  <c r="Y592" i="37"/>
  <c r="Y609" i="37"/>
  <c r="Y505" i="37"/>
  <c r="Y506" i="37"/>
  <c r="Y552" i="37"/>
  <c r="Y551" i="37"/>
  <c r="Y622" i="37"/>
  <c r="Y604" i="37"/>
  <c r="Y621" i="37"/>
  <c r="Z545" i="37"/>
  <c r="Z518" i="37"/>
  <c r="Z575" i="37"/>
  <c r="Z524" i="37"/>
  <c r="Z582" i="37"/>
  <c r="Z529" i="37"/>
  <c r="Z569" i="37"/>
  <c r="Z557" i="37"/>
  <c r="Z499" i="37"/>
  <c r="Z517" i="37"/>
  <c r="Z563" i="37"/>
  <c r="Z570" i="37"/>
  <c r="Z535" i="37"/>
  <c r="Z530" i="37"/>
  <c r="Z581" i="37"/>
  <c r="Z536" i="37"/>
  <c r="Z558" i="37"/>
  <c r="Z512" i="37"/>
  <c r="Z523" i="37"/>
  <c r="Z564" i="37"/>
  <c r="Z511" i="37"/>
  <c r="Z576" i="37"/>
  <c r="Z546" i="37"/>
  <c r="Z500" i="37"/>
  <c r="Y616" i="37"/>
  <c r="Y628" i="37"/>
  <c r="Y610" i="37"/>
  <c r="F977" i="51"/>
  <c r="F983" i="51" s="1"/>
  <c r="F984" i="51" s="1"/>
  <c r="F985" i="51" s="1"/>
  <c r="Y619" i="37"/>
  <c r="G589" i="37"/>
  <c r="G604" i="37"/>
  <c r="EF33" i="28"/>
  <c r="EF35" i="28"/>
  <c r="G931" i="37"/>
  <c r="G917" i="37"/>
  <c r="G625" i="37"/>
  <c r="G608" i="37"/>
  <c r="AT45" i="37"/>
  <c r="Y607" i="37"/>
  <c r="G615" i="37"/>
  <c r="AD55" i="33"/>
  <c r="AD70" i="33" s="1"/>
  <c r="AD76" i="33" s="1"/>
  <c r="Y613" i="37"/>
  <c r="G592" i="37"/>
  <c r="G619" i="37"/>
  <c r="Y577" i="37"/>
  <c r="G607" i="37"/>
  <c r="G194" i="37"/>
  <c r="G622" i="37"/>
  <c r="G621" i="37"/>
  <c r="Y625" i="37"/>
  <c r="Y626" i="37"/>
  <c r="G603" i="37"/>
  <c r="G610" i="37"/>
  <c r="G624" i="37"/>
  <c r="G531" i="37"/>
  <c r="G616" i="37"/>
  <c r="H675" i="37" a="1"/>
  <c r="H675" i="37" s="1"/>
  <c r="H164" i="37"/>
  <c r="AB164" i="37" s="1"/>
  <c r="G77" i="37"/>
  <c r="G668" i="37" a="1"/>
  <c r="G668" i="37" s="1"/>
  <c r="G157" i="37"/>
  <c r="G151" i="37"/>
  <c r="G662" i="37" a="1"/>
  <c r="G662" i="37" s="1"/>
  <c r="G76" i="37"/>
  <c r="H184" i="37" a="1"/>
  <c r="H184" i="37" s="1"/>
  <c r="H205" i="37" a="1"/>
  <c r="H205" i="37" s="1"/>
  <c r="H204" i="37" a="1"/>
  <c r="H204" i="37" s="1"/>
  <c r="H211" i="37" a="1"/>
  <c r="H211" i="37" s="1"/>
  <c r="H192" i="37" a="1"/>
  <c r="H192" i="37" s="1"/>
  <c r="H183" i="37" a="1"/>
  <c r="H183" i="37" s="1"/>
  <c r="H221" i="37" a="1"/>
  <c r="H221" i="37" s="1"/>
  <c r="H215" i="37" a="1"/>
  <c r="H215" i="37" s="1"/>
  <c r="H198" i="37" a="1"/>
  <c r="H198" i="37" s="1"/>
  <c r="H199" i="37" a="1"/>
  <c r="H199" i="37" s="1"/>
  <c r="H209" i="37" a="1"/>
  <c r="H209" i="37" s="1"/>
  <c r="H187" i="37" a="1"/>
  <c r="H187" i="37" s="1"/>
  <c r="H191" i="37" a="1"/>
  <c r="H191" i="37" s="1"/>
  <c r="H220" i="37" a="1"/>
  <c r="H220" i="37" s="1"/>
  <c r="H193" i="37" a="1"/>
  <c r="H193" i="37" s="1"/>
  <c r="H186" i="37" a="1"/>
  <c r="H186" i="37" s="1"/>
  <c r="H195" i="37" a="1"/>
  <c r="H195" i="37" s="1"/>
  <c r="H208" i="37" a="1"/>
  <c r="H208" i="37" s="1"/>
  <c r="H190" i="37" a="1"/>
  <c r="H190" i="37" s="1"/>
  <c r="H202" i="37" a="1"/>
  <c r="H202" i="37" s="1"/>
  <c r="H196" i="37" a="1"/>
  <c r="H196" i="37" s="1"/>
  <c r="H214" i="37" a="1"/>
  <c r="H214" i="37" s="1"/>
  <c r="H223" i="37" a="1"/>
  <c r="H223" i="37" s="1"/>
  <c r="H203" i="37" a="1"/>
  <c r="H203" i="37" s="1"/>
  <c r="H197" i="37" a="1"/>
  <c r="H197" i="37" s="1"/>
  <c r="H201" i="37" a="1"/>
  <c r="H201" i="37" s="1"/>
  <c r="H189" i="37" a="1"/>
  <c r="H189" i="37" s="1"/>
  <c r="H185" i="37" a="1"/>
  <c r="H185" i="37" s="1"/>
  <c r="H217" i="37" a="1"/>
  <c r="H217" i="37" s="1"/>
  <c r="H645" i="37" a="1"/>
  <c r="H645" i="37" s="1"/>
  <c r="H134" i="37"/>
  <c r="AB134" i="37" s="1"/>
  <c r="AB111" i="37"/>
  <c r="H111" i="37" s="1"/>
  <c r="H31" i="37"/>
  <c r="H222" i="37" s="1" a="1"/>
  <c r="H222" i="37" s="1"/>
  <c r="G51" i="37"/>
  <c r="G67" i="37" s="1"/>
  <c r="G677" i="37" a="1"/>
  <c r="G677" i="37" s="1"/>
  <c r="G166" i="37"/>
  <c r="AA166" i="37" s="1"/>
  <c r="G88" i="37"/>
  <c r="G200" i="37"/>
  <c r="H664" i="37" a="1"/>
  <c r="H664" i="37" s="1"/>
  <c r="H153" i="37"/>
  <c r="AB153" i="37" s="1"/>
  <c r="H165" i="37"/>
  <c r="AB165" i="37" s="1"/>
  <c r="H676" i="37" a="1"/>
  <c r="H676" i="37" s="1"/>
  <c r="H135" i="37"/>
  <c r="AB135" i="37" s="1"/>
  <c r="H646" i="37" a="1"/>
  <c r="H646" i="37" s="1"/>
  <c r="G139" i="37"/>
  <c r="G650" i="37" a="1"/>
  <c r="G650" i="37" s="1"/>
  <c r="G74" i="37"/>
  <c r="G219" i="37" a="1"/>
  <c r="G219" i="37" s="1"/>
  <c r="G39" i="37"/>
  <c r="G65" i="37" s="1"/>
  <c r="G86" i="37"/>
  <c r="G665" i="37" a="1"/>
  <c r="G665" i="37" s="1"/>
  <c r="G154" i="37"/>
  <c r="AA154" i="37" s="1"/>
  <c r="G541" i="37"/>
  <c r="Y608" i="37"/>
  <c r="Z532" i="37"/>
  <c r="Z496" i="37"/>
  <c r="Z566" i="37"/>
  <c r="Z560" i="37"/>
  <c r="Z578" i="37"/>
  <c r="Z520" i="37"/>
  <c r="Z514" i="37"/>
  <c r="Z554" i="37"/>
  <c r="Z508" i="37"/>
  <c r="Z542" i="37"/>
  <c r="Z526" i="37"/>
  <c r="Z572" i="37"/>
  <c r="H890" i="37" a="1"/>
  <c r="H890" i="37" s="1"/>
  <c r="H563" i="37"/>
  <c r="H581" i="37"/>
  <c r="H933" i="37"/>
  <c r="H557" i="37"/>
  <c r="H512" i="37"/>
  <c r="H569" i="37"/>
  <c r="H934" i="37" a="1"/>
  <c r="H934" i="37" s="1"/>
  <c r="H554" i="37"/>
  <c r="H526" i="37"/>
  <c r="Z510" i="37"/>
  <c r="Z562" i="37"/>
  <c r="Z527" i="37"/>
  <c r="H960" i="37" a="1"/>
  <c r="H960" i="37" s="1"/>
  <c r="H524" i="37"/>
  <c r="H558" i="37"/>
  <c r="H570" i="37"/>
  <c r="H544" i="37"/>
  <c r="H498" i="37"/>
  <c r="H962" i="37" a="1"/>
  <c r="H962" i="37" s="1"/>
  <c r="H919" i="37"/>
  <c r="H578" i="37"/>
  <c r="H520" i="37"/>
  <c r="Z574" i="37"/>
  <c r="H974" i="37" a="1"/>
  <c r="H974" i="37" s="1"/>
  <c r="H536" i="37"/>
  <c r="H947" i="37"/>
  <c r="H535" i="37"/>
  <c r="H523" i="37"/>
  <c r="H573" i="37"/>
  <c r="H892" i="37" a="1"/>
  <c r="H892" i="37" s="1"/>
  <c r="H556" i="37"/>
  <c r="H560" i="37"/>
  <c r="H572" i="37"/>
  <c r="Z498" i="37"/>
  <c r="Z522" i="37"/>
  <c r="Z528" i="37"/>
  <c r="Z555" i="37"/>
  <c r="DL33" i="28"/>
  <c r="H529" i="37"/>
  <c r="H515" i="37"/>
  <c r="H579" i="37"/>
  <c r="H500" i="37"/>
  <c r="H530" i="37"/>
  <c r="H511" i="37"/>
  <c r="H603" i="37" s="1"/>
  <c r="H518" i="37"/>
  <c r="H562" i="37"/>
  <c r="H566" i="37"/>
  <c r="Z544" i="37"/>
  <c r="Z556" i="37"/>
  <c r="Z534" i="37"/>
  <c r="H527" i="37"/>
  <c r="H517" i="37"/>
  <c r="H575" i="37"/>
  <c r="H975" i="37"/>
  <c r="H542" i="37"/>
  <c r="Z516" i="37"/>
  <c r="H522" i="37"/>
  <c r="Z521" i="37"/>
  <c r="H528" i="37"/>
  <c r="H514" i="37"/>
  <c r="H961" i="37"/>
  <c r="H521" i="37"/>
  <c r="H508" i="37"/>
  <c r="H546" i="37"/>
  <c r="H976" i="37" a="1"/>
  <c r="H976" i="37" s="1"/>
  <c r="Z573" i="37"/>
  <c r="H567" i="37"/>
  <c r="H561" i="37"/>
  <c r="H920" i="37" a="1"/>
  <c r="H920" i="37" s="1"/>
  <c r="H497" i="37"/>
  <c r="H555" i="37"/>
  <c r="H499" i="37"/>
  <c r="H564" i="37"/>
  <c r="H509" i="37"/>
  <c r="H510" i="37"/>
  <c r="H496" i="37"/>
  <c r="H574" i="37"/>
  <c r="Z580" i="37"/>
  <c r="H576" i="37"/>
  <c r="H568" i="37"/>
  <c r="Z509" i="37"/>
  <c r="H582" i="37"/>
  <c r="H516" i="37"/>
  <c r="Z533" i="37"/>
  <c r="H946" i="37" a="1"/>
  <c r="H946" i="37" s="1"/>
  <c r="H580" i="37"/>
  <c r="Z579" i="37"/>
  <c r="H932" i="37" a="1"/>
  <c r="H932" i="37" s="1"/>
  <c r="Z561" i="37"/>
  <c r="H534" i="37"/>
  <c r="H948" i="37" a="1"/>
  <c r="H948" i="37" s="1"/>
  <c r="Z568" i="37"/>
  <c r="H543" i="37"/>
  <c r="H533" i="37"/>
  <c r="H918" i="37" a="1"/>
  <c r="H918" i="37" s="1"/>
  <c r="Z543" i="37"/>
  <c r="H891" i="37"/>
  <c r="Z515" i="37"/>
  <c r="Z497" i="37"/>
  <c r="H545" i="37"/>
  <c r="H532" i="37"/>
  <c r="Z567" i="37"/>
  <c r="H161" i="37"/>
  <c r="AB161" i="37" s="1"/>
  <c r="H672" i="37" a="1"/>
  <c r="H672" i="37" s="1"/>
  <c r="H658" i="37" a="1"/>
  <c r="H658" i="37" s="1"/>
  <c r="H147" i="37"/>
  <c r="AB147" i="37" s="1"/>
  <c r="AB114" i="37"/>
  <c r="H114" i="37" s="1"/>
  <c r="H49" i="37"/>
  <c r="G638" i="37" a="1"/>
  <c r="G638" i="37" s="1"/>
  <c r="G127" i="37"/>
  <c r="AA127" i="37" s="1"/>
  <c r="G72" i="37"/>
  <c r="G207" i="37" a="1"/>
  <c r="G207" i="37" s="1"/>
  <c r="AF244" i="33"/>
  <c r="AF245" i="33" s="1"/>
  <c r="H131" i="37"/>
  <c r="AB131" i="37" s="1"/>
  <c r="H642" i="37" a="1"/>
  <c r="H642" i="37" s="1"/>
  <c r="EW33" i="28"/>
  <c r="AU22" i="37"/>
  <c r="AU40" i="37"/>
  <c r="BQ24" i="37"/>
  <c r="BQ18" i="37"/>
  <c r="AU43" i="37"/>
  <c r="BQ38" i="37"/>
  <c r="AU20" i="37"/>
  <c r="BQ52" i="37"/>
  <c r="BQ48" i="37"/>
  <c r="AC41" i="37"/>
  <c r="I41" i="37" s="1"/>
  <c r="AC53" i="37"/>
  <c r="I53" i="37" s="1"/>
  <c r="AC37" i="37"/>
  <c r="AC52" i="37"/>
  <c r="AU42" i="37"/>
  <c r="AU17" i="37"/>
  <c r="BQ47" i="37"/>
  <c r="AU37" i="37"/>
  <c r="BQ54" i="37"/>
  <c r="BQ44" i="37"/>
  <c r="BQ51" i="37"/>
  <c r="BQ29" i="37"/>
  <c r="BQ56" i="37"/>
  <c r="BK33" i="28"/>
  <c r="AC43" i="37"/>
  <c r="AC20" i="37"/>
  <c r="I20" i="37" s="1"/>
  <c r="AC38" i="37"/>
  <c r="I38" i="37" s="1"/>
  <c r="AC28" i="37"/>
  <c r="AU35" i="37"/>
  <c r="AU18" i="37"/>
  <c r="BQ55" i="37"/>
  <c r="BQ42" i="37"/>
  <c r="BQ46" i="37"/>
  <c r="BQ41" i="37"/>
  <c r="BQ26" i="37"/>
  <c r="BQ15" i="37"/>
  <c r="EG32" i="28" s="1"/>
  <c r="BQ40" i="37"/>
  <c r="AU16" i="37"/>
  <c r="CX33" i="28"/>
  <c r="AC56" i="37"/>
  <c r="I56" i="37" s="1"/>
  <c r="AC26" i="37"/>
  <c r="I26" i="37" s="1"/>
  <c r="I30" i="37"/>
  <c r="AC46" i="37"/>
  <c r="AU53" i="37"/>
  <c r="AU54" i="37"/>
  <c r="BQ45" i="37"/>
  <c r="BQ22" i="37"/>
  <c r="BQ33" i="37"/>
  <c r="BQ32" i="37"/>
  <c r="BQ35" i="37"/>
  <c r="BQ34" i="37"/>
  <c r="AU32" i="37"/>
  <c r="AU34" i="37"/>
  <c r="AC18" i="37"/>
  <c r="I18" i="37" s="1"/>
  <c r="AC23" i="37"/>
  <c r="I23" i="37" s="1"/>
  <c r="AC42" i="37"/>
  <c r="I42" i="37" s="1"/>
  <c r="AC17" i="37"/>
  <c r="I17" i="37" s="1"/>
  <c r="AC40" i="37"/>
  <c r="AU36" i="37"/>
  <c r="AU41" i="37"/>
  <c r="BQ27" i="37"/>
  <c r="BQ20" i="37"/>
  <c r="FL29" i="28" s="1"/>
  <c r="AU31" i="37"/>
  <c r="BQ25" i="37"/>
  <c r="AU25" i="37"/>
  <c r="BQ30" i="37"/>
  <c r="BQ28" i="37"/>
  <c r="BQ19" i="37"/>
  <c r="FL30" i="28" s="1"/>
  <c r="AU52" i="37"/>
  <c r="GR33" i="28"/>
  <c r="AC19" i="37"/>
  <c r="AC16" i="37"/>
  <c r="AU48" i="37"/>
  <c r="BQ50" i="37"/>
  <c r="AU47" i="37"/>
  <c r="BQ23" i="37"/>
  <c r="AC44" i="37"/>
  <c r="I44" i="37" s="1"/>
  <c r="AU29" i="37"/>
  <c r="AU55" i="37"/>
  <c r="AC24" i="37"/>
  <c r="I24" i="37" s="1"/>
  <c r="AC49" i="37"/>
  <c r="AU24" i="37"/>
  <c r="AU28" i="37"/>
  <c r="AU30" i="37"/>
  <c r="AU44" i="37"/>
  <c r="AC25" i="37"/>
  <c r="AU50" i="37"/>
  <c r="BQ39" i="37"/>
  <c r="BQ43" i="37"/>
  <c r="AC36" i="37"/>
  <c r="I36" i="37" s="1"/>
  <c r="AC47" i="37"/>
  <c r="I47" i="37" s="1"/>
  <c r="AC34" i="37"/>
  <c r="BQ16" i="37"/>
  <c r="I29" i="37"/>
  <c r="BQ21" i="37"/>
  <c r="BQ49" i="37"/>
  <c r="BQ53" i="37"/>
  <c r="AC55" i="37"/>
  <c r="AC54" i="37"/>
  <c r="I54" i="37" s="1"/>
  <c r="BQ31" i="37"/>
  <c r="AC48" i="37"/>
  <c r="I48" i="37" s="1"/>
  <c r="BQ37" i="37"/>
  <c r="AU49" i="37"/>
  <c r="AU19" i="37"/>
  <c r="AC32" i="37"/>
  <c r="I32" i="37" s="1"/>
  <c r="AC50" i="37"/>
  <c r="I50" i="37" s="1"/>
  <c r="AC22" i="37"/>
  <c r="BQ36" i="37"/>
  <c r="AU26" i="37"/>
  <c r="AC31" i="37"/>
  <c r="BQ17" i="37"/>
  <c r="AU56" i="37"/>
  <c r="AU38" i="37"/>
  <c r="AU46" i="37"/>
  <c r="AU23" i="37"/>
  <c r="H167" i="37"/>
  <c r="AB167" i="37" s="1"/>
  <c r="H678" i="37" a="1"/>
  <c r="H678" i="37" s="1"/>
  <c r="G519" i="37"/>
  <c r="G612" i="37"/>
  <c r="G525" i="37"/>
  <c r="G618" i="37"/>
  <c r="G507" i="37"/>
  <c r="G600" i="37"/>
  <c r="AE51" i="33"/>
  <c r="H137" i="37"/>
  <c r="AB137" i="37" s="1"/>
  <c r="H648" i="37" a="1"/>
  <c r="H648" i="37" s="1"/>
  <c r="Y589" i="37"/>
  <c r="Y601" i="37"/>
  <c r="AB208" i="37"/>
  <c r="H52" i="37"/>
  <c r="AB51" i="37"/>
  <c r="AB209" i="37"/>
  <c r="AB207" i="37"/>
  <c r="H129" i="37"/>
  <c r="AB129" i="37" s="1"/>
  <c r="H640" i="37" a="1"/>
  <c r="H640" i="37" s="1"/>
  <c r="Y620" i="37"/>
  <c r="G565" i="37"/>
  <c r="G602" i="37"/>
  <c r="H34" i="37"/>
  <c r="AB196" i="37"/>
  <c r="AB195" i="37"/>
  <c r="AB197" i="37"/>
  <c r="AB33" i="37"/>
  <c r="H663" i="37" a="1"/>
  <c r="H663" i="37" s="1"/>
  <c r="H152" i="37"/>
  <c r="AB152" i="37" s="1"/>
  <c r="H670" i="37" a="1"/>
  <c r="H670" i="37" s="1"/>
  <c r="H159" i="37"/>
  <c r="AB159" i="37" s="1"/>
  <c r="H771" i="37"/>
  <c r="H787" i="37"/>
  <c r="H795" i="37"/>
  <c r="H783" i="37"/>
  <c r="H779" i="37"/>
  <c r="H791" i="37"/>
  <c r="H775" i="37"/>
  <c r="Y588" i="37"/>
  <c r="Y495" i="37"/>
  <c r="G945" i="37"/>
  <c r="G513" i="37"/>
  <c r="G606" i="37"/>
  <c r="Y559" i="37"/>
  <c r="AF106" i="33"/>
  <c r="AF107" i="33" s="1"/>
  <c r="AE49" i="33"/>
  <c r="G133" i="37"/>
  <c r="G73" i="37"/>
  <c r="G644" i="37" a="1"/>
  <c r="G644" i="37" s="1"/>
  <c r="AT27" i="37"/>
  <c r="H25" i="37"/>
  <c r="AB110" i="37"/>
  <c r="H110" i="37" s="1"/>
  <c r="H639" i="37" a="1"/>
  <c r="H639" i="37" s="1"/>
  <c r="H128" i="37"/>
  <c r="AB128" i="37" s="1"/>
  <c r="H652" i="37" a="1"/>
  <c r="H652" i="37" s="1"/>
  <c r="H141" i="37"/>
  <c r="AB141" i="37" s="1"/>
  <c r="FK32" i="28"/>
  <c r="AT33" i="37"/>
  <c r="AT51" i="37"/>
  <c r="AB115" i="37"/>
  <c r="H115" i="37" s="1"/>
  <c r="H55" i="37"/>
  <c r="G973" i="37"/>
  <c r="G553" i="37"/>
  <c r="Y602" i="37"/>
  <c r="G959" i="37"/>
  <c r="G620" i="37"/>
  <c r="G495" i="37"/>
  <c r="G588" i="37"/>
  <c r="G609" i="37"/>
  <c r="Y553" i="37"/>
  <c r="AF129" i="33"/>
  <c r="AF130" i="33" s="1"/>
  <c r="AF45" i="33"/>
  <c r="G975" i="51" s="1"/>
  <c r="G981" i="51" s="1"/>
  <c r="AF46" i="33"/>
  <c r="G976" i="51" s="1"/>
  <c r="G982" i="51" s="1"/>
  <c r="AF44" i="33"/>
  <c r="G974" i="51" s="1"/>
  <c r="G980" i="51" s="1"/>
  <c r="AF47" i="33"/>
  <c r="AF43" i="33"/>
  <c r="G973" i="51" s="1"/>
  <c r="G979" i="51" s="1"/>
  <c r="G27" i="37"/>
  <c r="G222" i="37" a="1"/>
  <c r="G222" i="37" s="1"/>
  <c r="G84" i="37"/>
  <c r="G653" i="37" a="1"/>
  <c r="G653" i="37" s="1"/>
  <c r="G142" i="37"/>
  <c r="AA142" i="37" s="1"/>
  <c r="AE50" i="33"/>
  <c r="G21" i="37"/>
  <c r="G136" i="37"/>
  <c r="AA136" i="37" s="1"/>
  <c r="G216" i="37" a="1"/>
  <c r="G216" i="37" s="1"/>
  <c r="G212" i="37" s="1"/>
  <c r="G83" i="37"/>
  <c r="G647" i="37" a="1"/>
  <c r="G647" i="37" s="1"/>
  <c r="G145" i="37"/>
  <c r="G656" i="37" a="1"/>
  <c r="G656" i="37" s="1"/>
  <c r="G75" i="37"/>
  <c r="AT21" i="37"/>
  <c r="Y565" i="37"/>
  <c r="Y624" i="37"/>
  <c r="Y531" i="37"/>
  <c r="G626" i="37"/>
  <c r="G627" i="37"/>
  <c r="AF152" i="33"/>
  <c r="AF153" i="33" s="1"/>
  <c r="G628" i="37"/>
  <c r="G577" i="37"/>
  <c r="Y600" i="37"/>
  <c r="Y507" i="37"/>
  <c r="AF198" i="33"/>
  <c r="AF199" i="33" s="1"/>
  <c r="G163" i="37"/>
  <c r="G78" i="37"/>
  <c r="G674" i="37" a="1"/>
  <c r="G674" i="37" s="1"/>
  <c r="G188" i="37"/>
  <c r="H660" i="37" a="1"/>
  <c r="H660" i="37" s="1"/>
  <c r="H149" i="37"/>
  <c r="AB149" i="37" s="1"/>
  <c r="AB21" i="37"/>
  <c r="AB189" i="37"/>
  <c r="AB187" i="37"/>
  <c r="AB188" i="37"/>
  <c r="H22" i="37"/>
  <c r="H669" i="37" a="1"/>
  <c r="H669" i="37" s="1"/>
  <c r="H158" i="37"/>
  <c r="AB158" i="37" s="1"/>
  <c r="AB204" i="37"/>
  <c r="AB205" i="37"/>
  <c r="H46" i="37"/>
  <c r="H77" i="37" s="1"/>
  <c r="AB45" i="37"/>
  <c r="AB203" i="37"/>
  <c r="AB199" i="37"/>
  <c r="AB39" i="37"/>
  <c r="AB200" i="37"/>
  <c r="AB201" i="37"/>
  <c r="H40" i="37"/>
  <c r="H76" i="37" s="1"/>
  <c r="H74" i="37"/>
  <c r="AB193" i="37"/>
  <c r="AB27" i="37"/>
  <c r="AB192" i="37"/>
  <c r="AB191" i="37"/>
  <c r="H16" i="37"/>
  <c r="AB15" i="37"/>
  <c r="AB184" i="37"/>
  <c r="AB185" i="37"/>
  <c r="AB183" i="37"/>
  <c r="G33" i="37"/>
  <c r="G64" i="37" s="1"/>
  <c r="G148" i="37"/>
  <c r="AA148" i="37" s="1"/>
  <c r="G85" i="37"/>
  <c r="G659" i="37" a="1"/>
  <c r="G659" i="37" s="1"/>
  <c r="Y614" i="37"/>
  <c r="Y571" i="37"/>
  <c r="G591" i="37"/>
  <c r="Y548" i="37"/>
  <c r="G904" i="37" a="1"/>
  <c r="G904" i="37" s="1"/>
  <c r="G550" i="37"/>
  <c r="G906" i="37" a="1"/>
  <c r="G906" i="37" s="1"/>
  <c r="G503" i="37"/>
  <c r="Y550" i="37"/>
  <c r="G505" i="37"/>
  <c r="G905" i="37"/>
  <c r="Y549" i="37"/>
  <c r="G504" i="37"/>
  <c r="G502" i="37"/>
  <c r="Y502" i="37"/>
  <c r="Y503" i="37"/>
  <c r="G551" i="37"/>
  <c r="G506" i="37"/>
  <c r="Y504" i="37"/>
  <c r="G549" i="37"/>
  <c r="G552" i="37"/>
  <c r="G548" i="37"/>
  <c r="G559" i="37"/>
  <c r="G601" i="37"/>
  <c r="AF221" i="33"/>
  <c r="AF222" i="33" s="1"/>
  <c r="H146" i="37"/>
  <c r="AB146" i="37" s="1"/>
  <c r="H657" i="37" a="1"/>
  <c r="H657" i="37" s="1"/>
  <c r="H37" i="37"/>
  <c r="AB112" i="37"/>
  <c r="H112" i="37" s="1"/>
  <c r="G889" i="37"/>
  <c r="Y525" i="37"/>
  <c r="Y618" i="37"/>
  <c r="Y606" i="37"/>
  <c r="Y513" i="37"/>
  <c r="AF175" i="33"/>
  <c r="AF176" i="33" s="1"/>
  <c r="AT39" i="37"/>
  <c r="G571" i="37"/>
  <c r="G590" i="37"/>
  <c r="G182" i="37"/>
  <c r="AT15" i="37"/>
  <c r="AB109" i="37"/>
  <c r="H109" i="37" s="1"/>
  <c r="H19" i="37"/>
  <c r="H210" i="37" s="1" a="1"/>
  <c r="H210" i="37" s="1"/>
  <c r="AB113" i="37"/>
  <c r="H113" i="37" s="1"/>
  <c r="H43" i="37"/>
  <c r="H155" i="37"/>
  <c r="AB155" i="37" s="1"/>
  <c r="H666" i="37" a="1"/>
  <c r="H666" i="37" s="1"/>
  <c r="H140" i="37"/>
  <c r="AB140" i="37" s="1"/>
  <c r="H651" i="37" a="1"/>
  <c r="H651" i="37" s="1"/>
  <c r="H654" i="37" a="1"/>
  <c r="H654" i="37" s="1"/>
  <c r="H143" i="37"/>
  <c r="AB143" i="37" s="1"/>
  <c r="Y590" i="37"/>
  <c r="G613" i="37"/>
  <c r="Y541" i="37"/>
  <c r="Y519" i="37"/>
  <c r="Y612" i="37"/>
  <c r="AG189" i="33"/>
  <c r="AG195" i="33" s="1"/>
  <c r="AG41" i="33"/>
  <c r="AG209" i="33"/>
  <c r="AG143" i="33"/>
  <c r="AG149" i="33" s="1"/>
  <c r="AH33" i="33"/>
  <c r="AG142" i="33"/>
  <c r="AG148" i="33" s="1"/>
  <c r="AG165" i="33"/>
  <c r="AG171" i="33" s="1"/>
  <c r="AG117" i="33"/>
  <c r="AG234" i="33"/>
  <c r="AG240" i="33" s="1"/>
  <c r="AG95" i="33"/>
  <c r="AG101" i="33" s="1"/>
  <c r="AG232" i="33"/>
  <c r="AG121" i="33"/>
  <c r="AG141" i="33"/>
  <c r="AG147" i="33" s="1"/>
  <c r="AG163" i="33"/>
  <c r="AG233" i="33"/>
  <c r="AG239" i="33" s="1"/>
  <c r="AG166" i="33"/>
  <c r="AG172" i="33" s="1"/>
  <c r="AG97" i="33"/>
  <c r="AG103" i="33" s="1"/>
  <c r="AG98" i="33"/>
  <c r="AG118" i="33"/>
  <c r="AG124" i="33" s="1"/>
  <c r="AG120" i="33"/>
  <c r="AG126" i="33" s="1"/>
  <c r="AG213" i="33"/>
  <c r="AG167" i="33"/>
  <c r="AG188" i="33"/>
  <c r="AG194" i="33" s="1"/>
  <c r="AG119" i="33"/>
  <c r="AG125" i="33" s="1"/>
  <c r="AG94" i="33"/>
  <c r="AG211" i="33"/>
  <c r="AG217" i="33" s="1"/>
  <c r="AG212" i="33"/>
  <c r="AG218" i="33" s="1"/>
  <c r="AG140" i="33"/>
  <c r="AG164" i="33"/>
  <c r="AG170" i="33" s="1"/>
  <c r="AG190" i="33"/>
  <c r="AG210" i="33"/>
  <c r="AG216" i="33" s="1"/>
  <c r="AG187" i="33"/>
  <c r="AG193" i="33" s="1"/>
  <c r="AG236" i="33"/>
  <c r="AG96" i="33"/>
  <c r="AG102" i="33" s="1"/>
  <c r="AG186" i="33"/>
  <c r="AG235" i="33"/>
  <c r="AG241" i="33" s="1"/>
  <c r="AG144" i="33"/>
  <c r="G45" i="37"/>
  <c r="G66" i="37" s="1"/>
  <c r="G160" i="37"/>
  <c r="AA160" i="37" s="1"/>
  <c r="G671" i="37" a="1"/>
  <c r="G671" i="37" s="1"/>
  <c r="G87" i="37"/>
  <c r="AE52" i="33"/>
  <c r="G15" i="37"/>
  <c r="G61" i="37" s="1"/>
  <c r="G641" i="37" a="1"/>
  <c r="G641" i="37" s="1"/>
  <c r="G130" i="37"/>
  <c r="AA130" i="37" s="1"/>
  <c r="G82" i="37"/>
  <c r="G210" i="37" a="1"/>
  <c r="G210" i="37" s="1"/>
  <c r="FM28" i="28"/>
  <c r="Z591" i="37" l="1"/>
  <c r="Z366" i="37"/>
  <c r="Z603" i="37"/>
  <c r="Z604" i="37"/>
  <c r="Y598" i="37"/>
  <c r="Z622" i="37"/>
  <c r="Z621" i="37"/>
  <c r="Z627" i="37"/>
  <c r="Z506" i="37"/>
  <c r="Z552" i="37"/>
  <c r="Z505" i="37"/>
  <c r="Z551" i="37"/>
  <c r="Z616" i="37"/>
  <c r="Z615" i="37"/>
  <c r="Z609" i="37"/>
  <c r="Z610" i="37"/>
  <c r="Y597" i="37"/>
  <c r="AA563" i="37"/>
  <c r="AA529" i="37"/>
  <c r="AA564" i="37"/>
  <c r="AA530" i="37"/>
  <c r="AA535" i="37"/>
  <c r="AA499" i="37"/>
  <c r="AA546" i="37"/>
  <c r="AA576" i="37"/>
  <c r="AA524" i="37"/>
  <c r="AA512" i="37"/>
  <c r="AA523" i="37"/>
  <c r="AA581" i="37"/>
  <c r="AA545" i="37"/>
  <c r="AA517" i="37"/>
  <c r="AA500" i="37"/>
  <c r="AA557" i="37"/>
  <c r="AA511" i="37"/>
  <c r="AA569" i="37"/>
  <c r="AA570" i="37"/>
  <c r="AA558" i="37"/>
  <c r="AA536" i="37"/>
  <c r="AA582" i="37"/>
  <c r="AA575" i="37"/>
  <c r="AA518" i="37"/>
  <c r="Z592" i="37"/>
  <c r="Z628" i="37"/>
  <c r="G760" i="37"/>
  <c r="G844" i="37" s="1"/>
  <c r="Y807" i="37" s="1"/>
  <c r="G758" i="37"/>
  <c r="G830" i="37" s="1"/>
  <c r="G834" i="37" s="1"/>
  <c r="G759" i="37"/>
  <c r="G837" i="37" s="1"/>
  <c r="G840" i="37" s="1"/>
  <c r="G761" i="37"/>
  <c r="G851" i="37" s="1"/>
  <c r="G871" i="37" s="1"/>
  <c r="H989" i="51" a="1"/>
  <c r="H989" i="51" s="1"/>
  <c r="G757" i="37"/>
  <c r="G823" i="37" s="1"/>
  <c r="G825" i="37" s="1"/>
  <c r="G977" i="51"/>
  <c r="G983" i="51" s="1"/>
  <c r="G984" i="51" s="1"/>
  <c r="G985" i="51" s="1"/>
  <c r="G755" i="37"/>
  <c r="G809" i="37" s="1"/>
  <c r="G813" i="37" s="1"/>
  <c r="Z397" i="37"/>
  <c r="H357" i="37"/>
  <c r="Z361" i="37"/>
  <c r="H915" i="37" a="1"/>
  <c r="H915" i="37" s="1"/>
  <c r="Z396" i="37"/>
  <c r="Z379" i="37"/>
  <c r="Z385" i="37"/>
  <c r="Z372" i="37"/>
  <c r="Z384" i="37"/>
  <c r="Z373" i="37"/>
  <c r="Z390" i="37"/>
  <c r="Z391" i="37"/>
  <c r="Z367" i="37"/>
  <c r="Z360" i="37"/>
  <c r="Z378" i="37"/>
  <c r="H384" i="37"/>
  <c r="FK35" i="28"/>
  <c r="H383" i="37"/>
  <c r="H360" i="37"/>
  <c r="AD74" i="33"/>
  <c r="AD80" i="33" s="1"/>
  <c r="Z357" i="37"/>
  <c r="AD56" i="33"/>
  <c r="H627" i="37"/>
  <c r="G667" i="37"/>
  <c r="AD73" i="33"/>
  <c r="AD79" i="33" s="1"/>
  <c r="EG33" i="28"/>
  <c r="EG35" i="28"/>
  <c r="FL35" i="28" s="1"/>
  <c r="H614" i="37"/>
  <c r="AD72" i="33"/>
  <c r="AD78" i="33" s="1"/>
  <c r="G661" i="37"/>
  <c r="AD71" i="33"/>
  <c r="AD77" i="33" s="1"/>
  <c r="G218" i="37"/>
  <c r="H945" i="37"/>
  <c r="G649" i="37"/>
  <c r="G206" i="37"/>
  <c r="Y611" i="37"/>
  <c r="G617" i="37"/>
  <c r="H625" i="37"/>
  <c r="H589" i="37"/>
  <c r="H613" i="37"/>
  <c r="H616" i="37"/>
  <c r="G643" i="37"/>
  <c r="Y623" i="37"/>
  <c r="H610" i="37"/>
  <c r="H604" i="37"/>
  <c r="Z541" i="37"/>
  <c r="Y617" i="37"/>
  <c r="Y595" i="37"/>
  <c r="G595" i="37"/>
  <c r="G655" i="37"/>
  <c r="Y599" i="37"/>
  <c r="G611" i="37"/>
  <c r="Z625" i="37"/>
  <c r="H609" i="37"/>
  <c r="Z620" i="37"/>
  <c r="Z619" i="37"/>
  <c r="G587" i="37"/>
  <c r="Y587" i="37"/>
  <c r="Z589" i="37"/>
  <c r="H602" i="37"/>
  <c r="H622" i="37"/>
  <c r="Y605" i="37"/>
  <c r="Z607" i="37"/>
  <c r="H601" i="37"/>
  <c r="H592" i="37"/>
  <c r="Z590" i="37"/>
  <c r="H590" i="37"/>
  <c r="Z602" i="37"/>
  <c r="H194" i="37"/>
  <c r="G63" i="37"/>
  <c r="AA139" i="37"/>
  <c r="AA138" i="37" s="1"/>
  <c r="G138" i="37"/>
  <c r="I131" i="37"/>
  <c r="AC131" i="37" s="1"/>
  <c r="I642" i="37" a="1"/>
  <c r="I642" i="37" s="1"/>
  <c r="H906" i="37" a="1"/>
  <c r="H906" i="37" s="1"/>
  <c r="H548" i="37"/>
  <c r="H904" i="37" a="1"/>
  <c r="H904" i="37" s="1"/>
  <c r="H505" i="37"/>
  <c r="Z502" i="37"/>
  <c r="H905" i="37"/>
  <c r="H506" i="37"/>
  <c r="Z548" i="37"/>
  <c r="H550" i="37"/>
  <c r="Z503" i="37"/>
  <c r="H551" i="37"/>
  <c r="Z504" i="37"/>
  <c r="H549" i="37"/>
  <c r="H502" i="37"/>
  <c r="H504" i="37"/>
  <c r="Z550" i="37"/>
  <c r="H503" i="37"/>
  <c r="H552" i="37"/>
  <c r="Z549" i="37"/>
  <c r="AC113" i="37"/>
  <c r="I113" i="37" s="1"/>
  <c r="I43" i="37"/>
  <c r="I787" i="37"/>
  <c r="I795" i="37"/>
  <c r="I771" i="37"/>
  <c r="I775" i="37"/>
  <c r="I779" i="37"/>
  <c r="I783" i="37"/>
  <c r="I791" i="37"/>
  <c r="H531" i="37"/>
  <c r="H624" i="37"/>
  <c r="H577" i="37"/>
  <c r="H959" i="37"/>
  <c r="Z588" i="37"/>
  <c r="Z495" i="37"/>
  <c r="H72" i="37"/>
  <c r="H638" i="37" a="1"/>
  <c r="H638" i="37" s="1"/>
  <c r="H15" i="37"/>
  <c r="H61" i="37" s="1"/>
  <c r="H127" i="37"/>
  <c r="AB127" i="37" s="1"/>
  <c r="H207" i="37" a="1"/>
  <c r="H207" i="37" s="1"/>
  <c r="H206" i="37" s="1"/>
  <c r="Y594" i="37"/>
  <c r="Y501" i="37"/>
  <c r="I654" i="37" a="1"/>
  <c r="I654" i="37" s="1"/>
  <c r="I143" i="37"/>
  <c r="AC143" i="37" s="1"/>
  <c r="AC199" i="37"/>
  <c r="AC201" i="37"/>
  <c r="I40" i="37"/>
  <c r="AC39" i="37"/>
  <c r="AC200" i="37"/>
  <c r="AU21" i="37"/>
  <c r="H519" i="37"/>
  <c r="H612" i="37"/>
  <c r="Z565" i="37"/>
  <c r="FK33" i="28"/>
  <c r="Z375" i="37"/>
  <c r="H358" i="37"/>
  <c r="Z376" i="37"/>
  <c r="Z364" i="37"/>
  <c r="H377" i="37"/>
  <c r="Z394" i="37"/>
  <c r="H943" i="37" a="1"/>
  <c r="H943" i="37" s="1"/>
  <c r="H378" i="37"/>
  <c r="H382" i="37"/>
  <c r="AC114" i="37"/>
  <c r="I114" i="37" s="1"/>
  <c r="I49" i="37"/>
  <c r="I639" i="37" a="1"/>
  <c r="I639" i="37" s="1"/>
  <c r="I128" i="37"/>
  <c r="AC128" i="37" s="1"/>
  <c r="AG43" i="33"/>
  <c r="H973" i="51" s="1"/>
  <c r="H979" i="51" s="1"/>
  <c r="AG47" i="33"/>
  <c r="AG44" i="33"/>
  <c r="H974" i="51" s="1"/>
  <c r="H980" i="51" s="1"/>
  <c r="AG45" i="33"/>
  <c r="H975" i="51" s="1"/>
  <c r="H981" i="51" s="1"/>
  <c r="AG46" i="33"/>
  <c r="H976" i="51" s="1"/>
  <c r="H982" i="51" s="1"/>
  <c r="H901" i="37" a="1"/>
  <c r="H901" i="37" s="1"/>
  <c r="H88" i="37"/>
  <c r="H166" i="37"/>
  <c r="AB166" i="37" s="1"/>
  <c r="H677" i="37" a="1"/>
  <c r="H677" i="37" s="1"/>
  <c r="G62" i="37"/>
  <c r="AF49" i="33"/>
  <c r="I147" i="37"/>
  <c r="AC147" i="37" s="1"/>
  <c r="I658" i="37" a="1"/>
  <c r="I658" i="37" s="1"/>
  <c r="I652" i="37" a="1"/>
  <c r="I652" i="37" s="1"/>
  <c r="I141" i="37"/>
  <c r="AC141" i="37" s="1"/>
  <c r="Z618" i="37"/>
  <c r="Z525" i="37"/>
  <c r="I648" i="37" a="1"/>
  <c r="I648" i="37" s="1"/>
  <c r="I137" i="37"/>
  <c r="AC137" i="37" s="1"/>
  <c r="H790" i="37"/>
  <c r="H789" i="37" s="1"/>
  <c r="H788" i="37" s="1"/>
  <c r="H385" i="37"/>
  <c r="EX33" i="28"/>
  <c r="BR36" i="37"/>
  <c r="BR39" i="37"/>
  <c r="BR26" i="37"/>
  <c r="AV50" i="37"/>
  <c r="AV37" i="37"/>
  <c r="BR32" i="37"/>
  <c r="AV44" i="37"/>
  <c r="AD44" i="37"/>
  <c r="J44" i="37" s="1"/>
  <c r="AD24" i="37"/>
  <c r="J24" i="37" s="1"/>
  <c r="AD18" i="37"/>
  <c r="J18" i="37" s="1"/>
  <c r="AD50" i="37"/>
  <c r="J50" i="37" s="1"/>
  <c r="AD46" i="37"/>
  <c r="AV54" i="37"/>
  <c r="AV46" i="37"/>
  <c r="BR33" i="37"/>
  <c r="BR16" i="37"/>
  <c r="AD23" i="37"/>
  <c r="J23" i="37" s="1"/>
  <c r="AV52" i="37"/>
  <c r="BR55" i="37"/>
  <c r="BR31" i="37"/>
  <c r="BR54" i="37"/>
  <c r="BR56" i="37"/>
  <c r="AV32" i="37"/>
  <c r="BR37" i="37"/>
  <c r="BR24" i="37"/>
  <c r="BR22" i="37"/>
  <c r="AV55" i="37"/>
  <c r="AD53" i="37"/>
  <c r="J53" i="37" s="1"/>
  <c r="AD32" i="37"/>
  <c r="J32" i="37" s="1"/>
  <c r="AD36" i="37"/>
  <c r="J36" i="37" s="1"/>
  <c r="AD37" i="37"/>
  <c r="AD28" i="37"/>
  <c r="AV23" i="37"/>
  <c r="AV22" i="37"/>
  <c r="BR47" i="37"/>
  <c r="BR41" i="37"/>
  <c r="AD38" i="37"/>
  <c r="J38" i="37" s="1"/>
  <c r="AV48" i="37"/>
  <c r="BR48" i="37"/>
  <c r="BR30" i="37"/>
  <c r="BR34" i="37"/>
  <c r="BR42" i="37"/>
  <c r="BR40" i="37"/>
  <c r="BR25" i="37"/>
  <c r="AV38" i="37"/>
  <c r="BR28" i="37"/>
  <c r="AV20" i="37"/>
  <c r="AV25" i="37"/>
  <c r="AD20" i="37"/>
  <c r="J20" i="37" s="1"/>
  <c r="AD41" i="37"/>
  <c r="J41" i="37" s="1"/>
  <c r="AD26" i="37"/>
  <c r="J26" i="37" s="1"/>
  <c r="AD31" i="37"/>
  <c r="AV30" i="37"/>
  <c r="AV35" i="37"/>
  <c r="AV16" i="37"/>
  <c r="BR50" i="37"/>
  <c r="AV49" i="37"/>
  <c r="BR46" i="37"/>
  <c r="AD49" i="37"/>
  <c r="AD40" i="37"/>
  <c r="AV29" i="37"/>
  <c r="BR20" i="37"/>
  <c r="FM29" i="28" s="1"/>
  <c r="BR49" i="37"/>
  <c r="BR44" i="37"/>
  <c r="BR15" i="37"/>
  <c r="EH32" i="28" s="1"/>
  <c r="BR45" i="37"/>
  <c r="CY33" i="28"/>
  <c r="AD43" i="37"/>
  <c r="AD22" i="37"/>
  <c r="AV18" i="37"/>
  <c r="AD56" i="37"/>
  <c r="J56" i="37" s="1"/>
  <c r="AV17" i="37"/>
  <c r="BR35" i="37"/>
  <c r="BR38" i="37"/>
  <c r="AD30" i="37"/>
  <c r="J30" i="37" s="1"/>
  <c r="BR43" i="37"/>
  <c r="AD29" i="37"/>
  <c r="J29" i="37" s="1"/>
  <c r="BR27" i="37"/>
  <c r="AV47" i="37"/>
  <c r="AV42" i="37"/>
  <c r="AV31" i="37"/>
  <c r="BR53" i="37"/>
  <c r="BR29" i="37"/>
  <c r="AD54" i="37"/>
  <c r="J54" i="37" s="1"/>
  <c r="AV41" i="37"/>
  <c r="BR18" i="37"/>
  <c r="BR52" i="37"/>
  <c r="BR51" i="37"/>
  <c r="BL33" i="28"/>
  <c r="AD16" i="37"/>
  <c r="AD34" i="37"/>
  <c r="AD19" i="37"/>
  <c r="AV24" i="37"/>
  <c r="AV53" i="37"/>
  <c r="AD17" i="37"/>
  <c r="J17" i="37" s="1"/>
  <c r="AV28" i="37"/>
  <c r="AV43" i="37"/>
  <c r="AD55" i="37"/>
  <c r="AD42" i="37"/>
  <c r="J42" i="37" s="1"/>
  <c r="AV19" i="37"/>
  <c r="AV26" i="37"/>
  <c r="BR17" i="37"/>
  <c r="GS33" i="28"/>
  <c r="AD25" i="37"/>
  <c r="AV36" i="37"/>
  <c r="BR19" i="37"/>
  <c r="FM30" i="28" s="1"/>
  <c r="AD52" i="37"/>
  <c r="AV56" i="37"/>
  <c r="AD35" i="37"/>
  <c r="J35" i="37" s="1"/>
  <c r="AV34" i="37"/>
  <c r="BR23" i="37"/>
  <c r="AD47" i="37"/>
  <c r="J47" i="37" s="1"/>
  <c r="BR21" i="37"/>
  <c r="AD48" i="37"/>
  <c r="J48" i="37" s="1"/>
  <c r="AV40" i="37"/>
  <c r="H87" i="37"/>
  <c r="H160" i="37"/>
  <c r="AB160" i="37" s="1"/>
  <c r="H671" i="37" a="1"/>
  <c r="H671" i="37" s="1"/>
  <c r="H615" i="37"/>
  <c r="Z624" i="37"/>
  <c r="Z531" i="37"/>
  <c r="H133" i="37"/>
  <c r="H644" i="37" a="1"/>
  <c r="H644" i="37" s="1"/>
  <c r="H21" i="37"/>
  <c r="H62" i="37" s="1"/>
  <c r="H73" i="37"/>
  <c r="H213" i="37" a="1"/>
  <c r="H213" i="37" s="1"/>
  <c r="I146" i="37"/>
  <c r="AC146" i="37" s="1"/>
  <c r="I657" i="37" a="1"/>
  <c r="I657" i="37" s="1"/>
  <c r="AC109" i="37"/>
  <c r="I109" i="37" s="1"/>
  <c r="I19" i="37"/>
  <c r="I210" i="37" s="1" a="1"/>
  <c r="I210" i="37" s="1"/>
  <c r="I946" i="37" a="1"/>
  <c r="I946" i="37" s="1"/>
  <c r="I976" i="37" a="1"/>
  <c r="I976" i="37" s="1"/>
  <c r="I948" i="37" a="1"/>
  <c r="I948" i="37" s="1"/>
  <c r="I524" i="37"/>
  <c r="I975" i="37"/>
  <c r="I563" i="37"/>
  <c r="I557" i="37"/>
  <c r="I515" i="37"/>
  <c r="I891" i="37"/>
  <c r="I560" i="37"/>
  <c r="AA534" i="37"/>
  <c r="AA556" i="37"/>
  <c r="AA498" i="37"/>
  <c r="AA527" i="37"/>
  <c r="AA508" i="37"/>
  <c r="AA542" i="37"/>
  <c r="I500" i="37"/>
  <c r="I518" i="37"/>
  <c r="I961" i="37"/>
  <c r="I508" i="37"/>
  <c r="AA578" i="37"/>
  <c r="I918" i="37" a="1"/>
  <c r="I918" i="37" s="1"/>
  <c r="I575" i="37"/>
  <c r="I934" i="37" a="1"/>
  <c r="I934" i="37" s="1"/>
  <c r="I544" i="37"/>
  <c r="I545" i="37"/>
  <c r="I523" i="37"/>
  <c r="I579" i="37"/>
  <c r="I576" i="37"/>
  <c r="I528" i="37"/>
  <c r="I572" i="37"/>
  <c r="AA579" i="37"/>
  <c r="AA580" i="37"/>
  <c r="AA561" i="37"/>
  <c r="AA532" i="37"/>
  <c r="AA514" i="37"/>
  <c r="I550" i="37"/>
  <c r="I570" i="37"/>
  <c r="AA567" i="37"/>
  <c r="I960" i="37" a="1"/>
  <c r="I960" i="37" s="1"/>
  <c r="I573" i="37"/>
  <c r="I527" i="37"/>
  <c r="I962" i="37" a="1"/>
  <c r="I962" i="37" s="1"/>
  <c r="I534" i="37"/>
  <c r="I562" i="37"/>
  <c r="I558" i="37"/>
  <c r="I521" i="37"/>
  <c r="I516" i="37"/>
  <c r="I542" i="37"/>
  <c r="AA515" i="37"/>
  <c r="AA555" i="37"/>
  <c r="AA574" i="37"/>
  <c r="AA526" i="37"/>
  <c r="AA520" i="37"/>
  <c r="I529" i="37"/>
  <c r="I947" i="37"/>
  <c r="I499" i="37"/>
  <c r="I526" i="37"/>
  <c r="AA528" i="37"/>
  <c r="AA554" i="37"/>
  <c r="I530" i="37"/>
  <c r="I556" i="37"/>
  <c r="I574" i="37"/>
  <c r="I552" i="37"/>
  <c r="I578" i="37"/>
  <c r="AA497" i="37"/>
  <c r="AA522" i="37"/>
  <c r="I511" i="37"/>
  <c r="I496" i="37"/>
  <c r="I920" i="37" a="1"/>
  <c r="I920" i="37" s="1"/>
  <c r="I498" i="37"/>
  <c r="I497" i="37"/>
  <c r="AA560" i="37"/>
  <c r="I555" i="37"/>
  <c r="I568" i="37"/>
  <c r="I564" i="37"/>
  <c r="I551" i="37"/>
  <c r="I536" i="37"/>
  <c r="I509" i="37"/>
  <c r="I535" i="37"/>
  <c r="I933" i="37"/>
  <c r="I566" i="37"/>
  <c r="AA562" i="37"/>
  <c r="AA568" i="37"/>
  <c r="AA509" i="37"/>
  <c r="AA573" i="37"/>
  <c r="I543" i="37"/>
  <c r="I567" i="37"/>
  <c r="AA516" i="37"/>
  <c r="DM33" i="28"/>
  <c r="I582" i="37"/>
  <c r="I514" i="37"/>
  <c r="AA544" i="37"/>
  <c r="AA496" i="37"/>
  <c r="I546" i="37"/>
  <c r="I561" i="37"/>
  <c r="AA543" i="37"/>
  <c r="I974" i="37" a="1"/>
  <c r="I974" i="37" s="1"/>
  <c r="I532" i="37"/>
  <c r="AA572" i="37"/>
  <c r="I890" i="37" a="1"/>
  <c r="I890" i="37" s="1"/>
  <c r="I548" i="37"/>
  <c r="AA566" i="37"/>
  <c r="I919" i="37"/>
  <c r="I533" i="37"/>
  <c r="I581" i="37"/>
  <c r="I549" i="37"/>
  <c r="I520" i="37"/>
  <c r="I892" i="37" a="1"/>
  <c r="I892" i="37" s="1"/>
  <c r="AA533" i="37"/>
  <c r="I522" i="37"/>
  <c r="I569" i="37"/>
  <c r="AA510" i="37"/>
  <c r="I932" i="37" a="1"/>
  <c r="I932" i="37" s="1"/>
  <c r="I554" i="37"/>
  <c r="I517" i="37"/>
  <c r="I580" i="37"/>
  <c r="I510" i="37"/>
  <c r="I602" i="37" s="1"/>
  <c r="I512" i="37"/>
  <c r="AA521" i="37"/>
  <c r="Z553" i="37"/>
  <c r="G903" i="37"/>
  <c r="AA145" i="37"/>
  <c r="AA144" i="37" s="1"/>
  <c r="G144" i="37"/>
  <c r="AF52" i="33"/>
  <c r="I25" i="37"/>
  <c r="AC110" i="37"/>
  <c r="I110" i="37" s="1"/>
  <c r="I193" i="37" a="1"/>
  <c r="I193" i="37" s="1"/>
  <c r="I185" i="37" a="1"/>
  <c r="I185" i="37" s="1"/>
  <c r="I220" i="37" a="1"/>
  <c r="I220" i="37" s="1"/>
  <c r="I187" i="37" a="1"/>
  <c r="I187" i="37" s="1"/>
  <c r="I203" i="37" a="1"/>
  <c r="I203" i="37" s="1"/>
  <c r="I183" i="37" a="1"/>
  <c r="I183" i="37" s="1"/>
  <c r="I205" i="37" a="1"/>
  <c r="I205" i="37" s="1"/>
  <c r="I196" i="37" a="1"/>
  <c r="I196" i="37" s="1"/>
  <c r="I223" i="37" a="1"/>
  <c r="I223" i="37" s="1"/>
  <c r="I202" i="37" a="1"/>
  <c r="I202" i="37" s="1"/>
  <c r="I192" i="37" a="1"/>
  <c r="I192" i="37" s="1"/>
  <c r="I186" i="37" a="1"/>
  <c r="I186" i="37" s="1"/>
  <c r="I191" i="37" a="1"/>
  <c r="I191" i="37" s="1"/>
  <c r="I201" i="37" a="1"/>
  <c r="I201" i="37" s="1"/>
  <c r="I208" i="37" a="1"/>
  <c r="I208" i="37" s="1"/>
  <c r="I204" i="37" a="1"/>
  <c r="I204" i="37" s="1"/>
  <c r="I214" i="37" a="1"/>
  <c r="I214" i="37" s="1"/>
  <c r="I199" i="37" a="1"/>
  <c r="I199" i="37" s="1"/>
  <c r="I215" i="37" a="1"/>
  <c r="I215" i="37" s="1"/>
  <c r="I198" i="37" a="1"/>
  <c r="I198" i="37" s="1"/>
  <c r="I211" i="37" a="1"/>
  <c r="I211" i="37" s="1"/>
  <c r="I189" i="37" a="1"/>
  <c r="I189" i="37" s="1"/>
  <c r="I197" i="37" a="1"/>
  <c r="I197" i="37" s="1"/>
  <c r="I195" i="37" a="1"/>
  <c r="I195" i="37" s="1"/>
  <c r="I190" i="37" a="1"/>
  <c r="I190" i="37" s="1"/>
  <c r="I217" i="37" a="1"/>
  <c r="I217" i="37" s="1"/>
  <c r="I209" i="37" a="1"/>
  <c r="I209" i="37" s="1"/>
  <c r="I184" i="37" a="1"/>
  <c r="I184" i="37" s="1"/>
  <c r="I221" i="37" a="1"/>
  <c r="I221" i="37" s="1"/>
  <c r="Z613" i="37"/>
  <c r="Z606" i="37"/>
  <c r="Z513" i="37"/>
  <c r="AA151" i="37"/>
  <c r="AA150" i="37" s="1"/>
  <c r="G150" i="37"/>
  <c r="G637" i="37"/>
  <c r="AH117" i="33"/>
  <c r="AH236" i="33"/>
  <c r="AH97" i="33"/>
  <c r="AH103" i="33" s="1"/>
  <c r="AH41" i="33"/>
  <c r="AH142" i="33"/>
  <c r="AH148" i="33" s="1"/>
  <c r="AH120" i="33"/>
  <c r="AH126" i="33" s="1"/>
  <c r="AH190" i="33"/>
  <c r="AH186" i="33"/>
  <c r="AH167" i="33"/>
  <c r="AH212" i="33"/>
  <c r="AH218" i="33" s="1"/>
  <c r="AH144" i="33"/>
  <c r="AH166" i="33"/>
  <c r="AH172" i="33" s="1"/>
  <c r="AH188" i="33"/>
  <c r="AH194" i="33" s="1"/>
  <c r="AH232" i="33"/>
  <c r="AI33" i="33"/>
  <c r="AH235" i="33"/>
  <c r="AH241" i="33" s="1"/>
  <c r="AH163" i="33"/>
  <c r="AH233" i="33"/>
  <c r="AH239" i="33" s="1"/>
  <c r="AH141" i="33"/>
  <c r="AH147" i="33" s="1"/>
  <c r="AH143" i="33"/>
  <c r="AH149" i="33" s="1"/>
  <c r="AH98" i="33"/>
  <c r="AH119" i="33"/>
  <c r="AH125" i="33" s="1"/>
  <c r="AH96" i="33"/>
  <c r="AH102" i="33" s="1"/>
  <c r="AH234" i="33"/>
  <c r="AH240" i="33" s="1"/>
  <c r="AH118" i="33"/>
  <c r="AH124" i="33" s="1"/>
  <c r="AH213" i="33"/>
  <c r="AH95" i="33"/>
  <c r="AH101" i="33" s="1"/>
  <c r="AH140" i="33"/>
  <c r="AH164" i="33"/>
  <c r="AH170" i="33" s="1"/>
  <c r="AH121" i="33"/>
  <c r="AH187" i="33"/>
  <c r="AH193" i="33" s="1"/>
  <c r="AH209" i="33"/>
  <c r="AH189" i="33"/>
  <c r="AH195" i="33" s="1"/>
  <c r="AH94" i="33"/>
  <c r="AH211" i="33"/>
  <c r="AH217" i="33" s="1"/>
  <c r="AH210" i="33"/>
  <c r="AH216" i="33" s="1"/>
  <c r="AH165" i="33"/>
  <c r="AH171" i="33" s="1"/>
  <c r="H154" i="37"/>
  <c r="AB154" i="37" s="1"/>
  <c r="H665" i="37" a="1"/>
  <c r="H665" i="37" s="1"/>
  <c r="H372" i="37"/>
  <c r="H148" i="37"/>
  <c r="AB148" i="37" s="1"/>
  <c r="H85" i="37"/>
  <c r="H659" i="37" a="1"/>
  <c r="H659" i="37" s="1"/>
  <c r="Y547" i="37"/>
  <c r="AA163" i="37"/>
  <c r="AA162" i="37" s="1"/>
  <c r="G162" i="37"/>
  <c r="H396" i="37"/>
  <c r="AF51" i="33"/>
  <c r="I155" i="37"/>
  <c r="AC155" i="37" s="1"/>
  <c r="I666" i="37" a="1"/>
  <c r="I666" i="37" s="1"/>
  <c r="AU51" i="37"/>
  <c r="AU33" i="37"/>
  <c r="I37" i="37"/>
  <c r="AC112" i="37"/>
  <c r="I112" i="37" s="1"/>
  <c r="Z601" i="37"/>
  <c r="H571" i="37"/>
  <c r="H628" i="37"/>
  <c r="H618" i="37"/>
  <c r="H525" i="37"/>
  <c r="Z612" i="37"/>
  <c r="Z519" i="37"/>
  <c r="I135" i="37"/>
  <c r="AC135" i="37" s="1"/>
  <c r="I646" i="37" a="1"/>
  <c r="I646" i="37" s="1"/>
  <c r="I664" i="37" a="1"/>
  <c r="I664" i="37" s="1"/>
  <c r="I153" i="37"/>
  <c r="AC153" i="37" s="1"/>
  <c r="I678" i="37" a="1"/>
  <c r="I678" i="37" s="1"/>
  <c r="I167" i="37"/>
  <c r="AC167" i="37" s="1"/>
  <c r="H495" i="37"/>
  <c r="H588" i="37"/>
  <c r="H606" i="37"/>
  <c r="H513" i="37"/>
  <c r="G547" i="37"/>
  <c r="AE55" i="33"/>
  <c r="AE70" i="33" s="1"/>
  <c r="AE76" i="33" s="1"/>
  <c r="I645" i="37" a="1"/>
  <c r="I645" i="37" s="1"/>
  <c r="I134" i="37"/>
  <c r="AC134" i="37" s="1"/>
  <c r="H620" i="37"/>
  <c r="H182" i="37"/>
  <c r="H929" i="37" a="1"/>
  <c r="H929" i="37" s="1"/>
  <c r="H363" i="37"/>
  <c r="Z370" i="37"/>
  <c r="Z371" i="37"/>
  <c r="Z381" i="37"/>
  <c r="H366" i="37"/>
  <c r="Z377" i="37"/>
  <c r="H364" i="37"/>
  <c r="H778" i="37"/>
  <c r="H777" i="37" s="1"/>
  <c r="H776" i="37" s="1"/>
  <c r="H786" i="37"/>
  <c r="H785" i="37" s="1"/>
  <c r="H784" i="37" s="1"/>
  <c r="H370" i="37"/>
  <c r="H390" i="37"/>
  <c r="H361" i="37"/>
  <c r="H794" i="37"/>
  <c r="H793" i="37" s="1"/>
  <c r="H792" i="37" s="1"/>
  <c r="H371" i="37"/>
  <c r="H391" i="37"/>
  <c r="FK31" i="28"/>
  <c r="H395" i="37"/>
  <c r="H782" i="37"/>
  <c r="H781" i="37" s="1"/>
  <c r="H780" i="37" s="1"/>
  <c r="H887" i="37" a="1"/>
  <c r="H887" i="37" s="1"/>
  <c r="Z363" i="37"/>
  <c r="H393" i="37"/>
  <c r="H774" i="37"/>
  <c r="H773" i="37" s="1"/>
  <c r="H772" i="37" s="1"/>
  <c r="Z358" i="37"/>
  <c r="H381" i="37"/>
  <c r="Z389" i="37"/>
  <c r="H367" i="37"/>
  <c r="H397" i="37"/>
  <c r="Z387" i="37"/>
  <c r="Z382" i="37"/>
  <c r="H389" i="37"/>
  <c r="Z365" i="37"/>
  <c r="H375" i="37"/>
  <c r="H770" i="37"/>
  <c r="H769" i="37" s="1"/>
  <c r="H768" i="37" s="1"/>
  <c r="Z369" i="37"/>
  <c r="H387" i="37"/>
  <c r="H388" i="37"/>
  <c r="Z393" i="37"/>
  <c r="H376" i="37"/>
  <c r="Z395" i="37"/>
  <c r="H394" i="37"/>
  <c r="Z388" i="37"/>
  <c r="H373" i="37"/>
  <c r="H359" i="37"/>
  <c r="H379" i="37"/>
  <c r="I140" i="37"/>
  <c r="AC140" i="37" s="1"/>
  <c r="I651" i="37" a="1"/>
  <c r="I651" i="37" s="1"/>
  <c r="I129" i="37"/>
  <c r="AC129" i="37" s="1"/>
  <c r="I640" i="37" a="1"/>
  <c r="I640" i="37" s="1"/>
  <c r="H626" i="37"/>
  <c r="G673" i="37"/>
  <c r="Z359" i="37"/>
  <c r="Y596" i="37"/>
  <c r="H27" i="37"/>
  <c r="H63" i="37" s="1"/>
  <c r="H139" i="37"/>
  <c r="H650" i="37" a="1"/>
  <c r="H650" i="37" s="1"/>
  <c r="H45" i="37"/>
  <c r="H66" i="37" s="1"/>
  <c r="H157" i="37"/>
  <c r="H668" i="37" a="1"/>
  <c r="H668" i="37" s="1"/>
  <c r="Z383" i="37"/>
  <c r="H957" i="37" a="1"/>
  <c r="H957" i="37" s="1"/>
  <c r="G605" i="37"/>
  <c r="G599" i="37"/>
  <c r="AC189" i="37"/>
  <c r="AC21" i="37"/>
  <c r="I22" i="37"/>
  <c r="AC187" i="37"/>
  <c r="AC188" i="37"/>
  <c r="I676" i="37" a="1"/>
  <c r="I676" i="37" s="1"/>
  <c r="I165" i="37"/>
  <c r="AC165" i="37" s="1"/>
  <c r="AC196" i="37"/>
  <c r="I34" i="37"/>
  <c r="AC197" i="37"/>
  <c r="AC195" i="37"/>
  <c r="AC33" i="37"/>
  <c r="FL32" i="28"/>
  <c r="AC192" i="37"/>
  <c r="AC193" i="37"/>
  <c r="AC27" i="37"/>
  <c r="I28" i="37"/>
  <c r="AC191" i="37"/>
  <c r="I675" i="37" a="1"/>
  <c r="I675" i="37" s="1"/>
  <c r="I164" i="37"/>
  <c r="AC164" i="37" s="1"/>
  <c r="H931" i="37"/>
  <c r="H591" i="37"/>
  <c r="Z608" i="37"/>
  <c r="H607" i="37"/>
  <c r="H559" i="37"/>
  <c r="H973" i="37"/>
  <c r="H553" i="37"/>
  <c r="H889" i="37"/>
  <c r="Z577" i="37"/>
  <c r="H84" i="37"/>
  <c r="H653" i="37" a="1"/>
  <c r="H653" i="37" s="1"/>
  <c r="H142" i="37"/>
  <c r="AB142" i="37" s="1"/>
  <c r="H188" i="37"/>
  <c r="AA157" i="37"/>
  <c r="AA156" i="37" s="1"/>
  <c r="G156" i="37"/>
  <c r="G623" i="37"/>
  <c r="G865" i="37"/>
  <c r="G811" i="37"/>
  <c r="G812" i="37"/>
  <c r="G810" i="37"/>
  <c r="H75" i="37"/>
  <c r="H656" i="37" a="1"/>
  <c r="H656" i="37" s="1"/>
  <c r="H145" i="37"/>
  <c r="H33" i="37"/>
  <c r="H64" i="37" s="1"/>
  <c r="AC185" i="37"/>
  <c r="AC15" i="37"/>
  <c r="AC183" i="37"/>
  <c r="AC184" i="37"/>
  <c r="I16" i="37"/>
  <c r="Z600" i="37"/>
  <c r="Z507" i="37"/>
  <c r="G594" i="37"/>
  <c r="G501" i="37"/>
  <c r="AF50" i="33"/>
  <c r="H216" i="37" a="1"/>
  <c r="H216" i="37" s="1"/>
  <c r="H136" i="37"/>
  <c r="AB136" i="37" s="1"/>
  <c r="H647" i="37" a="1"/>
  <c r="H647" i="37" s="1"/>
  <c r="H83" i="37"/>
  <c r="H163" i="37"/>
  <c r="H51" i="37"/>
  <c r="H67" i="37" s="1"/>
  <c r="H674" i="37" a="1"/>
  <c r="H674" i="37" s="1"/>
  <c r="H78" i="37"/>
  <c r="I31" i="37"/>
  <c r="AC111" i="37"/>
  <c r="I111" i="37" s="1"/>
  <c r="H608" i="37"/>
  <c r="H619" i="37"/>
  <c r="Z614" i="37"/>
  <c r="G596" i="37"/>
  <c r="I159" i="37"/>
  <c r="AC159" i="37" s="1"/>
  <c r="I670" i="37" a="1"/>
  <c r="I670" i="37" s="1"/>
  <c r="AU15" i="37"/>
  <c r="AC207" i="37"/>
  <c r="AC51" i="37"/>
  <c r="AC208" i="37"/>
  <c r="I52" i="37"/>
  <c r="AC209" i="37"/>
  <c r="Z626" i="37"/>
  <c r="H82" i="37"/>
  <c r="H130" i="37"/>
  <c r="AB130" i="37" s="1"/>
  <c r="H641" i="37" a="1"/>
  <c r="H641" i="37" s="1"/>
  <c r="H365" i="37"/>
  <c r="G598" i="37"/>
  <c r="G597" i="37"/>
  <c r="H39" i="37"/>
  <c r="H65" i="37" s="1"/>
  <c r="H151" i="37"/>
  <c r="H662" i="37" a="1"/>
  <c r="H662" i="37" s="1"/>
  <c r="H369" i="37"/>
  <c r="AA133" i="37"/>
  <c r="AA132" i="37" s="1"/>
  <c r="G132" i="37"/>
  <c r="H971" i="37" a="1"/>
  <c r="H971" i="37" s="1"/>
  <c r="G832" i="37"/>
  <c r="AU45" i="37"/>
  <c r="I161" i="37"/>
  <c r="AC161" i="37" s="1"/>
  <c r="I672" i="37" a="1"/>
  <c r="I672" i="37" s="1"/>
  <c r="AC115" i="37"/>
  <c r="I115" i="37" s="1"/>
  <c r="I55" i="37"/>
  <c r="I669" i="37" a="1"/>
  <c r="I669" i="37" s="1"/>
  <c r="I158" i="37"/>
  <c r="AC158" i="37" s="1"/>
  <c r="AU27" i="37"/>
  <c r="AC45" i="37"/>
  <c r="AC203" i="37"/>
  <c r="AC205" i="37"/>
  <c r="AC204" i="37"/>
  <c r="I46" i="37"/>
  <c r="I149" i="37"/>
  <c r="AC149" i="37" s="1"/>
  <c r="I660" i="37" a="1"/>
  <c r="I660" i="37" s="1"/>
  <c r="I152" i="37"/>
  <c r="AC152" i="37" s="1"/>
  <c r="I663" i="37" a="1"/>
  <c r="I663" i="37" s="1"/>
  <c r="AU39" i="37"/>
  <c r="H917" i="37"/>
  <c r="H600" i="37"/>
  <c r="H507" i="37"/>
  <c r="H541" i="37"/>
  <c r="H565" i="37"/>
  <c r="H621" i="37"/>
  <c r="Z571" i="37"/>
  <c r="Z559" i="37"/>
  <c r="H86" i="37"/>
  <c r="H200" i="37"/>
  <c r="H219" i="37" a="1"/>
  <c r="H219" i="37" s="1"/>
  <c r="H218" i="37" s="1"/>
  <c r="I621" i="37" l="1"/>
  <c r="I622" i="37"/>
  <c r="G831" i="37"/>
  <c r="G839" i="37"/>
  <c r="Y802" i="37"/>
  <c r="G869" i="37"/>
  <c r="G845" i="37"/>
  <c r="G958" i="37" s="1"/>
  <c r="Y806" i="37"/>
  <c r="G868" i="37"/>
  <c r="Y805" i="37"/>
  <c r="G833" i="37"/>
  <c r="G835" i="37" s="1"/>
  <c r="G855" i="37"/>
  <c r="G826" i="37"/>
  <c r="AA592" i="37"/>
  <c r="G867" i="37"/>
  <c r="G824" i="37"/>
  <c r="G916" i="37" s="1"/>
  <c r="Y804" i="37"/>
  <c r="G827" i="37"/>
  <c r="G838" i="37"/>
  <c r="G944" i="37" s="1"/>
  <c r="G854" i="37"/>
  <c r="G841" i="37"/>
  <c r="G852" i="37"/>
  <c r="G972" i="37" s="1"/>
  <c r="G853" i="37"/>
  <c r="Y808" i="37"/>
  <c r="AA603" i="37"/>
  <c r="G848" i="37"/>
  <c r="G846" i="37"/>
  <c r="G870" i="37"/>
  <c r="G847" i="37"/>
  <c r="AA615" i="37"/>
  <c r="Z598" i="37"/>
  <c r="AA622" i="37"/>
  <c r="AA604" i="37"/>
  <c r="AA621" i="37"/>
  <c r="Z597" i="37"/>
  <c r="AA616" i="37"/>
  <c r="AA505" i="37"/>
  <c r="AA506" i="37"/>
  <c r="AA552" i="37"/>
  <c r="AA551" i="37"/>
  <c r="AA610" i="37"/>
  <c r="AB511" i="37"/>
  <c r="AB517" i="37"/>
  <c r="AB575" i="37"/>
  <c r="AB500" i="37"/>
  <c r="AB557" i="37"/>
  <c r="AB499" i="37"/>
  <c r="AB535" i="37"/>
  <c r="AB523" i="37"/>
  <c r="AB570" i="37"/>
  <c r="AB569" i="37"/>
  <c r="AB536" i="37"/>
  <c r="AB530" i="37"/>
  <c r="AB524" i="37"/>
  <c r="AB582" i="37"/>
  <c r="AB518" i="37"/>
  <c r="AB546" i="37"/>
  <c r="AB529" i="37"/>
  <c r="AB576" i="37"/>
  <c r="AB545" i="37"/>
  <c r="AB563" i="37"/>
  <c r="AB564" i="37"/>
  <c r="AB558" i="37"/>
  <c r="AB512" i="37"/>
  <c r="AB581" i="37"/>
  <c r="AA609" i="37"/>
  <c r="AA591" i="37"/>
  <c r="AA628" i="37"/>
  <c r="AA627" i="37"/>
  <c r="G756" i="37"/>
  <c r="G816" i="37" s="1"/>
  <c r="G818" i="37" s="1"/>
  <c r="J989" i="51" a="1"/>
  <c r="J989" i="51" s="1"/>
  <c r="H977" i="51"/>
  <c r="H983" i="51" s="1"/>
  <c r="L989" i="51" s="1" a="1"/>
  <c r="L989" i="51" s="1"/>
  <c r="AA385" i="37"/>
  <c r="AA373" i="37"/>
  <c r="AA366" i="37"/>
  <c r="AA361" i="37"/>
  <c r="FL33" i="28"/>
  <c r="AA391" i="37"/>
  <c r="AA390" i="37"/>
  <c r="AA397" i="37"/>
  <c r="AA360" i="37"/>
  <c r="AA379" i="37"/>
  <c r="AA384" i="37"/>
  <c r="AA378" i="37"/>
  <c r="AA372" i="37"/>
  <c r="AA367" i="37"/>
  <c r="I394" i="37"/>
  <c r="AA396" i="37"/>
  <c r="AA607" i="37"/>
  <c r="AD82" i="33"/>
  <c r="AD83" i="33" s="1"/>
  <c r="EH33" i="28"/>
  <c r="EH35" i="28"/>
  <c r="FM35" i="28" s="1"/>
  <c r="AA565" i="37"/>
  <c r="H673" i="37"/>
  <c r="I604" i="37"/>
  <c r="Z587" i="37"/>
  <c r="Z599" i="37"/>
  <c r="H597" i="37"/>
  <c r="I931" i="37"/>
  <c r="AA589" i="37"/>
  <c r="I619" i="37"/>
  <c r="I614" i="37"/>
  <c r="H655" i="37"/>
  <c r="I628" i="37"/>
  <c r="H596" i="37"/>
  <c r="H598" i="37"/>
  <c r="AA601" i="37"/>
  <c r="Y593" i="37"/>
  <c r="AA553" i="37"/>
  <c r="AA381" i="37"/>
  <c r="I367" i="37"/>
  <c r="I973" i="37"/>
  <c r="AF55" i="33"/>
  <c r="AF74" i="33" s="1"/>
  <c r="AF80" i="33" s="1"/>
  <c r="Z623" i="37"/>
  <c r="H661" i="37"/>
  <c r="I360" i="37"/>
  <c r="AA389" i="37"/>
  <c r="I565" i="37"/>
  <c r="I559" i="37"/>
  <c r="I396" i="37"/>
  <c r="AA602" i="37"/>
  <c r="I625" i="37"/>
  <c r="AA608" i="37"/>
  <c r="I592" i="37"/>
  <c r="I945" i="37"/>
  <c r="AV39" i="37"/>
  <c r="I357" i="37"/>
  <c r="I610" i="37"/>
  <c r="H599" i="37"/>
  <c r="AA357" i="37"/>
  <c r="H667" i="37"/>
  <c r="I376" i="37"/>
  <c r="AA613" i="37"/>
  <c r="I589" i="37"/>
  <c r="I608" i="37"/>
  <c r="I959" i="37"/>
  <c r="AV21" i="37"/>
  <c r="Z617" i="37"/>
  <c r="Z547" i="37"/>
  <c r="Z386" i="37"/>
  <c r="H356" i="37"/>
  <c r="Z356" i="37"/>
  <c r="H368" i="37"/>
  <c r="Z392" i="37"/>
  <c r="H392" i="37"/>
  <c r="H144" i="37"/>
  <c r="AB145" i="37"/>
  <c r="AB144" i="37" s="1"/>
  <c r="H617" i="37"/>
  <c r="I905" i="37"/>
  <c r="AA548" i="37"/>
  <c r="I504" i="37"/>
  <c r="I596" i="37" s="1"/>
  <c r="I506" i="37"/>
  <c r="I598" i="37" s="1"/>
  <c r="I503" i="37"/>
  <c r="I595" i="37" s="1"/>
  <c r="AA504" i="37"/>
  <c r="I906" i="37" a="1"/>
  <c r="I906" i="37" s="1"/>
  <c r="AA549" i="37"/>
  <c r="AA550" i="37"/>
  <c r="AA503" i="37"/>
  <c r="I904" i="37" a="1"/>
  <c r="I904" i="37" s="1"/>
  <c r="AA502" i="37"/>
  <c r="I505" i="37"/>
  <c r="I597" i="37" s="1"/>
  <c r="I502" i="37"/>
  <c r="J31" i="37"/>
  <c r="AD111" i="37"/>
  <c r="J111" i="37" s="1"/>
  <c r="J675" i="37" a="1"/>
  <c r="J675" i="37" s="1"/>
  <c r="J164" i="37"/>
  <c r="AD164" i="37" s="1"/>
  <c r="AH43" i="33"/>
  <c r="I973" i="51" s="1"/>
  <c r="I979" i="51" s="1"/>
  <c r="AH46" i="33"/>
  <c r="I976" i="51" s="1"/>
  <c r="I982" i="51" s="1"/>
  <c r="AH44" i="33"/>
  <c r="I974" i="51" s="1"/>
  <c r="I980" i="51" s="1"/>
  <c r="AH45" i="33"/>
  <c r="I975" i="51" s="1"/>
  <c r="I981" i="51" s="1"/>
  <c r="AH47" i="33"/>
  <c r="I591" i="37"/>
  <c r="AD51" i="37"/>
  <c r="AD207" i="37"/>
  <c r="J52" i="37"/>
  <c r="AD209" i="37"/>
  <c r="AD208" i="37"/>
  <c r="J141" i="37"/>
  <c r="AD141" i="37" s="1"/>
  <c r="J652" i="37" a="1"/>
  <c r="J652" i="37" s="1"/>
  <c r="AB151" i="37"/>
  <c r="AB150" i="37" s="1"/>
  <c r="H150" i="37"/>
  <c r="AA541" i="37"/>
  <c r="J670" i="37" a="1"/>
  <c r="J670" i="37" s="1"/>
  <c r="J159" i="37"/>
  <c r="AD159" i="37" s="1"/>
  <c r="AD185" i="37"/>
  <c r="AD15" i="37"/>
  <c r="J16" i="37"/>
  <c r="AD183" i="37"/>
  <c r="AD184" i="37"/>
  <c r="I222" i="37" a="1"/>
  <c r="I222" i="37" s="1"/>
  <c r="I142" i="37"/>
  <c r="AC142" i="37" s="1"/>
  <c r="I653" i="37" a="1"/>
  <c r="I653" i="37" s="1"/>
  <c r="I84" i="37"/>
  <c r="AE71" i="33"/>
  <c r="AE77" i="33" s="1"/>
  <c r="AE56" i="33"/>
  <c r="AE73" i="33"/>
  <c r="AE79" i="33" s="1"/>
  <c r="AE72" i="33"/>
  <c r="AE78" i="33" s="1"/>
  <c r="AE74" i="33"/>
  <c r="AE80" i="33" s="1"/>
  <c r="AA600" i="37"/>
  <c r="AA507" i="37"/>
  <c r="EY33" i="28"/>
  <c r="CZ33" i="28"/>
  <c r="DO33" i="28" s="1"/>
  <c r="BM33" i="28"/>
  <c r="GT33" i="28"/>
  <c r="FM32" i="28"/>
  <c r="J134" i="37"/>
  <c r="AD134" i="37" s="1"/>
  <c r="J645" i="37" a="1"/>
  <c r="J645" i="37" s="1"/>
  <c r="AG51" i="33"/>
  <c r="I397" i="37"/>
  <c r="I372" i="37"/>
  <c r="I200" i="37"/>
  <c r="AA625" i="37"/>
  <c r="I917" i="37"/>
  <c r="AD27" i="37"/>
  <c r="J28" i="37"/>
  <c r="AD191" i="37"/>
  <c r="AD192" i="37"/>
  <c r="AD193" i="37"/>
  <c r="AA358" i="37"/>
  <c r="G888" i="37"/>
  <c r="G814" i="37"/>
  <c r="I73" i="37"/>
  <c r="I21" i="37"/>
  <c r="I62" i="37" s="1"/>
  <c r="I644" i="37" a="1"/>
  <c r="I644" i="37" s="1"/>
  <c r="I133" i="37"/>
  <c r="I213" i="37" a="1"/>
  <c r="I213" i="37" s="1"/>
  <c r="AB157" i="37"/>
  <c r="AB156" i="37" s="1"/>
  <c r="H156" i="37"/>
  <c r="I393" i="37"/>
  <c r="H362" i="37"/>
  <c r="AA369" i="37"/>
  <c r="I889" i="37"/>
  <c r="I588" i="37"/>
  <c r="I495" i="37"/>
  <c r="AA525" i="37"/>
  <c r="AA618" i="37"/>
  <c r="AA577" i="37"/>
  <c r="AA590" i="37"/>
  <c r="J186" i="37" a="1"/>
  <c r="J186" i="37" s="1"/>
  <c r="J187" i="37" a="1"/>
  <c r="J187" i="37" s="1"/>
  <c r="J185" i="37" a="1"/>
  <c r="J185" i="37" s="1"/>
  <c r="J209" i="37" a="1"/>
  <c r="J209" i="37" s="1"/>
  <c r="J201" i="37" a="1"/>
  <c r="J201" i="37" s="1"/>
  <c r="J195" i="37" a="1"/>
  <c r="J195" i="37" s="1"/>
  <c r="J202" i="37" a="1"/>
  <c r="J202" i="37" s="1"/>
  <c r="J189" i="37" a="1"/>
  <c r="J189" i="37" s="1"/>
  <c r="J199" i="37" a="1"/>
  <c r="J199" i="37" s="1"/>
  <c r="J208" i="37" a="1"/>
  <c r="J208" i="37" s="1"/>
  <c r="J217" i="37" a="1"/>
  <c r="J217" i="37" s="1"/>
  <c r="J191" i="37" a="1"/>
  <c r="J191" i="37" s="1"/>
  <c r="J192" i="37" a="1"/>
  <c r="J192" i="37" s="1"/>
  <c r="J198" i="37" a="1"/>
  <c r="J198" i="37" s="1"/>
  <c r="J196" i="37" a="1"/>
  <c r="J196" i="37" s="1"/>
  <c r="J197" i="37" a="1"/>
  <c r="J197" i="37" s="1"/>
  <c r="J215" i="37" a="1"/>
  <c r="J215" i="37" s="1"/>
  <c r="J223" i="37" a="1"/>
  <c r="J223" i="37" s="1"/>
  <c r="J221" i="37" a="1"/>
  <c r="J221" i="37" s="1"/>
  <c r="J183" i="37" a="1"/>
  <c r="J183" i="37" s="1"/>
  <c r="J184" i="37" a="1"/>
  <c r="J184" i="37" s="1"/>
  <c r="J211" i="37" a="1"/>
  <c r="J211" i="37" s="1"/>
  <c r="J190" i="37" a="1"/>
  <c r="J190" i="37" s="1"/>
  <c r="J205" i="37" a="1"/>
  <c r="J205" i="37" s="1"/>
  <c r="J214" i="37" a="1"/>
  <c r="J214" i="37" s="1"/>
  <c r="J220" i="37" a="1"/>
  <c r="J220" i="37" s="1"/>
  <c r="J193" i="37" a="1"/>
  <c r="J193" i="37" s="1"/>
  <c r="J203" i="37" a="1"/>
  <c r="J203" i="37" s="1"/>
  <c r="J204" i="37" a="1"/>
  <c r="J204" i="37" s="1"/>
  <c r="J639" i="37" a="1"/>
  <c r="J639" i="37" s="1"/>
  <c r="J128" i="37"/>
  <c r="AD128" i="37" s="1"/>
  <c r="J678" i="37" a="1"/>
  <c r="J678" i="37" s="1"/>
  <c r="J167" i="37"/>
  <c r="AD167" i="37" s="1"/>
  <c r="AV15" i="37"/>
  <c r="J37" i="37"/>
  <c r="AD112" i="37"/>
  <c r="J112" i="37" s="1"/>
  <c r="H637" i="37"/>
  <c r="H903" i="37"/>
  <c r="I525" i="37"/>
  <c r="I618" i="37"/>
  <c r="J19" i="37"/>
  <c r="J82" i="37" s="1"/>
  <c r="AD109" i="37"/>
  <c r="J109" i="37" s="1"/>
  <c r="J43" i="37"/>
  <c r="AD113" i="37"/>
  <c r="J113" i="37" s="1"/>
  <c r="AD204" i="37"/>
  <c r="AD203" i="37"/>
  <c r="AD205" i="37"/>
  <c r="AD45" i="37"/>
  <c r="J46" i="37"/>
  <c r="AA559" i="37"/>
  <c r="I541" i="37"/>
  <c r="H643" i="37"/>
  <c r="J664" i="37" a="1"/>
  <c r="J664" i="37" s="1"/>
  <c r="J153" i="37"/>
  <c r="AD153" i="37" s="1"/>
  <c r="J933" i="37"/>
  <c r="J518" i="37"/>
  <c r="J524" i="37"/>
  <c r="J498" i="37"/>
  <c r="J544" i="37"/>
  <c r="J509" i="37"/>
  <c r="J579" i="37"/>
  <c r="J497" i="37"/>
  <c r="J542" i="37"/>
  <c r="J508" i="37"/>
  <c r="AB521" i="37"/>
  <c r="AB567" i="37"/>
  <c r="AB561" i="37"/>
  <c r="AB528" i="37"/>
  <c r="AB544" i="37"/>
  <c r="AB514" i="37"/>
  <c r="AB578" i="37"/>
  <c r="J962" i="37" a="1"/>
  <c r="J962" i="37" s="1"/>
  <c r="J516" i="37"/>
  <c r="J554" i="37"/>
  <c r="AB533" i="37"/>
  <c r="AB497" i="37"/>
  <c r="J499" i="37"/>
  <c r="J500" i="37"/>
  <c r="J581" i="37"/>
  <c r="AB534" i="37"/>
  <c r="AB566" i="37"/>
  <c r="DN33" i="28"/>
  <c r="J552" i="37"/>
  <c r="J545" i="37"/>
  <c r="J528" i="37"/>
  <c r="J563" i="37"/>
  <c r="J534" i="37"/>
  <c r="J517" i="37"/>
  <c r="J530" i="37"/>
  <c r="J934" i="37" a="1"/>
  <c r="J934" i="37" s="1"/>
  <c r="J532" i="37"/>
  <c r="J520" i="37"/>
  <c r="AB510" i="37"/>
  <c r="AB509" i="37"/>
  <c r="AB580" i="37"/>
  <c r="AB520" i="37"/>
  <c r="J947" i="37"/>
  <c r="J564" i="37"/>
  <c r="J576" i="37"/>
  <c r="J527" i="37"/>
  <c r="J920" i="37" a="1"/>
  <c r="J920" i="37" s="1"/>
  <c r="AB556" i="37"/>
  <c r="AB496" i="37"/>
  <c r="J568" i="37"/>
  <c r="J533" i="37"/>
  <c r="J551" i="37"/>
  <c r="J561" i="37"/>
  <c r="J566" i="37"/>
  <c r="AB508" i="37"/>
  <c r="J974" i="37" a="1"/>
  <c r="J974" i="37" s="1"/>
  <c r="J512" i="37"/>
  <c r="J569" i="37"/>
  <c r="J529" i="37"/>
  <c r="J578" i="37"/>
  <c r="AB522" i="37"/>
  <c r="J918" i="37" a="1"/>
  <c r="J918" i="37" s="1"/>
  <c r="J522" i="37"/>
  <c r="J550" i="37"/>
  <c r="J575" i="37"/>
  <c r="J548" i="37"/>
  <c r="J496" i="37"/>
  <c r="AB543" i="37"/>
  <c r="J946" i="37" a="1"/>
  <c r="J946" i="37" s="1"/>
  <c r="J948" i="37" a="1"/>
  <c r="J948" i="37" s="1"/>
  <c r="J891" i="37"/>
  <c r="AB527" i="37"/>
  <c r="J562" i="37"/>
  <c r="J892" i="37" a="1"/>
  <c r="J892" i="37" s="1"/>
  <c r="J526" i="37"/>
  <c r="AB515" i="37"/>
  <c r="AB574" i="37"/>
  <c r="J511" i="37"/>
  <c r="J536" i="37"/>
  <c r="J515" i="37"/>
  <c r="AB568" i="37"/>
  <c r="AB554" i="37"/>
  <c r="J890" i="37" a="1"/>
  <c r="J890" i="37" s="1"/>
  <c r="AB562" i="37"/>
  <c r="AB572" i="37"/>
  <c r="J573" i="37"/>
  <c r="J535" i="37"/>
  <c r="AB555" i="37"/>
  <c r="J567" i="37"/>
  <c r="J919" i="37"/>
  <c r="J543" i="37"/>
  <c r="J514" i="37"/>
  <c r="J558" i="37"/>
  <c r="AB516" i="37"/>
  <c r="AB542" i="37"/>
  <c r="J932" i="37" a="1"/>
  <c r="J932" i="37" s="1"/>
  <c r="J556" i="37"/>
  <c r="J580" i="37"/>
  <c r="J510" i="37"/>
  <c r="AB498" i="37"/>
  <c r="AB560" i="37"/>
  <c r="J574" i="37"/>
  <c r="J570" i="37"/>
  <c r="J546" i="37"/>
  <c r="AB532" i="37"/>
  <c r="J582" i="37"/>
  <c r="J975" i="37"/>
  <c r="J961" i="37"/>
  <c r="AB526" i="37"/>
  <c r="J557" i="37"/>
  <c r="J976" i="37" a="1"/>
  <c r="J976" i="37" s="1"/>
  <c r="AB579" i="37"/>
  <c r="J960" i="37" a="1"/>
  <c r="J960" i="37" s="1"/>
  <c r="J521" i="37"/>
  <c r="J560" i="37"/>
  <c r="J523" i="37"/>
  <c r="J572" i="37"/>
  <c r="J549" i="37"/>
  <c r="AB573" i="37"/>
  <c r="J555" i="37"/>
  <c r="J137" i="37"/>
  <c r="AD137" i="37" s="1"/>
  <c r="J648" i="37" a="1"/>
  <c r="J648" i="37" s="1"/>
  <c r="I207" i="37" a="1"/>
  <c r="I207" i="37" s="1"/>
  <c r="I206" i="37" s="1"/>
  <c r="I127" i="37"/>
  <c r="AC127" i="37" s="1"/>
  <c r="I638" i="37" a="1"/>
  <c r="I638" i="37" s="1"/>
  <c r="I15" i="37"/>
  <c r="I61" i="37" s="1"/>
  <c r="I786" i="37"/>
  <c r="I785" i="37" s="1"/>
  <c r="I784" i="37" s="1"/>
  <c r="Z380" i="37"/>
  <c r="I915" i="37" a="1"/>
  <c r="I915" i="37" s="1"/>
  <c r="Z605" i="37"/>
  <c r="I627" i="37"/>
  <c r="J129" i="37"/>
  <c r="AD129" i="37" s="1"/>
  <c r="J640" i="37" a="1"/>
  <c r="J640" i="37" s="1"/>
  <c r="AG52" i="33"/>
  <c r="H594" i="37"/>
  <c r="H501" i="37"/>
  <c r="AA394" i="37"/>
  <c r="AA376" i="37"/>
  <c r="I83" i="37"/>
  <c r="I136" i="37"/>
  <c r="AC136" i="37" s="1"/>
  <c r="I647" i="37" a="1"/>
  <c r="I647" i="37" s="1"/>
  <c r="I216" i="37" a="1"/>
  <c r="I216" i="37" s="1"/>
  <c r="I601" i="37"/>
  <c r="I571" i="37"/>
  <c r="J135" i="37"/>
  <c r="AD135" i="37" s="1"/>
  <c r="J646" i="37" a="1"/>
  <c r="J646" i="37" s="1"/>
  <c r="I77" i="37"/>
  <c r="I45" i="37"/>
  <c r="I66" i="37" s="1"/>
  <c r="I668" i="37" a="1"/>
  <c r="I668" i="37" s="1"/>
  <c r="I157" i="37"/>
  <c r="I677" i="37" a="1"/>
  <c r="I677" i="37" s="1"/>
  <c r="I166" i="37"/>
  <c r="AC166" i="37" s="1"/>
  <c r="G930" i="37"/>
  <c r="Z368" i="37"/>
  <c r="I182" i="37"/>
  <c r="I547" i="37"/>
  <c r="I620" i="37"/>
  <c r="J25" i="37"/>
  <c r="J83" i="37" s="1"/>
  <c r="AD110" i="37"/>
  <c r="J110" i="37" s="1"/>
  <c r="J155" i="37"/>
  <c r="AD155" i="37" s="1"/>
  <c r="J666" i="37" a="1"/>
  <c r="J666" i="37" s="1"/>
  <c r="J783" i="37"/>
  <c r="J787" i="37"/>
  <c r="J791" i="37"/>
  <c r="J795" i="37"/>
  <c r="J779" i="37"/>
  <c r="J771" i="37"/>
  <c r="J775" i="37"/>
  <c r="I88" i="37"/>
  <c r="AG50" i="33"/>
  <c r="I665" i="37" a="1"/>
  <c r="I665" i="37" s="1"/>
  <c r="I86" i="37"/>
  <c r="I154" i="37"/>
  <c r="AC154" i="37" s="1"/>
  <c r="Z596" i="37"/>
  <c r="I385" i="37"/>
  <c r="G819" i="37"/>
  <c r="G866" i="37"/>
  <c r="I219" i="37" a="1"/>
  <c r="I219" i="37" s="1"/>
  <c r="I74" i="37"/>
  <c r="I27" i="37"/>
  <c r="I63" i="37" s="1"/>
  <c r="I139" i="37"/>
  <c r="I650" i="37" a="1"/>
  <c r="I650" i="37" s="1"/>
  <c r="I794" i="37"/>
  <c r="I793" i="37" s="1"/>
  <c r="I792" i="37" s="1"/>
  <c r="H374" i="37"/>
  <c r="H380" i="37"/>
  <c r="H605" i="37"/>
  <c r="Z611" i="37"/>
  <c r="AJ33" i="33"/>
  <c r="AI211" i="33"/>
  <c r="AI217" i="33" s="1"/>
  <c r="AI213" i="33"/>
  <c r="AI234" i="33"/>
  <c r="AI240" i="33" s="1"/>
  <c r="AI98" i="33"/>
  <c r="AI165" i="33"/>
  <c r="AI171" i="33" s="1"/>
  <c r="AI94" i="33"/>
  <c r="AI212" i="33"/>
  <c r="AI218" i="33" s="1"/>
  <c r="AI186" i="33"/>
  <c r="AI119" i="33"/>
  <c r="AI125" i="33" s="1"/>
  <c r="AI117" i="33"/>
  <c r="AI118" i="33"/>
  <c r="AI124" i="33" s="1"/>
  <c r="AI210" i="33"/>
  <c r="AI216" i="33" s="1"/>
  <c r="AI95" i="33"/>
  <c r="AI101" i="33" s="1"/>
  <c r="AI163" i="33"/>
  <c r="AI188" i="33"/>
  <c r="AI194" i="33" s="1"/>
  <c r="AI120" i="33"/>
  <c r="AI126" i="33" s="1"/>
  <c r="AI166" i="33"/>
  <c r="AI172" i="33" s="1"/>
  <c r="AI141" i="33"/>
  <c r="AI147" i="33" s="1"/>
  <c r="AI209" i="33"/>
  <c r="AI233" i="33"/>
  <c r="AI239" i="33" s="1"/>
  <c r="AI189" i="33"/>
  <c r="AI195" i="33" s="1"/>
  <c r="AI167" i="33"/>
  <c r="AI232" i="33"/>
  <c r="AI121" i="33"/>
  <c r="AI41" i="33"/>
  <c r="AI144" i="33"/>
  <c r="AI236" i="33"/>
  <c r="AI164" i="33"/>
  <c r="AI170" i="33" s="1"/>
  <c r="AI140" i="33"/>
  <c r="AI190" i="33"/>
  <c r="AI142" i="33"/>
  <c r="AI148" i="33" s="1"/>
  <c r="AI187" i="33"/>
  <c r="AI193" i="33" s="1"/>
  <c r="AI235" i="33"/>
  <c r="AI241" i="33" s="1"/>
  <c r="AI143" i="33"/>
  <c r="AI149" i="33" s="1"/>
  <c r="AI97" i="33"/>
  <c r="AI103" i="33" s="1"/>
  <c r="AI96" i="33"/>
  <c r="AI102" i="33" s="1"/>
  <c r="AA388" i="37"/>
  <c r="I609" i="37"/>
  <c r="I519" i="37"/>
  <c r="I612" i="37"/>
  <c r="AA571" i="37"/>
  <c r="I513" i="37"/>
  <c r="I606" i="37"/>
  <c r="I603" i="37"/>
  <c r="I626" i="37"/>
  <c r="AA513" i="37"/>
  <c r="AA606" i="37"/>
  <c r="I507" i="37"/>
  <c r="I600" i="37"/>
  <c r="I616" i="37"/>
  <c r="H212" i="37"/>
  <c r="AV33" i="37"/>
  <c r="J658" i="37" a="1"/>
  <c r="J658" i="37" s="1"/>
  <c r="J147" i="37"/>
  <c r="AD147" i="37" s="1"/>
  <c r="AV45" i="37"/>
  <c r="AG49" i="33"/>
  <c r="H611" i="37"/>
  <c r="Z595" i="37"/>
  <c r="H547" i="37"/>
  <c r="AB139" i="37"/>
  <c r="AB138" i="37" s="1"/>
  <c r="H138" i="37"/>
  <c r="J676" i="37" a="1"/>
  <c r="J676" i="37" s="1"/>
  <c r="J165" i="37"/>
  <c r="AD165" i="37" s="1"/>
  <c r="AD39" i="37"/>
  <c r="AD201" i="37"/>
  <c r="J40" i="37"/>
  <c r="AD200" i="37"/>
  <c r="AD199" i="37"/>
  <c r="I577" i="37"/>
  <c r="J34" i="37"/>
  <c r="AD196" i="37"/>
  <c r="AD33" i="37"/>
  <c r="AD197" i="37"/>
  <c r="AD195" i="37"/>
  <c r="J49" i="37"/>
  <c r="AD114" i="37"/>
  <c r="J114" i="37" s="1"/>
  <c r="J161" i="37"/>
  <c r="AD161" i="37" s="1"/>
  <c r="J672" i="37" a="1"/>
  <c r="J672" i="37" s="1"/>
  <c r="I87" i="37"/>
  <c r="I160" i="37"/>
  <c r="AC160" i="37" s="1"/>
  <c r="I671" i="37" a="1"/>
  <c r="I671" i="37" s="1"/>
  <c r="FL31" i="28"/>
  <c r="AA395" i="37"/>
  <c r="I971" i="37" a="1"/>
  <c r="I971" i="37" s="1"/>
  <c r="AA363" i="37"/>
  <c r="I373" i="37"/>
  <c r="I782" i="37"/>
  <c r="I781" i="37" s="1"/>
  <c r="I780" i="37" s="1"/>
  <c r="I378" i="37"/>
  <c r="I358" i="37"/>
  <c r="I770" i="37"/>
  <c r="I769" i="37" s="1"/>
  <c r="I768" i="37" s="1"/>
  <c r="I778" i="37"/>
  <c r="I777" i="37" s="1"/>
  <c r="I776" i="37" s="1"/>
  <c r="AA371" i="37"/>
  <c r="I929" i="37" a="1"/>
  <c r="I929" i="37" s="1"/>
  <c r="I391" i="37"/>
  <c r="I363" i="37"/>
  <c r="I387" i="37"/>
  <c r="I366" i="37"/>
  <c r="I375" i="37"/>
  <c r="I388" i="37"/>
  <c r="AA382" i="37"/>
  <c r="I395" i="37"/>
  <c r="AA377" i="37"/>
  <c r="I364" i="37"/>
  <c r="I381" i="37"/>
  <c r="AA365" i="37"/>
  <c r="AA359" i="37"/>
  <c r="AA383" i="37"/>
  <c r="I790" i="37"/>
  <c r="I789" i="37" s="1"/>
  <c r="I788" i="37" s="1"/>
  <c r="I774" i="37"/>
  <c r="I773" i="37" s="1"/>
  <c r="I772" i="37" s="1"/>
  <c r="I390" i="37"/>
  <c r="I361" i="37"/>
  <c r="AA370" i="37"/>
  <c r="I384" i="37"/>
  <c r="I377" i="37"/>
  <c r="AA375" i="37"/>
  <c r="AA393" i="37"/>
  <c r="AA364" i="37"/>
  <c r="I379" i="37"/>
  <c r="I359" i="37"/>
  <c r="I901" i="37" a="1"/>
  <c r="I901" i="37" s="1"/>
  <c r="I365" i="37"/>
  <c r="I371" i="37"/>
  <c r="I389" i="37"/>
  <c r="I369" i="37"/>
  <c r="I383" i="37"/>
  <c r="I370" i="37"/>
  <c r="Z362" i="37"/>
  <c r="I194" i="37"/>
  <c r="I607" i="37"/>
  <c r="I82" i="37"/>
  <c r="I641" i="37" a="1"/>
  <c r="I641" i="37" s="1"/>
  <c r="I130" i="37"/>
  <c r="AC130" i="37" s="1"/>
  <c r="H132" i="37"/>
  <c r="AB133" i="37"/>
  <c r="AB132" i="37" s="1"/>
  <c r="J55" i="37"/>
  <c r="AD115" i="37"/>
  <c r="J115" i="37" s="1"/>
  <c r="J663" i="37" a="1"/>
  <c r="J663" i="37" s="1"/>
  <c r="J152" i="37"/>
  <c r="AD152" i="37" s="1"/>
  <c r="AV51" i="37"/>
  <c r="I957" i="37" a="1"/>
  <c r="I957" i="37" s="1"/>
  <c r="H386" i="37"/>
  <c r="I590" i="37"/>
  <c r="I613" i="37"/>
  <c r="J131" i="37"/>
  <c r="AD131" i="37" s="1"/>
  <c r="J642" i="37" a="1"/>
  <c r="J642" i="37" s="1"/>
  <c r="Z374" i="37"/>
  <c r="I76" i="37"/>
  <c r="I662" i="37" a="1"/>
  <c r="I662" i="37" s="1"/>
  <c r="I39" i="37"/>
  <c r="I65" i="37" s="1"/>
  <c r="I151" i="37"/>
  <c r="H623" i="37"/>
  <c r="Z594" i="37"/>
  <c r="Z501" i="37"/>
  <c r="I382" i="37"/>
  <c r="I188" i="37"/>
  <c r="AA495" i="37"/>
  <c r="AA588" i="37"/>
  <c r="AA612" i="37"/>
  <c r="AA519" i="37"/>
  <c r="AA619" i="37"/>
  <c r="J158" i="37"/>
  <c r="AD158" i="37" s="1"/>
  <c r="J669" i="37" a="1"/>
  <c r="J669" i="37" s="1"/>
  <c r="AV27" i="37"/>
  <c r="I887" i="37" a="1"/>
  <c r="I887" i="37" s="1"/>
  <c r="I78" i="37"/>
  <c r="I51" i="37"/>
  <c r="I67" i="37" s="1"/>
  <c r="I163" i="37"/>
  <c r="I674" i="37" a="1"/>
  <c r="I674" i="37" s="1"/>
  <c r="AB163" i="37"/>
  <c r="AB162" i="37" s="1"/>
  <c r="H162" i="37"/>
  <c r="G593" i="37"/>
  <c r="I75" i="37"/>
  <c r="I33" i="37"/>
  <c r="I64" i="37" s="1"/>
  <c r="I145" i="37"/>
  <c r="I656" i="37" a="1"/>
  <c r="I656" i="37" s="1"/>
  <c r="H649" i="37"/>
  <c r="I943" i="37" a="1"/>
  <c r="I943" i="37" s="1"/>
  <c r="H587" i="37"/>
  <c r="I85" i="37"/>
  <c r="I659" i="37" a="1"/>
  <c r="I659" i="37" s="1"/>
  <c r="I148" i="37"/>
  <c r="AC148" i="37" s="1"/>
  <c r="AA387" i="37"/>
  <c r="I553" i="37"/>
  <c r="I531" i="37"/>
  <c r="I624" i="37"/>
  <c r="AA614" i="37"/>
  <c r="AA620" i="37"/>
  <c r="AA624" i="37"/>
  <c r="AA531" i="37"/>
  <c r="I615" i="37"/>
  <c r="AA626" i="37"/>
  <c r="J146" i="37"/>
  <c r="AD146" i="37" s="1"/>
  <c r="J657" i="37" a="1"/>
  <c r="J657" i="37" s="1"/>
  <c r="J651" i="37" a="1"/>
  <c r="J651" i="37" s="1"/>
  <c r="J140" i="37"/>
  <c r="AD140" i="37" s="1"/>
  <c r="J22" i="37"/>
  <c r="AD21" i="37"/>
  <c r="AD187" i="37"/>
  <c r="AD189" i="37"/>
  <c r="AD188" i="37"/>
  <c r="J149" i="37"/>
  <c r="AD149" i="37" s="1"/>
  <c r="J660" i="37" a="1"/>
  <c r="J660" i="37" s="1"/>
  <c r="J143" i="37"/>
  <c r="AD143" i="37" s="1"/>
  <c r="J654" i="37" a="1"/>
  <c r="J654" i="37" s="1"/>
  <c r="I72" i="37"/>
  <c r="H595" i="37"/>
  <c r="AV60" i="28"/>
  <c r="BG60" i="28" s="1"/>
  <c r="G817" i="37" l="1"/>
  <c r="Y803" i="37"/>
  <c r="G820" i="37"/>
  <c r="G828" i="37"/>
  <c r="G842" i="37"/>
  <c r="G856" i="37"/>
  <c r="G849" i="37"/>
  <c r="AB621" i="37"/>
  <c r="AB616" i="37"/>
  <c r="AB592" i="37"/>
  <c r="AB591" i="37"/>
  <c r="AB604" i="37"/>
  <c r="AB610" i="37"/>
  <c r="AB627" i="37"/>
  <c r="AB505" i="37"/>
  <c r="AB552" i="37"/>
  <c r="AB551" i="37"/>
  <c r="AB506" i="37"/>
  <c r="AA598" i="37"/>
  <c r="AB622" i="37"/>
  <c r="AA597" i="37"/>
  <c r="AB372" i="37"/>
  <c r="AB628" i="37"/>
  <c r="AB609" i="37"/>
  <c r="AB603" i="37"/>
  <c r="AB615" i="37"/>
  <c r="H984" i="51"/>
  <c r="H985" i="51" s="1"/>
  <c r="H760" i="37"/>
  <c r="H844" i="37" s="1"/>
  <c r="H850" i="37" s="1"/>
  <c r="H755" i="37"/>
  <c r="H809" i="37" s="1"/>
  <c r="H810" i="37" s="1"/>
  <c r="I977" i="51"/>
  <c r="I983" i="51" s="1"/>
  <c r="I984" i="51" s="1"/>
  <c r="H759" i="37"/>
  <c r="H837" i="37" s="1"/>
  <c r="H840" i="37" s="1"/>
  <c r="H761" i="37"/>
  <c r="H851" i="37" s="1"/>
  <c r="H857" i="37" s="1"/>
  <c r="H758" i="37"/>
  <c r="H830" i="37" s="1"/>
  <c r="Z805" i="37" s="1"/>
  <c r="H757" i="37"/>
  <c r="H823" i="37" s="1"/>
  <c r="H825" i="37" s="1"/>
  <c r="AB396" i="37"/>
  <c r="AB373" i="37"/>
  <c r="AB385" i="37"/>
  <c r="AB390" i="37"/>
  <c r="AB391" i="37"/>
  <c r="FM33" i="28"/>
  <c r="AB366" i="37"/>
  <c r="AB360" i="37"/>
  <c r="AB361" i="37"/>
  <c r="AB378" i="37"/>
  <c r="AB379" i="37"/>
  <c r="AB384" i="37"/>
  <c r="AB397" i="37"/>
  <c r="AB367" i="37"/>
  <c r="AF73" i="33"/>
  <c r="AF79" i="33" s="1"/>
  <c r="J370" i="37"/>
  <c r="J929" i="37" a="1"/>
  <c r="J929" i="37" s="1"/>
  <c r="AB376" i="37"/>
  <c r="AB608" i="37"/>
  <c r="I673" i="37"/>
  <c r="AB559" i="37"/>
  <c r="AA611" i="37"/>
  <c r="J602" i="37"/>
  <c r="J621" i="37"/>
  <c r="AB565" i="37"/>
  <c r="J608" i="37"/>
  <c r="AB613" i="37"/>
  <c r="J182" i="37"/>
  <c r="J613" i="37"/>
  <c r="AB553" i="37"/>
  <c r="J609" i="37"/>
  <c r="J610" i="37"/>
  <c r="I605" i="37"/>
  <c r="AB541" i="37"/>
  <c r="AA599" i="37"/>
  <c r="AA596" i="37"/>
  <c r="Z593" i="37"/>
  <c r="AB590" i="37"/>
  <c r="AB607" i="37"/>
  <c r="J369" i="37"/>
  <c r="AF56" i="33"/>
  <c r="AF72" i="33"/>
  <c r="AF78" i="33" s="1"/>
  <c r="AF70" i="33"/>
  <c r="AF76" i="33" s="1"/>
  <c r="AA605" i="37"/>
  <c r="J559" i="37"/>
  <c r="J889" i="37"/>
  <c r="J625" i="37"/>
  <c r="J622" i="37"/>
  <c r="J616" i="37"/>
  <c r="AA623" i="37"/>
  <c r="AA587" i="37"/>
  <c r="I218" i="37"/>
  <c r="J547" i="37"/>
  <c r="AB626" i="37"/>
  <c r="I587" i="37"/>
  <c r="H593" i="37"/>
  <c r="J604" i="37"/>
  <c r="AE82" i="33"/>
  <c r="AE83" i="33" s="1"/>
  <c r="I661" i="37"/>
  <c r="J607" i="37"/>
  <c r="AB619" i="37"/>
  <c r="AF71" i="33"/>
  <c r="AF77" i="33" s="1"/>
  <c r="AA356" i="37"/>
  <c r="AA380" i="37"/>
  <c r="AA392" i="37"/>
  <c r="I356" i="37"/>
  <c r="I755" i="37" s="1"/>
  <c r="I809" i="37" s="1"/>
  <c r="AA802" i="37" s="1"/>
  <c r="I212" i="37"/>
  <c r="J943" i="37" a="1"/>
  <c r="J943" i="37" s="1"/>
  <c r="AB381" i="37"/>
  <c r="AB612" i="37"/>
  <c r="AB519" i="37"/>
  <c r="AB395" i="37"/>
  <c r="AG55" i="33"/>
  <c r="J373" i="37"/>
  <c r="J396" i="37"/>
  <c r="I501" i="37"/>
  <c r="I594" i="37"/>
  <c r="I593" i="37" s="1"/>
  <c r="J973" i="37"/>
  <c r="J592" i="37"/>
  <c r="AA368" i="37"/>
  <c r="J363" i="37"/>
  <c r="I150" i="37"/>
  <c r="AC151" i="37"/>
  <c r="AC150" i="37" s="1"/>
  <c r="I374" i="37"/>
  <c r="I758" i="37" s="1"/>
  <c r="I830" i="37" s="1"/>
  <c r="J671" i="37" a="1"/>
  <c r="J671" i="37" s="1"/>
  <c r="J160" i="37"/>
  <c r="AD160" i="37" s="1"/>
  <c r="I599" i="37"/>
  <c r="AI43" i="33"/>
  <c r="J973" i="51" s="1"/>
  <c r="J979" i="51" s="1"/>
  <c r="AI46" i="33"/>
  <c r="J976" i="51" s="1"/>
  <c r="J982" i="51" s="1"/>
  <c r="AI45" i="33"/>
  <c r="J975" i="51" s="1"/>
  <c r="J981" i="51" s="1"/>
  <c r="AI44" i="33"/>
  <c r="J974" i="51" s="1"/>
  <c r="J980" i="51" s="1"/>
  <c r="AI47" i="33"/>
  <c r="I138" i="37"/>
  <c r="AC139" i="37"/>
  <c r="AC138" i="37" s="1"/>
  <c r="J378" i="37"/>
  <c r="I156" i="37"/>
  <c r="AC157" i="37"/>
  <c r="AC156" i="37" s="1"/>
  <c r="J627" i="37"/>
  <c r="J628" i="37"/>
  <c r="J614" i="37"/>
  <c r="AB600" i="37"/>
  <c r="AB507" i="37"/>
  <c r="AB602" i="37"/>
  <c r="J620" i="37"/>
  <c r="J591" i="37"/>
  <c r="I617" i="37"/>
  <c r="J188" i="37"/>
  <c r="H756" i="37"/>
  <c r="H816" i="37" s="1"/>
  <c r="J397" i="37"/>
  <c r="J78" i="37"/>
  <c r="J51" i="37"/>
  <c r="J67" i="37" s="1"/>
  <c r="J163" i="37"/>
  <c r="J674" i="37" a="1"/>
  <c r="J674" i="37" s="1"/>
  <c r="AH49" i="33"/>
  <c r="AA594" i="37"/>
  <c r="AA501" i="37"/>
  <c r="J383" i="37"/>
  <c r="J394" i="37"/>
  <c r="AB388" i="37"/>
  <c r="AA362" i="37"/>
  <c r="J75" i="37"/>
  <c r="J145" i="37"/>
  <c r="J33" i="37"/>
  <c r="J64" i="37" s="1"/>
  <c r="J656" i="37" a="1"/>
  <c r="J656" i="37" s="1"/>
  <c r="J957" i="37" a="1"/>
  <c r="J957" i="37" s="1"/>
  <c r="J507" i="37"/>
  <c r="J600" i="37"/>
  <c r="I623" i="37"/>
  <c r="J770" i="37"/>
  <c r="J769" i="37" s="1"/>
  <c r="J768" i="37" s="1"/>
  <c r="AB531" i="37"/>
  <c r="AB624" i="37"/>
  <c r="J541" i="37"/>
  <c r="I643" i="37"/>
  <c r="J774" i="37"/>
  <c r="J773" i="37" s="1"/>
  <c r="J772" i="37" s="1"/>
  <c r="J377" i="37"/>
  <c r="AB601" i="37"/>
  <c r="AB606" i="37"/>
  <c r="AB513" i="37"/>
  <c r="J360" i="37"/>
  <c r="I655" i="37"/>
  <c r="AC163" i="37"/>
  <c r="AC162" i="37" s="1"/>
  <c r="I162" i="37"/>
  <c r="AA386" i="37"/>
  <c r="AC145" i="37"/>
  <c r="AC144" i="37" s="1"/>
  <c r="I144" i="37"/>
  <c r="AB370" i="37"/>
  <c r="J358" i="37"/>
  <c r="J39" i="37"/>
  <c r="J65" i="37" s="1"/>
  <c r="J76" i="37"/>
  <c r="J151" i="37"/>
  <c r="J662" i="37" a="1"/>
  <c r="J662" i="37" s="1"/>
  <c r="I611" i="37"/>
  <c r="AK33" i="33"/>
  <c r="AJ142" i="33"/>
  <c r="AJ148" i="33" s="1"/>
  <c r="AJ235" i="33"/>
  <c r="AJ241" i="33" s="1"/>
  <c r="AJ41" i="33"/>
  <c r="AJ98" i="33"/>
  <c r="AJ97" i="33"/>
  <c r="AJ103" i="33" s="1"/>
  <c r="AJ119" i="33"/>
  <c r="AJ125" i="33" s="1"/>
  <c r="AJ118" i="33"/>
  <c r="AJ124" i="33" s="1"/>
  <c r="AJ141" i="33"/>
  <c r="AJ147" i="33" s="1"/>
  <c r="AJ143" i="33"/>
  <c r="AJ149" i="33" s="1"/>
  <c r="AJ232" i="33"/>
  <c r="AJ163" i="33"/>
  <c r="AJ140" i="33"/>
  <c r="AJ166" i="33"/>
  <c r="AJ172" i="33" s="1"/>
  <c r="AJ121" i="33"/>
  <c r="AJ187" i="33"/>
  <c r="AJ193" i="33" s="1"/>
  <c r="AJ164" i="33"/>
  <c r="AJ170" i="33" s="1"/>
  <c r="AJ190" i="33"/>
  <c r="AJ165" i="33"/>
  <c r="AJ171" i="33" s="1"/>
  <c r="AJ210" i="33"/>
  <c r="AJ216" i="33" s="1"/>
  <c r="AJ95" i="33"/>
  <c r="AJ101" i="33" s="1"/>
  <c r="AJ212" i="33"/>
  <c r="AJ218" i="33" s="1"/>
  <c r="AJ94" i="33"/>
  <c r="AJ233" i="33"/>
  <c r="AJ239" i="33" s="1"/>
  <c r="AJ188" i="33"/>
  <c r="AJ194" i="33" s="1"/>
  <c r="AJ167" i="33"/>
  <c r="AJ117" i="33"/>
  <c r="AJ234" i="33"/>
  <c r="AJ240" i="33" s="1"/>
  <c r="AJ209" i="33"/>
  <c r="AJ144" i="33"/>
  <c r="AJ211" i="33"/>
  <c r="AJ217" i="33" s="1"/>
  <c r="AJ236" i="33"/>
  <c r="AJ189" i="33"/>
  <c r="AJ195" i="33" s="1"/>
  <c r="AJ120" i="33"/>
  <c r="AJ126" i="33" s="1"/>
  <c r="AJ213" i="33"/>
  <c r="AJ96" i="33"/>
  <c r="AJ102" i="33" s="1"/>
  <c r="AJ186" i="33"/>
  <c r="J357" i="37"/>
  <c r="I667" i="37"/>
  <c r="I637" i="37"/>
  <c r="J603" i="37"/>
  <c r="J917" i="37"/>
  <c r="J565" i="37"/>
  <c r="J619" i="37"/>
  <c r="J612" i="37"/>
  <c r="J519" i="37"/>
  <c r="AB589" i="37"/>
  <c r="AB620" i="37"/>
  <c r="J601" i="37"/>
  <c r="I392" i="37"/>
  <c r="I761" i="37" s="1"/>
  <c r="I851" i="37" s="1"/>
  <c r="J887" i="37" a="1"/>
  <c r="J887" i="37" s="1"/>
  <c r="J376" i="37"/>
  <c r="FM31" i="28"/>
  <c r="J385" i="37"/>
  <c r="J915" i="37" a="1"/>
  <c r="J915" i="37" s="1"/>
  <c r="AB382" i="37"/>
  <c r="J375" i="37"/>
  <c r="J790" i="37"/>
  <c r="J789" i="37" s="1"/>
  <c r="J788" i="37" s="1"/>
  <c r="AB357" i="37"/>
  <c r="J364" i="37"/>
  <c r="AB358" i="37"/>
  <c r="AB359" i="37"/>
  <c r="AB369" i="37"/>
  <c r="J367" i="37"/>
  <c r="J366" i="37"/>
  <c r="J393" i="37"/>
  <c r="AB365" i="37"/>
  <c r="J387" i="37"/>
  <c r="AB387" i="37"/>
  <c r="J382" i="37"/>
  <c r="J782" i="37"/>
  <c r="J781" i="37" s="1"/>
  <c r="J780" i="37" s="1"/>
  <c r="AB394" i="37"/>
  <c r="J372" i="37"/>
  <c r="J381" i="37"/>
  <c r="J786" i="37"/>
  <c r="J785" i="37" s="1"/>
  <c r="J784" i="37" s="1"/>
  <c r="J971" i="37" a="1"/>
  <c r="J971" i="37" s="1"/>
  <c r="AB364" i="37"/>
  <c r="J395" i="37"/>
  <c r="AB393" i="37"/>
  <c r="I903" i="37"/>
  <c r="J525" i="37"/>
  <c r="J618" i="37"/>
  <c r="AB375" i="37"/>
  <c r="AB383" i="37"/>
  <c r="AB377" i="37"/>
  <c r="J86" i="37"/>
  <c r="J154" i="37"/>
  <c r="AD154" i="37" s="1"/>
  <c r="J665" i="37" a="1"/>
  <c r="J665" i="37" s="1"/>
  <c r="J85" i="37"/>
  <c r="J659" i="37" a="1"/>
  <c r="J659" i="37" s="1"/>
  <c r="J148" i="37"/>
  <c r="AD148" i="37" s="1"/>
  <c r="AH51" i="33"/>
  <c r="I368" i="37"/>
  <c r="I757" i="37" s="1"/>
  <c r="I823" i="37" s="1"/>
  <c r="G902" i="37"/>
  <c r="G821" i="37"/>
  <c r="J626" i="37"/>
  <c r="J794" i="37"/>
  <c r="J793" i="37" s="1"/>
  <c r="J792" i="37" s="1"/>
  <c r="AA374" i="37"/>
  <c r="J379" i="37"/>
  <c r="J589" i="37"/>
  <c r="J77" i="37"/>
  <c r="J668" i="37" a="1"/>
  <c r="J668" i="37" s="1"/>
  <c r="J45" i="37"/>
  <c r="J66" i="37" s="1"/>
  <c r="J157" i="37"/>
  <c r="J210" i="37" a="1"/>
  <c r="J210" i="37" s="1"/>
  <c r="J641" i="37" a="1"/>
  <c r="J641" i="37" s="1"/>
  <c r="J130" i="37"/>
  <c r="AD130" i="37" s="1"/>
  <c r="J388" i="37"/>
  <c r="J219" i="37" a="1"/>
  <c r="J219" i="37" s="1"/>
  <c r="J74" i="37"/>
  <c r="J139" i="37"/>
  <c r="J650" i="37" a="1"/>
  <c r="J650" i="37" s="1"/>
  <c r="J27" i="37"/>
  <c r="J63" i="37" s="1"/>
  <c r="AH52" i="33"/>
  <c r="AB389" i="37"/>
  <c r="J391" i="37"/>
  <c r="J88" i="37"/>
  <c r="J677" i="37" a="1"/>
  <c r="J677" i="37" s="1"/>
  <c r="J166" i="37"/>
  <c r="AD166" i="37" s="1"/>
  <c r="I380" i="37"/>
  <c r="I759" i="37" s="1"/>
  <c r="I837" i="37" s="1"/>
  <c r="I386" i="37"/>
  <c r="I760" i="37" s="1"/>
  <c r="I844" i="37" s="1"/>
  <c r="J390" i="37"/>
  <c r="J571" i="37"/>
  <c r="AB618" i="37"/>
  <c r="AB525" i="37"/>
  <c r="AB571" i="37"/>
  <c r="J945" i="37"/>
  <c r="AB614" i="37"/>
  <c r="J531" i="37"/>
  <c r="J624" i="37"/>
  <c r="AB625" i="37"/>
  <c r="J194" i="37"/>
  <c r="AA617" i="37"/>
  <c r="J778" i="37"/>
  <c r="J777" i="37" s="1"/>
  <c r="J776" i="37" s="1"/>
  <c r="J359" i="37"/>
  <c r="AA595" i="37"/>
  <c r="AA547" i="37"/>
  <c r="J901" i="37" a="1"/>
  <c r="J901" i="37" s="1"/>
  <c r="J588" i="37"/>
  <c r="J495" i="37"/>
  <c r="AC133" i="37"/>
  <c r="AC132" i="37" s="1"/>
  <c r="I132" i="37"/>
  <c r="J84" i="37"/>
  <c r="J142" i="37"/>
  <c r="AD142" i="37" s="1"/>
  <c r="J653" i="37" a="1"/>
  <c r="J653" i="37" s="1"/>
  <c r="J222" i="37" a="1"/>
  <c r="J222" i="37" s="1"/>
  <c r="AB371" i="37"/>
  <c r="J959" i="37"/>
  <c r="AB495" i="37"/>
  <c r="AB588" i="37"/>
  <c r="AB577" i="37"/>
  <c r="AH50" i="33"/>
  <c r="J384" i="37"/>
  <c r="I649" i="37"/>
  <c r="J216" i="37" a="1"/>
  <c r="J216" i="37" s="1"/>
  <c r="J136" i="37"/>
  <c r="AD136" i="37" s="1"/>
  <c r="J647" i="37" a="1"/>
  <c r="J647" i="37" s="1"/>
  <c r="J931" i="37"/>
  <c r="J213" i="37" a="1"/>
  <c r="J213" i="37" s="1"/>
  <c r="J21" i="37"/>
  <c r="J62" i="37" s="1"/>
  <c r="J644" i="37" a="1"/>
  <c r="J644" i="37" s="1"/>
  <c r="J133" i="37"/>
  <c r="J73" i="37"/>
  <c r="J361" i="37"/>
  <c r="AB363" i="37"/>
  <c r="I362" i="37"/>
  <c r="J389" i="37"/>
  <c r="J365" i="37"/>
  <c r="J615" i="37"/>
  <c r="J606" i="37"/>
  <c r="J513" i="37"/>
  <c r="J577" i="37"/>
  <c r="J503" i="37"/>
  <c r="J595" i="37" s="1"/>
  <c r="J502" i="37"/>
  <c r="J904" i="37" a="1"/>
  <c r="J904" i="37" s="1"/>
  <c r="J504" i="37"/>
  <c r="J596" i="37" s="1"/>
  <c r="J905" i="37"/>
  <c r="J506" i="37"/>
  <c r="J598" i="37" s="1"/>
  <c r="AB503" i="37"/>
  <c r="AB550" i="37"/>
  <c r="J505" i="37"/>
  <c r="J597" i="37" s="1"/>
  <c r="AB504" i="37"/>
  <c r="J906" i="37" a="1"/>
  <c r="J906" i="37" s="1"/>
  <c r="AB549" i="37"/>
  <c r="AB548" i="37"/>
  <c r="AB502" i="37"/>
  <c r="J553" i="37"/>
  <c r="J590" i="37"/>
  <c r="J200" i="37"/>
  <c r="J371" i="37"/>
  <c r="EZ33" i="28"/>
  <c r="DA33" i="28"/>
  <c r="DP33" i="28" s="1"/>
  <c r="BN33" i="28"/>
  <c r="GU33" i="28"/>
  <c r="J72" i="37"/>
  <c r="J207" i="37" a="1"/>
  <c r="J207" i="37" s="1"/>
  <c r="J127" i="37"/>
  <c r="AD127" i="37" s="1"/>
  <c r="J638" i="37" a="1"/>
  <c r="J638" i="37" s="1"/>
  <c r="J15" i="37"/>
  <c r="J61" i="37" s="1"/>
  <c r="J87" i="37"/>
  <c r="BL60" i="28"/>
  <c r="BY60" i="28"/>
  <c r="AQ60" i="28"/>
  <c r="AG629" i="33"/>
  <c r="H868" i="37" l="1"/>
  <c r="H813" i="37"/>
  <c r="H831" i="37"/>
  <c r="G836" i="37"/>
  <c r="H833" i="37"/>
  <c r="H834" i="37"/>
  <c r="H836" i="37"/>
  <c r="H832" i="37"/>
  <c r="Z804" i="37"/>
  <c r="H824" i="37"/>
  <c r="H867" i="37"/>
  <c r="H827" i="37"/>
  <c r="H826" i="37"/>
  <c r="H829" i="37"/>
  <c r="G829" i="37"/>
  <c r="H846" i="37"/>
  <c r="G843" i="37"/>
  <c r="I985" i="51"/>
  <c r="H838" i="37"/>
  <c r="H944" i="37" s="1"/>
  <c r="H839" i="37"/>
  <c r="Z806" i="37"/>
  <c r="H841" i="37"/>
  <c r="H869" i="37"/>
  <c r="H843" i="37"/>
  <c r="H815" i="37"/>
  <c r="H812" i="37"/>
  <c r="H865" i="37"/>
  <c r="G815" i="37"/>
  <c r="Z802" i="37"/>
  <c r="H811" i="37"/>
  <c r="I756" i="37"/>
  <c r="I816" i="37" s="1"/>
  <c r="AA803" i="37" s="1"/>
  <c r="H870" i="37"/>
  <c r="H847" i="37"/>
  <c r="H848" i="37"/>
  <c r="Z807" i="37"/>
  <c r="G850" i="37"/>
  <c r="H845" i="37"/>
  <c r="H958" i="37" s="1"/>
  <c r="H871" i="37"/>
  <c r="H853" i="37"/>
  <c r="H854" i="37"/>
  <c r="H855" i="37"/>
  <c r="H852" i="37"/>
  <c r="H972" i="37" s="1"/>
  <c r="I815" i="37"/>
  <c r="Z808" i="37"/>
  <c r="G857" i="37"/>
  <c r="AB598" i="37"/>
  <c r="N989" i="51" a="1"/>
  <c r="N989" i="51" s="1"/>
  <c r="AB597" i="37"/>
  <c r="J977" i="51"/>
  <c r="J983" i="51" s="1"/>
  <c r="J984" i="51" s="1"/>
  <c r="J985" i="51" s="1"/>
  <c r="AB605" i="37"/>
  <c r="AB617" i="37"/>
  <c r="J599" i="37"/>
  <c r="AB547" i="37"/>
  <c r="J623" i="37"/>
  <c r="J655" i="37"/>
  <c r="J637" i="37"/>
  <c r="AB596" i="37"/>
  <c r="AF82" i="33"/>
  <c r="AF83" i="33" s="1"/>
  <c r="AB595" i="37"/>
  <c r="J218" i="37"/>
  <c r="J673" i="37"/>
  <c r="J605" i="37"/>
  <c r="J643" i="37"/>
  <c r="I811" i="37"/>
  <c r="I865" i="37"/>
  <c r="I810" i="37"/>
  <c r="I888" i="37" s="1"/>
  <c r="I812" i="37"/>
  <c r="I813" i="37"/>
  <c r="J356" i="37"/>
  <c r="J755" i="37" s="1"/>
  <c r="J809" i="37" s="1"/>
  <c r="J368" i="37"/>
  <c r="J757" i="37" s="1"/>
  <c r="J823" i="37" s="1"/>
  <c r="J867" i="37" s="1"/>
  <c r="H916" i="37"/>
  <c r="AG70" i="33"/>
  <c r="AG74" i="33"/>
  <c r="AG72" i="33"/>
  <c r="AG78" i="33" s="1"/>
  <c r="AG73" i="33"/>
  <c r="AG79" i="33" s="1"/>
  <c r="AG56" i="33"/>
  <c r="AG71" i="33"/>
  <c r="AG77" i="33" s="1"/>
  <c r="AB594" i="37"/>
  <c r="AB501" i="37"/>
  <c r="H930" i="37"/>
  <c r="I848" i="37"/>
  <c r="I845" i="37"/>
  <c r="I958" i="37" s="1"/>
  <c r="I850" i="37"/>
  <c r="I847" i="37"/>
  <c r="I870" i="37"/>
  <c r="AA807" i="37"/>
  <c r="I846" i="37"/>
  <c r="AB386" i="37"/>
  <c r="J611" i="37"/>
  <c r="AB611" i="37"/>
  <c r="AD133" i="37"/>
  <c r="AD132" i="37" s="1"/>
  <c r="J132" i="37"/>
  <c r="AB392" i="37"/>
  <c r="AD151" i="37"/>
  <c r="AD150" i="37" s="1"/>
  <c r="J150" i="37"/>
  <c r="J212" i="37"/>
  <c r="AB380" i="37"/>
  <c r="J594" i="37"/>
  <c r="J593" i="37" s="1"/>
  <c r="J501" i="37"/>
  <c r="J649" i="37"/>
  <c r="AD157" i="37"/>
  <c r="AD156" i="37" s="1"/>
  <c r="J156" i="37"/>
  <c r="AB374" i="37"/>
  <c r="AB356" i="37"/>
  <c r="AB623" i="37"/>
  <c r="AA593" i="37"/>
  <c r="Z803" i="37"/>
  <c r="H822" i="37"/>
  <c r="H819" i="37"/>
  <c r="H818" i="37"/>
  <c r="H866" i="37"/>
  <c r="H820" i="37"/>
  <c r="H817" i="37"/>
  <c r="G822" i="37"/>
  <c r="I834" i="37"/>
  <c r="I836" i="37"/>
  <c r="AA805" i="37"/>
  <c r="I832" i="37"/>
  <c r="I833" i="37"/>
  <c r="I831" i="37"/>
  <c r="I868" i="37"/>
  <c r="AI52" i="33"/>
  <c r="AD163" i="37"/>
  <c r="AD162" i="37" s="1"/>
  <c r="J162" i="37"/>
  <c r="AI49" i="33"/>
  <c r="I825" i="37"/>
  <c r="AA804" i="37"/>
  <c r="I824" i="37"/>
  <c r="I829" i="37"/>
  <c r="I867" i="37"/>
  <c r="I827" i="37"/>
  <c r="I826" i="37"/>
  <c r="I840" i="37"/>
  <c r="I838" i="37"/>
  <c r="I843" i="37"/>
  <c r="I839" i="37"/>
  <c r="I869" i="37"/>
  <c r="AA806" i="37"/>
  <c r="I841" i="37"/>
  <c r="J386" i="37"/>
  <c r="J760" i="37" s="1"/>
  <c r="J844" i="37" s="1"/>
  <c r="AJ45" i="33"/>
  <c r="K975" i="51" s="1"/>
  <c r="K981" i="51" s="1"/>
  <c r="AJ44" i="33"/>
  <c r="K974" i="51" s="1"/>
  <c r="K980" i="51" s="1"/>
  <c r="AJ43" i="33"/>
  <c r="K973" i="51" s="1"/>
  <c r="K979" i="51" s="1"/>
  <c r="AJ46" i="33"/>
  <c r="K976" i="51" s="1"/>
  <c r="K982" i="51" s="1"/>
  <c r="AJ47" i="33"/>
  <c r="H888" i="37"/>
  <c r="AB362" i="37"/>
  <c r="AB587" i="37"/>
  <c r="J138" i="37"/>
  <c r="AD139" i="37"/>
  <c r="AD138" i="37" s="1"/>
  <c r="J617" i="37"/>
  <c r="J380" i="37"/>
  <c r="J759" i="37" s="1"/>
  <c r="J837" i="37" s="1"/>
  <c r="J392" i="37"/>
  <c r="J761" i="37" s="1"/>
  <c r="J851" i="37" s="1"/>
  <c r="I871" i="37"/>
  <c r="AA808" i="37"/>
  <c r="I855" i="37"/>
  <c r="I854" i="37"/>
  <c r="I857" i="37"/>
  <c r="I853" i="37"/>
  <c r="I852" i="37"/>
  <c r="J144" i="37"/>
  <c r="AD145" i="37"/>
  <c r="AD144" i="37" s="1"/>
  <c r="AH55" i="33"/>
  <c r="AH56" i="33" s="1"/>
  <c r="AI50" i="33"/>
  <c r="J362" i="37"/>
  <c r="J587" i="37"/>
  <c r="AB368" i="37"/>
  <c r="J661" i="37"/>
  <c r="FA33" i="28"/>
  <c r="GV33" i="28"/>
  <c r="BO33" i="28"/>
  <c r="DB33" i="28"/>
  <c r="DQ33" i="28" s="1"/>
  <c r="J903" i="37"/>
  <c r="AB599" i="37"/>
  <c r="J206" i="37"/>
  <c r="J667" i="37"/>
  <c r="J374" i="37"/>
  <c r="J758" i="37" s="1"/>
  <c r="J830" i="37" s="1"/>
  <c r="AK143" i="33"/>
  <c r="AK149" i="33" s="1"/>
  <c r="AK212" i="33"/>
  <c r="AK218" i="33" s="1"/>
  <c r="AK166" i="33"/>
  <c r="AK172" i="33" s="1"/>
  <c r="AK119" i="33"/>
  <c r="AK125" i="33" s="1"/>
  <c r="AK118" i="33"/>
  <c r="AK124" i="33" s="1"/>
  <c r="AK190" i="33"/>
  <c r="AK234" i="33"/>
  <c r="AK240" i="33" s="1"/>
  <c r="AK144" i="33"/>
  <c r="AK97" i="33"/>
  <c r="AK103" i="33" s="1"/>
  <c r="AK167" i="33"/>
  <c r="AK236" i="33"/>
  <c r="AK189" i="33"/>
  <c r="AK195" i="33" s="1"/>
  <c r="AK98" i="33"/>
  <c r="AK164" i="33"/>
  <c r="AK170" i="33" s="1"/>
  <c r="AK163" i="33"/>
  <c r="AK186" i="33"/>
  <c r="AK95" i="33"/>
  <c r="AK101" i="33" s="1"/>
  <c r="AK117" i="33"/>
  <c r="AK165" i="33"/>
  <c r="AK171" i="33" s="1"/>
  <c r="AK142" i="33"/>
  <c r="AK148" i="33" s="1"/>
  <c r="AK232" i="33"/>
  <c r="AK140" i="33"/>
  <c r="AK96" i="33"/>
  <c r="AK102" i="33" s="1"/>
  <c r="AK209" i="33"/>
  <c r="AK211" i="33"/>
  <c r="AK217" i="33" s="1"/>
  <c r="AK41" i="33"/>
  <c r="AK141" i="33"/>
  <c r="AK147" i="33" s="1"/>
  <c r="AK210" i="33"/>
  <c r="AK216" i="33" s="1"/>
  <c r="AK187" i="33"/>
  <c r="AK193" i="33" s="1"/>
  <c r="AL33" i="33"/>
  <c r="AK120" i="33"/>
  <c r="AK126" i="33" s="1"/>
  <c r="AK233" i="33"/>
  <c r="AK239" i="33" s="1"/>
  <c r="AK188" i="33"/>
  <c r="AK194" i="33" s="1"/>
  <c r="AK235" i="33"/>
  <c r="AK241" i="33" s="1"/>
  <c r="AK213" i="33"/>
  <c r="AK121" i="33"/>
  <c r="AK94" i="33"/>
  <c r="AI51" i="33"/>
  <c r="GT60" i="28"/>
  <c r="EY60" i="28" a="1"/>
  <c r="EY60" i="28" s="1"/>
  <c r="FN60" i="28" s="1"/>
  <c r="BM60" i="28"/>
  <c r="CZ60" i="28"/>
  <c r="DO60" i="28" s="1"/>
  <c r="AH629" i="33"/>
  <c r="H842" i="37" l="1"/>
  <c r="H835" i="37"/>
  <c r="I817" i="37"/>
  <c r="I902" i="37" s="1"/>
  <c r="H828" i="37"/>
  <c r="H814" i="37"/>
  <c r="I820" i="37"/>
  <c r="I866" i="37"/>
  <c r="I822" i="37"/>
  <c r="I818" i="37"/>
  <c r="I819" i="37"/>
  <c r="H849" i="37"/>
  <c r="H856" i="37"/>
  <c r="P989" i="51" a="1"/>
  <c r="P989" i="51" s="1"/>
  <c r="K977" i="51"/>
  <c r="K983" i="51" s="1"/>
  <c r="R989" i="51" s="1" a="1"/>
  <c r="R989" i="51" s="1"/>
  <c r="AB593" i="37"/>
  <c r="J826" i="37"/>
  <c r="J825" i="37"/>
  <c r="AB804" i="37"/>
  <c r="J824" i="37"/>
  <c r="J916" i="37" s="1"/>
  <c r="I814" i="37"/>
  <c r="J827" i="37"/>
  <c r="J829" i="37"/>
  <c r="AK43" i="33"/>
  <c r="L973" i="51" s="1"/>
  <c r="L979" i="51" s="1"/>
  <c r="AK46" i="33"/>
  <c r="L976" i="51" s="1"/>
  <c r="L982" i="51" s="1"/>
  <c r="AK45" i="33"/>
  <c r="L975" i="51" s="1"/>
  <c r="L981" i="51" s="1"/>
  <c r="AK44" i="33"/>
  <c r="L974" i="51" s="1"/>
  <c r="L980" i="51" s="1"/>
  <c r="AK47" i="33"/>
  <c r="I972" i="37"/>
  <c r="I856" i="37"/>
  <c r="AJ52" i="33"/>
  <c r="I916" i="37"/>
  <c r="I828" i="37"/>
  <c r="J836" i="37"/>
  <c r="J834" i="37"/>
  <c r="J833" i="37"/>
  <c r="AB805" i="37"/>
  <c r="J832" i="37"/>
  <c r="J868" i="37"/>
  <c r="J831" i="37"/>
  <c r="H902" i="37"/>
  <c r="H821" i="37"/>
  <c r="AL41" i="33"/>
  <c r="AL141" i="33"/>
  <c r="AL147" i="33" s="1"/>
  <c r="AL144" i="33"/>
  <c r="AM144" i="33" s="1"/>
  <c r="AL164" i="33"/>
  <c r="AL95" i="33"/>
  <c r="AL101" i="33" s="1"/>
  <c r="AL120" i="33"/>
  <c r="AL98" i="33"/>
  <c r="AM98" i="33" s="1"/>
  <c r="AL97" i="33"/>
  <c r="AL103" i="33" s="1"/>
  <c r="AL212" i="33"/>
  <c r="AL218" i="33" s="1"/>
  <c r="AL166" i="33"/>
  <c r="AL172" i="33" s="1"/>
  <c r="AL186" i="33"/>
  <c r="AM186" i="33" s="1"/>
  <c r="AL118" i="33"/>
  <c r="AL190" i="33"/>
  <c r="AM190" i="33" s="1"/>
  <c r="AL96" i="33"/>
  <c r="AL140" i="33"/>
  <c r="AM140" i="33" s="1"/>
  <c r="AL236" i="33"/>
  <c r="AM236" i="33" s="1"/>
  <c r="AL163" i="33"/>
  <c r="AM163" i="33" s="1"/>
  <c r="AL210" i="33"/>
  <c r="AL213" i="33"/>
  <c r="AM213" i="33" s="1"/>
  <c r="AL211" i="33"/>
  <c r="AL217" i="33" s="1"/>
  <c r="AM33" i="33"/>
  <c r="AL165" i="33"/>
  <c r="AL171" i="33" s="1"/>
  <c r="AL232" i="33"/>
  <c r="AM232" i="33" s="1"/>
  <c r="AL187" i="33"/>
  <c r="AL233" i="33"/>
  <c r="AL239" i="33" s="1"/>
  <c r="AL119" i="33"/>
  <c r="AL121" i="33"/>
  <c r="AM121" i="33" s="1"/>
  <c r="AL167" i="33"/>
  <c r="AM167" i="33" s="1"/>
  <c r="AL142" i="33"/>
  <c r="AL235" i="33"/>
  <c r="AL241" i="33" s="1"/>
  <c r="AL117" i="33"/>
  <c r="AM117" i="33" s="1"/>
  <c r="AL209" i="33"/>
  <c r="AM209" i="33" s="1"/>
  <c r="AL189" i="33"/>
  <c r="AL234" i="33"/>
  <c r="AL143" i="33"/>
  <c r="AL188" i="33"/>
  <c r="AL94" i="33"/>
  <c r="AM94" i="33" s="1"/>
  <c r="AJ51" i="33"/>
  <c r="AI55" i="33"/>
  <c r="AI72" i="33" s="1"/>
  <c r="AI78" i="33" s="1"/>
  <c r="AB808" i="37"/>
  <c r="J853" i="37"/>
  <c r="J854" i="37"/>
  <c r="J871" i="37"/>
  <c r="J855" i="37"/>
  <c r="J852" i="37"/>
  <c r="J972" i="37" s="1"/>
  <c r="J857" i="37"/>
  <c r="J840" i="37"/>
  <c r="J841" i="37"/>
  <c r="AB806" i="37"/>
  <c r="J843" i="37"/>
  <c r="J869" i="37"/>
  <c r="J839" i="37"/>
  <c r="J838" i="37"/>
  <c r="J944" i="37" s="1"/>
  <c r="FB33" i="28"/>
  <c r="BP33" i="28"/>
  <c r="DC33" i="28"/>
  <c r="DR33" i="28" s="1"/>
  <c r="GW33" i="28"/>
  <c r="AJ49" i="33"/>
  <c r="AH70" i="33"/>
  <c r="AH74" i="33"/>
  <c r="AH73" i="33"/>
  <c r="AH79" i="33" s="1"/>
  <c r="AH71" i="33"/>
  <c r="AH77" i="33" s="1"/>
  <c r="J870" i="37"/>
  <c r="J848" i="37"/>
  <c r="J845" i="37"/>
  <c r="J847" i="37"/>
  <c r="J850" i="37"/>
  <c r="J846" i="37"/>
  <c r="AB807" i="37"/>
  <c r="J756" i="37"/>
  <c r="J816" i="37" s="1"/>
  <c r="AJ50" i="33"/>
  <c r="I944" i="37"/>
  <c r="I842" i="37"/>
  <c r="I930" i="37"/>
  <c r="I835" i="37"/>
  <c r="I849" i="37"/>
  <c r="J812" i="37"/>
  <c r="AB802" i="37"/>
  <c r="J811" i="37"/>
  <c r="J813" i="37"/>
  <c r="J810" i="37"/>
  <c r="J815" i="37"/>
  <c r="J865" i="37"/>
  <c r="AH72" i="33"/>
  <c r="AH78" i="33" s="1"/>
  <c r="GU60" i="28"/>
  <c r="EZ60" i="28" a="1"/>
  <c r="EZ60" i="28" s="1"/>
  <c r="FO60" i="28" s="1"/>
  <c r="DA60" i="28"/>
  <c r="DP60" i="28" s="1"/>
  <c r="BN60" i="28"/>
  <c r="AI629" i="33"/>
  <c r="AM95" i="33" l="1"/>
  <c r="I821" i="37"/>
  <c r="K984" i="51"/>
  <c r="K985" i="51" s="1"/>
  <c r="L977" i="51"/>
  <c r="L983" i="51" s="1"/>
  <c r="L984" i="51" s="1"/>
  <c r="AM211" i="33"/>
  <c r="AM165" i="33"/>
  <c r="J828" i="37"/>
  <c r="J856" i="37"/>
  <c r="AL195" i="33"/>
  <c r="AM189" i="33"/>
  <c r="AL44" i="33"/>
  <c r="M974" i="51" s="1"/>
  <c r="M980" i="51" s="1"/>
  <c r="AL47" i="33"/>
  <c r="AL46" i="33"/>
  <c r="AL45" i="33"/>
  <c r="M975" i="51" s="1"/>
  <c r="M981" i="51" s="1"/>
  <c r="AL43" i="33"/>
  <c r="M973" i="51" s="1"/>
  <c r="M979" i="51" s="1"/>
  <c r="J930" i="37"/>
  <c r="J835" i="37"/>
  <c r="AK51" i="33"/>
  <c r="AK52" i="33"/>
  <c r="AK49" i="33"/>
  <c r="J820" i="37"/>
  <c r="J818" i="37"/>
  <c r="J819" i="37"/>
  <c r="J866" i="37"/>
  <c r="J822" i="37"/>
  <c r="AB803" i="37"/>
  <c r="J817" i="37"/>
  <c r="AM141" i="33"/>
  <c r="AM96" i="33"/>
  <c r="AL102" i="33"/>
  <c r="AL126" i="33"/>
  <c r="AM120" i="33"/>
  <c r="AM235" i="33"/>
  <c r="J888" i="37"/>
  <c r="J814" i="37"/>
  <c r="AM143" i="33"/>
  <c r="AL149" i="33"/>
  <c r="AM119" i="33"/>
  <c r="AL125" i="33"/>
  <c r="FC33" i="28"/>
  <c r="BQ33" i="28"/>
  <c r="GX33" i="28"/>
  <c r="DD33" i="28"/>
  <c r="DS33" i="28" s="1"/>
  <c r="AL193" i="33"/>
  <c r="AM187" i="33"/>
  <c r="AM212" i="33"/>
  <c r="AM41" i="33"/>
  <c r="AJ55" i="33"/>
  <c r="AJ70" i="33" s="1"/>
  <c r="AL148" i="33"/>
  <c r="AM142" i="33"/>
  <c r="AM233" i="33"/>
  <c r="J842" i="37"/>
  <c r="AL240" i="33"/>
  <c r="AM234" i="33"/>
  <c r="AL216" i="33"/>
  <c r="AM210" i="33"/>
  <c r="AK50" i="33"/>
  <c r="AI71" i="33"/>
  <c r="AI77" i="33" s="1"/>
  <c r="AI70" i="33"/>
  <c r="AI74" i="33"/>
  <c r="AI56" i="33"/>
  <c r="J958" i="37"/>
  <c r="J849" i="37"/>
  <c r="AM97" i="33"/>
  <c r="AL194" i="33"/>
  <c r="AM188" i="33"/>
  <c r="AL124" i="33"/>
  <c r="AM118" i="33"/>
  <c r="AL170" i="33"/>
  <c r="AM164" i="33"/>
  <c r="AM166" i="33"/>
  <c r="AI73" i="33"/>
  <c r="AI79" i="33" s="1"/>
  <c r="GV60" i="28"/>
  <c r="FA60" i="28" a="1"/>
  <c r="FA60" i="28" s="1"/>
  <c r="FP60" i="28" s="1"/>
  <c r="DB60" i="28"/>
  <c r="DQ60" i="28" s="1"/>
  <c r="BO60" i="28"/>
  <c r="AJ629" i="33"/>
  <c r="T989" i="51" l="1" a="1"/>
  <c r="T989" i="51" s="1"/>
  <c r="L985" i="51"/>
  <c r="AM46" i="33"/>
  <c r="M976" i="51"/>
  <c r="M982" i="51" s="1"/>
  <c r="M977" i="51"/>
  <c r="M983" i="51" s="1"/>
  <c r="AM47" i="33"/>
  <c r="AK55" i="33"/>
  <c r="AK71" i="33" s="1"/>
  <c r="AK77" i="33" s="1"/>
  <c r="AL49" i="33"/>
  <c r="AM43" i="33"/>
  <c r="AL51" i="33"/>
  <c r="AM45" i="33"/>
  <c r="FD33" i="28"/>
  <c r="BR33" i="28"/>
  <c r="DE33" i="28"/>
  <c r="DT33" i="28" s="1"/>
  <c r="GY33" i="28"/>
  <c r="AJ72" i="33"/>
  <c r="AJ78" i="33" s="1"/>
  <c r="AJ56" i="33"/>
  <c r="AJ71" i="33"/>
  <c r="AJ77" i="33" s="1"/>
  <c r="AJ74" i="33"/>
  <c r="AJ73" i="33"/>
  <c r="AJ79" i="33" s="1"/>
  <c r="J902" i="37"/>
  <c r="J821" i="37"/>
  <c r="AL52" i="33"/>
  <c r="AL50" i="33"/>
  <c r="AM44" i="33"/>
  <c r="DC60" i="28"/>
  <c r="DR60" i="28" s="1"/>
  <c r="FB60" i="28" a="1"/>
  <c r="FB60" i="28" s="1"/>
  <c r="FQ60" i="28" s="1"/>
  <c r="GW60" i="28"/>
  <c r="BP60" i="28"/>
  <c r="AK629" i="33"/>
  <c r="V989" i="51" l="1" a="1"/>
  <c r="V989" i="51" s="1"/>
  <c r="M984" i="51"/>
  <c r="M985" i="51" s="1"/>
  <c r="AK56" i="33"/>
  <c r="AK72" i="33"/>
  <c r="AK78" i="33" s="1"/>
  <c r="AK74" i="33"/>
  <c r="AK70" i="33"/>
  <c r="AK73" i="33"/>
  <c r="AK79" i="33" s="1"/>
  <c r="AL55" i="33"/>
  <c r="FE33" i="28"/>
  <c r="BS33" i="28"/>
  <c r="DF33" i="28"/>
  <c r="DU33" i="28" s="1"/>
  <c r="GZ33" i="28"/>
  <c r="GX60" i="28"/>
  <c r="FC60" i="28" a="1"/>
  <c r="FC60" i="28" s="1"/>
  <c r="FR60" i="28" s="1"/>
  <c r="BQ60" i="28"/>
  <c r="DD60" i="28"/>
  <c r="DS60" i="28" s="1"/>
  <c r="AL629" i="33"/>
  <c r="AL73" i="33" l="1"/>
  <c r="AL56" i="33"/>
  <c r="AL71" i="33"/>
  <c r="AL70" i="33"/>
  <c r="AM70" i="33" s="1"/>
  <c r="AL74" i="33"/>
  <c r="AM74" i="33" s="1"/>
  <c r="AF57" i="33"/>
  <c r="AL72" i="33"/>
  <c r="FF33" i="28"/>
  <c r="BT33" i="28"/>
  <c r="DG33" i="28"/>
  <c r="DV33" i="28" s="1"/>
  <c r="HA33" i="28"/>
  <c r="DE60" i="28"/>
  <c r="DT60" i="28" s="1"/>
  <c r="FD60" i="28" a="1"/>
  <c r="FD60" i="28" s="1"/>
  <c r="FS60" i="28" s="1"/>
  <c r="GY60" i="28"/>
  <c r="BR60" i="28"/>
  <c r="AM72" i="33" l="1"/>
  <c r="AL78" i="33"/>
  <c r="AM71" i="33"/>
  <c r="AL77" i="33"/>
  <c r="FG33" i="28"/>
  <c r="BU33" i="28"/>
  <c r="DH33" i="28"/>
  <c r="DW33" i="28" s="1"/>
  <c r="HB33" i="28"/>
  <c r="AL79" i="33"/>
  <c r="AM73" i="33"/>
  <c r="EB60" i="28"/>
  <c r="DF60" i="28"/>
  <c r="DU60" i="28" s="1"/>
  <c r="FE60" i="28" a="1"/>
  <c r="FE60" i="28" s="1"/>
  <c r="FT60" i="28" s="1"/>
  <c r="GZ60" i="28"/>
  <c r="BS60" i="28"/>
  <c r="BG85" i="28"/>
  <c r="FH33" i="28" l="1"/>
  <c r="BV33" i="28"/>
  <c r="DI33" i="28"/>
  <c r="DX33" i="28" s="1"/>
  <c r="HC33" i="28"/>
  <c r="DG60" i="28"/>
  <c r="DV60" i="28" s="1"/>
  <c r="FF60" i="28" a="1"/>
  <c r="FF60" i="28" s="1"/>
  <c r="FU60" i="28" s="1"/>
  <c r="HA60" i="28"/>
  <c r="BT60" i="28"/>
  <c r="BL85" i="28"/>
  <c r="BY85" i="28"/>
  <c r="AQ85" i="28"/>
  <c r="AG1319" i="33"/>
  <c r="FI33" i="28" l="1"/>
  <c r="DJ33" i="28"/>
  <c r="DY33" i="28" s="1"/>
  <c r="HD33" i="28"/>
  <c r="CZ85" i="28"/>
  <c r="EY85" i="28" a="1"/>
  <c r="EY85" i="28" s="1"/>
  <c r="FN85" i="28" s="1"/>
  <c r="DH60" i="28"/>
  <c r="DW60" i="28" s="1"/>
  <c r="FG60" i="28" a="1"/>
  <c r="FG60" i="28" s="1"/>
  <c r="FV60" i="28" s="1"/>
  <c r="HB60" i="28"/>
  <c r="BU60" i="28"/>
  <c r="GT85" i="28"/>
  <c r="BM85" i="28"/>
  <c r="AG1320" i="33"/>
  <c r="AG1321" i="33" s="1"/>
  <c r="AG64" i="33"/>
  <c r="AG92" i="33"/>
  <c r="AG230" i="33"/>
  <c r="AG207" i="33"/>
  <c r="AG184" i="33"/>
  <c r="AH1319" i="33"/>
  <c r="AG138" i="33"/>
  <c r="AG161" i="33"/>
  <c r="AG115" i="33"/>
  <c r="DO85" i="28"/>
  <c r="DI60" i="28" l="1"/>
  <c r="DX60" i="28" s="1"/>
  <c r="FH60" i="28" a="1"/>
  <c r="FH60" i="28" s="1"/>
  <c r="FW60" i="28" s="1"/>
  <c r="DA85" i="28"/>
  <c r="DP85" i="28" s="1"/>
  <c r="EZ85" i="28" a="1"/>
  <c r="EZ85" i="28" s="1"/>
  <c r="FO85" i="28" s="1"/>
  <c r="HC60" i="28"/>
  <c r="BN85" i="28"/>
  <c r="GU85" i="28"/>
  <c r="BV60" i="28"/>
  <c r="FI60" i="28" s="1" a="1"/>
  <c r="FI60" i="28" s="1"/>
  <c r="AG150" i="33"/>
  <c r="AH1320" i="33"/>
  <c r="AH1321" i="33" s="1"/>
  <c r="AH64" i="33"/>
  <c r="AH80" i="33" s="1"/>
  <c r="AH161" i="33"/>
  <c r="AH173" i="33" s="1"/>
  <c r="AH92" i="33"/>
  <c r="AH104" i="33" s="1"/>
  <c r="AH230" i="33"/>
  <c r="AH242" i="33" s="1"/>
  <c r="AH115" i="33"/>
  <c r="AH127" i="33" s="1"/>
  <c r="AH138" i="33"/>
  <c r="AH150" i="33" s="1"/>
  <c r="AH184" i="33"/>
  <c r="AH196" i="33" s="1"/>
  <c r="AI1319" i="33"/>
  <c r="AH207" i="33"/>
  <c r="AH219" i="33" s="1"/>
  <c r="AG196" i="33"/>
  <c r="AG219" i="33"/>
  <c r="AG242" i="33"/>
  <c r="AG104" i="33"/>
  <c r="AG127" i="33"/>
  <c r="AG80" i="33"/>
  <c r="AG173" i="33"/>
  <c r="GV85" i="28" l="1"/>
  <c r="FA85" i="28" a="1"/>
  <c r="FA85" i="28" s="1"/>
  <c r="FP85" i="28" s="1"/>
  <c r="DB85" i="28"/>
  <c r="DQ85" i="28" s="1"/>
  <c r="BO85" i="28"/>
  <c r="FB85" i="28" s="1" a="1"/>
  <c r="FB85" i="28" s="1"/>
  <c r="HD60" i="28"/>
  <c r="FX60" i="28"/>
  <c r="DJ60" i="28"/>
  <c r="DY60" i="28" s="1"/>
  <c r="AI1320" i="33"/>
  <c r="AI1321" i="33" s="1"/>
  <c r="AI64" i="33"/>
  <c r="AI115" i="33"/>
  <c r="AI161" i="33"/>
  <c r="AI230" i="33"/>
  <c r="AJ1319" i="33"/>
  <c r="AI92" i="33"/>
  <c r="AI207" i="33"/>
  <c r="AI138" i="33"/>
  <c r="AI184" i="33"/>
  <c r="GW85" i="28" l="1"/>
  <c r="BP85" i="28"/>
  <c r="DC85" i="28"/>
  <c r="DR85" i="28" s="1"/>
  <c r="AI242" i="33"/>
  <c r="AI173" i="33"/>
  <c r="AI127" i="33"/>
  <c r="AI196" i="33"/>
  <c r="AI80" i="33"/>
  <c r="AI150" i="33"/>
  <c r="FQ85" i="28"/>
  <c r="AI219" i="33"/>
  <c r="AI104" i="33"/>
  <c r="AJ1320" i="33"/>
  <c r="AJ1321" i="33" s="1"/>
  <c r="AJ64" i="33"/>
  <c r="AJ80" i="33" s="1"/>
  <c r="AJ161" i="33"/>
  <c r="AJ173" i="33" s="1"/>
  <c r="AJ230" i="33"/>
  <c r="AJ242" i="33" s="1"/>
  <c r="AJ115" i="33"/>
  <c r="AJ127" i="33" s="1"/>
  <c r="AJ92" i="33"/>
  <c r="AJ104" i="33" s="1"/>
  <c r="AK1319" i="33"/>
  <c r="AJ138" i="33"/>
  <c r="AJ150" i="33" s="1"/>
  <c r="AJ207" i="33"/>
  <c r="AJ219" i="33" s="1"/>
  <c r="AJ184" i="33"/>
  <c r="AJ196" i="33" s="1"/>
  <c r="GX85" i="28" l="1"/>
  <c r="FC85" i="28" a="1"/>
  <c r="FC85" i="28" s="1"/>
  <c r="FR85" i="28" s="1"/>
  <c r="DD85" i="28"/>
  <c r="DS85" i="28" s="1"/>
  <c r="BQ85" i="28"/>
  <c r="AK1320" i="33"/>
  <c r="AK1321" i="33" s="1"/>
  <c r="AK64" i="33"/>
  <c r="AK115" i="33"/>
  <c r="AK127" i="33" s="1"/>
  <c r="AK161" i="33"/>
  <c r="AK173" i="33" s="1"/>
  <c r="AK230" i="33"/>
  <c r="AK242" i="33" s="1"/>
  <c r="AK138" i="33"/>
  <c r="AK150" i="33" s="1"/>
  <c r="AK92" i="33"/>
  <c r="AK104" i="33" s="1"/>
  <c r="AL1319" i="33"/>
  <c r="AK207" i="33"/>
  <c r="AK219" i="33" s="1"/>
  <c r="AK184" i="33"/>
  <c r="AK196" i="33" s="1"/>
  <c r="BR85" i="28" l="1"/>
  <c r="GZ85" i="28" s="1"/>
  <c r="FD85" i="28" a="1"/>
  <c r="FD85" i="28" s="1"/>
  <c r="FS85" i="28" s="1"/>
  <c r="DE85" i="28"/>
  <c r="EB85" i="28" s="1"/>
  <c r="GY85" i="28"/>
  <c r="AK80" i="33"/>
  <c r="AL1320" i="33"/>
  <c r="AL64" i="33"/>
  <c r="AL80" i="33" s="1"/>
  <c r="AL115" i="33"/>
  <c r="AL230" i="33"/>
  <c r="AL161" i="33"/>
  <c r="AL207" i="33"/>
  <c r="AL138" i="33"/>
  <c r="AL150" i="33" s="1"/>
  <c r="AL92" i="33"/>
  <c r="AL104" i="33" s="1"/>
  <c r="AL184" i="33"/>
  <c r="BS85" i="28" l="1"/>
  <c r="FF85" i="28" s="1" a="1"/>
  <c r="FF85" i="28" s="1"/>
  <c r="FU85" i="28" s="1"/>
  <c r="DF85" i="28"/>
  <c r="DU85" i="28" s="1"/>
  <c r="FE85" i="28" a="1"/>
  <c r="FE85" i="28" s="1"/>
  <c r="FT85" i="28" s="1"/>
  <c r="DT85" i="28"/>
  <c r="AL173" i="33"/>
  <c r="AM161" i="33"/>
  <c r="AL242" i="33"/>
  <c r="AM230" i="33"/>
  <c r="AM92" i="33"/>
  <c r="AL127" i="33"/>
  <c r="AM115" i="33"/>
  <c r="AM138" i="33"/>
  <c r="AL219" i="33"/>
  <c r="AM207" i="33"/>
  <c r="AL196" i="33"/>
  <c r="AM184" i="33"/>
  <c r="AL1322" i="33"/>
  <c r="AL1321" i="33"/>
  <c r="AM64" i="33"/>
  <c r="DG85" i="28" l="1"/>
  <c r="DV85" i="28" s="1"/>
  <c r="BT85" i="28"/>
  <c r="DH85" i="28" s="1"/>
  <c r="DW85" i="28" s="1"/>
  <c r="HA85" i="28"/>
  <c r="CI62" i="28"/>
  <c r="CF62" i="28"/>
  <c r="CE62" i="28"/>
  <c r="AV62" i="28"/>
  <c r="BG62" i="28" s="1"/>
  <c r="CH62" i="28"/>
  <c r="CD62" i="28"/>
  <c r="CG62" i="28"/>
  <c r="BU85" i="28" l="1"/>
  <c r="DI85" i="28" s="1"/>
  <c r="DX85" i="28" s="1"/>
  <c r="HB85" i="28"/>
  <c r="FG85" i="28" a="1"/>
  <c r="FG85" i="28" s="1"/>
  <c r="FV85" i="28" s="1"/>
  <c r="CO62" i="28"/>
  <c r="BL62" i="28"/>
  <c r="GD62" i="28"/>
  <c r="BY62" i="28"/>
  <c r="CT62" i="28"/>
  <c r="EI62" i="28"/>
  <c r="CP62" i="28"/>
  <c r="GH62" i="28"/>
  <c r="EM62" i="28"/>
  <c r="EL62" i="28"/>
  <c r="GG62" i="28"/>
  <c r="EJ62" i="28"/>
  <c r="GE62" i="28"/>
  <c r="GF62" i="28"/>
  <c r="EK62" i="28"/>
  <c r="EN62" i="28"/>
  <c r="GI62" i="28"/>
  <c r="AG631" i="33"/>
  <c r="HC85" i="28" l="1"/>
  <c r="BV85" i="28"/>
  <c r="DJ85" i="28" s="1"/>
  <c r="DY85" i="28" s="1"/>
  <c r="FH85" i="28" a="1"/>
  <c r="FH85" i="28" s="1"/>
  <c r="FW85" i="28" s="1"/>
  <c r="GT62" i="28"/>
  <c r="EY62" i="28" a="1"/>
  <c r="EY62" i="28" s="1"/>
  <c r="FN62" i="28" s="1"/>
  <c r="CZ62" i="28"/>
  <c r="DO62" i="28" s="1"/>
  <c r="BM62" i="28"/>
  <c r="ET62" i="28"/>
  <c r="O733" i="37"/>
  <c r="O732" i="37" s="1"/>
  <c r="O731" i="37" s="1"/>
  <c r="O725" i="37"/>
  <c r="O724" i="37" s="1"/>
  <c r="O723" i="37" s="1"/>
  <c r="O701" i="37"/>
  <c r="O700" i="37" s="1"/>
  <c r="O699" i="37" s="1"/>
  <c r="O717" i="37"/>
  <c r="O716" i="37" s="1"/>
  <c r="O715" i="37" s="1"/>
  <c r="O709" i="37"/>
  <c r="O708" i="37" s="1"/>
  <c r="O707" i="37" s="1"/>
  <c r="O741" i="37"/>
  <c r="O740" i="37" s="1"/>
  <c r="O739" i="37" s="1"/>
  <c r="O696" i="37"/>
  <c r="O720" i="37"/>
  <c r="O743" i="37"/>
  <c r="O744" i="37"/>
  <c r="O694" i="37"/>
  <c r="O693" i="37"/>
  <c r="O692" i="37" s="1"/>
  <c r="O691" i="37" s="1"/>
  <c r="O711" i="37"/>
  <c r="O703" i="37"/>
  <c r="O734" i="37"/>
  <c r="O719" i="37"/>
  <c r="O742" i="37"/>
  <c r="O735" i="37"/>
  <c r="O727" i="37"/>
  <c r="O726" i="37"/>
  <c r="O710" i="37"/>
  <c r="O695" i="37"/>
  <c r="O712" i="37"/>
  <c r="O702" i="37"/>
  <c r="O718" i="37"/>
  <c r="O728" i="37"/>
  <c r="O704" i="37"/>
  <c r="O736" i="37"/>
  <c r="M717" i="37"/>
  <c r="M716" i="37" s="1"/>
  <c r="M715" i="37" s="1"/>
  <c r="M741" i="37"/>
  <c r="M740" i="37" s="1"/>
  <c r="M739" i="37" s="1"/>
  <c r="M733" i="37"/>
  <c r="M732" i="37" s="1"/>
  <c r="M731" i="37" s="1"/>
  <c r="M701" i="37"/>
  <c r="M700" i="37" s="1"/>
  <c r="M699" i="37" s="1"/>
  <c r="M725" i="37"/>
  <c r="M724" i="37" s="1"/>
  <c r="M723" i="37" s="1"/>
  <c r="M718" i="37"/>
  <c r="M728" i="37"/>
  <c r="M702" i="37"/>
  <c r="M734" i="37"/>
  <c r="M735" i="37"/>
  <c r="M703" i="37"/>
  <c r="M704" i="37"/>
  <c r="M693" i="37"/>
  <c r="M692" i="37" s="1"/>
  <c r="M691" i="37" s="1"/>
  <c r="M696" i="37"/>
  <c r="M711" i="37"/>
  <c r="M743" i="37"/>
  <c r="M712" i="37"/>
  <c r="M710" i="37"/>
  <c r="M709" i="37"/>
  <c r="M708" i="37" s="1"/>
  <c r="M707" i="37" s="1"/>
  <c r="M694" i="37"/>
  <c r="M719" i="37"/>
  <c r="M720" i="37"/>
  <c r="M727" i="37"/>
  <c r="M744" i="37"/>
  <c r="M736" i="37"/>
  <c r="M742" i="37"/>
  <c r="M726" i="37"/>
  <c r="M695" i="37"/>
  <c r="N701" i="37"/>
  <c r="N700" i="37" s="1"/>
  <c r="N699" i="37" s="1"/>
  <c r="N742" i="37"/>
  <c r="N704" i="37"/>
  <c r="N734" i="37"/>
  <c r="N727" i="37"/>
  <c r="N743" i="37"/>
  <c r="N741" i="37"/>
  <c r="N740" i="37" s="1"/>
  <c r="N739" i="37" s="1"/>
  <c r="N709" i="37"/>
  <c r="N708" i="37" s="1"/>
  <c r="N707" i="37" s="1"/>
  <c r="N710" i="37"/>
  <c r="N728" i="37"/>
  <c r="N711" i="37"/>
  <c r="N702" i="37"/>
  <c r="N726" i="37"/>
  <c r="N733" i="37"/>
  <c r="N732" i="37" s="1"/>
  <c r="N731" i="37" s="1"/>
  <c r="N712" i="37"/>
  <c r="N703" i="37"/>
  <c r="N695" i="37"/>
  <c r="N696" i="37"/>
  <c r="N736" i="37"/>
  <c r="N719" i="37"/>
  <c r="N725" i="37"/>
  <c r="N724" i="37" s="1"/>
  <c r="N723" i="37" s="1"/>
  <c r="N718" i="37"/>
  <c r="N720" i="37"/>
  <c r="N744" i="37"/>
  <c r="N717" i="37"/>
  <c r="N716" i="37" s="1"/>
  <c r="N715" i="37" s="1"/>
  <c r="N693" i="37"/>
  <c r="N692" i="37" s="1"/>
  <c r="N691" i="37" s="1"/>
  <c r="N735" i="37"/>
  <c r="N694" i="37"/>
  <c r="AH631" i="33"/>
  <c r="P717" i="37"/>
  <c r="P716" i="37" s="1"/>
  <c r="P715" i="37" s="1"/>
  <c r="Q722" i="37" s="1"/>
  <c r="P709" i="37"/>
  <c r="P708" i="37" s="1"/>
  <c r="P707" i="37" s="1"/>
  <c r="Q714" i="37" s="1"/>
  <c r="P693" i="37"/>
  <c r="P692" i="37" s="1"/>
  <c r="P691" i="37" s="1"/>
  <c r="P733" i="37"/>
  <c r="P732" i="37" s="1"/>
  <c r="P731" i="37" s="1"/>
  <c r="Q738" i="37" s="1"/>
  <c r="P712" i="37"/>
  <c r="P726" i="37"/>
  <c r="P694" i="37"/>
  <c r="P727" i="37"/>
  <c r="P703" i="37"/>
  <c r="P719" i="37"/>
  <c r="P711" i="37"/>
  <c r="P701" i="37"/>
  <c r="P700" i="37" s="1"/>
  <c r="P699" i="37" s="1"/>
  <c r="Q706" i="37" s="1"/>
  <c r="P734" i="37"/>
  <c r="P743" i="37"/>
  <c r="P710" i="37"/>
  <c r="P702" i="37"/>
  <c r="P735" i="37"/>
  <c r="P728" i="37"/>
  <c r="P718" i="37"/>
  <c r="P695" i="37"/>
  <c r="P736" i="37"/>
  <c r="P741" i="37"/>
  <c r="P740" i="37" s="1"/>
  <c r="P739" i="37" s="1"/>
  <c r="Q746" i="37" s="1"/>
  <c r="P742" i="37"/>
  <c r="P744" i="37"/>
  <c r="P720" i="37"/>
  <c r="P725" i="37"/>
  <c r="P724" i="37" s="1"/>
  <c r="P723" i="37" s="1"/>
  <c r="Q730" i="37" s="1"/>
  <c r="P696" i="37"/>
  <c r="P704" i="37"/>
  <c r="Q698" i="37" l="1"/>
  <c r="C225" i="51" a="1"/>
  <c r="C225" i="51" s="1"/>
  <c r="HD85" i="28"/>
  <c r="FI85" i="28" a="1"/>
  <c r="FI85" i="28" s="1"/>
  <c r="FX85" i="28" s="1"/>
  <c r="GU62" i="28"/>
  <c r="EZ62" i="28" a="1"/>
  <c r="EZ62" i="28" s="1"/>
  <c r="FO62" i="28" s="1"/>
  <c r="DA62" i="28"/>
  <c r="DP62" i="28" s="1"/>
  <c r="BN62" i="28"/>
  <c r="FA62" i="28" s="1" a="1"/>
  <c r="FA62" i="28" s="1"/>
  <c r="P730" i="37"/>
  <c r="P722" i="37"/>
  <c r="P714" i="37"/>
  <c r="P746" i="37"/>
  <c r="P738" i="37"/>
  <c r="N730" i="37"/>
  <c r="N698" i="37"/>
  <c r="N738" i="37"/>
  <c r="N746" i="37"/>
  <c r="N714" i="37"/>
  <c r="O730" i="37"/>
  <c r="N722" i="37"/>
  <c r="P706" i="37"/>
  <c r="AI631" i="33"/>
  <c r="O738" i="37"/>
  <c r="N706" i="37"/>
  <c r="O746" i="37"/>
  <c r="P698" i="37"/>
  <c r="O714" i="37"/>
  <c r="O698" i="37"/>
  <c r="O722" i="37"/>
  <c r="O706" i="37"/>
  <c r="DB62" i="28" l="1"/>
  <c r="DQ62" i="28" s="1"/>
  <c r="GV62" i="28"/>
  <c r="BO62" i="28"/>
  <c r="AJ631" i="33"/>
  <c r="FP62" i="28"/>
  <c r="BP62" i="28" l="1"/>
  <c r="FC62" i="28" s="1" a="1"/>
  <c r="FC62" i="28" s="1"/>
  <c r="FB62" i="28" a="1"/>
  <c r="FB62" i="28" s="1"/>
  <c r="FQ62" i="28" s="1"/>
  <c r="DC62" i="28"/>
  <c r="DR62" i="28" s="1"/>
  <c r="GW62" i="28"/>
  <c r="AK631" i="33"/>
  <c r="GX62" i="28" l="1"/>
  <c r="BQ62" i="28"/>
  <c r="FD62" i="28" s="1" a="1"/>
  <c r="FD62" i="28" s="1"/>
  <c r="DD62" i="28"/>
  <c r="DS62" i="28" s="1"/>
  <c r="AL631" i="33"/>
  <c r="FR62" i="28"/>
  <c r="DE62" i="28" l="1"/>
  <c r="EB62" i="28" s="1"/>
  <c r="GY62" i="28"/>
  <c r="BR62" i="28"/>
  <c r="BS62" i="28" s="1"/>
  <c r="FF62" i="28" s="1" a="1"/>
  <c r="FF62" i="28" s="1"/>
  <c r="FS62" i="28"/>
  <c r="DT62" i="28" l="1"/>
  <c r="DF62" i="28"/>
  <c r="DU62" i="28" s="1"/>
  <c r="GZ62" i="28"/>
  <c r="FE62" i="28" a="1"/>
  <c r="FE62" i="28" s="1"/>
  <c r="FT62" i="28" s="1"/>
  <c r="HA62" i="28"/>
  <c r="BT62" i="28"/>
  <c r="FG62" i="28" s="1" a="1"/>
  <c r="FG62" i="28" s="1"/>
  <c r="DG62" i="28"/>
  <c r="DV62" i="28" s="1"/>
  <c r="FU62" i="28"/>
  <c r="HB62" i="28" l="1"/>
  <c r="BU62" i="28"/>
  <c r="FH62" i="28" s="1" a="1"/>
  <c r="FH62" i="28" s="1"/>
  <c r="DH62" i="28"/>
  <c r="DW62" i="28" s="1"/>
  <c r="FV62" i="28"/>
  <c r="HC62" i="28" l="1"/>
  <c r="BV62" i="28"/>
  <c r="FI62" i="28" s="1" a="1"/>
  <c r="FI62" i="28" s="1"/>
  <c r="DI62" i="28"/>
  <c r="DX62" i="28" s="1"/>
  <c r="FW62" i="28"/>
  <c r="HD62" i="28" l="1"/>
  <c r="DJ62" i="28"/>
  <c r="DY62" i="28" s="1"/>
  <c r="FX62" i="28"/>
  <c r="H126" i="37" l="1"/>
  <c r="I126" i="37"/>
  <c r="J126" i="37"/>
  <c r="G126" i="37"/>
  <c r="G790" i="38" l="1"/>
  <c r="H784" i="38" s="1"/>
  <c r="G779" i="38"/>
  <c r="C787" i="38"/>
  <c r="G780" i="38" l="1"/>
  <c r="H776" i="38" s="1"/>
  <c r="J758" i="38"/>
  <c r="N776" i="38"/>
  <c r="H789" i="38"/>
  <c r="G758" i="38"/>
  <c r="N777" i="38"/>
  <c r="M758" i="38"/>
  <c r="H782" i="38"/>
  <c r="H787" i="38"/>
  <c r="H786" i="38"/>
  <c r="C791" i="38"/>
  <c r="J762" i="38"/>
  <c r="C779" i="38"/>
  <c r="C790" i="38"/>
  <c r="N780" i="38" s="1"/>
  <c r="N778" i="38"/>
  <c r="G762" i="38"/>
  <c r="H783" i="38"/>
  <c r="H785" i="38"/>
  <c r="M762" i="38"/>
  <c r="H777" i="38" l="1"/>
  <c r="AN56" i="28"/>
  <c r="AN55" i="28"/>
  <c r="M786" i="38"/>
  <c r="Q246" i="37" s="1"/>
  <c r="L786" i="38"/>
  <c r="H779" i="38"/>
  <c r="H778" i="38"/>
  <c r="N786" i="38"/>
  <c r="AN57" i="28"/>
  <c r="AN50" i="28"/>
  <c r="C780" i="38"/>
  <c r="HW53" i="28"/>
  <c r="HW13" i="28"/>
  <c r="HW51" i="28"/>
  <c r="HW18" i="28"/>
  <c r="HW56" i="28"/>
  <c r="L780" i="38"/>
  <c r="HW15" i="28"/>
  <c r="HW50" i="28"/>
  <c r="HW14" i="28"/>
  <c r="HW55" i="28"/>
  <c r="M780" i="38"/>
  <c r="HW52" i="28"/>
  <c r="HW17" i="28"/>
  <c r="HW57" i="28"/>
  <c r="HW16" i="28"/>
  <c r="HW54" i="28"/>
  <c r="HW12" i="28"/>
  <c r="N779" i="38"/>
  <c r="P246" i="37" l="1"/>
  <c r="P253" i="37" s="1"/>
  <c r="K246" i="37"/>
  <c r="K253" i="37" s="1"/>
  <c r="J246" i="37"/>
  <c r="J253" i="37" s="1"/>
  <c r="O239" i="37"/>
  <c r="I239" i="37"/>
  <c r="J239" i="37"/>
  <c r="U239" i="37"/>
  <c r="I246" i="37"/>
  <c r="I253" i="37" s="1"/>
  <c r="P239" i="37"/>
  <c r="T239" i="37"/>
  <c r="M246" i="37"/>
  <c r="M253" i="37" s="1"/>
  <c r="G246" i="37"/>
  <c r="G253" i="37" s="1"/>
  <c r="N246" i="37"/>
  <c r="N253" i="37" s="1"/>
  <c r="L246" i="37"/>
  <c r="L253" i="37" s="1"/>
  <c r="L239" i="37"/>
  <c r="U246" i="37"/>
  <c r="M239" i="37"/>
  <c r="N239" i="37"/>
  <c r="T246" i="37"/>
  <c r="T253" i="37" s="1"/>
  <c r="H239" i="37"/>
  <c r="H246" i="37"/>
  <c r="H253" i="37" s="1"/>
  <c r="O246" i="37"/>
  <c r="O253" i="37" s="1"/>
  <c r="K239" i="37"/>
  <c r="S239" i="37"/>
  <c r="S246" i="37"/>
  <c r="R239" i="37"/>
  <c r="R246" i="37"/>
  <c r="Q239" i="37"/>
  <c r="AH246" i="37" s="1"/>
  <c r="U245" i="37"/>
  <c r="O245" i="37"/>
  <c r="K238" i="37"/>
  <c r="I245" i="37"/>
  <c r="I244" i="37" s="1"/>
  <c r="Q245" i="37"/>
  <c r="Q244" i="37" s="1"/>
  <c r="T238" i="37"/>
  <c r="M245" i="37"/>
  <c r="M244" i="37" s="1"/>
  <c r="M247" i="37" s="1"/>
  <c r="H245" i="37"/>
  <c r="L245" i="37"/>
  <c r="Q238" i="37"/>
  <c r="U238" i="37"/>
  <c r="U240" i="37" s="1"/>
  <c r="L238" i="37"/>
  <c r="J245" i="37"/>
  <c r="R245" i="37"/>
  <c r="R238" i="37"/>
  <c r="N238" i="37"/>
  <c r="N245" i="37"/>
  <c r="I238" i="37"/>
  <c r="T245" i="37"/>
  <c r="S245" i="37"/>
  <c r="K245" i="37"/>
  <c r="P238" i="37"/>
  <c r="M238" i="37"/>
  <c r="J238" i="37"/>
  <c r="S238" i="37"/>
  <c r="O238" i="37"/>
  <c r="H238" i="37"/>
  <c r="G245" i="37"/>
  <c r="P245" i="37"/>
  <c r="AL56" i="28"/>
  <c r="AL55" i="28"/>
  <c r="O786" i="38"/>
  <c r="AM56" i="28"/>
  <c r="AM55" i="28"/>
  <c r="Q253" i="37"/>
  <c r="AM50" i="28"/>
  <c r="AM57" i="28"/>
  <c r="AL57" i="28"/>
  <c r="AL50" i="28"/>
  <c r="K776" i="38"/>
  <c r="D781" i="38"/>
  <c r="E781" i="38"/>
  <c r="K777" i="38"/>
  <c r="K778" i="38"/>
  <c r="G781" i="38"/>
  <c r="K779" i="38"/>
  <c r="AG246" i="37" l="1"/>
  <c r="AH253" i="37"/>
  <c r="AA246" i="37"/>
  <c r="K240" i="37"/>
  <c r="L237" i="37"/>
  <c r="AL246" i="37"/>
  <c r="J244" i="37"/>
  <c r="J247" i="37" s="1"/>
  <c r="P244" i="37"/>
  <c r="P247" i="37" s="1"/>
  <c r="AB246" i="37"/>
  <c r="O240" i="37"/>
  <c r="I237" i="37"/>
  <c r="Z244" i="37" s="1"/>
  <c r="AI246" i="37"/>
  <c r="AK253" i="37"/>
  <c r="U253" i="37"/>
  <c r="AL253" i="37" s="1"/>
  <c r="Z246" i="37"/>
  <c r="I240" i="37"/>
  <c r="H244" i="37"/>
  <c r="H247" i="37" s="1"/>
  <c r="R253" i="37"/>
  <c r="AI253" i="37" s="1"/>
  <c r="T244" i="37"/>
  <c r="T247" i="37" s="1"/>
  <c r="AD246" i="37"/>
  <c r="R244" i="37"/>
  <c r="R247" i="37" s="1"/>
  <c r="S244" i="37"/>
  <c r="S247" i="37" s="1"/>
  <c r="J237" i="37"/>
  <c r="AA244" i="37" s="1"/>
  <c r="G239" i="37"/>
  <c r="X246" i="37" s="1"/>
  <c r="AE246" i="37"/>
  <c r="Y246" i="37"/>
  <c r="AK246" i="37"/>
  <c r="F246" i="37"/>
  <c r="AF246" i="37"/>
  <c r="V246" i="37"/>
  <c r="H240" i="37"/>
  <c r="AJ246" i="37"/>
  <c r="O244" i="37"/>
  <c r="O247" i="37" s="1"/>
  <c r="S237" i="37"/>
  <c r="U244" i="37"/>
  <c r="U247" i="37" s="1"/>
  <c r="AL247" i="37" s="1"/>
  <c r="M240" i="37"/>
  <c r="AD247" i="37" s="1"/>
  <c r="AC246" i="37"/>
  <c r="S253" i="37"/>
  <c r="AJ253" i="37" s="1"/>
  <c r="P240" i="37"/>
  <c r="T237" i="37"/>
  <c r="N240" i="37"/>
  <c r="R240" i="37"/>
  <c r="Q240" i="37"/>
  <c r="N237" i="37"/>
  <c r="L240" i="37"/>
  <c r="K237" i="37"/>
  <c r="U237" i="37"/>
  <c r="H237" i="37"/>
  <c r="Q237" i="37"/>
  <c r="AH244" i="37" s="1"/>
  <c r="O237" i="37"/>
  <c r="S240" i="37"/>
  <c r="T240" i="37"/>
  <c r="J240" i="37"/>
  <c r="P237" i="37"/>
  <c r="AK55" i="28"/>
  <c r="O252" i="37"/>
  <c r="AF252" i="37" s="1"/>
  <c r="AF245" i="37"/>
  <c r="AG93" i="37"/>
  <c r="AK93" i="37"/>
  <c r="AO93" i="37"/>
  <c r="AN93" i="37"/>
  <c r="AH93" i="37"/>
  <c r="AD93" i="37"/>
  <c r="AA93" i="37"/>
  <c r="AL93" i="37"/>
  <c r="AE93" i="37"/>
  <c r="AJ93" i="37"/>
  <c r="AI93" i="37"/>
  <c r="AF93" i="37"/>
  <c r="AB93" i="37"/>
  <c r="AM93" i="37"/>
  <c r="AC93" i="37"/>
  <c r="N252" i="37"/>
  <c r="AE252" i="37" s="1"/>
  <c r="AE245" i="37"/>
  <c r="AC245" i="37"/>
  <c r="L252" i="37"/>
  <c r="AC252" i="37" s="1"/>
  <c r="AL245" i="37"/>
  <c r="U252" i="37"/>
  <c r="AL252" i="37" s="1"/>
  <c r="Y245" i="37"/>
  <c r="H252" i="37"/>
  <c r="Y252" i="37" s="1"/>
  <c r="R237" i="37"/>
  <c r="AD245" i="37"/>
  <c r="M252" i="37"/>
  <c r="AD252" i="37" s="1"/>
  <c r="AK56" i="28"/>
  <c r="AI245" i="37"/>
  <c r="R252" i="37"/>
  <c r="AI252" i="37" s="1"/>
  <c r="M237" i="37"/>
  <c r="AD244" i="37" s="1"/>
  <c r="P252" i="37"/>
  <c r="AG252" i="37" s="1"/>
  <c r="AG245" i="37"/>
  <c r="AB245" i="37"/>
  <c r="K252" i="37"/>
  <c r="AB252" i="37" s="1"/>
  <c r="J252" i="37"/>
  <c r="J251" i="37" s="1"/>
  <c r="V245" i="37"/>
  <c r="AA245" i="37"/>
  <c r="AH245" i="37"/>
  <c r="Q252" i="37"/>
  <c r="AH252" i="37" s="1"/>
  <c r="L244" i="37"/>
  <c r="G252" i="37"/>
  <c r="G251" i="37" s="1"/>
  <c r="F245" i="37"/>
  <c r="AJ245" i="37"/>
  <c r="S252" i="37"/>
  <c r="AJ252" i="37" s="1"/>
  <c r="I252" i="37"/>
  <c r="Z252" i="37" s="1"/>
  <c r="Z245" i="37"/>
  <c r="N244" i="37"/>
  <c r="N247" i="37" s="1"/>
  <c r="G238" i="37"/>
  <c r="AK245" i="37"/>
  <c r="T252" i="37"/>
  <c r="AK252" i="37" s="1"/>
  <c r="K244" i="37"/>
  <c r="G244" i="37"/>
  <c r="G247" i="37" s="1"/>
  <c r="AK57" i="28"/>
  <c r="Q247" i="37"/>
  <c r="AK50" i="28"/>
  <c r="Q288" i="37"/>
  <c r="AH288" i="37" s="1"/>
  <c r="T267" i="37"/>
  <c r="AK267" i="37" s="1"/>
  <c r="Q260" i="37"/>
  <c r="AH260" i="37" s="1"/>
  <c r="Q267" i="37"/>
  <c r="AH267" i="37" s="1"/>
  <c r="T295" i="37"/>
  <c r="AK295" i="37" s="1"/>
  <c r="Q281" i="37"/>
  <c r="AH281" i="37" s="1"/>
  <c r="Q274" i="37"/>
  <c r="AH274" i="37" s="1"/>
  <c r="T274" i="37"/>
  <c r="AK274" i="37" s="1"/>
  <c r="T281" i="37"/>
  <c r="AK281" i="37" s="1"/>
  <c r="T260" i="37"/>
  <c r="AK260" i="37" s="1"/>
  <c r="T288" i="37"/>
  <c r="AK288" i="37" s="1"/>
  <c r="Q295" i="37"/>
  <c r="AH295" i="37" s="1"/>
  <c r="H260" i="37"/>
  <c r="Y260" i="37" s="1"/>
  <c r="Y253" i="37"/>
  <c r="H295" i="37"/>
  <c r="H288" i="37"/>
  <c r="Y288" i="37" s="1"/>
  <c r="H274" i="37"/>
  <c r="Y274" i="37" s="1"/>
  <c r="H281" i="37"/>
  <c r="Y281" i="37" s="1"/>
  <c r="H267" i="37"/>
  <c r="Y267" i="37" s="1"/>
  <c r="L281" i="37"/>
  <c r="AC281" i="37" s="1"/>
  <c r="L295" i="37"/>
  <c r="L267" i="37"/>
  <c r="AC267" i="37" s="1"/>
  <c r="AC253" i="37"/>
  <c r="L260" i="37"/>
  <c r="AC260" i="37" s="1"/>
  <c r="L274" i="37"/>
  <c r="AC274" i="37" s="1"/>
  <c r="L288" i="37"/>
  <c r="AC288" i="37" s="1"/>
  <c r="I247" i="37"/>
  <c r="K281" i="37"/>
  <c r="AB281" i="37" s="1"/>
  <c r="K267" i="37"/>
  <c r="AB267" i="37" s="1"/>
  <c r="K288" i="37"/>
  <c r="AB288" i="37" s="1"/>
  <c r="K260" i="37"/>
  <c r="AB260" i="37" s="1"/>
  <c r="K274" i="37"/>
  <c r="K295" i="37"/>
  <c r="AB253" i="37"/>
  <c r="N295" i="37"/>
  <c r="N281" i="37"/>
  <c r="AE281" i="37" s="1"/>
  <c r="N288" i="37"/>
  <c r="AE288" i="37" s="1"/>
  <c r="AE253" i="37"/>
  <c r="N267" i="37"/>
  <c r="AE267" i="37" s="1"/>
  <c r="N274" i="37"/>
  <c r="AE274" i="37" s="1"/>
  <c r="N260" i="37"/>
  <c r="AE260" i="37" s="1"/>
  <c r="M260" i="37"/>
  <c r="AD260" i="37" s="1"/>
  <c r="M288" i="37"/>
  <c r="AD288" i="37" s="1"/>
  <c r="M281" i="37"/>
  <c r="AD281" i="37" s="1"/>
  <c r="M267" i="37"/>
  <c r="AD267" i="37" s="1"/>
  <c r="AD253" i="37"/>
  <c r="M274" i="37"/>
  <c r="AD274" i="37" s="1"/>
  <c r="M295" i="37"/>
  <c r="J260" i="37"/>
  <c r="J267" i="37"/>
  <c r="J295" i="37"/>
  <c r="J274" i="37"/>
  <c r="J288" i="37"/>
  <c r="J281" i="37"/>
  <c r="AA253" i="37"/>
  <c r="G274" i="37"/>
  <c r="I185" i="51" s="1" a="1"/>
  <c r="I185" i="51" s="1"/>
  <c r="G281" i="37"/>
  <c r="G267" i="37"/>
  <c r="G295" i="37"/>
  <c r="G288" i="37"/>
  <c r="G260" i="37"/>
  <c r="F253" i="37"/>
  <c r="P281" i="37"/>
  <c r="AG281" i="37" s="1"/>
  <c r="P295" i="37"/>
  <c r="P260" i="37"/>
  <c r="AG260" i="37" s="1"/>
  <c r="P274" i="37"/>
  <c r="AG274" i="37" s="1"/>
  <c r="P267" i="37"/>
  <c r="AG267" i="37" s="1"/>
  <c r="P288" i="37"/>
  <c r="AG288" i="37" s="1"/>
  <c r="AG253" i="37"/>
  <c r="O267" i="37"/>
  <c r="AF267" i="37" s="1"/>
  <c r="O288" i="37"/>
  <c r="AF288" i="37" s="1"/>
  <c r="O274" i="37"/>
  <c r="AF274" i="37" s="1"/>
  <c r="O260" i="37"/>
  <c r="AF260" i="37" s="1"/>
  <c r="O281" i="37"/>
  <c r="AF281" i="37" s="1"/>
  <c r="AF253" i="37"/>
  <c r="O295" i="37"/>
  <c r="I274" i="37"/>
  <c r="Z274" i="37" s="1"/>
  <c r="I267" i="37"/>
  <c r="Z267" i="37" s="1"/>
  <c r="Z253" i="37"/>
  <c r="I295" i="37"/>
  <c r="I281" i="37"/>
  <c r="Z281" i="37" s="1"/>
  <c r="I260" i="37"/>
  <c r="Z260" i="37" s="1"/>
  <c r="I288" i="37"/>
  <c r="Z288" i="37" s="1"/>
  <c r="J185" i="51" l="1" a="1"/>
  <c r="J185" i="51" s="1"/>
  <c r="K185" i="51" s="1" a="1"/>
  <c r="K185" i="51" s="1"/>
  <c r="L185" i="51" s="1" a="1"/>
  <c r="L185" i="51" s="1"/>
  <c r="M185" i="51" s="1" a="1"/>
  <c r="M185" i="51" s="1"/>
  <c r="N185" i="51" s="1" a="1"/>
  <c r="N185" i="51" s="1"/>
  <c r="O185" i="51" s="1" a="1"/>
  <c r="O185" i="51" s="1"/>
  <c r="P185" i="51" s="1" a="1"/>
  <c r="P185" i="51" s="1"/>
  <c r="Q185" i="51" s="1" a="1"/>
  <c r="Q185" i="51" s="1"/>
  <c r="R185" i="51" s="1" a="1"/>
  <c r="R185" i="51" s="1"/>
  <c r="AB274" i="37"/>
  <c r="I266" i="37"/>
  <c r="Z266" i="37" s="1"/>
  <c r="P266" i="37"/>
  <c r="AG266" i="37" s="1"/>
  <c r="Q287" i="37"/>
  <c r="P294" i="37"/>
  <c r="AG294" i="37" s="1"/>
  <c r="U260" i="37"/>
  <c r="AL260" i="37" s="1"/>
  <c r="AG244" i="37"/>
  <c r="U267" i="37"/>
  <c r="AL267" i="37" s="1"/>
  <c r="S295" i="37"/>
  <c r="AJ295" i="37" s="1"/>
  <c r="U295" i="37"/>
  <c r="AL295" i="37" s="1"/>
  <c r="AF247" i="37"/>
  <c r="S260" i="37"/>
  <c r="AJ260" i="37" s="1"/>
  <c r="S281" i="37"/>
  <c r="AJ281" i="37" s="1"/>
  <c r="L273" i="37"/>
  <c r="AC273" i="37" s="1"/>
  <c r="H287" i="37"/>
  <c r="Y287" i="37" s="1"/>
  <c r="S267" i="37"/>
  <c r="AJ267" i="37" s="1"/>
  <c r="U288" i="37"/>
  <c r="AL288" i="37" s="1"/>
  <c r="S288" i="37"/>
  <c r="AJ288" i="37" s="1"/>
  <c r="S274" i="37"/>
  <c r="AJ274" i="37" s="1"/>
  <c r="U281" i="37"/>
  <c r="AL281" i="37" s="1"/>
  <c r="U294" i="37"/>
  <c r="AJ244" i="37"/>
  <c r="U274" i="37"/>
  <c r="AL274" i="37" s="1"/>
  <c r="I280" i="37"/>
  <c r="Z280" i="37" s="1"/>
  <c r="Z247" i="37"/>
  <c r="M287" i="37"/>
  <c r="AD287" i="37" s="1"/>
  <c r="Q259" i="37"/>
  <c r="Q258" i="37" s="1"/>
  <c r="AG247" i="37"/>
  <c r="R273" i="37"/>
  <c r="AI273" i="37" s="1"/>
  <c r="I287" i="37"/>
  <c r="Z287" i="37" s="1"/>
  <c r="R266" i="37"/>
  <c r="AI247" i="37"/>
  <c r="O251" i="37"/>
  <c r="O254" i="37" s="1"/>
  <c r="AF254" i="37" s="1"/>
  <c r="AK244" i="37"/>
  <c r="J259" i="37"/>
  <c r="AA259" i="37" s="1"/>
  <c r="Q294" i="37"/>
  <c r="Q293" i="37" s="1"/>
  <c r="AN246" i="37"/>
  <c r="J280" i="37"/>
  <c r="J279" i="37" s="1"/>
  <c r="AI244" i="37"/>
  <c r="I294" i="37"/>
  <c r="Z294" i="37" s="1"/>
  <c r="R287" i="37"/>
  <c r="AI287" i="37" s="1"/>
  <c r="J287" i="37"/>
  <c r="AA287" i="37" s="1"/>
  <c r="AM246" i="37"/>
  <c r="I259" i="37"/>
  <c r="Z259" i="37" s="1"/>
  <c r="I273" i="37"/>
  <c r="Z273" i="37" s="1"/>
  <c r="R294" i="37"/>
  <c r="AI294" i="37" s="1"/>
  <c r="H294" i="37"/>
  <c r="Y294" i="37" s="1"/>
  <c r="V253" i="37"/>
  <c r="Y244" i="37"/>
  <c r="P273" i="37"/>
  <c r="AG273" i="37" s="1"/>
  <c r="R260" i="37"/>
  <c r="AI260" i="37" s="1"/>
  <c r="R281" i="37"/>
  <c r="AI281" i="37" s="1"/>
  <c r="T273" i="37"/>
  <c r="T272" i="37" s="1"/>
  <c r="R251" i="37"/>
  <c r="R254" i="37" s="1"/>
  <c r="AI254" i="37" s="1"/>
  <c r="P287" i="37"/>
  <c r="AG287" i="37" s="1"/>
  <c r="R295" i="37"/>
  <c r="AI295" i="37" s="1"/>
  <c r="J294" i="37"/>
  <c r="J293" i="37" s="1"/>
  <c r="H266" i="37"/>
  <c r="Y266" i="37" s="1"/>
  <c r="J273" i="37"/>
  <c r="AA273" i="37" s="1"/>
  <c r="AE247" i="37"/>
  <c r="L251" i="37"/>
  <c r="L254" i="37" s="1"/>
  <c r="AC254" i="37" s="1"/>
  <c r="P259" i="37"/>
  <c r="AG259" i="37" s="1"/>
  <c r="P280" i="37"/>
  <c r="AG280" i="37" s="1"/>
  <c r="R288" i="37"/>
  <c r="AI288" i="37" s="1"/>
  <c r="Q273" i="37"/>
  <c r="Q272" i="37" s="1"/>
  <c r="Q280" i="37"/>
  <c r="AH280" i="37" s="1"/>
  <c r="R267" i="37"/>
  <c r="AI267" i="37" s="1"/>
  <c r="R274" i="37"/>
  <c r="AI274" i="37" s="1"/>
  <c r="K251" i="37"/>
  <c r="K254" i="37" s="1"/>
  <c r="AB254" i="37" s="1"/>
  <c r="J266" i="37"/>
  <c r="AA266" i="37" s="1"/>
  <c r="T287" i="37"/>
  <c r="AK287" i="37" s="1"/>
  <c r="Y247" i="37"/>
  <c r="X253" i="37"/>
  <c r="AM253" i="37" s="1"/>
  <c r="Q266" i="37"/>
  <c r="AH266" i="37" s="1"/>
  <c r="U287" i="37"/>
  <c r="AL287" i="37" s="1"/>
  <c r="AF244" i="37"/>
  <c r="R280" i="37"/>
  <c r="AI280" i="37" s="1"/>
  <c r="AL244" i="37"/>
  <c r="S259" i="37"/>
  <c r="T266" i="37"/>
  <c r="T265" i="37" s="1"/>
  <c r="T280" i="37"/>
  <c r="T279" i="37" s="1"/>
  <c r="R259" i="37"/>
  <c r="AI259" i="37" s="1"/>
  <c r="AH247" i="37"/>
  <c r="L280" i="37"/>
  <c r="AC280" i="37" s="1"/>
  <c r="L294" i="37"/>
  <c r="AC294" i="37" s="1"/>
  <c r="L266" i="37"/>
  <c r="AC266" i="37" s="1"/>
  <c r="L259" i="37"/>
  <c r="AC259" i="37" s="1"/>
  <c r="L287" i="37"/>
  <c r="AC287" i="37" s="1"/>
  <c r="U266" i="37"/>
  <c r="U251" i="37"/>
  <c r="AL251" i="37" s="1"/>
  <c r="H273" i="37"/>
  <c r="Y273" i="37" s="1"/>
  <c r="M280" i="37"/>
  <c r="AD280" i="37" s="1"/>
  <c r="M251" i="37"/>
  <c r="AD251" i="37" s="1"/>
  <c r="M266" i="37"/>
  <c r="AD266" i="37" s="1"/>
  <c r="M294" i="37"/>
  <c r="AD294" i="37" s="1"/>
  <c r="M259" i="37"/>
  <c r="AD259" i="37" s="1"/>
  <c r="U280" i="37"/>
  <c r="AL280" i="37" s="1"/>
  <c r="U273" i="37"/>
  <c r="AL273" i="37" s="1"/>
  <c r="M273" i="37"/>
  <c r="AD273" i="37" s="1"/>
  <c r="H280" i="37"/>
  <c r="Y280" i="37" s="1"/>
  <c r="H259" i="37"/>
  <c r="Y259" i="37" s="1"/>
  <c r="U259" i="37"/>
  <c r="U258" i="37" s="1"/>
  <c r="O259" i="37"/>
  <c r="AF259" i="37" s="1"/>
  <c r="O287" i="37"/>
  <c r="AF287" i="37" s="1"/>
  <c r="O280" i="37"/>
  <c r="AF280" i="37" s="1"/>
  <c r="O294" i="37"/>
  <c r="AF294" i="37" s="1"/>
  <c r="O266" i="37"/>
  <c r="AF266" i="37" s="1"/>
  <c r="O273" i="37"/>
  <c r="AF273" i="37" s="1"/>
  <c r="T259" i="37"/>
  <c r="AK259" i="37" s="1"/>
  <c r="T294" i="37"/>
  <c r="T293" i="37" s="1"/>
  <c r="AJ247" i="37"/>
  <c r="V244" i="37"/>
  <c r="J254" i="37"/>
  <c r="AA254" i="37" s="1"/>
  <c r="AA251" i="37"/>
  <c r="K259" i="37"/>
  <c r="AB259" i="37" s="1"/>
  <c r="K280" i="37"/>
  <c r="AB280" i="37" s="1"/>
  <c r="AA247" i="37"/>
  <c r="K266" i="37"/>
  <c r="AB266" i="37" s="1"/>
  <c r="N273" i="37"/>
  <c r="AE273" i="37" s="1"/>
  <c r="G280" i="37"/>
  <c r="X280" i="37" s="1"/>
  <c r="N294" i="37"/>
  <c r="AE294" i="37" s="1"/>
  <c r="N280" i="37"/>
  <c r="N279" i="37" s="1"/>
  <c r="AE279" i="37" s="1"/>
  <c r="N287" i="37"/>
  <c r="AE287" i="37" s="1"/>
  <c r="G273" i="37"/>
  <c r="I186" i="51" s="1" a="1"/>
  <c r="I186" i="51" s="1"/>
  <c r="AK247" i="37"/>
  <c r="N266" i="37"/>
  <c r="AE266" i="37" s="1"/>
  <c r="G294" i="37"/>
  <c r="X294" i="37" s="1"/>
  <c r="K294" i="37"/>
  <c r="AB294" i="37" s="1"/>
  <c r="N259" i="37"/>
  <c r="AE259" i="37" s="1"/>
  <c r="G287" i="37"/>
  <c r="X287" i="37" s="1"/>
  <c r="K287" i="37"/>
  <c r="AB287" i="37" s="1"/>
  <c r="G266" i="37"/>
  <c r="X266" i="37" s="1"/>
  <c r="G259" i="37"/>
  <c r="X259" i="37" s="1"/>
  <c r="N251" i="37"/>
  <c r="K273" i="37"/>
  <c r="F244" i="37"/>
  <c r="T251" i="37"/>
  <c r="T254" i="37" s="1"/>
  <c r="AK254" i="37" s="1"/>
  <c r="I251" i="37"/>
  <c r="S280" i="37"/>
  <c r="AJ280" i="37" s="1"/>
  <c r="S266" i="37"/>
  <c r="P251" i="37"/>
  <c r="S294" i="37"/>
  <c r="AJ294" i="37" s="1"/>
  <c r="S273" i="37"/>
  <c r="AJ273" i="37" s="1"/>
  <c r="G254" i="37"/>
  <c r="L247" i="37"/>
  <c r="AC247" i="37" s="1"/>
  <c r="AC244" i="37"/>
  <c r="X245" i="37"/>
  <c r="AM245" i="37" s="1"/>
  <c r="G237" i="37"/>
  <c r="X244" i="37" s="1"/>
  <c r="G240" i="37"/>
  <c r="X247" i="37" s="1"/>
  <c r="H251" i="37"/>
  <c r="Q251" i="37"/>
  <c r="AH251" i="37" s="1"/>
  <c r="S287" i="37"/>
  <c r="AN245" i="37"/>
  <c r="S251" i="37"/>
  <c r="AJ251" i="37" s="1"/>
  <c r="X252" i="37"/>
  <c r="F252" i="37"/>
  <c r="AE244" i="37"/>
  <c r="V252" i="37"/>
  <c r="AA252" i="37"/>
  <c r="AN252" i="37" s="1"/>
  <c r="AB244" i="37"/>
  <c r="K247" i="37"/>
  <c r="AB247" i="37" s="1"/>
  <c r="AA281" i="37"/>
  <c r="AA288" i="37"/>
  <c r="AA274" i="37"/>
  <c r="AA267" i="37"/>
  <c r="AA260" i="37"/>
  <c r="AB100" i="37"/>
  <c r="AB97" i="37"/>
  <c r="AC96" i="37"/>
  <c r="AC94" i="37"/>
  <c r="AB95" i="37"/>
  <c r="AB99" i="37"/>
  <c r="AD96" i="37"/>
  <c r="AB94" i="37"/>
  <c r="AD94" i="37"/>
  <c r="AD97" i="37"/>
  <c r="AC98" i="37"/>
  <c r="AA95" i="37"/>
  <c r="AB98" i="37"/>
  <c r="AA99" i="37"/>
  <c r="AA100" i="37"/>
  <c r="AD100" i="37"/>
  <c r="AC99" i="37"/>
  <c r="AD98" i="37"/>
  <c r="AD95" i="37"/>
  <c r="AC95" i="37"/>
  <c r="AA96" i="37"/>
  <c r="AA98" i="37"/>
  <c r="AC100" i="37"/>
  <c r="AC97" i="37"/>
  <c r="AA97" i="37"/>
  <c r="AA94" i="37"/>
  <c r="AD99" i="37"/>
  <c r="AB96" i="37"/>
  <c r="AH287" i="37"/>
  <c r="Q286" i="37"/>
  <c r="AN253" i="37"/>
  <c r="AG295" i="37"/>
  <c r="AE295" i="37"/>
  <c r="X288" i="37"/>
  <c r="F288" i="37"/>
  <c r="Z295" i="37"/>
  <c r="X260" i="37"/>
  <c r="F260" i="37"/>
  <c r="AD295" i="37"/>
  <c r="X295" i="37"/>
  <c r="F295" i="37"/>
  <c r="X267" i="37"/>
  <c r="F267" i="37"/>
  <c r="AA295" i="37"/>
  <c r="X281" i="37"/>
  <c r="F281" i="37"/>
  <c r="AF295" i="37"/>
  <c r="I265" i="37"/>
  <c r="X274" i="37"/>
  <c r="F274" i="37"/>
  <c r="AC295" i="37"/>
  <c r="Y295" i="37"/>
  <c r="AB295" i="37"/>
  <c r="S258" i="37" l="1"/>
  <c r="J186" i="51" a="1"/>
  <c r="J186" i="51" s="1"/>
  <c r="K186" i="51" s="1" a="1"/>
  <c r="K186" i="51" s="1"/>
  <c r="L186" i="51" s="1" a="1"/>
  <c r="L186" i="51" s="1"/>
  <c r="M186" i="51" s="1" a="1"/>
  <c r="M186" i="51" s="1"/>
  <c r="N186" i="51" s="1" a="1"/>
  <c r="N186" i="51" s="1"/>
  <c r="O186" i="51" s="1" a="1"/>
  <c r="O186" i="51" s="1"/>
  <c r="P186" i="51" s="1" a="1"/>
  <c r="P186" i="51" s="1"/>
  <c r="Q186" i="51" s="1" a="1"/>
  <c r="Q186" i="51" s="1"/>
  <c r="R186" i="51" s="1" a="1"/>
  <c r="R186" i="51" s="1"/>
  <c r="Y186" i="51" s="1"/>
  <c r="AB273" i="37"/>
  <c r="Z185" i="51"/>
  <c r="S185" i="51" a="1"/>
  <c r="S185" i="51" s="1"/>
  <c r="T185" i="51" s="1" a="1"/>
  <c r="T185" i="51" s="1"/>
  <c r="U185" i="51" s="1" a="1"/>
  <c r="U185" i="51" s="1"/>
  <c r="V185" i="51" s="1" a="1"/>
  <c r="V185" i="51" s="1"/>
  <c r="W185" i="51" s="1" a="1"/>
  <c r="W185" i="51" s="1"/>
  <c r="P265" i="37"/>
  <c r="AG265" i="37" s="1"/>
  <c r="V281" i="37"/>
  <c r="P293" i="37"/>
  <c r="AG293" i="37" s="1"/>
  <c r="U265" i="37"/>
  <c r="AL265" i="37" s="1"/>
  <c r="AM288" i="37"/>
  <c r="U272" i="37"/>
  <c r="U275" i="37" s="1"/>
  <c r="AL275" i="37" s="1"/>
  <c r="AA280" i="37"/>
  <c r="G286" i="37"/>
  <c r="X286" i="37" s="1"/>
  <c r="O293" i="37"/>
  <c r="AF293" i="37" s="1"/>
  <c r="AK251" i="37"/>
  <c r="S286" i="37"/>
  <c r="S289" i="37" s="1"/>
  <c r="AJ289" i="37" s="1"/>
  <c r="U293" i="37"/>
  <c r="AL293" i="37" s="1"/>
  <c r="U254" i="37"/>
  <c r="AL254" i="37" s="1"/>
  <c r="AM274" i="37"/>
  <c r="H279" i="37"/>
  <c r="H282" i="37" s="1"/>
  <c r="Y282" i="37" s="1"/>
  <c r="T286" i="37"/>
  <c r="T289" i="37" s="1"/>
  <c r="AK289" i="37" s="1"/>
  <c r="I293" i="37"/>
  <c r="I296" i="37" s="1"/>
  <c r="Z296" i="37" s="1"/>
  <c r="H265" i="37"/>
  <c r="H268" i="37" s="1"/>
  <c r="Y268" i="37" s="1"/>
  <c r="I272" i="37"/>
  <c r="I275" i="37" s="1"/>
  <c r="Z275" i="37" s="1"/>
  <c r="Q279" i="37"/>
  <c r="Q282" i="37" s="1"/>
  <c r="AH282" i="37" s="1"/>
  <c r="AL294" i="37"/>
  <c r="J272" i="37"/>
  <c r="J275" i="37" s="1"/>
  <c r="I279" i="37"/>
  <c r="Z279" i="37" s="1"/>
  <c r="AK273" i="37"/>
  <c r="AK266" i="37"/>
  <c r="AJ259" i="37"/>
  <c r="AN281" i="37"/>
  <c r="L272" i="37"/>
  <c r="AC272" i="37" s="1"/>
  <c r="H286" i="37"/>
  <c r="H289" i="37" s="1"/>
  <c r="Y289" i="37" s="1"/>
  <c r="AN274" i="37"/>
  <c r="V267" i="37"/>
  <c r="R265" i="37"/>
  <c r="AI265" i="37" s="1"/>
  <c r="U286" i="37"/>
  <c r="AL286" i="37" s="1"/>
  <c r="AF251" i="37"/>
  <c r="K258" i="37"/>
  <c r="AB258" i="37" s="1"/>
  <c r="K286" i="37"/>
  <c r="K289" i="37" s="1"/>
  <c r="AB289" i="37" s="1"/>
  <c r="M286" i="37"/>
  <c r="AD286" i="37" s="1"/>
  <c r="AE280" i="37"/>
  <c r="O265" i="37"/>
  <c r="O268" i="37" s="1"/>
  <c r="AF268" i="37" s="1"/>
  <c r="L265" i="37"/>
  <c r="L268" i="37" s="1"/>
  <c r="AC268" i="37" s="1"/>
  <c r="AK280" i="37"/>
  <c r="P286" i="37"/>
  <c r="AG286" i="37" s="1"/>
  <c r="Q265" i="37"/>
  <c r="AH265" i="37" s="1"/>
  <c r="T258" i="37"/>
  <c r="AK258" i="37" s="1"/>
  <c r="J258" i="37"/>
  <c r="J261" i="37" s="1"/>
  <c r="H293" i="37"/>
  <c r="Y293" i="37" s="1"/>
  <c r="AC251" i="37"/>
  <c r="AH259" i="37"/>
  <c r="AN288" i="37"/>
  <c r="M279" i="37"/>
  <c r="AD279" i="37" s="1"/>
  <c r="P258" i="37"/>
  <c r="P261" i="37" s="1"/>
  <c r="AG261" i="37" s="1"/>
  <c r="AI266" i="37"/>
  <c r="J286" i="37"/>
  <c r="J289" i="37" s="1"/>
  <c r="I286" i="37"/>
  <c r="Z286" i="37" s="1"/>
  <c r="O279" i="37"/>
  <c r="O282" i="37" s="1"/>
  <c r="AF282" i="37" s="1"/>
  <c r="AH294" i="37"/>
  <c r="AA294" i="37"/>
  <c r="AM294" i="37" s="1"/>
  <c r="V274" i="37"/>
  <c r="R258" i="37"/>
  <c r="R261" i="37" s="1"/>
  <c r="AI261" i="37" s="1"/>
  <c r="AL266" i="37"/>
  <c r="J265" i="37"/>
  <c r="AA265" i="37" s="1"/>
  <c r="L293" i="37"/>
  <c r="L296" i="37" s="1"/>
  <c r="AC296" i="37" s="1"/>
  <c r="AH273" i="37"/>
  <c r="AB251" i="37"/>
  <c r="V260" i="37"/>
  <c r="AN260" i="37"/>
  <c r="R279" i="37"/>
  <c r="AI279" i="37" s="1"/>
  <c r="U279" i="37"/>
  <c r="AL279" i="37" s="1"/>
  <c r="N258" i="37"/>
  <c r="N261" i="37" s="1"/>
  <c r="AE261" i="37" s="1"/>
  <c r="N293" i="37"/>
  <c r="N296" i="37" s="1"/>
  <c r="I258" i="37"/>
  <c r="I261" i="37" s="1"/>
  <c r="Z261" i="37" s="1"/>
  <c r="G279" i="37"/>
  <c r="G282" i="37" s="1"/>
  <c r="X282" i="37" s="1"/>
  <c r="S272" i="37"/>
  <c r="AJ272" i="37" s="1"/>
  <c r="R293" i="37"/>
  <c r="AI293" i="37" s="1"/>
  <c r="V288" i="37"/>
  <c r="R286" i="37"/>
  <c r="AI286" i="37" s="1"/>
  <c r="V295" i="37"/>
  <c r="P279" i="37"/>
  <c r="AG279" i="37" s="1"/>
  <c r="P272" i="37"/>
  <c r="AG272" i="37" s="1"/>
  <c r="R272" i="37"/>
  <c r="AI272" i="37" s="1"/>
  <c r="M272" i="37"/>
  <c r="AD272" i="37" s="1"/>
  <c r="H272" i="37"/>
  <c r="H275" i="37" s="1"/>
  <c r="Y275" i="37" s="1"/>
  <c r="AI251" i="37"/>
  <c r="AN267" i="37"/>
  <c r="M254" i="37"/>
  <c r="AD254" i="37" s="1"/>
  <c r="O272" i="37"/>
  <c r="AF272" i="37" s="1"/>
  <c r="S279" i="37"/>
  <c r="AJ279" i="37" s="1"/>
  <c r="H258" i="37"/>
  <c r="H261" i="37" s="1"/>
  <c r="Y261" i="37" s="1"/>
  <c r="G258" i="37"/>
  <c r="G261" i="37" s="1"/>
  <c r="X261" i="37" s="1"/>
  <c r="N286" i="37"/>
  <c r="N289" i="37" s="1"/>
  <c r="AE289" i="37" s="1"/>
  <c r="K293" i="37"/>
  <c r="AB293" i="37" s="1"/>
  <c r="F280" i="37"/>
  <c r="M258" i="37"/>
  <c r="M261" i="37" s="1"/>
  <c r="AD261" i="37" s="1"/>
  <c r="O286" i="37"/>
  <c r="AF286" i="37" s="1"/>
  <c r="L279" i="37"/>
  <c r="L282" i="37" s="1"/>
  <c r="AC282" i="37" s="1"/>
  <c r="F259" i="37"/>
  <c r="K265" i="37"/>
  <c r="K268" i="37" s="1"/>
  <c r="AB268" i="37" s="1"/>
  <c r="AM287" i="37"/>
  <c r="V266" i="37"/>
  <c r="M293" i="37"/>
  <c r="AD293" i="37" s="1"/>
  <c r="V259" i="37"/>
  <c r="L286" i="37"/>
  <c r="L289" i="37" s="1"/>
  <c r="AC289" i="37" s="1"/>
  <c r="F287" i="37"/>
  <c r="O258" i="37"/>
  <c r="AF258" i="37" s="1"/>
  <c r="F294" i="37"/>
  <c r="AL259" i="37"/>
  <c r="Q254" i="37"/>
  <c r="AH254" i="37" s="1"/>
  <c r="AM281" i="37"/>
  <c r="L258" i="37"/>
  <c r="L261" i="37" s="1"/>
  <c r="AC261" i="37" s="1"/>
  <c r="AK294" i="37"/>
  <c r="V294" i="37"/>
  <c r="M265" i="37"/>
  <c r="AD265" i="37" s="1"/>
  <c r="K279" i="37"/>
  <c r="AB279" i="37" s="1"/>
  <c r="G265" i="37"/>
  <c r="G268" i="37" s="1"/>
  <c r="V280" i="37"/>
  <c r="AM247" i="37"/>
  <c r="F251" i="37"/>
  <c r="X254" i="37"/>
  <c r="AM260" i="37"/>
  <c r="K272" i="37"/>
  <c r="K275" i="37" s="1"/>
  <c r="AB275" i="37" s="1"/>
  <c r="S293" i="37"/>
  <c r="AJ293" i="37" s="1"/>
  <c r="G293" i="37"/>
  <c r="G296" i="37" s="1"/>
  <c r="S254" i="37"/>
  <c r="AJ254" i="37" s="1"/>
  <c r="F273" i="37"/>
  <c r="F266" i="37"/>
  <c r="S265" i="37"/>
  <c r="AJ265" i="37" s="1"/>
  <c r="V273" i="37"/>
  <c r="V287" i="37"/>
  <c r="X273" i="37"/>
  <c r="AE251" i="37"/>
  <c r="N254" i="37"/>
  <c r="AE254" i="37" s="1"/>
  <c r="AJ287" i="37"/>
  <c r="AN287" i="37" s="1"/>
  <c r="AN247" i="37"/>
  <c r="V251" i="37"/>
  <c r="N265" i="37"/>
  <c r="AE265" i="37" s="1"/>
  <c r="N272" i="37"/>
  <c r="AE272" i="37" s="1"/>
  <c r="G272" i="37"/>
  <c r="F247" i="37"/>
  <c r="AJ266" i="37"/>
  <c r="Z251" i="37"/>
  <c r="I254" i="37"/>
  <c r="Z254" i="37" s="1"/>
  <c r="V247" i="37"/>
  <c r="AN244" i="37"/>
  <c r="AM244" i="37"/>
  <c r="AG251" i="37"/>
  <c r="P254" i="37"/>
  <c r="AG254" i="37" s="1"/>
  <c r="H254" i="37"/>
  <c r="Y254" i="37" s="1"/>
  <c r="Y251" i="37"/>
  <c r="AM252" i="37"/>
  <c r="X251" i="37"/>
  <c r="I96" i="37"/>
  <c r="I98" i="37"/>
  <c r="AM267" i="37"/>
  <c r="AM266" i="37"/>
  <c r="I94" i="37"/>
  <c r="AM259" i="37"/>
  <c r="J282" i="37"/>
  <c r="J100" i="37"/>
  <c r="J95" i="37"/>
  <c r="J97" i="37"/>
  <c r="J96" i="37"/>
  <c r="G94" i="37"/>
  <c r="H94" i="37"/>
  <c r="I97" i="37"/>
  <c r="G97" i="37"/>
  <c r="H97" i="37"/>
  <c r="J99" i="37"/>
  <c r="I100" i="37"/>
  <c r="G100" i="37"/>
  <c r="H100" i="37"/>
  <c r="G98" i="37"/>
  <c r="H98" i="37"/>
  <c r="G99" i="37"/>
  <c r="H99" i="37"/>
  <c r="I99" i="37"/>
  <c r="G96" i="37"/>
  <c r="H96" i="37"/>
  <c r="I95" i="37"/>
  <c r="G95" i="37"/>
  <c r="H95" i="37"/>
  <c r="J94" i="37"/>
  <c r="J98" i="37"/>
  <c r="AK265" i="37"/>
  <c r="T268" i="37"/>
  <c r="AK268" i="37" s="1"/>
  <c r="AH258" i="37"/>
  <c r="Q261" i="37"/>
  <c r="AH261" i="37" s="1"/>
  <c r="AH272" i="37"/>
  <c r="Q275" i="37"/>
  <c r="AK293" i="37"/>
  <c r="T296" i="37"/>
  <c r="AK296" i="37" s="1"/>
  <c r="AJ258" i="37"/>
  <c r="S261" i="37"/>
  <c r="AJ261" i="37" s="1"/>
  <c r="AH293" i="37"/>
  <c r="Q296" i="37"/>
  <c r="AH296" i="37" s="1"/>
  <c r="AH286" i="37"/>
  <c r="Q289" i="37"/>
  <c r="AH289" i="37" s="1"/>
  <c r="AK279" i="37"/>
  <c r="T282" i="37"/>
  <c r="AK282" i="37" s="1"/>
  <c r="AK272" i="37"/>
  <c r="T275" i="37"/>
  <c r="AK275" i="37" s="1"/>
  <c r="AL258" i="37"/>
  <c r="U261" i="37"/>
  <c r="AL261" i="37" s="1"/>
  <c r="AN295" i="37"/>
  <c r="N282" i="37"/>
  <c r="AE282" i="37" s="1"/>
  <c r="AA279" i="37"/>
  <c r="AM295" i="37"/>
  <c r="AA293" i="37"/>
  <c r="J296" i="37"/>
  <c r="Z265" i="37"/>
  <c r="I268" i="37"/>
  <c r="Z268" i="37" s="1"/>
  <c r="P268" i="37" l="1"/>
  <c r="AG268" i="37" s="1"/>
  <c r="G922" i="51" a="1"/>
  <c r="G922" i="51" s="1"/>
  <c r="AM273" i="37"/>
  <c r="D483" i="51" a="1"/>
  <c r="D483" i="51" s="1"/>
  <c r="G912" i="51" a="1"/>
  <c r="G912" i="51" s="1"/>
  <c r="C104" i="51" s="1" a="1"/>
  <c r="C104" i="51" s="1"/>
  <c r="D521" i="51" a="1"/>
  <c r="D521" i="51" s="1"/>
  <c r="U268" i="37"/>
  <c r="AL268" i="37" s="1"/>
  <c r="P296" i="37"/>
  <c r="AG296" i="37" s="1"/>
  <c r="S186" i="51" a="1"/>
  <c r="S186" i="51" s="1"/>
  <c r="T186" i="51" s="1" a="1"/>
  <c r="T186" i="51" s="1"/>
  <c r="U186" i="51" s="1" a="1"/>
  <c r="U186" i="51" s="1"/>
  <c r="V186" i="51" s="1" a="1"/>
  <c r="V186" i="51" s="1"/>
  <c r="W186" i="51" s="1" a="1"/>
  <c r="W186" i="51" s="1"/>
  <c r="Z186" i="51"/>
  <c r="AH275" i="37"/>
  <c r="G73" i="48" a="1"/>
  <c r="G73" i="48" s="1"/>
  <c r="Y279" i="37"/>
  <c r="AL272" i="37"/>
  <c r="AK286" i="37"/>
  <c r="O296" i="37"/>
  <c r="AF296" i="37" s="1"/>
  <c r="U282" i="37"/>
  <c r="AL282" i="37" s="1"/>
  <c r="G289" i="37"/>
  <c r="X289" i="37" s="1"/>
  <c r="Z293" i="37"/>
  <c r="AN273" i="37"/>
  <c r="AJ286" i="37"/>
  <c r="Y265" i="37"/>
  <c r="U296" i="37"/>
  <c r="AL296" i="37" s="1"/>
  <c r="AH279" i="37"/>
  <c r="AM280" i="37"/>
  <c r="AA272" i="37"/>
  <c r="L275" i="37"/>
  <c r="AC275" i="37" s="1"/>
  <c r="Z272" i="37"/>
  <c r="Y286" i="37"/>
  <c r="K261" i="37"/>
  <c r="AB261" i="37" s="1"/>
  <c r="AG258" i="37"/>
  <c r="U289" i="37"/>
  <c r="AL289" i="37" s="1"/>
  <c r="J268" i="37"/>
  <c r="AA268" i="37" s="1"/>
  <c r="AN266" i="37"/>
  <c r="AA258" i="37"/>
  <c r="I282" i="37"/>
  <c r="Z282" i="37" s="1"/>
  <c r="R268" i="37"/>
  <c r="AI268" i="37" s="1"/>
  <c r="AN280" i="37"/>
  <c r="M289" i="37"/>
  <c r="AD289" i="37" s="1"/>
  <c r="T261" i="37"/>
  <c r="AK261" i="37" s="1"/>
  <c r="AB286" i="37"/>
  <c r="Y258" i="37"/>
  <c r="AN294" i="37"/>
  <c r="AI258" i="37"/>
  <c r="Q268" i="37"/>
  <c r="AH268" i="37" s="1"/>
  <c r="K282" i="37"/>
  <c r="AB282" i="37" s="1"/>
  <c r="R289" i="37"/>
  <c r="AI289" i="37" s="1"/>
  <c r="R282" i="37"/>
  <c r="AI282" i="37" s="1"/>
  <c r="AB265" i="37"/>
  <c r="M268" i="37"/>
  <c r="AD268" i="37" s="1"/>
  <c r="AD258" i="37"/>
  <c r="AN259" i="37"/>
  <c r="AF279" i="37"/>
  <c r="AC265" i="37"/>
  <c r="AF265" i="37"/>
  <c r="M282" i="37"/>
  <c r="AD282" i="37" s="1"/>
  <c r="P289" i="37"/>
  <c r="AG289" i="37" s="1"/>
  <c r="M275" i="37"/>
  <c r="AD275" i="37" s="1"/>
  <c r="AE258" i="37"/>
  <c r="AB272" i="37"/>
  <c r="AA286" i="37"/>
  <c r="AE293" i="37"/>
  <c r="AC293" i="37"/>
  <c r="P282" i="37"/>
  <c r="AG282" i="37" s="1"/>
  <c r="H296" i="37"/>
  <c r="Y296" i="37" s="1"/>
  <c r="I289" i="37"/>
  <c r="Z289" i="37" s="1"/>
  <c r="O289" i="37"/>
  <c r="AF289" i="37" s="1"/>
  <c r="X258" i="37"/>
  <c r="X293" i="37"/>
  <c r="R296" i="37"/>
  <c r="AI296" i="37" s="1"/>
  <c r="S275" i="37"/>
  <c r="AJ275" i="37" s="1"/>
  <c r="Z258" i="37"/>
  <c r="Y272" i="37"/>
  <c r="S268" i="37"/>
  <c r="AJ268" i="37" s="1"/>
  <c r="R275" i="37"/>
  <c r="AI275" i="37" s="1"/>
  <c r="X279" i="37"/>
  <c r="AM254" i="37"/>
  <c r="P275" i="37"/>
  <c r="AG275" i="37" s="1"/>
  <c r="AM251" i="37"/>
  <c r="AN251" i="37"/>
  <c r="X265" i="37"/>
  <c r="S296" i="37"/>
  <c r="AJ296" i="37" s="1"/>
  <c r="F279" i="37"/>
  <c r="AC279" i="37"/>
  <c r="O275" i="37"/>
  <c r="AF275" i="37" s="1"/>
  <c r="F254" i="37"/>
  <c r="S282" i="37"/>
  <c r="AJ282" i="37" s="1"/>
  <c r="M296" i="37"/>
  <c r="AD296" i="37" s="1"/>
  <c r="F293" i="37"/>
  <c r="V279" i="37"/>
  <c r="AE286" i="37"/>
  <c r="K296" i="37"/>
  <c r="AB296" i="37" s="1"/>
  <c r="N268" i="37"/>
  <c r="AE268" i="37" s="1"/>
  <c r="V293" i="37"/>
  <c r="V272" i="37"/>
  <c r="O261" i="37"/>
  <c r="AF261" i="37" s="1"/>
  <c r="F258" i="37"/>
  <c r="V286" i="37"/>
  <c r="AC258" i="37"/>
  <c r="F286" i="37"/>
  <c r="V258" i="37"/>
  <c r="AC286" i="37"/>
  <c r="F265" i="37"/>
  <c r="V265" i="37"/>
  <c r="F272" i="37"/>
  <c r="AN254" i="37"/>
  <c r="V254" i="37"/>
  <c r="X272" i="37"/>
  <c r="G275" i="37"/>
  <c r="N275" i="37"/>
  <c r="AE275" i="37" s="1"/>
  <c r="AA282" i="37"/>
  <c r="AA275" i="37"/>
  <c r="AA289" i="37"/>
  <c r="AA261" i="37"/>
  <c r="AE296" i="37"/>
  <c r="X268" i="37"/>
  <c r="X296" i="37"/>
  <c r="AA296" i="37"/>
  <c r="X275" i="37" l="1"/>
  <c r="AM275" i="37" s="1"/>
  <c r="I184" i="51" a="1"/>
  <c r="I184" i="51" s="1"/>
  <c r="J184" i="51" s="1" a="1"/>
  <c r="J184" i="51" s="1"/>
  <c r="K184" i="51" s="1" a="1"/>
  <c r="K184" i="51" s="1"/>
  <c r="L184" i="51" s="1" a="1"/>
  <c r="L184" i="51" s="1"/>
  <c r="M184" i="51" s="1" a="1"/>
  <c r="M184" i="51" s="1"/>
  <c r="N184" i="51" s="1" a="1"/>
  <c r="N184" i="51" s="1"/>
  <c r="O184" i="51" s="1" a="1"/>
  <c r="O184" i="51" s="1"/>
  <c r="P184" i="51" s="1" a="1"/>
  <c r="P184" i="51" s="1"/>
  <c r="Q184" i="51" s="1" a="1"/>
  <c r="Q184" i="51" s="1"/>
  <c r="R184" i="51" s="1" a="1"/>
  <c r="R184" i="51" s="1"/>
  <c r="AM272" i="37"/>
  <c r="AN272" i="37"/>
  <c r="AN279" i="37"/>
  <c r="AN265" i="37"/>
  <c r="AM265" i="37"/>
  <c r="V282" i="37"/>
  <c r="AM282" i="37"/>
  <c r="AM279" i="37"/>
  <c r="V289" i="37"/>
  <c r="F289" i="37"/>
  <c r="AM293" i="37"/>
  <c r="AN293" i="37"/>
  <c r="F282" i="37"/>
  <c r="AN289" i="37"/>
  <c r="AM258" i="37"/>
  <c r="F261" i="37"/>
  <c r="AN258" i="37"/>
  <c r="AN286" i="37"/>
  <c r="V261" i="37"/>
  <c r="F296" i="37"/>
  <c r="F268" i="37"/>
  <c r="V296" i="37"/>
  <c r="AM286" i="37"/>
  <c r="V268" i="37"/>
  <c r="AN268" i="37"/>
  <c r="AM261" i="37"/>
  <c r="V275" i="37"/>
  <c r="F275" i="37"/>
  <c r="AM268" i="37"/>
  <c r="AN282" i="37"/>
  <c r="AN275" i="37"/>
  <c r="AM289" i="37"/>
  <c r="AN261" i="37"/>
  <c r="AN296" i="37"/>
  <c r="AM296" i="37"/>
  <c r="AD126" i="37"/>
  <c r="AC126" i="37"/>
  <c r="AB126" i="37"/>
  <c r="AA126" i="37"/>
  <c r="CE59" i="28"/>
  <c r="AW59" i="28"/>
  <c r="G911" i="51" l="1" a="1"/>
  <c r="G911" i="51" s="1"/>
  <c r="D481" i="51" a="1"/>
  <c r="D481" i="51" s="1"/>
  <c r="D516" i="51" a="1"/>
  <c r="D516" i="51" s="1"/>
  <c r="Z184" i="51"/>
  <c r="S184" i="51" a="1"/>
  <c r="S184" i="51" s="1"/>
  <c r="T184" i="51" s="1" a="1"/>
  <c r="T184" i="51" s="1"/>
  <c r="U184" i="51" s="1" a="1"/>
  <c r="U184" i="51" s="1"/>
  <c r="V184" i="51" s="1" a="1"/>
  <c r="V184" i="51" s="1"/>
  <c r="W184" i="51" s="1" a="1"/>
  <c r="W184" i="51" s="1"/>
  <c r="G72" i="48" a="1"/>
  <c r="EJ59" i="28"/>
  <c r="GE59" i="28"/>
  <c r="G72" i="48" l="1"/>
  <c r="E87" i="48" s="1"/>
  <c r="H87" i="48"/>
  <c r="J87" i="48"/>
  <c r="K87" i="48"/>
  <c r="F87" i="48"/>
  <c r="I87" i="48"/>
  <c r="G87" i="48"/>
  <c r="L701" i="37"/>
  <c r="L700" i="37" s="1"/>
  <c r="L699" i="37" s="1"/>
  <c r="L717" i="37"/>
  <c r="L716" i="37" s="1"/>
  <c r="L715" i="37" s="1"/>
  <c r="L741" i="37"/>
  <c r="L740" i="37" s="1"/>
  <c r="L739" i="37" s="1"/>
  <c r="L696" i="37"/>
  <c r="L734" i="37"/>
  <c r="L709" i="37"/>
  <c r="L708" i="37" s="1"/>
  <c r="L707" i="37" s="1"/>
  <c r="L726" i="37"/>
  <c r="L742" i="37"/>
  <c r="L735" i="37"/>
  <c r="L712" i="37"/>
  <c r="L693" i="37"/>
  <c r="L692" i="37" s="1"/>
  <c r="L691" i="37" s="1"/>
  <c r="L702" i="37"/>
  <c r="L694" i="37"/>
  <c r="L718" i="37"/>
  <c r="L728" i="37"/>
  <c r="L744" i="37"/>
  <c r="L719" i="37"/>
  <c r="L703" i="37"/>
  <c r="L720" i="37"/>
  <c r="L733" i="37"/>
  <c r="L732" i="37" s="1"/>
  <c r="L731" i="37" s="1"/>
  <c r="L736" i="37"/>
  <c r="L727" i="37"/>
  <c r="L711" i="37"/>
  <c r="L704" i="37"/>
  <c r="L725" i="37"/>
  <c r="L724" i="37" s="1"/>
  <c r="L723" i="37" s="1"/>
  <c r="L743" i="37"/>
  <c r="L695" i="37"/>
  <c r="L710" i="37"/>
  <c r="M738" i="37" l="1"/>
  <c r="M722" i="37"/>
  <c r="M698" i="37"/>
  <c r="M706" i="37"/>
  <c r="M746" i="37"/>
  <c r="M730" i="37"/>
  <c r="M714" i="37"/>
  <c r="AV59" i="28"/>
  <c r="CD59" i="28"/>
  <c r="GD59" i="28" l="1"/>
  <c r="K743" i="37" s="1"/>
  <c r="F743" i="37" s="1"/>
  <c r="AQ59" i="28"/>
  <c r="BG59" i="28"/>
  <c r="AG628" i="33"/>
  <c r="BL59" i="28"/>
  <c r="EY59" i="28" s="1" a="1"/>
  <c r="EY59" i="28" s="1"/>
  <c r="CT59" i="28"/>
  <c r="BY59" i="28"/>
  <c r="CO59" i="28"/>
  <c r="CP59" i="28"/>
  <c r="EI59" i="28"/>
  <c r="BS55" i="37" l="1"/>
  <c r="AW50" i="37"/>
  <c r="BS27" i="37"/>
  <c r="BS26" i="37"/>
  <c r="BS53" i="37"/>
  <c r="BS42" i="37"/>
  <c r="BS47" i="37"/>
  <c r="BS34" i="37"/>
  <c r="AW56" i="37"/>
  <c r="BS32" i="37"/>
  <c r="BS52" i="37"/>
  <c r="BS51" i="37"/>
  <c r="AW38" i="37"/>
  <c r="BS48" i="37"/>
  <c r="BS56" i="37"/>
  <c r="BS25" i="37"/>
  <c r="BS49" i="37"/>
  <c r="BS16" i="37"/>
  <c r="BS28" i="37"/>
  <c r="BS19" i="37"/>
  <c r="BS35" i="37"/>
  <c r="AW19" i="37"/>
  <c r="AW43" i="37"/>
  <c r="BS39" i="37"/>
  <c r="BS41" i="37"/>
  <c r="BS23" i="37"/>
  <c r="BS44" i="37"/>
  <c r="BS45" i="37"/>
  <c r="BS30" i="37"/>
  <c r="BS54" i="37"/>
  <c r="BS31" i="37"/>
  <c r="BS22" i="37"/>
  <c r="BS46" i="37"/>
  <c r="AW25" i="37"/>
  <c r="AW44" i="37"/>
  <c r="BS36" i="37"/>
  <c r="BS18" i="37"/>
  <c r="BS29" i="37"/>
  <c r="BS33" i="37"/>
  <c r="BS37" i="37"/>
  <c r="AW26" i="37"/>
  <c r="AW55" i="37"/>
  <c r="BS20" i="37"/>
  <c r="BS40" i="37"/>
  <c r="BS17" i="37"/>
  <c r="AW32" i="37"/>
  <c r="AW31" i="37"/>
  <c r="AW37" i="37"/>
  <c r="AW20" i="37"/>
  <c r="AW49" i="37"/>
  <c r="BS24" i="37"/>
  <c r="BS50" i="37"/>
  <c r="BS15" i="37"/>
  <c r="EI32" i="28" s="1"/>
  <c r="BS38" i="37"/>
  <c r="BS43" i="37"/>
  <c r="BS21" i="37"/>
  <c r="K741" i="37"/>
  <c r="K740" i="37" s="1"/>
  <c r="K718" i="37"/>
  <c r="F718" i="37" s="1"/>
  <c r="K744" i="37"/>
  <c r="F744" i="37" s="1"/>
  <c r="K710" i="37"/>
  <c r="F710" i="37" s="1"/>
  <c r="K726" i="37"/>
  <c r="F726" i="37" s="1"/>
  <c r="K736" i="37"/>
  <c r="F736" i="37" s="1"/>
  <c r="K701" i="37"/>
  <c r="F701" i="37" s="1"/>
  <c r="K725" i="37"/>
  <c r="F725" i="37" s="1"/>
  <c r="K734" i="37"/>
  <c r="F734" i="37" s="1"/>
  <c r="K712" i="37"/>
  <c r="F712" i="37" s="1"/>
  <c r="K709" i="37"/>
  <c r="F709" i="37" s="1"/>
  <c r="K727" i="37"/>
  <c r="F727" i="37" s="1"/>
  <c r="K742" i="37"/>
  <c r="F742" i="37" s="1"/>
  <c r="K720" i="37"/>
  <c r="F720" i="37" s="1"/>
  <c r="K711" i="37"/>
  <c r="F711" i="37" s="1"/>
  <c r="K735" i="37"/>
  <c r="F735" i="37" s="1"/>
  <c r="K696" i="37"/>
  <c r="F696" i="37" s="1"/>
  <c r="K695" i="37"/>
  <c r="F695" i="37" s="1"/>
  <c r="K728" i="37"/>
  <c r="F728" i="37" s="1"/>
  <c r="K703" i="37"/>
  <c r="F703" i="37" s="1"/>
  <c r="K717" i="37"/>
  <c r="K716" i="37" s="1"/>
  <c r="K719" i="37"/>
  <c r="F719" i="37" s="1"/>
  <c r="K702" i="37"/>
  <c r="F702" i="37" s="1"/>
  <c r="K694" i="37"/>
  <c r="F694" i="37" s="1"/>
  <c r="K733" i="37"/>
  <c r="F733" i="37" s="1"/>
  <c r="K693" i="37"/>
  <c r="K692" i="37" s="1"/>
  <c r="K704" i="37"/>
  <c r="F704" i="37" s="1"/>
  <c r="ET59" i="28"/>
  <c r="AG60" i="33"/>
  <c r="AH628" i="33"/>
  <c r="AG180" i="33"/>
  <c r="AG226" i="33"/>
  <c r="AG134" i="33"/>
  <c r="AG633" i="33"/>
  <c r="AG634" i="33" s="1"/>
  <c r="AG111" i="33"/>
  <c r="AG88" i="33"/>
  <c r="AG203" i="33"/>
  <c r="AG157" i="33"/>
  <c r="AW53" i="37"/>
  <c r="AW29" i="37"/>
  <c r="AW54" i="37"/>
  <c r="AW17" i="37"/>
  <c r="AW42" i="37"/>
  <c r="AW22" i="37"/>
  <c r="AW52" i="37"/>
  <c r="AW28" i="37"/>
  <c r="AW24" i="37"/>
  <c r="AW47" i="37"/>
  <c r="AW48" i="37"/>
  <c r="AW41" i="37"/>
  <c r="AW18" i="37"/>
  <c r="AW40" i="37"/>
  <c r="AW34" i="37"/>
  <c r="AW36" i="37"/>
  <c r="AW30" i="37"/>
  <c r="AW46" i="37"/>
  <c r="FN59" i="28"/>
  <c r="AW23" i="37"/>
  <c r="AW35" i="37"/>
  <c r="AW16" i="37"/>
  <c r="GT59" i="28"/>
  <c r="CZ59" i="28"/>
  <c r="AE97" i="37"/>
  <c r="AE98" i="37"/>
  <c r="AE38" i="37"/>
  <c r="AE29" i="37"/>
  <c r="BM59" i="28"/>
  <c r="EZ59" i="28" s="1" a="1"/>
  <c r="EZ59" i="28" s="1"/>
  <c r="AE28" i="37"/>
  <c r="AE55" i="37"/>
  <c r="AE18" i="37"/>
  <c r="AE47" i="37"/>
  <c r="AE46" i="37"/>
  <c r="AE34" i="37"/>
  <c r="AE25" i="37"/>
  <c r="AE41" i="37"/>
  <c r="AE23" i="37"/>
  <c r="AE24" i="37"/>
  <c r="AE44" i="37"/>
  <c r="AE52" i="37"/>
  <c r="AE49" i="37"/>
  <c r="AE50" i="37"/>
  <c r="AE22" i="37"/>
  <c r="AE17" i="37"/>
  <c r="AE31" i="37"/>
  <c r="AE40" i="37"/>
  <c r="AE19" i="37"/>
  <c r="AE43" i="37"/>
  <c r="AE37" i="37"/>
  <c r="AE94" i="37"/>
  <c r="AE20" i="37"/>
  <c r="AE96" i="37"/>
  <c r="AE95" i="37"/>
  <c r="AE26" i="37"/>
  <c r="AE100" i="37"/>
  <c r="AE35" i="37"/>
  <c r="AE42" i="37"/>
  <c r="AE56" i="37"/>
  <c r="AE54" i="37"/>
  <c r="AE32" i="37"/>
  <c r="AE30" i="37"/>
  <c r="AE99" i="37"/>
  <c r="AE36" i="37"/>
  <c r="AE48" i="37"/>
  <c r="AE16" i="37"/>
  <c r="AE53" i="37"/>
  <c r="C229" i="51" l="1" a="1"/>
  <c r="C229" i="51" s="1"/>
  <c r="C227" i="51" a="1"/>
  <c r="C227" i="51" s="1"/>
  <c r="C228" i="51" a="1"/>
  <c r="C228" i="51" s="1"/>
  <c r="F741" i="37"/>
  <c r="AC582" i="37"/>
  <c r="AC570" i="37"/>
  <c r="AC500" i="37"/>
  <c r="AC518" i="37"/>
  <c r="AC564" i="37"/>
  <c r="AC563" i="37"/>
  <c r="AC569" i="37"/>
  <c r="AC557" i="37"/>
  <c r="AC523" i="37"/>
  <c r="AC575" i="37"/>
  <c r="AC545" i="37"/>
  <c r="AC512" i="37"/>
  <c r="AC529" i="37"/>
  <c r="AC517" i="37"/>
  <c r="AC546" i="37"/>
  <c r="AC530" i="37"/>
  <c r="AC576" i="37"/>
  <c r="AC581" i="37"/>
  <c r="AC499" i="37"/>
  <c r="AC558" i="37"/>
  <c r="AC536" i="37"/>
  <c r="AC524" i="37"/>
  <c r="AC535" i="37"/>
  <c r="AC511" i="37"/>
  <c r="EI33" i="28"/>
  <c r="EI35" i="28"/>
  <c r="FN31" i="28"/>
  <c r="FN30" i="28"/>
  <c r="FN29" i="28"/>
  <c r="FN28" i="28"/>
  <c r="BT46" i="37"/>
  <c r="BT23" i="37"/>
  <c r="BT24" i="37"/>
  <c r="BT19" i="37"/>
  <c r="FO30" i="28" s="1"/>
  <c r="BT51" i="37"/>
  <c r="BT33" i="37"/>
  <c r="BT26" i="37"/>
  <c r="BT39" i="37"/>
  <c r="AX50" i="37"/>
  <c r="BT25" i="37"/>
  <c r="BT30" i="37"/>
  <c r="AX25" i="37"/>
  <c r="BT52" i="37"/>
  <c r="AX55" i="37"/>
  <c r="BT45" i="37"/>
  <c r="BT49" i="37"/>
  <c r="AX19" i="37"/>
  <c r="BT37" i="37"/>
  <c r="AX31" i="37"/>
  <c r="BT55" i="37"/>
  <c r="BT50" i="37"/>
  <c r="BT22" i="37"/>
  <c r="BT34" i="37"/>
  <c r="BT28" i="37"/>
  <c r="BT35" i="37"/>
  <c r="BT20" i="37"/>
  <c r="FO29" i="28" s="1"/>
  <c r="BT40" i="37"/>
  <c r="BT56" i="37"/>
  <c r="BT48" i="37"/>
  <c r="BT47" i="37"/>
  <c r="BT38" i="37"/>
  <c r="BT21" i="37"/>
  <c r="BT44" i="37"/>
  <c r="BT27" i="37"/>
  <c r="BT31" i="37"/>
  <c r="BT15" i="37"/>
  <c r="EJ32" i="28" s="1"/>
  <c r="AX26" i="37"/>
  <c r="BT32" i="37"/>
  <c r="AX49" i="37"/>
  <c r="BT53" i="37"/>
  <c r="BT42" i="37"/>
  <c r="BT16" i="37"/>
  <c r="BT29" i="37"/>
  <c r="AX56" i="37"/>
  <c r="AX37" i="37"/>
  <c r="AX32" i="37"/>
  <c r="AX43" i="37"/>
  <c r="BT18" i="37"/>
  <c r="BT54" i="37"/>
  <c r="AX44" i="37"/>
  <c r="AX20" i="37"/>
  <c r="BT43" i="37"/>
  <c r="AX38" i="37"/>
  <c r="BT41" i="37"/>
  <c r="BT36" i="37"/>
  <c r="BT17" i="37"/>
  <c r="K724" i="37"/>
  <c r="K723" i="37" s="1"/>
  <c r="K700" i="37"/>
  <c r="K699" i="37" s="1"/>
  <c r="K732" i="37"/>
  <c r="K731" i="37" s="1"/>
  <c r="F693" i="37"/>
  <c r="K708" i="37"/>
  <c r="F708" i="37" s="1"/>
  <c r="G937" i="51" s="1"/>
  <c r="F717" i="37"/>
  <c r="K47" i="37"/>
  <c r="AG192" i="33"/>
  <c r="AG198" i="33" s="1"/>
  <c r="W715" i="37"/>
  <c r="K715" i="37"/>
  <c r="F716" i="37"/>
  <c r="H937" i="51" s="1"/>
  <c r="AG169" i="33"/>
  <c r="AG175" i="33" s="1"/>
  <c r="AH134" i="33"/>
  <c r="AH146" i="33" s="1"/>
  <c r="AH152" i="33" s="1"/>
  <c r="AH180" i="33"/>
  <c r="AH192" i="33" s="1"/>
  <c r="AH198" i="33" s="1"/>
  <c r="AH88" i="33"/>
  <c r="AH100" i="33" s="1"/>
  <c r="AH106" i="33" s="1"/>
  <c r="AH157" i="33"/>
  <c r="AH169" i="33" s="1"/>
  <c r="AH175" i="33" s="1"/>
  <c r="AH226" i="33"/>
  <c r="AH238" i="33" s="1"/>
  <c r="AH60" i="33"/>
  <c r="AH76" i="33" s="1"/>
  <c r="AH82" i="33" s="1"/>
  <c r="AH203" i="33"/>
  <c r="AH215" i="33" s="1"/>
  <c r="AH221" i="33" s="1"/>
  <c r="AH111" i="33"/>
  <c r="AH123" i="33" s="1"/>
  <c r="AH129" i="33" s="1"/>
  <c r="AH633" i="33"/>
  <c r="AH634" i="33" s="1"/>
  <c r="AI628" i="33"/>
  <c r="AE113" i="37"/>
  <c r="K113" i="37" s="1"/>
  <c r="K43" i="37"/>
  <c r="K18" i="37"/>
  <c r="K209" i="37" s="1" a="1"/>
  <c r="K209" i="37" s="1"/>
  <c r="K24" i="37"/>
  <c r="K215" i="37" s="1" a="1"/>
  <c r="K215" i="37" s="1"/>
  <c r="AW39" i="37"/>
  <c r="AW27" i="37"/>
  <c r="AG215" i="33"/>
  <c r="AG221" i="33" s="1"/>
  <c r="AG76" i="33"/>
  <c r="AG82" i="33" s="1"/>
  <c r="K48" i="37"/>
  <c r="K44" i="37"/>
  <c r="AE200" i="37"/>
  <c r="AE201" i="37"/>
  <c r="AE39" i="37"/>
  <c r="AE199" i="37"/>
  <c r="K40" i="37"/>
  <c r="K193" i="37" a="1"/>
  <c r="K193" i="37" s="1"/>
  <c r="K205" i="37" a="1"/>
  <c r="K205" i="37" s="1"/>
  <c r="K186" i="37" a="1"/>
  <c r="K186" i="37" s="1"/>
  <c r="K199" i="37" a="1"/>
  <c r="K199" i="37" s="1"/>
  <c r="K202" i="37" a="1"/>
  <c r="K202" i="37" s="1"/>
  <c r="K190" i="37" a="1"/>
  <c r="K190" i="37" s="1"/>
  <c r="K192" i="37" a="1"/>
  <c r="K192" i="37" s="1"/>
  <c r="K185" i="37" a="1"/>
  <c r="K185" i="37" s="1"/>
  <c r="K204" i="37" a="1"/>
  <c r="K204" i="37" s="1"/>
  <c r="K203" i="37" a="1"/>
  <c r="K203" i="37" s="1"/>
  <c r="K191" i="37" a="1"/>
  <c r="K191" i="37" s="1"/>
  <c r="K197" i="37" a="1"/>
  <c r="K197" i="37" s="1"/>
  <c r="K184" i="37" a="1"/>
  <c r="K184" i="37" s="1"/>
  <c r="K198" i="37" a="1"/>
  <c r="K198" i="37" s="1"/>
  <c r="K196" i="37" a="1"/>
  <c r="K196" i="37" s="1"/>
  <c r="K187" i="37" a="1"/>
  <c r="K187" i="37" s="1"/>
  <c r="K189" i="37" a="1"/>
  <c r="K189" i="37" s="1"/>
  <c r="K195" i="37" a="1"/>
  <c r="K195" i="37" s="1"/>
  <c r="K201" i="37" a="1"/>
  <c r="K201" i="37" s="1"/>
  <c r="K183" i="37" a="1"/>
  <c r="K183" i="37" s="1"/>
  <c r="K23" i="37"/>
  <c r="K214" i="37" s="1" a="1"/>
  <c r="K214" i="37" s="1"/>
  <c r="AE191" i="37"/>
  <c r="AE27" i="37"/>
  <c r="AE193" i="37"/>
  <c r="AE192" i="37"/>
  <c r="K28" i="37"/>
  <c r="AW15" i="37"/>
  <c r="AW51" i="37"/>
  <c r="K691" i="37"/>
  <c r="F692" i="37"/>
  <c r="E937" i="51" s="1"/>
  <c r="W691" i="37"/>
  <c r="AG100" i="33"/>
  <c r="AG106" i="33" s="1"/>
  <c r="K97" i="37"/>
  <c r="AE109" i="37"/>
  <c r="K109" i="37" s="1"/>
  <c r="K19" i="37"/>
  <c r="K210" i="37" s="1" a="1"/>
  <c r="K210" i="37" s="1"/>
  <c r="K26" i="37"/>
  <c r="K217" i="37" s="1" a="1"/>
  <c r="K217" i="37" s="1"/>
  <c r="AE111" i="37"/>
  <c r="K111" i="37" s="1"/>
  <c r="K31" i="37"/>
  <c r="K32" i="37"/>
  <c r="K223" i="37" s="1" a="1"/>
  <c r="K223" i="37" s="1"/>
  <c r="K96" i="37"/>
  <c r="K17" i="37"/>
  <c r="K208" i="37" s="1" a="1"/>
  <c r="K208" i="37" s="1"/>
  <c r="K41" i="37"/>
  <c r="AX28" i="37"/>
  <c r="AF22" i="37"/>
  <c r="AF35" i="37"/>
  <c r="L35" i="37" s="1"/>
  <c r="AF53" i="37"/>
  <c r="L53" i="37" s="1"/>
  <c r="AF100" i="37"/>
  <c r="L100" i="37" s="1"/>
  <c r="AF43" i="37"/>
  <c r="AF36" i="37"/>
  <c r="L36" i="37" s="1"/>
  <c r="AF94" i="37"/>
  <c r="L94" i="37" s="1"/>
  <c r="AF44" i="37"/>
  <c r="L44" i="37" s="1"/>
  <c r="AF49" i="37"/>
  <c r="AX16" i="37"/>
  <c r="AF96" i="37"/>
  <c r="AF98" i="37"/>
  <c r="L98" i="37" s="1"/>
  <c r="AF23" i="37"/>
  <c r="L23" i="37" s="1"/>
  <c r="AF25" i="37"/>
  <c r="AF99" i="37"/>
  <c r="L99" i="37" s="1"/>
  <c r="BN59" i="28"/>
  <c r="FA59" i="28" s="1" a="1"/>
  <c r="FA59" i="28" s="1"/>
  <c r="AF41" i="37"/>
  <c r="L41" i="37" s="1"/>
  <c r="AF18" i="37"/>
  <c r="L18" i="37" s="1"/>
  <c r="AF95" i="37"/>
  <c r="L95" i="37" s="1"/>
  <c r="AX34" i="37"/>
  <c r="AF19" i="37"/>
  <c r="AF29" i="37"/>
  <c r="L29" i="37" s="1"/>
  <c r="AF26" i="37"/>
  <c r="L26" i="37" s="1"/>
  <c r="DA59" i="28"/>
  <c r="AF97" i="37"/>
  <c r="AF34" i="37"/>
  <c r="AF30" i="37"/>
  <c r="L30" i="37" s="1"/>
  <c r="AF20" i="37"/>
  <c r="L20" i="37" s="1"/>
  <c r="AF38" i="37"/>
  <c r="L38" i="37" s="1"/>
  <c r="AF42" i="37"/>
  <c r="L42" i="37" s="1"/>
  <c r="AF47" i="37"/>
  <c r="L47" i="37" s="1"/>
  <c r="AF16" i="37"/>
  <c r="AF17" i="37"/>
  <c r="L17" i="37" s="1"/>
  <c r="AF28" i="37"/>
  <c r="AX30" i="37"/>
  <c r="AF52" i="37"/>
  <c r="AF46" i="37"/>
  <c r="AX23" i="37"/>
  <c r="AX29" i="37"/>
  <c r="AX36" i="37"/>
  <c r="AX22" i="37"/>
  <c r="AF37" i="37"/>
  <c r="AX46" i="37"/>
  <c r="AF31" i="37"/>
  <c r="AX53" i="37"/>
  <c r="AX41" i="37"/>
  <c r="AF24" i="37"/>
  <c r="L24" i="37" s="1"/>
  <c r="AF54" i="37"/>
  <c r="L54" i="37" s="1"/>
  <c r="AF56" i="37"/>
  <c r="L56" i="37" s="1"/>
  <c r="GU59" i="28"/>
  <c r="AX52" i="37"/>
  <c r="AX35" i="37"/>
  <c r="AX18" i="37"/>
  <c r="AF55" i="37"/>
  <c r="AF40" i="37"/>
  <c r="AF50" i="37"/>
  <c r="L50" i="37" s="1"/>
  <c r="AX17" i="37"/>
  <c r="AX54" i="37"/>
  <c r="AX48" i="37"/>
  <c r="AX24" i="37"/>
  <c r="AX40" i="37"/>
  <c r="AF32" i="37"/>
  <c r="L32" i="37" s="1"/>
  <c r="AF48" i="37"/>
  <c r="L48" i="37" s="1"/>
  <c r="AX47" i="37"/>
  <c r="AX42" i="37"/>
  <c r="AG123" i="33"/>
  <c r="AG129" i="33" s="1"/>
  <c r="AE208" i="37"/>
  <c r="AE51" i="37"/>
  <c r="AE209" i="37"/>
  <c r="AE207" i="37"/>
  <c r="K52" i="37"/>
  <c r="K99" i="37"/>
  <c r="K30" i="37"/>
  <c r="K54" i="37"/>
  <c r="K20" i="37"/>
  <c r="AE189" i="37"/>
  <c r="AE188" i="37"/>
  <c r="AE21" i="37"/>
  <c r="AE187" i="37"/>
  <c r="K22" i="37"/>
  <c r="AE110" i="37"/>
  <c r="K110" i="37" s="1"/>
  <c r="K25" i="37"/>
  <c r="K29" i="37"/>
  <c r="AW33" i="37"/>
  <c r="K35" i="37"/>
  <c r="AW45" i="37"/>
  <c r="K100" i="37"/>
  <c r="K534" i="37"/>
  <c r="K523" i="37"/>
  <c r="AC522" i="37"/>
  <c r="K578" i="37"/>
  <c r="AC528" i="37"/>
  <c r="K499" i="37"/>
  <c r="AC515" i="37"/>
  <c r="K570" i="37"/>
  <c r="K582" i="37"/>
  <c r="K568" i="37"/>
  <c r="K891" i="37"/>
  <c r="K549" i="37"/>
  <c r="K561" i="37"/>
  <c r="AC574" i="37"/>
  <c r="K543" i="37"/>
  <c r="AC556" i="37"/>
  <c r="K551" i="37"/>
  <c r="K581" i="37"/>
  <c r="K562" i="37"/>
  <c r="K557" i="37"/>
  <c r="K546" i="37"/>
  <c r="K574" i="37"/>
  <c r="K579" i="37"/>
  <c r="AC555" i="37"/>
  <c r="AC543" i="37"/>
  <c r="K892" i="37" a="1"/>
  <c r="K892" i="37" s="1"/>
  <c r="K576" i="37"/>
  <c r="K975" i="37"/>
  <c r="K920" i="37" a="1"/>
  <c r="K920" i="37" s="1"/>
  <c r="K558" i="37"/>
  <c r="AC562" i="37"/>
  <c r="K948" i="37" a="1"/>
  <c r="K948" i="37" s="1"/>
  <c r="K573" i="37"/>
  <c r="AC573" i="37"/>
  <c r="AC567" i="37"/>
  <c r="AC579" i="37"/>
  <c r="K556" i="37"/>
  <c r="K976" i="37" a="1"/>
  <c r="K976" i="37" s="1"/>
  <c r="K962" i="37" a="1"/>
  <c r="K962" i="37" s="1"/>
  <c r="K545" i="37"/>
  <c r="K550" i="37"/>
  <c r="K544" i="37"/>
  <c r="K552" i="37"/>
  <c r="K580" i="37"/>
  <c r="AC568" i="37"/>
  <c r="K555" i="37"/>
  <c r="K569" i="37"/>
  <c r="K919" i="37"/>
  <c r="AC561" i="37"/>
  <c r="K961" i="37"/>
  <c r="K934" i="37" a="1"/>
  <c r="K934" i="37" s="1"/>
  <c r="K575" i="37"/>
  <c r="K563" i="37"/>
  <c r="AC580" i="37"/>
  <c r="K564" i="37"/>
  <c r="K567" i="37"/>
  <c r="K933" i="37"/>
  <c r="AC544" i="37"/>
  <c r="K947" i="37"/>
  <c r="AC566" i="37"/>
  <c r="AC578" i="37"/>
  <c r="K529" i="37"/>
  <c r="K511" i="37"/>
  <c r="K497" i="37"/>
  <c r="K518" i="37"/>
  <c r="K530" i="37"/>
  <c r="AC514" i="37"/>
  <c r="DO59" i="28"/>
  <c r="AC497" i="37"/>
  <c r="K566" i="37"/>
  <c r="K512" i="37"/>
  <c r="K509" i="37"/>
  <c r="AC521" i="37"/>
  <c r="AC533" i="37"/>
  <c r="AC534" i="37"/>
  <c r="K554" i="37"/>
  <c r="K498" i="37"/>
  <c r="AC520" i="37"/>
  <c r="K527" i="37"/>
  <c r="K521" i="37"/>
  <c r="AC542" i="37"/>
  <c r="AC498" i="37"/>
  <c r="K535" i="37"/>
  <c r="K526" i="37"/>
  <c r="K960" i="37" a="1"/>
  <c r="K960" i="37" s="1"/>
  <c r="K514" i="37"/>
  <c r="K532" i="37"/>
  <c r="K508" i="37"/>
  <c r="K524" i="37"/>
  <c r="AC496" i="37"/>
  <c r="AC560" i="37"/>
  <c r="K500" i="37"/>
  <c r="K946" i="37" a="1"/>
  <c r="K946" i="37" s="1"/>
  <c r="AC554" i="37"/>
  <c r="K496" i="37"/>
  <c r="K536" i="37"/>
  <c r="K974" i="37" a="1"/>
  <c r="K974" i="37" s="1"/>
  <c r="K522" i="37"/>
  <c r="AC516" i="37"/>
  <c r="AC527" i="37"/>
  <c r="AC508" i="37"/>
  <c r="AC509" i="37"/>
  <c r="K560" i="37"/>
  <c r="K517" i="37"/>
  <c r="AC526" i="37"/>
  <c r="K572" i="37"/>
  <c r="AC532" i="37"/>
  <c r="K918" i="37" a="1"/>
  <c r="K918" i="37" s="1"/>
  <c r="K542" i="37"/>
  <c r="K890" i="37" a="1"/>
  <c r="K890" i="37" s="1"/>
  <c r="K510" i="37"/>
  <c r="K533" i="37"/>
  <c r="K516" i="37"/>
  <c r="K932" i="37" a="1"/>
  <c r="K932" i="37" s="1"/>
  <c r="K548" i="37"/>
  <c r="K515" i="37"/>
  <c r="K520" i="37"/>
  <c r="AC510" i="37"/>
  <c r="AC572" i="37"/>
  <c r="K528" i="37"/>
  <c r="AE115" i="37"/>
  <c r="K115" i="37" s="1"/>
  <c r="K55" i="37"/>
  <c r="K53" i="37"/>
  <c r="K94" i="37"/>
  <c r="AE196" i="37"/>
  <c r="AE197" i="37"/>
  <c r="AE33" i="37"/>
  <c r="AE195" i="37"/>
  <c r="K34" i="37"/>
  <c r="K38" i="37"/>
  <c r="AG146" i="33"/>
  <c r="AG152" i="33" s="1"/>
  <c r="K36" i="37"/>
  <c r="K95" i="37"/>
  <c r="K56" i="37"/>
  <c r="K50" i="37"/>
  <c r="AE185" i="37"/>
  <c r="AE184" i="37"/>
  <c r="AE15" i="37"/>
  <c r="AE183" i="37"/>
  <c r="K16" i="37"/>
  <c r="K42" i="37"/>
  <c r="AE112" i="37"/>
  <c r="K112" i="37" s="1"/>
  <c r="K37" i="37"/>
  <c r="AE114" i="37"/>
  <c r="K114" i="37" s="1"/>
  <c r="K49" i="37"/>
  <c r="AE205" i="37"/>
  <c r="AE204" i="37"/>
  <c r="AE45" i="37"/>
  <c r="AE203" i="37"/>
  <c r="K46" i="37"/>
  <c r="K98" i="37"/>
  <c r="K779" i="37"/>
  <c r="K787" i="37"/>
  <c r="K783" i="37"/>
  <c r="K795" i="37"/>
  <c r="K775" i="37"/>
  <c r="K771" i="37"/>
  <c r="K791" i="37"/>
  <c r="AW21" i="37"/>
  <c r="F740" i="37"/>
  <c r="K937" i="51" s="1"/>
  <c r="W739" i="37"/>
  <c r="K739" i="37"/>
  <c r="AG238" i="33"/>
  <c r="C224" i="51" l="1"/>
  <c r="C226" i="51" a="1"/>
  <c r="C226" i="51" s="1"/>
  <c r="AC372" i="37"/>
  <c r="AC373" i="37"/>
  <c r="F700" i="37"/>
  <c r="F937" i="51" s="1"/>
  <c r="AC390" i="37"/>
  <c r="AC367" i="37"/>
  <c r="AC378" i="37"/>
  <c r="AC396" i="37"/>
  <c r="AC379" i="37"/>
  <c r="AC360" i="37"/>
  <c r="AC391" i="37"/>
  <c r="AC385" i="37"/>
  <c r="AC361" i="37"/>
  <c r="AC397" i="37"/>
  <c r="AC384" i="37"/>
  <c r="AC366" i="37"/>
  <c r="AC505" i="37"/>
  <c r="AC551" i="37"/>
  <c r="AC506" i="37"/>
  <c r="AC552" i="37"/>
  <c r="AD536" i="37"/>
  <c r="AD563" i="37"/>
  <c r="AD546" i="37"/>
  <c r="AD569" i="37"/>
  <c r="AD558" i="37"/>
  <c r="AD576" i="37"/>
  <c r="AD499" i="37"/>
  <c r="AD575" i="37"/>
  <c r="AD517" i="37"/>
  <c r="AD582" i="37"/>
  <c r="AD500" i="37"/>
  <c r="AD523" i="37"/>
  <c r="AD530" i="37"/>
  <c r="AD524" i="37"/>
  <c r="AD564" i="37"/>
  <c r="AD529" i="37"/>
  <c r="AD535" i="37"/>
  <c r="AD512" i="37"/>
  <c r="AD545" i="37"/>
  <c r="AD570" i="37"/>
  <c r="AD581" i="37"/>
  <c r="AD511" i="37"/>
  <c r="AD518" i="37"/>
  <c r="AD557" i="37"/>
  <c r="H100" i="48"/>
  <c r="H139" i="48" s="1"/>
  <c r="E100" i="48"/>
  <c r="E139" i="48" s="1"/>
  <c r="K100" i="48"/>
  <c r="K139" i="48" s="1"/>
  <c r="G100" i="48"/>
  <c r="G139" i="48" s="1"/>
  <c r="AG244" i="33"/>
  <c r="AG245" i="33" s="1"/>
  <c r="AG247" i="33"/>
  <c r="AH244" i="33"/>
  <c r="AH247" i="33"/>
  <c r="EJ33" i="28"/>
  <c r="FO33" i="28" s="1"/>
  <c r="EJ35" i="28"/>
  <c r="FO35" i="28" s="1"/>
  <c r="FO31" i="28"/>
  <c r="FO32" i="28"/>
  <c r="FN32" i="28"/>
  <c r="F724" i="37"/>
  <c r="I937" i="51" s="1"/>
  <c r="W723" i="37"/>
  <c r="FN33" i="28"/>
  <c r="K396" i="37"/>
  <c r="K393" i="37"/>
  <c r="K364" i="37"/>
  <c r="K389" i="37"/>
  <c r="K390" i="37"/>
  <c r="K943" i="37" a="1"/>
  <c r="K943" i="37" s="1"/>
  <c r="K957" i="37" a="1"/>
  <c r="K957" i="37" s="1"/>
  <c r="K929" i="37" a="1"/>
  <c r="K929" i="37" s="1"/>
  <c r="K387" i="37"/>
  <c r="K376" i="37"/>
  <c r="K397" i="37"/>
  <c r="AC358" i="37"/>
  <c r="K385" i="37"/>
  <c r="K369" i="37"/>
  <c r="AC376" i="37"/>
  <c r="AC394" i="37"/>
  <c r="K359" i="37"/>
  <c r="K774" i="37"/>
  <c r="K786" i="37"/>
  <c r="K373" i="37"/>
  <c r="AC388" i="37"/>
  <c r="K358" i="37"/>
  <c r="K971" i="37" a="1"/>
  <c r="K971" i="37" s="1"/>
  <c r="K383" i="37"/>
  <c r="K372" i="37"/>
  <c r="AC377" i="37"/>
  <c r="K361" i="37"/>
  <c r="K915" i="37" a="1"/>
  <c r="K915" i="37" s="1"/>
  <c r="AC383" i="37"/>
  <c r="AC395" i="37"/>
  <c r="AC389" i="37"/>
  <c r="K382" i="37"/>
  <c r="AC375" i="37"/>
  <c r="K367" i="37"/>
  <c r="K366" i="37"/>
  <c r="K378" i="37"/>
  <c r="K370" i="37"/>
  <c r="AC387" i="37"/>
  <c r="AC357" i="37"/>
  <c r="AC363" i="37"/>
  <c r="K391" i="37"/>
  <c r="K377" i="37"/>
  <c r="K388" i="37"/>
  <c r="AC369" i="37"/>
  <c r="K394" i="37"/>
  <c r="AC359" i="37"/>
  <c r="AC364" i="37"/>
  <c r="K395" i="37"/>
  <c r="K778" i="37"/>
  <c r="K901" i="37" a="1"/>
  <c r="K901" i="37" s="1"/>
  <c r="K887" i="37" a="1"/>
  <c r="K887" i="37" s="1"/>
  <c r="AC382" i="37"/>
  <c r="K381" i="37"/>
  <c r="K363" i="37"/>
  <c r="K384" i="37"/>
  <c r="AC381" i="37"/>
  <c r="AC393" i="37"/>
  <c r="K357" i="37"/>
  <c r="AC365" i="37"/>
  <c r="K360" i="37"/>
  <c r="K375" i="37"/>
  <c r="K790" i="37"/>
  <c r="K794" i="37"/>
  <c r="K371" i="37"/>
  <c r="K365" i="37"/>
  <c r="AC370" i="37"/>
  <c r="K782" i="37"/>
  <c r="K379" i="37"/>
  <c r="AC371" i="37"/>
  <c r="K770" i="37"/>
  <c r="FN35" i="28"/>
  <c r="FO28" i="28"/>
  <c r="W699" i="37"/>
  <c r="BU50" i="37"/>
  <c r="BU24" i="37"/>
  <c r="BU26" i="37"/>
  <c r="BU40" i="37"/>
  <c r="BU53" i="37"/>
  <c r="BU47" i="37"/>
  <c r="BU15" i="37"/>
  <c r="EK32" i="28" s="1"/>
  <c r="BU32" i="37"/>
  <c r="BU25" i="37"/>
  <c r="BU42" i="37"/>
  <c r="BU49" i="37"/>
  <c r="BU54" i="37"/>
  <c r="BU19" i="37"/>
  <c r="BU39" i="37"/>
  <c r="BU52" i="37"/>
  <c r="BU56" i="37"/>
  <c r="BU48" i="37"/>
  <c r="AY32" i="37"/>
  <c r="AY50" i="37"/>
  <c r="AY38" i="37"/>
  <c r="AY19" i="37"/>
  <c r="BU16" i="37"/>
  <c r="BU37" i="37"/>
  <c r="AY55" i="37"/>
  <c r="BU27" i="37"/>
  <c r="BU33" i="37"/>
  <c r="AY31" i="37"/>
  <c r="AY37" i="37"/>
  <c r="BU35" i="37"/>
  <c r="AY43" i="37"/>
  <c r="BU18" i="37"/>
  <c r="BU43" i="37"/>
  <c r="AY44" i="37"/>
  <c r="BU21" i="37"/>
  <c r="BU22" i="37"/>
  <c r="AY25" i="37"/>
  <c r="BU51" i="37"/>
  <c r="AY20" i="37"/>
  <c r="BU23" i="37"/>
  <c r="BU29" i="37"/>
  <c r="AY49" i="37"/>
  <c r="BU17" i="37"/>
  <c r="BU20" i="37"/>
  <c r="FP29" i="28" s="1"/>
  <c r="BU30" i="37"/>
  <c r="BU41" i="37"/>
  <c r="BU44" i="37"/>
  <c r="BU31" i="37"/>
  <c r="BU45" i="37"/>
  <c r="AY26" i="37"/>
  <c r="BU36" i="37"/>
  <c r="AY56" i="37"/>
  <c r="BU46" i="37"/>
  <c r="BU28" i="37"/>
  <c r="BU34" i="37"/>
  <c r="BU55" i="37"/>
  <c r="BU38" i="37"/>
  <c r="W707" i="37"/>
  <c r="K707" i="37"/>
  <c r="V707" i="37" s="1"/>
  <c r="F732" i="37"/>
  <c r="J937" i="51" s="1"/>
  <c r="W731" i="37"/>
  <c r="D224" i="51" s="1"/>
  <c r="K219" i="37" a="1"/>
  <c r="K219" i="37" s="1"/>
  <c r="K74" i="37"/>
  <c r="AC571" i="37"/>
  <c r="K619" i="37"/>
  <c r="K76" i="37"/>
  <c r="K662" i="37" a="1"/>
  <c r="K662" i="37" s="1"/>
  <c r="K151" i="37"/>
  <c r="K39" i="37"/>
  <c r="K86" i="37"/>
  <c r="K154" i="37"/>
  <c r="K665" i="37" a="1"/>
  <c r="K665" i="37" s="1"/>
  <c r="K147" i="37"/>
  <c r="K658" i="37" a="1"/>
  <c r="K658" i="37" s="1"/>
  <c r="AG153" i="33"/>
  <c r="AH153" i="33"/>
  <c r="AC602" i="37"/>
  <c r="K608" i="37"/>
  <c r="K571" i="37"/>
  <c r="AC608" i="37"/>
  <c r="K592" i="37"/>
  <c r="K959" i="37"/>
  <c r="AC519" i="37"/>
  <c r="AC612" i="37"/>
  <c r="AC613" i="37"/>
  <c r="K610" i="37"/>
  <c r="K591" i="37"/>
  <c r="K141" i="37"/>
  <c r="K652" i="37" a="1"/>
  <c r="K652" i="37" s="1"/>
  <c r="L779" i="37"/>
  <c r="FO59" i="28"/>
  <c r="L771" i="37"/>
  <c r="L795" i="37"/>
  <c r="L775" i="37"/>
  <c r="L783" i="37"/>
  <c r="L787" i="37"/>
  <c r="L791" i="37"/>
  <c r="L161" i="37"/>
  <c r="AF161" i="37" s="1"/>
  <c r="L672" i="37" a="1"/>
  <c r="L672" i="37" s="1"/>
  <c r="L678" i="37" a="1"/>
  <c r="L678" i="37" s="1"/>
  <c r="L167" i="37"/>
  <c r="AF167" i="37" s="1"/>
  <c r="L652" i="37" a="1"/>
  <c r="L652" i="37" s="1"/>
  <c r="L141" i="37"/>
  <c r="AF141" i="37" s="1"/>
  <c r="L164" i="37"/>
  <c r="AF164" i="37" s="1"/>
  <c r="L675" i="37" a="1"/>
  <c r="L675" i="37" s="1"/>
  <c r="K84" i="37"/>
  <c r="K653" i="37" a="1"/>
  <c r="K653" i="37" s="1"/>
  <c r="K142" i="37"/>
  <c r="K194" i="37"/>
  <c r="AG176" i="33"/>
  <c r="AH176" i="33"/>
  <c r="K161" i="37"/>
  <c r="K672" i="37" a="1"/>
  <c r="K672" i="37" s="1"/>
  <c r="AC531" i="37"/>
  <c r="AC624" i="37"/>
  <c r="AC625" i="37"/>
  <c r="V739" i="37"/>
  <c r="F739" i="37"/>
  <c r="L746" i="37"/>
  <c r="K746" i="37"/>
  <c r="K85" i="37"/>
  <c r="K148" i="37"/>
  <c r="K659" i="37" a="1"/>
  <c r="K659" i="37" s="1"/>
  <c r="K167" i="37"/>
  <c r="K678" i="37" a="1"/>
  <c r="K678" i="37" s="1"/>
  <c r="K675" i="37" a="1"/>
  <c r="K675" i="37" s="1"/>
  <c r="K164" i="37"/>
  <c r="K519" i="37"/>
  <c r="K612" i="37"/>
  <c r="K625" i="37"/>
  <c r="AC525" i="37"/>
  <c r="AC618" i="37"/>
  <c r="K614" i="37"/>
  <c r="AC559" i="37"/>
  <c r="K525" i="37"/>
  <c r="K618" i="37"/>
  <c r="AC603" i="37"/>
  <c r="K601" i="37"/>
  <c r="K589" i="37"/>
  <c r="AC620" i="37"/>
  <c r="K73" i="37"/>
  <c r="K644" i="37" a="1"/>
  <c r="K644" i="37" s="1"/>
  <c r="K21" i="37"/>
  <c r="K133" i="37"/>
  <c r="AG130" i="33"/>
  <c r="AH130" i="33"/>
  <c r="L706" i="37"/>
  <c r="K706" i="37"/>
  <c r="V699" i="37"/>
  <c r="F699" i="37"/>
  <c r="L670" i="37" a="1"/>
  <c r="L670" i="37" s="1"/>
  <c r="L159" i="37"/>
  <c r="AF159" i="37" s="1"/>
  <c r="AF39" i="37"/>
  <c r="L40" i="37"/>
  <c r="AF200" i="37"/>
  <c r="AF201" i="37"/>
  <c r="AF199" i="37"/>
  <c r="L165" i="37"/>
  <c r="AF165" i="37" s="1"/>
  <c r="L676" i="37" a="1"/>
  <c r="L676" i="37" s="1"/>
  <c r="AF191" i="37"/>
  <c r="AF27" i="37"/>
  <c r="AF193" i="37"/>
  <c r="AF192" i="37"/>
  <c r="L28" i="37"/>
  <c r="AF197" i="37"/>
  <c r="L34" i="37"/>
  <c r="L75" i="37" s="1"/>
  <c r="AF196" i="37"/>
  <c r="AF195" i="37"/>
  <c r="AF33" i="37"/>
  <c r="L640" i="37" a="1"/>
  <c r="L640" i="37" s="1"/>
  <c r="L129" i="37"/>
  <c r="AF129" i="37" s="1"/>
  <c r="AX15" i="37"/>
  <c r="L146" i="37"/>
  <c r="AF146" i="37" s="1"/>
  <c r="L657" i="37" a="1"/>
  <c r="L657" i="37" s="1"/>
  <c r="K639" i="37" a="1"/>
  <c r="K639" i="37" s="1"/>
  <c r="K128" i="37"/>
  <c r="K188" i="37"/>
  <c r="K129" i="37"/>
  <c r="K640" i="37" a="1"/>
  <c r="K640" i="37" s="1"/>
  <c r="K75" i="37"/>
  <c r="K145" i="37"/>
  <c r="K656" i="37" a="1"/>
  <c r="K656" i="37" s="1"/>
  <c r="K33" i="37"/>
  <c r="L189" i="37" a="1"/>
  <c r="L189" i="37" s="1"/>
  <c r="L183" i="37" a="1"/>
  <c r="L183" i="37" s="1"/>
  <c r="L214" i="37" a="1"/>
  <c r="L214" i="37" s="1"/>
  <c r="L204" i="37" a="1"/>
  <c r="L204" i="37" s="1"/>
  <c r="L223" i="37" a="1"/>
  <c r="L223" i="37" s="1"/>
  <c r="L195" i="37" a="1"/>
  <c r="L195" i="37" s="1"/>
  <c r="L201" i="37" a="1"/>
  <c r="L201" i="37" s="1"/>
  <c r="L220" i="37" a="1"/>
  <c r="L220" i="37" s="1"/>
  <c r="L221" i="37" a="1"/>
  <c r="L221" i="37" s="1"/>
  <c r="L191" i="37" a="1"/>
  <c r="L191" i="37" s="1"/>
  <c r="L209" i="37" a="1"/>
  <c r="L209" i="37" s="1"/>
  <c r="L185" i="37" a="1"/>
  <c r="L185" i="37" s="1"/>
  <c r="L192" i="37" a="1"/>
  <c r="L192" i="37" s="1"/>
  <c r="L193" i="37" a="1"/>
  <c r="L193" i="37" s="1"/>
  <c r="L208" i="37" a="1"/>
  <c r="L208" i="37" s="1"/>
  <c r="L211" i="37" a="1"/>
  <c r="L211" i="37" s="1"/>
  <c r="L202" i="37" a="1"/>
  <c r="L202" i="37" s="1"/>
  <c r="L217" i="37" a="1"/>
  <c r="L217" i="37" s="1"/>
  <c r="L215" i="37" a="1"/>
  <c r="L215" i="37" s="1"/>
  <c r="L205" i="37" a="1"/>
  <c r="L205" i="37" s="1"/>
  <c r="L198" i="37" a="1"/>
  <c r="L198" i="37" s="1"/>
  <c r="L199" i="37" a="1"/>
  <c r="L199" i="37" s="1"/>
  <c r="L203" i="37" a="1"/>
  <c r="L203" i="37" s="1"/>
  <c r="L187" i="37" a="1"/>
  <c r="L187" i="37" s="1"/>
  <c r="L190" i="37" a="1"/>
  <c r="L190" i="37" s="1"/>
  <c r="L196" i="37" a="1"/>
  <c r="L196" i="37" s="1"/>
  <c r="L184" i="37" a="1"/>
  <c r="L184" i="37" s="1"/>
  <c r="L186" i="37" a="1"/>
  <c r="L186" i="37" s="1"/>
  <c r="L197" i="37" a="1"/>
  <c r="L197" i="37" s="1"/>
  <c r="AC592" i="37"/>
  <c r="K602" i="37"/>
  <c r="K609" i="37"/>
  <c r="K973" i="37"/>
  <c r="AC495" i="37"/>
  <c r="AC588" i="37"/>
  <c r="K627" i="37"/>
  <c r="K590" i="37"/>
  <c r="K604" i="37"/>
  <c r="K603" i="37"/>
  <c r="K577" i="37"/>
  <c r="K131" i="37"/>
  <c r="K642" i="37" a="1"/>
  <c r="K642" i="37" s="1"/>
  <c r="K78" i="37"/>
  <c r="K51" i="37"/>
  <c r="K163" i="37"/>
  <c r="K674" i="37" a="1"/>
  <c r="K674" i="37" s="1"/>
  <c r="L654" i="37" a="1"/>
  <c r="L654" i="37" s="1"/>
  <c r="L143" i="37"/>
  <c r="AF143" i="37" s="1"/>
  <c r="AF115" i="37"/>
  <c r="L115" i="37" s="1"/>
  <c r="L55" i="37"/>
  <c r="L88" i="37" s="1"/>
  <c r="L128" i="37"/>
  <c r="AF128" i="37" s="1"/>
  <c r="L639" i="37" a="1"/>
  <c r="L639" i="37" s="1"/>
  <c r="L663" i="37" a="1"/>
  <c r="L663" i="37" s="1"/>
  <c r="L152" i="37"/>
  <c r="AF152" i="37" s="1"/>
  <c r="L49" i="37"/>
  <c r="L87" i="37" s="1"/>
  <c r="AF114" i="37"/>
  <c r="L114" i="37" s="1"/>
  <c r="AF21" i="37"/>
  <c r="AF188" i="37"/>
  <c r="AF187" i="37"/>
  <c r="L22" i="37"/>
  <c r="AF189" i="37"/>
  <c r="L96" i="37"/>
  <c r="K213" i="37" a="1"/>
  <c r="K213" i="37" s="1"/>
  <c r="K670" i="37" a="1"/>
  <c r="K670" i="37" s="1"/>
  <c r="K159" i="37"/>
  <c r="V731" i="37"/>
  <c r="L738" i="37"/>
  <c r="F731" i="37"/>
  <c r="K738" i="37"/>
  <c r="K669" i="37" a="1"/>
  <c r="K669" i="37" s="1"/>
  <c r="K158" i="37"/>
  <c r="K945" i="37"/>
  <c r="AC616" i="37"/>
  <c r="AX33" i="37"/>
  <c r="K660" i="37" a="1"/>
  <c r="K660" i="37" s="1"/>
  <c r="K149" i="37"/>
  <c r="K607" i="37"/>
  <c r="AC627" i="37"/>
  <c r="K559" i="37"/>
  <c r="K628" i="37"/>
  <c r="K616" i="37"/>
  <c r="AC590" i="37"/>
  <c r="K565" i="37"/>
  <c r="K621" i="37"/>
  <c r="AC614" i="37"/>
  <c r="AX39" i="37"/>
  <c r="L31" i="37"/>
  <c r="AF111" i="37"/>
  <c r="L111" i="37" s="1"/>
  <c r="L46" i="37"/>
  <c r="L77" i="37" s="1"/>
  <c r="AF204" i="37"/>
  <c r="AF45" i="37"/>
  <c r="AF203" i="37"/>
  <c r="AF205" i="37"/>
  <c r="L16" i="37"/>
  <c r="L72" i="37" s="1"/>
  <c r="AF184" i="37"/>
  <c r="AF183" i="37"/>
  <c r="AF15" i="37"/>
  <c r="AF185" i="37"/>
  <c r="L510" i="37"/>
  <c r="L529" i="37"/>
  <c r="L518" i="37"/>
  <c r="L530" i="37"/>
  <c r="AD566" i="37"/>
  <c r="AD543" i="37"/>
  <c r="L920" i="37" a="1"/>
  <c r="L920" i="37" s="1"/>
  <c r="L569" i="37"/>
  <c r="AD527" i="37"/>
  <c r="L961" i="37"/>
  <c r="L974" i="37" a="1"/>
  <c r="L974" i="37" s="1"/>
  <c r="AD496" i="37"/>
  <c r="AD560" i="37"/>
  <c r="AD514" i="37"/>
  <c r="L514" i="37"/>
  <c r="L532" i="37"/>
  <c r="AD554" i="37"/>
  <c r="L890" i="37" a="1"/>
  <c r="L890" i="37" s="1"/>
  <c r="L554" i="37"/>
  <c r="AD508" i="37"/>
  <c r="L573" i="37"/>
  <c r="L582" i="37"/>
  <c r="AD561" i="37"/>
  <c r="L515" i="37"/>
  <c r="AD521" i="37"/>
  <c r="L496" i="37"/>
  <c r="L524" i="37"/>
  <c r="L536" i="37"/>
  <c r="L534" i="37"/>
  <c r="L535" i="37"/>
  <c r="AD498" i="37"/>
  <c r="L918" i="37" a="1"/>
  <c r="L918" i="37" s="1"/>
  <c r="L581" i="37"/>
  <c r="AD574" i="37"/>
  <c r="AD510" i="37"/>
  <c r="L552" i="37"/>
  <c r="AD573" i="37"/>
  <c r="L934" i="37" a="1"/>
  <c r="L934" i="37" s="1"/>
  <c r="L947" i="37"/>
  <c r="AD562" i="37"/>
  <c r="AD556" i="37"/>
  <c r="AD528" i="37"/>
  <c r="AD534" i="37"/>
  <c r="L523" i="37"/>
  <c r="L527" i="37"/>
  <c r="AD532" i="37"/>
  <c r="L508" i="37"/>
  <c r="L548" i="37"/>
  <c r="AD497" i="37"/>
  <c r="L498" i="37"/>
  <c r="AD522" i="37"/>
  <c r="AD542" i="37"/>
  <c r="AD509" i="37"/>
  <c r="AD526" i="37"/>
  <c r="L567" i="37"/>
  <c r="L499" i="37"/>
  <c r="L521" i="37"/>
  <c r="L558" i="37"/>
  <c r="AD516" i="37"/>
  <c r="L948" i="37" a="1"/>
  <c r="L948" i="37" s="1"/>
  <c r="AD567" i="37"/>
  <c r="L520" i="37"/>
  <c r="L526" i="37"/>
  <c r="L509" i="37"/>
  <c r="L572" i="37"/>
  <c r="L512" i="37"/>
  <c r="AD520" i="37"/>
  <c r="L551" i="37"/>
  <c r="AD544" i="37"/>
  <c r="L976" i="37" a="1"/>
  <c r="L976" i="37" s="1"/>
  <c r="L516" i="37"/>
  <c r="L578" i="37"/>
  <c r="L542" i="37"/>
  <c r="AD555" i="37"/>
  <c r="L568" i="37"/>
  <c r="L560" i="37"/>
  <c r="L556" i="37"/>
  <c r="L555" i="37"/>
  <c r="L579" i="37"/>
  <c r="L946" i="37" a="1"/>
  <c r="L946" i="37" s="1"/>
  <c r="L550" i="37"/>
  <c r="L932" i="37" a="1"/>
  <c r="L932" i="37" s="1"/>
  <c r="L570" i="37"/>
  <c r="L576" i="37"/>
  <c r="AD580" i="37"/>
  <c r="L511" i="37"/>
  <c r="L562" i="37"/>
  <c r="L919" i="37"/>
  <c r="L564" i="37"/>
  <c r="L962" i="37" a="1"/>
  <c r="L962" i="37" s="1"/>
  <c r="L546" i="37"/>
  <c r="L933" i="37"/>
  <c r="L566" i="37"/>
  <c r="AD568" i="37"/>
  <c r="L975" i="37"/>
  <c r="L561" i="37"/>
  <c r="AD533" i="37"/>
  <c r="L580" i="37"/>
  <c r="AD579" i="37"/>
  <c r="L960" i="37" a="1"/>
  <c r="L960" i="37" s="1"/>
  <c r="AD515" i="37"/>
  <c r="L522" i="37"/>
  <c r="L533" i="37"/>
  <c r="L517" i="37"/>
  <c r="L575" i="37"/>
  <c r="L497" i="37"/>
  <c r="L544" i="37"/>
  <c r="L574" i="37"/>
  <c r="AD578" i="37"/>
  <c r="DP59" i="28"/>
  <c r="AD572" i="37"/>
  <c r="L557" i="37"/>
  <c r="L892" i="37" a="1"/>
  <c r="L892" i="37" s="1"/>
  <c r="L563" i="37"/>
  <c r="L543" i="37"/>
  <c r="L528" i="37"/>
  <c r="L549" i="37"/>
  <c r="L500" i="37"/>
  <c r="L545" i="37"/>
  <c r="L891" i="37"/>
  <c r="AG97" i="37"/>
  <c r="M97" i="37" s="1"/>
  <c r="AG50" i="37"/>
  <c r="AG44" i="37"/>
  <c r="AG41" i="37"/>
  <c r="M41" i="37" s="1"/>
  <c r="AG36" i="37"/>
  <c r="AG17" i="37"/>
  <c r="AG99" i="37"/>
  <c r="AG48" i="37"/>
  <c r="M48" i="37" s="1"/>
  <c r="AG24" i="37"/>
  <c r="M24" i="37" s="1"/>
  <c r="AG23" i="37"/>
  <c r="M23" i="37" s="1"/>
  <c r="AG20" i="37"/>
  <c r="M20" i="37" s="1"/>
  <c r="AG19" i="37"/>
  <c r="AG55" i="37"/>
  <c r="AG47" i="37"/>
  <c r="M47" i="37" s="1"/>
  <c r="AG25" i="37"/>
  <c r="AG40" i="37"/>
  <c r="AY18" i="37"/>
  <c r="AG94" i="37"/>
  <c r="M94" i="37" s="1"/>
  <c r="AG42" i="37"/>
  <c r="AG96" i="37"/>
  <c r="DB59" i="28"/>
  <c r="AG18" i="37"/>
  <c r="AG30" i="37"/>
  <c r="AG56" i="37"/>
  <c r="AY52" i="37"/>
  <c r="AY16" i="37"/>
  <c r="BO59" i="28"/>
  <c r="FB59" i="28" s="1" a="1"/>
  <c r="FB59" i="28" s="1"/>
  <c r="AG95" i="37"/>
  <c r="AG98" i="37"/>
  <c r="M98" i="37" s="1"/>
  <c r="AG22" i="37"/>
  <c r="AG34" i="37"/>
  <c r="AY54" i="37"/>
  <c r="AG29" i="37"/>
  <c r="AG37" i="37"/>
  <c r="AG43" i="37"/>
  <c r="AG100" i="37"/>
  <c r="M100" i="37" s="1"/>
  <c r="AG52" i="37"/>
  <c r="AG38" i="37"/>
  <c r="AG53" i="37"/>
  <c r="AG26" i="37"/>
  <c r="M26" i="37" s="1"/>
  <c r="AG32" i="37"/>
  <c r="M32" i="37" s="1"/>
  <c r="AG46" i="37"/>
  <c r="AY17" i="37"/>
  <c r="AY41" i="37"/>
  <c r="AY42" i="37"/>
  <c r="AG54" i="37"/>
  <c r="AY40" i="37"/>
  <c r="AY34" i="37"/>
  <c r="AY28" i="37"/>
  <c r="AG28" i="37"/>
  <c r="AY36" i="37"/>
  <c r="AG16" i="37"/>
  <c r="AG31" i="37"/>
  <c r="AY30" i="37"/>
  <c r="GV59" i="28"/>
  <c r="AY24" i="37"/>
  <c r="AY22" i="37"/>
  <c r="AY53" i="37"/>
  <c r="AY29" i="37"/>
  <c r="AY46" i="37"/>
  <c r="AY48" i="37"/>
  <c r="AG35" i="37"/>
  <c r="AY23" i="37"/>
  <c r="AY35" i="37"/>
  <c r="AG49" i="37"/>
  <c r="AY47" i="37"/>
  <c r="L155" i="37"/>
  <c r="AF155" i="37" s="1"/>
  <c r="L666" i="37" a="1"/>
  <c r="L666" i="37" s="1"/>
  <c r="AX27" i="37"/>
  <c r="AG107" i="33"/>
  <c r="AH107" i="33"/>
  <c r="K139" i="37"/>
  <c r="K27" i="37"/>
  <c r="K650" i="37" a="1"/>
  <c r="K650" i="37" s="1"/>
  <c r="K134" i="37"/>
  <c r="K645" i="37" a="1"/>
  <c r="K645" i="37" s="1"/>
  <c r="K72" i="37"/>
  <c r="K127" i="37"/>
  <c r="K15" i="37"/>
  <c r="K638" i="37" a="1"/>
  <c r="K638" i="37" s="1"/>
  <c r="AC619" i="37"/>
  <c r="K657" i="37" a="1"/>
  <c r="K657" i="37" s="1"/>
  <c r="K146" i="37"/>
  <c r="K200" i="37"/>
  <c r="K88" i="37"/>
  <c r="K677" i="37" a="1"/>
  <c r="K677" i="37" s="1"/>
  <c r="K166" i="37"/>
  <c r="K547" i="37"/>
  <c r="K889" i="37"/>
  <c r="AC601" i="37"/>
  <c r="K588" i="37"/>
  <c r="K495" i="37"/>
  <c r="K507" i="37"/>
  <c r="K600" i="37"/>
  <c r="AC541" i="37"/>
  <c r="K553" i="37"/>
  <c r="AC589" i="37"/>
  <c r="AC577" i="37"/>
  <c r="AC591" i="37"/>
  <c r="K140" i="37"/>
  <c r="K651" i="37" a="1"/>
  <c r="K651" i="37" s="1"/>
  <c r="AX45" i="37"/>
  <c r="L52" i="37"/>
  <c r="AF208" i="37"/>
  <c r="AF209" i="37"/>
  <c r="AF51" i="37"/>
  <c r="AF207" i="37"/>
  <c r="L158" i="37"/>
  <c r="AF158" i="37" s="1"/>
  <c r="L669" i="37" a="1"/>
  <c r="L669" i="37" s="1"/>
  <c r="L648" i="37" a="1"/>
  <c r="L648" i="37" s="1"/>
  <c r="L137" i="37"/>
  <c r="AF137" i="37" s="1"/>
  <c r="K698" i="37"/>
  <c r="V691" i="37"/>
  <c r="F691" i="37"/>
  <c r="L698" i="37"/>
  <c r="K182" i="37"/>
  <c r="K211" i="37" a="1"/>
  <c r="K211" i="37" s="1"/>
  <c r="AC615" i="37"/>
  <c r="K622" i="37"/>
  <c r="L642" i="37" a="1"/>
  <c r="L642" i="37" s="1"/>
  <c r="L131" i="37"/>
  <c r="AF131" i="37" s="1"/>
  <c r="K82" i="37"/>
  <c r="K130" i="37"/>
  <c r="K641" i="37" a="1"/>
  <c r="K641" i="37" s="1"/>
  <c r="AG222" i="33"/>
  <c r="AH222" i="33"/>
  <c r="K77" i="37"/>
  <c r="K157" i="37"/>
  <c r="K668" i="37" a="1"/>
  <c r="K668" i="37" s="1"/>
  <c r="K45" i="37"/>
  <c r="K87" i="37"/>
  <c r="K671" i="37" a="1"/>
  <c r="K671" i="37" s="1"/>
  <c r="K160" i="37"/>
  <c r="K153" i="37"/>
  <c r="K664" i="37" a="1"/>
  <c r="K664" i="37" s="1"/>
  <c r="AC610" i="37"/>
  <c r="K541" i="37"/>
  <c r="AC507" i="37"/>
  <c r="AC600" i="37"/>
  <c r="AC553" i="37"/>
  <c r="K531" i="37"/>
  <c r="K624" i="37"/>
  <c r="AC621" i="37"/>
  <c r="AC628" i="37"/>
  <c r="AC549" i="37"/>
  <c r="AC550" i="37"/>
  <c r="K905" i="37"/>
  <c r="K906" i="37" a="1"/>
  <c r="K906" i="37" s="1"/>
  <c r="K904" i="37" a="1"/>
  <c r="K904" i="37" s="1"/>
  <c r="K504" i="37"/>
  <c r="K502" i="37"/>
  <c r="AC502" i="37"/>
  <c r="AC548" i="37"/>
  <c r="AC504" i="37"/>
  <c r="K506" i="37"/>
  <c r="AC503" i="37"/>
  <c r="K503" i="37"/>
  <c r="K505" i="37"/>
  <c r="AC565" i="37"/>
  <c r="K615" i="37"/>
  <c r="K165" i="37"/>
  <c r="K676" i="37" a="1"/>
  <c r="K676" i="37" s="1"/>
  <c r="L37" i="37"/>
  <c r="AF112" i="37"/>
  <c r="L112" i="37" s="1"/>
  <c r="L153" i="37"/>
  <c r="AF153" i="37" s="1"/>
  <c r="L664" i="37" a="1"/>
  <c r="L664" i="37" s="1"/>
  <c r="L140" i="37"/>
  <c r="AF140" i="37" s="1"/>
  <c r="L651" i="37" a="1"/>
  <c r="L651" i="37" s="1"/>
  <c r="L25" i="37"/>
  <c r="L216" i="37" s="1" a="1"/>
  <c r="L216" i="37" s="1"/>
  <c r="AF110" i="37"/>
  <c r="L110" i="37" s="1"/>
  <c r="L147" i="37"/>
  <c r="AF147" i="37" s="1"/>
  <c r="L658" i="37" a="1"/>
  <c r="L658" i="37" s="1"/>
  <c r="K654" i="37" a="1"/>
  <c r="K654" i="37" s="1"/>
  <c r="K143" i="37"/>
  <c r="K137" i="37"/>
  <c r="K648" i="37" a="1"/>
  <c r="K648" i="37" s="1"/>
  <c r="L97" i="37"/>
  <c r="K207" i="37" a="1"/>
  <c r="K207" i="37" s="1"/>
  <c r="K220" i="37" a="1"/>
  <c r="K220" i="37" s="1"/>
  <c r="AH83" i="33"/>
  <c r="AG83" i="33"/>
  <c r="AI203" i="33"/>
  <c r="AI226" i="33"/>
  <c r="AI111" i="33"/>
  <c r="AI123" i="33" s="1"/>
  <c r="AI129" i="33" s="1"/>
  <c r="AI134" i="33"/>
  <c r="AI157" i="33"/>
  <c r="AI180" i="33"/>
  <c r="AI192" i="33" s="1"/>
  <c r="AI198" i="33" s="1"/>
  <c r="AI199" i="33" s="1"/>
  <c r="AI88" i="33"/>
  <c r="AI60" i="33"/>
  <c r="AI76" i="33" s="1"/>
  <c r="AI82" i="33" s="1"/>
  <c r="AI83" i="33" s="1"/>
  <c r="AJ628" i="33"/>
  <c r="AI633" i="33"/>
  <c r="AI634" i="33" s="1"/>
  <c r="K722" i="37"/>
  <c r="L722" i="37"/>
  <c r="V715" i="37"/>
  <c r="F715" i="37"/>
  <c r="AG199" i="33"/>
  <c r="AH199" i="33"/>
  <c r="K513" i="37"/>
  <c r="K606" i="37"/>
  <c r="K620" i="37"/>
  <c r="K931" i="37"/>
  <c r="K917" i="37"/>
  <c r="AC622" i="37"/>
  <c r="AC604" i="37"/>
  <c r="AC609" i="37"/>
  <c r="K613" i="37"/>
  <c r="AC626" i="37"/>
  <c r="AC513" i="37"/>
  <c r="AC606" i="37"/>
  <c r="AC607" i="37"/>
  <c r="K626" i="37"/>
  <c r="L730" i="37"/>
  <c r="V723" i="37"/>
  <c r="K730" i="37"/>
  <c r="F723" i="37"/>
  <c r="K83" i="37"/>
  <c r="K647" i="37" a="1"/>
  <c r="K647" i="37" s="1"/>
  <c r="K136" i="37"/>
  <c r="AX51" i="37"/>
  <c r="L646" i="37" a="1"/>
  <c r="L646" i="37" s="1"/>
  <c r="L135" i="37"/>
  <c r="AF135" i="37" s="1"/>
  <c r="AX21" i="37"/>
  <c r="L149" i="37"/>
  <c r="AF149" i="37" s="1"/>
  <c r="L660" i="37" a="1"/>
  <c r="L660" i="37" s="1"/>
  <c r="L19" i="37"/>
  <c r="L210" i="37" s="1" a="1"/>
  <c r="L210" i="37" s="1"/>
  <c r="AF109" i="37"/>
  <c r="L109" i="37" s="1"/>
  <c r="L134" i="37"/>
  <c r="AF134" i="37" s="1"/>
  <c r="L645" i="37" a="1"/>
  <c r="L645" i="37" s="1"/>
  <c r="AF113" i="37"/>
  <c r="L113" i="37" s="1"/>
  <c r="L43" i="37"/>
  <c r="K152" i="37"/>
  <c r="K663" i="37" a="1"/>
  <c r="K663" i="37" s="1"/>
  <c r="K221" i="37" a="1"/>
  <c r="K221" i="37" s="1"/>
  <c r="K216" i="37" a="1"/>
  <c r="K216" i="37" s="1"/>
  <c r="K222" i="37" a="1"/>
  <c r="K222" i="37" s="1"/>
  <c r="K155" i="37"/>
  <c r="K666" i="37" a="1"/>
  <c r="K666" i="37" s="1"/>
  <c r="K135" i="37"/>
  <c r="K646" i="37" a="1"/>
  <c r="K646" i="37" s="1"/>
  <c r="C850" i="51" l="1" a="1"/>
  <c r="C850" i="51" s="1"/>
  <c r="F100" i="48"/>
  <c r="F139" i="48" s="1"/>
  <c r="AH245" i="33"/>
  <c r="AD367" i="37"/>
  <c r="AD361" i="37"/>
  <c r="AD397" i="37"/>
  <c r="AD551" i="37"/>
  <c r="AD505" i="37"/>
  <c r="AD552" i="37"/>
  <c r="AD506" i="37"/>
  <c r="AE511" i="37"/>
  <c r="AE535" i="37"/>
  <c r="AE576" i="37"/>
  <c r="AE530" i="37"/>
  <c r="AE512" i="37"/>
  <c r="AE569" i="37"/>
  <c r="AE545" i="37"/>
  <c r="AE582" i="37"/>
  <c r="AE518" i="37"/>
  <c r="AE581" i="37"/>
  <c r="AE499" i="37"/>
  <c r="AE557" i="37"/>
  <c r="AE524" i="37"/>
  <c r="AE575" i="37"/>
  <c r="AE563" i="37"/>
  <c r="AE536" i="37"/>
  <c r="AE517" i="37"/>
  <c r="AE546" i="37"/>
  <c r="AE500" i="37"/>
  <c r="AE564" i="37"/>
  <c r="AE523" i="37"/>
  <c r="AE529" i="37"/>
  <c r="AE570" i="37"/>
  <c r="AE558" i="37"/>
  <c r="AD379" i="37"/>
  <c r="AD384" i="37"/>
  <c r="AD366" i="37"/>
  <c r="AD390" i="37"/>
  <c r="AD385" i="37"/>
  <c r="AD373" i="37"/>
  <c r="AD391" i="37"/>
  <c r="AD360" i="37"/>
  <c r="AD372" i="37"/>
  <c r="AD378" i="37"/>
  <c r="AD396" i="37"/>
  <c r="I100" i="48"/>
  <c r="I139" i="48" s="1"/>
  <c r="J100" i="48"/>
  <c r="J139" i="48" s="1"/>
  <c r="EK33" i="28"/>
  <c r="FP33" i="28" s="1"/>
  <c r="EK35" i="28"/>
  <c r="AD393" i="37"/>
  <c r="L887" i="37" a="1"/>
  <c r="L887" i="37" s="1"/>
  <c r="L372" i="37"/>
  <c r="L389" i="37"/>
  <c r="AD388" i="37"/>
  <c r="L778" i="37"/>
  <c r="L777" i="37" s="1"/>
  <c r="L776" i="37" s="1"/>
  <c r="AD370" i="37"/>
  <c r="L377" i="37"/>
  <c r="L357" i="37"/>
  <c r="L370" i="37"/>
  <c r="AD371" i="37"/>
  <c r="L396" i="37"/>
  <c r="L929" i="37" a="1"/>
  <c r="L929" i="37" s="1"/>
  <c r="L360" i="37"/>
  <c r="L384" i="37"/>
  <c r="AD383" i="37"/>
  <c r="FP31" i="28"/>
  <c r="L943" i="37" a="1"/>
  <c r="L943" i="37" s="1"/>
  <c r="L382" i="37"/>
  <c r="L786" i="37"/>
  <c r="L785" i="37" s="1"/>
  <c r="L784" i="37" s="1"/>
  <c r="AD376" i="37"/>
  <c r="L378" i="37"/>
  <c r="AD369" i="37"/>
  <c r="AD375" i="37"/>
  <c r="L393" i="37"/>
  <c r="L395" i="37"/>
  <c r="L782" i="37"/>
  <c r="L781" i="37" s="1"/>
  <c r="L780" i="37" s="1"/>
  <c r="AD387" i="37"/>
  <c r="L770" i="37"/>
  <c r="L769" i="37" s="1"/>
  <c r="L768" i="37" s="1"/>
  <c r="L390" i="37"/>
  <c r="L774" i="37"/>
  <c r="L773" i="37" s="1"/>
  <c r="L772" i="37" s="1"/>
  <c r="L375" i="37"/>
  <c r="L381" i="37"/>
  <c r="AD358" i="37"/>
  <c r="AD381" i="37"/>
  <c r="L361" i="37"/>
  <c r="L379" i="37"/>
  <c r="L971" i="37" a="1"/>
  <c r="L971" i="37" s="1"/>
  <c r="L367" i="37"/>
  <c r="L388" i="37"/>
  <c r="AD357" i="37"/>
  <c r="L373" i="37"/>
  <c r="L358" i="37"/>
  <c r="AD394" i="37"/>
  <c r="L394" i="37"/>
  <c r="L957" i="37" a="1"/>
  <c r="L957" i="37" s="1"/>
  <c r="L790" i="37"/>
  <c r="L789" i="37" s="1"/>
  <c r="L788" i="37" s="1"/>
  <c r="AD377" i="37"/>
  <c r="AD365" i="37"/>
  <c r="L385" i="37"/>
  <c r="L915" i="37" a="1"/>
  <c r="L915" i="37" s="1"/>
  <c r="L371" i="37"/>
  <c r="L901" i="37" a="1"/>
  <c r="L901" i="37" s="1"/>
  <c r="L365" i="37"/>
  <c r="AD359" i="37"/>
  <c r="L391" i="37"/>
  <c r="L383" i="37"/>
  <c r="AD382" i="37"/>
  <c r="L366" i="37"/>
  <c r="L363" i="37"/>
  <c r="AD389" i="37"/>
  <c r="AD364" i="37"/>
  <c r="L387" i="37"/>
  <c r="AD395" i="37"/>
  <c r="L364" i="37"/>
  <c r="AD363" i="37"/>
  <c r="L359" i="37"/>
  <c r="L794" i="37"/>
  <c r="L793" i="37" s="1"/>
  <c r="L792" i="37" s="1"/>
  <c r="L369" i="37"/>
  <c r="L376" i="37"/>
  <c r="L397" i="37"/>
  <c r="L714" i="37"/>
  <c r="K781" i="37"/>
  <c r="FP28" i="28"/>
  <c r="K368" i="37"/>
  <c r="K757" i="37" s="1"/>
  <c r="K823" i="37" s="1"/>
  <c r="FP30" i="28"/>
  <c r="K356" i="37"/>
  <c r="K755" i="37" s="1"/>
  <c r="K809" i="37" s="1"/>
  <c r="AC374" i="37"/>
  <c r="AC392" i="37"/>
  <c r="AC368" i="37"/>
  <c r="AC362" i="37"/>
  <c r="K785" i="37"/>
  <c r="K793" i="37"/>
  <c r="AC380" i="37"/>
  <c r="AC356" i="37"/>
  <c r="K773" i="37"/>
  <c r="K769" i="37"/>
  <c r="K789" i="37"/>
  <c r="K777" i="37"/>
  <c r="AC386" i="37"/>
  <c r="K380" i="37"/>
  <c r="K759" i="37" s="1"/>
  <c r="K837" i="37" s="1"/>
  <c r="K374" i="37"/>
  <c r="K758" i="37" s="1"/>
  <c r="K830" i="37" s="1"/>
  <c r="K362" i="37"/>
  <c r="K386" i="37"/>
  <c r="K392" i="37"/>
  <c r="K761" i="37" s="1"/>
  <c r="K851" i="37" s="1"/>
  <c r="F707" i="37"/>
  <c r="K714" i="37"/>
  <c r="BV24" i="37"/>
  <c r="BV23" i="37"/>
  <c r="BV40" i="37"/>
  <c r="BV32" i="37"/>
  <c r="BV42" i="37"/>
  <c r="BV51" i="37"/>
  <c r="BV17" i="37"/>
  <c r="AZ37" i="37"/>
  <c r="BV46" i="37"/>
  <c r="AZ43" i="37"/>
  <c r="BV21" i="37"/>
  <c r="BV27" i="37"/>
  <c r="BV47" i="37"/>
  <c r="BV37" i="37"/>
  <c r="AZ26" i="37"/>
  <c r="AZ20" i="37"/>
  <c r="BV15" i="37"/>
  <c r="EL32" i="28" s="1"/>
  <c r="BV38" i="37"/>
  <c r="BV16" i="37"/>
  <c r="BV25" i="37"/>
  <c r="AZ38" i="37"/>
  <c r="BV39" i="37"/>
  <c r="AZ32" i="37"/>
  <c r="BV22" i="37"/>
  <c r="AZ49" i="37"/>
  <c r="BV35" i="37"/>
  <c r="BV36" i="37"/>
  <c r="BV28" i="37"/>
  <c r="BV45" i="37"/>
  <c r="BV26" i="37"/>
  <c r="BV31" i="37"/>
  <c r="BV44" i="37"/>
  <c r="BV52" i="37"/>
  <c r="BV29" i="37"/>
  <c r="BV30" i="37"/>
  <c r="BV55" i="37"/>
  <c r="BV48" i="37"/>
  <c r="AZ31" i="37"/>
  <c r="BV49" i="37"/>
  <c r="BV54" i="37"/>
  <c r="BV18" i="37"/>
  <c r="AZ19" i="37"/>
  <c r="BV56" i="37"/>
  <c r="AZ56" i="37"/>
  <c r="AZ55" i="37"/>
  <c r="BV41" i="37"/>
  <c r="BV50" i="37"/>
  <c r="BV53" i="37"/>
  <c r="BV19" i="37"/>
  <c r="FQ30" i="28" s="1"/>
  <c r="AZ50" i="37"/>
  <c r="BV20" i="37"/>
  <c r="BV33" i="37"/>
  <c r="AZ25" i="37"/>
  <c r="AZ44" i="37"/>
  <c r="BV43" i="37"/>
  <c r="BV34" i="37"/>
  <c r="AD608" i="37"/>
  <c r="AD628" i="37"/>
  <c r="L604" i="37"/>
  <c r="L615" i="37"/>
  <c r="AD619" i="37"/>
  <c r="L628" i="37"/>
  <c r="AD607" i="37"/>
  <c r="L589" i="37"/>
  <c r="L553" i="37"/>
  <c r="K637" i="37"/>
  <c r="AD627" i="37"/>
  <c r="L592" i="37"/>
  <c r="L619" i="37"/>
  <c r="AD610" i="37"/>
  <c r="L613" i="37"/>
  <c r="AD614" i="37"/>
  <c r="L627" i="37"/>
  <c r="L82" i="37"/>
  <c r="L83" i="37"/>
  <c r="L620" i="37"/>
  <c r="AD604" i="37"/>
  <c r="K218" i="37"/>
  <c r="AD589" i="37"/>
  <c r="K655" i="37"/>
  <c r="M31" i="37"/>
  <c r="M222" i="37" s="1" a="1"/>
  <c r="M222" i="37" s="1"/>
  <c r="AG111" i="37"/>
  <c r="M111" i="37" s="1"/>
  <c r="K206" i="37"/>
  <c r="AC501" i="37"/>
  <c r="AC594" i="37"/>
  <c r="K623" i="37"/>
  <c r="AE130" i="37"/>
  <c r="L163" i="37"/>
  <c r="L51" i="37"/>
  <c r="L67" i="37" s="1"/>
  <c r="L674" i="37" a="1"/>
  <c r="L674" i="37" s="1"/>
  <c r="K599" i="37"/>
  <c r="AG114" i="37"/>
  <c r="M114" i="37" s="1"/>
  <c r="M49" i="37"/>
  <c r="M87" i="37" s="1"/>
  <c r="AG15" i="37"/>
  <c r="M16" i="37"/>
  <c r="M207" i="37" s="1" a="1"/>
  <c r="M207" i="37" s="1"/>
  <c r="AG185" i="37"/>
  <c r="AG183" i="37"/>
  <c r="AG184" i="37"/>
  <c r="AY39" i="37"/>
  <c r="M53" i="37"/>
  <c r="AH94" i="37"/>
  <c r="N94" i="37" s="1"/>
  <c r="AH35" i="37"/>
  <c r="N35" i="37" s="1"/>
  <c r="AH100" i="37"/>
  <c r="N100" i="37" s="1"/>
  <c r="AH95" i="37"/>
  <c r="N95" i="37" s="1"/>
  <c r="AZ52" i="37"/>
  <c r="AH56" i="37"/>
  <c r="N56" i="37" s="1"/>
  <c r="AH54" i="37"/>
  <c r="N54" i="37" s="1"/>
  <c r="AH49" i="37"/>
  <c r="AH32" i="37"/>
  <c r="AH98" i="37"/>
  <c r="N98" i="37" s="1"/>
  <c r="AH99" i="37"/>
  <c r="N99" i="37" s="1"/>
  <c r="AZ22" i="37"/>
  <c r="AH50" i="37"/>
  <c r="N50" i="37" s="1"/>
  <c r="AH44" i="37"/>
  <c r="N44" i="37" s="1"/>
  <c r="AH31" i="37"/>
  <c r="AH97" i="37"/>
  <c r="N97" i="37" s="1"/>
  <c r="AZ40" i="37"/>
  <c r="AZ34" i="37"/>
  <c r="AH25" i="37"/>
  <c r="AH38" i="37"/>
  <c r="N38" i="37" s="1"/>
  <c r="AZ42" i="37"/>
  <c r="AZ53" i="37"/>
  <c r="AZ23" i="37"/>
  <c r="AH48" i="37"/>
  <c r="N48" i="37" s="1"/>
  <c r="AH20" i="37"/>
  <c r="N20" i="37" s="1"/>
  <c r="AH22" i="37"/>
  <c r="AH52" i="37"/>
  <c r="AH36" i="37"/>
  <c r="N36" i="37" s="1"/>
  <c r="AZ54" i="37"/>
  <c r="AH43" i="37"/>
  <c r="AZ16" i="37"/>
  <c r="AH26" i="37"/>
  <c r="N26" i="37" s="1"/>
  <c r="AH24" i="37"/>
  <c r="AZ48" i="37"/>
  <c r="AH96" i="37"/>
  <c r="N96" i="37" s="1"/>
  <c r="AH28" i="37"/>
  <c r="AH40" i="37"/>
  <c r="BP59" i="28"/>
  <c r="FC59" i="28" s="1" a="1"/>
  <c r="FC59" i="28" s="1"/>
  <c r="AH18" i="37"/>
  <c r="N18" i="37" s="1"/>
  <c r="AZ36" i="37"/>
  <c r="AH30" i="37"/>
  <c r="N30" i="37" s="1"/>
  <c r="AH37" i="37"/>
  <c r="AH53" i="37"/>
  <c r="N53" i="37" s="1"/>
  <c r="AH19" i="37"/>
  <c r="AH23" i="37"/>
  <c r="N23" i="37" s="1"/>
  <c r="AH41" i="37"/>
  <c r="AZ46" i="37"/>
  <c r="AH42" i="37"/>
  <c r="N42" i="37" s="1"/>
  <c r="AH29" i="37"/>
  <c r="N29" i="37" s="1"/>
  <c r="AH17" i="37"/>
  <c r="N17" i="37" s="1"/>
  <c r="AZ35" i="37"/>
  <c r="AZ18" i="37"/>
  <c r="AZ24" i="37"/>
  <c r="AH47" i="37"/>
  <c r="AH46" i="37"/>
  <c r="AH16" i="37"/>
  <c r="AZ29" i="37"/>
  <c r="AZ17" i="37"/>
  <c r="AZ47" i="37"/>
  <c r="AZ28" i="37"/>
  <c r="AZ30" i="37"/>
  <c r="DC59" i="28"/>
  <c r="AH34" i="37"/>
  <c r="GW59" i="28"/>
  <c r="AH55" i="37"/>
  <c r="AZ41" i="37"/>
  <c r="M42" i="37"/>
  <c r="M25" i="37"/>
  <c r="M216" i="37" s="1" a="1"/>
  <c r="M216" i="37" s="1"/>
  <c r="AG110" i="37"/>
  <c r="M110" i="37" s="1"/>
  <c r="L577" i="37"/>
  <c r="L571" i="37"/>
  <c r="AD622" i="37"/>
  <c r="AD624" i="37"/>
  <c r="AD531" i="37"/>
  <c r="L889" i="37"/>
  <c r="L973" i="37"/>
  <c r="AD615" i="37"/>
  <c r="L45" i="37"/>
  <c r="L66" i="37" s="1"/>
  <c r="L157" i="37"/>
  <c r="L668" i="37" a="1"/>
  <c r="L668" i="37" s="1"/>
  <c r="L182" i="37"/>
  <c r="AE128" i="37"/>
  <c r="K643" i="37"/>
  <c r="AC617" i="37"/>
  <c r="AE164" i="37"/>
  <c r="AC623" i="37"/>
  <c r="AC547" i="37"/>
  <c r="AD618" i="37"/>
  <c r="AD525" i="37"/>
  <c r="L588" i="37"/>
  <c r="L495" i="37"/>
  <c r="L133" i="37"/>
  <c r="L644" i="37" a="1"/>
  <c r="L644" i="37" s="1"/>
  <c r="L21" i="37"/>
  <c r="L139" i="37"/>
  <c r="L650" i="37" a="1"/>
  <c r="L650" i="37" s="1"/>
  <c r="L27" i="37"/>
  <c r="L63" i="37" s="1"/>
  <c r="K62" i="37"/>
  <c r="L154" i="37"/>
  <c r="AF154" i="37" s="1"/>
  <c r="L665" i="37" a="1"/>
  <c r="L665" i="37" s="1"/>
  <c r="AI146" i="33"/>
  <c r="AI152" i="33" s="1"/>
  <c r="AE143" i="37"/>
  <c r="AE155" i="37"/>
  <c r="AC597" i="37"/>
  <c r="AE153" i="37"/>
  <c r="K66" i="37"/>
  <c r="K649" i="37"/>
  <c r="AY21" i="37"/>
  <c r="M54" i="37"/>
  <c r="M38" i="37"/>
  <c r="AG195" i="37"/>
  <c r="AG197" i="37"/>
  <c r="AG196" i="37"/>
  <c r="AG33" i="37"/>
  <c r="M34" i="37"/>
  <c r="M75" i="37" s="1"/>
  <c r="AY15" i="37"/>
  <c r="M158" i="37"/>
  <c r="AG158" i="37" s="1"/>
  <c r="M669" i="37" a="1"/>
  <c r="M669" i="37" s="1"/>
  <c r="M17" i="37"/>
  <c r="M208" i="37" s="1" a="1"/>
  <c r="M208" i="37" s="1"/>
  <c r="AD625" i="37"/>
  <c r="L608" i="37"/>
  <c r="L601" i="37"/>
  <c r="AD601" i="37"/>
  <c r="L917" i="37"/>
  <c r="AD613" i="37"/>
  <c r="AD553" i="37"/>
  <c r="AD621" i="37"/>
  <c r="AD565" i="37"/>
  <c r="AE149" i="37"/>
  <c r="L213" i="37" a="1"/>
  <c r="L213" i="37" s="1"/>
  <c r="L212" i="37" s="1"/>
  <c r="K144" i="37"/>
  <c r="AE145" i="37"/>
  <c r="L151" i="37"/>
  <c r="L39" i="37"/>
  <c r="L65" i="37" s="1"/>
  <c r="L662" i="37" a="1"/>
  <c r="L662" i="37" s="1"/>
  <c r="K617" i="37"/>
  <c r="AE148" i="37"/>
  <c r="L86" i="37"/>
  <c r="AG39" i="37"/>
  <c r="AG200" i="37"/>
  <c r="M40" i="37"/>
  <c r="M76" i="37" s="1"/>
  <c r="AG199" i="37"/>
  <c r="AG201" i="37"/>
  <c r="AD588" i="37"/>
  <c r="AD495" i="37"/>
  <c r="AI238" i="33"/>
  <c r="K597" i="37"/>
  <c r="K501" i="37"/>
  <c r="K594" i="37"/>
  <c r="K667" i="37"/>
  <c r="K63" i="37"/>
  <c r="AG208" i="37"/>
  <c r="AG209" i="37"/>
  <c r="AG207" i="37"/>
  <c r="M52" i="37"/>
  <c r="AG51" i="37"/>
  <c r="M22" i="37"/>
  <c r="M213" i="37" s="1" a="1"/>
  <c r="M213" i="37" s="1"/>
  <c r="AG187" i="37"/>
  <c r="AG188" i="37"/>
  <c r="AG189" i="37"/>
  <c r="AG21" i="37"/>
  <c r="AY51" i="37"/>
  <c r="M55" i="37"/>
  <c r="M88" i="37" s="1"/>
  <c r="AG115" i="37"/>
  <c r="M115" i="37" s="1"/>
  <c r="M36" i="37"/>
  <c r="AD571" i="37"/>
  <c r="L609" i="37"/>
  <c r="L559" i="37"/>
  <c r="AD603" i="37"/>
  <c r="AD541" i="37"/>
  <c r="AD592" i="37"/>
  <c r="AD590" i="37"/>
  <c r="L607" i="37"/>
  <c r="L624" i="37"/>
  <c r="L531" i="37"/>
  <c r="L622" i="37"/>
  <c r="L653" i="37" a="1"/>
  <c r="L653" i="37" s="1"/>
  <c r="L142" i="37"/>
  <c r="AF142" i="37" s="1"/>
  <c r="AC587" i="37"/>
  <c r="L222" i="37" a="1"/>
  <c r="L222" i="37" s="1"/>
  <c r="L188" i="37"/>
  <c r="AC611" i="37"/>
  <c r="AE158" i="37"/>
  <c r="K67" i="37"/>
  <c r="K596" i="37"/>
  <c r="K156" i="37"/>
  <c r="AE157" i="37"/>
  <c r="AE146" i="37"/>
  <c r="L74" i="37"/>
  <c r="M35" i="37"/>
  <c r="M56" i="37"/>
  <c r="AG109" i="37"/>
  <c r="M109" i="37" s="1"/>
  <c r="M19" i="37"/>
  <c r="M82" i="37" s="1"/>
  <c r="M152" i="37"/>
  <c r="AG152" i="37" s="1"/>
  <c r="M663" i="37" a="1"/>
  <c r="M663" i="37" s="1"/>
  <c r="L625" i="37"/>
  <c r="L931" i="37"/>
  <c r="L618" i="37"/>
  <c r="L525" i="37"/>
  <c r="L606" i="37"/>
  <c r="L513" i="37"/>
  <c r="L610" i="37"/>
  <c r="L15" i="37"/>
  <c r="L61" i="37" s="1"/>
  <c r="L127" i="37"/>
  <c r="L638" i="37" a="1"/>
  <c r="L638" i="37" s="1"/>
  <c r="L78" i="37"/>
  <c r="L200" i="37"/>
  <c r="AE167" i="37"/>
  <c r="AI130" i="33"/>
  <c r="AE141" i="37"/>
  <c r="M137" i="37"/>
  <c r="AG137" i="37" s="1"/>
  <c r="M648" i="37" a="1"/>
  <c r="M648" i="37" s="1"/>
  <c r="M159" i="37"/>
  <c r="AG159" i="37" s="1"/>
  <c r="M670" i="37" a="1"/>
  <c r="M670" i="37" s="1"/>
  <c r="L600" i="37"/>
  <c r="L507" i="37"/>
  <c r="K661" i="37"/>
  <c r="AJ203" i="33"/>
  <c r="AJ215" i="33" s="1"/>
  <c r="AJ221" i="33" s="1"/>
  <c r="AJ134" i="33"/>
  <c r="AJ146" i="33" s="1"/>
  <c r="AJ152" i="33" s="1"/>
  <c r="AJ111" i="33"/>
  <c r="AJ123" i="33" s="1"/>
  <c r="AJ129" i="33" s="1"/>
  <c r="AJ130" i="33" s="1"/>
  <c r="AJ60" i="33"/>
  <c r="AJ76" i="33" s="1"/>
  <c r="AJ82" i="33" s="1"/>
  <c r="AJ83" i="33" s="1"/>
  <c r="AJ226" i="33"/>
  <c r="AJ238" i="33" s="1"/>
  <c r="AJ180" i="33"/>
  <c r="AJ157" i="33"/>
  <c r="AJ169" i="33" s="1"/>
  <c r="AJ175" i="33" s="1"/>
  <c r="AJ88" i="33"/>
  <c r="AJ100" i="33" s="1"/>
  <c r="AJ106" i="33" s="1"/>
  <c r="AK628" i="33"/>
  <c r="AJ633" i="33"/>
  <c r="AJ634" i="33" s="1"/>
  <c r="AE160" i="37"/>
  <c r="AC595" i="37"/>
  <c r="K903" i="37"/>
  <c r="AE166" i="37"/>
  <c r="K61" i="37"/>
  <c r="K138" i="37"/>
  <c r="AE139" i="37"/>
  <c r="M211" i="37" a="1"/>
  <c r="M211" i="37" s="1"/>
  <c r="M195" i="37" a="1"/>
  <c r="M195" i="37" s="1"/>
  <c r="M201" i="37" a="1"/>
  <c r="M201" i="37" s="1"/>
  <c r="M186" i="37" a="1"/>
  <c r="M186" i="37" s="1"/>
  <c r="M196" i="37" a="1"/>
  <c r="M196" i="37" s="1"/>
  <c r="M185" i="37" a="1"/>
  <c r="M185" i="37" s="1"/>
  <c r="M193" i="37" a="1"/>
  <c r="M193" i="37" s="1"/>
  <c r="M190" i="37" a="1"/>
  <c r="M190" i="37" s="1"/>
  <c r="M187" i="37" a="1"/>
  <c r="M187" i="37" s="1"/>
  <c r="M189" i="37" a="1"/>
  <c r="M189" i="37" s="1"/>
  <c r="M204" i="37" a="1"/>
  <c r="M204" i="37" s="1"/>
  <c r="M202" i="37" a="1"/>
  <c r="M202" i="37" s="1"/>
  <c r="M183" i="37" a="1"/>
  <c r="M183" i="37" s="1"/>
  <c r="M217" i="37" a="1"/>
  <c r="M217" i="37" s="1"/>
  <c r="M205" i="37" a="1"/>
  <c r="M205" i="37" s="1"/>
  <c r="M214" i="37" a="1"/>
  <c r="M214" i="37" s="1"/>
  <c r="M198" i="37" a="1"/>
  <c r="M198" i="37" s="1"/>
  <c r="M184" i="37" a="1"/>
  <c r="M184" i="37" s="1"/>
  <c r="M197" i="37" a="1"/>
  <c r="M197" i="37" s="1"/>
  <c r="M223" i="37" a="1"/>
  <c r="M223" i="37" s="1"/>
  <c r="M191" i="37" a="1"/>
  <c r="M191" i="37" s="1"/>
  <c r="M203" i="37" a="1"/>
  <c r="M203" i="37" s="1"/>
  <c r="M199" i="37" a="1"/>
  <c r="M199" i="37" s="1"/>
  <c r="M215" i="37" a="1"/>
  <c r="M215" i="37" s="1"/>
  <c r="M192" i="37" a="1"/>
  <c r="M192" i="37" s="1"/>
  <c r="AG113" i="37"/>
  <c r="M113" i="37" s="1"/>
  <c r="M43" i="37"/>
  <c r="M30" i="37"/>
  <c r="M642" i="37" a="1"/>
  <c r="M642" i="37" s="1"/>
  <c r="M131" i="37"/>
  <c r="AG131" i="37" s="1"/>
  <c r="M44" i="37"/>
  <c r="L502" i="37"/>
  <c r="AD502" i="37"/>
  <c r="L503" i="37"/>
  <c r="L595" i="37" s="1"/>
  <c r="AD504" i="37"/>
  <c r="AD503" i="37"/>
  <c r="L905" i="37"/>
  <c r="AD548" i="37"/>
  <c r="L904" i="37" a="1"/>
  <c r="L904" i="37" s="1"/>
  <c r="AD549" i="37"/>
  <c r="L505" i="37"/>
  <c r="L597" i="37" s="1"/>
  <c r="AD550" i="37"/>
  <c r="L506" i="37"/>
  <c r="L598" i="37" s="1"/>
  <c r="L504" i="37"/>
  <c r="L596" i="37" s="1"/>
  <c r="L906" i="37" a="1"/>
  <c r="L906" i="37" s="1"/>
  <c r="L614" i="37"/>
  <c r="L612" i="37"/>
  <c r="L519" i="37"/>
  <c r="L591" i="37"/>
  <c r="L590" i="37"/>
  <c r="AD626" i="37"/>
  <c r="L626" i="37"/>
  <c r="AD591" i="37"/>
  <c r="L621" i="37"/>
  <c r="K212" i="37"/>
  <c r="L160" i="37"/>
  <c r="AF160" i="37" s="1"/>
  <c r="L671" i="37" a="1"/>
  <c r="L671" i="37" s="1"/>
  <c r="L166" i="37"/>
  <c r="AF166" i="37" s="1"/>
  <c r="L677" i="37" a="1"/>
  <c r="L677" i="37" s="1"/>
  <c r="AE131" i="37"/>
  <c r="L219" i="37" a="1"/>
  <c r="L219" i="37" s="1"/>
  <c r="L194" i="37"/>
  <c r="K132" i="37"/>
  <c r="AE133" i="37"/>
  <c r="AE142" i="37"/>
  <c r="AE154" i="37"/>
  <c r="K65" i="37"/>
  <c r="AY33" i="37"/>
  <c r="AE129" i="37"/>
  <c r="K605" i="37"/>
  <c r="K595" i="37"/>
  <c r="AE136" i="37"/>
  <c r="AE135" i="37"/>
  <c r="AI100" i="33"/>
  <c r="AI106" i="33" s="1"/>
  <c r="L148" i="37"/>
  <c r="AF148" i="37" s="1"/>
  <c r="L659" i="37" a="1"/>
  <c r="L659" i="37" s="1"/>
  <c r="K598" i="37"/>
  <c r="AC598" i="37"/>
  <c r="AC599" i="37"/>
  <c r="AE140" i="37"/>
  <c r="K587" i="37"/>
  <c r="M28" i="37"/>
  <c r="M74" i="37" s="1"/>
  <c r="AG193" i="37"/>
  <c r="AG191" i="37"/>
  <c r="AG192" i="37"/>
  <c r="AG27" i="37"/>
  <c r="M46" i="37"/>
  <c r="AG203" i="37"/>
  <c r="AG204" i="37"/>
  <c r="AG205" i="37"/>
  <c r="AG45" i="37"/>
  <c r="M37" i="37"/>
  <c r="M85" i="37" s="1"/>
  <c r="AG112" i="37"/>
  <c r="M112" i="37" s="1"/>
  <c r="M18" i="37"/>
  <c r="M645" i="37" a="1"/>
  <c r="M645" i="37" s="1"/>
  <c r="M134" i="37"/>
  <c r="AG134" i="37" s="1"/>
  <c r="M50" i="37"/>
  <c r="AD577" i="37"/>
  <c r="L945" i="37"/>
  <c r="AD620" i="37"/>
  <c r="AD606" i="37"/>
  <c r="AD513" i="37"/>
  <c r="L602" i="37"/>
  <c r="K673" i="37"/>
  <c r="K64" i="37"/>
  <c r="L33" i="37"/>
  <c r="L145" i="37"/>
  <c r="L656" i="37" a="1"/>
  <c r="L656" i="37" s="1"/>
  <c r="L73" i="37"/>
  <c r="K611" i="37"/>
  <c r="AE161" i="37"/>
  <c r="M96" i="37"/>
  <c r="AE147" i="37"/>
  <c r="L76" i="37"/>
  <c r="AI169" i="33"/>
  <c r="AI175" i="33" s="1"/>
  <c r="AC605" i="37"/>
  <c r="AI215" i="33"/>
  <c r="AI221" i="33" s="1"/>
  <c r="AE165" i="37"/>
  <c r="AE152" i="37"/>
  <c r="L641" i="37" a="1"/>
  <c r="L641" i="37" s="1"/>
  <c r="L130" i="37"/>
  <c r="AF130" i="37" s="1"/>
  <c r="AE137" i="37"/>
  <c r="L136" i="37"/>
  <c r="AF136" i="37" s="1"/>
  <c r="L647" i="37" a="1"/>
  <c r="L647" i="37" s="1"/>
  <c r="AC596" i="37"/>
  <c r="M99" i="37"/>
  <c r="K126" i="37"/>
  <c r="AE127" i="37"/>
  <c r="AE134" i="37"/>
  <c r="AY45" i="37"/>
  <c r="AY27" i="37"/>
  <c r="M143" i="37"/>
  <c r="AG143" i="37" s="1"/>
  <c r="M654" i="37" a="1"/>
  <c r="M654" i="37" s="1"/>
  <c r="M29" i="37"/>
  <c r="M220" i="37" s="1" a="1"/>
  <c r="M220" i="37" s="1"/>
  <c r="M554" i="37"/>
  <c r="AE515" i="37"/>
  <c r="M946" i="37" a="1"/>
  <c r="M946" i="37" s="1"/>
  <c r="AE497" i="37"/>
  <c r="AE514" i="37"/>
  <c r="AE520" i="37"/>
  <c r="M527" i="37"/>
  <c r="M572" i="37"/>
  <c r="M509" i="37"/>
  <c r="AE516" i="37"/>
  <c r="M521" i="37"/>
  <c r="AE498" i="37"/>
  <c r="M514" i="37"/>
  <c r="M496" i="37"/>
  <c r="M510" i="37"/>
  <c r="M526" i="37"/>
  <c r="M515" i="37"/>
  <c r="AE554" i="37"/>
  <c r="M542" i="37"/>
  <c r="AE534" i="37"/>
  <c r="AE533" i="37"/>
  <c r="M522" i="37"/>
  <c r="AE496" i="37"/>
  <c r="M529" i="37"/>
  <c r="M932" i="37" a="1"/>
  <c r="M932" i="37" s="1"/>
  <c r="M536" i="37"/>
  <c r="M524" i="37"/>
  <c r="M497" i="37"/>
  <c r="M555" i="37"/>
  <c r="M568" i="37"/>
  <c r="M551" i="37"/>
  <c r="M975" i="37"/>
  <c r="M544" i="37"/>
  <c r="AE568" i="37"/>
  <c r="M918" i="37" a="1"/>
  <c r="M918" i="37" s="1"/>
  <c r="M518" i="37"/>
  <c r="AE508" i="37"/>
  <c r="M508" i="37"/>
  <c r="M548" i="37"/>
  <c r="M581" i="37"/>
  <c r="M562" i="37"/>
  <c r="M499" i="37"/>
  <c r="M569" i="37"/>
  <c r="M962" i="37" a="1"/>
  <c r="M962" i="37" s="1"/>
  <c r="M892" i="37" a="1"/>
  <c r="M892" i="37" s="1"/>
  <c r="AE580" i="37"/>
  <c r="M550" i="37"/>
  <c r="M566" i="37"/>
  <c r="M512" i="37"/>
  <c r="M516" i="37"/>
  <c r="AE566" i="37"/>
  <c r="M564" i="37"/>
  <c r="M974" i="37" a="1"/>
  <c r="M974" i="37" s="1"/>
  <c r="M579" i="37"/>
  <c r="M546" i="37"/>
  <c r="M557" i="37"/>
  <c r="M561" i="37"/>
  <c r="AE574" i="37"/>
  <c r="M567" i="37"/>
  <c r="AE542" i="37"/>
  <c r="M960" i="37" a="1"/>
  <c r="M960" i="37" s="1"/>
  <c r="AE579" i="37"/>
  <c r="M891" i="37"/>
  <c r="AE556" i="37"/>
  <c r="M961" i="37"/>
  <c r="AE527" i="37"/>
  <c r="M560" i="37"/>
  <c r="M530" i="37"/>
  <c r="M534" i="37"/>
  <c r="AE522" i="37"/>
  <c r="AE561" i="37"/>
  <c r="M570" i="37"/>
  <c r="M920" i="37" a="1"/>
  <c r="M920" i="37" s="1"/>
  <c r="AE543" i="37"/>
  <c r="M948" i="37" a="1"/>
  <c r="M948" i="37" s="1"/>
  <c r="M574" i="37"/>
  <c r="M580" i="37"/>
  <c r="M533" i="37"/>
  <c r="AE532" i="37"/>
  <c r="M528" i="37"/>
  <c r="M511" i="37"/>
  <c r="AE510" i="37"/>
  <c r="M523" i="37"/>
  <c r="M549" i="37"/>
  <c r="M500" i="37"/>
  <c r="M890" i="37" a="1"/>
  <c r="M890" i="37" s="1"/>
  <c r="M576" i="37"/>
  <c r="AE544" i="37"/>
  <c r="AE567" i="37"/>
  <c r="M919" i="37"/>
  <c r="M563" i="37"/>
  <c r="M558" i="37"/>
  <c r="M532" i="37"/>
  <c r="M520" i="37"/>
  <c r="M498" i="37"/>
  <c r="M517" i="37"/>
  <c r="M535" i="37"/>
  <c r="AE509" i="37"/>
  <c r="M573" i="37"/>
  <c r="M545" i="37"/>
  <c r="M933" i="37"/>
  <c r="AE562" i="37"/>
  <c r="M543" i="37"/>
  <c r="M556" i="37"/>
  <c r="AE521" i="37"/>
  <c r="M934" i="37" a="1"/>
  <c r="M934" i="37" s="1"/>
  <c r="M582" i="37"/>
  <c r="M947" i="37"/>
  <c r="M552" i="37"/>
  <c r="AE526" i="37"/>
  <c r="M575" i="37"/>
  <c r="AE555" i="37"/>
  <c r="M976" i="37" a="1"/>
  <c r="M976" i="37" s="1"/>
  <c r="DQ59" i="28"/>
  <c r="AE560" i="37"/>
  <c r="M578" i="37"/>
  <c r="AE572" i="37"/>
  <c r="AE528" i="37"/>
  <c r="AE573" i="37"/>
  <c r="AE578" i="37"/>
  <c r="M775" i="37"/>
  <c r="M771" i="37"/>
  <c r="FP59" i="28"/>
  <c r="M791" i="37"/>
  <c r="M779" i="37"/>
  <c r="M787" i="37"/>
  <c r="M783" i="37"/>
  <c r="M795" i="37"/>
  <c r="M646" i="37" a="1"/>
  <c r="M646" i="37" s="1"/>
  <c r="M135" i="37"/>
  <c r="AG135" i="37" s="1"/>
  <c r="L959" i="37"/>
  <c r="L565" i="37"/>
  <c r="L603" i="37"/>
  <c r="L541" i="37"/>
  <c r="AD612" i="37"/>
  <c r="AD519" i="37"/>
  <c r="AD609" i="37"/>
  <c r="L547" i="37"/>
  <c r="AD602" i="37"/>
  <c r="L616" i="37"/>
  <c r="AD507" i="37"/>
  <c r="AD600" i="37"/>
  <c r="AD559" i="37"/>
  <c r="AD616" i="37"/>
  <c r="AE159" i="37"/>
  <c r="K162" i="37"/>
  <c r="AE163" i="37"/>
  <c r="L207" i="37" a="1"/>
  <c r="L207" i="37" s="1"/>
  <c r="L206" i="37" s="1"/>
  <c r="L85" i="37"/>
  <c r="L84" i="37"/>
  <c r="M95" i="37"/>
  <c r="K150" i="37"/>
  <c r="AE151" i="37"/>
  <c r="AE361" i="37" l="1"/>
  <c r="AE378" i="37"/>
  <c r="AE372" i="37"/>
  <c r="AE366" i="37"/>
  <c r="AE373" i="37"/>
  <c r="AE367" i="37"/>
  <c r="AE390" i="37"/>
  <c r="AE397" i="37"/>
  <c r="AE396" i="37"/>
  <c r="AF569" i="37"/>
  <c r="AF570" i="37"/>
  <c r="AF512" i="37"/>
  <c r="AF530" i="37"/>
  <c r="AF518" i="37"/>
  <c r="AF557" i="37"/>
  <c r="AF576" i="37"/>
  <c r="AF546" i="37"/>
  <c r="AF582" i="37"/>
  <c r="AF511" i="37"/>
  <c r="AF536" i="37"/>
  <c r="AF535" i="37"/>
  <c r="AF545" i="37"/>
  <c r="AF581" i="37"/>
  <c r="AF499" i="37"/>
  <c r="AF523" i="37"/>
  <c r="AF575" i="37"/>
  <c r="AF517" i="37"/>
  <c r="AF564" i="37"/>
  <c r="AF558" i="37"/>
  <c r="AF524" i="37"/>
  <c r="AF529" i="37"/>
  <c r="AF500" i="37"/>
  <c r="AF563" i="37"/>
  <c r="AE384" i="37"/>
  <c r="AE379" i="37"/>
  <c r="AE552" i="37"/>
  <c r="AE505" i="37"/>
  <c r="AE551" i="37"/>
  <c r="AE506" i="37"/>
  <c r="AE385" i="37"/>
  <c r="AE360" i="37"/>
  <c r="AE391" i="37"/>
  <c r="AJ244" i="33"/>
  <c r="AJ247" i="33"/>
  <c r="AI244" i="33"/>
  <c r="AI247" i="33"/>
  <c r="EL33" i="28"/>
  <c r="EL35" i="28"/>
  <c r="FQ35" i="28" s="1"/>
  <c r="AD368" i="37"/>
  <c r="FP32" i="28"/>
  <c r="FQ32" i="28"/>
  <c r="AD374" i="37"/>
  <c r="AD386" i="37"/>
  <c r="M379" i="37"/>
  <c r="L380" i="37"/>
  <c r="L759" i="37" s="1"/>
  <c r="L837" i="37" s="1"/>
  <c r="L869" i="37" s="1"/>
  <c r="L386" i="37"/>
  <c r="L760" i="37" s="1"/>
  <c r="L844" i="37" s="1"/>
  <c r="L846" i="37" s="1"/>
  <c r="AD356" i="37"/>
  <c r="L374" i="37"/>
  <c r="L758" i="37" s="1"/>
  <c r="L830" i="37" s="1"/>
  <c r="L836" i="37" s="1"/>
  <c r="L356" i="37"/>
  <c r="L755" i="37" s="1"/>
  <c r="L809" i="37" s="1"/>
  <c r="L865" i="37" s="1"/>
  <c r="AD362" i="37"/>
  <c r="AD392" i="37"/>
  <c r="L368" i="37"/>
  <c r="L757" i="37" s="1"/>
  <c r="L823" i="37" s="1"/>
  <c r="L392" i="37"/>
  <c r="L761" i="37" s="1"/>
  <c r="L851" i="37" s="1"/>
  <c r="AD808" i="37" s="1"/>
  <c r="AD380" i="37"/>
  <c r="L362" i="37"/>
  <c r="M371" i="37"/>
  <c r="AE375" i="37"/>
  <c r="M971" i="37" a="1"/>
  <c r="M971" i="37" s="1"/>
  <c r="M370" i="37"/>
  <c r="AE394" i="37"/>
  <c r="K841" i="37"/>
  <c r="K843" i="37"/>
  <c r="K869" i="37"/>
  <c r="K839" i="37"/>
  <c r="K838" i="37"/>
  <c r="K944" i="37" s="1"/>
  <c r="AC806" i="37"/>
  <c r="K840" i="37"/>
  <c r="AE364" i="37"/>
  <c r="M395" i="37"/>
  <c r="M357" i="37"/>
  <c r="M943" i="37" a="1"/>
  <c r="M943" i="37" s="1"/>
  <c r="AE377" i="37"/>
  <c r="M957" i="37" a="1"/>
  <c r="M957" i="37" s="1"/>
  <c r="M390" i="37"/>
  <c r="M778" i="37"/>
  <c r="M777" i="37" s="1"/>
  <c r="M776" i="37" s="1"/>
  <c r="M915" i="37" a="1"/>
  <c r="M915" i="37" s="1"/>
  <c r="AE370" i="37"/>
  <c r="K760" i="37"/>
  <c r="K844" i="37" s="1"/>
  <c r="K784" i="37"/>
  <c r="M790" i="37"/>
  <c r="M364" i="37"/>
  <c r="M786" i="37"/>
  <c r="M361" i="37"/>
  <c r="AE369" i="37"/>
  <c r="M901" i="37" a="1"/>
  <c r="M901" i="37" s="1"/>
  <c r="AE357" i="37"/>
  <c r="K780" i="37"/>
  <c r="K788" i="37"/>
  <c r="M774" i="37"/>
  <c r="M929" i="37" a="1"/>
  <c r="M929" i="37" s="1"/>
  <c r="M387" i="37"/>
  <c r="M385" i="37"/>
  <c r="AE381" i="37"/>
  <c r="M372" i="37"/>
  <c r="M382" i="37"/>
  <c r="AE359" i="37"/>
  <c r="M794" i="37"/>
  <c r="M366" i="37"/>
  <c r="K772" i="37"/>
  <c r="K792" i="37"/>
  <c r="M360" i="37"/>
  <c r="AE376" i="37"/>
  <c r="AE365" i="37"/>
  <c r="M388" i="37"/>
  <c r="M375" i="37"/>
  <c r="AE383" i="37"/>
  <c r="M378" i="37"/>
  <c r="AE371" i="37"/>
  <c r="M363" i="37"/>
  <c r="K768" i="37"/>
  <c r="AE358" i="37"/>
  <c r="AE363" i="37"/>
  <c r="M367" i="37"/>
  <c r="M384" i="37"/>
  <c r="M383" i="37"/>
  <c r="M359" i="37"/>
  <c r="M397" i="37"/>
  <c r="M389" i="37"/>
  <c r="M373" i="37"/>
  <c r="FQ31" i="28"/>
  <c r="FQ29" i="28"/>
  <c r="FQ28" i="28"/>
  <c r="K776" i="37"/>
  <c r="FP35" i="28"/>
  <c r="M396" i="37"/>
  <c r="AE389" i="37"/>
  <c r="M887" i="37" a="1"/>
  <c r="M887" i="37" s="1"/>
  <c r="AE382" i="37"/>
  <c r="M376" i="37"/>
  <c r="AE393" i="37"/>
  <c r="AE388" i="37"/>
  <c r="M365" i="37"/>
  <c r="M358" i="37"/>
  <c r="M377" i="37"/>
  <c r="M381" i="37"/>
  <c r="AE395" i="37"/>
  <c r="M369" i="37"/>
  <c r="M782" i="37"/>
  <c r="AE387" i="37"/>
  <c r="M391" i="37"/>
  <c r="M770" i="37"/>
  <c r="M394" i="37"/>
  <c r="M393" i="37"/>
  <c r="BW27" i="37"/>
  <c r="BA38" i="37"/>
  <c r="BW36" i="37"/>
  <c r="BW41" i="37"/>
  <c r="BW35" i="37"/>
  <c r="BA19" i="37"/>
  <c r="BW15" i="37"/>
  <c r="EM32" i="28" s="1"/>
  <c r="BW25" i="37"/>
  <c r="BA56" i="37"/>
  <c r="BA43" i="37"/>
  <c r="BW55" i="37"/>
  <c r="BW44" i="37"/>
  <c r="BW40" i="37"/>
  <c r="BA20" i="37"/>
  <c r="BA26" i="37"/>
  <c r="BW56" i="37"/>
  <c r="BW45" i="37"/>
  <c r="BW30" i="37"/>
  <c r="BW49" i="37"/>
  <c r="BW52" i="37"/>
  <c r="BA50" i="37"/>
  <c r="BA37" i="37"/>
  <c r="BW16" i="37"/>
  <c r="BA44" i="37"/>
  <c r="BW18" i="37"/>
  <c r="BW39" i="37"/>
  <c r="BW54" i="37"/>
  <c r="BW51" i="37"/>
  <c r="BW17" i="37"/>
  <c r="BW38" i="37"/>
  <c r="BA32" i="37"/>
  <c r="BW19" i="37"/>
  <c r="FR30" i="28" s="1"/>
  <c r="BA49" i="37"/>
  <c r="BW33" i="37"/>
  <c r="BW29" i="37"/>
  <c r="BW32" i="37"/>
  <c r="BA55" i="37"/>
  <c r="BW20" i="37"/>
  <c r="FR29" i="28" s="1"/>
  <c r="BW47" i="37"/>
  <c r="BW31" i="37"/>
  <c r="BA25" i="37"/>
  <c r="BW21" i="37"/>
  <c r="BW23" i="37"/>
  <c r="BW34" i="37"/>
  <c r="BW37" i="37"/>
  <c r="BW22" i="37"/>
  <c r="BW53" i="37"/>
  <c r="BW43" i="37"/>
  <c r="BW28" i="37"/>
  <c r="BW50" i="37"/>
  <c r="BW26" i="37"/>
  <c r="BW24" i="37"/>
  <c r="BA31" i="37"/>
  <c r="BW46" i="37"/>
  <c r="BW48" i="37"/>
  <c r="BW42" i="37"/>
  <c r="M625" i="37"/>
  <c r="M603" i="37"/>
  <c r="M84" i="37"/>
  <c r="M609" i="37"/>
  <c r="AE602" i="37"/>
  <c r="M590" i="37"/>
  <c r="AE620" i="37"/>
  <c r="AE614" i="37"/>
  <c r="AE603" i="37"/>
  <c r="L655" i="37"/>
  <c r="AD599" i="37"/>
  <c r="AD596" i="37"/>
  <c r="M83" i="37"/>
  <c r="M608" i="37"/>
  <c r="L661" i="37"/>
  <c r="M565" i="37"/>
  <c r="M610" i="37"/>
  <c r="L903" i="37"/>
  <c r="M577" i="37"/>
  <c r="M615" i="37"/>
  <c r="AE615" i="37"/>
  <c r="AE618" i="37"/>
  <c r="AE525" i="37"/>
  <c r="M626" i="37"/>
  <c r="AE621" i="37"/>
  <c r="AE590" i="37"/>
  <c r="AE126" i="37"/>
  <c r="N34" i="37"/>
  <c r="N75" i="37" s="1"/>
  <c r="AH33" i="37"/>
  <c r="AH196" i="37"/>
  <c r="AH195" i="37"/>
  <c r="AH197" i="37"/>
  <c r="AC593" i="37"/>
  <c r="M622" i="37"/>
  <c r="AE565" i="37"/>
  <c r="M507" i="37"/>
  <c r="M600" i="37"/>
  <c r="M621" i="37"/>
  <c r="AE628" i="37"/>
  <c r="M613" i="37"/>
  <c r="M945" i="37"/>
  <c r="M668" i="37" a="1"/>
  <c r="M668" i="37" s="1"/>
  <c r="M45" i="37"/>
  <c r="M66" i="37" s="1"/>
  <c r="M157" i="37"/>
  <c r="AE132" i="37"/>
  <c r="L611" i="37"/>
  <c r="L605" i="37"/>
  <c r="M130" i="37"/>
  <c r="AG130" i="37" s="1"/>
  <c r="M641" i="37" a="1"/>
  <c r="M641" i="37" s="1"/>
  <c r="L667" i="37"/>
  <c r="AD623" i="37"/>
  <c r="M136" i="37"/>
  <c r="AG136" i="37" s="1"/>
  <c r="M647" i="37" a="1"/>
  <c r="M647" i="37" s="1"/>
  <c r="N639" i="37" a="1"/>
  <c r="N639" i="37" s="1"/>
  <c r="N128" i="37"/>
  <c r="AH128" i="37" s="1"/>
  <c r="N783" i="37"/>
  <c r="N795" i="37"/>
  <c r="N779" i="37"/>
  <c r="N771" i="37"/>
  <c r="N787" i="37"/>
  <c r="N791" i="37"/>
  <c r="N775" i="37"/>
  <c r="FQ59" i="28"/>
  <c r="N640" i="37" a="1"/>
  <c r="N640" i="37" s="1"/>
  <c r="N129" i="37"/>
  <c r="AH129" i="37" s="1"/>
  <c r="N24" i="37"/>
  <c r="N215" i="37" s="1" a="1"/>
  <c r="N215" i="37" s="1"/>
  <c r="N147" i="37"/>
  <c r="AH147" i="37" s="1"/>
  <c r="N658" i="37" a="1"/>
  <c r="N658" i="37" s="1"/>
  <c r="N672" i="37" a="1"/>
  <c r="N672" i="37" s="1"/>
  <c r="N161" i="37"/>
  <c r="AH161" i="37" s="1"/>
  <c r="AZ51" i="37"/>
  <c r="M164" i="37"/>
  <c r="M675" i="37" a="1"/>
  <c r="M675" i="37" s="1"/>
  <c r="M931" i="37"/>
  <c r="M182" i="37"/>
  <c r="M638" i="37" a="1"/>
  <c r="M638" i="37" s="1"/>
  <c r="M127" i="37"/>
  <c r="M15" i="37"/>
  <c r="M61" i="37" s="1"/>
  <c r="AE591" i="37"/>
  <c r="AE507" i="37"/>
  <c r="AE600" i="37"/>
  <c r="AE592" i="37"/>
  <c r="M607" i="37"/>
  <c r="AE608" i="37"/>
  <c r="AE607" i="37"/>
  <c r="L64" i="37"/>
  <c r="AD605" i="37"/>
  <c r="M148" i="37"/>
  <c r="AG148" i="37" s="1"/>
  <c r="M659" i="37" a="1"/>
  <c r="M659" i="37" s="1"/>
  <c r="M212" i="37"/>
  <c r="M147" i="37"/>
  <c r="M658" i="37" a="1"/>
  <c r="M658" i="37" s="1"/>
  <c r="M51" i="37"/>
  <c r="M67" i="37" s="1"/>
  <c r="M674" i="37" a="1"/>
  <c r="M674" i="37" s="1"/>
  <c r="M163" i="37"/>
  <c r="M39" i="37"/>
  <c r="M65" i="37" s="1"/>
  <c r="M662" i="37" a="1"/>
  <c r="M662" i="37" s="1"/>
  <c r="M151" i="37"/>
  <c r="M149" i="37"/>
  <c r="M660" i="37" a="1"/>
  <c r="M660" i="37" s="1"/>
  <c r="L587" i="37"/>
  <c r="AF157" i="37"/>
  <c r="AF156" i="37" s="1"/>
  <c r="L156" i="37"/>
  <c r="N522" i="37"/>
  <c r="N518" i="37"/>
  <c r="N520" i="37"/>
  <c r="N515" i="37"/>
  <c r="N548" i="37"/>
  <c r="N542" i="37"/>
  <c r="AF526" i="37"/>
  <c r="N508" i="37"/>
  <c r="N496" i="37"/>
  <c r="N560" i="37"/>
  <c r="AF572" i="37"/>
  <c r="N517" i="37"/>
  <c r="N498" i="37"/>
  <c r="AF527" i="37"/>
  <c r="N514" i="37"/>
  <c r="N512" i="37"/>
  <c r="AF516" i="37"/>
  <c r="AF497" i="37"/>
  <c r="N511" i="37"/>
  <c r="N527" i="37"/>
  <c r="N516" i="37"/>
  <c r="N566" i="37"/>
  <c r="N960" i="37" a="1"/>
  <c r="N960" i="37" s="1"/>
  <c r="AF520" i="37"/>
  <c r="N890" i="37" a="1"/>
  <c r="N890" i="37" s="1"/>
  <c r="AF522" i="37"/>
  <c r="AF578" i="37"/>
  <c r="AF508" i="37"/>
  <c r="N497" i="37"/>
  <c r="AF496" i="37"/>
  <c r="AF510" i="37"/>
  <c r="N532" i="37"/>
  <c r="N500" i="37"/>
  <c r="AF528" i="37"/>
  <c r="N523" i="37"/>
  <c r="N521" i="37"/>
  <c r="N536" i="37"/>
  <c r="N534" i="37"/>
  <c r="N554" i="37"/>
  <c r="N529" i="37"/>
  <c r="N509" i="37"/>
  <c r="N530" i="37"/>
  <c r="AF515" i="37"/>
  <c r="N932" i="37" a="1"/>
  <c r="N932" i="37" s="1"/>
  <c r="DR59" i="28"/>
  <c r="N524" i="37"/>
  <c r="AF532" i="37"/>
  <c r="AF533" i="37"/>
  <c r="AF542" i="37"/>
  <c r="N528" i="37"/>
  <c r="AF521" i="37"/>
  <c r="AF498" i="37"/>
  <c r="N572" i="37"/>
  <c r="N578" i="37"/>
  <c r="N510" i="37"/>
  <c r="AF560" i="37"/>
  <c r="AF534" i="37"/>
  <c r="AF514" i="37"/>
  <c r="AF566" i="37"/>
  <c r="N552" i="37"/>
  <c r="AF555" i="37"/>
  <c r="AF579" i="37"/>
  <c r="N533" i="37"/>
  <c r="N568" i="37"/>
  <c r="AF562" i="37"/>
  <c r="N961" i="37"/>
  <c r="N975" i="37"/>
  <c r="N579" i="37"/>
  <c r="N891" i="37"/>
  <c r="N573" i="37"/>
  <c r="N575" i="37"/>
  <c r="N976" i="37" a="1"/>
  <c r="N976" i="37" s="1"/>
  <c r="N962" i="37" a="1"/>
  <c r="N962" i="37" s="1"/>
  <c r="N562" i="37"/>
  <c r="AF561" i="37"/>
  <c r="N561" i="37"/>
  <c r="N544" i="37"/>
  <c r="N580" i="37"/>
  <c r="N551" i="37"/>
  <c r="AF574" i="37"/>
  <c r="N934" i="37" a="1"/>
  <c r="N934" i="37" s="1"/>
  <c r="N535" i="37"/>
  <c r="AF580" i="37"/>
  <c r="N569" i="37"/>
  <c r="N545" i="37"/>
  <c r="AF556" i="37"/>
  <c r="N892" i="37" a="1"/>
  <c r="N892" i="37" s="1"/>
  <c r="N557" i="37"/>
  <c r="N919" i="37"/>
  <c r="N558" i="37"/>
  <c r="N570" i="37"/>
  <c r="N499" i="37"/>
  <c r="N526" i="37"/>
  <c r="N550" i="37"/>
  <c r="N581" i="37"/>
  <c r="N564" i="37"/>
  <c r="N576" i="37"/>
  <c r="AF567" i="37"/>
  <c r="N582" i="37"/>
  <c r="N946" i="37" a="1"/>
  <c r="N946" i="37" s="1"/>
  <c r="N918" i="37" a="1"/>
  <c r="N918" i="37" s="1"/>
  <c r="AF509" i="37"/>
  <c r="AF573" i="37"/>
  <c r="N555" i="37"/>
  <c r="N556" i="37"/>
  <c r="N543" i="37"/>
  <c r="N947" i="37"/>
  <c r="AF544" i="37"/>
  <c r="N549" i="37"/>
  <c r="N933" i="37"/>
  <c r="N948" i="37" a="1"/>
  <c r="N948" i="37" s="1"/>
  <c r="AF554" i="37"/>
  <c r="N567" i="37"/>
  <c r="N974" i="37" a="1"/>
  <c r="N974" i="37" s="1"/>
  <c r="AF543" i="37"/>
  <c r="N574" i="37"/>
  <c r="AF568" i="37"/>
  <c r="N546" i="37"/>
  <c r="N563" i="37"/>
  <c r="N920" i="37" a="1"/>
  <c r="N920" i="37" s="1"/>
  <c r="N16" i="37"/>
  <c r="N72" i="37" s="1"/>
  <c r="AH185" i="37"/>
  <c r="AH184" i="37"/>
  <c r="AH183" i="37"/>
  <c r="AH15" i="37"/>
  <c r="N651" i="37" a="1"/>
  <c r="N651" i="37" s="1"/>
  <c r="N140" i="37"/>
  <c r="AH140" i="37" s="1"/>
  <c r="N19" i="37"/>
  <c r="N210" i="37" s="1" a="1"/>
  <c r="N210" i="37" s="1"/>
  <c r="AH109" i="37"/>
  <c r="N109" i="37" s="1"/>
  <c r="AI42" i="37"/>
  <c r="AI98" i="37"/>
  <c r="O98" i="37" s="1"/>
  <c r="AI23" i="37"/>
  <c r="AI99" i="37"/>
  <c r="O99" i="37" s="1"/>
  <c r="BA16" i="37"/>
  <c r="AI54" i="37"/>
  <c r="AI31" i="37"/>
  <c r="AI48" i="37"/>
  <c r="AI44" i="37"/>
  <c r="O44" i="37" s="1"/>
  <c r="AI20" i="37"/>
  <c r="AI96" i="37"/>
  <c r="O96" i="37" s="1"/>
  <c r="AI56" i="37"/>
  <c r="O56" i="37" s="1"/>
  <c r="AI41" i="37"/>
  <c r="O41" i="37" s="1"/>
  <c r="AI30" i="37"/>
  <c r="AI95" i="37"/>
  <c r="O95" i="37" s="1"/>
  <c r="AI35" i="37"/>
  <c r="GX59" i="28"/>
  <c r="AI18" i="37"/>
  <c r="AI22" i="37"/>
  <c r="BA46" i="37"/>
  <c r="BA28" i="37"/>
  <c r="AI38" i="37"/>
  <c r="AI40" i="37"/>
  <c r="AI26" i="37"/>
  <c r="AI24" i="37"/>
  <c r="O24" i="37" s="1"/>
  <c r="AI19" i="37"/>
  <c r="AI17" i="37"/>
  <c r="AI52" i="37"/>
  <c r="AI97" i="37"/>
  <c r="O97" i="37" s="1"/>
  <c r="AI32" i="37"/>
  <c r="O32" i="37" s="1"/>
  <c r="AI50" i="37"/>
  <c r="AI46" i="37"/>
  <c r="AI37" i="37"/>
  <c r="AI49" i="37"/>
  <c r="AI47" i="37"/>
  <c r="O47" i="37" s="1"/>
  <c r="AI16" i="37"/>
  <c r="DD59" i="28"/>
  <c r="AI36" i="37"/>
  <c r="BA40" i="37"/>
  <c r="AI53" i="37"/>
  <c r="AI55" i="37"/>
  <c r="AI28" i="37"/>
  <c r="AI94" i="37"/>
  <c r="O94" i="37" s="1"/>
  <c r="AI29" i="37"/>
  <c r="BA30" i="37"/>
  <c r="BA47" i="37"/>
  <c r="BA24" i="37"/>
  <c r="BA54" i="37"/>
  <c r="BA18" i="37"/>
  <c r="BA53" i="37"/>
  <c r="AI100" i="37"/>
  <c r="O100" i="37" s="1"/>
  <c r="BA34" i="37"/>
  <c r="BA42" i="37"/>
  <c r="BA52" i="37"/>
  <c r="AI25" i="37"/>
  <c r="BA35" i="37"/>
  <c r="BA22" i="37"/>
  <c r="AI43" i="37"/>
  <c r="BA41" i="37"/>
  <c r="BA17" i="37"/>
  <c r="BA48" i="37"/>
  <c r="BA29" i="37"/>
  <c r="BQ59" i="28"/>
  <c r="FD59" i="28" s="1" a="1"/>
  <c r="FD59" i="28" s="1"/>
  <c r="BA36" i="37"/>
  <c r="BA23" i="37"/>
  <c r="AI34" i="37"/>
  <c r="N137" i="37"/>
  <c r="N648" i="37" a="1"/>
  <c r="N648" i="37" s="1"/>
  <c r="N52" i="37"/>
  <c r="AH51" i="37"/>
  <c r="AH209" i="37"/>
  <c r="AH207" i="37"/>
  <c r="AH208" i="37"/>
  <c r="N660" i="37" a="1"/>
  <c r="N660" i="37" s="1"/>
  <c r="N149" i="37"/>
  <c r="AH149" i="37" s="1"/>
  <c r="AZ21" i="37"/>
  <c r="L599" i="37"/>
  <c r="AD611" i="37"/>
  <c r="AE503" i="37"/>
  <c r="M502" i="37"/>
  <c r="M506" i="37"/>
  <c r="AE502" i="37"/>
  <c r="M503" i="37"/>
  <c r="M504" i="37"/>
  <c r="M596" i="37" s="1"/>
  <c r="AE548" i="37"/>
  <c r="AE504" i="37"/>
  <c r="M904" i="37" a="1"/>
  <c r="M904" i="37" s="1"/>
  <c r="AE549" i="37"/>
  <c r="M906" i="37" a="1"/>
  <c r="M906" i="37" s="1"/>
  <c r="M505" i="37"/>
  <c r="M597" i="37" s="1"/>
  <c r="M905" i="37"/>
  <c r="AE550" i="37"/>
  <c r="M519" i="37"/>
  <c r="M612" i="37"/>
  <c r="M620" i="37"/>
  <c r="M559" i="37"/>
  <c r="M959" i="37"/>
  <c r="M604" i="37"/>
  <c r="AE627" i="37"/>
  <c r="AE588" i="37"/>
  <c r="AE495" i="37"/>
  <c r="AE622" i="37"/>
  <c r="M601" i="37"/>
  <c r="M553" i="37"/>
  <c r="AD594" i="37"/>
  <c r="AD501" i="37"/>
  <c r="M210" i="37" a="1"/>
  <c r="M210" i="37" s="1"/>
  <c r="L637" i="37"/>
  <c r="L617" i="37"/>
  <c r="AE156" i="37"/>
  <c r="K593" i="37"/>
  <c r="M128" i="37"/>
  <c r="M639" i="37" a="1"/>
  <c r="M639" i="37" s="1"/>
  <c r="M33" i="37"/>
  <c r="M145" i="37"/>
  <c r="M656" i="37" a="1"/>
  <c r="M656" i="37" s="1"/>
  <c r="M77" i="37"/>
  <c r="N46" i="37"/>
  <c r="AH205" i="37"/>
  <c r="AH204" i="37"/>
  <c r="AH203" i="37"/>
  <c r="AH45" i="37"/>
  <c r="N153" i="37"/>
  <c r="AH153" i="37" s="1"/>
  <c r="N664" i="37" a="1"/>
  <c r="N664" i="37" s="1"/>
  <c r="N675" i="37" a="1"/>
  <c r="N675" i="37" s="1"/>
  <c r="N164" i="37"/>
  <c r="AH164" i="37" s="1"/>
  <c r="N40" i="37"/>
  <c r="N76" i="37" s="1"/>
  <c r="AH201" i="37"/>
  <c r="AH200" i="37"/>
  <c r="AH199" i="37"/>
  <c r="AH39" i="37"/>
  <c r="AZ15" i="37"/>
  <c r="N22" i="37"/>
  <c r="N213" i="37" s="1" a="1"/>
  <c r="N213" i="37" s="1"/>
  <c r="AH21" i="37"/>
  <c r="AH188" i="37"/>
  <c r="AH187" i="37"/>
  <c r="AH189" i="37"/>
  <c r="N25" i="37"/>
  <c r="N216" i="37" s="1" a="1"/>
  <c r="N216" i="37" s="1"/>
  <c r="AH110" i="37"/>
  <c r="N110" i="37" s="1"/>
  <c r="AE604" i="37"/>
  <c r="AE589" i="37"/>
  <c r="AF145" i="37"/>
  <c r="AF144" i="37" s="1"/>
  <c r="L144" i="37"/>
  <c r="M672" i="37" a="1"/>
  <c r="M672" i="37" s="1"/>
  <c r="M161" i="37"/>
  <c r="N155" i="37"/>
  <c r="AH155" i="37" s="1"/>
  <c r="N666" i="37" a="1"/>
  <c r="N666" i="37" s="1"/>
  <c r="AE559" i="37"/>
  <c r="AE577" i="37"/>
  <c r="AE531" i="37"/>
  <c r="AE624" i="37"/>
  <c r="AE619" i="37"/>
  <c r="AE541" i="37"/>
  <c r="M973" i="37"/>
  <c r="M591" i="37"/>
  <c r="M614" i="37"/>
  <c r="M618" i="37"/>
  <c r="M525" i="37"/>
  <c r="M571" i="37"/>
  <c r="K831" i="37"/>
  <c r="K930" i="37" s="1"/>
  <c r="K832" i="37"/>
  <c r="K834" i="37"/>
  <c r="K836" i="37"/>
  <c r="K868" i="37"/>
  <c r="AC805" i="37"/>
  <c r="K833" i="37"/>
  <c r="K810" i="37"/>
  <c r="K888" i="37" s="1"/>
  <c r="K812" i="37"/>
  <c r="AC802" i="37"/>
  <c r="K811" i="37"/>
  <c r="K813" i="37"/>
  <c r="K865" i="37"/>
  <c r="K815" i="37"/>
  <c r="AD547" i="37"/>
  <c r="L501" i="37"/>
  <c r="L594" i="37"/>
  <c r="L593" i="37" s="1"/>
  <c r="M652" i="37" a="1"/>
  <c r="M652" i="37" s="1"/>
  <c r="M141" i="37"/>
  <c r="M221" i="37" a="1"/>
  <c r="M221" i="37" s="1"/>
  <c r="M188" i="37"/>
  <c r="AE138" i="37"/>
  <c r="AF127" i="37"/>
  <c r="L126" i="37"/>
  <c r="M146" i="37"/>
  <c r="M657" i="37" a="1"/>
  <c r="M657" i="37" s="1"/>
  <c r="AF151" i="37"/>
  <c r="AF150" i="37" s="1"/>
  <c r="L150" i="37"/>
  <c r="M165" i="37"/>
  <c r="M676" i="37" a="1"/>
  <c r="M676" i="37" s="1"/>
  <c r="AJ153" i="33"/>
  <c r="AI153" i="33"/>
  <c r="L649" i="37"/>
  <c r="AD617" i="37"/>
  <c r="M664" i="37" a="1"/>
  <c r="M664" i="37" s="1"/>
  <c r="M153" i="37"/>
  <c r="AZ27" i="37"/>
  <c r="N47" i="37"/>
  <c r="AZ45" i="37"/>
  <c r="N37" i="37"/>
  <c r="AH112" i="37"/>
  <c r="N112" i="37" s="1"/>
  <c r="N28" i="37"/>
  <c r="N74" i="37" s="1"/>
  <c r="AH27" i="37"/>
  <c r="AH193" i="37"/>
  <c r="AH191" i="37"/>
  <c r="AH192" i="37"/>
  <c r="N43" i="37"/>
  <c r="N86" i="37" s="1"/>
  <c r="AH113" i="37"/>
  <c r="N113" i="37" s="1"/>
  <c r="N131" i="37"/>
  <c r="N642" i="37" a="1"/>
  <c r="N642" i="37" s="1"/>
  <c r="AZ33" i="37"/>
  <c r="N146" i="37"/>
  <c r="AH146" i="37" s="1"/>
  <c r="N657" i="37" a="1"/>
  <c r="N657" i="37" s="1"/>
  <c r="L673" i="37"/>
  <c r="AE553" i="37"/>
  <c r="M889" i="37"/>
  <c r="AE610" i="37"/>
  <c r="M917" i="37"/>
  <c r="M589" i="37"/>
  <c r="AE625" i="37"/>
  <c r="M602" i="37"/>
  <c r="M619" i="37"/>
  <c r="M129" i="37"/>
  <c r="M640" i="37" a="1"/>
  <c r="M640" i="37" s="1"/>
  <c r="AJ107" i="33"/>
  <c r="AI107" i="33"/>
  <c r="L218" i="37"/>
  <c r="AD598" i="37"/>
  <c r="AD597" i="37"/>
  <c r="M209" i="37" a="1"/>
  <c r="M209" i="37" s="1"/>
  <c r="M200" i="37"/>
  <c r="AK226" i="33"/>
  <c r="AK180" i="33"/>
  <c r="AK192" i="33" s="1"/>
  <c r="AK198" i="33" s="1"/>
  <c r="AK157" i="33"/>
  <c r="AK88" i="33"/>
  <c r="AK134" i="33"/>
  <c r="AK146" i="33" s="1"/>
  <c r="AK152" i="33" s="1"/>
  <c r="AK153" i="33" s="1"/>
  <c r="AK111" i="33"/>
  <c r="AK203" i="33"/>
  <c r="AL628" i="33"/>
  <c r="AK60" i="33"/>
  <c r="AK76" i="33" s="1"/>
  <c r="AK82" i="33" s="1"/>
  <c r="AK633" i="33"/>
  <c r="AK634" i="33" s="1"/>
  <c r="M72" i="37"/>
  <c r="K756" i="37"/>
  <c r="K816" i="37" s="1"/>
  <c r="AF139" i="37"/>
  <c r="AF138" i="37" s="1"/>
  <c r="L138" i="37"/>
  <c r="L643" i="37"/>
  <c r="N41" i="37"/>
  <c r="N141" i="37"/>
  <c r="AH141" i="37" s="1"/>
  <c r="N652" i="37" a="1"/>
  <c r="N652" i="37" s="1"/>
  <c r="N670" i="37" a="1"/>
  <c r="N670" i="37" s="1"/>
  <c r="N159" i="37"/>
  <c r="AZ39" i="37"/>
  <c r="N32" i="37"/>
  <c r="N223" i="37" s="1" a="1"/>
  <c r="N223" i="37" s="1"/>
  <c r="M160" i="37"/>
  <c r="AG160" i="37" s="1"/>
  <c r="M671" i="37" a="1"/>
  <c r="M671" i="37" s="1"/>
  <c r="M78" i="37"/>
  <c r="AE150" i="37"/>
  <c r="AE616" i="37"/>
  <c r="AE613" i="37"/>
  <c r="AE601" i="37"/>
  <c r="M592" i="37"/>
  <c r="M616" i="37"/>
  <c r="AE626" i="37"/>
  <c r="M588" i="37"/>
  <c r="M495" i="37"/>
  <c r="AE612" i="37"/>
  <c r="AE519" i="37"/>
  <c r="K852" i="37"/>
  <c r="AC808" i="37"/>
  <c r="K853" i="37"/>
  <c r="K857" i="37"/>
  <c r="K854" i="37"/>
  <c r="K855" i="37"/>
  <c r="K871" i="37"/>
  <c r="AJ222" i="33"/>
  <c r="AI222" i="33"/>
  <c r="AJ176" i="33"/>
  <c r="AI176" i="33"/>
  <c r="M139" i="37"/>
  <c r="M27" i="37"/>
  <c r="M650" i="37" a="1"/>
  <c r="M650" i="37" s="1"/>
  <c r="M155" i="37"/>
  <c r="M666" i="37" a="1"/>
  <c r="M666" i="37" s="1"/>
  <c r="M665" i="37" a="1"/>
  <c r="M665" i="37" s="1"/>
  <c r="M154" i="37"/>
  <c r="AG154" i="37" s="1"/>
  <c r="M219" i="37" a="1"/>
  <c r="M219" i="37" s="1"/>
  <c r="M167" i="37"/>
  <c r="M678" i="37" a="1"/>
  <c r="M678" i="37" s="1"/>
  <c r="M166" i="37"/>
  <c r="M677" i="37" a="1"/>
  <c r="M677" i="37" s="1"/>
  <c r="M644" i="37" a="1"/>
  <c r="M644" i="37" s="1"/>
  <c r="M133" i="37"/>
  <c r="M21" i="37"/>
  <c r="M86" i="37"/>
  <c r="M73" i="37"/>
  <c r="N55" i="37"/>
  <c r="AH115" i="37"/>
  <c r="N115" i="37" s="1"/>
  <c r="N645" i="37" a="1"/>
  <c r="N645" i="37" s="1"/>
  <c r="N134" i="37"/>
  <c r="AH134" i="37" s="1"/>
  <c r="N49" i="37"/>
  <c r="N87" i="37" s="1"/>
  <c r="AH114" i="37"/>
  <c r="N114" i="37" s="1"/>
  <c r="M142" i="37"/>
  <c r="M653" i="37" a="1"/>
  <c r="M653" i="37" s="1"/>
  <c r="AJ192" i="33"/>
  <c r="AJ198" i="33" s="1"/>
  <c r="N678" i="37" a="1"/>
  <c r="N678" i="37" s="1"/>
  <c r="N167" i="37"/>
  <c r="AH167" i="37" s="1"/>
  <c r="M531" i="37"/>
  <c r="M624" i="37"/>
  <c r="AE162" i="37"/>
  <c r="AE571" i="37"/>
  <c r="M627" i="37"/>
  <c r="AE609" i="37"/>
  <c r="M547" i="37"/>
  <c r="M628" i="37"/>
  <c r="M541" i="37"/>
  <c r="M513" i="37"/>
  <c r="M606" i="37"/>
  <c r="AE606" i="37"/>
  <c r="AE513" i="37"/>
  <c r="M140" i="37"/>
  <c r="M651" i="37" a="1"/>
  <c r="M651" i="37" s="1"/>
  <c r="AD595" i="37"/>
  <c r="M194" i="37"/>
  <c r="K824" i="37"/>
  <c r="K916" i="37" s="1"/>
  <c r="K867" i="37"/>
  <c r="K826" i="37"/>
  <c r="AC804" i="37"/>
  <c r="K827" i="37"/>
  <c r="K829" i="37"/>
  <c r="K825" i="37"/>
  <c r="L623" i="37"/>
  <c r="AD587" i="37"/>
  <c r="AE144" i="37"/>
  <c r="L62" i="37"/>
  <c r="AF133" i="37"/>
  <c r="L132" i="37"/>
  <c r="N183" i="37" a="1"/>
  <c r="N183" i="37" s="1"/>
  <c r="N195" i="37" a="1"/>
  <c r="N195" i="37" s="1"/>
  <c r="N201" i="37" a="1"/>
  <c r="N201" i="37" s="1"/>
  <c r="N193" i="37" a="1"/>
  <c r="N193" i="37" s="1"/>
  <c r="N184" i="37" a="1"/>
  <c r="N184" i="37" s="1"/>
  <c r="N199" i="37" a="1"/>
  <c r="N199" i="37" s="1"/>
  <c r="N217" i="37" a="1"/>
  <c r="N217" i="37" s="1"/>
  <c r="N186" i="37" a="1"/>
  <c r="N186" i="37" s="1"/>
  <c r="N196" i="37" a="1"/>
  <c r="N196" i="37" s="1"/>
  <c r="N189" i="37" a="1"/>
  <c r="N189" i="37" s="1"/>
  <c r="N205" i="37" a="1"/>
  <c r="N205" i="37" s="1"/>
  <c r="N214" i="37" a="1"/>
  <c r="N214" i="37" s="1"/>
  <c r="N191" i="37" a="1"/>
  <c r="N191" i="37" s="1"/>
  <c r="N185" i="37" a="1"/>
  <c r="N185" i="37" s="1"/>
  <c r="N187" i="37" a="1"/>
  <c r="N187" i="37" s="1"/>
  <c r="N221" i="37" a="1"/>
  <c r="N221" i="37" s="1"/>
  <c r="N204" i="37" a="1"/>
  <c r="N204" i="37" s="1"/>
  <c r="N209" i="37" a="1"/>
  <c r="N209" i="37" s="1"/>
  <c r="N203" i="37" a="1"/>
  <c r="N203" i="37" s="1"/>
  <c r="N198" i="37" a="1"/>
  <c r="N198" i="37" s="1"/>
  <c r="N220" i="37" a="1"/>
  <c r="N220" i="37" s="1"/>
  <c r="N197" i="37" a="1"/>
  <c r="N197" i="37" s="1"/>
  <c r="N190" i="37" a="1"/>
  <c r="N190" i="37" s="1"/>
  <c r="N202" i="37" a="1"/>
  <c r="N202" i="37" s="1"/>
  <c r="N211" i="37" a="1"/>
  <c r="N211" i="37" s="1"/>
  <c r="N192" i="37" a="1"/>
  <c r="N192" i="37" s="1"/>
  <c r="N208" i="37" a="1"/>
  <c r="N208" i="37" s="1"/>
  <c r="N31" i="37"/>
  <c r="AH111" i="37"/>
  <c r="N111" i="37" s="1"/>
  <c r="N165" i="37"/>
  <c r="AH165" i="37" s="1"/>
  <c r="N676" i="37" a="1"/>
  <c r="N676" i="37" s="1"/>
  <c r="AF163" i="37"/>
  <c r="AF162" i="37" s="1"/>
  <c r="L162" i="37"/>
  <c r="AF616" i="37" l="1"/>
  <c r="AF378" i="37"/>
  <c r="AF360" i="37"/>
  <c r="AF397" i="37"/>
  <c r="AF379" i="37"/>
  <c r="AF361" i="37"/>
  <c r="AJ245" i="33"/>
  <c r="AF366" i="37"/>
  <c r="AF367" i="37"/>
  <c r="AG500" i="37"/>
  <c r="AG523" i="37"/>
  <c r="AG557" i="37"/>
  <c r="AG545" i="37"/>
  <c r="AG558" i="37"/>
  <c r="AG576" i="37"/>
  <c r="AG546" i="37"/>
  <c r="AG529" i="37"/>
  <c r="AG536" i="37"/>
  <c r="AG517" i="37"/>
  <c r="AG570" i="37"/>
  <c r="AG563" i="37"/>
  <c r="AG575" i="37"/>
  <c r="AG569" i="37"/>
  <c r="AG511" i="37"/>
  <c r="AG564" i="37"/>
  <c r="AG530" i="37"/>
  <c r="AG535" i="37"/>
  <c r="AG499" i="37"/>
  <c r="AG524" i="37"/>
  <c r="AG518" i="37"/>
  <c r="AG582" i="37"/>
  <c r="AG512" i="37"/>
  <c r="AG581" i="37"/>
  <c r="AF372" i="37"/>
  <c r="AF396" i="37"/>
  <c r="AF384" i="37"/>
  <c r="AF390" i="37"/>
  <c r="AF552" i="37"/>
  <c r="AF506" i="37"/>
  <c r="AF505" i="37"/>
  <c r="AF551" i="37"/>
  <c r="AF385" i="37"/>
  <c r="AF373" i="37"/>
  <c r="AF391" i="37"/>
  <c r="AI245" i="33"/>
  <c r="EM33" i="28"/>
  <c r="FR33" i="28" s="1"/>
  <c r="EM35" i="28"/>
  <c r="FR35" i="28" s="1"/>
  <c r="FR31" i="28"/>
  <c r="FR32" i="28"/>
  <c r="AD807" i="37"/>
  <c r="L870" i="37"/>
  <c r="L848" i="37"/>
  <c r="L827" i="37"/>
  <c r="L867" i="37"/>
  <c r="L847" i="37"/>
  <c r="L845" i="37"/>
  <c r="L958" i="37" s="1"/>
  <c r="L850" i="37"/>
  <c r="AD804" i="37"/>
  <c r="L825" i="37"/>
  <c r="L826" i="37"/>
  <c r="L824" i="37"/>
  <c r="L916" i="37" s="1"/>
  <c r="L829" i="37"/>
  <c r="L756" i="37"/>
  <c r="L816" i="37" s="1"/>
  <c r="L866" i="37" s="1"/>
  <c r="L815" i="37"/>
  <c r="L811" i="37"/>
  <c r="L813" i="37"/>
  <c r="L810" i="37"/>
  <c r="L888" i="37" s="1"/>
  <c r="AD802" i="37"/>
  <c r="L812" i="37"/>
  <c r="AE374" i="37"/>
  <c r="L833" i="37"/>
  <c r="AD806" i="37"/>
  <c r="AD805" i="37"/>
  <c r="L854" i="37"/>
  <c r="L831" i="37"/>
  <c r="L930" i="37" s="1"/>
  <c r="L839" i="37"/>
  <c r="L841" i="37"/>
  <c r="L840" i="37"/>
  <c r="M356" i="37"/>
  <c r="M755" i="37" s="1"/>
  <c r="M809" i="37" s="1"/>
  <c r="L853" i="37"/>
  <c r="L832" i="37"/>
  <c r="L868" i="37"/>
  <c r="L834" i="37"/>
  <c r="L871" i="37"/>
  <c r="L843" i="37"/>
  <c r="K842" i="37"/>
  <c r="L852" i="37"/>
  <c r="L972" i="37" s="1"/>
  <c r="L838" i="37"/>
  <c r="L944" i="37" s="1"/>
  <c r="L857" i="37"/>
  <c r="L855" i="37"/>
  <c r="N929" i="37" a="1"/>
  <c r="N929" i="37" s="1"/>
  <c r="N358" i="37"/>
  <c r="AF388" i="37"/>
  <c r="M392" i="37"/>
  <c r="M761" i="37" s="1"/>
  <c r="M851" i="37" s="1"/>
  <c r="M368" i="37"/>
  <c r="M757" i="37" s="1"/>
  <c r="M823" i="37" s="1"/>
  <c r="M867" i="37" s="1"/>
  <c r="M380" i="37"/>
  <c r="N388" i="37"/>
  <c r="N375" i="37"/>
  <c r="N379" i="37"/>
  <c r="N387" i="37"/>
  <c r="AF382" i="37"/>
  <c r="N957" i="37" a="1"/>
  <c r="N957" i="37" s="1"/>
  <c r="AF369" i="37"/>
  <c r="N393" i="37"/>
  <c r="AF394" i="37"/>
  <c r="AF363" i="37"/>
  <c r="M374" i="37"/>
  <c r="M758" i="37" s="1"/>
  <c r="M830" i="37" s="1"/>
  <c r="AE380" i="37"/>
  <c r="AE368" i="37"/>
  <c r="N365" i="37"/>
  <c r="AF370" i="37"/>
  <c r="AE356" i="37"/>
  <c r="AF393" i="37"/>
  <c r="N778" i="37"/>
  <c r="FR28" i="28"/>
  <c r="AF357" i="37"/>
  <c r="N396" i="37"/>
  <c r="N360" i="37"/>
  <c r="N390" i="37"/>
  <c r="N397" i="37"/>
  <c r="N383" i="37"/>
  <c r="N794" i="37"/>
  <c r="N793" i="37" s="1"/>
  <c r="N792" i="37" s="1"/>
  <c r="N363" i="37"/>
  <c r="N372" i="37"/>
  <c r="N394" i="37"/>
  <c r="N770" i="37"/>
  <c r="N769" i="37" s="1"/>
  <c r="N768" i="37" s="1"/>
  <c r="N381" i="37"/>
  <c r="AF395" i="37"/>
  <c r="N389" i="37"/>
  <c r="M769" i="37"/>
  <c r="N359" i="37"/>
  <c r="AF383" i="37"/>
  <c r="N366" i="37"/>
  <c r="N369" i="37"/>
  <c r="N373" i="37"/>
  <c r="AF365" i="37"/>
  <c r="N915" i="37" a="1"/>
  <c r="N915" i="37" s="1"/>
  <c r="N384" i="37"/>
  <c r="N790" i="37"/>
  <c r="N789" i="37" s="1"/>
  <c r="N788" i="37" s="1"/>
  <c r="M386" i="37"/>
  <c r="M760" i="37" s="1"/>
  <c r="M844" i="37" s="1"/>
  <c r="AF359" i="37"/>
  <c r="AF377" i="37"/>
  <c r="N901" i="37" a="1"/>
  <c r="N901" i="37" s="1"/>
  <c r="M789" i="37"/>
  <c r="N382" i="37"/>
  <c r="N782" i="37"/>
  <c r="N781" i="37" s="1"/>
  <c r="N780" i="37" s="1"/>
  <c r="AF364" i="37"/>
  <c r="N786" i="37"/>
  <c r="N785" i="37" s="1"/>
  <c r="N784" i="37" s="1"/>
  <c r="AF375" i="37"/>
  <c r="AF376" i="37"/>
  <c r="M362" i="37"/>
  <c r="M793" i="37"/>
  <c r="K870" i="37"/>
  <c r="K850" i="37"/>
  <c r="K845" i="37"/>
  <c r="K846" i="37"/>
  <c r="AC807" i="37"/>
  <c r="K848" i="37"/>
  <c r="K847" i="37"/>
  <c r="AF371" i="37"/>
  <c r="N364" i="37"/>
  <c r="AE386" i="37"/>
  <c r="N887" i="37" a="1"/>
  <c r="N887" i="37" s="1"/>
  <c r="AF358" i="37"/>
  <c r="N774" i="37"/>
  <c r="N773" i="37" s="1"/>
  <c r="N772" i="37" s="1"/>
  <c r="N361" i="37"/>
  <c r="N371" i="37"/>
  <c r="N367" i="37"/>
  <c r="N357" i="37"/>
  <c r="M773" i="37"/>
  <c r="M785" i="37"/>
  <c r="N370" i="37"/>
  <c r="N377" i="37"/>
  <c r="FQ33" i="28"/>
  <c r="AF387" i="37"/>
  <c r="AE362" i="37"/>
  <c r="M781" i="37"/>
  <c r="AE392" i="37"/>
  <c r="N943" i="37" a="1"/>
  <c r="N943" i="37" s="1"/>
  <c r="AF389" i="37"/>
  <c r="N385" i="37"/>
  <c r="N971" i="37" a="1"/>
  <c r="N971" i="37" s="1"/>
  <c r="N376" i="37"/>
  <c r="AF381" i="37"/>
  <c r="N378" i="37"/>
  <c r="N395" i="37"/>
  <c r="N391" i="37"/>
  <c r="AJ28" i="37"/>
  <c r="P28" i="37" s="1"/>
  <c r="BX26" i="37"/>
  <c r="BX28" i="37"/>
  <c r="BX30" i="37"/>
  <c r="BX17" i="37"/>
  <c r="BX54" i="37"/>
  <c r="BX19" i="37"/>
  <c r="BB25" i="37"/>
  <c r="AR25" i="37" s="1"/>
  <c r="BX22" i="37"/>
  <c r="BB55" i="37"/>
  <c r="AR55" i="37" s="1"/>
  <c r="BB37" i="37"/>
  <c r="AR37" i="37" s="1"/>
  <c r="BX41" i="37"/>
  <c r="BX20" i="37"/>
  <c r="BX25" i="37"/>
  <c r="BX48" i="37"/>
  <c r="BX35" i="37"/>
  <c r="BB19" i="37"/>
  <c r="AR19" i="37" s="1"/>
  <c r="BX39" i="37"/>
  <c r="BX37" i="37"/>
  <c r="BX16" i="37"/>
  <c r="BX49" i="37"/>
  <c r="BX56" i="37"/>
  <c r="BX24" i="37"/>
  <c r="BB43" i="37"/>
  <c r="AR43" i="37" s="1"/>
  <c r="BX47" i="37"/>
  <c r="BB49" i="37"/>
  <c r="AR49" i="37" s="1"/>
  <c r="BB20" i="37"/>
  <c r="AR20" i="37" s="1"/>
  <c r="BB26" i="37"/>
  <c r="AR26" i="37" s="1"/>
  <c r="BB38" i="37"/>
  <c r="AR38" i="37" s="1"/>
  <c r="BX44" i="37"/>
  <c r="BX52" i="37"/>
  <c r="BB56" i="37"/>
  <c r="AR56" i="37" s="1"/>
  <c r="BX36" i="37"/>
  <c r="BX27" i="37"/>
  <c r="BB32" i="37"/>
  <c r="AR32" i="37" s="1"/>
  <c r="BX45" i="37"/>
  <c r="BX42" i="37"/>
  <c r="BX38" i="37"/>
  <c r="BX31" i="37"/>
  <c r="BX15" i="37"/>
  <c r="EN32" i="28" s="1"/>
  <c r="BX40" i="37"/>
  <c r="BX53" i="37"/>
  <c r="BX32" i="37"/>
  <c r="BB31" i="37"/>
  <c r="AR31" i="37" s="1"/>
  <c r="BX46" i="37"/>
  <c r="BX51" i="37"/>
  <c r="BB50" i="37"/>
  <c r="AR50" i="37" s="1"/>
  <c r="BX18" i="37"/>
  <c r="BX33" i="37"/>
  <c r="BX21" i="37"/>
  <c r="BX50" i="37"/>
  <c r="BX55" i="37"/>
  <c r="BX29" i="37"/>
  <c r="BX43" i="37"/>
  <c r="BX34" i="37"/>
  <c r="BB44" i="37"/>
  <c r="AR44" i="37" s="1"/>
  <c r="BX23" i="37"/>
  <c r="N73" i="37"/>
  <c r="AF615" i="37"/>
  <c r="AF603" i="37"/>
  <c r="M643" i="37"/>
  <c r="AF601" i="37"/>
  <c r="N219" i="37" a="1"/>
  <c r="N219" i="37" s="1"/>
  <c r="M218" i="37"/>
  <c r="AF590" i="37"/>
  <c r="AF608" i="37"/>
  <c r="AF628" i="37"/>
  <c r="M649" i="37"/>
  <c r="N973" i="37"/>
  <c r="AF609" i="37"/>
  <c r="N626" i="37"/>
  <c r="AE605" i="37"/>
  <c r="N207" i="37" a="1"/>
  <c r="N207" i="37" s="1"/>
  <c r="N206" i="37" s="1"/>
  <c r="K814" i="37"/>
  <c r="K828" i="37"/>
  <c r="K835" i="37"/>
  <c r="N142" i="37"/>
  <c r="AH142" i="37" s="1"/>
  <c r="N653" i="37" a="1"/>
  <c r="N653" i="37" s="1"/>
  <c r="N222" i="37" a="1"/>
  <c r="N222" i="37" s="1"/>
  <c r="N188" i="37"/>
  <c r="N200" i="37"/>
  <c r="AG142" i="37"/>
  <c r="AG133" i="37"/>
  <c r="AG132" i="37" s="1"/>
  <c r="M132" i="37"/>
  <c r="AH159" i="37"/>
  <c r="N158" i="37"/>
  <c r="N669" i="37" a="1"/>
  <c r="N669" i="37" s="1"/>
  <c r="AG140" i="37"/>
  <c r="N194" i="37"/>
  <c r="K972" i="37"/>
  <c r="K856" i="37"/>
  <c r="AK83" i="33"/>
  <c r="AG129" i="37"/>
  <c r="N182" i="37"/>
  <c r="N677" i="37" a="1"/>
  <c r="N677" i="37" s="1"/>
  <c r="N166" i="37"/>
  <c r="AH166" i="37" s="1"/>
  <c r="N88" i="37"/>
  <c r="AG167" i="37"/>
  <c r="AL226" i="33"/>
  <c r="AL238" i="33" s="1"/>
  <c r="AL88" i="33"/>
  <c r="AL100" i="33" s="1"/>
  <c r="AL106" i="33" s="1"/>
  <c r="AF108" i="33" s="1"/>
  <c r="C379" i="51" s="1"/>
  <c r="AL157" i="33"/>
  <c r="AM157" i="33" s="1"/>
  <c r="AN163" i="33" s="1"/>
  <c r="AL180" i="33"/>
  <c r="AL134" i="33"/>
  <c r="AL146" i="33" s="1"/>
  <c r="AL152" i="33" s="1"/>
  <c r="AF154" i="33" s="1"/>
  <c r="E379" i="51" s="1"/>
  <c r="AL633" i="33"/>
  <c r="AL203" i="33"/>
  <c r="AL215" i="33" s="1"/>
  <c r="AL221" i="33" s="1"/>
  <c r="AF223" i="33" s="1"/>
  <c r="H379" i="51" s="1"/>
  <c r="AL111" i="33"/>
  <c r="AL123" i="33" s="1"/>
  <c r="AL129" i="33" s="1"/>
  <c r="AF131" i="33" s="1"/>
  <c r="D379" i="51" s="1"/>
  <c r="AL60" i="33"/>
  <c r="AG153" i="37"/>
  <c r="AG165" i="37"/>
  <c r="AG145" i="37"/>
  <c r="M144" i="37"/>
  <c r="AD593" i="37"/>
  <c r="N212" i="37"/>
  <c r="N160" i="37"/>
  <c r="AH160" i="37" s="1"/>
  <c r="N671" i="37" a="1"/>
  <c r="N671" i="37" s="1"/>
  <c r="AG166" i="37"/>
  <c r="AK215" i="33"/>
  <c r="AK221" i="33" s="1"/>
  <c r="AH131" i="37"/>
  <c r="N650" i="37" a="1"/>
  <c r="N650" i="37" s="1"/>
  <c r="N27" i="37"/>
  <c r="N63" i="37" s="1"/>
  <c r="N139" i="37"/>
  <c r="AG141" i="37"/>
  <c r="M64" i="37"/>
  <c r="M623" i="37"/>
  <c r="M63" i="37"/>
  <c r="AK123" i="33"/>
  <c r="AK129" i="33" s="1"/>
  <c r="AF126" i="37"/>
  <c r="AE623" i="37"/>
  <c r="M611" i="37"/>
  <c r="M605" i="37"/>
  <c r="N84" i="37"/>
  <c r="AG155" i="37"/>
  <c r="AG139" i="37"/>
  <c r="M138" i="37"/>
  <c r="N143" i="37"/>
  <c r="N654" i="37" a="1"/>
  <c r="N654" i="37" s="1"/>
  <c r="N663" i="37" a="1"/>
  <c r="N663" i="37" s="1"/>
  <c r="N152" i="37"/>
  <c r="N659" i="37" a="1"/>
  <c r="N659" i="37" s="1"/>
  <c r="N148" i="37"/>
  <c r="N85" i="37"/>
  <c r="M617" i="37"/>
  <c r="N21" i="37"/>
  <c r="N62" i="37" s="1"/>
  <c r="N133" i="37"/>
  <c r="N644" i="37" a="1"/>
  <c r="N644" i="37" s="1"/>
  <c r="N45" i="37"/>
  <c r="N66" i="37" s="1"/>
  <c r="N157" i="37"/>
  <c r="N668" i="37" a="1"/>
  <c r="N668" i="37" s="1"/>
  <c r="N77" i="37"/>
  <c r="AF132" i="37"/>
  <c r="AK199" i="33"/>
  <c r="AJ199" i="33"/>
  <c r="M62" i="37"/>
  <c r="M587" i="37"/>
  <c r="AK100" i="33"/>
  <c r="AK106" i="33" s="1"/>
  <c r="N647" i="37" a="1"/>
  <c r="N647" i="37" s="1"/>
  <c r="N136" i="37"/>
  <c r="AE596" i="37"/>
  <c r="M594" i="37"/>
  <c r="M501" i="37"/>
  <c r="O34" i="37"/>
  <c r="O75" i="37" s="1"/>
  <c r="AI33" i="37"/>
  <c r="AI196" i="37"/>
  <c r="AI195" i="37"/>
  <c r="AI197" i="37"/>
  <c r="O53" i="37"/>
  <c r="O46" i="37"/>
  <c r="O77" i="37" s="1"/>
  <c r="AI205" i="37"/>
  <c r="AI203" i="37"/>
  <c r="AI45" i="37"/>
  <c r="AI204" i="37"/>
  <c r="O26" i="37"/>
  <c r="O217" i="37" s="1" a="1"/>
  <c r="O217" i="37" s="1"/>
  <c r="O35" i="37"/>
  <c r="O155" i="37"/>
  <c r="AI155" i="37" s="1"/>
  <c r="O666" i="37" a="1"/>
  <c r="O666" i="37" s="1"/>
  <c r="O42" i="37"/>
  <c r="AF622" i="37"/>
  <c r="N577" i="37"/>
  <c r="AF541" i="37"/>
  <c r="N622" i="37"/>
  <c r="AF620" i="37"/>
  <c r="AF614" i="37"/>
  <c r="N603" i="37"/>
  <c r="AF571" i="37"/>
  <c r="N607" i="37"/>
  <c r="AG163" i="37"/>
  <c r="M162" i="37"/>
  <c r="AE599" i="37"/>
  <c r="M599" i="37"/>
  <c r="AE611" i="37"/>
  <c r="K817" i="37"/>
  <c r="K902" i="37" s="1"/>
  <c r="K866" i="37"/>
  <c r="K820" i="37"/>
  <c r="K822" i="37"/>
  <c r="K818" i="37"/>
  <c r="K819" i="37"/>
  <c r="AC803" i="37"/>
  <c r="AK169" i="33"/>
  <c r="AK175" i="33" s="1"/>
  <c r="AG161" i="37"/>
  <c r="AG128" i="37"/>
  <c r="AE598" i="37"/>
  <c r="AE595" i="37"/>
  <c r="O43" i="37"/>
  <c r="O86" i="37" s="1"/>
  <c r="AI113" i="37"/>
  <c r="O113" i="37" s="1"/>
  <c r="BA39" i="37"/>
  <c r="O50" i="37"/>
  <c r="AI200" i="37"/>
  <c r="AI201" i="37"/>
  <c r="AI39" i="37"/>
  <c r="AI199" i="37"/>
  <c r="O40" i="37"/>
  <c r="O771" i="37"/>
  <c r="O795" i="37"/>
  <c r="O775" i="37"/>
  <c r="O779" i="37"/>
  <c r="O791" i="37"/>
  <c r="O783" i="37"/>
  <c r="FR59" i="28"/>
  <c r="O787" i="37"/>
  <c r="O48" i="37"/>
  <c r="N525" i="37"/>
  <c r="N618" i="37"/>
  <c r="N571" i="37"/>
  <c r="AF625" i="37"/>
  <c r="N601" i="37"/>
  <c r="N592" i="37"/>
  <c r="N889" i="37"/>
  <c r="AF589" i="37"/>
  <c r="AF592" i="37"/>
  <c r="N519" i="37"/>
  <c r="N612" i="37"/>
  <c r="AG151" i="37"/>
  <c r="M150" i="37"/>
  <c r="M673" i="37"/>
  <c r="AE547" i="37"/>
  <c r="BA21" i="37"/>
  <c r="BA33" i="37"/>
  <c r="O36" i="37"/>
  <c r="O654" i="37" a="1"/>
  <c r="O654" i="37" s="1"/>
  <c r="O143" i="37"/>
  <c r="AI143" i="37" s="1"/>
  <c r="O38" i="37"/>
  <c r="O31" i="37"/>
  <c r="O222" i="37" s="1" a="1"/>
  <c r="O222" i="37" s="1"/>
  <c r="AI111" i="37"/>
  <c r="O111" i="37" s="1"/>
  <c r="N591" i="37"/>
  <c r="AF624" i="37"/>
  <c r="AF531" i="37"/>
  <c r="N621" i="37"/>
  <c r="N531" i="37"/>
  <c r="N624" i="37"/>
  <c r="AF612" i="37"/>
  <c r="AF519" i="37"/>
  <c r="N559" i="37"/>
  <c r="N610" i="37"/>
  <c r="M661" i="37"/>
  <c r="AE617" i="37"/>
  <c r="AK238" i="33"/>
  <c r="N151" i="37"/>
  <c r="N39" i="37"/>
  <c r="N65" i="37" s="1"/>
  <c r="N662" i="37" a="1"/>
  <c r="N662" i="37" s="1"/>
  <c r="M655" i="37"/>
  <c r="AE587" i="37"/>
  <c r="O514" i="37"/>
  <c r="O508" i="37"/>
  <c r="O526" i="37"/>
  <c r="AG527" i="37"/>
  <c r="AG542" i="37"/>
  <c r="O946" i="37" a="1"/>
  <c r="O946" i="37" s="1"/>
  <c r="O516" i="37"/>
  <c r="O890" i="37" a="1"/>
  <c r="O890" i="37" s="1"/>
  <c r="AG554" i="37"/>
  <c r="O535" i="37"/>
  <c r="AG572" i="37"/>
  <c r="AG534" i="37"/>
  <c r="AG566" i="37"/>
  <c r="O532" i="37"/>
  <c r="O497" i="37"/>
  <c r="O974" i="37" a="1"/>
  <c r="O974" i="37" s="1"/>
  <c r="AG509" i="37"/>
  <c r="AG496" i="37"/>
  <c r="AG510" i="37"/>
  <c r="O520" i="37"/>
  <c r="O542" i="37"/>
  <c r="AG498" i="37"/>
  <c r="O566" i="37"/>
  <c r="O560" i="37"/>
  <c r="O527" i="37"/>
  <c r="AG497" i="37"/>
  <c r="O536" i="37"/>
  <c r="O572" i="37"/>
  <c r="O510" i="37"/>
  <c r="AG514" i="37"/>
  <c r="O512" i="37"/>
  <c r="O522" i="37"/>
  <c r="O499" i="37"/>
  <c r="O534" i="37"/>
  <c r="O932" i="37" a="1"/>
  <c r="O932" i="37" s="1"/>
  <c r="O517" i="37"/>
  <c r="O524" i="37"/>
  <c r="O528" i="37"/>
  <c r="AG533" i="37"/>
  <c r="AG532" i="37"/>
  <c r="O511" i="37"/>
  <c r="AG515" i="37"/>
  <c r="O498" i="37"/>
  <c r="O521" i="37"/>
  <c r="AG508" i="37"/>
  <c r="O530" i="37"/>
  <c r="O523" i="37"/>
  <c r="O518" i="37"/>
  <c r="DS59" i="28"/>
  <c r="O500" i="37"/>
  <c r="AG578" i="37"/>
  <c r="AG521" i="37"/>
  <c r="O918" i="37" a="1"/>
  <c r="O918" i="37" s="1"/>
  <c r="O960" i="37" a="1"/>
  <c r="O960" i="37" s="1"/>
  <c r="AG516" i="37"/>
  <c r="AG520" i="37"/>
  <c r="O578" i="37"/>
  <c r="O529" i="37"/>
  <c r="AG526" i="37"/>
  <c r="O515" i="37"/>
  <c r="O548" i="37"/>
  <c r="O563" i="37"/>
  <c r="AG556" i="37"/>
  <c r="AG560" i="37"/>
  <c r="AG561" i="37"/>
  <c r="O579" i="37"/>
  <c r="O948" i="37" a="1"/>
  <c r="O948" i="37" s="1"/>
  <c r="O581" i="37"/>
  <c r="O976" i="37" a="1"/>
  <c r="O976" i="37" s="1"/>
  <c r="O568" i="37"/>
  <c r="O947" i="37"/>
  <c r="O552" i="37"/>
  <c r="O891" i="37"/>
  <c r="O554" i="37"/>
  <c r="O546" i="37"/>
  <c r="O919" i="37"/>
  <c r="O569" i="37"/>
  <c r="O934" i="37" a="1"/>
  <c r="O934" i="37" s="1"/>
  <c r="O561" i="37"/>
  <c r="O558" i="37"/>
  <c r="O496" i="37"/>
  <c r="O533" i="37"/>
  <c r="O962" i="37" a="1"/>
  <c r="O962" i="37" s="1"/>
  <c r="O582" i="37"/>
  <c r="O573" i="37"/>
  <c r="O576" i="37"/>
  <c r="O545" i="37"/>
  <c r="O509" i="37"/>
  <c r="AG567" i="37"/>
  <c r="O975" i="37"/>
  <c r="AG580" i="37"/>
  <c r="O920" i="37" a="1"/>
  <c r="O920" i="37" s="1"/>
  <c r="O543" i="37"/>
  <c r="O575" i="37"/>
  <c r="O549" i="37"/>
  <c r="AG528" i="37"/>
  <c r="O570" i="37"/>
  <c r="O544" i="37"/>
  <c r="O556" i="37"/>
  <c r="AG555" i="37"/>
  <c r="O555" i="37"/>
  <c r="O557" i="37"/>
  <c r="O564" i="37"/>
  <c r="AG522" i="37"/>
  <c r="O933" i="37"/>
  <c r="AG574" i="37"/>
  <c r="AG568" i="37"/>
  <c r="O580" i="37"/>
  <c r="O574" i="37"/>
  <c r="O562" i="37"/>
  <c r="O551" i="37"/>
  <c r="AG579" i="37"/>
  <c r="AG543" i="37"/>
  <c r="O550" i="37"/>
  <c r="O961" i="37"/>
  <c r="AG544" i="37"/>
  <c r="AG562" i="37"/>
  <c r="O892" i="37" a="1"/>
  <c r="O892" i="37" s="1"/>
  <c r="AG573" i="37"/>
  <c r="O567" i="37"/>
  <c r="BA27" i="37"/>
  <c r="O30" i="37"/>
  <c r="O221" i="37" s="1" a="1"/>
  <c r="O221" i="37" s="1"/>
  <c r="O54" i="37"/>
  <c r="N130" i="37"/>
  <c r="N641" i="37" a="1"/>
  <c r="N641" i="37" s="1"/>
  <c r="N638" i="37" a="1"/>
  <c r="N638" i="37" s="1"/>
  <c r="N15" i="37"/>
  <c r="N61" i="37" s="1"/>
  <c r="N127" i="37"/>
  <c r="N625" i="37"/>
  <c r="AF565" i="37"/>
  <c r="AF613" i="37"/>
  <c r="N616" i="37"/>
  <c r="N553" i="37"/>
  <c r="AF602" i="37"/>
  <c r="N959" i="37"/>
  <c r="N604" i="37"/>
  <c r="N588" i="37"/>
  <c r="N495" i="37"/>
  <c r="N614" i="37"/>
  <c r="N82" i="37"/>
  <c r="M595" i="37"/>
  <c r="O29" i="37"/>
  <c r="O220" i="37" s="1" a="1"/>
  <c r="O220" i="37" s="1"/>
  <c r="O16" i="37"/>
  <c r="O207" i="37" s="1" a="1"/>
  <c r="O207" i="37" s="1"/>
  <c r="AI183" i="37"/>
  <c r="AI184" i="37"/>
  <c r="AI15" i="37"/>
  <c r="AI185" i="37"/>
  <c r="O52" i="37"/>
  <c r="O78" i="37" s="1"/>
  <c r="AI209" i="37"/>
  <c r="AI51" i="37"/>
  <c r="AI207" i="37"/>
  <c r="AI208" i="37"/>
  <c r="BA45" i="37"/>
  <c r="O152" i="37"/>
  <c r="AI152" i="37" s="1"/>
  <c r="O663" i="37" a="1"/>
  <c r="O663" i="37" s="1"/>
  <c r="BA15" i="37"/>
  <c r="AF606" i="37"/>
  <c r="AF513" i="37"/>
  <c r="N620" i="37"/>
  <c r="N904" i="37" a="1"/>
  <c r="N904" i="37" s="1"/>
  <c r="AF504" i="37"/>
  <c r="N505" i="37"/>
  <c r="AF502" i="37"/>
  <c r="N502" i="37"/>
  <c r="AF503" i="37"/>
  <c r="AF548" i="37"/>
  <c r="AF549" i="37"/>
  <c r="N906" i="37" a="1"/>
  <c r="N906" i="37" s="1"/>
  <c r="N905" i="37"/>
  <c r="N504" i="37"/>
  <c r="AF550" i="37"/>
  <c r="N503" i="37"/>
  <c r="N595" i="37" s="1"/>
  <c r="N506" i="37"/>
  <c r="N598" i="37" s="1"/>
  <c r="AF588" i="37"/>
  <c r="AF495" i="37"/>
  <c r="N565" i="37"/>
  <c r="N513" i="37"/>
  <c r="N606" i="37"/>
  <c r="N507" i="37"/>
  <c r="N600" i="37"/>
  <c r="AG149" i="37"/>
  <c r="AG164" i="37"/>
  <c r="AE597" i="37"/>
  <c r="N163" i="37"/>
  <c r="N51" i="37"/>
  <c r="N674" i="37" a="1"/>
  <c r="N674" i="37" s="1"/>
  <c r="AJ97" i="37"/>
  <c r="P97" i="37" s="1"/>
  <c r="F97" i="37" s="1"/>
  <c r="AJ23" i="37"/>
  <c r="P23" i="37" s="1"/>
  <c r="AJ32" i="37"/>
  <c r="AJ98" i="37"/>
  <c r="P98" i="37" s="1"/>
  <c r="F98" i="37" s="1"/>
  <c r="BB34" i="37"/>
  <c r="AJ96" i="37"/>
  <c r="P96" i="37" s="1"/>
  <c r="F96" i="37" s="1"/>
  <c r="AJ36" i="37"/>
  <c r="P36" i="37" s="1"/>
  <c r="AJ99" i="37"/>
  <c r="P99" i="37" s="1"/>
  <c r="F99" i="37" s="1"/>
  <c r="AJ41" i="37"/>
  <c r="AJ50" i="37"/>
  <c r="P50" i="37" s="1"/>
  <c r="BB22" i="37"/>
  <c r="AJ43" i="37"/>
  <c r="AJ17" i="37"/>
  <c r="P17" i="37" s="1"/>
  <c r="AJ48" i="37"/>
  <c r="P48" i="37" s="1"/>
  <c r="BB28" i="37"/>
  <c r="AJ29" i="37"/>
  <c r="P29" i="37" s="1"/>
  <c r="AJ44" i="37"/>
  <c r="AJ18" i="37"/>
  <c r="P18" i="37" s="1"/>
  <c r="BR59" i="28"/>
  <c r="FE59" i="28" s="1" a="1"/>
  <c r="FE59" i="28" s="1"/>
  <c r="BB52" i="37"/>
  <c r="AR52" i="37" s="1"/>
  <c r="AJ42" i="37"/>
  <c r="P42" i="37" s="1"/>
  <c r="AJ26" i="37"/>
  <c r="P26" i="37" s="1"/>
  <c r="AJ49" i="37"/>
  <c r="Z49" i="37" s="1"/>
  <c r="Z114" i="37" s="1"/>
  <c r="AJ35" i="37"/>
  <c r="P35" i="37" s="1"/>
  <c r="AJ22" i="37"/>
  <c r="AJ20" i="37"/>
  <c r="P20" i="37" s="1"/>
  <c r="AJ19" i="37"/>
  <c r="AJ56" i="37"/>
  <c r="AJ53" i="37"/>
  <c r="AJ94" i="37"/>
  <c r="P94" i="37" s="1"/>
  <c r="F94" i="37" s="1"/>
  <c r="BB40" i="37"/>
  <c r="AR40" i="37" s="1"/>
  <c r="AJ100" i="37"/>
  <c r="AJ25" i="37"/>
  <c r="Z25" i="37" s="1"/>
  <c r="Z110" i="37" s="1"/>
  <c r="BB16" i="37"/>
  <c r="AR16" i="37" s="1"/>
  <c r="GY59" i="28"/>
  <c r="AJ31" i="37"/>
  <c r="Z31" i="37" s="1"/>
  <c r="Z111" i="37" s="1"/>
  <c r="AJ37" i="37"/>
  <c r="Z37" i="37" s="1"/>
  <c r="Z112" i="37" s="1"/>
  <c r="AJ55" i="37"/>
  <c r="Z55" i="37" s="1"/>
  <c r="Z115" i="37" s="1"/>
  <c r="AJ47" i="37"/>
  <c r="AJ54" i="37"/>
  <c r="P54" i="37" s="1"/>
  <c r="AJ40" i="37"/>
  <c r="Z40" i="37" s="1"/>
  <c r="AJ38" i="37"/>
  <c r="P38" i="37" s="1"/>
  <c r="AJ34" i="37"/>
  <c r="AJ52" i="37"/>
  <c r="Z52" i="37" s="1"/>
  <c r="BB48" i="37"/>
  <c r="AR48" i="37" s="1"/>
  <c r="BB36" i="37"/>
  <c r="AR36" i="37" s="1"/>
  <c r="BB23" i="37"/>
  <c r="AR23" i="37" s="1"/>
  <c r="AJ95" i="37"/>
  <c r="P95" i="37" s="1"/>
  <c r="F95" i="37" s="1"/>
  <c r="BB30" i="37"/>
  <c r="AR30" i="37" s="1"/>
  <c r="BB35" i="37"/>
  <c r="AR35" i="37" s="1"/>
  <c r="AJ24" i="37"/>
  <c r="P24" i="37" s="1"/>
  <c r="F24" i="37" s="1"/>
  <c r="BB18" i="37"/>
  <c r="AR18" i="37" s="1"/>
  <c r="DE59" i="28"/>
  <c r="AJ16" i="37"/>
  <c r="BB24" i="37"/>
  <c r="AR24" i="37" s="1"/>
  <c r="BB42" i="37"/>
  <c r="AR42" i="37" s="1"/>
  <c r="BB53" i="37"/>
  <c r="AR53" i="37" s="1"/>
  <c r="BB29" i="37"/>
  <c r="AR29" i="37" s="1"/>
  <c r="AJ30" i="37"/>
  <c r="P30" i="37" s="1"/>
  <c r="BB41" i="37"/>
  <c r="AR41" i="37" s="1"/>
  <c r="BB46" i="37"/>
  <c r="AR46" i="37" s="1"/>
  <c r="AJ46" i="37"/>
  <c r="BB17" i="37"/>
  <c r="AR17" i="37" s="1"/>
  <c r="BB47" i="37"/>
  <c r="AR47" i="37" s="1"/>
  <c r="BB54" i="37"/>
  <c r="AR54" i="37" s="1"/>
  <c r="O158" i="37"/>
  <c r="AI158" i="37" s="1"/>
  <c r="O669" i="37" a="1"/>
  <c r="O669" i="37" s="1"/>
  <c r="O17" i="37"/>
  <c r="O208" i="37" s="1" a="1"/>
  <c r="O208" i="37" s="1"/>
  <c r="O22" i="37"/>
  <c r="O73" i="37" s="1"/>
  <c r="AI187" i="37"/>
  <c r="AI189" i="37"/>
  <c r="AI21" i="37"/>
  <c r="AI188" i="37"/>
  <c r="O167" i="37"/>
  <c r="AI167" i="37" s="1"/>
  <c r="O678" i="37" a="1"/>
  <c r="O678" i="37" s="1"/>
  <c r="N917" i="37"/>
  <c r="AF626" i="37"/>
  <c r="N931" i="37"/>
  <c r="N628" i="37"/>
  <c r="N589" i="37"/>
  <c r="N608" i="37"/>
  <c r="AF619" i="37"/>
  <c r="AF618" i="37"/>
  <c r="AF525" i="37"/>
  <c r="N646" i="37" a="1"/>
  <c r="N646" i="37" s="1"/>
  <c r="N135" i="37"/>
  <c r="N83" i="37"/>
  <c r="AG157" i="37"/>
  <c r="M156" i="37"/>
  <c r="M206" i="37"/>
  <c r="AE594" i="37"/>
  <c r="AE501" i="37"/>
  <c r="O25" i="37"/>
  <c r="O216" i="37" s="1" a="1"/>
  <c r="O216" i="37" s="1"/>
  <c r="AI110" i="37"/>
  <c r="O110" i="37" s="1"/>
  <c r="O28" i="37"/>
  <c r="AI193" i="37"/>
  <c r="AI191" i="37"/>
  <c r="AI192" i="37"/>
  <c r="AI27" i="37"/>
  <c r="O49" i="37"/>
  <c r="O87" i="37" s="1"/>
  <c r="AI114" i="37"/>
  <c r="O114" i="37" s="1"/>
  <c r="O19" i="37"/>
  <c r="AI109" i="37"/>
  <c r="O109" i="37" s="1"/>
  <c r="O18" i="37"/>
  <c r="O209" i="37" s="1" a="1"/>
  <c r="O209" i="37" s="1"/>
  <c r="O23" i="37"/>
  <c r="O214" i="37" s="1" a="1"/>
  <c r="O214" i="37" s="1"/>
  <c r="N945" i="37"/>
  <c r="N627" i="37"/>
  <c r="AF559" i="37"/>
  <c r="AF621" i="37"/>
  <c r="AF607" i="37"/>
  <c r="N613" i="37"/>
  <c r="AF600" i="37"/>
  <c r="AF507" i="37"/>
  <c r="AF627" i="37"/>
  <c r="N590" i="37"/>
  <c r="N541" i="37"/>
  <c r="AG127" i="37"/>
  <c r="M126" i="37"/>
  <c r="N33" i="37"/>
  <c r="N145" i="37"/>
  <c r="N656" i="37" a="1"/>
  <c r="N656" i="37" s="1"/>
  <c r="N154" i="37"/>
  <c r="N665" i="37" a="1"/>
  <c r="N665" i="37" s="1"/>
  <c r="AG146" i="37"/>
  <c r="M903" i="37"/>
  <c r="M598" i="37"/>
  <c r="AH137" i="37"/>
  <c r="BA51" i="37"/>
  <c r="O55" i="37"/>
  <c r="AI115" i="37"/>
  <c r="O115" i="37" s="1"/>
  <c r="O37" i="37"/>
  <c r="AI112" i="37"/>
  <c r="O112" i="37" s="1"/>
  <c r="O135" i="37"/>
  <c r="AI135" i="37" s="1"/>
  <c r="O646" i="37" a="1"/>
  <c r="O646" i="37" s="1"/>
  <c r="O195" i="37" a="1"/>
  <c r="O195" i="37" s="1"/>
  <c r="O201" i="37" a="1"/>
  <c r="O201" i="37" s="1"/>
  <c r="O189" i="37" a="1"/>
  <c r="O189" i="37" s="1"/>
  <c r="O185" i="37" a="1"/>
  <c r="O185" i="37" s="1"/>
  <c r="O190" i="37" a="1"/>
  <c r="O190" i="37" s="1"/>
  <c r="O187" i="37" a="1"/>
  <c r="O187" i="37" s="1"/>
  <c r="O203" i="37" a="1"/>
  <c r="O203" i="37" s="1"/>
  <c r="O183" i="37" a="1"/>
  <c r="O183" i="37" s="1"/>
  <c r="O198" i="37" a="1"/>
  <c r="O198" i="37" s="1"/>
  <c r="O205" i="37" a="1"/>
  <c r="O205" i="37" s="1"/>
  <c r="O191" i="37" a="1"/>
  <c r="O191" i="37" s="1"/>
  <c r="O184" i="37" a="1"/>
  <c r="O184" i="37" s="1"/>
  <c r="O215" i="37" a="1"/>
  <c r="O215" i="37" s="1"/>
  <c r="O196" i="37" a="1"/>
  <c r="O196" i="37" s="1"/>
  <c r="O202" i="37" a="1"/>
  <c r="O202" i="37" s="1"/>
  <c r="O186" i="37" a="1"/>
  <c r="O186" i="37" s="1"/>
  <c r="O193" i="37" a="1"/>
  <c r="O193" i="37" s="1"/>
  <c r="O192" i="37" a="1"/>
  <c r="O192" i="37" s="1"/>
  <c r="O204" i="37" a="1"/>
  <c r="O204" i="37" s="1"/>
  <c r="O197" i="37" a="1"/>
  <c r="O197" i="37" s="1"/>
  <c r="O199" i="37" a="1"/>
  <c r="O199" i="37" s="1"/>
  <c r="O223" i="37" a="1"/>
  <c r="O223" i="37" s="1"/>
  <c r="O20" i="37"/>
  <c r="O211" i="37" s="1" a="1"/>
  <c r="O211" i="37" s="1"/>
  <c r="AF553" i="37"/>
  <c r="AF610" i="37"/>
  <c r="N602" i="37"/>
  <c r="AF591" i="37"/>
  <c r="AF604" i="37"/>
  <c r="N615" i="37"/>
  <c r="AF577" i="37"/>
  <c r="N619" i="37"/>
  <c r="N609" i="37"/>
  <c r="N547" i="37"/>
  <c r="N78" i="37"/>
  <c r="AG147" i="37"/>
  <c r="M637" i="37"/>
  <c r="M667" i="37"/>
  <c r="C268" i="51" l="1" a="1"/>
  <c r="C268" i="51" s="1"/>
  <c r="C265" i="51" a="1"/>
  <c r="C265" i="51" s="1"/>
  <c r="C266" i="51" a="1"/>
  <c r="C266" i="51" s="1"/>
  <c r="C267" i="51" a="1"/>
  <c r="C267" i="51" s="1"/>
  <c r="L908" i="51"/>
  <c r="I388" i="51"/>
  <c r="I479" i="51" s="1"/>
  <c r="I908" i="51"/>
  <c r="F388" i="51"/>
  <c r="F479" i="51" s="1"/>
  <c r="H908" i="51"/>
  <c r="E388" i="51"/>
  <c r="E479" i="51" s="1"/>
  <c r="D388" i="51"/>
  <c r="D479" i="51" s="1"/>
  <c r="G908" i="51"/>
  <c r="C101" i="51" s="1"/>
  <c r="H430" i="51" a="1"/>
  <c r="G430" i="51" a="1"/>
  <c r="C430" i="51" a="1"/>
  <c r="I430" i="51" a="1"/>
  <c r="D430" i="51" a="1"/>
  <c r="E430" i="51" a="1"/>
  <c r="F430" i="51" a="1"/>
  <c r="AG372" i="37"/>
  <c r="AG391" i="37"/>
  <c r="AG361" i="37"/>
  <c r="AG367" i="37"/>
  <c r="AG397" i="37"/>
  <c r="AH545" i="37"/>
  <c r="X545" i="37" s="1"/>
  <c r="AH535" i="37"/>
  <c r="AH558" i="37"/>
  <c r="X558" i="37" s="1"/>
  <c r="AH557" i="37"/>
  <c r="X557" i="37" s="1"/>
  <c r="AH536" i="37"/>
  <c r="AH582" i="37"/>
  <c r="X582" i="37" s="1"/>
  <c r="AH530" i="37"/>
  <c r="AH546" i="37"/>
  <c r="X546" i="37" s="1"/>
  <c r="AH564" i="37"/>
  <c r="X564" i="37" s="1"/>
  <c r="AH518" i="37"/>
  <c r="AH576" i="37"/>
  <c r="X576" i="37" s="1"/>
  <c r="AH517" i="37"/>
  <c r="X517" i="37" s="1"/>
  <c r="AH575" i="37"/>
  <c r="X575" i="37" s="1"/>
  <c r="AH581" i="37"/>
  <c r="X581" i="37" s="1"/>
  <c r="AH570" i="37"/>
  <c r="X570" i="37" s="1"/>
  <c r="AH512" i="37"/>
  <c r="X512" i="37" s="1"/>
  <c r="AH523" i="37"/>
  <c r="AH499" i="37"/>
  <c r="X499" i="37" s="1"/>
  <c r="AH511" i="37"/>
  <c r="X511" i="37" s="1"/>
  <c r="AH529" i="37"/>
  <c r="X529" i="37" s="1"/>
  <c r="AH569" i="37"/>
  <c r="X569" i="37" s="1"/>
  <c r="AH524" i="37"/>
  <c r="X524" i="37" s="1"/>
  <c r="AH563" i="37"/>
  <c r="X563" i="37" s="1"/>
  <c r="AH500" i="37"/>
  <c r="X500" i="37" s="1"/>
  <c r="AG378" i="37"/>
  <c r="AG396" i="37"/>
  <c r="AG390" i="37"/>
  <c r="AG373" i="37"/>
  <c r="AG505" i="37"/>
  <c r="AG506" i="37"/>
  <c r="AG552" i="37"/>
  <c r="AG551" i="37"/>
  <c r="AG366" i="37"/>
  <c r="AG385" i="37"/>
  <c r="AG384" i="37"/>
  <c r="AG360" i="37"/>
  <c r="AG379" i="37"/>
  <c r="E17" i="48"/>
  <c r="I69" i="48" s="1"/>
  <c r="G85" i="48" s="1"/>
  <c r="C17" i="48"/>
  <c r="G69" i="48" s="1"/>
  <c r="E85" i="48" s="1"/>
  <c r="D17" i="48"/>
  <c r="H69" i="48" s="1"/>
  <c r="F85" i="48" s="1"/>
  <c r="G74" i="48" a="1"/>
  <c r="G74" i="48" s="1"/>
  <c r="H17" i="48"/>
  <c r="L69" i="48" s="1"/>
  <c r="J85" i="48" s="1"/>
  <c r="AK244" i="33"/>
  <c r="AK247" i="33"/>
  <c r="AL244" i="33"/>
  <c r="AF246" i="33" s="1"/>
  <c r="I379" i="51" s="1"/>
  <c r="AL247" i="33"/>
  <c r="EN33" i="28"/>
  <c r="EN35" i="28"/>
  <c r="FS32" i="28"/>
  <c r="CQ32" i="28"/>
  <c r="L849" i="37"/>
  <c r="L817" i="37"/>
  <c r="L902" i="37" s="1"/>
  <c r="L818" i="37"/>
  <c r="L819" i="37"/>
  <c r="L822" i="37"/>
  <c r="AD803" i="37"/>
  <c r="L820" i="37"/>
  <c r="L828" i="37"/>
  <c r="L814" i="37"/>
  <c r="L856" i="37"/>
  <c r="M825" i="37"/>
  <c r="M826" i="37"/>
  <c r="L835" i="37"/>
  <c r="L842" i="37"/>
  <c r="M870" i="37"/>
  <c r="M847" i="37"/>
  <c r="M846" i="37"/>
  <c r="AE807" i="37"/>
  <c r="M848" i="37"/>
  <c r="M845" i="37"/>
  <c r="M958" i="37" s="1"/>
  <c r="M850" i="37"/>
  <c r="O770" i="37"/>
  <c r="O769" i="37" s="1"/>
  <c r="O768" i="37" s="1"/>
  <c r="O943" i="37" a="1"/>
  <c r="O943" i="37" s="1"/>
  <c r="O388" i="37"/>
  <c r="N386" i="37"/>
  <c r="N760" i="37" s="1"/>
  <c r="N844" i="37" s="1"/>
  <c r="AE804" i="37"/>
  <c r="M784" i="37"/>
  <c r="N356" i="37"/>
  <c r="O371" i="37"/>
  <c r="AG364" i="37"/>
  <c r="AG359" i="37"/>
  <c r="O385" i="37"/>
  <c r="O774" i="37"/>
  <c r="O360" i="37"/>
  <c r="O790" i="37"/>
  <c r="O789" i="37" s="1"/>
  <c r="O788" i="37" s="1"/>
  <c r="AG357" i="37"/>
  <c r="AG376" i="37"/>
  <c r="O369" i="37"/>
  <c r="AG370" i="37"/>
  <c r="O901" i="37" a="1"/>
  <c r="O901" i="37" s="1"/>
  <c r="O378" i="37"/>
  <c r="O372" i="37"/>
  <c r="O357" i="37"/>
  <c r="M827" i="37"/>
  <c r="M759" i="37"/>
  <c r="M837" i="37" s="1"/>
  <c r="FS35" i="28"/>
  <c r="FS31" i="28"/>
  <c r="CQ31" i="28"/>
  <c r="O377" i="37"/>
  <c r="O370" i="37"/>
  <c r="AG387" i="37"/>
  <c r="O397" i="37"/>
  <c r="O375" i="37"/>
  <c r="O391" i="37"/>
  <c r="AG375" i="37"/>
  <c r="AG377" i="37"/>
  <c r="AG363" i="37"/>
  <c r="O387" i="37"/>
  <c r="AF362" i="37"/>
  <c r="N374" i="37"/>
  <c r="N758" i="37" s="1"/>
  <c r="N830" i="37" s="1"/>
  <c r="O363" i="37"/>
  <c r="O359" i="37"/>
  <c r="O381" i="37"/>
  <c r="O376" i="37"/>
  <c r="M829" i="37"/>
  <c r="FS30" i="28"/>
  <c r="CQ30" i="28"/>
  <c r="AF380" i="37"/>
  <c r="AF386" i="37"/>
  <c r="M772" i="37"/>
  <c r="AF374" i="37"/>
  <c r="O358" i="37"/>
  <c r="O373" i="37"/>
  <c r="O389" i="37"/>
  <c r="O367" i="37"/>
  <c r="O361" i="37"/>
  <c r="O390" i="37"/>
  <c r="AG365" i="37"/>
  <c r="AG371" i="37"/>
  <c r="O394" i="37"/>
  <c r="AG358" i="37"/>
  <c r="N380" i="37"/>
  <c r="N759" i="37" s="1"/>
  <c r="N837" i="37" s="1"/>
  <c r="AF392" i="37"/>
  <c r="AG369" i="37"/>
  <c r="M824" i="37"/>
  <c r="M916" i="37" s="1"/>
  <c r="M768" i="37"/>
  <c r="N362" i="37"/>
  <c r="AF356" i="37"/>
  <c r="O396" i="37"/>
  <c r="O382" i="37"/>
  <c r="O395" i="37"/>
  <c r="O887" i="37" a="1"/>
  <c r="O887" i="37" s="1"/>
  <c r="AG382" i="37"/>
  <c r="O929" i="37" a="1"/>
  <c r="O929" i="37" s="1"/>
  <c r="AG381" i="37"/>
  <c r="N392" i="37"/>
  <c r="N761" i="37" s="1"/>
  <c r="N851" i="37" s="1"/>
  <c r="N368" i="37"/>
  <c r="N757" i="37" s="1"/>
  <c r="N823" i="37" s="1"/>
  <c r="AG389" i="37"/>
  <c r="FS29" i="28"/>
  <c r="CQ29" i="28"/>
  <c r="M780" i="37"/>
  <c r="M792" i="37"/>
  <c r="M788" i="37"/>
  <c r="AG383" i="37"/>
  <c r="O915" i="37" a="1"/>
  <c r="O915" i="37" s="1"/>
  <c r="O379" i="37"/>
  <c r="O782" i="37"/>
  <c r="O781" i="37" s="1"/>
  <c r="O780" i="37" s="1"/>
  <c r="AG388" i="37"/>
  <c r="O365" i="37"/>
  <c r="AG394" i="37"/>
  <c r="O778" i="37"/>
  <c r="O777" i="37" s="1"/>
  <c r="O776" i="37" s="1"/>
  <c r="O366" i="37"/>
  <c r="AF368" i="37"/>
  <c r="AG395" i="37"/>
  <c r="O393" i="37"/>
  <c r="K958" i="37"/>
  <c r="K849" i="37"/>
  <c r="FS28" i="28"/>
  <c r="CQ28" i="28"/>
  <c r="O786" i="37"/>
  <c r="O364" i="37"/>
  <c r="O971" i="37" a="1"/>
  <c r="O971" i="37" s="1"/>
  <c r="O383" i="37"/>
  <c r="O794" i="37"/>
  <c r="O384" i="37"/>
  <c r="AG393" i="37"/>
  <c r="O957" i="37" a="1"/>
  <c r="O957" i="37" s="1"/>
  <c r="N777" i="37"/>
  <c r="BY44" i="37"/>
  <c r="BY47" i="37"/>
  <c r="BY50" i="37"/>
  <c r="BY28" i="37"/>
  <c r="BC43" i="37"/>
  <c r="BY20" i="37"/>
  <c r="FT29" i="28" s="1"/>
  <c r="BY52" i="37"/>
  <c r="BY46" i="37"/>
  <c r="BY40" i="37"/>
  <c r="BY42" i="37"/>
  <c r="BC44" i="37"/>
  <c r="BC49" i="37"/>
  <c r="BY45" i="37"/>
  <c r="BC26" i="37"/>
  <c r="BY48" i="37"/>
  <c r="BY33" i="37"/>
  <c r="BY17" i="37"/>
  <c r="BY31" i="37"/>
  <c r="BY15" i="37"/>
  <c r="EO32" i="28" s="1"/>
  <c r="BY41" i="37"/>
  <c r="BY35" i="37"/>
  <c r="BC25" i="37"/>
  <c r="BY19" i="37"/>
  <c r="FT30" i="28" s="1"/>
  <c r="BY39" i="37"/>
  <c r="BY18" i="37"/>
  <c r="BY37" i="37"/>
  <c r="BY30" i="37"/>
  <c r="BC38" i="37"/>
  <c r="BC50" i="37"/>
  <c r="BC19" i="37"/>
  <c r="BC31" i="37"/>
  <c r="BY29" i="37"/>
  <c r="BY23" i="37"/>
  <c r="BC37" i="37"/>
  <c r="BY53" i="37"/>
  <c r="BC20" i="37"/>
  <c r="BY43" i="37"/>
  <c r="BY56" i="37"/>
  <c r="BY22" i="37"/>
  <c r="BY36" i="37"/>
  <c r="BY49" i="37"/>
  <c r="BY51" i="37"/>
  <c r="BY54" i="37"/>
  <c r="BC55" i="37"/>
  <c r="BY25" i="37"/>
  <c r="BY16" i="37"/>
  <c r="BY26" i="37"/>
  <c r="BY38" i="37"/>
  <c r="BY24" i="37"/>
  <c r="BY21" i="37"/>
  <c r="BC56" i="37"/>
  <c r="BY27" i="37"/>
  <c r="BY55" i="37"/>
  <c r="BY32" i="37"/>
  <c r="BY34" i="37"/>
  <c r="BC32" i="37"/>
  <c r="Z23" i="37"/>
  <c r="O74" i="37"/>
  <c r="P74" i="37"/>
  <c r="AG150" i="37"/>
  <c r="N667" i="37"/>
  <c r="AM88" i="33"/>
  <c r="AN94" i="33" s="1"/>
  <c r="AG126" i="37"/>
  <c r="AM203" i="33"/>
  <c r="AN209" i="33" s="1"/>
  <c r="Z17" i="37"/>
  <c r="N655" i="37"/>
  <c r="O219" i="37" a="1"/>
  <c r="O219" i="37" s="1"/>
  <c r="O218" i="37" s="1"/>
  <c r="AE593" i="37"/>
  <c r="Z20" i="37"/>
  <c r="Z18" i="37"/>
  <c r="AM111" i="33"/>
  <c r="AN117" i="33" s="1"/>
  <c r="N903" i="37"/>
  <c r="O213" i="37" a="1"/>
  <c r="O213" i="37" s="1"/>
  <c r="O212" i="37" s="1"/>
  <c r="Z30" i="37"/>
  <c r="AG138" i="37"/>
  <c r="Z29" i="37"/>
  <c r="N637" i="37"/>
  <c r="AL153" i="33"/>
  <c r="E369" i="51" s="1" a="1"/>
  <c r="N673" i="37"/>
  <c r="O621" i="37"/>
  <c r="O615" i="37"/>
  <c r="O619" i="37"/>
  <c r="AM134" i="33"/>
  <c r="AN140" i="33" s="1"/>
  <c r="AF599" i="37"/>
  <c r="O136" i="37"/>
  <c r="AI136" i="37" s="1"/>
  <c r="O647" i="37" a="1"/>
  <c r="O647" i="37" s="1"/>
  <c r="Z22" i="37"/>
  <c r="O128" i="37"/>
  <c r="O639" i="37" a="1"/>
  <c r="O639" i="37" s="1"/>
  <c r="F17" i="37"/>
  <c r="P16" i="37"/>
  <c r="AJ183" i="37"/>
  <c r="Z183" i="37" s="1"/>
  <c r="AJ185" i="37"/>
  <c r="Z185" i="37" s="1"/>
  <c r="AJ184" i="37"/>
  <c r="Z184" i="37" s="1"/>
  <c r="AJ15" i="37"/>
  <c r="B634" i="51" s="1"/>
  <c r="B635" i="51" s="1"/>
  <c r="Z16" i="37"/>
  <c r="P55" i="37"/>
  <c r="F55" i="37" s="1"/>
  <c r="AJ115" i="37"/>
  <c r="P115" i="37" s="1"/>
  <c r="F115" i="37" s="1"/>
  <c r="P137" i="37"/>
  <c r="AJ137" i="37" s="1"/>
  <c r="P648" i="37" a="1"/>
  <c r="P648" i="37" s="1"/>
  <c r="P159" i="37"/>
  <c r="AJ159" i="37" s="1"/>
  <c r="P670" i="37" a="1"/>
  <c r="P670" i="37" s="1"/>
  <c r="N596" i="37"/>
  <c r="AF594" i="37"/>
  <c r="AF501" i="37"/>
  <c r="N587" i="37"/>
  <c r="AH130" i="37"/>
  <c r="O601" i="37"/>
  <c r="AG592" i="37"/>
  <c r="AG610" i="37"/>
  <c r="O613" i="37"/>
  <c r="O609" i="37"/>
  <c r="O571" i="37"/>
  <c r="AG590" i="37"/>
  <c r="AG615" i="37"/>
  <c r="AG553" i="37"/>
  <c r="O507" i="37"/>
  <c r="O600" i="37"/>
  <c r="N661" i="37"/>
  <c r="O147" i="37"/>
  <c r="O658" i="37" a="1"/>
  <c r="O658" i="37" s="1"/>
  <c r="F36" i="37"/>
  <c r="O154" i="37"/>
  <c r="AI154" i="37" s="1"/>
  <c r="O665" i="37" a="1"/>
  <c r="O665" i="37" s="1"/>
  <c r="Z46" i="37"/>
  <c r="O164" i="37"/>
  <c r="O675" i="37" a="1"/>
  <c r="O675" i="37" s="1"/>
  <c r="M756" i="37"/>
  <c r="M816" i="37" s="1"/>
  <c r="AH157" i="37"/>
  <c r="N156" i="37"/>
  <c r="O85" i="37"/>
  <c r="M852" i="37"/>
  <c r="M972" i="37" s="1"/>
  <c r="M853" i="37"/>
  <c r="M855" i="37"/>
  <c r="M854" i="37"/>
  <c r="M857" i="37"/>
  <c r="AE808" i="37"/>
  <c r="M871" i="37"/>
  <c r="AL169" i="33"/>
  <c r="AL175" i="33" s="1"/>
  <c r="AF177" i="33" s="1"/>
  <c r="F379" i="51" s="1"/>
  <c r="AH145" i="37"/>
  <c r="N144" i="37"/>
  <c r="P508" i="37"/>
  <c r="P532" i="37"/>
  <c r="F532" i="37" s="1"/>
  <c r="AH520" i="37"/>
  <c r="P534" i="37"/>
  <c r="AH509" i="37"/>
  <c r="X509" i="37" s="1"/>
  <c r="P554" i="37"/>
  <c r="F554" i="37" s="1"/>
  <c r="P533" i="37"/>
  <c r="F533" i="37" s="1"/>
  <c r="P529" i="37"/>
  <c r="F529" i="37" s="1"/>
  <c r="P523" i="37"/>
  <c r="F523" i="37" s="1"/>
  <c r="P560" i="37"/>
  <c r="F560" i="37" s="1"/>
  <c r="AH532" i="37"/>
  <c r="AH566" i="37"/>
  <c r="AH515" i="37"/>
  <c r="X515" i="37" s="1"/>
  <c r="AH578" i="37"/>
  <c r="X578" i="37" s="1"/>
  <c r="P946" i="37" a="1"/>
  <c r="P946" i="37" s="1"/>
  <c r="V946" i="37" s="1"/>
  <c r="AH572" i="37"/>
  <c r="P572" i="37"/>
  <c r="F572" i="37" s="1"/>
  <c r="AH527" i="37"/>
  <c r="X527" i="37" s="1"/>
  <c r="P496" i="37"/>
  <c r="F496" i="37" s="1"/>
  <c r="P498" i="37"/>
  <c r="P521" i="37"/>
  <c r="F521" i="37" s="1"/>
  <c r="AH497" i="37"/>
  <c r="X497" i="37" s="1"/>
  <c r="P515" i="37"/>
  <c r="F515" i="37" s="1"/>
  <c r="P520" i="37"/>
  <c r="F520" i="37" s="1"/>
  <c r="P535" i="37"/>
  <c r="F535" i="37" s="1"/>
  <c r="P509" i="37"/>
  <c r="F509" i="37" s="1"/>
  <c r="AH516" i="37"/>
  <c r="X516" i="37" s="1"/>
  <c r="P542" i="37"/>
  <c r="F542" i="37" s="1"/>
  <c r="AH521" i="37"/>
  <c r="X521" i="37" s="1"/>
  <c r="P499" i="37"/>
  <c r="F499" i="37" s="1"/>
  <c r="P516" i="37"/>
  <c r="F516" i="37" s="1"/>
  <c r="P524" i="37"/>
  <c r="P578" i="37"/>
  <c r="F578" i="37" s="1"/>
  <c r="AH510" i="37"/>
  <c r="AH542" i="37"/>
  <c r="X542" i="37" s="1"/>
  <c r="AH533" i="37"/>
  <c r="P511" i="37"/>
  <c r="F511" i="37" s="1"/>
  <c r="P514" i="37"/>
  <c r="F514" i="37" s="1"/>
  <c r="P526" i="37"/>
  <c r="P548" i="37"/>
  <c r="F548" i="37" s="1"/>
  <c r="P932" i="37" a="1"/>
  <c r="P932" i="37" s="1"/>
  <c r="V932" i="37" s="1"/>
  <c r="AH528" i="37"/>
  <c r="X528" i="37" s="1"/>
  <c r="P530" i="37"/>
  <c r="AH560" i="37"/>
  <c r="AH496" i="37"/>
  <c r="X496" i="37" s="1"/>
  <c r="P500" i="37"/>
  <c r="F500" i="37" s="1"/>
  <c r="P566" i="37"/>
  <c r="F566" i="37" s="1"/>
  <c r="AH522" i="37"/>
  <c r="X522" i="37" s="1"/>
  <c r="AH514" i="37"/>
  <c r="X514" i="37" s="1"/>
  <c r="P522" i="37"/>
  <c r="AH554" i="37"/>
  <c r="X554" i="37" s="1"/>
  <c r="P527" i="37"/>
  <c r="P918" i="37" a="1"/>
  <c r="P918" i="37" s="1"/>
  <c r="V918" i="37" s="1"/>
  <c r="P536" i="37"/>
  <c r="F536" i="37" s="1"/>
  <c r="P974" i="37" a="1"/>
  <c r="P974" i="37" s="1"/>
  <c r="V974" i="37" s="1"/>
  <c r="P960" i="37" a="1"/>
  <c r="P960" i="37" s="1"/>
  <c r="V960" i="37" s="1"/>
  <c r="P518" i="37"/>
  <c r="AH498" i="37"/>
  <c r="P517" i="37"/>
  <c r="F517" i="37" s="1"/>
  <c r="AH508" i="37"/>
  <c r="DT59" i="28"/>
  <c r="P563" i="37"/>
  <c r="F563" i="37" s="1"/>
  <c r="P933" i="37"/>
  <c r="V933" i="37" s="1"/>
  <c r="AH544" i="37"/>
  <c r="X544" i="37" s="1"/>
  <c r="AH580" i="37"/>
  <c r="X580" i="37" s="1"/>
  <c r="P567" i="37"/>
  <c r="F567" i="37" s="1"/>
  <c r="P934" i="37" a="1"/>
  <c r="P934" i="37" s="1"/>
  <c r="V934" i="37" s="1"/>
  <c r="P947" i="37"/>
  <c r="V947" i="37" s="1"/>
  <c r="P564" i="37"/>
  <c r="F564" i="37" s="1"/>
  <c r="P570" i="37"/>
  <c r="F570" i="37" s="1"/>
  <c r="P582" i="37"/>
  <c r="F582" i="37" s="1"/>
  <c r="P568" i="37"/>
  <c r="F568" i="37" s="1"/>
  <c r="P891" i="37"/>
  <c r="V891" i="37" s="1"/>
  <c r="P549" i="37"/>
  <c r="F549" i="37" s="1"/>
  <c r="P561" i="37"/>
  <c r="F561" i="37" s="1"/>
  <c r="AH574" i="37"/>
  <c r="X574" i="37" s="1"/>
  <c r="P543" i="37"/>
  <c r="F543" i="37" s="1"/>
  <c r="AH556" i="37"/>
  <c r="X556" i="37" s="1"/>
  <c r="P551" i="37"/>
  <c r="F551" i="37" s="1"/>
  <c r="P581" i="37"/>
  <c r="F581" i="37" s="1"/>
  <c r="P562" i="37"/>
  <c r="F562" i="37" s="1"/>
  <c r="AH534" i="37"/>
  <c r="X534" i="37" s="1"/>
  <c r="P546" i="37"/>
  <c r="F546" i="37" s="1"/>
  <c r="P574" i="37"/>
  <c r="F574" i="37" s="1"/>
  <c r="P497" i="37"/>
  <c r="P512" i="37"/>
  <c r="P579" i="37"/>
  <c r="F579" i="37" s="1"/>
  <c r="AH555" i="37"/>
  <c r="X555" i="37" s="1"/>
  <c r="AH543" i="37"/>
  <c r="X543" i="37" s="1"/>
  <c r="P576" i="37"/>
  <c r="F576" i="37" s="1"/>
  <c r="P975" i="37"/>
  <c r="V975" i="37" s="1"/>
  <c r="P558" i="37"/>
  <c r="F558" i="37" s="1"/>
  <c r="AH562" i="37"/>
  <c r="X562" i="37" s="1"/>
  <c r="P890" i="37" a="1"/>
  <c r="P890" i="37" s="1"/>
  <c r="V890" i="37" s="1"/>
  <c r="AH526" i="37"/>
  <c r="X526" i="37" s="1"/>
  <c r="P573" i="37"/>
  <c r="F573" i="37" s="1"/>
  <c r="P892" i="37" a="1"/>
  <c r="P892" i="37" s="1"/>
  <c r="V892" i="37" s="1"/>
  <c r="AH573" i="37"/>
  <c r="X573" i="37" s="1"/>
  <c r="AH567" i="37"/>
  <c r="X567" i="37" s="1"/>
  <c r="P920" i="37" a="1"/>
  <c r="P920" i="37" s="1"/>
  <c r="V920" i="37" s="1"/>
  <c r="AH579" i="37"/>
  <c r="X579" i="37" s="1"/>
  <c r="P556" i="37"/>
  <c r="F556" i="37" s="1"/>
  <c r="P545" i="37"/>
  <c r="F545" i="37" s="1"/>
  <c r="P550" i="37"/>
  <c r="F550" i="37" s="1"/>
  <c r="P948" i="37" a="1"/>
  <c r="P948" i="37" s="1"/>
  <c r="V948" i="37" s="1"/>
  <c r="P544" i="37"/>
  <c r="F544" i="37" s="1"/>
  <c r="P557" i="37"/>
  <c r="F557" i="37" s="1"/>
  <c r="P552" i="37"/>
  <c r="F552" i="37" s="1"/>
  <c r="P580" i="37"/>
  <c r="F580" i="37" s="1"/>
  <c r="AH568" i="37"/>
  <c r="X568" i="37" s="1"/>
  <c r="P555" i="37"/>
  <c r="F555" i="37" s="1"/>
  <c r="P976" i="37" a="1"/>
  <c r="P976" i="37" s="1"/>
  <c r="V976" i="37" s="1"/>
  <c r="P962" i="37" a="1"/>
  <c r="P962" i="37" s="1"/>
  <c r="V962" i="37" s="1"/>
  <c r="P919" i="37"/>
  <c r="V919" i="37" s="1"/>
  <c r="P528" i="37"/>
  <c r="F528" i="37" s="1"/>
  <c r="AH561" i="37"/>
  <c r="X561" i="37" s="1"/>
  <c r="P510" i="37"/>
  <c r="P569" i="37"/>
  <c r="F569" i="37" s="1"/>
  <c r="P575" i="37"/>
  <c r="F575" i="37" s="1"/>
  <c r="P961" i="37"/>
  <c r="V961" i="37" s="1"/>
  <c r="AJ208" i="37"/>
  <c r="Z208" i="37" s="1"/>
  <c r="AJ51" i="37"/>
  <c r="AJ209" i="37"/>
  <c r="Z209" i="37" s="1"/>
  <c r="P52" i="37"/>
  <c r="F52" i="37" s="1"/>
  <c r="AJ207" i="37"/>
  <c r="Z207" i="37" s="1"/>
  <c r="P37" i="37"/>
  <c r="P85" i="37" s="1"/>
  <c r="AJ112" i="37"/>
  <c r="P112" i="37" s="1"/>
  <c r="F112" i="37" s="1"/>
  <c r="P53" i="37"/>
  <c r="F53" i="37" s="1"/>
  <c r="P664" i="37" a="1"/>
  <c r="P664" i="37" s="1"/>
  <c r="P153" i="37"/>
  <c r="AJ153" i="37" s="1"/>
  <c r="P128" i="37"/>
  <c r="AJ128" i="37" s="1"/>
  <c r="P639" i="37" a="1"/>
  <c r="P639" i="37" s="1"/>
  <c r="BB33" i="37"/>
  <c r="AR33" i="37" s="1"/>
  <c r="BH37" i="37" s="1"/>
  <c r="AF597" i="37"/>
  <c r="AF598" i="37"/>
  <c r="Z54" i="37"/>
  <c r="EB59" i="28"/>
  <c r="O495" i="37"/>
  <c r="O588" i="37"/>
  <c r="O553" i="37"/>
  <c r="AG616" i="37"/>
  <c r="O592" i="37"/>
  <c r="O590" i="37"/>
  <c r="O931" i="37"/>
  <c r="AG621" i="37"/>
  <c r="O541" i="37"/>
  <c r="O624" i="37"/>
  <c r="O531" i="37"/>
  <c r="AG609" i="37"/>
  <c r="O606" i="37"/>
  <c r="O513" i="37"/>
  <c r="Z38" i="37"/>
  <c r="AR34" i="37"/>
  <c r="C264" i="51" s="1" a="1"/>
  <c r="C264" i="51" s="1"/>
  <c r="Z48" i="37"/>
  <c r="AG162" i="37"/>
  <c r="M593" i="37"/>
  <c r="AH143" i="37"/>
  <c r="O641" i="37" a="1"/>
  <c r="O641" i="37" s="1"/>
  <c r="O130" i="37"/>
  <c r="AI130" i="37" s="1"/>
  <c r="P34" i="37"/>
  <c r="P75" i="37" s="1"/>
  <c r="AJ195" i="37"/>
  <c r="Z195" i="37" s="1"/>
  <c r="AJ196" i="37"/>
  <c r="Z196" i="37" s="1"/>
  <c r="AJ197" i="37"/>
  <c r="Z197" i="37" s="1"/>
  <c r="AJ33" i="37"/>
  <c r="E634" i="51" s="1"/>
  <c r="E635" i="51" s="1"/>
  <c r="P31" i="37"/>
  <c r="F31" i="37" s="1"/>
  <c r="AJ111" i="37"/>
  <c r="P111" i="37" s="1"/>
  <c r="F111" i="37" s="1"/>
  <c r="P56" i="37"/>
  <c r="Z56" i="37"/>
  <c r="BB51" i="37"/>
  <c r="AR51" i="37" s="1"/>
  <c r="BH54" i="37" s="1"/>
  <c r="P43" i="37"/>
  <c r="P86" i="37" s="1"/>
  <c r="AJ113" i="37"/>
  <c r="P113" i="37" s="1"/>
  <c r="F113" i="37" s="1"/>
  <c r="Z43" i="37"/>
  <c r="Z113" i="37" s="1"/>
  <c r="AH163" i="37"/>
  <c r="AH162" i="37" s="1"/>
  <c r="N162" i="37"/>
  <c r="Z24" i="37"/>
  <c r="AF587" i="37"/>
  <c r="N597" i="37"/>
  <c r="O15" i="37"/>
  <c r="O61" i="37" s="1"/>
  <c r="O127" i="37"/>
  <c r="O638" i="37" a="1"/>
  <c r="O638" i="37" s="1"/>
  <c r="O72" i="37"/>
  <c r="AG591" i="37"/>
  <c r="O547" i="37"/>
  <c r="AG608" i="37"/>
  <c r="O504" i="37"/>
  <c r="O596" i="37" s="1"/>
  <c r="AG504" i="37"/>
  <c r="AG502" i="37"/>
  <c r="AG503" i="37"/>
  <c r="O904" i="37" a="1"/>
  <c r="O904" i="37" s="1"/>
  <c r="O502" i="37"/>
  <c r="O906" i="37" a="1"/>
  <c r="O906" i="37" s="1"/>
  <c r="AG550" i="37"/>
  <c r="O905" i="37"/>
  <c r="O505" i="37"/>
  <c r="O597" i="37" s="1"/>
  <c r="AG549" i="37"/>
  <c r="AG548" i="37"/>
  <c r="O506" i="37"/>
  <c r="O503" i="37"/>
  <c r="O595" i="37" s="1"/>
  <c r="AG607" i="37"/>
  <c r="O626" i="37"/>
  <c r="AG603" i="37"/>
  <c r="O519" i="37"/>
  <c r="O612" i="37"/>
  <c r="AG565" i="37"/>
  <c r="O889" i="37"/>
  <c r="AH151" i="37"/>
  <c r="N150" i="37"/>
  <c r="AF623" i="37"/>
  <c r="N611" i="37"/>
  <c r="O159" i="37"/>
  <c r="O670" i="37" a="1"/>
  <c r="O670" i="37" s="1"/>
  <c r="F48" i="37"/>
  <c r="Z50" i="37"/>
  <c r="Z34" i="37"/>
  <c r="Z35" i="37"/>
  <c r="N64" i="37"/>
  <c r="AL76" i="33"/>
  <c r="AL82" i="33" s="1"/>
  <c r="AM60" i="33"/>
  <c r="O84" i="37"/>
  <c r="O210" i="37" a="1"/>
  <c r="O210" i="37" s="1"/>
  <c r="O206" i="37" s="1"/>
  <c r="O677" i="37" a="1"/>
  <c r="O677" i="37" s="1"/>
  <c r="O166" i="37"/>
  <c r="O134" i="37"/>
  <c r="O645" i="37" a="1"/>
  <c r="O645" i="37" s="1"/>
  <c r="F23" i="37"/>
  <c r="O27" i="37"/>
  <c r="O63" i="37" s="1"/>
  <c r="O650" i="37" a="1"/>
  <c r="O650" i="37" s="1"/>
  <c r="O139" i="37"/>
  <c r="AG156" i="37"/>
  <c r="AF617" i="37"/>
  <c r="P141" i="37"/>
  <c r="AJ141" i="37" s="1"/>
  <c r="P652" i="37" a="1"/>
  <c r="P652" i="37" s="1"/>
  <c r="P660" i="37" a="1"/>
  <c r="P660" i="37" s="1"/>
  <c r="P149" i="37"/>
  <c r="AJ149" i="37" s="1"/>
  <c r="P189" i="37" a="1"/>
  <c r="P189" i="37" s="1"/>
  <c r="F189" i="37" s="1"/>
  <c r="P201" i="37" a="1"/>
  <c r="P201" i="37" s="1"/>
  <c r="P183" i="37" a="1"/>
  <c r="P183" i="37" s="1"/>
  <c r="F183" i="37" s="1"/>
  <c r="P220" i="37" a="1"/>
  <c r="P220" i="37" s="1"/>
  <c r="F220" i="37" s="1"/>
  <c r="P195" i="37" a="1"/>
  <c r="P195" i="37" s="1"/>
  <c r="F195" i="37" s="1"/>
  <c r="P191" i="37" a="1"/>
  <c r="P191" i="37" s="1"/>
  <c r="F191" i="37" s="1"/>
  <c r="P208" i="37" a="1"/>
  <c r="P208" i="37" s="1"/>
  <c r="F208" i="37" s="1"/>
  <c r="P197" i="37" a="1"/>
  <c r="P197" i="37" s="1"/>
  <c r="F197" i="37" s="1"/>
  <c r="P184" i="37" a="1"/>
  <c r="P184" i="37" s="1"/>
  <c r="F184" i="37" s="1"/>
  <c r="P198" i="37" a="1"/>
  <c r="P198" i="37" s="1"/>
  <c r="F198" i="37" s="1"/>
  <c r="P196" i="37" a="1"/>
  <c r="P196" i="37" s="1"/>
  <c r="F196" i="37" s="1"/>
  <c r="P221" i="37" a="1"/>
  <c r="P221" i="37" s="1"/>
  <c r="F221" i="37" s="1"/>
  <c r="P187" i="37" a="1"/>
  <c r="P187" i="37" s="1"/>
  <c r="F187" i="37" s="1"/>
  <c r="P193" i="37" a="1"/>
  <c r="P193" i="37" s="1"/>
  <c r="F193" i="37" s="1"/>
  <c r="P217" i="37" a="1"/>
  <c r="P217" i="37" s="1"/>
  <c r="F217" i="37" s="1"/>
  <c r="P205" i="37" a="1"/>
  <c r="P205" i="37" s="1"/>
  <c r="F205" i="37" s="1"/>
  <c r="P186" i="37" a="1"/>
  <c r="P186" i="37" s="1"/>
  <c r="F186" i="37" s="1"/>
  <c r="P215" i="37" a="1"/>
  <c r="P215" i="37" s="1"/>
  <c r="F215" i="37" s="1"/>
  <c r="P199" i="37" a="1"/>
  <c r="P199" i="37" s="1"/>
  <c r="F199" i="37" s="1"/>
  <c r="P202" i="37" a="1"/>
  <c r="P202" i="37" s="1"/>
  <c r="F202" i="37" s="1"/>
  <c r="P190" i="37" a="1"/>
  <c r="P190" i="37" s="1"/>
  <c r="F190" i="37" s="1"/>
  <c r="P192" i="37" a="1"/>
  <c r="P192" i="37" s="1"/>
  <c r="F192" i="37" s="1"/>
  <c r="P214" i="37" a="1"/>
  <c r="P214" i="37" s="1"/>
  <c r="F214" i="37" s="1"/>
  <c r="P185" i="37" a="1"/>
  <c r="P185" i="37" s="1"/>
  <c r="F185" i="37" s="1"/>
  <c r="P209" i="37" a="1"/>
  <c r="P209" i="37" s="1"/>
  <c r="F209" i="37" s="1"/>
  <c r="P203" i="37" a="1"/>
  <c r="P203" i="37" s="1"/>
  <c r="F203" i="37" s="1"/>
  <c r="P211" i="37" a="1"/>
  <c r="P211" i="37" s="1"/>
  <c r="F211" i="37" s="1"/>
  <c r="P204" i="37" a="1"/>
  <c r="P204" i="37" s="1"/>
  <c r="F204" i="37" s="1"/>
  <c r="P19" i="37"/>
  <c r="P82" i="37" s="1"/>
  <c r="AJ109" i="37"/>
  <c r="P109" i="37" s="1"/>
  <c r="AK94" i="37"/>
  <c r="AK48" i="37"/>
  <c r="Q48" i="37" s="1"/>
  <c r="AK99" i="37"/>
  <c r="Q99" i="37" s="1"/>
  <c r="AK42" i="37"/>
  <c r="Q42" i="37" s="1"/>
  <c r="AK36" i="37"/>
  <c r="Q36" i="37" s="1"/>
  <c r="AK17" i="37"/>
  <c r="AK47" i="37"/>
  <c r="Q47" i="37" s="1"/>
  <c r="AK23" i="37"/>
  <c r="AK53" i="37"/>
  <c r="Q53" i="37" s="1"/>
  <c r="AK38" i="37"/>
  <c r="Q38" i="37" s="1"/>
  <c r="AK30" i="37"/>
  <c r="Q30" i="37" s="1"/>
  <c r="AK24" i="37"/>
  <c r="Q24" i="37" s="1"/>
  <c r="AK32" i="37"/>
  <c r="Q32" i="37" s="1"/>
  <c r="AK18" i="37"/>
  <c r="BC16" i="37"/>
  <c r="AK29" i="37"/>
  <c r="Q29" i="37" s="1"/>
  <c r="AK50" i="37"/>
  <c r="Q50" i="37" s="1"/>
  <c r="AK98" i="37"/>
  <c r="AK56" i="37"/>
  <c r="Q56" i="37" s="1"/>
  <c r="AK54" i="37"/>
  <c r="Q54" i="37" s="1"/>
  <c r="BC46" i="37"/>
  <c r="BC34" i="37"/>
  <c r="AK41" i="37"/>
  <c r="Q41" i="37" s="1"/>
  <c r="AK28" i="37"/>
  <c r="BC28" i="37"/>
  <c r="AK34" i="37"/>
  <c r="AK22" i="37"/>
  <c r="AK95" i="37"/>
  <c r="Q95" i="37" s="1"/>
  <c r="AK96" i="37"/>
  <c r="AK52" i="37"/>
  <c r="AK20" i="37"/>
  <c r="AK16" i="37"/>
  <c r="AK49" i="37"/>
  <c r="BS59" i="28"/>
  <c r="FF59" i="28" s="1" a="1"/>
  <c r="FF59" i="28" s="1"/>
  <c r="AK35" i="37"/>
  <c r="Q35" i="37" s="1"/>
  <c r="AK37" i="37"/>
  <c r="AK31" i="37"/>
  <c r="AK26" i="37"/>
  <c r="Q26" i="37" s="1"/>
  <c r="AK46" i="37"/>
  <c r="BC40" i="37"/>
  <c r="DF59" i="28"/>
  <c r="AK44" i="37"/>
  <c r="Q44" i="37" s="1"/>
  <c r="AK55" i="37"/>
  <c r="GZ59" i="28"/>
  <c r="AK40" i="37"/>
  <c r="AK25" i="37"/>
  <c r="BC54" i="37"/>
  <c r="BC36" i="37"/>
  <c r="AK100" i="37"/>
  <c r="Q100" i="37" s="1"/>
  <c r="BC18" i="37"/>
  <c r="BC41" i="37"/>
  <c r="BC47" i="37"/>
  <c r="BC35" i="37"/>
  <c r="BC42" i="37"/>
  <c r="AK43" i="37"/>
  <c r="BC53" i="37"/>
  <c r="BC22" i="37"/>
  <c r="BC30" i="37"/>
  <c r="BC29" i="37"/>
  <c r="AK19" i="37"/>
  <c r="BC48" i="37"/>
  <c r="BC24" i="37"/>
  <c r="BC52" i="37"/>
  <c r="BC23" i="37"/>
  <c r="BC17" i="37"/>
  <c r="AK97" i="37"/>
  <c r="BB21" i="37"/>
  <c r="AR21" i="37" s="1"/>
  <c r="BH26" i="37" s="1"/>
  <c r="P32" i="37"/>
  <c r="Z32" i="37"/>
  <c r="AF596" i="37"/>
  <c r="AH127" i="37"/>
  <c r="N126" i="37"/>
  <c r="O165" i="37"/>
  <c r="O676" i="37" a="1"/>
  <c r="O676" i="37" s="1"/>
  <c r="F54" i="37"/>
  <c r="AG614" i="37"/>
  <c r="O607" i="37"/>
  <c r="AG627" i="37"/>
  <c r="O610" i="37"/>
  <c r="O603" i="37"/>
  <c r="O591" i="37"/>
  <c r="O628" i="37"/>
  <c r="AG602" i="37"/>
  <c r="AG626" i="37"/>
  <c r="O608" i="37"/>
  <c r="AF611" i="37"/>
  <c r="O149" i="37"/>
  <c r="O660" i="37" a="1"/>
  <c r="O660" i="37" s="1"/>
  <c r="F38" i="37"/>
  <c r="AR22" i="37"/>
  <c r="AK176" i="33"/>
  <c r="M831" i="37"/>
  <c r="M930" i="37" s="1"/>
  <c r="M868" i="37"/>
  <c r="M833" i="37"/>
  <c r="M834" i="37"/>
  <c r="M832" i="37"/>
  <c r="M836" i="37"/>
  <c r="AE805" i="37"/>
  <c r="Z19" i="37"/>
  <c r="Z109" i="37" s="1"/>
  <c r="AH139" i="37"/>
  <c r="N138" i="37"/>
  <c r="AL222" i="33"/>
  <c r="AK222" i="33"/>
  <c r="O182" i="37"/>
  <c r="O188" i="37"/>
  <c r="P783" i="37"/>
  <c r="P775" i="37"/>
  <c r="P795" i="37"/>
  <c r="P787" i="37"/>
  <c r="P771" i="37"/>
  <c r="P791" i="37"/>
  <c r="V791" i="37" s="1"/>
  <c r="FS59" i="28"/>
  <c r="P779" i="37"/>
  <c r="AJ191" i="37"/>
  <c r="Z191" i="37" s="1"/>
  <c r="AJ193" i="37"/>
  <c r="Z193" i="37" s="1"/>
  <c r="AJ27" i="37"/>
  <c r="D634" i="51" s="1"/>
  <c r="D635" i="51" s="1"/>
  <c r="AJ192" i="37"/>
  <c r="Z192" i="37" s="1"/>
  <c r="Z28" i="37"/>
  <c r="BB15" i="37"/>
  <c r="AR15" i="37" s="1"/>
  <c r="P642" i="37" a="1"/>
  <c r="P642" i="37" s="1"/>
  <c r="P131" i="37"/>
  <c r="AJ131" i="37" s="1"/>
  <c r="F20" i="37"/>
  <c r="P129" i="37"/>
  <c r="AJ129" i="37" s="1"/>
  <c r="P640" i="37" a="1"/>
  <c r="P640" i="37" s="1"/>
  <c r="P672" i="37" a="1"/>
  <c r="P672" i="37" s="1"/>
  <c r="P161" i="37"/>
  <c r="AJ161" i="37" s="1"/>
  <c r="P645" i="37" a="1"/>
  <c r="P645" i="37" s="1"/>
  <c r="P134" i="37"/>
  <c r="AJ134" i="37" s="1"/>
  <c r="N599" i="37"/>
  <c r="AG618" i="37"/>
  <c r="AG525" i="37"/>
  <c r="O959" i="37"/>
  <c r="AG622" i="37"/>
  <c r="AG531" i="37"/>
  <c r="AG624" i="37"/>
  <c r="O614" i="37"/>
  <c r="AG589" i="37"/>
  <c r="AG588" i="37"/>
  <c r="AG495" i="37"/>
  <c r="AG571" i="37"/>
  <c r="O945" i="37"/>
  <c r="N623" i="37"/>
  <c r="O672" i="37" a="1"/>
  <c r="O672" i="37" s="1"/>
  <c r="O161" i="37"/>
  <c r="F50" i="37"/>
  <c r="O657" i="37" a="1"/>
  <c r="O657" i="37" s="1"/>
  <c r="O146" i="37"/>
  <c r="F35" i="37"/>
  <c r="AH136" i="37"/>
  <c r="AH152" i="37"/>
  <c r="AH158" i="37"/>
  <c r="O671" i="37" a="1"/>
  <c r="O671" i="37" s="1"/>
  <c r="O160" i="37"/>
  <c r="AI160" i="37" s="1"/>
  <c r="P46" i="37"/>
  <c r="AJ45" i="37"/>
  <c r="AJ203" i="37"/>
  <c r="Z203" i="37" s="1"/>
  <c r="AJ205" i="37"/>
  <c r="Z205" i="37" s="1"/>
  <c r="AJ204" i="37"/>
  <c r="Z204" i="37" s="1"/>
  <c r="P135" i="37"/>
  <c r="AJ135" i="37" s="1"/>
  <c r="P646" i="37" a="1"/>
  <c r="P646" i="37" s="1"/>
  <c r="P40" i="37"/>
  <c r="F40" i="37" s="1"/>
  <c r="AJ199" i="37"/>
  <c r="Z199" i="37" s="1"/>
  <c r="AJ201" i="37"/>
  <c r="Z201" i="37" s="1"/>
  <c r="AJ200" i="37"/>
  <c r="Z200" i="37" s="1"/>
  <c r="AJ39" i="37"/>
  <c r="F634" i="51" s="1"/>
  <c r="F635" i="51" s="1"/>
  <c r="P25" i="37"/>
  <c r="AJ110" i="37"/>
  <c r="P110" i="37" s="1"/>
  <c r="F110" i="37" s="1"/>
  <c r="P22" i="37"/>
  <c r="F22" i="37" s="1"/>
  <c r="AJ189" i="37"/>
  <c r="Z189" i="37" s="1"/>
  <c r="AJ188" i="37"/>
  <c r="Z188" i="37" s="1"/>
  <c r="AJ21" i="37"/>
  <c r="C634" i="51" s="1"/>
  <c r="C635" i="51" s="1"/>
  <c r="AJ187" i="37"/>
  <c r="Z187" i="37" s="1"/>
  <c r="P44" i="37"/>
  <c r="Z44" i="37"/>
  <c r="P41" i="37"/>
  <c r="Z41" i="37"/>
  <c r="AF547" i="37"/>
  <c r="O163" i="37"/>
  <c r="O51" i="37"/>
  <c r="O674" i="37" a="1"/>
  <c r="O674" i="37" s="1"/>
  <c r="O140" i="37"/>
  <c r="O651" i="37" a="1"/>
  <c r="O651" i="37" s="1"/>
  <c r="F29" i="37"/>
  <c r="AG620" i="37"/>
  <c r="O917" i="37"/>
  <c r="AG625" i="37"/>
  <c r="O604" i="37"/>
  <c r="AG601" i="37"/>
  <c r="AG604" i="37"/>
  <c r="AG541" i="37"/>
  <c r="O39" i="37"/>
  <c r="O65" i="37" s="1"/>
  <c r="O662" i="37" a="1"/>
  <c r="O662" i="37" s="1"/>
  <c r="O151" i="37"/>
  <c r="Z42" i="37"/>
  <c r="N643" i="37"/>
  <c r="N649" i="37"/>
  <c r="AL635" i="33"/>
  <c r="AL634" i="33"/>
  <c r="O88" i="37"/>
  <c r="O200" i="37"/>
  <c r="O642" i="37" a="1"/>
  <c r="O642" i="37" s="1"/>
  <c r="O131" i="37"/>
  <c r="AH154" i="37"/>
  <c r="AH135" i="37"/>
  <c r="O644" i="37" a="1"/>
  <c r="O644" i="37" s="1"/>
  <c r="O21" i="37"/>
  <c r="O133" i="37"/>
  <c r="BB45" i="37"/>
  <c r="AR45" i="37" s="1"/>
  <c r="BH48" i="37" s="1"/>
  <c r="P165" i="37"/>
  <c r="AJ165" i="37" s="1"/>
  <c r="P676" i="37" a="1"/>
  <c r="P676" i="37" s="1"/>
  <c r="P657" i="37" a="1"/>
  <c r="P657" i="37" s="1"/>
  <c r="P146" i="37"/>
  <c r="AJ146" i="37" s="1"/>
  <c r="P140" i="37"/>
  <c r="AJ140" i="37" s="1"/>
  <c r="P651" i="37" a="1"/>
  <c r="P651" i="37" s="1"/>
  <c r="N605" i="37"/>
  <c r="AF595" i="37"/>
  <c r="P100" i="37"/>
  <c r="F100" i="37" s="1"/>
  <c r="G71" i="48" s="1" a="1"/>
  <c r="G71" i="48" s="1"/>
  <c r="O82" i="37"/>
  <c r="O141" i="37"/>
  <c r="O652" i="37" a="1"/>
  <c r="O652" i="37" s="1"/>
  <c r="F30" i="37"/>
  <c r="AG559" i="37"/>
  <c r="O577" i="37"/>
  <c r="AG613" i="37"/>
  <c r="O622" i="37"/>
  <c r="O620" i="37"/>
  <c r="AG606" i="37"/>
  <c r="AG513" i="37"/>
  <c r="O559" i="37"/>
  <c r="O973" i="37"/>
  <c r="O627" i="37"/>
  <c r="AG619" i="37"/>
  <c r="N67" i="37"/>
  <c r="N617" i="37"/>
  <c r="K821" i="37"/>
  <c r="Z26" i="37"/>
  <c r="O157" i="37"/>
  <c r="O45" i="37"/>
  <c r="O668" i="37" a="1"/>
  <c r="O668" i="37" s="1"/>
  <c r="O83" i="37"/>
  <c r="AL107" i="33"/>
  <c r="AK107" i="33"/>
  <c r="AH133" i="37"/>
  <c r="N132" i="37"/>
  <c r="AH148" i="37"/>
  <c r="M810" i="37"/>
  <c r="M888" i="37" s="1"/>
  <c r="M812" i="37"/>
  <c r="M811" i="37"/>
  <c r="M813" i="37"/>
  <c r="AE802" i="37"/>
  <c r="M815" i="37"/>
  <c r="M865" i="37"/>
  <c r="AG144" i="37"/>
  <c r="AM226" i="33"/>
  <c r="AN232" i="33" s="1"/>
  <c r="O194" i="37"/>
  <c r="O659" i="37" a="1"/>
  <c r="O659" i="37" s="1"/>
  <c r="O148" i="37"/>
  <c r="AI148" i="37" s="1"/>
  <c r="O129" i="37"/>
  <c r="O640" i="37" a="1"/>
  <c r="O640" i="37" s="1"/>
  <c r="F18" i="37"/>
  <c r="P47" i="37"/>
  <c r="Z47" i="37"/>
  <c r="BB39" i="37"/>
  <c r="AR39" i="37" s="1"/>
  <c r="P49" i="37"/>
  <c r="F49" i="37" s="1"/>
  <c r="AJ114" i="37"/>
  <c r="P114" i="37" s="1"/>
  <c r="F114" i="37" s="1"/>
  <c r="BB27" i="37"/>
  <c r="AR27" i="37" s="1"/>
  <c r="BH31" i="37" s="1"/>
  <c r="AR28" i="37"/>
  <c r="P147" i="37"/>
  <c r="AJ147" i="37" s="1"/>
  <c r="P658" i="37" a="1"/>
  <c r="P658" i="37" s="1"/>
  <c r="N501" i="37"/>
  <c r="N594" i="37"/>
  <c r="AF605" i="37"/>
  <c r="O625" i="37"/>
  <c r="AG612" i="37"/>
  <c r="AG519" i="37"/>
  <c r="AG577" i="37"/>
  <c r="AG600" i="37"/>
  <c r="AG507" i="37"/>
  <c r="O616" i="37"/>
  <c r="O602" i="37"/>
  <c r="O565" i="37"/>
  <c r="O589" i="37"/>
  <c r="AG628" i="37"/>
  <c r="O618" i="37"/>
  <c r="O525" i="37"/>
  <c r="O76" i="37"/>
  <c r="O142" i="37"/>
  <c r="O653" i="37" a="1"/>
  <c r="O653" i="37" s="1"/>
  <c r="Z36" i="37"/>
  <c r="O153" i="37"/>
  <c r="O664" i="37" a="1"/>
  <c r="O664" i="37" s="1"/>
  <c r="F42" i="37"/>
  <c r="O648" i="37" a="1"/>
  <c r="O648" i="37" s="1"/>
  <c r="O137" i="37"/>
  <c r="F26" i="37"/>
  <c r="Z53" i="37"/>
  <c r="O33" i="37"/>
  <c r="O64" i="37" s="1"/>
  <c r="O145" i="37"/>
  <c r="O656" i="37" a="1"/>
  <c r="O656" i="37" s="1"/>
  <c r="AL130" i="33"/>
  <c r="AK130" i="33"/>
  <c r="AL192" i="33"/>
  <c r="AL198" i="33" s="1"/>
  <c r="AM180" i="33"/>
  <c r="AN186" i="33" s="1"/>
  <c r="N218" i="37"/>
  <c r="E267" i="51" l="1" a="1"/>
  <c r="E267" i="51" s="1"/>
  <c r="G924" i="51" a="1"/>
  <c r="G924" i="51" s="1"/>
  <c r="C269" i="51"/>
  <c r="E265" i="51" a="1"/>
  <c r="E265" i="51" s="1"/>
  <c r="E264" i="51" a="1"/>
  <c r="E264" i="51" s="1"/>
  <c r="D449" i="51" a="1"/>
  <c r="D449" i="51" s="1"/>
  <c r="G914" i="51" a="1"/>
  <c r="G914" i="51" s="1"/>
  <c r="D480" i="51" a="1"/>
  <c r="D480" i="51" s="1"/>
  <c r="D515" i="51" a="1"/>
  <c r="D515" i="51" s="1"/>
  <c r="G910" i="51" a="1"/>
  <c r="G910" i="51" s="1"/>
  <c r="H369" i="51" a="1"/>
  <c r="H369" i="51" s="1"/>
  <c r="C369" i="51" a="1"/>
  <c r="C100" i="51" s="1"/>
  <c r="I55" i="51" a="1"/>
  <c r="I55" i="51" s="1"/>
  <c r="E55" i="51" a="1"/>
  <c r="E55" i="51" s="1"/>
  <c r="E60" i="51" s="1"/>
  <c r="E65" i="51" s="1"/>
  <c r="L264" i="51" a="1"/>
  <c r="L264" i="51" s="1"/>
  <c r="G55" i="51" a="1"/>
  <c r="G55" i="51" s="1"/>
  <c r="E369" i="51"/>
  <c r="I907" i="51"/>
  <c r="F361" i="51"/>
  <c r="F478" i="51" s="1"/>
  <c r="J423" i="51"/>
  <c r="I430" i="51"/>
  <c r="I440" i="51"/>
  <c r="M913" i="51"/>
  <c r="H634" i="51"/>
  <c r="H635" i="51" s="1"/>
  <c r="H55" i="51" a="1"/>
  <c r="D423" i="51"/>
  <c r="G913" i="51"/>
  <c r="C440" i="51"/>
  <c r="C105" i="51"/>
  <c r="C430" i="51"/>
  <c r="D369" i="51" a="1"/>
  <c r="C456" i="51" a="1"/>
  <c r="C255" i="51" a="1"/>
  <c r="C746" i="51" a="1"/>
  <c r="C746" i="51" s="1"/>
  <c r="G440" i="51"/>
  <c r="H423" i="51"/>
  <c r="G430" i="51"/>
  <c r="K913" i="51"/>
  <c r="J908" i="51"/>
  <c r="D101" i="51" s="1"/>
  <c r="G388" i="51"/>
  <c r="G479" i="51" s="1"/>
  <c r="P72" i="37"/>
  <c r="C306" i="51" a="1"/>
  <c r="I423" i="51"/>
  <c r="H440" i="51"/>
  <c r="H430" i="51"/>
  <c r="L913" i="51"/>
  <c r="F55" i="51" a="1"/>
  <c r="M908" i="51"/>
  <c r="J388" i="51"/>
  <c r="J479" i="51" s="1"/>
  <c r="D105" i="51"/>
  <c r="J913" i="51"/>
  <c r="F430" i="51"/>
  <c r="F440" i="51"/>
  <c r="G423" i="51"/>
  <c r="G634" i="51"/>
  <c r="G635" i="51" s="1"/>
  <c r="C55" i="51" a="1"/>
  <c r="E430" i="51"/>
  <c r="E440" i="51"/>
  <c r="F423" i="51"/>
  <c r="I913" i="51"/>
  <c r="D55" i="51" a="1"/>
  <c r="E423" i="51"/>
  <c r="D430" i="51"/>
  <c r="D440" i="51"/>
  <c r="H913" i="51"/>
  <c r="Z21" i="37"/>
  <c r="BH21" i="37" s="1"/>
  <c r="Z27" i="37"/>
  <c r="BH27" i="37" s="1"/>
  <c r="Z15" i="37"/>
  <c r="Z33" i="37"/>
  <c r="BH33" i="37" s="1"/>
  <c r="Z39" i="37"/>
  <c r="BH39" i="37" s="1"/>
  <c r="AH378" i="37"/>
  <c r="X378" i="37" s="1"/>
  <c r="AH622" i="37"/>
  <c r="X622" i="37" s="1"/>
  <c r="AL245" i="33"/>
  <c r="AH391" i="37"/>
  <c r="X391" i="37" s="1"/>
  <c r="I44" i="48" a="1"/>
  <c r="I44" i="48" s="1"/>
  <c r="I50" i="48" s="1"/>
  <c r="M67" i="48" s="1"/>
  <c r="K83" i="48" s="1"/>
  <c r="AH366" i="37"/>
  <c r="X366" i="37" s="1"/>
  <c r="AH390" i="37"/>
  <c r="X390" i="37" s="1"/>
  <c r="AH367" i="37"/>
  <c r="X367" i="37" s="1"/>
  <c r="AH396" i="37"/>
  <c r="X396" i="37" s="1"/>
  <c r="AH552" i="37"/>
  <c r="X552" i="37" s="1"/>
  <c r="AH506" i="37"/>
  <c r="AH505" i="37"/>
  <c r="AH551" i="37"/>
  <c r="X551" i="37" s="1"/>
  <c r="AH384" i="37"/>
  <c r="X384" i="37" s="1"/>
  <c r="AH361" i="37"/>
  <c r="AH372" i="37"/>
  <c r="AK245" i="33"/>
  <c r="AI563" i="37"/>
  <c r="AI518" i="37"/>
  <c r="AI581" i="37"/>
  <c r="AI575" i="37"/>
  <c r="AI529" i="37"/>
  <c r="AI576" i="37"/>
  <c r="AI530" i="37"/>
  <c r="AI546" i="37"/>
  <c r="AI558" i="37"/>
  <c r="AI499" i="37"/>
  <c r="AI517" i="37"/>
  <c r="AI524" i="37"/>
  <c r="AI569" i="37"/>
  <c r="AI557" i="37"/>
  <c r="AI536" i="37"/>
  <c r="AI512" i="37"/>
  <c r="AI500" i="37"/>
  <c r="AI535" i="37"/>
  <c r="AI564" i="37"/>
  <c r="AI511" i="37"/>
  <c r="AI570" i="37"/>
  <c r="AI582" i="37"/>
  <c r="AI545" i="37"/>
  <c r="AI523" i="37"/>
  <c r="AH379" i="37"/>
  <c r="AH385" i="37"/>
  <c r="AH397" i="37"/>
  <c r="AH373" i="37"/>
  <c r="X373" i="37" s="1"/>
  <c r="AH360" i="37"/>
  <c r="F44" i="48" a="1"/>
  <c r="F44" i="48" s="1"/>
  <c r="F50" i="48" s="1"/>
  <c r="J67" i="48" s="1"/>
  <c r="H83" i="48" s="1"/>
  <c r="C44" i="48" a="1"/>
  <c r="C44" i="48" s="1"/>
  <c r="C50" i="48" s="1"/>
  <c r="G67" i="48" s="1"/>
  <c r="E83" i="48" s="1"/>
  <c r="I17" i="48"/>
  <c r="M69" i="48" s="1"/>
  <c r="K85" i="48" s="1"/>
  <c r="D7" i="48" a="1"/>
  <c r="D44" i="48" a="1"/>
  <c r="D44" i="48" s="1"/>
  <c r="D50" i="48" s="1"/>
  <c r="H67" i="48" s="1"/>
  <c r="F83" i="48" s="1"/>
  <c r="E7" i="48" a="1"/>
  <c r="G44" i="48" a="1"/>
  <c r="G44" i="48" s="1"/>
  <c r="G50" i="48" s="1"/>
  <c r="K67" i="48" s="1"/>
  <c r="I83" i="48" s="1"/>
  <c r="H7" i="48" a="1"/>
  <c r="F17" i="48"/>
  <c r="J69" i="48" s="1"/>
  <c r="H85" i="48" s="1"/>
  <c r="H44" i="48" a="1"/>
  <c r="H44" i="48" s="1"/>
  <c r="H50" i="48" s="1"/>
  <c r="L67" i="48" s="1"/>
  <c r="J83" i="48" s="1"/>
  <c r="E44" i="48" a="1"/>
  <c r="E44" i="48" s="1"/>
  <c r="E50" i="48" s="1"/>
  <c r="I67" i="48" s="1"/>
  <c r="G83" i="48" s="1"/>
  <c r="C7" i="48" a="1"/>
  <c r="G75" i="48" a="1"/>
  <c r="G75" i="48" s="1"/>
  <c r="M838" i="37"/>
  <c r="M944" i="37" s="1"/>
  <c r="EO33" i="28"/>
  <c r="FT33" i="28" s="1"/>
  <c r="EO35" i="28"/>
  <c r="FT35" i="28" s="1"/>
  <c r="P363" i="37"/>
  <c r="F363" i="37" s="1"/>
  <c r="L821" i="37"/>
  <c r="CR32" i="28"/>
  <c r="FT31" i="28"/>
  <c r="FT32" i="28"/>
  <c r="P393" i="37"/>
  <c r="F393" i="37" s="1"/>
  <c r="P379" i="37"/>
  <c r="F379" i="37" s="1"/>
  <c r="AH382" i="37"/>
  <c r="X382" i="37" s="1"/>
  <c r="AH381" i="37"/>
  <c r="X381" i="37" s="1"/>
  <c r="P376" i="37"/>
  <c r="F376" i="37" s="1"/>
  <c r="AH363" i="37"/>
  <c r="X363" i="37" s="1"/>
  <c r="P383" i="37"/>
  <c r="F383" i="37" s="1"/>
  <c r="P794" i="37"/>
  <c r="P793" i="37" s="1"/>
  <c r="P792" i="37" s="1"/>
  <c r="P381" i="37"/>
  <c r="F381" i="37" s="1"/>
  <c r="P365" i="37"/>
  <c r="F365" i="37" s="1"/>
  <c r="M828" i="37"/>
  <c r="N756" i="37"/>
  <c r="N816" i="37" s="1"/>
  <c r="N822" i="37" s="1"/>
  <c r="P786" i="37"/>
  <c r="P785" i="37" s="1"/>
  <c r="P784" i="37" s="1"/>
  <c r="M839" i="37"/>
  <c r="AE806" i="37"/>
  <c r="M849" i="37"/>
  <c r="M841" i="37"/>
  <c r="AF805" i="37"/>
  <c r="N831" i="37"/>
  <c r="N930" i="37" s="1"/>
  <c r="N834" i="37"/>
  <c r="N868" i="37"/>
  <c r="N836" i="37"/>
  <c r="N833" i="37"/>
  <c r="N832" i="37"/>
  <c r="M843" i="37"/>
  <c r="M840" i="37"/>
  <c r="M869" i="37"/>
  <c r="AF808" i="37"/>
  <c r="N853" i="37"/>
  <c r="N854" i="37"/>
  <c r="N852" i="37"/>
  <c r="N972" i="37" s="1"/>
  <c r="N857" i="37"/>
  <c r="N871" i="37"/>
  <c r="N855" i="37"/>
  <c r="O793" i="37"/>
  <c r="AG386" i="37"/>
  <c r="AG356" i="37"/>
  <c r="N755" i="37"/>
  <c r="N809" i="37" s="1"/>
  <c r="P774" i="37"/>
  <c r="P773" i="37" s="1"/>
  <c r="P772" i="37" s="1"/>
  <c r="P371" i="37"/>
  <c r="F371" i="37" s="1"/>
  <c r="P397" i="37"/>
  <c r="P382" i="37"/>
  <c r="P395" i="37"/>
  <c r="F395" i="37" s="1"/>
  <c r="AH369" i="37"/>
  <c r="X369" i="37" s="1"/>
  <c r="P364" i="37"/>
  <c r="F364" i="37" s="1"/>
  <c r="P929" i="37" a="1"/>
  <c r="P929" i="37" s="1"/>
  <c r="V929" i="37" s="1"/>
  <c r="AH364" i="37"/>
  <c r="P790" i="37"/>
  <c r="AG362" i="37"/>
  <c r="AH387" i="37"/>
  <c r="X387" i="37" s="1"/>
  <c r="P388" i="37"/>
  <c r="F388" i="37" s="1"/>
  <c r="CR30" i="28"/>
  <c r="P971" i="37" a="1"/>
  <c r="P971" i="37" s="1"/>
  <c r="V971" i="37" s="1"/>
  <c r="P394" i="37"/>
  <c r="P370" i="37"/>
  <c r="F370" i="37" s="1"/>
  <c r="P887" i="37" a="1"/>
  <c r="P887" i="37" s="1"/>
  <c r="V887" i="37" s="1"/>
  <c r="AH370" i="37"/>
  <c r="P358" i="37"/>
  <c r="F358" i="37" s="1"/>
  <c r="P782" i="37"/>
  <c r="P390" i="37"/>
  <c r="P385" i="37"/>
  <c r="P372" i="37"/>
  <c r="FS33" i="28"/>
  <c r="CQ33" i="28"/>
  <c r="N776" i="37"/>
  <c r="AH365" i="37"/>
  <c r="X365" i="37" s="1"/>
  <c r="AH359" i="37"/>
  <c r="X359" i="37" s="1"/>
  <c r="P943" i="37" a="1"/>
  <c r="P943" i="37" s="1"/>
  <c r="V943" i="37" s="1"/>
  <c r="P384" i="37"/>
  <c r="F384" i="37" s="1"/>
  <c r="P957" i="37" a="1"/>
  <c r="P957" i="37" s="1"/>
  <c r="V957" i="37" s="1"/>
  <c r="P778" i="37"/>
  <c r="P777" i="37" s="1"/>
  <c r="P776" i="37" s="1"/>
  <c r="P396" i="37"/>
  <c r="F396" i="37" s="1"/>
  <c r="P357" i="37"/>
  <c r="F357" i="37" s="1"/>
  <c r="AG374" i="37"/>
  <c r="O356" i="37"/>
  <c r="O773" i="37"/>
  <c r="CR29" i="28"/>
  <c r="P391" i="37"/>
  <c r="AH357" i="37"/>
  <c r="X357" i="37" s="1"/>
  <c r="CR28" i="28"/>
  <c r="AH394" i="37"/>
  <c r="P901" i="37" a="1"/>
  <c r="P901" i="37" s="1"/>
  <c r="V901" i="37" s="1"/>
  <c r="P361" i="37"/>
  <c r="F361" i="37" s="1"/>
  <c r="P915" i="37" a="1"/>
  <c r="P915" i="37" s="1"/>
  <c r="V915" i="37" s="1"/>
  <c r="P389" i="37"/>
  <c r="AH389" i="37"/>
  <c r="AH388" i="37"/>
  <c r="AG368" i="37"/>
  <c r="O380" i="37"/>
  <c r="O759" i="37" s="1"/>
  <c r="O837" i="37" s="1"/>
  <c r="O869" i="37" s="1"/>
  <c r="FT28" i="28"/>
  <c r="P366" i="37"/>
  <c r="AH383" i="37"/>
  <c r="O386" i="37"/>
  <c r="O785" i="37"/>
  <c r="AH377" i="37"/>
  <c r="P360" i="37"/>
  <c r="P367" i="37"/>
  <c r="P378" i="37"/>
  <c r="AH375" i="37"/>
  <c r="P375" i="37"/>
  <c r="P377" i="37"/>
  <c r="AH393" i="37"/>
  <c r="X393" i="37" s="1"/>
  <c r="AH358" i="37"/>
  <c r="O392" i="37"/>
  <c r="CR31" i="28"/>
  <c r="O362" i="37"/>
  <c r="AH371" i="37"/>
  <c r="AG392" i="37"/>
  <c r="P387" i="37"/>
  <c r="F387" i="37" s="1"/>
  <c r="P770" i="37"/>
  <c r="P769" i="37" s="1"/>
  <c r="V769" i="37" s="1"/>
  <c r="AH376" i="37"/>
  <c r="AH395" i="37"/>
  <c r="P373" i="37"/>
  <c r="P369" i="37"/>
  <c r="P359" i="37"/>
  <c r="AG380" i="37"/>
  <c r="O374" i="37"/>
  <c r="O368" i="37"/>
  <c r="BZ42" i="37"/>
  <c r="BZ48" i="37"/>
  <c r="BD31" i="37"/>
  <c r="BD55" i="37"/>
  <c r="BZ49" i="37"/>
  <c r="BD49" i="37"/>
  <c r="BD38" i="37"/>
  <c r="BZ15" i="37"/>
  <c r="EP32" i="28" s="1"/>
  <c r="BZ22" i="37"/>
  <c r="BZ38" i="37"/>
  <c r="BZ40" i="37"/>
  <c r="BD25" i="37"/>
  <c r="BZ31" i="37"/>
  <c r="BZ27" i="37"/>
  <c r="BD44" i="37"/>
  <c r="BD26" i="37"/>
  <c r="BD19" i="37"/>
  <c r="BZ46" i="37"/>
  <c r="BZ29" i="37"/>
  <c r="BZ43" i="37"/>
  <c r="BZ54" i="37"/>
  <c r="BZ37" i="37"/>
  <c r="BZ53" i="37"/>
  <c r="BZ21" i="37"/>
  <c r="BD20" i="37"/>
  <c r="BZ52" i="37"/>
  <c r="BZ35" i="37"/>
  <c r="BZ47" i="37"/>
  <c r="BZ56" i="37"/>
  <c r="BZ16" i="37"/>
  <c r="BZ45" i="37"/>
  <c r="BZ51" i="37"/>
  <c r="BZ33" i="37"/>
  <c r="BZ23" i="37"/>
  <c r="BZ30" i="37"/>
  <c r="BZ26" i="37"/>
  <c r="BZ50" i="37"/>
  <c r="BZ55" i="37"/>
  <c r="BZ17" i="37"/>
  <c r="BZ28" i="37"/>
  <c r="BZ25" i="37"/>
  <c r="BD56" i="37"/>
  <c r="BZ20" i="37"/>
  <c r="FU29" i="28" s="1"/>
  <c r="BZ41" i="37"/>
  <c r="BZ19" i="37"/>
  <c r="FU30" i="28" s="1"/>
  <c r="BZ44" i="37"/>
  <c r="BZ36" i="37"/>
  <c r="BZ39" i="37"/>
  <c r="BD50" i="37"/>
  <c r="BZ24" i="37"/>
  <c r="BD32" i="37"/>
  <c r="BZ34" i="37"/>
  <c r="BD43" i="37"/>
  <c r="BD37" i="37"/>
  <c r="BZ32" i="37"/>
  <c r="BZ18" i="37"/>
  <c r="AL176" i="33"/>
  <c r="F19" i="37"/>
  <c r="BH35" i="37"/>
  <c r="AY146" i="37" s="1"/>
  <c r="BH36" i="37"/>
  <c r="AW147" i="37" s="1"/>
  <c r="X530" i="37"/>
  <c r="P620" i="37"/>
  <c r="F620" i="37" s="1"/>
  <c r="V779" i="37"/>
  <c r="P76" i="37"/>
  <c r="P88" i="37"/>
  <c r="P84" i="37"/>
  <c r="P73" i="37"/>
  <c r="P207" i="37" a="1"/>
  <c r="P207" i="37" s="1"/>
  <c r="F207" i="37" s="1"/>
  <c r="BH24" i="37"/>
  <c r="AW135" i="37" s="1"/>
  <c r="AH126" i="37"/>
  <c r="O617" i="37"/>
  <c r="BH22" i="37"/>
  <c r="AT133" i="37" s="1"/>
  <c r="AG596" i="37"/>
  <c r="BH53" i="37"/>
  <c r="AU164" i="37" s="1"/>
  <c r="P78" i="37"/>
  <c r="F135" i="37"/>
  <c r="P210" i="37" a="1"/>
  <c r="P210" i="37" s="1"/>
  <c r="F210" i="37" s="1"/>
  <c r="BH52" i="37"/>
  <c r="AZ163" i="37" s="1"/>
  <c r="BH28" i="37"/>
  <c r="AY139" i="37" s="1"/>
  <c r="AY142" i="37"/>
  <c r="Z135" i="37"/>
  <c r="O673" i="37"/>
  <c r="N593" i="37"/>
  <c r="AG623" i="37"/>
  <c r="AH138" i="37"/>
  <c r="AZ142" i="37" s="1"/>
  <c r="P222" i="37" a="1"/>
  <c r="P222" i="37" s="1"/>
  <c r="F222" i="37" s="1"/>
  <c r="AH626" i="37"/>
  <c r="X626" i="37" s="1"/>
  <c r="M814" i="37"/>
  <c r="AH603" i="37"/>
  <c r="X603" i="37" s="1"/>
  <c r="AG605" i="37"/>
  <c r="AG587" i="37"/>
  <c r="P917" i="37"/>
  <c r="F917" i="37" s="1"/>
  <c r="P592" i="37"/>
  <c r="F592" i="37" s="1"/>
  <c r="P625" i="37"/>
  <c r="F625" i="37" s="1"/>
  <c r="BH18" i="37"/>
  <c r="AX129" i="37" s="1"/>
  <c r="P627" i="37"/>
  <c r="F627" i="37" s="1"/>
  <c r="AT137" i="37"/>
  <c r="AU137" i="37"/>
  <c r="AV137" i="37"/>
  <c r="AW137" i="37"/>
  <c r="AY137" i="37"/>
  <c r="AX137" i="37"/>
  <c r="AH132" i="37"/>
  <c r="O156" i="37"/>
  <c r="AI157" i="37"/>
  <c r="P151" i="37"/>
  <c r="P39" i="37"/>
  <c r="F39" i="37" s="1"/>
  <c r="P662" i="37" a="1"/>
  <c r="P662" i="37" s="1"/>
  <c r="O655" i="37"/>
  <c r="BH42" i="37"/>
  <c r="AI131" i="37"/>
  <c r="Z131" i="37" s="1"/>
  <c r="F131" i="37"/>
  <c r="V783" i="37"/>
  <c r="P647" i="37" a="1"/>
  <c r="P647" i="37" s="1"/>
  <c r="P136" i="37"/>
  <c r="AI165" i="37"/>
  <c r="Z165" i="37" s="1"/>
  <c r="F165" i="37"/>
  <c r="BC51" i="37"/>
  <c r="Q201" i="37" a="1"/>
  <c r="Q201" i="37" s="1"/>
  <c r="Q183" i="37" a="1"/>
  <c r="Q183" i="37" s="1"/>
  <c r="Q189" i="37" a="1"/>
  <c r="Q189" i="37" s="1"/>
  <c r="Q220" i="37" a="1"/>
  <c r="Q220" i="37" s="1"/>
  <c r="Q203" i="37" a="1"/>
  <c r="Q203" i="37" s="1"/>
  <c r="Q205" i="37" a="1"/>
  <c r="Q205" i="37" s="1"/>
  <c r="Q190" i="37" a="1"/>
  <c r="Q190" i="37" s="1"/>
  <c r="Q185" i="37" a="1"/>
  <c r="Q185" i="37" s="1"/>
  <c r="Q196" i="37" a="1"/>
  <c r="Q196" i="37" s="1"/>
  <c r="Q197" i="37" a="1"/>
  <c r="Q197" i="37" s="1"/>
  <c r="Q204" i="37" a="1"/>
  <c r="Q204" i="37" s="1"/>
  <c r="Q191" i="37" a="1"/>
  <c r="Q191" i="37" s="1"/>
  <c r="Q198" i="37" a="1"/>
  <c r="Q198" i="37" s="1"/>
  <c r="Q186" i="37" a="1"/>
  <c r="Q186" i="37" s="1"/>
  <c r="Q184" i="37" a="1"/>
  <c r="Q184" i="37" s="1"/>
  <c r="Q202" i="37" a="1"/>
  <c r="Q202" i="37" s="1"/>
  <c r="Q195" i="37" a="1"/>
  <c r="Q195" i="37" s="1"/>
  <c r="Q223" i="37" a="1"/>
  <c r="Q223" i="37" s="1"/>
  <c r="Q199" i="37" a="1"/>
  <c r="Q199" i="37" s="1"/>
  <c r="Q192" i="37" a="1"/>
  <c r="Q192" i="37" s="1"/>
  <c r="Q215" i="37" a="1"/>
  <c r="Q215" i="37" s="1"/>
  <c r="Q187" i="37" a="1"/>
  <c r="Q187" i="37" s="1"/>
  <c r="Q221" i="37" a="1"/>
  <c r="Q221" i="37" s="1"/>
  <c r="Q193" i="37" a="1"/>
  <c r="Q193" i="37" s="1"/>
  <c r="Q217" i="37" a="1"/>
  <c r="Q217" i="37" s="1"/>
  <c r="Q31" i="37"/>
  <c r="Q222" i="37" s="1" a="1"/>
  <c r="Q222" i="37" s="1"/>
  <c r="AK111" i="37"/>
  <c r="Q111" i="37" s="1"/>
  <c r="BC45" i="37"/>
  <c r="Q143" i="37"/>
  <c r="AK143" i="37" s="1"/>
  <c r="Q654" i="37" a="1"/>
  <c r="Q654" i="37" s="1"/>
  <c r="Q658" i="37" a="1"/>
  <c r="Q658" i="37" s="1"/>
  <c r="Q147" i="37"/>
  <c r="AK147" i="37" s="1"/>
  <c r="P200" i="37"/>
  <c r="F200" i="37" s="1"/>
  <c r="BH17" i="37"/>
  <c r="AG597" i="37"/>
  <c r="BH34" i="37"/>
  <c r="AY145" i="37" s="1"/>
  <c r="P610" i="37"/>
  <c r="F610" i="37" s="1"/>
  <c r="F518" i="37"/>
  <c r="AH606" i="37"/>
  <c r="AH513" i="37"/>
  <c r="X513" i="37" s="1"/>
  <c r="AH620" i="37"/>
  <c r="X620" i="37" s="1"/>
  <c r="AH541" i="37"/>
  <c r="X541" i="37" s="1"/>
  <c r="P541" i="37"/>
  <c r="C568" i="51" s="1" a="1"/>
  <c r="C568" i="51" s="1"/>
  <c r="C578" i="51" s="1"/>
  <c r="C161" i="51" s="1" a="1"/>
  <c r="C161" i="51" s="1"/>
  <c r="P607" i="37"/>
  <c r="F607" i="37" s="1"/>
  <c r="AH571" i="37"/>
  <c r="X571" i="37" s="1"/>
  <c r="X572" i="37"/>
  <c r="P615" i="37"/>
  <c r="F615" i="37" s="1"/>
  <c r="AH612" i="37"/>
  <c r="X612" i="37" s="1"/>
  <c r="AH519" i="37"/>
  <c r="X519" i="37" s="1"/>
  <c r="X520" i="37"/>
  <c r="M817" i="37"/>
  <c r="M902" i="37" s="1"/>
  <c r="AE803" i="37"/>
  <c r="M818" i="37"/>
  <c r="M822" i="37"/>
  <c r="M819" i="37"/>
  <c r="M820" i="37"/>
  <c r="M866" i="37"/>
  <c r="O599" i="37"/>
  <c r="F25" i="37"/>
  <c r="P166" i="37"/>
  <c r="AJ166" i="37" s="1"/>
  <c r="P677" i="37" a="1"/>
  <c r="P677" i="37" s="1"/>
  <c r="P127" i="37"/>
  <c r="P15" i="37"/>
  <c r="P638" i="37" a="1"/>
  <c r="P638" i="37" s="1"/>
  <c r="F16" i="37"/>
  <c r="P139" i="37"/>
  <c r="F139" i="37" s="1"/>
  <c r="P27" i="37"/>
  <c r="F27" i="37" s="1"/>
  <c r="P650" i="37" a="1"/>
  <c r="P650" i="37" s="1"/>
  <c r="F28" i="37"/>
  <c r="P157" i="37"/>
  <c r="P45" i="37"/>
  <c r="P66" i="37" s="1"/>
  <c r="P668" i="37" a="1"/>
  <c r="P668" i="37" s="1"/>
  <c r="F46" i="37"/>
  <c r="Z45" i="37"/>
  <c r="BH45" i="37" s="1"/>
  <c r="P155" i="37"/>
  <c r="P666" i="37" a="1"/>
  <c r="P666" i="37" s="1"/>
  <c r="F44" i="37"/>
  <c r="AI146" i="37"/>
  <c r="Z146" i="37" s="1"/>
  <c r="F146" i="37"/>
  <c r="Q55" i="37"/>
  <c r="Q88" i="37" s="1"/>
  <c r="AK115" i="37"/>
  <c r="Q115" i="37" s="1"/>
  <c r="Q37" i="37"/>
  <c r="Q85" i="37" s="1"/>
  <c r="AK112" i="37"/>
  <c r="Q112" i="37" s="1"/>
  <c r="Q676" i="37" a="1"/>
  <c r="Q676" i="37" s="1"/>
  <c r="Q165" i="37"/>
  <c r="AK165" i="37" s="1"/>
  <c r="Q646" i="37" a="1"/>
  <c r="Q646" i="37" s="1"/>
  <c r="Q135" i="37"/>
  <c r="AK135" i="37" s="1"/>
  <c r="Q664" i="37" a="1"/>
  <c r="Q664" i="37" s="1"/>
  <c r="Q153" i="37"/>
  <c r="AK153" i="37" s="1"/>
  <c r="P188" i="37"/>
  <c r="F188" i="37" s="1"/>
  <c r="AH150" i="37"/>
  <c r="AG595" i="37"/>
  <c r="P959" i="37"/>
  <c r="V959" i="37" s="1"/>
  <c r="AH592" i="37"/>
  <c r="X592" i="37" s="1"/>
  <c r="P931" i="37"/>
  <c r="V931" i="37" s="1"/>
  <c r="AH610" i="37"/>
  <c r="X610" i="37" s="1"/>
  <c r="AH608" i="37"/>
  <c r="X608" i="37" s="1"/>
  <c r="AH591" i="37"/>
  <c r="X591" i="37" s="1"/>
  <c r="AH615" i="37"/>
  <c r="X615" i="37" s="1"/>
  <c r="X523" i="37"/>
  <c r="P621" i="37"/>
  <c r="F621" i="37" s="1"/>
  <c r="P624" i="37"/>
  <c r="P531" i="37"/>
  <c r="I554" i="51" s="1" a="1"/>
  <c r="V775" i="37"/>
  <c r="Q96" i="37"/>
  <c r="BH49" i="37"/>
  <c r="AY160" i="37" s="1"/>
  <c r="BH20" i="37"/>
  <c r="BH40" i="37"/>
  <c r="BH55" i="37"/>
  <c r="AZ166" i="37" s="1"/>
  <c r="O62" i="37"/>
  <c r="AI145" i="37"/>
  <c r="O144" i="37"/>
  <c r="AI153" i="37"/>
  <c r="Z153" i="37" s="1"/>
  <c r="F153" i="37"/>
  <c r="P160" i="37"/>
  <c r="P671" i="37" a="1"/>
  <c r="P671" i="37" s="1"/>
  <c r="P77" i="37"/>
  <c r="BH44" i="37"/>
  <c r="AI140" i="37"/>
  <c r="Z140" i="37" s="1"/>
  <c r="F140" i="37"/>
  <c r="P87" i="37"/>
  <c r="V787" i="37"/>
  <c r="P654" i="37" a="1"/>
  <c r="P654" i="37" s="1"/>
  <c r="P143" i="37"/>
  <c r="F32" i="37"/>
  <c r="Q19" i="37"/>
  <c r="Q82" i="37" s="1"/>
  <c r="AK109" i="37"/>
  <c r="Q109" i="37" s="1"/>
  <c r="Q43" i="37"/>
  <c r="Q86" i="37" s="1"/>
  <c r="AK113" i="37"/>
  <c r="Q113" i="37" s="1"/>
  <c r="Q779" i="37"/>
  <c r="Q771" i="37"/>
  <c r="Q783" i="37"/>
  <c r="Q791" i="37"/>
  <c r="Q795" i="37"/>
  <c r="Q787" i="37"/>
  <c r="Q775" i="37"/>
  <c r="FT59" i="28"/>
  <c r="Q657" i="37" a="1"/>
  <c r="Q657" i="37" s="1"/>
  <c r="Q146" i="37"/>
  <c r="AK146" i="37" s="1"/>
  <c r="Q22" i="37"/>
  <c r="Q213" i="37" s="1" a="1"/>
  <c r="Q213" i="37" s="1"/>
  <c r="AK21" i="37"/>
  <c r="AK188" i="37"/>
  <c r="AK189" i="37"/>
  <c r="AK187" i="37"/>
  <c r="Q167" i="37"/>
  <c r="AK167" i="37" s="1"/>
  <c r="Q678" i="37" a="1"/>
  <c r="Q678" i="37" s="1"/>
  <c r="Q652" i="37" a="1"/>
  <c r="Q652" i="37" s="1"/>
  <c r="Q141" i="37"/>
  <c r="AK141" i="37" s="1"/>
  <c r="AI166" i="37"/>
  <c r="AG594" i="37"/>
  <c r="AG501" i="37"/>
  <c r="O637" i="37"/>
  <c r="AZ165" i="37"/>
  <c r="P145" i="37"/>
  <c r="P33" i="37"/>
  <c r="P64" i="37" s="1"/>
  <c r="F64" i="37" s="1"/>
  <c r="P656" i="37" a="1"/>
  <c r="P656" i="37" s="1"/>
  <c r="F34" i="37"/>
  <c r="V795" i="37"/>
  <c r="O623" i="37"/>
  <c r="O67" i="37"/>
  <c r="P675" i="37" a="1"/>
  <c r="P675" i="37" s="1"/>
  <c r="P164" i="37"/>
  <c r="AJ164" i="37" s="1"/>
  <c r="BH56" i="37"/>
  <c r="AY167" i="37" s="1"/>
  <c r="P973" i="37"/>
  <c r="V973" i="37" s="1"/>
  <c r="AH614" i="37"/>
  <c r="X614" i="37" s="1"/>
  <c r="AH604" i="37"/>
  <c r="X604" i="37" s="1"/>
  <c r="AH602" i="37"/>
  <c r="X602" i="37" s="1"/>
  <c r="X510" i="37"/>
  <c r="AH628" i="37"/>
  <c r="X628" i="37" s="1"/>
  <c r="X536" i="37"/>
  <c r="AH589" i="37"/>
  <c r="X589" i="37" s="1"/>
  <c r="P945" i="37"/>
  <c r="V945" i="37" s="1"/>
  <c r="AH621" i="37"/>
  <c r="X621" i="37" s="1"/>
  <c r="P507" i="37"/>
  <c r="E554" i="51" s="1" a="1"/>
  <c r="P600" i="37"/>
  <c r="F508" i="37"/>
  <c r="AH144" i="37"/>
  <c r="BH47" i="37"/>
  <c r="AY158" i="37" s="1"/>
  <c r="P83" i="37"/>
  <c r="AI142" i="37"/>
  <c r="AG611" i="37"/>
  <c r="AT142" i="37"/>
  <c r="AV142" i="37"/>
  <c r="AU142" i="37"/>
  <c r="AX142" i="37"/>
  <c r="AW142" i="37"/>
  <c r="AY148" i="37"/>
  <c r="O667" i="37"/>
  <c r="N824" i="37"/>
  <c r="N916" i="37" s="1"/>
  <c r="N826" i="37"/>
  <c r="N829" i="37"/>
  <c r="N867" i="37"/>
  <c r="AF804" i="37"/>
  <c r="N825" i="37"/>
  <c r="N827" i="37"/>
  <c r="AI161" i="37"/>
  <c r="Z161" i="37" s="1"/>
  <c r="F161" i="37"/>
  <c r="Q666" i="37" a="1"/>
  <c r="Q666" i="37" s="1"/>
  <c r="Q155" i="37"/>
  <c r="AK155" i="37" s="1"/>
  <c r="AL95" i="37"/>
  <c r="AL100" i="37"/>
  <c r="AL97" i="37"/>
  <c r="R97" i="37" s="1"/>
  <c r="AL99" i="37"/>
  <c r="R99" i="37" s="1"/>
  <c r="AL30" i="37"/>
  <c r="AL98" i="37"/>
  <c r="R98" i="37" s="1"/>
  <c r="AL38" i="37"/>
  <c r="R38" i="37" s="1"/>
  <c r="AL36" i="37"/>
  <c r="AL94" i="37"/>
  <c r="R94" i="37" s="1"/>
  <c r="BD46" i="37"/>
  <c r="AL55" i="37"/>
  <c r="AL23" i="37"/>
  <c r="R23" i="37" s="1"/>
  <c r="BT59" i="28"/>
  <c r="FG59" i="28" s="1" a="1"/>
  <c r="FG59" i="28" s="1"/>
  <c r="BD52" i="37"/>
  <c r="BD34" i="37"/>
  <c r="AL18" i="37"/>
  <c r="R18" i="37" s="1"/>
  <c r="AL44" i="37"/>
  <c r="R44" i="37" s="1"/>
  <c r="AL40" i="37"/>
  <c r="BD28" i="37"/>
  <c r="AL20" i="37"/>
  <c r="R20" i="37" s="1"/>
  <c r="BD40" i="37"/>
  <c r="AL34" i="37"/>
  <c r="AL96" i="37"/>
  <c r="AL42" i="37"/>
  <c r="AL53" i="37"/>
  <c r="R53" i="37" s="1"/>
  <c r="AL46" i="37"/>
  <c r="AL49" i="37"/>
  <c r="AL43" i="37"/>
  <c r="BD16" i="37"/>
  <c r="AL17" i="37"/>
  <c r="R17" i="37" s="1"/>
  <c r="AL26" i="37"/>
  <c r="R26" i="37" s="1"/>
  <c r="AL41" i="37"/>
  <c r="AL32" i="37"/>
  <c r="AL25" i="37"/>
  <c r="AL35" i="37"/>
  <c r="AL28" i="37"/>
  <c r="AL52" i="37"/>
  <c r="DG59" i="28"/>
  <c r="AL19" i="37"/>
  <c r="AL56" i="37"/>
  <c r="R56" i="37" s="1"/>
  <c r="AL48" i="37"/>
  <c r="R48" i="37" s="1"/>
  <c r="AL54" i="37"/>
  <c r="R54" i="37" s="1"/>
  <c r="AL16" i="37"/>
  <c r="AL22" i="37"/>
  <c r="AL37" i="37"/>
  <c r="AL24" i="37"/>
  <c r="R24" i="37" s="1"/>
  <c r="HA59" i="28"/>
  <c r="AL50" i="37"/>
  <c r="R50" i="37" s="1"/>
  <c r="AL47" i="37"/>
  <c r="BD18" i="37"/>
  <c r="BD47" i="37"/>
  <c r="BD35" i="37"/>
  <c r="BD36" i="37"/>
  <c r="BD17" i="37"/>
  <c r="AL31" i="37"/>
  <c r="BD41" i="37"/>
  <c r="BD22" i="37"/>
  <c r="BD53" i="37"/>
  <c r="AL29" i="37"/>
  <c r="R29" i="37" s="1"/>
  <c r="BD30" i="37"/>
  <c r="BD24" i="37"/>
  <c r="BD54" i="37"/>
  <c r="BD23" i="37"/>
  <c r="BD42" i="37"/>
  <c r="BD48" i="37"/>
  <c r="BD29" i="37"/>
  <c r="Q34" i="37"/>
  <c r="AK33" i="37"/>
  <c r="AK195" i="37"/>
  <c r="AK196" i="37"/>
  <c r="AK197" i="37"/>
  <c r="Q660" i="37" a="1"/>
  <c r="Q660" i="37" s="1"/>
  <c r="Q149" i="37"/>
  <c r="AK149" i="37" s="1"/>
  <c r="Q159" i="37"/>
  <c r="AK159" i="37" s="1"/>
  <c r="Q670" i="37" a="1"/>
  <c r="Q670" i="37" s="1"/>
  <c r="P216" i="37" a="1"/>
  <c r="P216" i="37" s="1"/>
  <c r="F216" i="37" s="1"/>
  <c r="AI159" i="37"/>
  <c r="Z159" i="37" s="1"/>
  <c r="F159" i="37"/>
  <c r="AG598" i="37"/>
  <c r="AI127" i="37"/>
  <c r="O126" i="37"/>
  <c r="Q98" i="37"/>
  <c r="P678" i="37" a="1"/>
  <c r="P678" i="37" s="1"/>
  <c r="P167" i="37"/>
  <c r="F56" i="37"/>
  <c r="BH32" i="37"/>
  <c r="P604" i="37"/>
  <c r="F604" i="37" s="1"/>
  <c r="F512" i="37"/>
  <c r="P628" i="37"/>
  <c r="F628" i="37" s="1"/>
  <c r="P565" i="37"/>
  <c r="P547" i="37"/>
  <c r="P577" i="37"/>
  <c r="AH609" i="37"/>
  <c r="X609" i="37" s="1"/>
  <c r="P613" i="37"/>
  <c r="F613" i="37" s="1"/>
  <c r="AH577" i="37"/>
  <c r="X577" i="37" s="1"/>
  <c r="AH627" i="37"/>
  <c r="X627" i="37" s="1"/>
  <c r="X535" i="37"/>
  <c r="BH41" i="37"/>
  <c r="X518" i="37"/>
  <c r="F201" i="37"/>
  <c r="Q526" i="37"/>
  <c r="Q496" i="37"/>
  <c r="AI560" i="37"/>
  <c r="Q532" i="37"/>
  <c r="AI520" i="37"/>
  <c r="AI526" i="37"/>
  <c r="AI534" i="37"/>
  <c r="Q517" i="37"/>
  <c r="AI521" i="37"/>
  <c r="Q534" i="37"/>
  <c r="Q572" i="37"/>
  <c r="Q514" i="37"/>
  <c r="Q542" i="37"/>
  <c r="AI542" i="37"/>
  <c r="AI532" i="37"/>
  <c r="Q521" i="37"/>
  <c r="Q520" i="37"/>
  <c r="Q497" i="37"/>
  <c r="Q499" i="37"/>
  <c r="Q529" i="37"/>
  <c r="Q946" i="37" a="1"/>
  <c r="Q946" i="37" s="1"/>
  <c r="Q974" i="37" a="1"/>
  <c r="Q974" i="37" s="1"/>
  <c r="AI533" i="37"/>
  <c r="AI514" i="37"/>
  <c r="AI516" i="37"/>
  <c r="Q566" i="37"/>
  <c r="Q960" i="37" a="1"/>
  <c r="Q960" i="37" s="1"/>
  <c r="Q524" i="37"/>
  <c r="AI554" i="37"/>
  <c r="Q535" i="37"/>
  <c r="Q578" i="37"/>
  <c r="AI566" i="37"/>
  <c r="Q509" i="37"/>
  <c r="AI578" i="37"/>
  <c r="Q508" i="37"/>
  <c r="Q918" i="37" a="1"/>
  <c r="Q918" i="37" s="1"/>
  <c r="Q500" i="37"/>
  <c r="AI572" i="37"/>
  <c r="Q560" i="37"/>
  <c r="Q522" i="37"/>
  <c r="AI528" i="37"/>
  <c r="AI496" i="37"/>
  <c r="Q548" i="37"/>
  <c r="AI508" i="37"/>
  <c r="Q932" i="37" a="1"/>
  <c r="Q932" i="37" s="1"/>
  <c r="DU59" i="28"/>
  <c r="Q536" i="37"/>
  <c r="Q554" i="37"/>
  <c r="Q890" i="37" a="1"/>
  <c r="Q890" i="37" s="1"/>
  <c r="Q498" i="37"/>
  <c r="Q510" i="37"/>
  <c r="AI515" i="37"/>
  <c r="Q576" i="37"/>
  <c r="Q891" i="37"/>
  <c r="AI498" i="37"/>
  <c r="Q515" i="37"/>
  <c r="AI579" i="37"/>
  <c r="Q569" i="37"/>
  <c r="Q512" i="37"/>
  <c r="Q516" i="37"/>
  <c r="Q919" i="37"/>
  <c r="Q546" i="37"/>
  <c r="Q933" i="37"/>
  <c r="Q892" i="37" a="1"/>
  <c r="Q892" i="37" s="1"/>
  <c r="AI573" i="37"/>
  <c r="Q550" i="37"/>
  <c r="Q975" i="37"/>
  <c r="Q579" i="37"/>
  <c r="Q573" i="37"/>
  <c r="Q523" i="37"/>
  <c r="Q574" i="37"/>
  <c r="Q530" i="37"/>
  <c r="Q545" i="37"/>
  <c r="Q544" i="37"/>
  <c r="Q556" i="37"/>
  <c r="Q555" i="37"/>
  <c r="Q575" i="37"/>
  <c r="Q947" i="37"/>
  <c r="Q567" i="37"/>
  <c r="AI561" i="37"/>
  <c r="Q581" i="37"/>
  <c r="AI574" i="37"/>
  <c r="AI543" i="37"/>
  <c r="Q570" i="37"/>
  <c r="AI562" i="37"/>
  <c r="Q558" i="37"/>
  <c r="AI556" i="37"/>
  <c r="AI527" i="37"/>
  <c r="Q551" i="37"/>
  <c r="Q580" i="37"/>
  <c r="Q511" i="37"/>
  <c r="Q564" i="37"/>
  <c r="AI544" i="37"/>
  <c r="Q528" i="37"/>
  <c r="Q920" i="37" a="1"/>
  <c r="Q920" i="37" s="1"/>
  <c r="Q518" i="37"/>
  <c r="Q561" i="37"/>
  <c r="Q582" i="37"/>
  <c r="Q976" i="37" a="1"/>
  <c r="Q976" i="37" s="1"/>
  <c r="AI509" i="37"/>
  <c r="AI580" i="37"/>
  <c r="Q543" i="37"/>
  <c r="Q961" i="37"/>
  <c r="AI555" i="37"/>
  <c r="Q533" i="37"/>
  <c r="Q568" i="37"/>
  <c r="Q549" i="37"/>
  <c r="Q552" i="37"/>
  <c r="AI522" i="37"/>
  <c r="AI568" i="37"/>
  <c r="AI497" i="37"/>
  <c r="Q563" i="37"/>
  <c r="Q934" i="37" a="1"/>
  <c r="Q934" i="37" s="1"/>
  <c r="Q527" i="37"/>
  <c r="AI510" i="37"/>
  <c r="Q557" i="37"/>
  <c r="Q948" i="37" a="1"/>
  <c r="Q948" i="37" s="1"/>
  <c r="Q962" i="37" a="1"/>
  <c r="Q962" i="37" s="1"/>
  <c r="Q562" i="37"/>
  <c r="AI567" i="37"/>
  <c r="Q49" i="37"/>
  <c r="AK114" i="37"/>
  <c r="Q114" i="37" s="1"/>
  <c r="BC27" i="37"/>
  <c r="Q161" i="37"/>
  <c r="AK161" i="37" s="1"/>
  <c r="Q672" i="37" a="1"/>
  <c r="Q672" i="37" s="1"/>
  <c r="Q675" i="37" a="1"/>
  <c r="Q675" i="37" s="1"/>
  <c r="Q164" i="37"/>
  <c r="AK164" i="37" s="1"/>
  <c r="BH30" i="37"/>
  <c r="AY159" i="37"/>
  <c r="AI134" i="37"/>
  <c r="Z134" i="37" s="1"/>
  <c r="F134" i="37"/>
  <c r="BH50" i="37"/>
  <c r="AY161" i="37" s="1"/>
  <c r="P659" i="37" a="1"/>
  <c r="P659" i="37" s="1"/>
  <c r="P148" i="37"/>
  <c r="AJ148" i="37" s="1"/>
  <c r="Z148" i="37" s="1"/>
  <c r="P589" i="37"/>
  <c r="F589" i="37" s="1"/>
  <c r="F497" i="37"/>
  <c r="P904" i="37" a="1"/>
  <c r="P904" i="37" s="1"/>
  <c r="AH503" i="37"/>
  <c r="AH504" i="37"/>
  <c r="AH502" i="37"/>
  <c r="X502" i="37" s="1"/>
  <c r="P502" i="37"/>
  <c r="AH549" i="37"/>
  <c r="X549" i="37" s="1"/>
  <c r="P505" i="37"/>
  <c r="P905" i="37"/>
  <c r="V905" i="37" s="1"/>
  <c r="P506" i="37"/>
  <c r="P598" i="37" s="1"/>
  <c r="P503" i="37"/>
  <c r="P595" i="37" s="1"/>
  <c r="F595" i="37" s="1"/>
  <c r="AH550" i="37"/>
  <c r="X550" i="37" s="1"/>
  <c r="P906" i="37" a="1"/>
  <c r="P906" i="37" s="1"/>
  <c r="V906" i="37" s="1"/>
  <c r="P504" i="37"/>
  <c r="P596" i="37" s="1"/>
  <c r="F596" i="37" s="1"/>
  <c r="AH548" i="37"/>
  <c r="P618" i="37"/>
  <c r="P525" i="37"/>
  <c r="H554" i="51" s="1" a="1"/>
  <c r="F526" i="37"/>
  <c r="P616" i="37"/>
  <c r="F616" i="37" s="1"/>
  <c r="F524" i="37"/>
  <c r="P601" i="37"/>
  <c r="F601" i="37" s="1"/>
  <c r="P590" i="37"/>
  <c r="F590" i="37" s="1"/>
  <c r="F498" i="37"/>
  <c r="AH607" i="37"/>
  <c r="X607" i="37" s="1"/>
  <c r="AH156" i="37"/>
  <c r="AI164" i="37"/>
  <c r="AI147" i="37"/>
  <c r="Z147" i="37" s="1"/>
  <c r="F147" i="37"/>
  <c r="AF593" i="37"/>
  <c r="AG617" i="37"/>
  <c r="BC39" i="37"/>
  <c r="Q16" i="37"/>
  <c r="AK183" i="37"/>
  <c r="AK185" i="37"/>
  <c r="AK15" i="37"/>
  <c r="AK184" i="37"/>
  <c r="AK27" i="37"/>
  <c r="AK191" i="37"/>
  <c r="Q28" i="37"/>
  <c r="Q219" i="37" s="1" a="1"/>
  <c r="Q219" i="37" s="1"/>
  <c r="AK192" i="37"/>
  <c r="AK193" i="37"/>
  <c r="Q651" i="37" a="1"/>
  <c r="Q651" i="37" s="1"/>
  <c r="Q140" i="37"/>
  <c r="AK140" i="37" s="1"/>
  <c r="Q23" i="37"/>
  <c r="Q214" i="37" s="1" a="1"/>
  <c r="Q214" i="37" s="1"/>
  <c r="F109" i="37"/>
  <c r="P219" i="37" a="1"/>
  <c r="P219" i="37" s="1"/>
  <c r="P194" i="37"/>
  <c r="F194" i="37" s="1"/>
  <c r="BH19" i="37"/>
  <c r="O598" i="37"/>
  <c r="P653" i="37" a="1"/>
  <c r="P653" i="37" s="1"/>
  <c r="P142" i="37"/>
  <c r="AJ142" i="37" s="1"/>
  <c r="AY165" i="37"/>
  <c r="O605" i="37"/>
  <c r="AH600" i="37"/>
  <c r="AH507" i="37"/>
  <c r="X507" i="37" s="1"/>
  <c r="X508" i="37"/>
  <c r="P619" i="37"/>
  <c r="F619" i="37" s="1"/>
  <c r="F527" i="37"/>
  <c r="AH588" i="37"/>
  <c r="AH495" i="37"/>
  <c r="X495" i="37" s="1"/>
  <c r="P513" i="37"/>
  <c r="F554" i="51" s="1" a="1"/>
  <c r="P606" i="37"/>
  <c r="F606" i="37" s="1"/>
  <c r="P608" i="37"/>
  <c r="F608" i="37" s="1"/>
  <c r="P588" i="37"/>
  <c r="P495" i="37"/>
  <c r="C554" i="51" s="1" a="1"/>
  <c r="AH565" i="37"/>
  <c r="X565" i="37" s="1"/>
  <c r="X566" i="37"/>
  <c r="P553" i="37"/>
  <c r="BH38" i="37"/>
  <c r="AI128" i="37"/>
  <c r="Z128" i="37" s="1"/>
  <c r="F128" i="37"/>
  <c r="BH23" i="37"/>
  <c r="BH16" i="37"/>
  <c r="Z51" i="37"/>
  <c r="AI137" i="37"/>
  <c r="Z137" i="37" s="1"/>
  <c r="F137" i="37"/>
  <c r="N845" i="37"/>
  <c r="N958" i="37" s="1"/>
  <c r="N847" i="37"/>
  <c r="N846" i="37"/>
  <c r="N850" i="37"/>
  <c r="AF807" i="37"/>
  <c r="N870" i="37"/>
  <c r="N848" i="37"/>
  <c r="P669" i="37" a="1"/>
  <c r="P669" i="37" s="1"/>
  <c r="P158" i="37"/>
  <c r="F47" i="37"/>
  <c r="AI129" i="37"/>
  <c r="Z129" i="37" s="1"/>
  <c r="F129" i="37"/>
  <c r="O643" i="37"/>
  <c r="AT148" i="37"/>
  <c r="AV148" i="37"/>
  <c r="AU148" i="37"/>
  <c r="AW148" i="37"/>
  <c r="AX148" i="37"/>
  <c r="O661" i="37"/>
  <c r="AI163" i="37"/>
  <c r="O162" i="37"/>
  <c r="P21" i="37"/>
  <c r="P62" i="37" s="1"/>
  <c r="P133" i="37"/>
  <c r="F133" i="37" s="1"/>
  <c r="P644" i="37" a="1"/>
  <c r="P644" i="37" s="1"/>
  <c r="AT165" i="37"/>
  <c r="AU165" i="37"/>
  <c r="AV165" i="37"/>
  <c r="AX165" i="37"/>
  <c r="AW165" i="37"/>
  <c r="M835" i="37"/>
  <c r="AI149" i="37"/>
  <c r="Z149" i="37" s="1"/>
  <c r="F149" i="37"/>
  <c r="BC21" i="37"/>
  <c r="Q25" i="37"/>
  <c r="AK110" i="37"/>
  <c r="Q110" i="37" s="1"/>
  <c r="Q46" i="37"/>
  <c r="Q77" i="37" s="1"/>
  <c r="AK203" i="37"/>
  <c r="AK204" i="37"/>
  <c r="AK45" i="37"/>
  <c r="AK205" i="37"/>
  <c r="Q20" i="37"/>
  <c r="Q663" i="37" a="1"/>
  <c r="Q663" i="37" s="1"/>
  <c r="Q152" i="37"/>
  <c r="AK152" i="37" s="1"/>
  <c r="BC15" i="37"/>
  <c r="Q669" i="37" a="1"/>
  <c r="Q669" i="37" s="1"/>
  <c r="Q158" i="37"/>
  <c r="AK158" i="37" s="1"/>
  <c r="P130" i="37"/>
  <c r="AJ130" i="37" s="1"/>
  <c r="Z130" i="37" s="1"/>
  <c r="P641" i="37" a="1"/>
  <c r="P641" i="37" s="1"/>
  <c r="P213" i="37" a="1"/>
  <c r="P213" i="37" s="1"/>
  <c r="AI139" i="37"/>
  <c r="O138" i="37"/>
  <c r="AF84" i="33"/>
  <c r="AL83" i="33"/>
  <c r="O66" i="37"/>
  <c r="O611" i="37"/>
  <c r="AG547" i="37"/>
  <c r="O501" i="37"/>
  <c r="O594" i="37"/>
  <c r="O587" i="37"/>
  <c r="P163" i="37"/>
  <c r="P674" i="37" a="1"/>
  <c r="P674" i="37" s="1"/>
  <c r="P51" i="37"/>
  <c r="AH618" i="37"/>
  <c r="AH525" i="37"/>
  <c r="X525" i="37" s="1"/>
  <c r="P609" i="37"/>
  <c r="F609" i="37" s="1"/>
  <c r="AH553" i="37"/>
  <c r="X553" i="37" s="1"/>
  <c r="AH559" i="37"/>
  <c r="X559" i="37" s="1"/>
  <c r="X560" i="37"/>
  <c r="P603" i="37"/>
  <c r="F603" i="37" s="1"/>
  <c r="P591" i="37"/>
  <c r="F591" i="37" s="1"/>
  <c r="P612" i="37"/>
  <c r="P519" i="37"/>
  <c r="G554" i="51" s="1" a="1"/>
  <c r="AH619" i="37"/>
  <c r="X619" i="37" s="1"/>
  <c r="AH624" i="37"/>
  <c r="AH531" i="37"/>
  <c r="X531" i="37" s="1"/>
  <c r="AH601" i="37"/>
  <c r="X601" i="37" s="1"/>
  <c r="BH25" i="37"/>
  <c r="M856" i="37"/>
  <c r="Q94" i="37"/>
  <c r="BH29" i="37"/>
  <c r="BH43" i="37"/>
  <c r="F37" i="37"/>
  <c r="AF200" i="33"/>
  <c r="G379" i="51" s="1"/>
  <c r="AL199" i="33"/>
  <c r="G369" i="51" s="1" a="1"/>
  <c r="AI133" i="37"/>
  <c r="O132" i="37"/>
  <c r="AI151" i="37"/>
  <c r="O150" i="37"/>
  <c r="Q97" i="37"/>
  <c r="AI141" i="37"/>
  <c r="Z141" i="37" s="1"/>
  <c r="F141" i="37"/>
  <c r="AG599" i="37"/>
  <c r="AT159" i="37"/>
  <c r="AV159" i="37"/>
  <c r="AU159" i="37"/>
  <c r="AW159" i="37"/>
  <c r="AX159" i="37"/>
  <c r="BH46" i="37"/>
  <c r="P663" i="37" a="1"/>
  <c r="P663" i="37" s="1"/>
  <c r="P152" i="37"/>
  <c r="F41" i="37"/>
  <c r="N838" i="37"/>
  <c r="N944" i="37" s="1"/>
  <c r="N841" i="37"/>
  <c r="AF806" i="37"/>
  <c r="N869" i="37"/>
  <c r="N839" i="37"/>
  <c r="N840" i="37"/>
  <c r="N843" i="37"/>
  <c r="Q40" i="37"/>
  <c r="Q76" i="37" s="1"/>
  <c r="AK201" i="37"/>
  <c r="AK200" i="37"/>
  <c r="AK199" i="37"/>
  <c r="AK39" i="37"/>
  <c r="Q648" i="37" a="1"/>
  <c r="Q648" i="37" s="1"/>
  <c r="Q137" i="37"/>
  <c r="AK137" i="37" s="1"/>
  <c r="Q52" i="37"/>
  <c r="AK51" i="37"/>
  <c r="AK208" i="37"/>
  <c r="AK207" i="37"/>
  <c r="AK209" i="37"/>
  <c r="BC33" i="37"/>
  <c r="Q18" i="37"/>
  <c r="Q17" i="37"/>
  <c r="P223" i="37" a="1"/>
  <c r="P223" i="37" s="1"/>
  <c r="F223" i="37" s="1"/>
  <c r="P182" i="37"/>
  <c r="F182" i="37" s="1"/>
  <c r="O649" i="37"/>
  <c r="V771" i="37"/>
  <c r="O903" i="37"/>
  <c r="P154" i="37"/>
  <c r="P665" i="37" a="1"/>
  <c r="P665" i="37" s="1"/>
  <c r="F43" i="37"/>
  <c r="P602" i="37"/>
  <c r="F602" i="37" s="1"/>
  <c r="F510" i="37"/>
  <c r="P889" i="37"/>
  <c r="F889" i="37" s="1"/>
  <c r="AH590" i="37"/>
  <c r="X590" i="37" s="1"/>
  <c r="X498" i="37"/>
  <c r="P614" i="37"/>
  <c r="F614" i="37" s="1"/>
  <c r="F522" i="37"/>
  <c r="P622" i="37"/>
  <c r="F622" i="37" s="1"/>
  <c r="F530" i="37"/>
  <c r="AH625" i="37"/>
  <c r="X625" i="37" s="1"/>
  <c r="AH613" i="37"/>
  <c r="X613" i="37" s="1"/>
  <c r="AH616" i="37"/>
  <c r="X616" i="37" s="1"/>
  <c r="P571" i="37"/>
  <c r="H568" i="51" s="1" a="1"/>
  <c r="H568" i="51" s="1"/>
  <c r="H578" i="51" s="1"/>
  <c r="P559" i="37"/>
  <c r="F568" i="51" s="1" a="1"/>
  <c r="F568" i="51" s="1"/>
  <c r="F578" i="51" s="1"/>
  <c r="P626" i="37"/>
  <c r="F626" i="37" s="1"/>
  <c r="F534" i="37"/>
  <c r="X533" i="37"/>
  <c r="X532" i="37"/>
  <c r="D161" i="51" l="1" a="1"/>
  <c r="D161" i="51" s="1"/>
  <c r="C897" i="51" a="1"/>
  <c r="C897" i="51" s="1"/>
  <c r="C240" i="51" a="1"/>
  <c r="C240" i="51" s="1"/>
  <c r="D484" i="51"/>
  <c r="G923" i="51"/>
  <c r="E484" i="51"/>
  <c r="H923" i="51"/>
  <c r="G484" i="51"/>
  <c r="J923" i="51"/>
  <c r="F484" i="51"/>
  <c r="I923" i="51"/>
  <c r="H484" i="51"/>
  <c r="K923" i="51"/>
  <c r="I484" i="51"/>
  <c r="L923" i="51"/>
  <c r="J484" i="51"/>
  <c r="M923" i="51"/>
  <c r="E266" i="51" a="1"/>
  <c r="E266" i="51" s="1"/>
  <c r="I361" i="51"/>
  <c r="I478" i="51" s="1"/>
  <c r="L907" i="51"/>
  <c r="BH15" i="37"/>
  <c r="G906" i="51" a="1"/>
  <c r="G906" i="51" s="1"/>
  <c r="D415" i="51" a="1"/>
  <c r="D415" i="51" s="1"/>
  <c r="G907" i="51"/>
  <c r="E66" i="51"/>
  <c r="D361" i="51"/>
  <c r="D478" i="51" s="1"/>
  <c r="C369" i="51"/>
  <c r="E67" i="51"/>
  <c r="I7" i="48" a="1"/>
  <c r="I7" i="48" s="1"/>
  <c r="E64" i="51"/>
  <c r="E68" i="51" s="1"/>
  <c r="I369" i="51" a="1"/>
  <c r="F554" i="51"/>
  <c r="E629" i="51"/>
  <c r="E630" i="51" s="1"/>
  <c r="E611" i="51"/>
  <c r="F312" i="51"/>
  <c r="I905" i="51" s="1"/>
  <c r="G312" i="51"/>
  <c r="J905" i="51" s="1"/>
  <c r="I312" i="51"/>
  <c r="L905" i="51" s="1"/>
  <c r="E312" i="51"/>
  <c r="H905" i="51" s="1"/>
  <c r="D312" i="51"/>
  <c r="G905" i="51" s="1"/>
  <c r="J312" i="51"/>
  <c r="M905" i="51" s="1"/>
  <c r="C306" i="51"/>
  <c r="C312" i="51" s="1"/>
  <c r="H312" i="51"/>
  <c r="K905" i="51" s="1"/>
  <c r="C255" i="51"/>
  <c r="E255" i="51" s="1"/>
  <c r="E257" i="51"/>
  <c r="E256" i="51"/>
  <c r="G60" i="51"/>
  <c r="G63" i="51" s="1"/>
  <c r="F629" i="51"/>
  <c r="F630" i="51" s="1"/>
  <c r="G554" i="51"/>
  <c r="F553" i="37"/>
  <c r="E568" i="51" a="1"/>
  <c r="E568" i="51" s="1"/>
  <c r="E578" i="51" s="1"/>
  <c r="G941" i="51"/>
  <c r="C55" i="51"/>
  <c r="F55" i="51"/>
  <c r="E63" i="51"/>
  <c r="E29" i="51"/>
  <c r="D636" i="51"/>
  <c r="D637" i="51" s="1"/>
  <c r="E61" i="51"/>
  <c r="C456" i="51"/>
  <c r="D106" i="51"/>
  <c r="C106" i="51"/>
  <c r="C611" i="51"/>
  <c r="C163" i="51" s="1"/>
  <c r="C237" i="51" s="1"/>
  <c r="B629" i="51"/>
  <c r="B630" i="51" s="1"/>
  <c r="C554" i="51"/>
  <c r="H554" i="51"/>
  <c r="G629" i="51"/>
  <c r="G630" i="51" s="1"/>
  <c r="F577" i="37"/>
  <c r="I568" i="51" a="1"/>
  <c r="I568" i="51" s="1"/>
  <c r="I578" i="51" s="1"/>
  <c r="H629" i="51"/>
  <c r="H630" i="51" s="1"/>
  <c r="I554" i="51"/>
  <c r="D485" i="51"/>
  <c r="J485" i="51"/>
  <c r="F485" i="51"/>
  <c r="I485" i="51"/>
  <c r="G485" i="51"/>
  <c r="H485" i="51"/>
  <c r="E485" i="51"/>
  <c r="H55" i="51"/>
  <c r="G369" i="51"/>
  <c r="H361" i="51"/>
  <c r="H478" i="51" s="1"/>
  <c r="K907" i="51"/>
  <c r="E268" i="51" a="1"/>
  <c r="E268" i="51" s="1"/>
  <c r="D568" i="51" a="1"/>
  <c r="D568" i="51" s="1"/>
  <c r="D578" i="51" s="1"/>
  <c r="D629" i="51"/>
  <c r="D630" i="51" s="1"/>
  <c r="E554" i="51"/>
  <c r="D55" i="51"/>
  <c r="D369" i="51"/>
  <c r="E361" i="51"/>
  <c r="E478" i="51" s="1"/>
  <c r="H907" i="51"/>
  <c r="K908" i="51"/>
  <c r="H388" i="51"/>
  <c r="H479" i="51" s="1"/>
  <c r="G568" i="51" a="1"/>
  <c r="G568" i="51" s="1"/>
  <c r="G578" i="51" s="1"/>
  <c r="F127" i="37"/>
  <c r="C338" i="51" a="1"/>
  <c r="F7" i="48" a="1"/>
  <c r="F7" i="48" s="1"/>
  <c r="F369" i="51" a="1"/>
  <c r="I60" i="51"/>
  <c r="I63" i="51" s="1"/>
  <c r="Y772" i="37" a="1"/>
  <c r="Y772" i="37" s="1"/>
  <c r="AI379" i="37"/>
  <c r="AE443" i="37"/>
  <c r="AE489" i="37" s="1"/>
  <c r="AE406" i="37"/>
  <c r="AE452" i="37" s="1"/>
  <c r="AK443" i="37"/>
  <c r="AA419" i="37"/>
  <c r="AA465" i="37" s="1"/>
  <c r="AA431" i="37"/>
  <c r="AA477" i="37" s="1"/>
  <c r="AJ442" i="37"/>
  <c r="AD406" i="37"/>
  <c r="AD452" i="37" s="1"/>
  <c r="AE436" i="37"/>
  <c r="AE482" i="37" s="1"/>
  <c r="AH443" i="37"/>
  <c r="AH489" i="37" s="1"/>
  <c r="AK407" i="37"/>
  <c r="Y437" i="37"/>
  <c r="Y483" i="37" s="1"/>
  <c r="AK413" i="37"/>
  <c r="AI442" i="37"/>
  <c r="AC407" i="37"/>
  <c r="AC453" i="37" s="1"/>
  <c r="AG425" i="37"/>
  <c r="AG471" i="37" s="1"/>
  <c r="AF407" i="37"/>
  <c r="AF453" i="37" s="1"/>
  <c r="AI412" i="37"/>
  <c r="Y413" i="37"/>
  <c r="Y459" i="37" s="1"/>
  <c r="Y425" i="37"/>
  <c r="Y471" i="37" s="1"/>
  <c r="AA437" i="37"/>
  <c r="AA483" i="37" s="1"/>
  <c r="AC431" i="37"/>
  <c r="AC477" i="37" s="1"/>
  <c r="AH424" i="37"/>
  <c r="AH470" i="37" s="1"/>
  <c r="AE442" i="37"/>
  <c r="AE488" i="37" s="1"/>
  <c r="Z437" i="37"/>
  <c r="Z483" i="37" s="1"/>
  <c r="Y430" i="37"/>
  <c r="AB431" i="37"/>
  <c r="AB477" i="37" s="1"/>
  <c r="AI425" i="37"/>
  <c r="AD424" i="37"/>
  <c r="AD470" i="37" s="1"/>
  <c r="AG431" i="37"/>
  <c r="AG477" i="37" s="1"/>
  <c r="AG437" i="37"/>
  <c r="AG483" i="37" s="1"/>
  <c r="AI430" i="37"/>
  <c r="AL424" i="37"/>
  <c r="AK406" i="37"/>
  <c r="Z407" i="37"/>
  <c r="Z453" i="37" s="1"/>
  <c r="AD412" i="37"/>
  <c r="AD458" i="37" s="1"/>
  <c r="AE418" i="37"/>
  <c r="AE464" i="37" s="1"/>
  <c r="AA424" i="37"/>
  <c r="AA470" i="37" s="1"/>
  <c r="AK419" i="37"/>
  <c r="AL406" i="37"/>
  <c r="AM406" i="37"/>
  <c r="AD413" i="37"/>
  <c r="AD459" i="37" s="1"/>
  <c r="AG406" i="37"/>
  <c r="AG452" i="37" s="1"/>
  <c r="AK412" i="37"/>
  <c r="Z442" i="37"/>
  <c r="Z488" i="37" s="1"/>
  <c r="AA407" i="37"/>
  <c r="AA453" i="37" s="1"/>
  <c r="AM412" i="37"/>
  <c r="AH430" i="37"/>
  <c r="AH476" i="37" s="1"/>
  <c r="AH436" i="37"/>
  <c r="AH482" i="37" s="1"/>
  <c r="AL430" i="37"/>
  <c r="AL437" i="37"/>
  <c r="AA413" i="37"/>
  <c r="AA459" i="37" s="1"/>
  <c r="AK430" i="37"/>
  <c r="G416" i="37"/>
  <c r="G462" i="37" s="1"/>
  <c r="AC443" i="37"/>
  <c r="AC489" i="37" s="1"/>
  <c r="AI372" i="37"/>
  <c r="X385" i="37"/>
  <c r="AC437" i="37"/>
  <c r="AC483" i="37" s="1"/>
  <c r="AC425" i="37"/>
  <c r="AC471" i="37" s="1"/>
  <c r="AD407" i="37"/>
  <c r="AD453" i="37" s="1"/>
  <c r="AF443" i="37"/>
  <c r="AF489" i="37" s="1"/>
  <c r="AF430" i="37"/>
  <c r="AF476" i="37" s="1"/>
  <c r="AE407" i="37"/>
  <c r="AE453" i="37" s="1"/>
  <c r="AF418" i="37"/>
  <c r="AF464" i="37" s="1"/>
  <c r="AF436" i="37"/>
  <c r="AF482" i="37" s="1"/>
  <c r="AG424" i="37"/>
  <c r="AG470" i="37" s="1"/>
  <c r="AH431" i="37"/>
  <c r="AH477" i="37" s="1"/>
  <c r="Z424" i="37"/>
  <c r="Z470" i="37" s="1"/>
  <c r="AJ425" i="37"/>
  <c r="AM443" i="37"/>
  <c r="Z418" i="37"/>
  <c r="Z464" i="37" s="1"/>
  <c r="AB406" i="37"/>
  <c r="AB452" i="37" s="1"/>
  <c r="AI406" i="37"/>
  <c r="AI413" i="37"/>
  <c r="Y443" i="37"/>
  <c r="AK437" i="37"/>
  <c r="AB418" i="37"/>
  <c r="AB464" i="37" s="1"/>
  <c r="AI437" i="37"/>
  <c r="AM424" i="37"/>
  <c r="AJ430" i="37"/>
  <c r="AL407" i="37"/>
  <c r="AL425" i="37"/>
  <c r="Y431" i="37"/>
  <c r="AI366" i="37"/>
  <c r="AI367" i="37"/>
  <c r="AC424" i="37"/>
  <c r="AC470" i="37" s="1"/>
  <c r="AD418" i="37"/>
  <c r="AD464" i="37" s="1"/>
  <c r="AD437" i="37"/>
  <c r="AD483" i="37" s="1"/>
  <c r="AG419" i="37"/>
  <c r="AG465" i="37" s="1"/>
  <c r="AH407" i="37"/>
  <c r="AH453" i="37" s="1"/>
  <c r="AG407" i="37"/>
  <c r="AG453" i="37" s="1"/>
  <c r="AF413" i="37"/>
  <c r="AF459" i="37" s="1"/>
  <c r="AE424" i="37"/>
  <c r="AE470" i="37" s="1"/>
  <c r="AE431" i="37"/>
  <c r="AE477" i="37" s="1"/>
  <c r="AG436" i="37"/>
  <c r="AG482" i="37" s="1"/>
  <c r="AJ406" i="37"/>
  <c r="AB430" i="37"/>
  <c r="AB476" i="37" s="1"/>
  <c r="AK442" i="37"/>
  <c r="AJ413" i="37"/>
  <c r="Y418" i="37"/>
  <c r="Y436" i="37"/>
  <c r="AL431" i="37"/>
  <c r="Z431" i="37"/>
  <c r="Z477" i="37" s="1"/>
  <c r="Z443" i="37"/>
  <c r="Z489" i="37" s="1"/>
  <c r="AM437" i="37"/>
  <c r="AM436" i="37"/>
  <c r="Y419" i="37"/>
  <c r="AA442" i="37"/>
  <c r="AA488" i="37" s="1"/>
  <c r="Z419" i="37"/>
  <c r="Z465" i="37" s="1"/>
  <c r="AK424" i="37"/>
  <c r="AL418" i="37"/>
  <c r="X360" i="37"/>
  <c r="AI506" i="37"/>
  <c r="AI505" i="37"/>
  <c r="AI551" i="37"/>
  <c r="AI552" i="37"/>
  <c r="AI396" i="37"/>
  <c r="AI384" i="37"/>
  <c r="Y476" i="37"/>
  <c r="AI360" i="37"/>
  <c r="AI391" i="37"/>
  <c r="AC413" i="37"/>
  <c r="AC459" i="37" s="1"/>
  <c r="AC419" i="37"/>
  <c r="AC465" i="37" s="1"/>
  <c r="AD430" i="37"/>
  <c r="AD476" i="37" s="1"/>
  <c r="AD425" i="37"/>
  <c r="AD471" i="37" s="1"/>
  <c r="AE430" i="37"/>
  <c r="AE476" i="37" s="1"/>
  <c r="AE419" i="37"/>
  <c r="AE465" i="37" s="1"/>
  <c r="AG442" i="37"/>
  <c r="AG488" i="37" s="1"/>
  <c r="AH419" i="37"/>
  <c r="AH465" i="37" s="1"/>
  <c r="AG418" i="37"/>
  <c r="AG464" i="37" s="1"/>
  <c r="AH406" i="37"/>
  <c r="AH452" i="37" s="1"/>
  <c r="AG412" i="37"/>
  <c r="AG458" i="37" s="1"/>
  <c r="AL412" i="37"/>
  <c r="AI424" i="37"/>
  <c r="AM418" i="37"/>
  <c r="AK436" i="37"/>
  <c r="AA412" i="37"/>
  <c r="AA458" i="37" s="1"/>
  <c r="Y406" i="37"/>
  <c r="AJ437" i="37"/>
  <c r="AM425" i="37"/>
  <c r="AK425" i="37"/>
  <c r="AM407" i="37"/>
  <c r="Z413" i="37"/>
  <c r="Z459" i="37" s="1"/>
  <c r="Y442" i="37"/>
  <c r="AL419" i="37"/>
  <c r="AA430" i="37"/>
  <c r="AA476" i="37" s="1"/>
  <c r="AB407" i="37"/>
  <c r="AB453" i="37" s="1"/>
  <c r="AM430" i="37"/>
  <c r="AI390" i="37"/>
  <c r="AI397" i="37"/>
  <c r="AC418" i="37"/>
  <c r="AC464" i="37" s="1"/>
  <c r="AC412" i="37"/>
  <c r="AC458" i="37" s="1"/>
  <c r="AD419" i="37"/>
  <c r="AD465" i="37" s="1"/>
  <c r="AD443" i="37"/>
  <c r="AD489" i="37" s="1"/>
  <c r="AG413" i="37"/>
  <c r="AG459" i="37" s="1"/>
  <c r="AH418" i="37"/>
  <c r="AH464" i="37" s="1"/>
  <c r="AF437" i="37"/>
  <c r="AF483" i="37" s="1"/>
  <c r="AE437" i="37"/>
  <c r="AE483" i="37" s="1"/>
  <c r="AF425" i="37"/>
  <c r="AF471" i="37" s="1"/>
  <c r="AG430" i="37"/>
  <c r="AG476" i="37" s="1"/>
  <c r="AF442" i="37"/>
  <c r="AF488" i="37" s="1"/>
  <c r="AI431" i="37"/>
  <c r="AM419" i="37"/>
  <c r="AJ443" i="37"/>
  <c r="AM413" i="37"/>
  <c r="Z425" i="37"/>
  <c r="Z471" i="37" s="1"/>
  <c r="AL413" i="37"/>
  <c r="Z406" i="37"/>
  <c r="Z452" i="37" s="1"/>
  <c r="AJ436" i="37"/>
  <c r="AI443" i="37"/>
  <c r="AB412" i="37"/>
  <c r="AB458" i="37" s="1"/>
  <c r="AA406" i="37"/>
  <c r="AA452" i="37" s="1"/>
  <c r="Z412" i="37"/>
  <c r="Z458" i="37" s="1"/>
  <c r="Y412" i="37"/>
  <c r="AI407" i="37"/>
  <c r="AB443" i="37"/>
  <c r="AB489" i="37" s="1"/>
  <c r="AI378" i="37"/>
  <c r="AI361" i="37"/>
  <c r="X397" i="37"/>
  <c r="AC436" i="37"/>
  <c r="AC482" i="37" s="1"/>
  <c r="AC442" i="37"/>
  <c r="AC488" i="37" s="1"/>
  <c r="AD431" i="37"/>
  <c r="AD477" i="37" s="1"/>
  <c r="AD436" i="37"/>
  <c r="AD482" i="37" s="1"/>
  <c r="AH442" i="37"/>
  <c r="AH488" i="37" s="1"/>
  <c r="AH425" i="37"/>
  <c r="AH471" i="37" s="1"/>
  <c r="AF406" i="37"/>
  <c r="AF452" i="37" s="1"/>
  <c r="AG443" i="37"/>
  <c r="AG489" i="37" s="1"/>
  <c r="AF419" i="37"/>
  <c r="AF465" i="37" s="1"/>
  <c r="AH413" i="37"/>
  <c r="AH459" i="37" s="1"/>
  <c r="AF412" i="37"/>
  <c r="AF458" i="37" s="1"/>
  <c r="AM431" i="37"/>
  <c r="AJ418" i="37"/>
  <c r="AA418" i="37"/>
  <c r="AA464" i="37" s="1"/>
  <c r="AM442" i="37"/>
  <c r="AJ419" i="37"/>
  <c r="Y424" i="37"/>
  <c r="Z430" i="37"/>
  <c r="Z476" i="37" s="1"/>
  <c r="AB425" i="37"/>
  <c r="AB471" i="37" s="1"/>
  <c r="AB442" i="37"/>
  <c r="AB488" i="37" s="1"/>
  <c r="Z436" i="37"/>
  <c r="Z482" i="37" s="1"/>
  <c r="AK431" i="37"/>
  <c r="AB437" i="37"/>
  <c r="AB483" i="37" s="1"/>
  <c r="AK418" i="37"/>
  <c r="AA425" i="37"/>
  <c r="AA471" i="37" s="1"/>
  <c r="AJ407" i="37"/>
  <c r="X372" i="37"/>
  <c r="AJ535" i="37"/>
  <c r="AJ558" i="37"/>
  <c r="AJ564" i="37"/>
  <c r="AJ523" i="37"/>
  <c r="AJ524" i="37"/>
  <c r="AJ500" i="37"/>
  <c r="AJ570" i="37"/>
  <c r="AJ518" i="37"/>
  <c r="AJ546" i="37"/>
  <c r="AJ499" i="37"/>
  <c r="AJ512" i="37"/>
  <c r="AJ511" i="37"/>
  <c r="AJ582" i="37"/>
  <c r="AJ569" i="37"/>
  <c r="AJ536" i="37"/>
  <c r="AJ576" i="37"/>
  <c r="AJ581" i="37"/>
  <c r="AJ557" i="37"/>
  <c r="AJ545" i="37"/>
  <c r="AJ575" i="37"/>
  <c r="AJ529" i="37"/>
  <c r="AJ563" i="37"/>
  <c r="AJ530" i="37"/>
  <c r="AJ517" i="37"/>
  <c r="AI385" i="37"/>
  <c r="AI373" i="37"/>
  <c r="AC430" i="37"/>
  <c r="AC476" i="37" s="1"/>
  <c r="AC406" i="37"/>
  <c r="AC452" i="37" s="1"/>
  <c r="AD442" i="37"/>
  <c r="AD488" i="37" s="1"/>
  <c r="AH437" i="37"/>
  <c r="AH483" i="37" s="1"/>
  <c r="AE412" i="37"/>
  <c r="AE458" i="37" s="1"/>
  <c r="AE413" i="37"/>
  <c r="AE459" i="37" s="1"/>
  <c r="AF431" i="37"/>
  <c r="AF477" i="37" s="1"/>
  <c r="AF424" i="37"/>
  <c r="AF470" i="37" s="1"/>
  <c r="AE425" i="37"/>
  <c r="AE471" i="37" s="1"/>
  <c r="AH412" i="37"/>
  <c r="AH458" i="37" s="1"/>
  <c r="AL443" i="37"/>
  <c r="AJ412" i="37"/>
  <c r="AJ431" i="37"/>
  <c r="AL436" i="37"/>
  <c r="AI419" i="37"/>
  <c r="AB419" i="37"/>
  <c r="AB465" i="37" s="1"/>
  <c r="AB413" i="37"/>
  <c r="AB459" i="37" s="1"/>
  <c r="AA436" i="37"/>
  <c r="AA482" i="37" s="1"/>
  <c r="AA443" i="37"/>
  <c r="AA489" i="37" s="1"/>
  <c r="AL442" i="37"/>
  <c r="AB436" i="37"/>
  <c r="AB482" i="37" s="1"/>
  <c r="AJ424" i="37"/>
  <c r="Y407" i="37"/>
  <c r="AI418" i="37"/>
  <c r="AI436" i="37"/>
  <c r="AB424" i="37"/>
  <c r="AB470" i="37" s="1"/>
  <c r="X379" i="37"/>
  <c r="X361" i="37"/>
  <c r="M68" i="48"/>
  <c r="K84" i="48" s="1"/>
  <c r="G106" i="48"/>
  <c r="G7" i="48" a="1"/>
  <c r="G17" i="48"/>
  <c r="K69" i="48" s="1"/>
  <c r="I85" i="48" s="1"/>
  <c r="H7" i="48"/>
  <c r="L68" i="48"/>
  <c r="J84" i="48" s="1"/>
  <c r="D7" i="48"/>
  <c r="H68" i="48"/>
  <c r="F84" i="48" s="1"/>
  <c r="E7" i="48"/>
  <c r="I68" i="48"/>
  <c r="G84" i="48" s="1"/>
  <c r="P61" i="37"/>
  <c r="F61" i="37" s="1"/>
  <c r="G66" i="48" a="1"/>
  <c r="C7" i="48"/>
  <c r="G68" i="48"/>
  <c r="E84" i="48" s="1"/>
  <c r="EP33" i="28"/>
  <c r="EP35" i="28"/>
  <c r="FU35" i="28" s="1"/>
  <c r="FU31" i="28"/>
  <c r="FU32" i="28"/>
  <c r="V784" i="37"/>
  <c r="AL409" i="37"/>
  <c r="L407" i="37"/>
  <c r="L453" i="37" s="1"/>
  <c r="AA404" i="37"/>
  <c r="AA450" i="37" s="1"/>
  <c r="L430" i="37"/>
  <c r="L476" i="37" s="1"/>
  <c r="Q437" i="37"/>
  <c r="R412" i="37"/>
  <c r="N428" i="37"/>
  <c r="N474" i="37" s="1"/>
  <c r="U431" i="37"/>
  <c r="K443" i="37"/>
  <c r="K489" i="37" s="1"/>
  <c r="P419" i="37"/>
  <c r="P465" i="37" s="1"/>
  <c r="N429" i="37"/>
  <c r="N475" i="37" s="1"/>
  <c r="AL423" i="37"/>
  <c r="V786" i="37"/>
  <c r="AE416" i="37"/>
  <c r="AE462" i="37" s="1"/>
  <c r="V776" i="37"/>
  <c r="V792" i="37"/>
  <c r="V794" i="37"/>
  <c r="N819" i="37"/>
  <c r="L434" i="37"/>
  <c r="L480" i="37" s="1"/>
  <c r="P422" i="37"/>
  <c r="P468" i="37" s="1"/>
  <c r="AL440" i="37"/>
  <c r="K428" i="37"/>
  <c r="K474" i="37" s="1"/>
  <c r="K404" i="37"/>
  <c r="K450" i="37" s="1"/>
  <c r="AD411" i="37"/>
  <c r="AD457" i="37" s="1"/>
  <c r="AD440" i="37"/>
  <c r="AD486" i="37" s="1"/>
  <c r="P425" i="37"/>
  <c r="P471" i="37" s="1"/>
  <c r="M429" i="37"/>
  <c r="M475" i="37" s="1"/>
  <c r="AG434" i="37"/>
  <c r="AG480" i="37" s="1"/>
  <c r="AH417" i="37"/>
  <c r="AH463" i="37" s="1"/>
  <c r="AB427" i="37"/>
  <c r="AB473" i="37" s="1"/>
  <c r="AJ429" i="37"/>
  <c r="U439" i="37"/>
  <c r="J430" i="37"/>
  <c r="J476" i="37" s="1"/>
  <c r="G405" i="37"/>
  <c r="G451" i="37" s="1"/>
  <c r="G443" i="37"/>
  <c r="G489" i="37" s="1"/>
  <c r="AJ409" i="37"/>
  <c r="AC411" i="37"/>
  <c r="AC457" i="37" s="1"/>
  <c r="K442" i="37"/>
  <c r="K488" i="37" s="1"/>
  <c r="AD415" i="37"/>
  <c r="AD461" i="37" s="1"/>
  <c r="L439" i="37"/>
  <c r="L485" i="37" s="1"/>
  <c r="P409" i="37"/>
  <c r="P455" i="37" s="1"/>
  <c r="M406" i="37"/>
  <c r="M452" i="37" s="1"/>
  <c r="AG417" i="37"/>
  <c r="AG463" i="37" s="1"/>
  <c r="AH429" i="37"/>
  <c r="AH475" i="37" s="1"/>
  <c r="AL427" i="37"/>
  <c r="AL417" i="37"/>
  <c r="Q427" i="37"/>
  <c r="I419" i="37"/>
  <c r="I465" i="37" s="1"/>
  <c r="Q417" i="37"/>
  <c r="S443" i="37"/>
  <c r="V774" i="37"/>
  <c r="AD409" i="37"/>
  <c r="AD455" i="37" s="1"/>
  <c r="G423" i="37"/>
  <c r="G469" i="37" s="1"/>
  <c r="K417" i="37"/>
  <c r="K463" i="37" s="1"/>
  <c r="AC428" i="37"/>
  <c r="AC474" i="37" s="1"/>
  <c r="AD427" i="37"/>
  <c r="AD473" i="37" s="1"/>
  <c r="L415" i="37"/>
  <c r="L461" i="37" s="1"/>
  <c r="P406" i="37"/>
  <c r="P452" i="37" s="1"/>
  <c r="AE435" i="37"/>
  <c r="AE481" i="37" s="1"/>
  <c r="O430" i="37"/>
  <c r="O476" i="37" s="1"/>
  <c r="P424" i="37"/>
  <c r="P470" i="37" s="1"/>
  <c r="AB439" i="37"/>
  <c r="AB485" i="37" s="1"/>
  <c r="AJ434" i="37"/>
  <c r="R433" i="37"/>
  <c r="H442" i="37"/>
  <c r="H488" i="37" s="1"/>
  <c r="Q434" i="37"/>
  <c r="R429" i="37"/>
  <c r="V772" i="37"/>
  <c r="AC410" i="37"/>
  <c r="AC456" i="37" s="1"/>
  <c r="P431" i="37"/>
  <c r="P477" i="37" s="1"/>
  <c r="Y429" i="37"/>
  <c r="Y475" i="37" s="1"/>
  <c r="P362" i="37"/>
  <c r="K440" i="37"/>
  <c r="K486" i="37" s="1"/>
  <c r="L413" i="37"/>
  <c r="L459" i="37" s="1"/>
  <c r="AD428" i="37"/>
  <c r="AD474" i="37" s="1"/>
  <c r="O422" i="37"/>
  <c r="O468" i="37" s="1"/>
  <c r="N407" i="37"/>
  <c r="N453" i="37" s="1"/>
  <c r="AH434" i="37"/>
  <c r="AH480" i="37" s="1"/>
  <c r="AH415" i="37"/>
  <c r="AH461" i="37" s="1"/>
  <c r="AM409" i="37"/>
  <c r="AK411" i="37"/>
  <c r="AL441" i="37"/>
  <c r="H433" i="37"/>
  <c r="H479" i="37" s="1"/>
  <c r="I405" i="37"/>
  <c r="I451" i="37" s="1"/>
  <c r="T418" i="37"/>
  <c r="K411" i="37"/>
  <c r="K457" i="37" s="1"/>
  <c r="O436" i="37"/>
  <c r="O482" i="37" s="1"/>
  <c r="Q404" i="37"/>
  <c r="AC405" i="37"/>
  <c r="AC451" i="37" s="1"/>
  <c r="AD410" i="37"/>
  <c r="AD456" i="37" s="1"/>
  <c r="L442" i="37"/>
  <c r="L488" i="37" s="1"/>
  <c r="AG405" i="37"/>
  <c r="AG451" i="37" s="1"/>
  <c r="AF435" i="37"/>
  <c r="AF481" i="37" s="1"/>
  <c r="P421" i="37"/>
  <c r="P467" i="37" s="1"/>
  <c r="M417" i="37"/>
  <c r="M463" i="37" s="1"/>
  <c r="AK439" i="37"/>
  <c r="AA417" i="37"/>
  <c r="AA463" i="37" s="1"/>
  <c r="Y416" i="37"/>
  <c r="Y462" i="37" s="1"/>
  <c r="H421" i="37"/>
  <c r="H467" i="37" s="1"/>
  <c r="I413" i="37"/>
  <c r="I459" i="37" s="1"/>
  <c r="S441" i="37"/>
  <c r="M419" i="37"/>
  <c r="M465" i="37" s="1"/>
  <c r="S425" i="37"/>
  <c r="AC427" i="37"/>
  <c r="AD433" i="37"/>
  <c r="AD479" i="37" s="1"/>
  <c r="L437" i="37"/>
  <c r="L483" i="37" s="1"/>
  <c r="O418" i="37"/>
  <c r="O464" i="37" s="1"/>
  <c r="N406" i="37"/>
  <c r="N452" i="37" s="1"/>
  <c r="M435" i="37"/>
  <c r="M481" i="37" s="1"/>
  <c r="M411" i="37"/>
  <c r="M457" i="37" s="1"/>
  <c r="AL439" i="37"/>
  <c r="AB411" i="37"/>
  <c r="AB457" i="37" s="1"/>
  <c r="AA434" i="37"/>
  <c r="AA480" i="37" s="1"/>
  <c r="G433" i="37"/>
  <c r="G479" i="37" s="1"/>
  <c r="I441" i="37"/>
  <c r="I487" i="37" s="1"/>
  <c r="T428" i="37"/>
  <c r="AI428" i="37"/>
  <c r="AB422" i="37"/>
  <c r="AB468" i="37" s="1"/>
  <c r="Y422" i="37"/>
  <c r="Y468" i="37" s="1"/>
  <c r="G415" i="37"/>
  <c r="G461" i="37" s="1"/>
  <c r="G409" i="37"/>
  <c r="G455" i="37" s="1"/>
  <c r="J418" i="37"/>
  <c r="J464" i="37" s="1"/>
  <c r="I428" i="37"/>
  <c r="I474" i="37" s="1"/>
  <c r="G410" i="37"/>
  <c r="G456" i="37" s="1"/>
  <c r="R407" i="37"/>
  <c r="T405" i="37"/>
  <c r="U440" i="37"/>
  <c r="T437" i="37"/>
  <c r="N866" i="37"/>
  <c r="AC441" i="37"/>
  <c r="AC487" i="37" s="1"/>
  <c r="K441" i="37"/>
  <c r="K487" i="37" s="1"/>
  <c r="K431" i="37"/>
  <c r="K477" i="37" s="1"/>
  <c r="AC404" i="37"/>
  <c r="AC450" i="37" s="1"/>
  <c r="L441" i="37"/>
  <c r="L487" i="37" s="1"/>
  <c r="L417" i="37"/>
  <c r="L463" i="37" s="1"/>
  <c r="L431" i="37"/>
  <c r="L477" i="37" s="1"/>
  <c r="N440" i="37"/>
  <c r="N486" i="37" s="1"/>
  <c r="AE403" i="37"/>
  <c r="AE449" i="37" s="1"/>
  <c r="M407" i="37"/>
  <c r="M453" i="37" s="1"/>
  <c r="AG410" i="37"/>
  <c r="AG456" i="37" s="1"/>
  <c r="AF409" i="37"/>
  <c r="AF455" i="37" s="1"/>
  <c r="P407" i="37"/>
  <c r="P453" i="37" s="1"/>
  <c r="P427" i="37"/>
  <c r="P473" i="37" s="1"/>
  <c r="O428" i="37"/>
  <c r="O474" i="37" s="1"/>
  <c r="AF422" i="37"/>
  <c r="AF468" i="37" s="1"/>
  <c r="AB415" i="37"/>
  <c r="AB461" i="37" s="1"/>
  <c r="AB403" i="37"/>
  <c r="AB449" i="37" s="1"/>
  <c r="AK441" i="37"/>
  <c r="AB410" i="37"/>
  <c r="AB456" i="37" s="1"/>
  <c r="Z411" i="37"/>
  <c r="Z457" i="37" s="1"/>
  <c r="AB435" i="37"/>
  <c r="AB481" i="37" s="1"/>
  <c r="H409" i="37"/>
  <c r="H455" i="37" s="1"/>
  <c r="S427" i="37"/>
  <c r="U441" i="37"/>
  <c r="R406" i="37"/>
  <c r="I430" i="37"/>
  <c r="I476" i="37" s="1"/>
  <c r="H413" i="37"/>
  <c r="H459" i="37" s="1"/>
  <c r="R419" i="37"/>
  <c r="T424" i="37"/>
  <c r="H405" i="37"/>
  <c r="H451" i="37" s="1"/>
  <c r="N820" i="37"/>
  <c r="N817" i="37"/>
  <c r="N902" i="37" s="1"/>
  <c r="K419" i="37"/>
  <c r="K465" i="37" s="1"/>
  <c r="K423" i="37"/>
  <c r="K469" i="37" s="1"/>
  <c r="K403" i="37"/>
  <c r="K449" i="37" s="1"/>
  <c r="K405" i="37"/>
  <c r="K451" i="37" s="1"/>
  <c r="AD423" i="37"/>
  <c r="AD469" i="37" s="1"/>
  <c r="L422" i="37"/>
  <c r="L468" i="37" s="1"/>
  <c r="AD417" i="37"/>
  <c r="AD463" i="37" s="1"/>
  <c r="AF421" i="37"/>
  <c r="N404" i="37"/>
  <c r="N450" i="37" s="1"/>
  <c r="AE422" i="37"/>
  <c r="AE468" i="37" s="1"/>
  <c r="AG416" i="37"/>
  <c r="AG462" i="37" s="1"/>
  <c r="O417" i="37"/>
  <c r="O463" i="37" s="1"/>
  <c r="AH423" i="37"/>
  <c r="AH469" i="37" s="1"/>
  <c r="AH404" i="37"/>
  <c r="AH450" i="37" s="1"/>
  <c r="O411" i="37"/>
  <c r="O457" i="37" s="1"/>
  <c r="N417" i="37"/>
  <c r="N463" i="37" s="1"/>
  <c r="Y421" i="37"/>
  <c r="Y467" i="37" s="1"/>
  <c r="AI421" i="37"/>
  <c r="AM417" i="37"/>
  <c r="AI417" i="37"/>
  <c r="Z422" i="37"/>
  <c r="Z468" i="37" s="1"/>
  <c r="AA428" i="37"/>
  <c r="AA474" i="37" s="1"/>
  <c r="I415" i="37"/>
  <c r="I461" i="37" s="1"/>
  <c r="I427" i="37"/>
  <c r="R437" i="37"/>
  <c r="J405" i="37"/>
  <c r="J451" i="37" s="1"/>
  <c r="U425" i="37"/>
  <c r="J406" i="37"/>
  <c r="J452" i="37" s="1"/>
  <c r="H411" i="37"/>
  <c r="H457" i="37" s="1"/>
  <c r="S424" i="37"/>
  <c r="J419" i="37"/>
  <c r="J465" i="37" s="1"/>
  <c r="K439" i="37"/>
  <c r="K485" i="37" s="1"/>
  <c r="AC433" i="37"/>
  <c r="AC479" i="37" s="1"/>
  <c r="AC417" i="37"/>
  <c r="AC463" i="37" s="1"/>
  <c r="AC440" i="37"/>
  <c r="AC486" i="37" s="1"/>
  <c r="L412" i="37"/>
  <c r="L458" i="37" s="1"/>
  <c r="AD405" i="37"/>
  <c r="AD451" i="37" s="1"/>
  <c r="L411" i="37"/>
  <c r="L457" i="37" s="1"/>
  <c r="AG433" i="37"/>
  <c r="AG479" i="37" s="1"/>
  <c r="N442" i="37"/>
  <c r="N488" i="37" s="1"/>
  <c r="M430" i="37"/>
  <c r="M476" i="37" s="1"/>
  <c r="O443" i="37"/>
  <c r="O489" i="37" s="1"/>
  <c r="O413" i="37"/>
  <c r="O459" i="37" s="1"/>
  <c r="AH416" i="37"/>
  <c r="AH462" i="37" s="1"/>
  <c r="AH440" i="37"/>
  <c r="AH486" i="37" s="1"/>
  <c r="O416" i="37"/>
  <c r="O462" i="37" s="1"/>
  <c r="AF440" i="37"/>
  <c r="AF486" i="37" s="1"/>
  <c r="Z439" i="37"/>
  <c r="AA427" i="37"/>
  <c r="AA473" i="37" s="1"/>
  <c r="AI422" i="37"/>
  <c r="AL435" i="37"/>
  <c r="AB423" i="37"/>
  <c r="AB469" i="37" s="1"/>
  <c r="Y440" i="37"/>
  <c r="Y486" i="37" s="1"/>
  <c r="J439" i="37"/>
  <c r="J485" i="37" s="1"/>
  <c r="I433" i="37"/>
  <c r="I479" i="37" s="1"/>
  <c r="U442" i="37"/>
  <c r="Q413" i="37"/>
  <c r="U404" i="37"/>
  <c r="H425" i="37"/>
  <c r="H471" i="37" s="1"/>
  <c r="I431" i="37"/>
  <c r="I477" i="37" s="1"/>
  <c r="S410" i="37"/>
  <c r="I437" i="37"/>
  <c r="I483" i="37" s="1"/>
  <c r="N818" i="37"/>
  <c r="AF803" i="37"/>
  <c r="K413" i="37"/>
  <c r="K459" i="37" s="1"/>
  <c r="K427" i="37"/>
  <c r="K473" i="37" s="1"/>
  <c r="K412" i="37"/>
  <c r="K458" i="37" s="1"/>
  <c r="AC429" i="37"/>
  <c r="AC475" i="37" s="1"/>
  <c r="L409" i="37"/>
  <c r="L406" i="37"/>
  <c r="L452" i="37" s="1"/>
  <c r="AD404" i="37"/>
  <c r="AD450" i="37" s="1"/>
  <c r="P410" i="37"/>
  <c r="P456" i="37" s="1"/>
  <c r="AF405" i="37"/>
  <c r="AF451" i="37" s="1"/>
  <c r="M410" i="37"/>
  <c r="M456" i="37" s="1"/>
  <c r="O433" i="37"/>
  <c r="O479" i="37" s="1"/>
  <c r="AG440" i="37"/>
  <c r="AG486" i="37" s="1"/>
  <c r="P435" i="37"/>
  <c r="P481" i="37" s="1"/>
  <c r="M404" i="37"/>
  <c r="M450" i="37" s="1"/>
  <c r="O412" i="37"/>
  <c r="O458" i="37" s="1"/>
  <c r="AF434" i="37"/>
  <c r="AF480" i="37" s="1"/>
  <c r="Z427" i="37"/>
  <c r="Z473" i="37" s="1"/>
  <c r="Z409" i="37"/>
  <c r="Z455" i="37" s="1"/>
  <c r="AJ411" i="37"/>
  <c r="AB417" i="37"/>
  <c r="AB463" i="37" s="1"/>
  <c r="AA441" i="37"/>
  <c r="AA487" i="37" s="1"/>
  <c r="AM423" i="37"/>
  <c r="G439" i="37"/>
  <c r="G485" i="37" s="1"/>
  <c r="U403" i="37"/>
  <c r="J437" i="37"/>
  <c r="J483" i="37" s="1"/>
  <c r="J407" i="37"/>
  <c r="J453" i="37" s="1"/>
  <c r="S429" i="37"/>
  <c r="J441" i="37"/>
  <c r="J487" i="37" s="1"/>
  <c r="I442" i="37"/>
  <c r="I488" i="37" s="1"/>
  <c r="U422" i="37"/>
  <c r="I404" i="37"/>
  <c r="I450" i="37" s="1"/>
  <c r="N856" i="37"/>
  <c r="P392" i="37"/>
  <c r="M842" i="37"/>
  <c r="AI387" i="37"/>
  <c r="AC409" i="37"/>
  <c r="AC455" i="37" s="1"/>
  <c r="K409" i="37"/>
  <c r="K455" i="37" s="1"/>
  <c r="K415" i="37"/>
  <c r="K461" i="37" s="1"/>
  <c r="K424" i="37"/>
  <c r="K470" i="37" s="1"/>
  <c r="K407" i="37"/>
  <c r="AC421" i="37"/>
  <c r="AC416" i="37"/>
  <c r="AD403" i="37"/>
  <c r="AD449" i="37" s="1"/>
  <c r="L440" i="37"/>
  <c r="L486" i="37" s="1"/>
  <c r="L410" i="37"/>
  <c r="L456" i="37" s="1"/>
  <c r="AD421" i="37"/>
  <c r="AD467" i="37" s="1"/>
  <c r="AD441" i="37"/>
  <c r="L423" i="37"/>
  <c r="L469" i="37" s="1"/>
  <c r="L425" i="37"/>
  <c r="L471" i="37" s="1"/>
  <c r="AH405" i="37"/>
  <c r="AH451" i="37" s="1"/>
  <c r="P404" i="37"/>
  <c r="P450" i="37" s="1"/>
  <c r="AF427" i="37"/>
  <c r="AF473" i="37" s="1"/>
  <c r="AH441" i="37"/>
  <c r="AH487" i="37" s="1"/>
  <c r="M443" i="37"/>
  <c r="M489" i="37" s="1"/>
  <c r="N410" i="37"/>
  <c r="N456" i="37" s="1"/>
  <c r="M412" i="37"/>
  <c r="M458" i="37" s="1"/>
  <c r="M415" i="37"/>
  <c r="AG421" i="37"/>
  <c r="AG467" i="37" s="1"/>
  <c r="O419" i="37"/>
  <c r="O465" i="37" s="1"/>
  <c r="M416" i="37"/>
  <c r="M462" i="37" s="1"/>
  <c r="M424" i="37"/>
  <c r="M470" i="37" s="1"/>
  <c r="O415" i="37"/>
  <c r="O461" i="37" s="1"/>
  <c r="AF429" i="37"/>
  <c r="AF475" i="37" s="1"/>
  <c r="AG422" i="37"/>
  <c r="AG468" i="37" s="1"/>
  <c r="M418" i="37"/>
  <c r="M464" i="37" s="1"/>
  <c r="O431" i="37"/>
  <c r="O477" i="37" s="1"/>
  <c r="AI439" i="37"/>
  <c r="AJ415" i="37"/>
  <c r="AK427" i="37"/>
  <c r="AL433" i="37"/>
  <c r="AA429" i="37"/>
  <c r="AI405" i="37"/>
  <c r="AI440" i="37"/>
  <c r="AB429" i="37"/>
  <c r="AB475" i="37" s="1"/>
  <c r="Z441" i="37"/>
  <c r="Z487" i="37" s="1"/>
  <c r="AL416" i="37"/>
  <c r="AM410" i="37"/>
  <c r="J427" i="37"/>
  <c r="J473" i="37" s="1"/>
  <c r="S433" i="37"/>
  <c r="T427" i="37"/>
  <c r="U421" i="37"/>
  <c r="U428" i="37"/>
  <c r="I429" i="37"/>
  <c r="I475" i="37" s="1"/>
  <c r="I440" i="37"/>
  <c r="I486" i="37" s="1"/>
  <c r="R441" i="37"/>
  <c r="S442" i="37"/>
  <c r="Q435" i="37"/>
  <c r="I412" i="37"/>
  <c r="T407" i="37"/>
  <c r="H417" i="37"/>
  <c r="H463" i="37" s="1"/>
  <c r="Q412" i="37"/>
  <c r="H430" i="37"/>
  <c r="H476" i="37" s="1"/>
  <c r="R443" i="37"/>
  <c r="J413" i="37"/>
  <c r="J459" i="37" s="1"/>
  <c r="U418" i="37"/>
  <c r="U434" i="37"/>
  <c r="U412" i="37"/>
  <c r="G413" i="37"/>
  <c r="G459" i="37" s="1"/>
  <c r="H436" i="37"/>
  <c r="H482" i="37" s="1"/>
  <c r="S435" i="37"/>
  <c r="G404" i="37"/>
  <c r="G450" i="37" s="1"/>
  <c r="J423" i="37"/>
  <c r="Q443" i="37"/>
  <c r="T406" i="37"/>
  <c r="R425" i="37"/>
  <c r="J431" i="37"/>
  <c r="J477" i="37" s="1"/>
  <c r="U405" i="37"/>
  <c r="R428" i="37"/>
  <c r="R413" i="37"/>
  <c r="H431" i="37"/>
  <c r="H477" i="37" s="1"/>
  <c r="I416" i="37"/>
  <c r="S411" i="37"/>
  <c r="H429" i="37"/>
  <c r="H475" i="37" s="1"/>
  <c r="I422" i="37"/>
  <c r="I468" i="37" s="1"/>
  <c r="T436" i="37"/>
  <c r="R418" i="37"/>
  <c r="H407" i="37"/>
  <c r="H453" i="37" s="1"/>
  <c r="Q425" i="37"/>
  <c r="T410" i="37"/>
  <c r="G424" i="37"/>
  <c r="G470" i="37" s="1"/>
  <c r="Q431" i="37"/>
  <c r="R405" i="37"/>
  <c r="R411" i="37"/>
  <c r="J442" i="37"/>
  <c r="J488" i="37" s="1"/>
  <c r="H419" i="37"/>
  <c r="H465" i="37" s="1"/>
  <c r="I425" i="37"/>
  <c r="Q421" i="37"/>
  <c r="T421" i="37"/>
  <c r="J433" i="37"/>
  <c r="Q415" i="37"/>
  <c r="H439" i="37"/>
  <c r="H485" i="37" s="1"/>
  <c r="T415" i="37"/>
  <c r="R427" i="37"/>
  <c r="AL422" i="37"/>
  <c r="Z428" i="37"/>
  <c r="AM434" i="37"/>
  <c r="AJ405" i="37"/>
  <c r="AM440" i="37"/>
  <c r="AA435" i="37"/>
  <c r="AA481" i="37" s="1"/>
  <c r="AK423" i="37"/>
  <c r="AK417" i="37"/>
  <c r="AJ435" i="37"/>
  <c r="AM422" i="37"/>
  <c r="AJ404" i="37"/>
  <c r="Y428" i="37"/>
  <c r="AA411" i="37"/>
  <c r="AA457" i="37" s="1"/>
  <c r="Y441" i="37"/>
  <c r="Y487" i="37" s="1"/>
  <c r="AI435" i="37"/>
  <c r="Z416" i="37"/>
  <c r="Z462" i="37" s="1"/>
  <c r="AK433" i="37"/>
  <c r="AI433" i="37"/>
  <c r="AI409" i="37"/>
  <c r="Y415" i="37"/>
  <c r="AI415" i="37"/>
  <c r="Y409" i="37"/>
  <c r="Y455" i="37" s="1"/>
  <c r="AM421" i="37"/>
  <c r="Y439" i="37"/>
  <c r="Y485" i="37" s="1"/>
  <c r="O442" i="37"/>
  <c r="O488" i="37" s="1"/>
  <c r="N413" i="37"/>
  <c r="N459" i="37" s="1"/>
  <c r="M423" i="37"/>
  <c r="M469" i="37" s="1"/>
  <c r="P442" i="37"/>
  <c r="P488" i="37" s="1"/>
  <c r="N437" i="37"/>
  <c r="N483" i="37" s="1"/>
  <c r="O406" i="37"/>
  <c r="O452" i="37" s="1"/>
  <c r="N430" i="37"/>
  <c r="N476" i="37" s="1"/>
  <c r="P415" i="37"/>
  <c r="P461" i="37" s="1"/>
  <c r="O440" i="37"/>
  <c r="P405" i="37"/>
  <c r="P451" i="37" s="1"/>
  <c r="AH411" i="37"/>
  <c r="AH457" i="37" s="1"/>
  <c r="AF403" i="37"/>
  <c r="AF449" i="37" s="1"/>
  <c r="M440" i="37"/>
  <c r="M486" i="37" s="1"/>
  <c r="P436" i="37"/>
  <c r="P482" i="37" s="1"/>
  <c r="AG435" i="37"/>
  <c r="AG481" i="37" s="1"/>
  <c r="AE409" i="37"/>
  <c r="AE455" i="37" s="1"/>
  <c r="AG403" i="37"/>
  <c r="AG449" i="37" s="1"/>
  <c r="N427" i="37"/>
  <c r="M421" i="37"/>
  <c r="P403" i="37"/>
  <c r="P449" i="37" s="1"/>
  <c r="N412" i="37"/>
  <c r="N458" i="37" s="1"/>
  <c r="O437" i="37"/>
  <c r="O483" i="37" s="1"/>
  <c r="R417" i="37"/>
  <c r="G429" i="37"/>
  <c r="G475" i="37" s="1"/>
  <c r="U430" i="37"/>
  <c r="S416" i="37"/>
  <c r="G428" i="37"/>
  <c r="H434" i="37"/>
  <c r="T441" i="37"/>
  <c r="S434" i="37"/>
  <c r="Q424" i="37"/>
  <c r="H428" i="37"/>
  <c r="H474" i="37" s="1"/>
  <c r="Q419" i="37"/>
  <c r="U436" i="37"/>
  <c r="Q440" i="37"/>
  <c r="H410" i="37"/>
  <c r="H418" i="37"/>
  <c r="H464" i="37" s="1"/>
  <c r="T434" i="37"/>
  <c r="J404" i="37"/>
  <c r="J450" i="37" s="1"/>
  <c r="S440" i="37"/>
  <c r="Q430" i="37"/>
  <c r="T442" i="37"/>
  <c r="I417" i="37"/>
  <c r="I463" i="37" s="1"/>
  <c r="S428" i="37"/>
  <c r="U437" i="37"/>
  <c r="G425" i="37"/>
  <c r="G471" i="37" s="1"/>
  <c r="S407" i="37"/>
  <c r="Q411" i="37"/>
  <c r="T413" i="37"/>
  <c r="J416" i="37"/>
  <c r="U410" i="37"/>
  <c r="Q409" i="37"/>
  <c r="J421" i="37"/>
  <c r="J467" i="37" s="1"/>
  <c r="Q433" i="37"/>
  <c r="S403" i="37"/>
  <c r="R409" i="37"/>
  <c r="J403" i="37"/>
  <c r="J409" i="37"/>
  <c r="T409" i="37"/>
  <c r="AK435" i="37"/>
  <c r="Z434" i="37"/>
  <c r="Z480" i="37" s="1"/>
  <c r="AJ417" i="37"/>
  <c r="AI423" i="37"/>
  <c r="AJ422" i="37"/>
  <c r="Z429" i="37"/>
  <c r="Z475" i="37" s="1"/>
  <c r="AK404" i="37"/>
  <c r="AL434" i="37"/>
  <c r="AM429" i="37"/>
  <c r="Z405" i="37"/>
  <c r="Z451" i="37" s="1"/>
  <c r="AI411" i="37"/>
  <c r="AA440" i="37"/>
  <c r="AA486" i="37" s="1"/>
  <c r="AB440" i="37"/>
  <c r="AB486" i="37" s="1"/>
  <c r="AB428" i="37"/>
  <c r="AA405" i="37"/>
  <c r="Y417" i="37"/>
  <c r="AM415" i="37"/>
  <c r="Y433" i="37"/>
  <c r="Y479" i="37" s="1"/>
  <c r="AM439" i="37"/>
  <c r="AA439" i="37"/>
  <c r="AI427" i="37"/>
  <c r="AA421" i="37"/>
  <c r="AL403" i="37"/>
  <c r="AJ403" i="37"/>
  <c r="AG423" i="37"/>
  <c r="AG469" i="37" s="1"/>
  <c r="N423" i="37"/>
  <c r="N469" i="37" s="1"/>
  <c r="AH439" i="37"/>
  <c r="AH485" i="37" s="1"/>
  <c r="AF423" i="37"/>
  <c r="AF469" i="37" s="1"/>
  <c r="M409" i="37"/>
  <c r="M455" i="37" s="1"/>
  <c r="AG429" i="37"/>
  <c r="AG475" i="37" s="1"/>
  <c r="N424" i="37"/>
  <c r="N470" i="37" s="1"/>
  <c r="P416" i="37"/>
  <c r="N418" i="37"/>
  <c r="N464" i="37" s="1"/>
  <c r="O421" i="37"/>
  <c r="O467" i="37" s="1"/>
  <c r="AG409" i="37"/>
  <c r="AG455" i="37" s="1"/>
  <c r="AF441" i="37"/>
  <c r="AF487" i="37" s="1"/>
  <c r="M428" i="37"/>
  <c r="M474" i="37" s="1"/>
  <c r="P433" i="37"/>
  <c r="AF415" i="37"/>
  <c r="AF461" i="37" s="1"/>
  <c r="P440" i="37"/>
  <c r="P486" i="37" s="1"/>
  <c r="O423" i="37"/>
  <c r="N411" i="37"/>
  <c r="N457" i="37" s="1"/>
  <c r="M431" i="37"/>
  <c r="M477" i="37" s="1"/>
  <c r="AH410" i="37"/>
  <c r="AH456" i="37" s="1"/>
  <c r="M439" i="37"/>
  <c r="M485" i="37" s="1"/>
  <c r="O441" i="37"/>
  <c r="O487" i="37" s="1"/>
  <c r="T423" i="37"/>
  <c r="I436" i="37"/>
  <c r="I482" i="37" s="1"/>
  <c r="T412" i="37"/>
  <c r="S405" i="37"/>
  <c r="I410" i="37"/>
  <c r="I456" i="37" s="1"/>
  <c r="Q418" i="37"/>
  <c r="Q406" i="37"/>
  <c r="R424" i="37"/>
  <c r="G434" i="37"/>
  <c r="J410" i="37"/>
  <c r="J456" i="37" s="1"/>
  <c r="U406" i="37"/>
  <c r="R434" i="37"/>
  <c r="R410" i="37"/>
  <c r="I411" i="37"/>
  <c r="I457" i="37" s="1"/>
  <c r="T404" i="37"/>
  <c r="S436" i="37"/>
  <c r="I406" i="37"/>
  <c r="G412" i="37"/>
  <c r="T431" i="37"/>
  <c r="U411" i="37"/>
  <c r="H443" i="37"/>
  <c r="H489" i="37" s="1"/>
  <c r="R436" i="37"/>
  <c r="U419" i="37"/>
  <c r="J428" i="37"/>
  <c r="G436" i="37"/>
  <c r="R422" i="37"/>
  <c r="T429" i="37"/>
  <c r="H440" i="37"/>
  <c r="H486" i="37" s="1"/>
  <c r="G442" i="37"/>
  <c r="G488" i="37" s="1"/>
  <c r="S409" i="37"/>
  <c r="I409" i="37"/>
  <c r="I455" i="37" s="1"/>
  <c r="R403" i="37"/>
  <c r="G421" i="37"/>
  <c r="G467" i="37" s="1"/>
  <c r="R439" i="37"/>
  <c r="U427" i="37"/>
  <c r="H415" i="37"/>
  <c r="H461" i="37" s="1"/>
  <c r="G403" i="37"/>
  <c r="AI434" i="37"/>
  <c r="AB441" i="37"/>
  <c r="AB487" i="37" s="1"/>
  <c r="Y410" i="37"/>
  <c r="AK440" i="37"/>
  <c r="Y434" i="37"/>
  <c r="Y480" i="37" s="1"/>
  <c r="AA422" i="37"/>
  <c r="AI416" i="37"/>
  <c r="AJ428" i="37"/>
  <c r="AM404" i="37"/>
  <c r="AK410" i="37"/>
  <c r="AJ441" i="37"/>
  <c r="AB405" i="37"/>
  <c r="AB451" i="37" s="1"/>
  <c r="AJ440" i="37"/>
  <c r="AL405" i="37"/>
  <c r="AI441" i="37"/>
  <c r="AB404" i="37"/>
  <c r="AB450" i="37" s="1"/>
  <c r="Z433" i="37"/>
  <c r="Z479" i="37" s="1"/>
  <c r="AK403" i="37"/>
  <c r="Y403" i="37"/>
  <c r="Y449" i="37" s="1"/>
  <c r="Y427" i="37"/>
  <c r="Y473" i="37" s="1"/>
  <c r="AM433" i="37"/>
  <c r="AK421" i="37"/>
  <c r="AL421" i="37"/>
  <c r="AA433" i="37"/>
  <c r="AG439" i="37"/>
  <c r="AG485" i="37" s="1"/>
  <c r="AE415" i="37"/>
  <c r="AE461" i="37" s="1"/>
  <c r="AH409" i="37"/>
  <c r="AE441" i="37"/>
  <c r="AE487" i="37" s="1"/>
  <c r="AH427" i="37"/>
  <c r="AF433" i="37"/>
  <c r="AF479" i="37" s="1"/>
  <c r="M427" i="37"/>
  <c r="M473" i="37" s="1"/>
  <c r="P437" i="37"/>
  <c r="P483" i="37" s="1"/>
  <c r="N436" i="37"/>
  <c r="N482" i="37" s="1"/>
  <c r="O405" i="37"/>
  <c r="O451" i="37" s="1"/>
  <c r="O404" i="37"/>
  <c r="O450" i="37" s="1"/>
  <c r="N405" i="37"/>
  <c r="AE423" i="37"/>
  <c r="AE469" i="37" s="1"/>
  <c r="P428" i="37"/>
  <c r="N431" i="37"/>
  <c r="N477" i="37" s="1"/>
  <c r="P423" i="37"/>
  <c r="O424" i="37"/>
  <c r="O470" i="37" s="1"/>
  <c r="AF416" i="37"/>
  <c r="AF462" i="37" s="1"/>
  <c r="AE429" i="37"/>
  <c r="AE475" i="37" s="1"/>
  <c r="O435" i="37"/>
  <c r="O481" i="37" s="1"/>
  <c r="AH433" i="37"/>
  <c r="Q407" i="37"/>
  <c r="J435" i="37"/>
  <c r="J481" i="37" s="1"/>
  <c r="T435" i="37"/>
  <c r="U443" i="37"/>
  <c r="J436" i="37"/>
  <c r="J482" i="37" s="1"/>
  <c r="Q442" i="37"/>
  <c r="T417" i="37"/>
  <c r="S406" i="37"/>
  <c r="G418" i="37"/>
  <c r="H404" i="37"/>
  <c r="H450" i="37" s="1"/>
  <c r="S412" i="37"/>
  <c r="Q410" i="37"/>
  <c r="U416" i="37"/>
  <c r="H424" i="37"/>
  <c r="H470" i="37" s="1"/>
  <c r="T416" i="37"/>
  <c r="T419" i="37"/>
  <c r="J443" i="37"/>
  <c r="I424" i="37"/>
  <c r="I470" i="37" s="1"/>
  <c r="G406" i="37"/>
  <c r="G452" i="37" s="1"/>
  <c r="T425" i="37"/>
  <c r="S404" i="37"/>
  <c r="I434" i="37"/>
  <c r="S417" i="37"/>
  <c r="I443" i="37"/>
  <c r="I489" i="37" s="1"/>
  <c r="J434" i="37"/>
  <c r="J480" i="37" s="1"/>
  <c r="G407" i="37"/>
  <c r="G453" i="37" s="1"/>
  <c r="G419" i="37"/>
  <c r="G465" i="37" s="1"/>
  <c r="H406" i="37"/>
  <c r="H452" i="37" s="1"/>
  <c r="U423" i="37"/>
  <c r="T433" i="37"/>
  <c r="H427" i="37"/>
  <c r="U415" i="37"/>
  <c r="I421" i="37"/>
  <c r="T403" i="37"/>
  <c r="S439" i="37"/>
  <c r="R421" i="37"/>
  <c r="U433" i="37"/>
  <c r="AM405" i="37"/>
  <c r="Z404" i="37"/>
  <c r="Z450" i="37" s="1"/>
  <c r="Z435" i="37"/>
  <c r="AI410" i="37"/>
  <c r="AA410" i="37"/>
  <c r="AA456" i="37" s="1"/>
  <c r="AI429" i="37"/>
  <c r="AJ410" i="37"/>
  <c r="AM435" i="37"/>
  <c r="Y404" i="37"/>
  <c r="Y450" i="37" s="1"/>
  <c r="AJ423" i="37"/>
  <c r="AL428" i="37"/>
  <c r="Z417" i="37"/>
  <c r="Z463" i="37" s="1"/>
  <c r="Z440" i="37"/>
  <c r="Z486" i="37" s="1"/>
  <c r="AI404" i="37"/>
  <c r="AM441" i="37"/>
  <c r="Z410" i="37"/>
  <c r="Z456" i="37" s="1"/>
  <c r="AA415" i="37"/>
  <c r="AA461" i="37" s="1"/>
  <c r="Z421" i="37"/>
  <c r="AA409" i="37"/>
  <c r="AJ421" i="37"/>
  <c r="AA403" i="37"/>
  <c r="AA449" i="37" s="1"/>
  <c r="AB409" i="37"/>
  <c r="AB433" i="37"/>
  <c r="AB479" i="37" s="1"/>
  <c r="AL415" i="37"/>
  <c r="AF439" i="37"/>
  <c r="AE405" i="37"/>
  <c r="AE451" i="37" s="1"/>
  <c r="P411" i="37"/>
  <c r="P457" i="37" s="1"/>
  <c r="M441" i="37"/>
  <c r="M487" i="37" s="1"/>
  <c r="AG415" i="37"/>
  <c r="AG461" i="37" s="1"/>
  <c r="N433" i="37"/>
  <c r="N479" i="37" s="1"/>
  <c r="M403" i="37"/>
  <c r="P412" i="37"/>
  <c r="P458" i="37" s="1"/>
  <c r="AE439" i="37"/>
  <c r="AE485" i="37" s="1"/>
  <c r="O407" i="37"/>
  <c r="O453" i="37" s="1"/>
  <c r="AG428" i="37"/>
  <c r="N435" i="37"/>
  <c r="N481" i="37" s="1"/>
  <c r="AH403" i="37"/>
  <c r="AH449" i="37" s="1"/>
  <c r="P434" i="37"/>
  <c r="P480" i="37" s="1"/>
  <c r="N425" i="37"/>
  <c r="N471" i="37" s="1"/>
  <c r="O409" i="37"/>
  <c r="O434" i="37"/>
  <c r="AF404" i="37"/>
  <c r="AF450" i="37" s="1"/>
  <c r="M434" i="37"/>
  <c r="N403" i="37"/>
  <c r="O427" i="37"/>
  <c r="O473" i="37" s="1"/>
  <c r="AG404" i="37"/>
  <c r="AG450" i="37" s="1"/>
  <c r="K435" i="37"/>
  <c r="K481" i="37" s="1"/>
  <c r="K418" i="37"/>
  <c r="K464" i="37" s="1"/>
  <c r="K436" i="37"/>
  <c r="K482" i="37" s="1"/>
  <c r="AC434" i="37"/>
  <c r="AC480" i="37" s="1"/>
  <c r="K434" i="37"/>
  <c r="K480" i="37" s="1"/>
  <c r="K433" i="37"/>
  <c r="K479" i="37" s="1"/>
  <c r="AC415" i="37"/>
  <c r="AC461" i="37" s="1"/>
  <c r="L416" i="37"/>
  <c r="L462" i="37" s="1"/>
  <c r="L403" i="37"/>
  <c r="L449" i="37" s="1"/>
  <c r="AD429" i="37"/>
  <c r="L424" i="37"/>
  <c r="L470" i="37" s="1"/>
  <c r="L436" i="37"/>
  <c r="L482" i="37" s="1"/>
  <c r="L418" i="37"/>
  <c r="L464" i="37" s="1"/>
  <c r="L405" i="37"/>
  <c r="L451" i="37" s="1"/>
  <c r="AE427" i="37"/>
  <c r="AE473" i="37" s="1"/>
  <c r="AE410" i="37"/>
  <c r="AE456" i="37" s="1"/>
  <c r="AG411" i="37"/>
  <c r="AH422" i="37"/>
  <c r="AH468" i="37" s="1"/>
  <c r="AE404" i="37"/>
  <c r="AE450" i="37" s="1"/>
  <c r="N439" i="37"/>
  <c r="P417" i="37"/>
  <c r="P463" i="37" s="1"/>
  <c r="N441" i="37"/>
  <c r="N487" i="37" s="1"/>
  <c r="P441" i="37"/>
  <c r="P487" i="37" s="1"/>
  <c r="O410" i="37"/>
  <c r="O456" i="37" s="1"/>
  <c r="AE440" i="37"/>
  <c r="AE486" i="37" s="1"/>
  <c r="M437" i="37"/>
  <c r="M483" i="37" s="1"/>
  <c r="AH435" i="37"/>
  <c r="AH481" i="37" s="1"/>
  <c r="AF411" i="37"/>
  <c r="AF457" i="37" s="1"/>
  <c r="AE411" i="37"/>
  <c r="AE457" i="37" s="1"/>
  <c r="M422" i="37"/>
  <c r="M468" i="37" s="1"/>
  <c r="AG427" i="37"/>
  <c r="AG473" i="37" s="1"/>
  <c r="AM403" i="37"/>
  <c r="AM427" i="37"/>
  <c r="AJ427" i="37"/>
  <c r="AK409" i="37"/>
  <c r="AK434" i="37"/>
  <c r="AK422" i="37"/>
  <c r="AK428" i="37"/>
  <c r="Y405" i="37"/>
  <c r="Y451" i="37" s="1"/>
  <c r="Y435" i="37"/>
  <c r="Y481" i="37" s="1"/>
  <c r="AM411" i="37"/>
  <c r="AL411" i="37"/>
  <c r="G427" i="37"/>
  <c r="Q403" i="37"/>
  <c r="U409" i="37"/>
  <c r="R415" i="37"/>
  <c r="S437" i="37"/>
  <c r="J411" i="37"/>
  <c r="J457" i="37" s="1"/>
  <c r="J412" i="37"/>
  <c r="J458" i="37" s="1"/>
  <c r="R442" i="37"/>
  <c r="J424" i="37"/>
  <c r="J470" i="37" s="1"/>
  <c r="Q441" i="37"/>
  <c r="G422" i="37"/>
  <c r="G468" i="37" s="1"/>
  <c r="U424" i="37"/>
  <c r="G440" i="37"/>
  <c r="G486" i="37" s="1"/>
  <c r="Q423" i="37"/>
  <c r="I423" i="37"/>
  <c r="I469" i="37" s="1"/>
  <c r="T430" i="37"/>
  <c r="H437" i="37"/>
  <c r="H483" i="37" s="1"/>
  <c r="Q405" i="37"/>
  <c r="Q422" i="37"/>
  <c r="K429" i="37"/>
  <c r="K475" i="37" s="1"/>
  <c r="K422" i="37"/>
  <c r="K425" i="37"/>
  <c r="K471" i="37" s="1"/>
  <c r="AC422" i="37"/>
  <c r="AC468" i="37" s="1"/>
  <c r="AC403" i="37"/>
  <c r="K421" i="37"/>
  <c r="K467" i="37" s="1"/>
  <c r="K430" i="37"/>
  <c r="K476" i="37" s="1"/>
  <c r="L421" i="37"/>
  <c r="L467" i="37" s="1"/>
  <c r="L427" i="37"/>
  <c r="L473" i="37" s="1"/>
  <c r="AD422" i="37"/>
  <c r="AD468" i="37" s="1"/>
  <c r="L419" i="37"/>
  <c r="AD416" i="37"/>
  <c r="AD462" i="37" s="1"/>
  <c r="L433" i="37"/>
  <c r="L479" i="37" s="1"/>
  <c r="AD439" i="37"/>
  <c r="AD485" i="37" s="1"/>
  <c r="AE417" i="37"/>
  <c r="AE463" i="37" s="1"/>
  <c r="AF428" i="37"/>
  <c r="N421" i="37"/>
  <c r="N467" i="37" s="1"/>
  <c r="O429" i="37"/>
  <c r="AH421" i="37"/>
  <c r="AH467" i="37" s="1"/>
  <c r="M436" i="37"/>
  <c r="M482" i="37" s="1"/>
  <c r="N409" i="37"/>
  <c r="P439" i="37"/>
  <c r="P485" i="37" s="1"/>
  <c r="N443" i="37"/>
  <c r="N489" i="37" s="1"/>
  <c r="AE428" i="37"/>
  <c r="AE474" i="37" s="1"/>
  <c r="P430" i="37"/>
  <c r="P476" i="37" s="1"/>
  <c r="AE421" i="37"/>
  <c r="AF417" i="37"/>
  <c r="AF463" i="37" s="1"/>
  <c r="P443" i="37"/>
  <c r="P489" i="37" s="1"/>
  <c r="N419" i="37"/>
  <c r="N465" i="37" s="1"/>
  <c r="AH428" i="37"/>
  <c r="AH474" i="37" s="1"/>
  <c r="M405" i="37"/>
  <c r="M451" i="37" s="1"/>
  <c r="O439" i="37"/>
  <c r="O485" i="37" s="1"/>
  <c r="AJ439" i="37"/>
  <c r="AK415" i="37"/>
  <c r="Z403" i="37"/>
  <c r="Z423" i="37"/>
  <c r="Z469" i="37" s="1"/>
  <c r="AB416" i="37"/>
  <c r="AB462" i="37" s="1"/>
  <c r="AK405" i="37"/>
  <c r="AM416" i="37"/>
  <c r="Y423" i="37"/>
  <c r="Y469" i="37" s="1"/>
  <c r="AL404" i="37"/>
  <c r="AM428" i="37"/>
  <c r="AA423" i="37"/>
  <c r="AA469" i="37" s="1"/>
  <c r="I439" i="37"/>
  <c r="I485" i="37" s="1"/>
  <c r="S415" i="37"/>
  <c r="S421" i="37"/>
  <c r="Q439" i="37"/>
  <c r="J425" i="37"/>
  <c r="J471" i="37" s="1"/>
  <c r="H416" i="37"/>
  <c r="H462" i="37" s="1"/>
  <c r="J429" i="37"/>
  <c r="J475" i="37" s="1"/>
  <c r="R430" i="37"/>
  <c r="I407" i="37"/>
  <c r="I453" i="37" s="1"/>
  <c r="I418" i="37"/>
  <c r="I464" i="37" s="1"/>
  <c r="J417" i="37"/>
  <c r="J463" i="37" s="1"/>
  <c r="Q416" i="37"/>
  <c r="G441" i="37"/>
  <c r="Q428" i="37"/>
  <c r="G435" i="37"/>
  <c r="G481" i="37" s="1"/>
  <c r="R431" i="37"/>
  <c r="H441" i="37"/>
  <c r="H487" i="37" s="1"/>
  <c r="S418" i="37"/>
  <c r="T443" i="37"/>
  <c r="X383" i="37"/>
  <c r="K416" i="37"/>
  <c r="K462" i="37" s="1"/>
  <c r="AC435" i="37"/>
  <c r="AC481" i="37" s="1"/>
  <c r="K437" i="37"/>
  <c r="K483" i="37" s="1"/>
  <c r="K410" i="37"/>
  <c r="AC423" i="37"/>
  <c r="AC469" i="37" s="1"/>
  <c r="AC439" i="37"/>
  <c r="K406" i="37"/>
  <c r="K452" i="37" s="1"/>
  <c r="AD434" i="37"/>
  <c r="L435" i="37"/>
  <c r="L428" i="37"/>
  <c r="L474" i="37" s="1"/>
  <c r="AD435" i="37"/>
  <c r="AD481" i="37" s="1"/>
  <c r="L429" i="37"/>
  <c r="L475" i="37" s="1"/>
  <c r="L443" i="37"/>
  <c r="L489" i="37" s="1"/>
  <c r="L404" i="37"/>
  <c r="L450" i="37" s="1"/>
  <c r="M425" i="37"/>
  <c r="M471" i="37" s="1"/>
  <c r="N415" i="37"/>
  <c r="M413" i="37"/>
  <c r="O403" i="37"/>
  <c r="O449" i="37" s="1"/>
  <c r="AE434" i="37"/>
  <c r="AE480" i="37" s="1"/>
  <c r="M433" i="37"/>
  <c r="M479" i="37" s="1"/>
  <c r="AG441" i="37"/>
  <c r="AG487" i="37" s="1"/>
  <c r="N416" i="37"/>
  <c r="N462" i="37" s="1"/>
  <c r="AF410" i="37"/>
  <c r="AF456" i="37" s="1"/>
  <c r="O425" i="37"/>
  <c r="O471" i="37" s="1"/>
  <c r="P429" i="37"/>
  <c r="P475" i="37" s="1"/>
  <c r="AE433" i="37"/>
  <c r="N434" i="37"/>
  <c r="N480" i="37" s="1"/>
  <c r="P413" i="37"/>
  <c r="P459" i="37" s="1"/>
  <c r="N422" i="37"/>
  <c r="N468" i="37" s="1"/>
  <c r="P418" i="37"/>
  <c r="P464" i="37" s="1"/>
  <c r="M442" i="37"/>
  <c r="M488" i="37" s="1"/>
  <c r="AB421" i="37"/>
  <c r="Z415" i="37"/>
  <c r="Z461" i="37" s="1"/>
  <c r="AI403" i="37"/>
  <c r="AJ433" i="37"/>
  <c r="AJ416" i="37"/>
  <c r="AL410" i="37"/>
  <c r="AA416" i="37"/>
  <c r="AA462" i="37" s="1"/>
  <c r="AL429" i="37"/>
  <c r="Y411" i="37"/>
  <c r="Y457" i="37" s="1"/>
  <c r="AK429" i="37"/>
  <c r="AK416" i="37"/>
  <c r="AB434" i="37"/>
  <c r="AB480" i="37" s="1"/>
  <c r="T439" i="37"/>
  <c r="J415" i="37"/>
  <c r="J461" i="37" s="1"/>
  <c r="H403" i="37"/>
  <c r="I403" i="37"/>
  <c r="I449" i="37" s="1"/>
  <c r="R440" i="37"/>
  <c r="G430" i="37"/>
  <c r="G437" i="37"/>
  <c r="R416" i="37"/>
  <c r="R423" i="37"/>
  <c r="J440" i="37"/>
  <c r="J486" i="37" s="1"/>
  <c r="H412" i="37"/>
  <c r="H458" i="37" s="1"/>
  <c r="U435" i="37"/>
  <c r="T440" i="37"/>
  <c r="T411" i="37"/>
  <c r="G431" i="37"/>
  <c r="U407" i="37"/>
  <c r="J422" i="37"/>
  <c r="J468" i="37" s="1"/>
  <c r="U429" i="37"/>
  <c r="R404" i="37"/>
  <c r="F776" i="37"/>
  <c r="AH362" i="37"/>
  <c r="X362" i="37" s="1"/>
  <c r="AN365" i="37" s="1"/>
  <c r="N835" i="37"/>
  <c r="Q915" i="37" a="1"/>
  <c r="Q915" i="37" s="1"/>
  <c r="P768" i="37"/>
  <c r="E941" i="51" s="1"/>
  <c r="AI376" i="37"/>
  <c r="Q376" i="37"/>
  <c r="F389" i="37"/>
  <c r="S430" i="37"/>
  <c r="Q770" i="37"/>
  <c r="Q769" i="37" s="1"/>
  <c r="Q768" i="37" s="1"/>
  <c r="O756" i="37"/>
  <c r="O816" i="37" s="1"/>
  <c r="O820" i="37" s="1"/>
  <c r="AI383" i="37"/>
  <c r="Q943" i="37" a="1"/>
  <c r="Q943" i="37" s="1"/>
  <c r="X388" i="37"/>
  <c r="Q397" i="37"/>
  <c r="Q372" i="37"/>
  <c r="Q393" i="37"/>
  <c r="Q358" i="37"/>
  <c r="AH380" i="37"/>
  <c r="X380" i="37" s="1"/>
  <c r="AI358" i="37"/>
  <c r="O839" i="37"/>
  <c r="Q364" i="37"/>
  <c r="Q360" i="37"/>
  <c r="H435" i="37"/>
  <c r="H481" i="37" s="1"/>
  <c r="S413" i="37"/>
  <c r="R435" i="37"/>
  <c r="AI364" i="37"/>
  <c r="V768" i="37"/>
  <c r="X395" i="37"/>
  <c r="AI363" i="37"/>
  <c r="Q373" i="37"/>
  <c r="Q790" i="37"/>
  <c r="Q789" i="37" s="1"/>
  <c r="Q788" i="37" s="1"/>
  <c r="P789" i="37"/>
  <c r="V790" i="37"/>
  <c r="V793" i="37"/>
  <c r="O792" i="37"/>
  <c r="K106" i="48" s="1"/>
  <c r="O838" i="37"/>
  <c r="O944" i="37" s="1"/>
  <c r="AH392" i="37"/>
  <c r="X392" i="37" s="1"/>
  <c r="AN393" i="37" s="1"/>
  <c r="AI375" i="37"/>
  <c r="AI365" i="37"/>
  <c r="AI371" i="37"/>
  <c r="Q369" i="37"/>
  <c r="Q389" i="37"/>
  <c r="Q390" i="37"/>
  <c r="Q367" i="37"/>
  <c r="Q395" i="37"/>
  <c r="Q794" i="37"/>
  <c r="Q793" i="37" s="1"/>
  <c r="Q792" i="37" s="1"/>
  <c r="F372" i="37"/>
  <c r="U417" i="37"/>
  <c r="Q436" i="37"/>
  <c r="I435" i="37"/>
  <c r="I481" i="37" s="1"/>
  <c r="H422" i="37"/>
  <c r="H468" i="37" s="1"/>
  <c r="S419" i="37"/>
  <c r="T422" i="37"/>
  <c r="O761" i="37"/>
  <c r="O851" i="37" s="1"/>
  <c r="P356" i="37"/>
  <c r="C528" i="51" s="1" a="1"/>
  <c r="C528" i="51" s="1"/>
  <c r="P781" i="37"/>
  <c r="V782" i="37"/>
  <c r="X364" i="37"/>
  <c r="P386" i="37"/>
  <c r="F397" i="37"/>
  <c r="X377" i="37"/>
  <c r="AI357" i="37"/>
  <c r="AI359" i="37"/>
  <c r="AI382" i="37"/>
  <c r="Q387" i="37"/>
  <c r="Q384" i="37"/>
  <c r="Q382" i="37"/>
  <c r="Q370" i="37"/>
  <c r="Q901" i="37" a="1"/>
  <c r="Q901" i="37" s="1"/>
  <c r="Q385" i="37"/>
  <c r="G417" i="37"/>
  <c r="G463" i="37" s="1"/>
  <c r="S423" i="37"/>
  <c r="Q429" i="37"/>
  <c r="H423" i="37"/>
  <c r="H469" i="37" s="1"/>
  <c r="G411" i="37"/>
  <c r="G457" i="37" s="1"/>
  <c r="S431" i="37"/>
  <c r="U413" i="37"/>
  <c r="F360" i="37"/>
  <c r="V770" i="37"/>
  <c r="AH386" i="37"/>
  <c r="X386" i="37" s="1"/>
  <c r="X394" i="37"/>
  <c r="O755" i="37"/>
  <c r="O809" i="37" s="1"/>
  <c r="O841" i="37"/>
  <c r="P368" i="37"/>
  <c r="F369" i="37"/>
  <c r="P374" i="37"/>
  <c r="F528" i="51" s="1" a="1"/>
  <c r="F528" i="51" s="1"/>
  <c r="F375" i="37"/>
  <c r="AI381" i="37"/>
  <c r="AI377" i="37"/>
  <c r="Q363" i="37"/>
  <c r="Q377" i="37"/>
  <c r="Q366" i="37"/>
  <c r="Q361" i="37"/>
  <c r="Q957" i="37" a="1"/>
  <c r="Q957" i="37" s="1"/>
  <c r="Q887" i="37" a="1"/>
  <c r="Q887" i="37" s="1"/>
  <c r="Q774" i="37"/>
  <c r="Q773" i="37" s="1"/>
  <c r="Q772" i="37" s="1"/>
  <c r="O758" i="37"/>
  <c r="O830" i="37" s="1"/>
  <c r="F366" i="37"/>
  <c r="V778" i="37"/>
  <c r="O757" i="37"/>
  <c r="O823" i="37" s="1"/>
  <c r="V785" i="37"/>
  <c r="O784" i="37"/>
  <c r="I106" i="48" s="1"/>
  <c r="AI369" i="37"/>
  <c r="AI389" i="37"/>
  <c r="Q381" i="37"/>
  <c r="Q388" i="37"/>
  <c r="Q365" i="37"/>
  <c r="Q394" i="37"/>
  <c r="Q371" i="37"/>
  <c r="Q786" i="37"/>
  <c r="Q785" i="37" s="1"/>
  <c r="Q784" i="37" s="1"/>
  <c r="S422" i="37"/>
  <c r="O760" i="37"/>
  <c r="O844" i="37" s="1"/>
  <c r="F367" i="37"/>
  <c r="V777" i="37"/>
  <c r="X370" i="37"/>
  <c r="X371" i="37"/>
  <c r="F390" i="37"/>
  <c r="AH368" i="37"/>
  <c r="X368" i="37" s="1"/>
  <c r="F394" i="37"/>
  <c r="F378" i="37"/>
  <c r="AH374" i="37"/>
  <c r="X374" i="37" s="1"/>
  <c r="X375" i="37"/>
  <c r="AI370" i="37"/>
  <c r="AI394" i="37"/>
  <c r="Q375" i="37"/>
  <c r="Q391" i="37"/>
  <c r="Q378" i="37"/>
  <c r="Q379" i="37"/>
  <c r="Q782" i="37"/>
  <c r="Q781" i="37" s="1"/>
  <c r="Q780" i="37" s="1"/>
  <c r="X376" i="37"/>
  <c r="AH356" i="37"/>
  <c r="X356" i="37" s="1"/>
  <c r="CR33" i="28"/>
  <c r="R924" i="37" s="1" a="1"/>
  <c r="R924" i="37" s="1"/>
  <c r="N813" i="37"/>
  <c r="N865" i="37"/>
  <c r="N811" i="37"/>
  <c r="AF802" i="37"/>
  <c r="N812" i="37"/>
  <c r="N815" i="37"/>
  <c r="N810" i="37"/>
  <c r="F359" i="37"/>
  <c r="O843" i="37"/>
  <c r="X358" i="37"/>
  <c r="O840" i="37"/>
  <c r="AG806" i="37"/>
  <c r="FU28" i="28"/>
  <c r="F373" i="37"/>
  <c r="AI393" i="37"/>
  <c r="AI395" i="37"/>
  <c r="AI388" i="37"/>
  <c r="Q357" i="37"/>
  <c r="Q383" i="37"/>
  <c r="Q396" i="37"/>
  <c r="Q971" i="37" a="1"/>
  <c r="Q971" i="37" s="1"/>
  <c r="Q359" i="37"/>
  <c r="Q929" i="37" a="1"/>
  <c r="Q929" i="37" s="1"/>
  <c r="Q778" i="37"/>
  <c r="Q777" i="37" s="1"/>
  <c r="Q776" i="37" s="1"/>
  <c r="F385" i="37"/>
  <c r="F391" i="37"/>
  <c r="P380" i="37"/>
  <c r="V773" i="37"/>
  <c r="O772" i="37"/>
  <c r="F106" i="48" s="1"/>
  <c r="F377" i="37"/>
  <c r="F382" i="37"/>
  <c r="X389" i="37"/>
  <c r="CA32" i="37"/>
  <c r="BE31" i="37"/>
  <c r="CA38" i="37"/>
  <c r="CA25" i="37"/>
  <c r="CA37" i="37"/>
  <c r="CA30" i="37"/>
  <c r="CA42" i="37"/>
  <c r="CA23" i="37"/>
  <c r="CA53" i="37"/>
  <c r="BE37" i="37"/>
  <c r="CA33" i="37"/>
  <c r="CA29" i="37"/>
  <c r="BE19" i="37"/>
  <c r="CA34" i="37"/>
  <c r="CA55" i="37"/>
  <c r="CA49" i="37"/>
  <c r="CA45" i="37"/>
  <c r="CA31" i="37"/>
  <c r="CA19" i="37"/>
  <c r="FV30" i="28" s="1"/>
  <c r="BE50" i="37"/>
  <c r="BE20" i="37"/>
  <c r="CA52" i="37"/>
  <c r="BE25" i="37"/>
  <c r="CA47" i="37"/>
  <c r="CA44" i="37"/>
  <c r="BE55" i="37"/>
  <c r="CA36" i="37"/>
  <c r="CA46" i="37"/>
  <c r="CA16" i="37"/>
  <c r="CA24" i="37"/>
  <c r="CA43" i="37"/>
  <c r="CA15" i="37"/>
  <c r="EQ32" i="28" s="1"/>
  <c r="CA40" i="37"/>
  <c r="CA35" i="37"/>
  <c r="BE49" i="37"/>
  <c r="CA26" i="37"/>
  <c r="BE56" i="37"/>
  <c r="CA17" i="37"/>
  <c r="BE43" i="37"/>
  <c r="CA39" i="37"/>
  <c r="CA20" i="37"/>
  <c r="FV29" i="28" s="1"/>
  <c r="CA48" i="37"/>
  <c r="CA28" i="37"/>
  <c r="BE38" i="37"/>
  <c r="CA22" i="37"/>
  <c r="CA18" i="37"/>
  <c r="CA51" i="37"/>
  <c r="BE26" i="37"/>
  <c r="BE32" i="37"/>
  <c r="BE44" i="37"/>
  <c r="CA54" i="37"/>
  <c r="CA21" i="37"/>
  <c r="CA27" i="37"/>
  <c r="CA41" i="37"/>
  <c r="CA50" i="37"/>
  <c r="CA56" i="37"/>
  <c r="AT135" i="37"/>
  <c r="AW146" i="37"/>
  <c r="F931" i="37"/>
  <c r="AU146" i="37"/>
  <c r="AV146" i="37"/>
  <c r="AT146" i="37"/>
  <c r="AI150" i="37"/>
  <c r="BA154" i="37" s="1"/>
  <c r="AX146" i="37"/>
  <c r="P65" i="37"/>
  <c r="F65" i="37" s="1"/>
  <c r="AV147" i="37"/>
  <c r="AU147" i="37"/>
  <c r="AT147" i="37"/>
  <c r="AV129" i="37"/>
  <c r="AT163" i="37"/>
  <c r="AY147" i="37"/>
  <c r="AX147" i="37"/>
  <c r="AT139" i="37"/>
  <c r="AW163" i="37"/>
  <c r="AX163" i="37"/>
  <c r="AU163" i="37"/>
  <c r="AY163" i="37"/>
  <c r="AV163" i="37"/>
  <c r="AU135" i="37"/>
  <c r="AV135" i="37"/>
  <c r="AW139" i="37"/>
  <c r="AX139" i="37"/>
  <c r="F62" i="37"/>
  <c r="AY164" i="37"/>
  <c r="AT164" i="37"/>
  <c r="Q622" i="37"/>
  <c r="F15" i="37"/>
  <c r="Z164" i="37"/>
  <c r="AZ164" i="37"/>
  <c r="F164" i="37"/>
  <c r="AY129" i="37"/>
  <c r="AT129" i="37"/>
  <c r="AU139" i="37"/>
  <c r="AV139" i="37"/>
  <c r="AW133" i="37"/>
  <c r="AU133" i="37"/>
  <c r="AI619" i="37"/>
  <c r="AV133" i="37"/>
  <c r="Q619" i="37"/>
  <c r="AW129" i="37"/>
  <c r="AU129" i="37"/>
  <c r="Q84" i="37"/>
  <c r="F598" i="37"/>
  <c r="P673" i="37"/>
  <c r="AZ129" i="37"/>
  <c r="Q73" i="37"/>
  <c r="AZ131" i="37"/>
  <c r="AX164" i="37"/>
  <c r="AZ128" i="37"/>
  <c r="AZ127" i="37"/>
  <c r="AZ130" i="37"/>
  <c r="AW164" i="37"/>
  <c r="F945" i="37"/>
  <c r="P206" i="37"/>
  <c r="F206" i="37" s="1"/>
  <c r="V917" i="37"/>
  <c r="Q218" i="37"/>
  <c r="AI621" i="37"/>
  <c r="AX133" i="37"/>
  <c r="AY133" i="37"/>
  <c r="F166" i="37"/>
  <c r="AZ139" i="37"/>
  <c r="Q620" i="37"/>
  <c r="Z166" i="37"/>
  <c r="AI616" i="37"/>
  <c r="AV164" i="37"/>
  <c r="Q615" i="37"/>
  <c r="AX135" i="37"/>
  <c r="AY135" i="37"/>
  <c r="AY166" i="37"/>
  <c r="Q610" i="37"/>
  <c r="P643" i="37"/>
  <c r="F45" i="37"/>
  <c r="AI592" i="37"/>
  <c r="AZ141" i="37"/>
  <c r="F973" i="37"/>
  <c r="Q604" i="37"/>
  <c r="AZ143" i="37"/>
  <c r="AZ140" i="37"/>
  <c r="AI604" i="37"/>
  <c r="F959" i="37"/>
  <c r="Q625" i="37"/>
  <c r="AI162" i="37"/>
  <c r="BA163" i="37" s="1"/>
  <c r="F66" i="37"/>
  <c r="AI589" i="37"/>
  <c r="AI602" i="37"/>
  <c r="AI607" i="37"/>
  <c r="AJ154" i="37"/>
  <c r="Z154" i="37" s="1"/>
  <c r="F154" i="37"/>
  <c r="Q51" i="37"/>
  <c r="Q674" i="37" a="1"/>
  <c r="Q674" i="37" s="1"/>
  <c r="Q163" i="37"/>
  <c r="AJ152" i="37"/>
  <c r="Z152" i="37" s="1"/>
  <c r="F152" i="37"/>
  <c r="AT140" i="37"/>
  <c r="AV140" i="37"/>
  <c r="AU140" i="37"/>
  <c r="AW140" i="37"/>
  <c r="AX140" i="37"/>
  <c r="AY140" i="37"/>
  <c r="F525" i="37"/>
  <c r="AH598" i="37"/>
  <c r="X598" i="37" s="1"/>
  <c r="X506" i="37"/>
  <c r="AI614" i="37"/>
  <c r="Q931" i="37"/>
  <c r="Q592" i="37"/>
  <c r="Q627" i="37"/>
  <c r="Q973" i="37"/>
  <c r="AI622" i="37"/>
  <c r="Q609" i="37"/>
  <c r="Q588" i="37"/>
  <c r="Q495" i="37"/>
  <c r="AT143" i="37"/>
  <c r="AV143" i="37"/>
  <c r="AU143" i="37"/>
  <c r="AW143" i="37"/>
  <c r="AX143" i="37"/>
  <c r="AY143" i="37"/>
  <c r="Q145" i="37"/>
  <c r="Q33" i="37"/>
  <c r="Q64" i="37" s="1"/>
  <c r="Q656" i="37" a="1"/>
  <c r="Q656" i="37" s="1"/>
  <c r="R47" i="37"/>
  <c r="R676" i="37" a="1"/>
  <c r="R676" i="37" s="1"/>
  <c r="R165" i="37"/>
  <c r="AL165" i="37" s="1"/>
  <c r="R25" i="37"/>
  <c r="R83" i="37" s="1"/>
  <c r="AL110" i="37"/>
  <c r="R110" i="37" s="1"/>
  <c r="R46" i="37"/>
  <c r="R77" i="37" s="1"/>
  <c r="AL45" i="37"/>
  <c r="AL204" i="37"/>
  <c r="AL203" i="37"/>
  <c r="AL205" i="37"/>
  <c r="R40" i="37"/>
  <c r="R76" i="37" s="1"/>
  <c r="AL199" i="37"/>
  <c r="AL200" i="37"/>
  <c r="AL39" i="37"/>
  <c r="AL201" i="37"/>
  <c r="BD45" i="37"/>
  <c r="F142" i="37"/>
  <c r="P599" i="37"/>
  <c r="F599" i="37" s="1"/>
  <c r="F600" i="37"/>
  <c r="AJ145" i="37"/>
  <c r="AJ144" i="37" s="1"/>
  <c r="P144" i="37"/>
  <c r="AG593" i="37"/>
  <c r="AJ143" i="37"/>
  <c r="Z143" i="37" s="1"/>
  <c r="F143" i="37"/>
  <c r="AT160" i="37"/>
  <c r="AU160" i="37"/>
  <c r="AV160" i="37"/>
  <c r="AW160" i="37"/>
  <c r="AX160" i="37"/>
  <c r="Q148" i="37"/>
  <c r="AK148" i="37" s="1"/>
  <c r="Q659" i="37" a="1"/>
  <c r="Q659" i="37" s="1"/>
  <c r="P156" i="37"/>
  <c r="AJ157" i="37"/>
  <c r="AJ127" i="37"/>
  <c r="AJ126" i="37" s="1"/>
  <c r="P126" i="37"/>
  <c r="AH605" i="37"/>
  <c r="X605" i="37" s="1"/>
  <c r="X606" i="37"/>
  <c r="BH51" i="37"/>
  <c r="F157" i="37"/>
  <c r="F21" i="37"/>
  <c r="F571" i="37"/>
  <c r="AT154" i="37"/>
  <c r="AU154" i="37"/>
  <c r="AV154" i="37"/>
  <c r="AX154" i="37"/>
  <c r="AW154" i="37"/>
  <c r="AY154" i="37"/>
  <c r="F51" i="37"/>
  <c r="Q640" i="37" a="1"/>
  <c r="Q640" i="37" s="1"/>
  <c r="Q129" i="37"/>
  <c r="AK129" i="37" s="1"/>
  <c r="N842" i="37"/>
  <c r="AI132" i="37"/>
  <c r="P162" i="37"/>
  <c r="AJ163" i="37"/>
  <c r="F163" i="37"/>
  <c r="O593" i="37"/>
  <c r="Q642" i="37" a="1"/>
  <c r="Q642" i="37" s="1"/>
  <c r="Q131" i="37"/>
  <c r="AK131" i="37" s="1"/>
  <c r="AJ158" i="37"/>
  <c r="Z158" i="37" s="1"/>
  <c r="F158" i="37"/>
  <c r="N849" i="37"/>
  <c r="AH587" i="37"/>
  <c r="X587" i="37" s="1"/>
  <c r="AH597" i="37"/>
  <c r="X597" i="37" s="1"/>
  <c r="AH594" i="37"/>
  <c r="X594" i="37" s="1"/>
  <c r="AH501" i="37"/>
  <c r="X501" i="37" s="1"/>
  <c r="Q160" i="37"/>
  <c r="AK160" i="37" s="1"/>
  <c r="Q671" i="37" a="1"/>
  <c r="Q671" i="37" s="1"/>
  <c r="Q607" i="37"/>
  <c r="Q602" i="37"/>
  <c r="AI600" i="37"/>
  <c r="AI507" i="37"/>
  <c r="Q917" i="37"/>
  <c r="AI553" i="37"/>
  <c r="Q945" i="37"/>
  <c r="AI624" i="37"/>
  <c r="AI531" i="37"/>
  <c r="AI626" i="37"/>
  <c r="Q618" i="37"/>
  <c r="Q525" i="37"/>
  <c r="AT152" i="37"/>
  <c r="AU152" i="37"/>
  <c r="AV152" i="37"/>
  <c r="AX152" i="37"/>
  <c r="AW152" i="37"/>
  <c r="AY152" i="37"/>
  <c r="V889" i="37"/>
  <c r="BD21" i="37"/>
  <c r="R672" i="37" a="1"/>
  <c r="R672" i="37" s="1"/>
  <c r="R161" i="37"/>
  <c r="AL161" i="37" s="1"/>
  <c r="R159" i="37"/>
  <c r="AL159" i="37" s="1"/>
  <c r="R670" i="37" a="1"/>
  <c r="R670" i="37" s="1"/>
  <c r="R32" i="37"/>
  <c r="R223" i="37" s="1" a="1"/>
  <c r="R223" i="37" s="1"/>
  <c r="R164" i="37"/>
  <c r="AL164" i="37" s="1"/>
  <c r="R675" i="37" a="1"/>
  <c r="R675" i="37" s="1"/>
  <c r="R666" i="37" a="1"/>
  <c r="R666" i="37" s="1"/>
  <c r="R155" i="37"/>
  <c r="AL155" i="37" s="1"/>
  <c r="N828" i="37"/>
  <c r="Z142" i="37"/>
  <c r="F507" i="37"/>
  <c r="AI144" i="37"/>
  <c r="AJ139" i="37"/>
  <c r="Z139" i="37" s="1"/>
  <c r="P138" i="37"/>
  <c r="AI156" i="37"/>
  <c r="Q128" i="37"/>
  <c r="AK128" i="37" s="1"/>
  <c r="Q639" i="37" a="1"/>
  <c r="Q639" i="37" s="1"/>
  <c r="AU136" i="37"/>
  <c r="AT136" i="37"/>
  <c r="AV136" i="37"/>
  <c r="AW136" i="37"/>
  <c r="AY136" i="37"/>
  <c r="AX136" i="37"/>
  <c r="Q136" i="37"/>
  <c r="AK136" i="37" s="1"/>
  <c r="Q647" i="37" a="1"/>
  <c r="Q647" i="37" s="1"/>
  <c r="P218" i="37"/>
  <c r="F218" i="37" s="1"/>
  <c r="F219" i="37"/>
  <c r="P617" i="37"/>
  <c r="F617" i="37" s="1"/>
  <c r="F618" i="37"/>
  <c r="F559" i="37"/>
  <c r="F513" i="37"/>
  <c r="AT157" i="37"/>
  <c r="AU157" i="37"/>
  <c r="AV157" i="37"/>
  <c r="AW157" i="37"/>
  <c r="AX157" i="37"/>
  <c r="AH623" i="37"/>
  <c r="X623" i="37" s="1"/>
  <c r="X624" i="37"/>
  <c r="F506" i="37"/>
  <c r="Q15" i="37"/>
  <c r="Q61" i="37" s="1"/>
  <c r="Q638" i="37" a="1"/>
  <c r="Q638" i="37" s="1"/>
  <c r="Q127" i="37"/>
  <c r="AH596" i="37"/>
  <c r="X596" i="37" s="1"/>
  <c r="X504" i="37"/>
  <c r="AT161" i="37"/>
  <c r="AU161" i="37"/>
  <c r="AV161" i="37"/>
  <c r="AX161" i="37"/>
  <c r="AW161" i="37"/>
  <c r="AI601" i="37"/>
  <c r="AI628" i="37"/>
  <c r="AI590" i="37"/>
  <c r="Q590" i="37"/>
  <c r="Q547" i="37"/>
  <c r="Q507" i="37"/>
  <c r="Q600" i="37"/>
  <c r="Q616" i="37"/>
  <c r="Q621" i="37"/>
  <c r="AI541" i="37"/>
  <c r="AI618" i="37"/>
  <c r="AI525" i="37"/>
  <c r="AJ167" i="37"/>
  <c r="Z167" i="37" s="1"/>
  <c r="F167" i="37"/>
  <c r="R183" i="37" a="1"/>
  <c r="R183" i="37" s="1"/>
  <c r="R201" i="37" a="1"/>
  <c r="R201" i="37" s="1"/>
  <c r="R195" i="37" a="1"/>
  <c r="R195" i="37" s="1"/>
  <c r="R184" i="37" a="1"/>
  <c r="R184" i="37" s="1"/>
  <c r="R192" i="37" a="1"/>
  <c r="R192" i="37" s="1"/>
  <c r="R214" i="37" a="1"/>
  <c r="R214" i="37" s="1"/>
  <c r="R185" i="37" a="1"/>
  <c r="R185" i="37" s="1"/>
  <c r="R215" i="37" a="1"/>
  <c r="R215" i="37" s="1"/>
  <c r="R189" i="37" a="1"/>
  <c r="R189" i="37" s="1"/>
  <c r="R211" i="37" a="1"/>
  <c r="R211" i="37" s="1"/>
  <c r="R186" i="37" a="1"/>
  <c r="R186" i="37" s="1"/>
  <c r="R199" i="37" a="1"/>
  <c r="R199" i="37" s="1"/>
  <c r="R205" i="37" a="1"/>
  <c r="R205" i="37" s="1"/>
  <c r="R196" i="37" a="1"/>
  <c r="R196" i="37" s="1"/>
  <c r="R198" i="37" a="1"/>
  <c r="R198" i="37" s="1"/>
  <c r="R193" i="37" a="1"/>
  <c r="R193" i="37" s="1"/>
  <c r="R209" i="37" a="1"/>
  <c r="R209" i="37" s="1"/>
  <c r="R202" i="37" a="1"/>
  <c r="R202" i="37" s="1"/>
  <c r="R187" i="37" a="1"/>
  <c r="R187" i="37" s="1"/>
  <c r="R190" i="37" a="1"/>
  <c r="R190" i="37" s="1"/>
  <c r="R197" i="37" a="1"/>
  <c r="R197" i="37" s="1"/>
  <c r="R191" i="37" a="1"/>
  <c r="R191" i="37" s="1"/>
  <c r="R217" i="37" a="1"/>
  <c r="R217" i="37" s="1"/>
  <c r="R208" i="37" a="1"/>
  <c r="R208" i="37" s="1"/>
  <c r="R204" i="37" a="1"/>
  <c r="R204" i="37" s="1"/>
  <c r="R220" i="37" a="1"/>
  <c r="R220" i="37" s="1"/>
  <c r="R203" i="37" a="1"/>
  <c r="R203" i="37" s="1"/>
  <c r="R678" i="37" a="1"/>
  <c r="R678" i="37" s="1"/>
  <c r="R167" i="37"/>
  <c r="AL167" i="37" s="1"/>
  <c r="R41" i="37"/>
  <c r="R42" i="37"/>
  <c r="R129" i="37"/>
  <c r="AL129" i="37" s="1"/>
  <c r="R640" i="37" a="1"/>
  <c r="R640" i="37" s="1"/>
  <c r="R36" i="37"/>
  <c r="R100" i="37"/>
  <c r="F503" i="37"/>
  <c r="AI138" i="37"/>
  <c r="F504" i="37"/>
  <c r="F495" i="37"/>
  <c r="Q139" i="37"/>
  <c r="Q27" i="37"/>
  <c r="Q650" i="37" a="1"/>
  <c r="Q650" i="37" s="1"/>
  <c r="AH547" i="37"/>
  <c r="X547" i="37" s="1"/>
  <c r="X548" i="37"/>
  <c r="AH595" i="37"/>
  <c r="X595" i="37" s="1"/>
  <c r="X503" i="37"/>
  <c r="Q608" i="37"/>
  <c r="Q889" i="37"/>
  <c r="AI495" i="37"/>
  <c r="AI588" i="37"/>
  <c r="AI577" i="37"/>
  <c r="Q959" i="37"/>
  <c r="Q591" i="37"/>
  <c r="Q541" i="37"/>
  <c r="AI612" i="37"/>
  <c r="AI519" i="37"/>
  <c r="R787" i="37"/>
  <c r="R791" i="37"/>
  <c r="FU59" i="28"/>
  <c r="R783" i="37"/>
  <c r="R779" i="37"/>
  <c r="R775" i="37"/>
  <c r="R795" i="37"/>
  <c r="R771" i="37"/>
  <c r="R19" i="37"/>
  <c r="R82" i="37" s="1"/>
  <c r="AL109" i="37"/>
  <c r="R109" i="37" s="1"/>
  <c r="R648" i="37" a="1"/>
  <c r="R648" i="37" s="1"/>
  <c r="R137" i="37"/>
  <c r="AL137" i="37" s="1"/>
  <c r="BD33" i="37"/>
  <c r="R149" i="37"/>
  <c r="AL149" i="37" s="1"/>
  <c r="R660" i="37" a="1"/>
  <c r="R660" i="37" s="1"/>
  <c r="AT155" i="37"/>
  <c r="AV155" i="37"/>
  <c r="AU155" i="37"/>
  <c r="AW155" i="37"/>
  <c r="AX155" i="37"/>
  <c r="AY155" i="37"/>
  <c r="Q87" i="37"/>
  <c r="Q166" i="37"/>
  <c r="AK166" i="37" s="1"/>
  <c r="Q677" i="37" a="1"/>
  <c r="Q677" i="37" s="1"/>
  <c r="P63" i="37"/>
  <c r="F63" i="37" s="1"/>
  <c r="R96" i="37"/>
  <c r="Q209" i="37" a="1"/>
  <c r="Q209" i="37" s="1"/>
  <c r="Q211" i="37" a="1"/>
  <c r="Q211" i="37" s="1"/>
  <c r="Q188" i="37"/>
  <c r="P661" i="37"/>
  <c r="P212" i="37"/>
  <c r="F212" i="37" s="1"/>
  <c r="C248" i="51" s="1" a="1"/>
  <c r="C248" i="51" s="1"/>
  <c r="E248" i="51" s="1"/>
  <c r="F213" i="37"/>
  <c r="C249" i="51" s="1" a="1"/>
  <c r="P132" i="37"/>
  <c r="AJ133" i="37"/>
  <c r="Z133" i="37" s="1"/>
  <c r="F130" i="37"/>
  <c r="P587" i="37"/>
  <c r="F587" i="37" s="1"/>
  <c r="F588" i="37"/>
  <c r="P903" i="37"/>
  <c r="F903" i="37" s="1"/>
  <c r="V904" i="37"/>
  <c r="AY157" i="37"/>
  <c r="AY156" i="37" s="1"/>
  <c r="AI591" i="37"/>
  <c r="Q553" i="37"/>
  <c r="AI620" i="37"/>
  <c r="Q601" i="37"/>
  <c r="Q565" i="37"/>
  <c r="Q589" i="37"/>
  <c r="Q513" i="37"/>
  <c r="Q606" i="37"/>
  <c r="Q531" i="37"/>
  <c r="Q624" i="37"/>
  <c r="R646" i="37" a="1"/>
  <c r="R646" i="37" s="1"/>
  <c r="R135" i="37"/>
  <c r="AL135" i="37" s="1"/>
  <c r="R526" i="37"/>
  <c r="R496" i="37"/>
  <c r="R508" i="37"/>
  <c r="R514" i="37"/>
  <c r="R946" i="37" a="1"/>
  <c r="R946" i="37" s="1"/>
  <c r="R522" i="37"/>
  <c r="AJ572" i="37"/>
  <c r="R534" i="37"/>
  <c r="R529" i="37"/>
  <c r="R960" i="37" a="1"/>
  <c r="R960" i="37" s="1"/>
  <c r="R572" i="37"/>
  <c r="AJ520" i="37"/>
  <c r="R548" i="37"/>
  <c r="R535" i="37"/>
  <c r="R532" i="37"/>
  <c r="R974" i="37" a="1"/>
  <c r="R974" i="37" s="1"/>
  <c r="R520" i="37"/>
  <c r="AJ516" i="37"/>
  <c r="AJ560" i="37"/>
  <c r="AJ508" i="37"/>
  <c r="AJ542" i="37"/>
  <c r="AJ514" i="37"/>
  <c r="R497" i="37"/>
  <c r="AJ526" i="37"/>
  <c r="R499" i="37"/>
  <c r="AJ510" i="37"/>
  <c r="DV59" i="28"/>
  <c r="R498" i="37"/>
  <c r="R511" i="37"/>
  <c r="AJ534" i="37"/>
  <c r="AJ515" i="37"/>
  <c r="R521" i="37"/>
  <c r="R510" i="37"/>
  <c r="AJ533" i="37"/>
  <c r="R533" i="37"/>
  <c r="R932" i="37" a="1"/>
  <c r="R932" i="37" s="1"/>
  <c r="AJ527" i="37"/>
  <c r="AJ497" i="37"/>
  <c r="AJ528" i="37"/>
  <c r="R536" i="37"/>
  <c r="R554" i="37"/>
  <c r="R509" i="37"/>
  <c r="R527" i="37"/>
  <c r="AJ566" i="37"/>
  <c r="R518" i="37"/>
  <c r="R516" i="37"/>
  <c r="R566" i="37"/>
  <c r="R542" i="37"/>
  <c r="R512" i="37"/>
  <c r="R523" i="37"/>
  <c r="R560" i="37"/>
  <c r="AJ496" i="37"/>
  <c r="R530" i="37"/>
  <c r="R578" i="37"/>
  <c r="AJ522" i="37"/>
  <c r="R500" i="37"/>
  <c r="AJ521" i="37"/>
  <c r="AJ498" i="37"/>
  <c r="R528" i="37"/>
  <c r="AJ532" i="37"/>
  <c r="R517" i="37"/>
  <c r="R557" i="37"/>
  <c r="AJ544" i="37"/>
  <c r="R890" i="37" a="1"/>
  <c r="R890" i="37" s="1"/>
  <c r="AJ562" i="37"/>
  <c r="R573" i="37"/>
  <c r="R919" i="37"/>
  <c r="R976" i="37" a="1"/>
  <c r="R976" i="37" s="1"/>
  <c r="R891" i="37"/>
  <c r="R563" i="37"/>
  <c r="R975" i="37"/>
  <c r="R568" i="37"/>
  <c r="R524" i="37"/>
  <c r="R570" i="37"/>
  <c r="R575" i="37"/>
  <c r="R576" i="37"/>
  <c r="R555" i="37"/>
  <c r="R961" i="37"/>
  <c r="AJ580" i="37"/>
  <c r="AJ554" i="37"/>
  <c r="AJ556" i="37"/>
  <c r="R562" i="37"/>
  <c r="R564" i="37"/>
  <c r="AJ579" i="37"/>
  <c r="R934" i="37" a="1"/>
  <c r="R934" i="37" s="1"/>
  <c r="R515" i="37"/>
  <c r="AJ574" i="37"/>
  <c r="R552" i="37"/>
  <c r="R892" i="37" a="1"/>
  <c r="R892" i="37" s="1"/>
  <c r="R962" i="37" a="1"/>
  <c r="R962" i="37" s="1"/>
  <c r="AJ555" i="37"/>
  <c r="R558" i="37"/>
  <c r="R550" i="37"/>
  <c r="R551" i="37"/>
  <c r="R556" i="37"/>
  <c r="R920" i="37" a="1"/>
  <c r="R920" i="37" s="1"/>
  <c r="R933" i="37"/>
  <c r="R579" i="37"/>
  <c r="AJ578" i="37"/>
  <c r="AJ568" i="37"/>
  <c r="R580" i="37"/>
  <c r="R574" i="37"/>
  <c r="R544" i="37"/>
  <c r="R543" i="37"/>
  <c r="AJ573" i="37"/>
  <c r="AJ543" i="37"/>
  <c r="R549" i="37"/>
  <c r="AJ567" i="37"/>
  <c r="R567" i="37"/>
  <c r="R561" i="37"/>
  <c r="AJ509" i="37"/>
  <c r="AJ561" i="37"/>
  <c r="R918" i="37" a="1"/>
  <c r="R918" i="37" s="1"/>
  <c r="R948" i="37" a="1"/>
  <c r="R948" i="37" s="1"/>
  <c r="R546" i="37"/>
  <c r="R545" i="37"/>
  <c r="R947" i="37"/>
  <c r="R581" i="37"/>
  <c r="R569" i="37"/>
  <c r="R582" i="37"/>
  <c r="R128" i="37"/>
  <c r="AL128" i="37" s="1"/>
  <c r="R639" i="37" a="1"/>
  <c r="R639" i="37" s="1"/>
  <c r="R34" i="37"/>
  <c r="AL195" i="37"/>
  <c r="AL197" i="37"/>
  <c r="AL33" i="37"/>
  <c r="AL196" i="37"/>
  <c r="BD51" i="37"/>
  <c r="Q154" i="37"/>
  <c r="AK154" i="37" s="1"/>
  <c r="Q665" i="37" a="1"/>
  <c r="Q665" i="37" s="1"/>
  <c r="AT166" i="37"/>
  <c r="AV166" i="37"/>
  <c r="AU166" i="37"/>
  <c r="AW166" i="37"/>
  <c r="AX166" i="37"/>
  <c r="F531" i="37"/>
  <c r="X588" i="37"/>
  <c r="AJ155" i="37"/>
  <c r="Z155" i="37" s="1"/>
  <c r="F155" i="37"/>
  <c r="F148" i="37"/>
  <c r="Q72" i="37"/>
  <c r="F565" i="37"/>
  <c r="M821" i="37"/>
  <c r="F541" i="37"/>
  <c r="X505" i="37"/>
  <c r="AT128" i="37"/>
  <c r="AU128" i="37"/>
  <c r="AV128" i="37"/>
  <c r="AW128" i="37"/>
  <c r="AY128" i="37"/>
  <c r="AX128" i="37"/>
  <c r="Q207" i="37" a="1"/>
  <c r="Q207" i="37" s="1"/>
  <c r="Q182" i="37"/>
  <c r="AZ133" i="37"/>
  <c r="AZ134" i="37"/>
  <c r="AZ136" i="37"/>
  <c r="AZ137" i="37"/>
  <c r="AZ135" i="37"/>
  <c r="Q134" i="37"/>
  <c r="AK134" i="37" s="1"/>
  <c r="Q645" i="37" a="1"/>
  <c r="Q645" i="37" s="1"/>
  <c r="AZ157" i="37"/>
  <c r="AZ161" i="37"/>
  <c r="AZ159" i="37"/>
  <c r="AZ158" i="37"/>
  <c r="AZ160" i="37"/>
  <c r="P597" i="37"/>
  <c r="F597" i="37" s="1"/>
  <c r="F505" i="37"/>
  <c r="Q603" i="37"/>
  <c r="AI603" i="37"/>
  <c r="Q614" i="37"/>
  <c r="AI565" i="37"/>
  <c r="AI608" i="37"/>
  <c r="Q519" i="37"/>
  <c r="Q612" i="37"/>
  <c r="Q571" i="37"/>
  <c r="AI559" i="37"/>
  <c r="R651" i="37" a="1"/>
  <c r="R651" i="37" s="1"/>
  <c r="R140" i="37"/>
  <c r="AL140" i="37" s="1"/>
  <c r="R31" i="37"/>
  <c r="R84" i="37" s="1"/>
  <c r="AL111" i="37"/>
  <c r="R111" i="37" s="1"/>
  <c r="R37" i="37"/>
  <c r="AL112" i="37"/>
  <c r="R112" i="37" s="1"/>
  <c r="R52" i="37"/>
  <c r="R78" i="37" s="1"/>
  <c r="AL207" i="37"/>
  <c r="AL51" i="37"/>
  <c r="AL209" i="37"/>
  <c r="AL208" i="37"/>
  <c r="BD15" i="37"/>
  <c r="BD39" i="37"/>
  <c r="AM95" i="37"/>
  <c r="S95" i="37" s="1"/>
  <c r="AM98" i="37"/>
  <c r="BE52" i="37"/>
  <c r="AM16" i="37"/>
  <c r="AM34" i="37"/>
  <c r="AM48" i="37"/>
  <c r="S48" i="37" s="1"/>
  <c r="AM31" i="37"/>
  <c r="BE46" i="37"/>
  <c r="AM18" i="37"/>
  <c r="S18" i="37" s="1"/>
  <c r="AM40" i="37"/>
  <c r="AM35" i="37"/>
  <c r="S35" i="37" s="1"/>
  <c r="BE34" i="37"/>
  <c r="AM96" i="37"/>
  <c r="AM47" i="37"/>
  <c r="S47" i="37" s="1"/>
  <c r="BU59" i="28"/>
  <c r="FH59" i="28" s="1" a="1"/>
  <c r="FH59" i="28" s="1"/>
  <c r="AM30" i="37"/>
  <c r="S30" i="37" s="1"/>
  <c r="AM32" i="37"/>
  <c r="S32" i="37" s="1"/>
  <c r="BE40" i="37"/>
  <c r="BE22" i="37"/>
  <c r="AM99" i="37"/>
  <c r="S99" i="37" s="1"/>
  <c r="AM53" i="37"/>
  <c r="S53" i="37" s="1"/>
  <c r="AM38" i="37"/>
  <c r="S38" i="37" s="1"/>
  <c r="AM36" i="37"/>
  <c r="S36" i="37" s="1"/>
  <c r="AM94" i="37"/>
  <c r="S94" i="37" s="1"/>
  <c r="AM52" i="37"/>
  <c r="AM55" i="37"/>
  <c r="AM19" i="37"/>
  <c r="AM54" i="37"/>
  <c r="S54" i="37" s="1"/>
  <c r="AM37" i="37"/>
  <c r="DH59" i="28"/>
  <c r="AM17" i="37"/>
  <c r="S17" i="37" s="1"/>
  <c r="AM42" i="37"/>
  <c r="S42" i="37" s="1"/>
  <c r="BE28" i="37"/>
  <c r="AM26" i="37"/>
  <c r="S26" i="37" s="1"/>
  <c r="AM23" i="37"/>
  <c r="S23" i="37" s="1"/>
  <c r="AM97" i="37"/>
  <c r="S97" i="37" s="1"/>
  <c r="AM22" i="37"/>
  <c r="AM44" i="37"/>
  <c r="S44" i="37" s="1"/>
  <c r="AM46" i="37"/>
  <c r="AM56" i="37"/>
  <c r="S56" i="37" s="1"/>
  <c r="BE53" i="37"/>
  <c r="BE47" i="37"/>
  <c r="BE29" i="37"/>
  <c r="BE48" i="37"/>
  <c r="AM41" i="37"/>
  <c r="S41" i="37" s="1"/>
  <c r="AM29" i="37"/>
  <c r="S29" i="37" s="1"/>
  <c r="AM24" i="37"/>
  <c r="S24" i="37" s="1"/>
  <c r="AM100" i="37"/>
  <c r="BE36" i="37"/>
  <c r="BE24" i="37"/>
  <c r="BE17" i="37"/>
  <c r="BE41" i="37"/>
  <c r="BE35" i="37"/>
  <c r="AM50" i="37"/>
  <c r="S50" i="37" s="1"/>
  <c r="AM43" i="37"/>
  <c r="BE30" i="37"/>
  <c r="AM20" i="37"/>
  <c r="S20" i="37" s="1"/>
  <c r="BE16" i="37"/>
  <c r="AM25" i="37"/>
  <c r="AM49" i="37"/>
  <c r="HB59" i="28"/>
  <c r="AM28" i="37"/>
  <c r="BE54" i="37"/>
  <c r="BE23" i="37"/>
  <c r="BE18" i="37"/>
  <c r="BE42" i="37"/>
  <c r="R30" i="37"/>
  <c r="AT167" i="37"/>
  <c r="AV167" i="37"/>
  <c r="AU167" i="37"/>
  <c r="AW167" i="37"/>
  <c r="AX167" i="37"/>
  <c r="Q75" i="37"/>
  <c r="AZ167" i="37"/>
  <c r="AJ160" i="37"/>
  <c r="Z160" i="37" s="1"/>
  <c r="F160" i="37"/>
  <c r="AT151" i="37"/>
  <c r="AV151" i="37"/>
  <c r="AU151" i="37"/>
  <c r="AX151" i="37"/>
  <c r="AW151" i="37"/>
  <c r="AY151" i="37"/>
  <c r="P623" i="37"/>
  <c r="F623" i="37" s="1"/>
  <c r="F624" i="37"/>
  <c r="AZ151" i="37"/>
  <c r="AZ153" i="37"/>
  <c r="AZ154" i="37"/>
  <c r="AZ155" i="37"/>
  <c r="AZ152" i="37"/>
  <c r="R95" i="37"/>
  <c r="P637" i="37"/>
  <c r="Q653" i="37" a="1"/>
  <c r="Q653" i="37" s="1"/>
  <c r="Q142" i="37"/>
  <c r="AK142" i="37" s="1"/>
  <c r="AT153" i="37"/>
  <c r="AU153" i="37"/>
  <c r="AV153" i="37"/>
  <c r="AX153" i="37"/>
  <c r="AW153" i="37"/>
  <c r="AY153" i="37"/>
  <c r="AJ151" i="37"/>
  <c r="P150" i="37"/>
  <c r="F151" i="37"/>
  <c r="P611" i="37"/>
  <c r="F611" i="37" s="1"/>
  <c r="F612" i="37"/>
  <c r="AH617" i="37"/>
  <c r="X617" i="37" s="1"/>
  <c r="Q39" i="37"/>
  <c r="Q662" i="37" a="1"/>
  <c r="Q662" i="37" s="1"/>
  <c r="Q151" i="37"/>
  <c r="Q78" i="37"/>
  <c r="Q157" i="37"/>
  <c r="Q45" i="37"/>
  <c r="Q66" i="37" s="1"/>
  <c r="Q668" i="37" a="1"/>
  <c r="Q668" i="37" s="1"/>
  <c r="AT127" i="37"/>
  <c r="AU127" i="37"/>
  <c r="AV127" i="37"/>
  <c r="AW127" i="37"/>
  <c r="AY127" i="37"/>
  <c r="AX127" i="37"/>
  <c r="P605" i="37"/>
  <c r="F605" i="37" s="1"/>
  <c r="AH599" i="37"/>
  <c r="X599" i="37" s="1"/>
  <c r="X600" i="37"/>
  <c r="Q628" i="37"/>
  <c r="Q559" i="37"/>
  <c r="Q577" i="37"/>
  <c r="AI606" i="37"/>
  <c r="AI513" i="37"/>
  <c r="AI615" i="37"/>
  <c r="Q626" i="37"/>
  <c r="AI609" i="37"/>
  <c r="R22" i="37"/>
  <c r="R73" i="37" s="1"/>
  <c r="AL187" i="37"/>
  <c r="AL188" i="37"/>
  <c r="AL21" i="37"/>
  <c r="AL189" i="37"/>
  <c r="R28" i="37"/>
  <c r="R219" i="37" s="1" a="1"/>
  <c r="R219" i="37" s="1"/>
  <c r="AL192" i="37"/>
  <c r="AL191" i="37"/>
  <c r="AL193" i="37"/>
  <c r="AL27" i="37"/>
  <c r="R43" i="37"/>
  <c r="R86" i="37" s="1"/>
  <c r="AL113" i="37"/>
  <c r="R113" i="37" s="1"/>
  <c r="R131" i="37"/>
  <c r="AL131" i="37" s="1"/>
  <c r="R642" i="37" a="1"/>
  <c r="R642" i="37" s="1"/>
  <c r="R134" i="37"/>
  <c r="AL134" i="37" s="1"/>
  <c r="R645" i="37" a="1"/>
  <c r="R645" i="37" s="1"/>
  <c r="AZ145" i="37"/>
  <c r="AZ146" i="37"/>
  <c r="AZ149" i="37"/>
  <c r="AZ148" i="37"/>
  <c r="AZ147" i="37"/>
  <c r="P655" i="37"/>
  <c r="Q133" i="37"/>
  <c r="Q21" i="37"/>
  <c r="Q62" i="37" s="1"/>
  <c r="Q644" i="37" a="1"/>
  <c r="Q644" i="37" s="1"/>
  <c r="Q641" i="37" a="1"/>
  <c r="Q641" i="37" s="1"/>
  <c r="Q130" i="37"/>
  <c r="AK130" i="37" s="1"/>
  <c r="P667" i="37"/>
  <c r="Q74" i="37"/>
  <c r="AT145" i="37"/>
  <c r="AU145" i="37"/>
  <c r="AV145" i="37"/>
  <c r="AX145" i="37"/>
  <c r="AW145" i="37"/>
  <c r="Q194" i="37"/>
  <c r="Q210" i="37" a="1"/>
  <c r="Q210" i="37" s="1"/>
  <c r="Q216" i="37" a="1"/>
  <c r="Q216" i="37" s="1"/>
  <c r="Q212" i="37" s="1"/>
  <c r="AJ136" i="37"/>
  <c r="Z136" i="37" s="1"/>
  <c r="F136" i="37"/>
  <c r="P67" i="37"/>
  <c r="F67" i="37" s="1"/>
  <c r="X618" i="37"/>
  <c r="F519" i="37"/>
  <c r="AT134" i="37"/>
  <c r="AV134" i="37"/>
  <c r="AU134" i="37"/>
  <c r="AW134" i="37"/>
  <c r="AY134" i="37"/>
  <c r="AX134" i="37"/>
  <c r="AT149" i="37"/>
  <c r="AV149" i="37"/>
  <c r="AU149" i="37"/>
  <c r="AW149" i="37"/>
  <c r="AX149" i="37"/>
  <c r="AT130" i="37"/>
  <c r="AU130" i="37"/>
  <c r="AV130" i="37"/>
  <c r="AW130" i="37"/>
  <c r="AX130" i="37"/>
  <c r="AY130" i="37"/>
  <c r="P501" i="37"/>
  <c r="D554" i="51" s="1" a="1"/>
  <c r="P594" i="37"/>
  <c r="F502" i="37"/>
  <c r="AT141" i="37"/>
  <c r="AU141" i="37"/>
  <c r="AV141" i="37"/>
  <c r="AX141" i="37"/>
  <c r="AW141" i="37"/>
  <c r="AY141" i="37"/>
  <c r="Q502" i="37"/>
  <c r="AI502" i="37"/>
  <c r="AI503" i="37"/>
  <c r="AI504" i="37"/>
  <c r="Q904" i="37" a="1"/>
  <c r="Q904" i="37" s="1"/>
  <c r="AI548" i="37"/>
  <c r="AI550" i="37"/>
  <c r="Q503" i="37"/>
  <c r="Q595" i="37" s="1"/>
  <c r="Q906" i="37" a="1"/>
  <c r="Q906" i="37" s="1"/>
  <c r="Q506" i="37"/>
  <c r="Q598" i="37" s="1"/>
  <c r="Q505" i="37"/>
  <c r="Q597" i="37" s="1"/>
  <c r="AI549" i="37"/>
  <c r="Q504" i="37"/>
  <c r="Q596" i="37" s="1"/>
  <c r="Q905" i="37"/>
  <c r="AI571" i="37"/>
  <c r="AI627" i="37"/>
  <c r="AI625" i="37"/>
  <c r="Q613" i="37"/>
  <c r="AI613" i="37"/>
  <c r="AI610" i="37"/>
  <c r="AI126" i="37"/>
  <c r="R16" i="37"/>
  <c r="R72" i="37" s="1"/>
  <c r="AL185" i="37"/>
  <c r="AL183" i="37"/>
  <c r="AL184" i="37"/>
  <c r="AL15" i="37"/>
  <c r="R35" i="37"/>
  <c r="R49" i="37"/>
  <c r="AL114" i="37"/>
  <c r="R114" i="37" s="1"/>
  <c r="BD27" i="37"/>
  <c r="R55" i="37"/>
  <c r="AL115" i="37"/>
  <c r="R115" i="37" s="1"/>
  <c r="AY149" i="37"/>
  <c r="AT158" i="37"/>
  <c r="AV158" i="37"/>
  <c r="AU158" i="37"/>
  <c r="AX158" i="37"/>
  <c r="AW158" i="37"/>
  <c r="F33" i="37"/>
  <c r="AT131" i="37"/>
  <c r="AU131" i="37"/>
  <c r="AV131" i="37"/>
  <c r="AW131" i="37"/>
  <c r="AY131" i="37"/>
  <c r="AX131" i="37"/>
  <c r="P649" i="37"/>
  <c r="AH611" i="37"/>
  <c r="X611" i="37" s="1"/>
  <c r="Q208" i="37" a="1"/>
  <c r="Q208" i="37" s="1"/>
  <c r="Q200" i="37"/>
  <c r="Q83" i="37"/>
  <c r="F547" i="37"/>
  <c r="F145" i="37"/>
  <c r="C239" i="51" l="1"/>
  <c r="D266" i="51" a="1"/>
  <c r="D266" i="51" s="1"/>
  <c r="F266" i="51" s="1"/>
  <c r="C241" i="51" a="1"/>
  <c r="C241" i="51" s="1"/>
  <c r="C896" i="51" a="1"/>
  <c r="C896" i="51" s="1"/>
  <c r="E269" i="51"/>
  <c r="D268" i="51" a="1"/>
  <c r="D268" i="51" s="1"/>
  <c r="F268" i="51" s="1"/>
  <c r="D265" i="51" a="1"/>
  <c r="D265" i="51" s="1"/>
  <c r="F265" i="51" s="1"/>
  <c r="D241" i="51" a="1"/>
  <c r="D241" i="51" s="1"/>
  <c r="D267" i="51" a="1"/>
  <c r="D267" i="51" s="1"/>
  <c r="F267" i="51" s="1"/>
  <c r="E931" i="51" a="1"/>
  <c r="E931" i="51" s="1"/>
  <c r="J332" i="51"/>
  <c r="M909" i="51"/>
  <c r="K909" i="51"/>
  <c r="H332" i="51"/>
  <c r="J909" i="51"/>
  <c r="G332" i="51"/>
  <c r="G909" i="51"/>
  <c r="D332" i="51"/>
  <c r="I909" i="51"/>
  <c r="F332" i="51"/>
  <c r="E332" i="51"/>
  <c r="H909" i="51"/>
  <c r="L909" i="51"/>
  <c r="I332" i="51"/>
  <c r="J68" i="48"/>
  <c r="H84" i="48" s="1"/>
  <c r="L278" i="51" a="1"/>
  <c r="L278" i="51" s="1"/>
  <c r="C707" i="51" a="1"/>
  <c r="C707" i="51" s="1"/>
  <c r="L271" i="51" a="1"/>
  <c r="E932" i="51"/>
  <c r="C538" i="51"/>
  <c r="D60" i="51"/>
  <c r="D63" i="51" s="1"/>
  <c r="G564" i="51"/>
  <c r="F631" i="51" s="1"/>
  <c r="I934" i="51"/>
  <c r="F300" i="51"/>
  <c r="F476" i="51" s="1"/>
  <c r="K70" i="48"/>
  <c r="I86" i="48" s="1"/>
  <c r="D611" i="51"/>
  <c r="G611" i="51"/>
  <c r="H932" i="51"/>
  <c r="F538" i="51"/>
  <c r="F369" i="51"/>
  <c r="G361" i="51"/>
  <c r="G478" i="51" s="1"/>
  <c r="J907" i="51"/>
  <c r="D100" i="51"/>
  <c r="I941" i="51"/>
  <c r="F60" i="51"/>
  <c r="F63" i="51" s="1"/>
  <c r="C60" i="51"/>
  <c r="C601" i="51" s="1"/>
  <c r="H300" i="51"/>
  <c r="H476" i="51" s="1"/>
  <c r="G70" i="48"/>
  <c r="E86" i="48" s="1"/>
  <c r="E564" i="51"/>
  <c r="D631" i="51" s="1"/>
  <c r="G934" i="51"/>
  <c r="F941" i="51"/>
  <c r="I611" i="51"/>
  <c r="E528" i="51" a="1"/>
  <c r="E528" i="51" s="1"/>
  <c r="I344" i="51"/>
  <c r="F344" i="51"/>
  <c r="H344" i="51"/>
  <c r="E344" i="51"/>
  <c r="G344" i="51"/>
  <c r="C338" i="51"/>
  <c r="C344" i="51" s="1"/>
  <c r="J344" i="51"/>
  <c r="D344" i="51"/>
  <c r="D477" i="51"/>
  <c r="H477" i="51"/>
  <c r="G477" i="51"/>
  <c r="E477" i="51"/>
  <c r="F477" i="51"/>
  <c r="J477" i="51"/>
  <c r="I477" i="51"/>
  <c r="G64" i="51"/>
  <c r="G61" i="51"/>
  <c r="G29" i="51"/>
  <c r="F636" i="51"/>
  <c r="F637" i="51" s="1"/>
  <c r="G66" i="51"/>
  <c r="G67" i="51"/>
  <c r="G65" i="51"/>
  <c r="J300" i="51"/>
  <c r="J476" i="51" s="1"/>
  <c r="H528" i="51" a="1"/>
  <c r="H528" i="51" s="1"/>
  <c r="F392" i="37"/>
  <c r="I528" i="51" a="1"/>
  <c r="I528" i="51" s="1"/>
  <c r="I601" i="51" s="1"/>
  <c r="H564" i="51"/>
  <c r="G631" i="51" s="1"/>
  <c r="J934" i="51"/>
  <c r="K941" i="51"/>
  <c r="D300" i="51"/>
  <c r="D476" i="51" s="1"/>
  <c r="E313" i="51"/>
  <c r="J313" i="51"/>
  <c r="H313" i="51"/>
  <c r="I313" i="51"/>
  <c r="C102" i="51"/>
  <c r="G313" i="51"/>
  <c r="F313" i="51"/>
  <c r="F564" i="51"/>
  <c r="H934" i="51"/>
  <c r="I70" i="48"/>
  <c r="G86" i="48" s="1"/>
  <c r="H611" i="51"/>
  <c r="D264" i="51" a="1"/>
  <c r="D264" i="51" s="1"/>
  <c r="C564" i="51"/>
  <c r="E934" i="51"/>
  <c r="E300" i="51"/>
  <c r="E476" i="51" s="1"/>
  <c r="C249" i="51"/>
  <c r="E249" i="51" s="1"/>
  <c r="E253" i="51"/>
  <c r="E251" i="51"/>
  <c r="E252" i="51"/>
  <c r="E250" i="51"/>
  <c r="H70" i="48"/>
  <c r="F86" i="48" s="1"/>
  <c r="I300" i="51"/>
  <c r="I476" i="51" s="1"/>
  <c r="I369" i="51"/>
  <c r="J361" i="51"/>
  <c r="J478" i="51" s="1"/>
  <c r="M907" i="51"/>
  <c r="D554" i="51"/>
  <c r="C629" i="51"/>
  <c r="C630" i="51" s="1"/>
  <c r="M70" i="48"/>
  <c r="K86" i="48" s="1"/>
  <c r="F611" i="51"/>
  <c r="P759" i="37"/>
  <c r="P837" i="37" s="1"/>
  <c r="I940" i="51" s="1"/>
  <c r="G528" i="51" a="1"/>
  <c r="G528" i="51" s="1"/>
  <c r="F362" i="37"/>
  <c r="D528" i="51" a="1"/>
  <c r="D528" i="51" s="1"/>
  <c r="I61" i="51"/>
  <c r="H636" i="51"/>
  <c r="H637" i="51" s="1"/>
  <c r="I29" i="51"/>
  <c r="I64" i="51"/>
  <c r="I67" i="51"/>
  <c r="I65" i="51"/>
  <c r="I66" i="51"/>
  <c r="H60" i="51"/>
  <c r="H63" i="51" s="1"/>
  <c r="I564" i="51"/>
  <c r="H631" i="51" s="1"/>
  <c r="K934" i="51"/>
  <c r="G300" i="51"/>
  <c r="G476" i="51" s="1"/>
  <c r="D102" i="51"/>
  <c r="Y771" i="37" a="1"/>
  <c r="Y771" i="37" s="1"/>
  <c r="AI458" i="37"/>
  <c r="AI476" i="37"/>
  <c r="AI471" i="37"/>
  <c r="AN389" i="37"/>
  <c r="AI488" i="37"/>
  <c r="AI459" i="37"/>
  <c r="AI452" i="37"/>
  <c r="AI477" i="37"/>
  <c r="AJ367" i="37"/>
  <c r="AJ459" i="37" s="1"/>
  <c r="AI489" i="37"/>
  <c r="AJ391" i="37"/>
  <c r="AJ483" i="37" s="1"/>
  <c r="AI482" i="37"/>
  <c r="AJ397" i="37"/>
  <c r="AJ489" i="37" s="1"/>
  <c r="AI453" i="37"/>
  <c r="AJ390" i="37"/>
  <c r="AJ482" i="37" s="1"/>
  <c r="AJ384" i="37"/>
  <c r="AJ476" i="37" s="1"/>
  <c r="AJ366" i="37"/>
  <c r="AJ458" i="37" s="1"/>
  <c r="AJ385" i="37"/>
  <c r="AJ477" i="37" s="1"/>
  <c r="AK575" i="37"/>
  <c r="AK500" i="37"/>
  <c r="AK530" i="37"/>
  <c r="AK570" i="37"/>
  <c r="AK581" i="37"/>
  <c r="AK557" i="37"/>
  <c r="AK499" i="37"/>
  <c r="AK569" i="37"/>
  <c r="AK582" i="37"/>
  <c r="AK564" i="37"/>
  <c r="AK523" i="37"/>
  <c r="AK546" i="37"/>
  <c r="AK536" i="37"/>
  <c r="AK517" i="37"/>
  <c r="AK563" i="37"/>
  <c r="AK512" i="37"/>
  <c r="AK535" i="37"/>
  <c r="AK545" i="37"/>
  <c r="AK518" i="37"/>
  <c r="AK529" i="37"/>
  <c r="AK524" i="37"/>
  <c r="AK511" i="37"/>
  <c r="AK558" i="37"/>
  <c r="AK576" i="37"/>
  <c r="AJ551" i="37"/>
  <c r="AJ505" i="37"/>
  <c r="AJ552" i="37"/>
  <c r="AJ506" i="37"/>
  <c r="AJ396" i="37"/>
  <c r="AJ488" i="37" s="1"/>
  <c r="Y470" i="37"/>
  <c r="X470" i="37" s="1"/>
  <c r="X424" i="37"/>
  <c r="Y458" i="37"/>
  <c r="X458" i="37" s="1"/>
  <c r="X412" i="37"/>
  <c r="Y488" i="37"/>
  <c r="X488" i="37" s="1"/>
  <c r="X442" i="37"/>
  <c r="Y465" i="37"/>
  <c r="X465" i="37" s="1"/>
  <c r="X419" i="37"/>
  <c r="AI464" i="37"/>
  <c r="X430" i="37"/>
  <c r="AJ379" i="37"/>
  <c r="AJ471" i="37" s="1"/>
  <c r="AJ373" i="37"/>
  <c r="AJ465" i="37" s="1"/>
  <c r="AI470" i="37"/>
  <c r="Y477" i="37"/>
  <c r="X477" i="37" s="1"/>
  <c r="X431" i="37"/>
  <c r="Y489" i="37"/>
  <c r="X489" i="37" s="1"/>
  <c r="X443" i="37"/>
  <c r="X471" i="37"/>
  <c r="X425" i="37"/>
  <c r="X476" i="37"/>
  <c r="AJ372" i="37"/>
  <c r="AJ464" i="37" s="1"/>
  <c r="AJ378" i="37"/>
  <c r="AJ470" i="37" s="1"/>
  <c r="X437" i="37"/>
  <c r="X483" i="37"/>
  <c r="AI465" i="37"/>
  <c r="AJ360" i="37"/>
  <c r="AJ452" i="37" s="1"/>
  <c r="AJ361" i="37"/>
  <c r="AJ453" i="37" s="1"/>
  <c r="Y452" i="37"/>
  <c r="X452" i="37" s="1"/>
  <c r="X406" i="37"/>
  <c r="X459" i="37"/>
  <c r="Y482" i="37"/>
  <c r="X482" i="37" s="1"/>
  <c r="X436" i="37"/>
  <c r="X413" i="37"/>
  <c r="Y453" i="37"/>
  <c r="X453" i="37" s="1"/>
  <c r="X407" i="37"/>
  <c r="AI483" i="37"/>
  <c r="Y464" i="37"/>
  <c r="X464" i="37" s="1"/>
  <c r="X418" i="37"/>
  <c r="AN397" i="37"/>
  <c r="AN396" i="37"/>
  <c r="AN388" i="37"/>
  <c r="AN390" i="37"/>
  <c r="AN391" i="37"/>
  <c r="AN387" i="37"/>
  <c r="AN385" i="37"/>
  <c r="AN384" i="37"/>
  <c r="AN382" i="37"/>
  <c r="AN383" i="37"/>
  <c r="AN381" i="37"/>
  <c r="AN377" i="37"/>
  <c r="AN376" i="37"/>
  <c r="AN375" i="37"/>
  <c r="AN378" i="37"/>
  <c r="AN379" i="37"/>
  <c r="AN372" i="37"/>
  <c r="AN373" i="37"/>
  <c r="AN371" i="37"/>
  <c r="AN370" i="37"/>
  <c r="AN369" i="37"/>
  <c r="AN364" i="37"/>
  <c r="AN367" i="37"/>
  <c r="AN366" i="37"/>
  <c r="AN363" i="37"/>
  <c r="AN360" i="37"/>
  <c r="AN361" i="37"/>
  <c r="AN357" i="37"/>
  <c r="AN358" i="37"/>
  <c r="AN359" i="37"/>
  <c r="E106" i="48"/>
  <c r="C114" i="48" a="1"/>
  <c r="C114" i="48" s="1"/>
  <c r="F156" i="37"/>
  <c r="V156" i="37" s="1"/>
  <c r="L70" i="48"/>
  <c r="J86" i="48" s="1"/>
  <c r="E94" i="48" a="1"/>
  <c r="G7" i="48"/>
  <c r="K68" i="48"/>
  <c r="I84" i="48" s="1"/>
  <c r="F144" i="37"/>
  <c r="V144" i="37" s="1"/>
  <c r="J70" i="48"/>
  <c r="H86" i="48" s="1"/>
  <c r="G66" i="48"/>
  <c r="E82" i="48" s="1"/>
  <c r="J82" i="48"/>
  <c r="H82" i="48"/>
  <c r="K82" i="48"/>
  <c r="G82" i="48"/>
  <c r="I82" i="48"/>
  <c r="F82" i="48"/>
  <c r="F772" i="37"/>
  <c r="F768" i="37"/>
  <c r="F784" i="37"/>
  <c r="F792" i="37"/>
  <c r="EQ33" i="28"/>
  <c r="FV33" i="28" s="1"/>
  <c r="EQ35" i="28"/>
  <c r="FV35" i="28" s="1"/>
  <c r="FV31" i="28"/>
  <c r="FV32" i="28"/>
  <c r="P761" i="37"/>
  <c r="P851" i="37" s="1"/>
  <c r="K940" i="51" s="1"/>
  <c r="AI468" i="37"/>
  <c r="AL438" i="37"/>
  <c r="AA432" i="37"/>
  <c r="AH438" i="37"/>
  <c r="AA438" i="37"/>
  <c r="Q483" i="37"/>
  <c r="AG460" i="37"/>
  <c r="P757" i="37"/>
  <c r="P823" i="37" s="1"/>
  <c r="G940" i="51" s="1"/>
  <c r="AC408" i="37"/>
  <c r="AJ432" i="37"/>
  <c r="AB408" i="37"/>
  <c r="S438" i="37"/>
  <c r="AD454" i="37"/>
  <c r="AJ375" i="37"/>
  <c r="AJ467" i="37" s="1"/>
  <c r="AH414" i="37"/>
  <c r="AB455" i="37"/>
  <c r="AB454" i="37" s="1"/>
  <c r="AI457" i="37"/>
  <c r="AG414" i="37"/>
  <c r="Q485" i="37"/>
  <c r="Q450" i="37"/>
  <c r="AJ408" i="37"/>
  <c r="X486" i="37"/>
  <c r="AD420" i="37"/>
  <c r="AI474" i="37"/>
  <c r="AD408" i="37"/>
  <c r="AI426" i="37"/>
  <c r="AI414" i="37"/>
  <c r="AI463" i="37"/>
  <c r="Q462" i="37"/>
  <c r="AI479" i="37"/>
  <c r="Q458" i="37"/>
  <c r="N821" i="37"/>
  <c r="K426" i="37"/>
  <c r="M402" i="37"/>
  <c r="AM438" i="37"/>
  <c r="Q456" i="37"/>
  <c r="L408" i="37"/>
  <c r="AC426" i="37"/>
  <c r="AI487" i="37"/>
  <c r="AI462" i="37"/>
  <c r="AB420" i="37"/>
  <c r="P420" i="37"/>
  <c r="G402" i="37"/>
  <c r="AB467" i="37"/>
  <c r="AB466" i="37" s="1"/>
  <c r="X440" i="37"/>
  <c r="P469" i="37"/>
  <c r="P466" i="37" s="1"/>
  <c r="AC473" i="37"/>
  <c r="AC472" i="37" s="1"/>
  <c r="AC402" i="37"/>
  <c r="AA408" i="37"/>
  <c r="AJ414" i="37"/>
  <c r="K408" i="37"/>
  <c r="AK408" i="37"/>
  <c r="AK438" i="37"/>
  <c r="AA402" i="37"/>
  <c r="AI420" i="37"/>
  <c r="AI480" i="37"/>
  <c r="L455" i="37"/>
  <c r="L454" i="37" s="1"/>
  <c r="AA479" i="37"/>
  <c r="AA478" i="37" s="1"/>
  <c r="G449" i="37"/>
  <c r="G448" i="37" s="1"/>
  <c r="AI450" i="37"/>
  <c r="AI475" i="37"/>
  <c r="R414" i="37"/>
  <c r="AJ426" i="37"/>
  <c r="AF438" i="37"/>
  <c r="AM402" i="37"/>
  <c r="T432" i="37"/>
  <c r="Y408" i="37"/>
  <c r="Z438" i="37"/>
  <c r="K438" i="37"/>
  <c r="AD448" i="37"/>
  <c r="AI469" i="37"/>
  <c r="AM408" i="37"/>
  <c r="O408" i="37"/>
  <c r="AL414" i="37"/>
  <c r="AE460" i="37"/>
  <c r="M408" i="37"/>
  <c r="R408" i="37"/>
  <c r="Y438" i="37"/>
  <c r="O460" i="37"/>
  <c r="AD466" i="37"/>
  <c r="AG478" i="37"/>
  <c r="I426" i="37"/>
  <c r="AF420" i="37"/>
  <c r="U438" i="37"/>
  <c r="Q459" i="37"/>
  <c r="P760" i="37"/>
  <c r="P844" i="37" s="1"/>
  <c r="J940" i="51" s="1"/>
  <c r="J913" i="37" a="1"/>
  <c r="J913" i="37" s="1"/>
  <c r="Z408" i="37"/>
  <c r="Q470" i="37"/>
  <c r="Y420" i="37"/>
  <c r="O414" i="37"/>
  <c r="F386" i="37"/>
  <c r="AE414" i="37"/>
  <c r="M449" i="37"/>
  <c r="M448" i="37" s="1"/>
  <c r="Q464" i="37"/>
  <c r="AG432" i="37"/>
  <c r="N899" i="37" a="1"/>
  <c r="N899" i="37" s="1"/>
  <c r="L942" i="37"/>
  <c r="AD402" i="37"/>
  <c r="Q966" i="37" a="1"/>
  <c r="Q966" i="37" s="1"/>
  <c r="AB484" i="37"/>
  <c r="O455" i="37"/>
  <c r="O454" i="37" s="1"/>
  <c r="I473" i="37"/>
  <c r="I472" i="37" s="1"/>
  <c r="AG402" i="37"/>
  <c r="AF467" i="37"/>
  <c r="AF466" i="37" s="1"/>
  <c r="M472" i="37"/>
  <c r="Q452" i="37"/>
  <c r="Z485" i="37"/>
  <c r="Z484" i="37" s="1"/>
  <c r="I883" i="37" a="1"/>
  <c r="I883" i="37" s="1"/>
  <c r="AB438" i="37"/>
  <c r="AI481" i="37"/>
  <c r="Q474" i="37"/>
  <c r="AA485" i="37"/>
  <c r="AA484" i="37" s="1"/>
  <c r="M426" i="37"/>
  <c r="H402" i="37"/>
  <c r="AC438" i="37"/>
  <c r="AF478" i="37"/>
  <c r="J402" i="37"/>
  <c r="R432" i="37"/>
  <c r="L882" i="37" a="1"/>
  <c r="L882" i="37" s="1"/>
  <c r="Z454" i="37"/>
  <c r="AL432" i="37"/>
  <c r="N886" i="37"/>
  <c r="I966" i="37" a="1"/>
  <c r="I966" i="37" s="1"/>
  <c r="O438" i="37"/>
  <c r="M942" i="37"/>
  <c r="L885" i="37" a="1"/>
  <c r="L885" i="37" s="1"/>
  <c r="N897" i="37" a="1"/>
  <c r="N897" i="37" s="1"/>
  <c r="I955" i="37" a="1"/>
  <c r="I955" i="37" s="1"/>
  <c r="J882" i="37" a="1"/>
  <c r="J882" i="37" s="1"/>
  <c r="J952" i="37" a="1"/>
  <c r="J952" i="37" s="1"/>
  <c r="L472" i="37"/>
  <c r="H438" i="37"/>
  <c r="AD460" i="37"/>
  <c r="M956" i="37"/>
  <c r="L899" i="37" a="1"/>
  <c r="L899" i="37" s="1"/>
  <c r="M911" i="37" a="1"/>
  <c r="M911" i="37" s="1"/>
  <c r="I899" i="37" a="1"/>
  <c r="I899" i="37" s="1"/>
  <c r="Q896" i="37" a="1"/>
  <c r="Q896" i="37" s="1"/>
  <c r="Q883" i="37" a="1"/>
  <c r="Q883" i="37" s="1"/>
  <c r="L426" i="37"/>
  <c r="AD414" i="37"/>
  <c r="K927" i="37" a="1"/>
  <c r="K927" i="37" s="1"/>
  <c r="U966" i="37" a="1"/>
  <c r="U966" i="37" s="1"/>
  <c r="S432" i="37"/>
  <c r="O956" i="37"/>
  <c r="M914" i="37"/>
  <c r="K970" i="37"/>
  <c r="P911" i="37" a="1"/>
  <c r="P911" i="37" s="1"/>
  <c r="H886" i="37"/>
  <c r="S939" i="37" a="1"/>
  <c r="S939" i="37" s="1"/>
  <c r="K456" i="37"/>
  <c r="K454" i="37" s="1"/>
  <c r="AE472" i="37"/>
  <c r="Q489" i="37"/>
  <c r="N938" i="37" a="1"/>
  <c r="N938" i="37" s="1"/>
  <c r="O969" i="37" a="1"/>
  <c r="O969" i="37" s="1"/>
  <c r="M927" i="37" a="1"/>
  <c r="M927" i="37" s="1"/>
  <c r="K925" i="37" a="1"/>
  <c r="K925" i="37" s="1"/>
  <c r="N939" i="37" a="1"/>
  <c r="N939" i="37" s="1"/>
  <c r="G914" i="37"/>
  <c r="I938" i="37" a="1"/>
  <c r="I938" i="37" s="1"/>
  <c r="J885" i="37" a="1"/>
  <c r="J885" i="37" s="1"/>
  <c r="O927" i="37" a="1"/>
  <c r="O927" i="37" s="1"/>
  <c r="K914" i="37"/>
  <c r="K897" i="37" a="1"/>
  <c r="K897" i="37" s="1"/>
  <c r="O938" i="37" a="1"/>
  <c r="O938" i="37" s="1"/>
  <c r="Q897" i="37" a="1"/>
  <c r="Q897" i="37" s="1"/>
  <c r="S911" i="37" a="1"/>
  <c r="S911" i="37" s="1"/>
  <c r="AJ420" i="37"/>
  <c r="H484" i="37"/>
  <c r="N913" i="37" a="1"/>
  <c r="N913" i="37" s="1"/>
  <c r="L969" i="37" a="1"/>
  <c r="L969" i="37" s="1"/>
  <c r="L924" i="37" a="1"/>
  <c r="L924" i="37" s="1"/>
  <c r="M924" i="37" a="1"/>
  <c r="M924" i="37" s="1"/>
  <c r="U882" i="37" a="1"/>
  <c r="U882" i="37" s="1"/>
  <c r="G911" i="37" a="1"/>
  <c r="G911" i="37" s="1"/>
  <c r="AL408" i="37"/>
  <c r="N408" i="37"/>
  <c r="F439" i="37"/>
  <c r="AL426" i="37"/>
  <c r="S402" i="37"/>
  <c r="AM432" i="37"/>
  <c r="AJ438" i="37"/>
  <c r="R438" i="37"/>
  <c r="G408" i="37"/>
  <c r="T402" i="37"/>
  <c r="U432" i="37"/>
  <c r="U420" i="37"/>
  <c r="AI438" i="37"/>
  <c r="G910" i="37" a="1"/>
  <c r="G910" i="37" s="1"/>
  <c r="AH420" i="37"/>
  <c r="AC449" i="37"/>
  <c r="AC448" i="37" s="1"/>
  <c r="Q432" i="37"/>
  <c r="AE438" i="37"/>
  <c r="AG484" i="37"/>
  <c r="AF485" i="37"/>
  <c r="AF484" i="37" s="1"/>
  <c r="AB478" i="37"/>
  <c r="J449" i="37"/>
  <c r="J448" i="37" s="1"/>
  <c r="X439" i="37"/>
  <c r="R426" i="37"/>
  <c r="AF454" i="37"/>
  <c r="P426" i="37"/>
  <c r="U426" i="37"/>
  <c r="U402" i="37"/>
  <c r="AM414" i="37"/>
  <c r="AM426" i="37"/>
  <c r="Q408" i="37"/>
  <c r="AF448" i="37"/>
  <c r="F433" i="37"/>
  <c r="AK420" i="37"/>
  <c r="AK432" i="37"/>
  <c r="S408" i="37"/>
  <c r="F415" i="37"/>
  <c r="Q475" i="37"/>
  <c r="R395" i="37"/>
  <c r="R487" i="37" s="1"/>
  <c r="R899" i="37" a="1"/>
  <c r="R899" i="37" s="1"/>
  <c r="AC432" i="37"/>
  <c r="F419" i="37"/>
  <c r="AG438" i="37"/>
  <c r="AI455" i="37"/>
  <c r="F427" i="37"/>
  <c r="AF460" i="37"/>
  <c r="AL402" i="37"/>
  <c r="F409" i="37"/>
  <c r="T438" i="37"/>
  <c r="Q420" i="37"/>
  <c r="T426" i="37"/>
  <c r="K402" i="37"/>
  <c r="P414" i="37"/>
  <c r="N455" i="37"/>
  <c r="N454" i="37" s="1"/>
  <c r="AE454" i="37"/>
  <c r="AA460" i="37"/>
  <c r="R402" i="37"/>
  <c r="Q414" i="37"/>
  <c r="AG448" i="37"/>
  <c r="AG466" i="37"/>
  <c r="F403" i="37"/>
  <c r="Q438" i="37"/>
  <c r="AI408" i="37"/>
  <c r="G882" i="37" a="1"/>
  <c r="G882" i="37" s="1"/>
  <c r="AB432" i="37"/>
  <c r="AB460" i="37"/>
  <c r="AE408" i="37"/>
  <c r="AC485" i="37"/>
  <c r="F404" i="37"/>
  <c r="H449" i="37"/>
  <c r="H448" i="37" s="1"/>
  <c r="L420" i="37"/>
  <c r="L448" i="37"/>
  <c r="AB414" i="37"/>
  <c r="AA414" i="37"/>
  <c r="N466" i="37"/>
  <c r="L402" i="37"/>
  <c r="L484" i="37"/>
  <c r="AH484" i="37"/>
  <c r="Q468" i="37"/>
  <c r="N420" i="37"/>
  <c r="L438" i="37"/>
  <c r="G464" i="37"/>
  <c r="F464" i="37" s="1"/>
  <c r="F418" i="37"/>
  <c r="O817" i="37"/>
  <c r="O902" i="37" s="1"/>
  <c r="P900" i="37"/>
  <c r="O942" i="37"/>
  <c r="O970" i="37"/>
  <c r="N970" i="37"/>
  <c r="M899" i="37" a="1"/>
  <c r="M899" i="37" s="1"/>
  <c r="M941" i="37" a="1"/>
  <c r="M941" i="37" s="1"/>
  <c r="L900" i="37"/>
  <c r="K941" i="37" a="1"/>
  <c r="K941" i="37" s="1"/>
  <c r="K886" i="37"/>
  <c r="K956" i="37"/>
  <c r="K953" i="37" a="1"/>
  <c r="K953" i="37" s="1"/>
  <c r="L897" i="37" a="1"/>
  <c r="L897" i="37" s="1"/>
  <c r="M882" i="37" a="1"/>
  <c r="M882" i="37" s="1"/>
  <c r="P896" i="37" a="1"/>
  <c r="P896" i="37" s="1"/>
  <c r="N883" i="37" a="1"/>
  <c r="N883" i="37" s="1"/>
  <c r="J969" i="37" a="1"/>
  <c r="J969" i="37" s="1"/>
  <c r="I885" i="37" a="1"/>
  <c r="I885" i="37" s="1"/>
  <c r="H956" i="37"/>
  <c r="R952" i="37" a="1"/>
  <c r="R952" i="37" s="1"/>
  <c r="J911" i="37" a="1"/>
  <c r="J911" i="37" s="1"/>
  <c r="H897" i="37" a="1"/>
  <c r="H897" i="37" s="1"/>
  <c r="S897" i="37" a="1"/>
  <c r="S897" i="37" s="1"/>
  <c r="R882" i="37" a="1"/>
  <c r="R882" i="37" s="1"/>
  <c r="R939" i="37" a="1"/>
  <c r="R939" i="37" s="1"/>
  <c r="U925" i="37" a="1"/>
  <c r="U925" i="37" s="1"/>
  <c r="Q938" i="37" a="1"/>
  <c r="Q938" i="37" s="1"/>
  <c r="L466" i="37"/>
  <c r="F422" i="37"/>
  <c r="AJ369" i="37"/>
  <c r="AJ461" i="37" s="1"/>
  <c r="R901" i="37" a="1"/>
  <c r="R901" i="37" s="1"/>
  <c r="P970" i="37"/>
  <c r="Q453" i="37"/>
  <c r="F374" i="37"/>
  <c r="P758" i="37"/>
  <c r="P830" i="37" s="1"/>
  <c r="H940" i="51" s="1"/>
  <c r="U408" i="37"/>
  <c r="J432" i="37"/>
  <c r="X409" i="37"/>
  <c r="X441" i="37"/>
  <c r="H414" i="37"/>
  <c r="O914" i="37"/>
  <c r="M900" i="37"/>
  <c r="L938" i="37" a="1"/>
  <c r="L938" i="37" s="1"/>
  <c r="H885" i="37" a="1"/>
  <c r="H885" i="37" s="1"/>
  <c r="S967" i="37" a="1"/>
  <c r="S967" i="37" s="1"/>
  <c r="R367" i="37"/>
  <c r="R459" i="37" s="1"/>
  <c r="H466" i="37"/>
  <c r="Y432" i="37"/>
  <c r="X421" i="37"/>
  <c r="Z420" i="37"/>
  <c r="Z467" i="37"/>
  <c r="Z466" i="37" s="1"/>
  <c r="H426" i="37"/>
  <c r="H473" i="37"/>
  <c r="H472" i="37" s="1"/>
  <c r="T414" i="37"/>
  <c r="N451" i="37"/>
  <c r="F451" i="37" s="1"/>
  <c r="F405" i="37"/>
  <c r="G482" i="37"/>
  <c r="F436" i="37"/>
  <c r="I452" i="37"/>
  <c r="I448" i="37" s="1"/>
  <c r="F406" i="37"/>
  <c r="I402" i="37"/>
  <c r="G480" i="37"/>
  <c r="G432" i="37"/>
  <c r="AA451" i="37"/>
  <c r="AA448" i="37" s="1"/>
  <c r="X405" i="37"/>
  <c r="J408" i="37"/>
  <c r="J455" i="37"/>
  <c r="J454" i="37" s="1"/>
  <c r="J462" i="37"/>
  <c r="J460" i="37" s="1"/>
  <c r="J414" i="37"/>
  <c r="S414" i="37"/>
  <c r="N426" i="37"/>
  <c r="N473" i="37"/>
  <c r="N472" i="37" s="1"/>
  <c r="Z474" i="37"/>
  <c r="Z472" i="37" s="1"/>
  <c r="Z426" i="37"/>
  <c r="I462" i="37"/>
  <c r="I414" i="37"/>
  <c r="I458" i="37"/>
  <c r="I454" i="37" s="1"/>
  <c r="I408" i="37"/>
  <c r="J489" i="37"/>
  <c r="F489" i="37" s="1"/>
  <c r="J438" i="37"/>
  <c r="X416" i="37"/>
  <c r="AC414" i="37"/>
  <c r="AC462" i="37"/>
  <c r="X462" i="37" s="1"/>
  <c r="P402" i="37"/>
  <c r="N438" i="37"/>
  <c r="N485" i="37"/>
  <c r="N484" i="37" s="1"/>
  <c r="AG474" i="37"/>
  <c r="AG472" i="37" s="1"/>
  <c r="AG426" i="37"/>
  <c r="Z481" i="37"/>
  <c r="Z478" i="37" s="1"/>
  <c r="X435" i="37"/>
  <c r="Z432" i="37"/>
  <c r="AH426" i="37"/>
  <c r="AH473" i="37"/>
  <c r="AH472" i="37" s="1"/>
  <c r="Y463" i="37"/>
  <c r="X417" i="37"/>
  <c r="M420" i="37"/>
  <c r="M467" i="37"/>
  <c r="M466" i="37" s="1"/>
  <c r="N941" i="37" a="1"/>
  <c r="N941" i="37" s="1"/>
  <c r="L941" i="37" a="1"/>
  <c r="L941" i="37" s="1"/>
  <c r="M966" i="37" a="1"/>
  <c r="M966" i="37" s="1"/>
  <c r="N924" i="37" a="1"/>
  <c r="N924" i="37" s="1"/>
  <c r="G956" i="37"/>
  <c r="G953" i="37" a="1"/>
  <c r="G953" i="37" s="1"/>
  <c r="T966" i="37" a="1"/>
  <c r="T966" i="37" s="1"/>
  <c r="AF408" i="37"/>
  <c r="X429" i="37"/>
  <c r="P408" i="37"/>
  <c r="X411" i="37"/>
  <c r="P462" i="37"/>
  <c r="P460" i="37" s="1"/>
  <c r="O885" i="37" a="1"/>
  <c r="O885" i="37" s="1"/>
  <c r="O886" i="37"/>
  <c r="N942" i="37"/>
  <c r="N885" i="37" a="1"/>
  <c r="N885" i="37" s="1"/>
  <c r="M970" i="37"/>
  <c r="M955" i="37" a="1"/>
  <c r="M955" i="37" s="1"/>
  <c r="K955" i="37" a="1"/>
  <c r="K955" i="37" s="1"/>
  <c r="L956" i="37"/>
  <c r="K900" i="37"/>
  <c r="K883" i="37" a="1"/>
  <c r="K883" i="37" s="1"/>
  <c r="L925" i="37" a="1"/>
  <c r="L925" i="37" s="1"/>
  <c r="P953" i="37" a="1"/>
  <c r="P953" i="37" s="1"/>
  <c r="M938" i="37" a="1"/>
  <c r="M938" i="37" s="1"/>
  <c r="N896" i="37" a="1"/>
  <c r="N896" i="37" s="1"/>
  <c r="O897" i="37" a="1"/>
  <c r="O897" i="37" s="1"/>
  <c r="I956" i="37"/>
  <c r="H970" i="37"/>
  <c r="G970" i="37"/>
  <c r="H953" i="37" a="1"/>
  <c r="H953" i="37" s="1"/>
  <c r="G899" i="37" a="1"/>
  <c r="G899" i="37" s="1"/>
  <c r="U910" i="37" a="1"/>
  <c r="U910" i="37" s="1"/>
  <c r="H939" i="37" a="1"/>
  <c r="H939" i="37" s="1"/>
  <c r="H910" i="37" a="1"/>
  <c r="H910" i="37" s="1"/>
  <c r="H911" i="37" a="1"/>
  <c r="H911" i="37" s="1"/>
  <c r="J967" i="37" a="1"/>
  <c r="J967" i="37" s="1"/>
  <c r="Z414" i="37"/>
  <c r="F421" i="37"/>
  <c r="R393" i="37"/>
  <c r="R485" i="37" s="1"/>
  <c r="R943" i="37" a="1"/>
  <c r="R943" i="37" s="1"/>
  <c r="K453" i="37"/>
  <c r="F453" i="37" s="1"/>
  <c r="AB402" i="37"/>
  <c r="M461" i="37"/>
  <c r="M460" i="37" s="1"/>
  <c r="N478" i="37"/>
  <c r="F442" i="37"/>
  <c r="AF414" i="37"/>
  <c r="O448" i="37"/>
  <c r="AI456" i="37"/>
  <c r="Z402" i="37"/>
  <c r="Z449" i="37"/>
  <c r="Z448" i="37" s="1"/>
  <c r="AH466" i="37"/>
  <c r="L465" i="37"/>
  <c r="L460" i="37" s="1"/>
  <c r="L414" i="37"/>
  <c r="AD475" i="37"/>
  <c r="AD472" i="37" s="1"/>
  <c r="AD426" i="37"/>
  <c r="O480" i="37"/>
  <c r="O478" i="37" s="1"/>
  <c r="O432" i="37"/>
  <c r="AE484" i="37"/>
  <c r="I480" i="37"/>
  <c r="I478" i="37" s="1"/>
  <c r="I432" i="37"/>
  <c r="AH408" i="37"/>
  <c r="AH455" i="37"/>
  <c r="AH454" i="37" s="1"/>
  <c r="Y402" i="37"/>
  <c r="Y456" i="37"/>
  <c r="X410" i="37"/>
  <c r="J474" i="37"/>
  <c r="J472" i="37" s="1"/>
  <c r="J426" i="37"/>
  <c r="P432" i="37"/>
  <c r="P479" i="37"/>
  <c r="P478" i="37" s="1"/>
  <c r="AA420" i="37"/>
  <c r="AA467" i="37"/>
  <c r="AB474" i="37"/>
  <c r="AB472" i="37" s="1"/>
  <c r="AB426" i="37"/>
  <c r="O486" i="37"/>
  <c r="O484" i="37" s="1"/>
  <c r="F440" i="37"/>
  <c r="I471" i="37"/>
  <c r="F471" i="37" s="1"/>
  <c r="F425" i="37"/>
  <c r="J469" i="37"/>
  <c r="J466" i="37" s="1"/>
  <c r="J420" i="37"/>
  <c r="AA475" i="37"/>
  <c r="AA472" i="37" s="1"/>
  <c r="AA426" i="37"/>
  <c r="AD487" i="37"/>
  <c r="X487" i="37" s="1"/>
  <c r="AD438" i="37"/>
  <c r="AA468" i="37"/>
  <c r="X468" i="37" s="1"/>
  <c r="X422" i="37"/>
  <c r="H480" i="37"/>
  <c r="H432" i="37"/>
  <c r="Y474" i="37"/>
  <c r="X428" i="37"/>
  <c r="P474" i="37"/>
  <c r="P472" i="37" s="1"/>
  <c r="F429" i="37"/>
  <c r="M480" i="37"/>
  <c r="M478" i="37" s="1"/>
  <c r="M432" i="37"/>
  <c r="AJ402" i="37"/>
  <c r="T408" i="37"/>
  <c r="G474" i="37"/>
  <c r="F428" i="37"/>
  <c r="N955" i="37" a="1"/>
  <c r="N955" i="37" s="1"/>
  <c r="L927" i="37" a="1"/>
  <c r="L927" i="37" s="1"/>
  <c r="K952" i="37" a="1"/>
  <c r="K952" i="37" s="1"/>
  <c r="N925" i="37" a="1"/>
  <c r="N925" i="37" s="1"/>
  <c r="T952" i="37" a="1"/>
  <c r="T952" i="37" s="1"/>
  <c r="R967" i="37" a="1"/>
  <c r="R967" i="37" s="1"/>
  <c r="S925" i="37" a="1"/>
  <c r="S925" i="37" s="1"/>
  <c r="Z460" i="37"/>
  <c r="F434" i="37"/>
  <c r="X423" i="37"/>
  <c r="AG803" i="37"/>
  <c r="O822" i="37"/>
  <c r="O900" i="37"/>
  <c r="O913" i="37" a="1"/>
  <c r="O913" i="37" s="1"/>
  <c r="O912" i="37" s="1"/>
  <c r="N969" i="37" a="1"/>
  <c r="N969" i="37" s="1"/>
  <c r="N900" i="37"/>
  <c r="M886" i="37"/>
  <c r="M928" i="37"/>
  <c r="K899" i="37" a="1"/>
  <c r="K899" i="37" s="1"/>
  <c r="L955" i="37" a="1"/>
  <c r="L955" i="37" s="1"/>
  <c r="L914" i="37"/>
  <c r="K967" i="37" a="1"/>
  <c r="K967" i="37" s="1"/>
  <c r="L896" i="37" a="1"/>
  <c r="L896" i="37" s="1"/>
  <c r="P938" i="37" a="1"/>
  <c r="P938" i="37" s="1"/>
  <c r="N882" i="37" a="1"/>
  <c r="N882" i="37" s="1"/>
  <c r="O910" i="37" a="1"/>
  <c r="O910" i="37" s="1"/>
  <c r="O896" i="37" a="1"/>
  <c r="O896" i="37" s="1"/>
  <c r="I942" i="37"/>
  <c r="H900" i="37"/>
  <c r="G900" i="37"/>
  <c r="I924" i="37" a="1"/>
  <c r="I924" i="37" s="1"/>
  <c r="I953" i="37" a="1"/>
  <c r="I953" i="37" s="1"/>
  <c r="Q911" i="37" a="1"/>
  <c r="Q911" i="37" s="1"/>
  <c r="G952" i="37" a="1"/>
  <c r="G952" i="37" s="1"/>
  <c r="T897" i="37" a="1"/>
  <c r="T897" i="37" s="1"/>
  <c r="H925" i="37" a="1"/>
  <c r="H925" i="37" s="1"/>
  <c r="R363" i="37"/>
  <c r="R455" i="37" s="1"/>
  <c r="AA455" i="37"/>
  <c r="AA454" i="37" s="1"/>
  <c r="I484" i="37"/>
  <c r="AE426" i="37"/>
  <c r="X434" i="37"/>
  <c r="G473" i="37"/>
  <c r="F407" i="37"/>
  <c r="M414" i="37"/>
  <c r="N432" i="37"/>
  <c r="AI432" i="37"/>
  <c r="M484" i="37"/>
  <c r="AF432" i="37"/>
  <c r="X427" i="37"/>
  <c r="AE402" i="37"/>
  <c r="AH402" i="37"/>
  <c r="G477" i="37"/>
  <c r="F477" i="37" s="1"/>
  <c r="F431" i="37"/>
  <c r="G483" i="37"/>
  <c r="F483" i="37" s="1"/>
  <c r="F437" i="37"/>
  <c r="AI402" i="37"/>
  <c r="X433" i="37"/>
  <c r="AE432" i="37"/>
  <c r="AE479" i="37"/>
  <c r="AE478" i="37" s="1"/>
  <c r="O402" i="37"/>
  <c r="AK414" i="37"/>
  <c r="AE420" i="37"/>
  <c r="AE467" i="37"/>
  <c r="AE466" i="37" s="1"/>
  <c r="O475" i="37"/>
  <c r="O472" i="37" s="1"/>
  <c r="O426" i="37"/>
  <c r="K468" i="37"/>
  <c r="F468" i="37" s="1"/>
  <c r="K420" i="37"/>
  <c r="AG457" i="37"/>
  <c r="AG454" i="37" s="1"/>
  <c r="AG408" i="37"/>
  <c r="K432" i="37"/>
  <c r="FU33" i="28"/>
  <c r="R396" i="37"/>
  <c r="R488" i="37" s="1"/>
  <c r="R379" i="37"/>
  <c r="R471" i="37" s="1"/>
  <c r="AJ376" i="37"/>
  <c r="AJ468" i="37" s="1"/>
  <c r="R360" i="37"/>
  <c r="R452" i="37" s="1"/>
  <c r="R376" i="37"/>
  <c r="R468" i="37" s="1"/>
  <c r="AJ395" i="37"/>
  <c r="AJ487" i="37" s="1"/>
  <c r="R383" i="37"/>
  <c r="R475" i="37" s="1"/>
  <c r="R365" i="37"/>
  <c r="R457" i="37" s="1"/>
  <c r="AJ383" i="37"/>
  <c r="AJ475" i="37" s="1"/>
  <c r="R794" i="37"/>
  <c r="R793" i="37" s="1"/>
  <c r="R792" i="37" s="1"/>
  <c r="R371" i="37"/>
  <c r="R463" i="37" s="1"/>
  <c r="R397" i="37"/>
  <c r="R489" i="37" s="1"/>
  <c r="AJ370" i="37"/>
  <c r="AJ462" i="37" s="1"/>
  <c r="O469" i="37"/>
  <c r="O466" i="37" s="1"/>
  <c r="O420" i="37"/>
  <c r="AJ363" i="37"/>
  <c r="AJ455" i="37" s="1"/>
  <c r="Q956" i="37"/>
  <c r="H966" i="37" a="1"/>
  <c r="H966" i="37" s="1"/>
  <c r="U967" i="37" a="1"/>
  <c r="U967" i="37" s="1"/>
  <c r="G939" i="37" a="1"/>
  <c r="G939" i="37" s="1"/>
  <c r="G938" i="37" a="1"/>
  <c r="G938" i="37" s="1"/>
  <c r="J939" i="37" a="1"/>
  <c r="J939" i="37" s="1"/>
  <c r="R897" i="37" a="1"/>
  <c r="R897" i="37" s="1"/>
  <c r="T967" i="37" a="1"/>
  <c r="T967" i="37" s="1"/>
  <c r="G969" i="37" a="1"/>
  <c r="G969" i="37" s="1"/>
  <c r="Q952" i="37" a="1"/>
  <c r="Q952" i="37" s="1"/>
  <c r="U952" i="37" a="1"/>
  <c r="U952" i="37" s="1"/>
  <c r="I939" i="37" a="1"/>
  <c r="I939" i="37" s="1"/>
  <c r="I910" i="37" a="1"/>
  <c r="I910" i="37" s="1"/>
  <c r="S924" i="37" a="1"/>
  <c r="S924" i="37" s="1"/>
  <c r="G924" i="37" a="1"/>
  <c r="G924" i="37" s="1"/>
  <c r="H883" i="37" a="1"/>
  <c r="H883" i="37" s="1"/>
  <c r="J896" i="37" a="1"/>
  <c r="J896" i="37" s="1"/>
  <c r="G942" i="37"/>
  <c r="H928" i="37"/>
  <c r="H913" i="37" a="1"/>
  <c r="H913" i="37" s="1"/>
  <c r="I928" i="37"/>
  <c r="J928" i="37"/>
  <c r="J899" i="37" a="1"/>
  <c r="J899" i="37" s="1"/>
  <c r="M953" i="37" a="1"/>
  <c r="M953" i="37" s="1"/>
  <c r="P897" i="37" a="1"/>
  <c r="P897" i="37" s="1"/>
  <c r="M952" i="37" a="1"/>
  <c r="M952" i="37" s="1"/>
  <c r="N952" i="37" a="1"/>
  <c r="N952" i="37" s="1"/>
  <c r="O911" i="37" a="1"/>
  <c r="O911" i="37" s="1"/>
  <c r="O966" i="37" a="1"/>
  <c r="O966" i="37" s="1"/>
  <c r="N911" i="37" a="1"/>
  <c r="N911" i="37" s="1"/>
  <c r="L953" i="37" a="1"/>
  <c r="L953" i="37" s="1"/>
  <c r="L911" i="37" a="1"/>
  <c r="L911" i="37" s="1"/>
  <c r="K938" i="37" a="1"/>
  <c r="K938" i="37" s="1"/>
  <c r="Q928" i="37"/>
  <c r="G941" i="37" a="1"/>
  <c r="G941" i="37" s="1"/>
  <c r="Q882" i="37" a="1"/>
  <c r="Q882" i="37" s="1"/>
  <c r="Q967" i="37" a="1"/>
  <c r="Q967" i="37" s="1"/>
  <c r="R966" i="37" a="1"/>
  <c r="R966" i="37" s="1"/>
  <c r="G927" i="37" a="1"/>
  <c r="G927" i="37" s="1"/>
  <c r="U953" i="37" a="1"/>
  <c r="U953" i="37" s="1"/>
  <c r="S966" i="37" a="1"/>
  <c r="S966" i="37" s="1"/>
  <c r="J953" i="37" a="1"/>
  <c r="J953" i="37" s="1"/>
  <c r="Q910" i="37" a="1"/>
  <c r="Q910" i="37" s="1"/>
  <c r="R883" i="37" a="1"/>
  <c r="R883" i="37" s="1"/>
  <c r="Q924" i="37" a="1"/>
  <c r="Q924" i="37" s="1"/>
  <c r="G955" i="37" a="1"/>
  <c r="G955" i="37" s="1"/>
  <c r="R911" i="37" a="1"/>
  <c r="R911" i="37" s="1"/>
  <c r="T896" i="37" a="1"/>
  <c r="T896" i="37" s="1"/>
  <c r="J924" i="37" a="1"/>
  <c r="J924" i="37" s="1"/>
  <c r="U924" i="37" a="1"/>
  <c r="U924" i="37" s="1"/>
  <c r="G928" i="37"/>
  <c r="H899" i="37" a="1"/>
  <c r="H899" i="37" s="1"/>
  <c r="I941" i="37" a="1"/>
  <c r="I941" i="37" s="1"/>
  <c r="J970" i="37"/>
  <c r="J941" i="37" a="1"/>
  <c r="J941" i="37" s="1"/>
  <c r="J900" i="37"/>
  <c r="P952" i="37" a="1"/>
  <c r="P952" i="37" s="1"/>
  <c r="O939" i="37" a="1"/>
  <c r="O939" i="37" s="1"/>
  <c r="M897" i="37" a="1"/>
  <c r="M897" i="37" s="1"/>
  <c r="N967" i="37" a="1"/>
  <c r="N967" i="37" s="1"/>
  <c r="P925" i="37" a="1"/>
  <c r="P925" i="37" s="1"/>
  <c r="O925" i="37" a="1"/>
  <c r="O925" i="37" s="1"/>
  <c r="N953" i="37" a="1"/>
  <c r="N953" i="37" s="1"/>
  <c r="L952" i="37" a="1"/>
  <c r="L952" i="37" s="1"/>
  <c r="L966" i="37" a="1"/>
  <c r="L966" i="37" s="1"/>
  <c r="K939" i="37" a="1"/>
  <c r="K939" i="37" s="1"/>
  <c r="Q969" i="37" a="1"/>
  <c r="Q969" i="37" s="1"/>
  <c r="I897" i="37" a="1"/>
  <c r="I897" i="37" s="1"/>
  <c r="R938" i="37" a="1"/>
  <c r="R938" i="37" s="1"/>
  <c r="I967" i="37" a="1"/>
  <c r="I967" i="37" s="1"/>
  <c r="T882" i="37" a="1"/>
  <c r="T882" i="37" s="1"/>
  <c r="S883" i="37" a="1"/>
  <c r="S883" i="37" s="1"/>
  <c r="T924" i="37" a="1"/>
  <c r="T924" i="37" s="1"/>
  <c r="S938" i="37" a="1"/>
  <c r="S938" i="37" s="1"/>
  <c r="H924" i="37" a="1"/>
  <c r="H924" i="37" s="1"/>
  <c r="R953" i="37" a="1"/>
  <c r="R953" i="37" s="1"/>
  <c r="G913" i="37" a="1"/>
  <c r="G913" i="37" s="1"/>
  <c r="T938" i="37" a="1"/>
  <c r="T938" i="37" s="1"/>
  <c r="Q939" i="37" a="1"/>
  <c r="Q939" i="37" s="1"/>
  <c r="U938" i="37" a="1"/>
  <c r="U938" i="37" s="1"/>
  <c r="U897" i="37" a="1"/>
  <c r="U897" i="37" s="1"/>
  <c r="I896" i="37" a="1"/>
  <c r="I896" i="37" s="1"/>
  <c r="U939" i="37" a="1"/>
  <c r="U939" i="37" s="1"/>
  <c r="H927" i="37" a="1"/>
  <c r="H927" i="37" s="1"/>
  <c r="H914" i="37"/>
  <c r="I900" i="37"/>
  <c r="I970" i="37"/>
  <c r="J886" i="37"/>
  <c r="J927" i="37" a="1"/>
  <c r="J927" i="37" s="1"/>
  <c r="P967" i="37" a="1"/>
  <c r="P967" i="37" s="1"/>
  <c r="N966" i="37" a="1"/>
  <c r="N966" i="37" s="1"/>
  <c r="M883" i="37" a="1"/>
  <c r="M883" i="37" s="1"/>
  <c r="O967" i="37" a="1"/>
  <c r="O967" i="37" s="1"/>
  <c r="O924" i="37" a="1"/>
  <c r="O924" i="37" s="1"/>
  <c r="O883" i="37" a="1"/>
  <c r="O883" i="37" s="1"/>
  <c r="M967" i="37" a="1"/>
  <c r="M967" i="37" s="1"/>
  <c r="L967" i="37" a="1"/>
  <c r="L967" i="37" s="1"/>
  <c r="K896" i="37" a="1"/>
  <c r="K896" i="37" s="1"/>
  <c r="K882" i="37" a="1"/>
  <c r="K882" i="37" s="1"/>
  <c r="S952" i="37" a="1"/>
  <c r="S952" i="37" s="1"/>
  <c r="J883" i="37" a="1"/>
  <c r="J883" i="37" s="1"/>
  <c r="H952" i="37" a="1"/>
  <c r="H952" i="37" s="1"/>
  <c r="H938" i="37" a="1"/>
  <c r="H938" i="37" s="1"/>
  <c r="H882" i="37" a="1"/>
  <c r="H882" i="37" s="1"/>
  <c r="H881" i="37" s="1"/>
  <c r="H880" i="37" s="1"/>
  <c r="Q925" i="37" a="1"/>
  <c r="Q925" i="37" s="1"/>
  <c r="R925" i="37" a="1"/>
  <c r="R925" i="37" s="1"/>
  <c r="T883" i="37" a="1"/>
  <c r="T883" i="37" s="1"/>
  <c r="R910" i="37" a="1"/>
  <c r="R910" i="37" s="1"/>
  <c r="I882" i="37" a="1"/>
  <c r="I882" i="37" s="1"/>
  <c r="J925" i="37" a="1"/>
  <c r="J925" i="37" s="1"/>
  <c r="G967" i="37" a="1"/>
  <c r="G967" i="37" s="1"/>
  <c r="Q953" i="37" a="1"/>
  <c r="Q953" i="37" s="1"/>
  <c r="I925" i="37" a="1"/>
  <c r="I925" i="37" s="1"/>
  <c r="I911" i="37" a="1"/>
  <c r="I911" i="37" s="1"/>
  <c r="G886" i="37"/>
  <c r="H955" i="37" a="1"/>
  <c r="H955" i="37" s="1"/>
  <c r="H942" i="37"/>
  <c r="I914" i="37"/>
  <c r="I886" i="37"/>
  <c r="J914" i="37"/>
  <c r="J956" i="37"/>
  <c r="P883" i="37" a="1"/>
  <c r="P883" i="37" s="1"/>
  <c r="P882" i="37" a="1"/>
  <c r="P882" i="37" s="1"/>
  <c r="P966" i="37" a="1"/>
  <c r="P966" i="37" s="1"/>
  <c r="O953" i="37" a="1"/>
  <c r="O953" i="37" s="1"/>
  <c r="N910" i="37" a="1"/>
  <c r="N910" i="37" s="1"/>
  <c r="N909" i="37" s="1"/>
  <c r="N908" i="37" s="1"/>
  <c r="M910" i="37" a="1"/>
  <c r="M910" i="37" s="1"/>
  <c r="O882" i="37" a="1"/>
  <c r="O882" i="37" s="1"/>
  <c r="L883" i="37" a="1"/>
  <c r="L883" i="37" s="1"/>
  <c r="K966" i="37" a="1"/>
  <c r="K966" i="37" s="1"/>
  <c r="K911" i="37" a="1"/>
  <c r="K911" i="37" s="1"/>
  <c r="X403" i="37"/>
  <c r="AN395" i="37"/>
  <c r="Q402" i="37"/>
  <c r="AH432" i="37"/>
  <c r="AH479" i="37"/>
  <c r="AH478" i="37" s="1"/>
  <c r="R420" i="37"/>
  <c r="P438" i="37"/>
  <c r="AC420" i="37"/>
  <c r="AC467" i="37"/>
  <c r="AC466" i="37" s="1"/>
  <c r="O818" i="37"/>
  <c r="P454" i="37"/>
  <c r="M969" i="37" a="1"/>
  <c r="M969" i="37" s="1"/>
  <c r="K928" i="37"/>
  <c r="M896" i="37" a="1"/>
  <c r="M896" i="37" s="1"/>
  <c r="I927" i="37" a="1"/>
  <c r="I927" i="37" s="1"/>
  <c r="S910" i="37" a="1"/>
  <c r="S910" i="37" s="1"/>
  <c r="G897" i="37" a="1"/>
  <c r="G897" i="37" s="1"/>
  <c r="AJ377" i="37"/>
  <c r="AJ469" i="37" s="1"/>
  <c r="O866" i="37"/>
  <c r="O928" i="37"/>
  <c r="O899" i="37" a="1"/>
  <c r="O899" i="37" s="1"/>
  <c r="N914" i="37"/>
  <c r="N927" i="37" a="1"/>
  <c r="N927" i="37" s="1"/>
  <c r="M913" i="37" a="1"/>
  <c r="M913" i="37" s="1"/>
  <c r="K913" i="37" a="1"/>
  <c r="K913" i="37" s="1"/>
  <c r="K942" i="37"/>
  <c r="L913" i="37" a="1"/>
  <c r="L913" i="37" s="1"/>
  <c r="L928" i="37"/>
  <c r="K924" i="37" a="1"/>
  <c r="K924" i="37" s="1"/>
  <c r="L939" i="37" a="1"/>
  <c r="L939" i="37" s="1"/>
  <c r="P939" i="37" a="1"/>
  <c r="P939" i="37" s="1"/>
  <c r="M925" i="37" a="1"/>
  <c r="M925" i="37" s="1"/>
  <c r="P910" i="37" a="1"/>
  <c r="P910" i="37" s="1"/>
  <c r="J955" i="37" a="1"/>
  <c r="J955" i="37" s="1"/>
  <c r="I913" i="37" a="1"/>
  <c r="I913" i="37" s="1"/>
  <c r="H941" i="37" a="1"/>
  <c r="H941" i="37" s="1"/>
  <c r="H896" i="37" a="1"/>
  <c r="H896" i="37" s="1"/>
  <c r="G883" i="37" a="1"/>
  <c r="G883" i="37" s="1"/>
  <c r="T911" i="37" a="1"/>
  <c r="T911" i="37" s="1"/>
  <c r="I952" i="37" a="1"/>
  <c r="I952" i="37" s="1"/>
  <c r="J897" i="37" a="1"/>
  <c r="J897" i="37" s="1"/>
  <c r="T910" i="37" a="1"/>
  <c r="T910" i="37" s="1"/>
  <c r="G966" i="37" a="1"/>
  <c r="G966" i="37" s="1"/>
  <c r="T925" i="37" a="1"/>
  <c r="T925" i="37" s="1"/>
  <c r="R387" i="37"/>
  <c r="R479" i="37" s="1"/>
  <c r="R774" i="37"/>
  <c r="R773" i="37" s="1"/>
  <c r="R772" i="37" s="1"/>
  <c r="I438" i="37"/>
  <c r="G426" i="37"/>
  <c r="F470" i="37"/>
  <c r="AF402" i="37"/>
  <c r="M438" i="37"/>
  <c r="G420" i="37"/>
  <c r="Y426" i="37"/>
  <c r="AG420" i="37"/>
  <c r="G476" i="37"/>
  <c r="F476" i="37" s="1"/>
  <c r="F430" i="37"/>
  <c r="M459" i="37"/>
  <c r="M454" i="37" s="1"/>
  <c r="F413" i="37"/>
  <c r="L481" i="37"/>
  <c r="F481" i="37" s="1"/>
  <c r="L432" i="37"/>
  <c r="K414" i="37"/>
  <c r="Q426" i="37"/>
  <c r="N402" i="37"/>
  <c r="N449" i="37"/>
  <c r="I420" i="37"/>
  <c r="I467" i="37"/>
  <c r="H456" i="37"/>
  <c r="H454" i="37" s="1"/>
  <c r="F410" i="37"/>
  <c r="Y414" i="37"/>
  <c r="Y461" i="37"/>
  <c r="X461" i="37" s="1"/>
  <c r="X415" i="37"/>
  <c r="O819" i="37"/>
  <c r="R370" i="37"/>
  <c r="R462" i="37" s="1"/>
  <c r="G458" i="37"/>
  <c r="G454" i="37" s="1"/>
  <c r="F412" i="37"/>
  <c r="O941" i="37" a="1"/>
  <c r="O941" i="37" s="1"/>
  <c r="O955" i="37" a="1"/>
  <c r="O955" i="37" s="1"/>
  <c r="N956" i="37"/>
  <c r="N928" i="37"/>
  <c r="M885" i="37" a="1"/>
  <c r="M885" i="37" s="1"/>
  <c r="K885" i="37" a="1"/>
  <c r="K885" i="37" s="1"/>
  <c r="L886" i="37"/>
  <c r="K969" i="37" a="1"/>
  <c r="K969" i="37" s="1"/>
  <c r="L970" i="37"/>
  <c r="K910" i="37" a="1"/>
  <c r="K910" i="37" s="1"/>
  <c r="L910" i="37" a="1"/>
  <c r="L910" i="37" s="1"/>
  <c r="P924" i="37" a="1"/>
  <c r="P924" i="37" s="1"/>
  <c r="O952" i="37" a="1"/>
  <c r="O952" i="37" s="1"/>
  <c r="M939" i="37" a="1"/>
  <c r="M939" i="37" s="1"/>
  <c r="J942" i="37"/>
  <c r="I969" i="37" a="1"/>
  <c r="I969" i="37" s="1"/>
  <c r="H969" i="37" a="1"/>
  <c r="H969" i="37" s="1"/>
  <c r="J966" i="37" a="1"/>
  <c r="J966" i="37" s="1"/>
  <c r="G925" i="37" a="1"/>
  <c r="G925" i="37" s="1"/>
  <c r="U911" i="37" a="1"/>
  <c r="U911" i="37" s="1"/>
  <c r="U883" i="37" a="1"/>
  <c r="U883" i="37" s="1"/>
  <c r="T953" i="37" a="1"/>
  <c r="T953" i="37" s="1"/>
  <c r="S953" i="37" a="1"/>
  <c r="S953" i="37" s="1"/>
  <c r="S896" i="37" a="1"/>
  <c r="S896" i="37" s="1"/>
  <c r="T939" i="37" a="1"/>
  <c r="T939" i="37" s="1"/>
  <c r="R391" i="37"/>
  <c r="R483" i="37" s="1"/>
  <c r="F435" i="37"/>
  <c r="AI486" i="37"/>
  <c r="F424" i="37"/>
  <c r="H408" i="37"/>
  <c r="F443" i="37"/>
  <c r="F416" i="37"/>
  <c r="J479" i="37"/>
  <c r="J478" i="37" s="1"/>
  <c r="H460" i="37"/>
  <c r="X404" i="37"/>
  <c r="N414" i="37"/>
  <c r="N461" i="37"/>
  <c r="N460" i="37" s="1"/>
  <c r="AD480" i="37"/>
  <c r="X480" i="37" s="1"/>
  <c r="AD432" i="37"/>
  <c r="G487" i="37"/>
  <c r="F487" i="37" s="1"/>
  <c r="F441" i="37"/>
  <c r="G438" i="37"/>
  <c r="AF474" i="37"/>
  <c r="AF472" i="37" s="1"/>
  <c r="AF426" i="37"/>
  <c r="F463" i="37"/>
  <c r="S426" i="37"/>
  <c r="U414" i="37"/>
  <c r="AK402" i="37"/>
  <c r="Q471" i="37"/>
  <c r="Q486" i="37"/>
  <c r="AI451" i="37"/>
  <c r="AM420" i="37"/>
  <c r="AK426" i="37"/>
  <c r="S420" i="37"/>
  <c r="Q477" i="37"/>
  <c r="Q451" i="37"/>
  <c r="AB448" i="37"/>
  <c r="T420" i="37"/>
  <c r="AE448" i="37"/>
  <c r="Q465" i="37"/>
  <c r="AL420" i="37"/>
  <c r="P941" i="37" a="1"/>
  <c r="P941" i="37" s="1"/>
  <c r="R927" i="37" a="1"/>
  <c r="R927" i="37" s="1"/>
  <c r="S882" i="37" a="1"/>
  <c r="S882" i="37" s="1"/>
  <c r="Q942" i="37"/>
  <c r="P942" i="37"/>
  <c r="AC454" i="37"/>
  <c r="P956" i="37"/>
  <c r="AC478" i="37"/>
  <c r="Q885" i="37" a="1"/>
  <c r="Q885" i="37" s="1"/>
  <c r="G885" i="37" a="1"/>
  <c r="G885" i="37" s="1"/>
  <c r="R896" i="37" a="1"/>
  <c r="R896" i="37" s="1"/>
  <c r="J910" i="37" a="1"/>
  <c r="J910" i="37" s="1"/>
  <c r="G896" i="37" a="1"/>
  <c r="G896" i="37" s="1"/>
  <c r="J938" i="37" a="1"/>
  <c r="J938" i="37" s="1"/>
  <c r="R928" i="37"/>
  <c r="F450" i="37"/>
  <c r="H420" i="37"/>
  <c r="F417" i="37"/>
  <c r="U896" i="37" a="1"/>
  <c r="U896" i="37" s="1"/>
  <c r="H967" i="37" a="1"/>
  <c r="H967" i="37" s="1"/>
  <c r="Q941" i="37" a="1"/>
  <c r="Q941" i="37" s="1"/>
  <c r="Q482" i="37"/>
  <c r="R955" i="37" a="1"/>
  <c r="R955" i="37" s="1"/>
  <c r="Q913" i="37" a="1"/>
  <c r="Q913" i="37" s="1"/>
  <c r="X469" i="37"/>
  <c r="X450" i="37"/>
  <c r="N888" i="37"/>
  <c r="N814" i="37"/>
  <c r="K478" i="37"/>
  <c r="Q480" i="37"/>
  <c r="P448" i="37"/>
  <c r="Q487" i="37"/>
  <c r="AI467" i="37"/>
  <c r="AI374" i="37"/>
  <c r="V789" i="37"/>
  <c r="P788" i="37"/>
  <c r="J941" i="51" s="1"/>
  <c r="V788" i="37"/>
  <c r="FV28" i="28"/>
  <c r="AI485" i="37"/>
  <c r="AI392" i="37"/>
  <c r="AJ387" i="37"/>
  <c r="AJ382" i="37"/>
  <c r="AJ474" i="37" s="1"/>
  <c r="R369" i="37"/>
  <c r="R384" i="37"/>
  <c r="R476" i="37" s="1"/>
  <c r="R388" i="37"/>
  <c r="R480" i="37" s="1"/>
  <c r="R372" i="37"/>
  <c r="R394" i="37"/>
  <c r="R486" i="37" s="1"/>
  <c r="R378" i="37"/>
  <c r="R470" i="37" s="1"/>
  <c r="R971" i="37" a="1"/>
  <c r="R971" i="37" s="1"/>
  <c r="R786" i="37"/>
  <c r="R785" i="37" s="1"/>
  <c r="R784" i="37" s="1"/>
  <c r="P928" i="37"/>
  <c r="Q955" i="37" a="1"/>
  <c r="Q955" i="37" s="1"/>
  <c r="P913" i="37" a="1"/>
  <c r="P913" i="37" s="1"/>
  <c r="P914" i="37"/>
  <c r="P885" i="37" a="1"/>
  <c r="P885" i="37" s="1"/>
  <c r="P927" i="37" a="1"/>
  <c r="P927" i="37" s="1"/>
  <c r="Q899" i="37" a="1"/>
  <c r="Q899" i="37" s="1"/>
  <c r="P955" i="37" a="1"/>
  <c r="P955" i="37" s="1"/>
  <c r="Q970" i="37"/>
  <c r="P969" i="37" a="1"/>
  <c r="P969" i="37" s="1"/>
  <c r="Q914" i="37"/>
  <c r="G414" i="37"/>
  <c r="AH460" i="37"/>
  <c r="AG807" i="37"/>
  <c r="O847" i="37"/>
  <c r="O870" i="37"/>
  <c r="O850" i="37"/>
  <c r="O845" i="37"/>
  <c r="O846" i="37"/>
  <c r="O848" i="37"/>
  <c r="Q380" i="37"/>
  <c r="Q473" i="37"/>
  <c r="Q469" i="37"/>
  <c r="F488" i="37"/>
  <c r="O852" i="37"/>
  <c r="AG808" i="37"/>
  <c r="O853" i="37"/>
  <c r="O854" i="37"/>
  <c r="O857" i="37"/>
  <c r="O871" i="37"/>
  <c r="O855" i="37"/>
  <c r="Q392" i="37"/>
  <c r="Q761" i="37" s="1"/>
  <c r="Q851" i="37" s="1"/>
  <c r="P886" i="37"/>
  <c r="P755" i="37"/>
  <c r="P809" i="37" s="1"/>
  <c r="F356" i="37"/>
  <c r="Q476" i="37"/>
  <c r="AJ388" i="37"/>
  <c r="AJ480" i="37" s="1"/>
  <c r="AJ389" i="37"/>
  <c r="AJ481" i="37" s="1"/>
  <c r="R366" i="37"/>
  <c r="R458" i="37" s="1"/>
  <c r="R887" i="37" a="1"/>
  <c r="R887" i="37" s="1"/>
  <c r="R942" i="37"/>
  <c r="R358" i="37"/>
  <c r="R929" i="37" a="1"/>
  <c r="R929" i="37" s="1"/>
  <c r="R914" i="37"/>
  <c r="R885" i="37" a="1"/>
  <c r="R885" i="37" s="1"/>
  <c r="R778" i="37"/>
  <c r="R777" i="37" s="1"/>
  <c r="R776" i="37" s="1"/>
  <c r="K460" i="37"/>
  <c r="AI461" i="37"/>
  <c r="AI368" i="37"/>
  <c r="F368" i="37"/>
  <c r="Q455" i="37"/>
  <c r="Q362" i="37"/>
  <c r="K484" i="37"/>
  <c r="Q386" i="37"/>
  <c r="Q479" i="37"/>
  <c r="AI362" i="37"/>
  <c r="V781" i="37"/>
  <c r="P780" i="37"/>
  <c r="H941" i="51" s="1"/>
  <c r="V780" i="37"/>
  <c r="C894" i="51" s="1" a="1"/>
  <c r="C894" i="51" s="1"/>
  <c r="Q886" i="37"/>
  <c r="AI386" i="37"/>
  <c r="O825" i="37"/>
  <c r="O827" i="37"/>
  <c r="O826" i="37"/>
  <c r="O829" i="37"/>
  <c r="O867" i="37"/>
  <c r="O824" i="37"/>
  <c r="O916" i="37" s="1"/>
  <c r="AG804" i="37"/>
  <c r="Q488" i="37"/>
  <c r="AJ381" i="37"/>
  <c r="AJ364" i="37"/>
  <c r="AJ456" i="37" s="1"/>
  <c r="AJ358" i="37"/>
  <c r="AJ450" i="37" s="1"/>
  <c r="R375" i="37"/>
  <c r="R915" i="37" a="1"/>
  <c r="R915" i="37" s="1"/>
  <c r="R389" i="37"/>
  <c r="R481" i="37" s="1"/>
  <c r="R373" i="37"/>
  <c r="R385" i="37"/>
  <c r="R886" i="37"/>
  <c r="R913" i="37" a="1"/>
  <c r="R913" i="37" s="1"/>
  <c r="R790" i="37"/>
  <c r="R789" i="37" s="1"/>
  <c r="R788" i="37" s="1"/>
  <c r="AH448" i="37"/>
  <c r="Q900" i="37"/>
  <c r="Q463" i="37"/>
  <c r="P484" i="37"/>
  <c r="K472" i="37"/>
  <c r="F457" i="37"/>
  <c r="Q481" i="37"/>
  <c r="AJ357" i="37"/>
  <c r="AJ359" i="37"/>
  <c r="AJ451" i="37" s="1"/>
  <c r="AJ371" i="37"/>
  <c r="AJ463" i="37" s="1"/>
  <c r="R357" i="37"/>
  <c r="R957" i="37" a="1"/>
  <c r="R957" i="37" s="1"/>
  <c r="R359" i="37"/>
  <c r="R451" i="37" s="1"/>
  <c r="R361" i="37"/>
  <c r="R453" i="37" s="1"/>
  <c r="R956" i="37"/>
  <c r="R377" i="37"/>
  <c r="R469" i="37" s="1"/>
  <c r="R969" i="37" a="1"/>
  <c r="R969" i="37" s="1"/>
  <c r="R782" i="37"/>
  <c r="R781" i="37" s="1"/>
  <c r="R780" i="37" s="1"/>
  <c r="AG805" i="37"/>
  <c r="O868" i="37"/>
  <c r="O833" i="37"/>
  <c r="O834" i="37"/>
  <c r="O831" i="37"/>
  <c r="O836" i="37"/>
  <c r="O832" i="37"/>
  <c r="AI473" i="37"/>
  <c r="AI380" i="37"/>
  <c r="Q927" i="37" a="1"/>
  <c r="Q927" i="37" s="1"/>
  <c r="F411" i="37"/>
  <c r="Q461" i="37"/>
  <c r="Q368" i="37"/>
  <c r="Q757" i="37" s="1"/>
  <c r="Q823" i="37" s="1"/>
  <c r="G466" i="37"/>
  <c r="Q457" i="37"/>
  <c r="AN394" i="37"/>
  <c r="O842" i="37"/>
  <c r="Q449" i="37"/>
  <c r="Q356" i="37"/>
  <c r="Q755" i="37" s="1"/>
  <c r="Q809" i="37" s="1"/>
  <c r="AJ393" i="37"/>
  <c r="AJ394" i="37"/>
  <c r="AJ486" i="37" s="1"/>
  <c r="AJ365" i="37"/>
  <c r="AJ457" i="37" s="1"/>
  <c r="R381" i="37"/>
  <c r="R900" i="37"/>
  <c r="R390" i="37"/>
  <c r="R482" i="37" s="1"/>
  <c r="R364" i="37"/>
  <c r="R456" i="37" s="1"/>
  <c r="R970" i="37"/>
  <c r="R382" i="37"/>
  <c r="R941" i="37" a="1"/>
  <c r="R941" i="37" s="1"/>
  <c r="R770" i="37"/>
  <c r="R769" i="37" s="1"/>
  <c r="R768" i="37" s="1"/>
  <c r="Q374" i="37"/>
  <c r="Q758" i="37" s="1"/>
  <c r="Q830" i="37" s="1"/>
  <c r="Q467" i="37"/>
  <c r="O810" i="37"/>
  <c r="O815" i="37"/>
  <c r="O813" i="37"/>
  <c r="O812" i="37"/>
  <c r="O865" i="37"/>
  <c r="AG802" i="37"/>
  <c r="O811" i="37"/>
  <c r="AI356" i="37"/>
  <c r="AI449" i="37"/>
  <c r="F423" i="37"/>
  <c r="P899" i="37" a="1"/>
  <c r="P899" i="37" s="1"/>
  <c r="F380" i="37"/>
  <c r="BF32" i="37"/>
  <c r="CB31" i="37"/>
  <c r="BF19" i="37"/>
  <c r="BF26" i="37"/>
  <c r="CB54" i="37"/>
  <c r="BF44" i="37"/>
  <c r="BF37" i="37"/>
  <c r="BF43" i="37"/>
  <c r="CB27" i="37"/>
  <c r="CB52" i="37"/>
  <c r="CB25" i="37"/>
  <c r="CB40" i="37"/>
  <c r="CB56" i="37"/>
  <c r="CB43" i="37"/>
  <c r="BF38" i="37"/>
  <c r="CB33" i="37"/>
  <c r="CB21" i="37"/>
  <c r="CB28" i="37"/>
  <c r="CB42" i="37"/>
  <c r="CB19" i="37"/>
  <c r="FW30" i="28" s="1"/>
  <c r="CB17" i="37"/>
  <c r="CB37" i="37"/>
  <c r="CB30" i="37"/>
  <c r="CB34" i="37"/>
  <c r="CB39" i="37"/>
  <c r="CB53" i="37"/>
  <c r="CB36" i="37"/>
  <c r="BF20" i="37"/>
  <c r="BF55" i="37"/>
  <c r="CB24" i="37"/>
  <c r="CB22" i="37"/>
  <c r="CB46" i="37"/>
  <c r="CB26" i="37"/>
  <c r="CB15" i="37"/>
  <c r="ER32" i="28" s="1"/>
  <c r="CB16" i="37"/>
  <c r="CB29" i="37"/>
  <c r="BF56" i="37"/>
  <c r="BF31" i="37"/>
  <c r="CB55" i="37"/>
  <c r="CB50" i="37"/>
  <c r="CB38" i="37"/>
  <c r="CB49" i="37"/>
  <c r="CB23" i="37"/>
  <c r="CB32" i="37"/>
  <c r="CB45" i="37"/>
  <c r="CB51" i="37"/>
  <c r="CB20" i="37"/>
  <c r="FW29" i="28" s="1"/>
  <c r="BF49" i="37"/>
  <c r="CB35" i="37"/>
  <c r="CB48" i="37"/>
  <c r="CB44" i="37"/>
  <c r="CB47" i="37"/>
  <c r="CB41" i="37"/>
  <c r="BF50" i="37"/>
  <c r="BF25" i="37"/>
  <c r="CB18" i="37"/>
  <c r="BA152" i="37"/>
  <c r="BA155" i="37"/>
  <c r="BA151" i="37"/>
  <c r="BA153" i="37"/>
  <c r="AY144" i="37"/>
  <c r="Z127" i="37"/>
  <c r="AV132" i="37"/>
  <c r="AY162" i="37"/>
  <c r="Z144" i="37"/>
  <c r="AZ162" i="37"/>
  <c r="AU138" i="37"/>
  <c r="AW132" i="37"/>
  <c r="AZ126" i="37"/>
  <c r="BA166" i="37"/>
  <c r="Z145" i="37"/>
  <c r="AV138" i="37"/>
  <c r="AU132" i="37"/>
  <c r="R216" i="37" a="1"/>
  <c r="R216" i="37" s="1"/>
  <c r="AZ138" i="37"/>
  <c r="Q643" i="37"/>
  <c r="Q667" i="37"/>
  <c r="AW138" i="37"/>
  <c r="AY132" i="37"/>
  <c r="AW162" i="37"/>
  <c r="AT138" i="37"/>
  <c r="R917" i="37"/>
  <c r="AJ138" i="37"/>
  <c r="BB141" i="37" s="1"/>
  <c r="BA167" i="37"/>
  <c r="AX132" i="37"/>
  <c r="BE15" i="37"/>
  <c r="BE27" i="37"/>
  <c r="AV162" i="37"/>
  <c r="R608" i="37"/>
  <c r="BE45" i="37"/>
  <c r="AX162" i="37"/>
  <c r="AX138" i="37"/>
  <c r="AU150" i="37"/>
  <c r="AW144" i="37"/>
  <c r="R601" i="37"/>
  <c r="BA165" i="37"/>
  <c r="BA164" i="37"/>
  <c r="AJ150" i="37"/>
  <c r="Z150" i="37" s="1"/>
  <c r="R607" i="37"/>
  <c r="AJ601" i="37"/>
  <c r="AJ610" i="37"/>
  <c r="P593" i="37"/>
  <c r="F593" i="37" s="1"/>
  <c r="AU144" i="37"/>
  <c r="AU162" i="37"/>
  <c r="Q605" i="37"/>
  <c r="AI598" i="37"/>
  <c r="AJ162" i="37"/>
  <c r="Z162" i="37" s="1"/>
  <c r="AX126" i="37"/>
  <c r="AY126" i="37"/>
  <c r="AJ577" i="37"/>
  <c r="R609" i="37"/>
  <c r="R621" i="37"/>
  <c r="Q903" i="37"/>
  <c r="AV144" i="37"/>
  <c r="AU126" i="37"/>
  <c r="S28" i="37"/>
  <c r="S74" i="37" s="1"/>
  <c r="AM27" i="37"/>
  <c r="AM192" i="37"/>
  <c r="AM191" i="37"/>
  <c r="AM193" i="37"/>
  <c r="S22" i="37"/>
  <c r="S213" i="37" s="1" a="1"/>
  <c r="S213" i="37" s="1"/>
  <c r="AM187" i="37"/>
  <c r="AM188" i="37"/>
  <c r="AM189" i="37"/>
  <c r="AM21" i="37"/>
  <c r="S37" i="37"/>
  <c r="S85" i="37" s="1"/>
  <c r="AM112" i="37"/>
  <c r="S112" i="37" s="1"/>
  <c r="S164" i="37"/>
  <c r="AM164" i="37" s="1"/>
  <c r="S675" i="37" a="1"/>
  <c r="S675" i="37" s="1"/>
  <c r="AM33" i="37"/>
  <c r="S34" i="37"/>
  <c r="S75" i="37" s="1"/>
  <c r="AM197" i="37"/>
  <c r="AM196" i="37"/>
  <c r="AM195" i="37"/>
  <c r="R653" i="37" a="1"/>
  <c r="R653" i="37" s="1"/>
  <c r="R142" i="37"/>
  <c r="AL142" i="37" s="1"/>
  <c r="AZ156" i="37"/>
  <c r="AJ588" i="37"/>
  <c r="AJ495" i="37"/>
  <c r="AJ620" i="37"/>
  <c r="R613" i="37"/>
  <c r="AJ525" i="37"/>
  <c r="AJ618" i="37"/>
  <c r="AJ608" i="37"/>
  <c r="AJ604" i="37"/>
  <c r="R945" i="37"/>
  <c r="R130" i="37"/>
  <c r="AL130" i="37" s="1"/>
  <c r="R641" i="37" a="1"/>
  <c r="R641" i="37" s="1"/>
  <c r="R74" i="37"/>
  <c r="Z151" i="37"/>
  <c r="R210" i="37" a="1"/>
  <c r="R210" i="37" s="1"/>
  <c r="R182" i="37"/>
  <c r="AW156" i="37"/>
  <c r="BA157" i="37"/>
  <c r="BA158" i="37"/>
  <c r="BA160" i="37"/>
  <c r="BA161" i="37"/>
  <c r="BA159" i="37"/>
  <c r="R654" i="37" a="1"/>
  <c r="R654" i="37" s="1"/>
  <c r="R143" i="37"/>
  <c r="AL143" i="37" s="1"/>
  <c r="R158" i="37"/>
  <c r="AL158" i="37" s="1"/>
  <c r="R669" i="37" a="1"/>
  <c r="R669" i="37" s="1"/>
  <c r="AK151" i="37"/>
  <c r="AK150" i="37" s="1"/>
  <c r="Q150" i="37"/>
  <c r="AY150" i="37"/>
  <c r="S201" i="37" a="1"/>
  <c r="S201" i="37" s="1"/>
  <c r="S189" i="37" a="1"/>
  <c r="S189" i="37" s="1"/>
  <c r="S195" i="37" a="1"/>
  <c r="S195" i="37" s="1"/>
  <c r="S183" i="37" a="1"/>
  <c r="S183" i="37" s="1"/>
  <c r="S202" i="37" a="1"/>
  <c r="S202" i="37" s="1"/>
  <c r="S221" i="37" a="1"/>
  <c r="S221" i="37" s="1"/>
  <c r="S220" i="37" a="1"/>
  <c r="S220" i="37" s="1"/>
  <c r="S214" i="37" a="1"/>
  <c r="S214" i="37" s="1"/>
  <c r="S204" i="37" a="1"/>
  <c r="S204" i="37" s="1"/>
  <c r="S198" i="37" a="1"/>
  <c r="S198" i="37" s="1"/>
  <c r="S209" i="37" a="1"/>
  <c r="S209" i="37" s="1"/>
  <c r="S184" i="37" a="1"/>
  <c r="S184" i="37" s="1"/>
  <c r="S208" i="37" a="1"/>
  <c r="S208" i="37" s="1"/>
  <c r="S211" i="37" a="1"/>
  <c r="S211" i="37" s="1"/>
  <c r="S193" i="37" a="1"/>
  <c r="S193" i="37" s="1"/>
  <c r="S187" i="37" a="1"/>
  <c r="S187" i="37" s="1"/>
  <c r="S190" i="37" a="1"/>
  <c r="S190" i="37" s="1"/>
  <c r="S217" i="37" a="1"/>
  <c r="S217" i="37" s="1"/>
  <c r="S196" i="37" a="1"/>
  <c r="S196" i="37" s="1"/>
  <c r="S191" i="37" a="1"/>
  <c r="S191" i="37" s="1"/>
  <c r="S186" i="37" a="1"/>
  <c r="S186" i="37" s="1"/>
  <c r="S192" i="37" a="1"/>
  <c r="S192" i="37" s="1"/>
  <c r="S203" i="37" a="1"/>
  <c r="S203" i="37" s="1"/>
  <c r="S197" i="37" a="1"/>
  <c r="S197" i="37" s="1"/>
  <c r="S199" i="37" a="1"/>
  <c r="S199" i="37" s="1"/>
  <c r="S185" i="37" a="1"/>
  <c r="S185" i="37" s="1"/>
  <c r="S215" i="37" a="1"/>
  <c r="S215" i="37" s="1"/>
  <c r="S223" i="37" a="1"/>
  <c r="S223" i="37" s="1"/>
  <c r="S205" i="37" a="1"/>
  <c r="S205" i="37" s="1"/>
  <c r="S43" i="37"/>
  <c r="S86" i="37" s="1"/>
  <c r="AM113" i="37"/>
  <c r="S113" i="37" s="1"/>
  <c r="S676" i="37" a="1"/>
  <c r="S676" i="37" s="1"/>
  <c r="S165" i="37"/>
  <c r="AM165" i="37" s="1"/>
  <c r="BE33" i="37"/>
  <c r="S16" i="37"/>
  <c r="S207" i="37" s="1" a="1"/>
  <c r="S207" i="37" s="1"/>
  <c r="AM15" i="37"/>
  <c r="AM183" i="37"/>
  <c r="AM185" i="37"/>
  <c r="AM184" i="37"/>
  <c r="Q206" i="37"/>
  <c r="R33" i="37"/>
  <c r="R64" i="37" s="1"/>
  <c r="R656" i="37" a="1"/>
  <c r="R656" i="37" s="1"/>
  <c r="R145" i="37"/>
  <c r="R889" i="37"/>
  <c r="AJ613" i="37"/>
  <c r="R559" i="37"/>
  <c r="R610" i="37"/>
  <c r="AJ628" i="37"/>
  <c r="AJ607" i="37"/>
  <c r="R589" i="37"/>
  <c r="R519" i="37"/>
  <c r="R612" i="37"/>
  <c r="AJ612" i="37"/>
  <c r="AJ519" i="37"/>
  <c r="R513" i="37"/>
  <c r="R606" i="37"/>
  <c r="AJ132" i="37"/>
  <c r="R664" i="37" a="1"/>
  <c r="R664" i="37" s="1"/>
  <c r="R153" i="37"/>
  <c r="AL153" i="37" s="1"/>
  <c r="AK127" i="37"/>
  <c r="AK126" i="37" s="1"/>
  <c r="Q126" i="37"/>
  <c r="AV156" i="37"/>
  <c r="W138" i="37"/>
  <c r="F138" i="37"/>
  <c r="V138" i="37" s="1"/>
  <c r="AI623" i="37"/>
  <c r="BB129" i="37"/>
  <c r="BB131" i="37"/>
  <c r="BB130" i="37"/>
  <c r="BB127" i="37"/>
  <c r="BB128" i="37"/>
  <c r="R157" i="37"/>
  <c r="R45" i="37"/>
  <c r="R66" i="37" s="1"/>
  <c r="R668" i="37" a="1"/>
  <c r="R668" i="37" s="1"/>
  <c r="Q655" i="37"/>
  <c r="R677" i="37" a="1"/>
  <c r="R677" i="37" s="1"/>
  <c r="R166" i="37"/>
  <c r="AL166" i="37" s="1"/>
  <c r="AI596" i="37"/>
  <c r="R21" i="37"/>
  <c r="R62" i="37" s="1"/>
  <c r="R644" i="37" a="1"/>
  <c r="R644" i="37" s="1"/>
  <c r="R133" i="37"/>
  <c r="AT126" i="37"/>
  <c r="F594" i="37"/>
  <c r="R15" i="37"/>
  <c r="R127" i="37"/>
  <c r="R638" i="37" a="1"/>
  <c r="R638" i="37" s="1"/>
  <c r="AI595" i="37"/>
  <c r="AT144" i="37"/>
  <c r="AW150" i="37"/>
  <c r="S49" i="37"/>
  <c r="AM114" i="37"/>
  <c r="S114" i="37" s="1"/>
  <c r="S672" i="37" a="1"/>
  <c r="S672" i="37" s="1"/>
  <c r="S161" i="37"/>
  <c r="AM161" i="37" s="1"/>
  <c r="S646" i="37" a="1"/>
  <c r="S646" i="37" s="1"/>
  <c r="S135" i="37"/>
  <c r="AM135" i="37" s="1"/>
  <c r="S134" i="37"/>
  <c r="AM134" i="37" s="1"/>
  <c r="S645" i="37" a="1"/>
  <c r="S645" i="37" s="1"/>
  <c r="S19" i="37"/>
  <c r="AM109" i="37"/>
  <c r="S109" i="37" s="1"/>
  <c r="BE21" i="37"/>
  <c r="S146" i="37"/>
  <c r="AM146" i="37" s="1"/>
  <c r="S657" i="37" a="1"/>
  <c r="S657" i="37" s="1"/>
  <c r="BE51" i="37"/>
  <c r="R592" i="37"/>
  <c r="R615" i="37"/>
  <c r="AJ565" i="37"/>
  <c r="AJ589" i="37"/>
  <c r="AJ626" i="37"/>
  <c r="AJ606" i="37"/>
  <c r="AJ513" i="37"/>
  <c r="R973" i="37"/>
  <c r="R571" i="37"/>
  <c r="R600" i="37"/>
  <c r="R507" i="37"/>
  <c r="W132" i="37"/>
  <c r="F132" i="37"/>
  <c r="V132" i="37" s="1"/>
  <c r="AI611" i="37"/>
  <c r="AK139" i="37"/>
  <c r="AK138" i="37" s="1"/>
  <c r="Q138" i="37"/>
  <c r="R222" i="37" a="1"/>
  <c r="R222" i="37" s="1"/>
  <c r="Q599" i="37"/>
  <c r="Q637" i="37"/>
  <c r="AU156" i="37"/>
  <c r="Q63" i="37"/>
  <c r="R160" i="37"/>
  <c r="AL160" i="37" s="1"/>
  <c r="R671" i="37" a="1"/>
  <c r="R671" i="37" s="1"/>
  <c r="AI594" i="37"/>
  <c r="AI501" i="37"/>
  <c r="Q661" i="37"/>
  <c r="AX150" i="37"/>
  <c r="R141" i="37"/>
  <c r="AL141" i="37" s="1"/>
  <c r="R652" i="37" a="1"/>
  <c r="R652" i="37" s="1"/>
  <c r="S25" i="37"/>
  <c r="S83" i="37" s="1"/>
  <c r="AM110" i="37"/>
  <c r="S110" i="37" s="1"/>
  <c r="S140" i="37"/>
  <c r="AM140" i="37" s="1"/>
  <c r="S651" i="37" a="1"/>
  <c r="S651" i="37" s="1"/>
  <c r="S137" i="37"/>
  <c r="AM137" i="37" s="1"/>
  <c r="S648" i="37" a="1"/>
  <c r="S648" i="37" s="1"/>
  <c r="S55" i="37"/>
  <c r="AM115" i="37"/>
  <c r="S115" i="37" s="1"/>
  <c r="BE39" i="37"/>
  <c r="S40" i="37"/>
  <c r="S76" i="37" s="1"/>
  <c r="AM201" i="37"/>
  <c r="AM39" i="37"/>
  <c r="AM199" i="37"/>
  <c r="AM200" i="37"/>
  <c r="Q611" i="37"/>
  <c r="S98" i="37"/>
  <c r="AJ614" i="37"/>
  <c r="R604" i="37"/>
  <c r="R619" i="37"/>
  <c r="AJ619" i="37"/>
  <c r="R603" i="37"/>
  <c r="AJ609" i="37"/>
  <c r="R624" i="37"/>
  <c r="R531" i="37"/>
  <c r="R959" i="37"/>
  <c r="R588" i="37"/>
  <c r="R495" i="37"/>
  <c r="R663" i="37" a="1"/>
  <c r="R663" i="37" s="1"/>
  <c r="R152" i="37"/>
  <c r="AL152" i="37" s="1"/>
  <c r="AT156" i="37"/>
  <c r="R87" i="37"/>
  <c r="AJ156" i="37"/>
  <c r="Z156" i="37" s="1"/>
  <c r="AT162" i="37"/>
  <c r="R75" i="37"/>
  <c r="AK163" i="37"/>
  <c r="AK162" i="37" s="1"/>
  <c r="Q162" i="37"/>
  <c r="Q501" i="37"/>
  <c r="Q594" i="37"/>
  <c r="Q593" i="37" s="1"/>
  <c r="S663" i="37" a="1"/>
  <c r="S663" i="37" s="1"/>
  <c r="S152" i="37"/>
  <c r="AM152" i="37" s="1"/>
  <c r="S167" i="37"/>
  <c r="AM167" i="37" s="1"/>
  <c r="S678" i="37" a="1"/>
  <c r="S678" i="37" s="1"/>
  <c r="S52" i="37"/>
  <c r="S78" i="37" s="1"/>
  <c r="AM208" i="37"/>
  <c r="AM51" i="37"/>
  <c r="AM209" i="37"/>
  <c r="AM207" i="37"/>
  <c r="S143" i="37"/>
  <c r="AM143" i="37" s="1"/>
  <c r="S654" i="37" a="1"/>
  <c r="S654" i="37" s="1"/>
  <c r="S129" i="37"/>
  <c r="AM129" i="37" s="1"/>
  <c r="S640" i="37" a="1"/>
  <c r="S640" i="37" s="1"/>
  <c r="R51" i="37"/>
  <c r="R67" i="37" s="1"/>
  <c r="R163" i="37"/>
  <c r="R674" i="37" a="1"/>
  <c r="R674" i="37" s="1"/>
  <c r="AJ621" i="37"/>
  <c r="R541" i="37"/>
  <c r="R931" i="37"/>
  <c r="R590" i="37"/>
  <c r="AJ622" i="37"/>
  <c r="AJ627" i="37"/>
  <c r="R618" i="37"/>
  <c r="R525" i="37"/>
  <c r="S96" i="37"/>
  <c r="R194" i="37"/>
  <c r="Z163" i="37"/>
  <c r="W156" i="37"/>
  <c r="R151" i="37"/>
  <c r="R39" i="37"/>
  <c r="R662" i="37" a="1"/>
  <c r="R662" i="37" s="1"/>
  <c r="R647" i="37" a="1"/>
  <c r="R647" i="37" s="1"/>
  <c r="R136" i="37"/>
  <c r="AL136" i="37" s="1"/>
  <c r="AK145" i="37"/>
  <c r="AK144" i="37" s="1"/>
  <c r="Q144" i="37"/>
  <c r="AY138" i="37"/>
  <c r="Q673" i="37"/>
  <c r="S131" i="37"/>
  <c r="AM131" i="37" s="1"/>
  <c r="S642" i="37" a="1"/>
  <c r="S642" i="37" s="1"/>
  <c r="S46" i="37"/>
  <c r="S77" i="37" s="1"/>
  <c r="AM204" i="37"/>
  <c r="AM203" i="37"/>
  <c r="AM205" i="37"/>
  <c r="AM45" i="37"/>
  <c r="S652" i="37" a="1"/>
  <c r="S652" i="37" s="1"/>
  <c r="S141" i="37"/>
  <c r="AM141" i="37" s="1"/>
  <c r="AJ624" i="37"/>
  <c r="AJ531" i="37"/>
  <c r="R577" i="37"/>
  <c r="AJ592" i="37"/>
  <c r="AJ603" i="37"/>
  <c r="R625" i="37"/>
  <c r="AJ502" i="37"/>
  <c r="AJ504" i="37"/>
  <c r="R904" i="37" a="1"/>
  <c r="R904" i="37" s="1"/>
  <c r="R502" i="37"/>
  <c r="R503" i="37"/>
  <c r="R595" i="37" s="1"/>
  <c r="R504" i="37"/>
  <c r="R596" i="37" s="1"/>
  <c r="R505" i="37"/>
  <c r="R597" i="37" s="1"/>
  <c r="AJ549" i="37"/>
  <c r="AJ503" i="37"/>
  <c r="AJ550" i="37"/>
  <c r="R905" i="37"/>
  <c r="R506" i="37"/>
  <c r="R598" i="37" s="1"/>
  <c r="R906" i="37" a="1"/>
  <c r="R906" i="37" s="1"/>
  <c r="AJ548" i="37"/>
  <c r="AJ541" i="37"/>
  <c r="AJ616" i="37"/>
  <c r="R626" i="37"/>
  <c r="R147" i="37"/>
  <c r="AL147" i="37" s="1"/>
  <c r="R658" i="37" a="1"/>
  <c r="R658" i="37" s="1"/>
  <c r="R188" i="37"/>
  <c r="R213" i="37" a="1"/>
  <c r="R213" i="37" s="1"/>
  <c r="W144" i="37"/>
  <c r="R139" i="37"/>
  <c r="R27" i="37"/>
  <c r="R63" i="37" s="1"/>
  <c r="R650" i="37" a="1"/>
  <c r="R650" i="37" s="1"/>
  <c r="P756" i="37"/>
  <c r="P816" i="37" s="1"/>
  <c r="F940" i="51" s="1"/>
  <c r="F501" i="37"/>
  <c r="E97" i="48" s="1" a="1"/>
  <c r="E97" i="48" s="1"/>
  <c r="Q156" i="37"/>
  <c r="AK157" i="37"/>
  <c r="AK156" i="37" s="1"/>
  <c r="S664" i="37" a="1"/>
  <c r="S664" i="37" s="1"/>
  <c r="S153" i="37"/>
  <c r="AM153" i="37" s="1"/>
  <c r="AW126" i="37"/>
  <c r="S787" i="37"/>
  <c r="S775" i="37"/>
  <c r="FV59" i="28"/>
  <c r="S783" i="37"/>
  <c r="S771" i="37"/>
  <c r="S791" i="37"/>
  <c r="S795" i="37"/>
  <c r="S779" i="37"/>
  <c r="S639" i="37" a="1"/>
  <c r="S639" i="37" s="1"/>
  <c r="S128" i="37"/>
  <c r="AM128" i="37" s="1"/>
  <c r="S147" i="37"/>
  <c r="AM147" i="37" s="1"/>
  <c r="S658" i="37" a="1"/>
  <c r="S658" i="37" s="1"/>
  <c r="AN50" i="37"/>
  <c r="T50" i="37" s="1"/>
  <c r="AN19" i="37"/>
  <c r="AN32" i="37"/>
  <c r="T32" i="37" s="1"/>
  <c r="AN17" i="37"/>
  <c r="T17" i="37" s="1"/>
  <c r="BF52" i="37"/>
  <c r="BF34" i="37"/>
  <c r="AN23" i="37"/>
  <c r="T23" i="37" s="1"/>
  <c r="BF46" i="37"/>
  <c r="AN18" i="37"/>
  <c r="T18" i="37" s="1"/>
  <c r="AN16" i="37"/>
  <c r="BF22" i="37"/>
  <c r="AN55" i="37"/>
  <c r="AN24" i="37"/>
  <c r="T24" i="37" s="1"/>
  <c r="AN30" i="37"/>
  <c r="T30" i="37" s="1"/>
  <c r="AN42" i="37"/>
  <c r="T42" i="37" s="1"/>
  <c r="AN43" i="37"/>
  <c r="AN54" i="37"/>
  <c r="T54" i="37" s="1"/>
  <c r="AN56" i="37"/>
  <c r="T56" i="37" s="1"/>
  <c r="AN95" i="37"/>
  <c r="T95" i="37" s="1"/>
  <c r="AN31" i="37"/>
  <c r="AN97" i="37"/>
  <c r="HC59" i="28"/>
  <c r="AN41" i="37"/>
  <c r="T41" i="37" s="1"/>
  <c r="AN35" i="37"/>
  <c r="T35" i="37" s="1"/>
  <c r="AN37" i="37"/>
  <c r="AN26" i="37"/>
  <c r="T26" i="37" s="1"/>
  <c r="AN52" i="37"/>
  <c r="AN47" i="37"/>
  <c r="T47" i="37" s="1"/>
  <c r="AN29" i="37"/>
  <c r="T29" i="37" s="1"/>
  <c r="AN48" i="37"/>
  <c r="T48" i="37" s="1"/>
  <c r="AN44" i="37"/>
  <c r="T44" i="37" s="1"/>
  <c r="AN96" i="37"/>
  <c r="T96" i="37" s="1"/>
  <c r="AN98" i="37"/>
  <c r="T98" i="37" s="1"/>
  <c r="AN36" i="37"/>
  <c r="T36" i="37" s="1"/>
  <c r="AN53" i="37"/>
  <c r="T53" i="37" s="1"/>
  <c r="AN49" i="37"/>
  <c r="AN40" i="37"/>
  <c r="AN20" i="37"/>
  <c r="T20" i="37" s="1"/>
  <c r="AN34" i="37"/>
  <c r="AN99" i="37"/>
  <c r="T99" i="37" s="1"/>
  <c r="AN25" i="37"/>
  <c r="AN22" i="37"/>
  <c r="AN38" i="37"/>
  <c r="T38" i="37" s="1"/>
  <c r="BF28" i="37"/>
  <c r="BF47" i="37"/>
  <c r="AN100" i="37"/>
  <c r="T100" i="37" s="1"/>
  <c r="AN94" i="37"/>
  <c r="T94" i="37" s="1"/>
  <c r="BF17" i="37"/>
  <c r="BF30" i="37"/>
  <c r="BV59" i="28"/>
  <c r="FI59" i="28" s="1" a="1"/>
  <c r="FI59" i="28" s="1"/>
  <c r="AN28" i="37"/>
  <c r="BF36" i="37"/>
  <c r="BF35" i="37"/>
  <c r="BF48" i="37"/>
  <c r="BF40" i="37"/>
  <c r="AN46" i="37"/>
  <c r="BF18" i="37"/>
  <c r="BF16" i="37"/>
  <c r="DI59" i="28"/>
  <c r="BF29" i="37"/>
  <c r="BF23" i="37"/>
  <c r="BF42" i="37"/>
  <c r="BF41" i="37"/>
  <c r="BF53" i="37"/>
  <c r="BF24" i="37"/>
  <c r="BF54" i="37"/>
  <c r="S31" i="37"/>
  <c r="AM111" i="37"/>
  <c r="S111" i="37" s="1"/>
  <c r="R659" i="37" a="1"/>
  <c r="R659" i="37" s="1"/>
  <c r="R148" i="37"/>
  <c r="AL148" i="37" s="1"/>
  <c r="AZ132" i="37"/>
  <c r="AJ553" i="37"/>
  <c r="R620" i="37"/>
  <c r="AJ591" i="37"/>
  <c r="R565" i="37"/>
  <c r="R553" i="37"/>
  <c r="AJ625" i="37"/>
  <c r="AJ602" i="37"/>
  <c r="AJ600" i="37"/>
  <c r="AJ507" i="37"/>
  <c r="R627" i="37"/>
  <c r="AJ571" i="37"/>
  <c r="R88" i="37"/>
  <c r="R221" i="37" a="1"/>
  <c r="R221" i="37" s="1"/>
  <c r="R200" i="37"/>
  <c r="AI617" i="37"/>
  <c r="AT132" i="37"/>
  <c r="Q617" i="37"/>
  <c r="AI599" i="37"/>
  <c r="W162" i="37"/>
  <c r="F162" i="37"/>
  <c r="V162" i="37" s="1"/>
  <c r="Q67" i="37"/>
  <c r="BB145" i="37"/>
  <c r="BB149" i="37"/>
  <c r="BB146" i="37"/>
  <c r="BB148" i="37"/>
  <c r="BB147" i="37"/>
  <c r="S100" i="37"/>
  <c r="V903" i="37"/>
  <c r="BA127" i="37"/>
  <c r="BA129" i="37"/>
  <c r="BA128" i="37"/>
  <c r="BA131" i="37"/>
  <c r="BA130" i="37"/>
  <c r="Z126" i="37"/>
  <c r="R657" i="37" a="1"/>
  <c r="R657" i="37" s="1"/>
  <c r="R146" i="37"/>
  <c r="AL146" i="37" s="1"/>
  <c r="AZ144" i="37"/>
  <c r="AV150" i="37"/>
  <c r="AI547" i="37"/>
  <c r="AI605" i="37"/>
  <c r="AZ150" i="37"/>
  <c r="AT150" i="37"/>
  <c r="AI597" i="37"/>
  <c r="AX144" i="37"/>
  <c r="AK133" i="37"/>
  <c r="AK132" i="37" s="1"/>
  <c r="Q132" i="37"/>
  <c r="R154" i="37"/>
  <c r="AL154" i="37" s="1"/>
  <c r="R665" i="37" a="1"/>
  <c r="R665" i="37" s="1"/>
  <c r="AV126" i="37"/>
  <c r="W150" i="37"/>
  <c r="F150" i="37"/>
  <c r="V150" i="37" s="1"/>
  <c r="S666" i="37" a="1"/>
  <c r="S666" i="37" s="1"/>
  <c r="S155" i="37"/>
  <c r="AM155" i="37" s="1"/>
  <c r="S496" i="37"/>
  <c r="S532" i="37"/>
  <c r="S526" i="37"/>
  <c r="AK566" i="37"/>
  <c r="S890" i="37" a="1"/>
  <c r="S890" i="37" s="1"/>
  <c r="S522" i="37"/>
  <c r="AK532" i="37"/>
  <c r="S514" i="37"/>
  <c r="S516" i="37"/>
  <c r="S520" i="37"/>
  <c r="AK498" i="37"/>
  <c r="S533" i="37"/>
  <c r="AK521" i="37"/>
  <c r="S578" i="37"/>
  <c r="S508" i="37"/>
  <c r="AK522" i="37"/>
  <c r="S572" i="37"/>
  <c r="S960" i="37" a="1"/>
  <c r="S960" i="37" s="1"/>
  <c r="AK578" i="37"/>
  <c r="S932" i="37" a="1"/>
  <c r="S932" i="37" s="1"/>
  <c r="S498" i="37"/>
  <c r="S530" i="37"/>
  <c r="S946" i="37" a="1"/>
  <c r="S946" i="37" s="1"/>
  <c r="S918" i="37" a="1"/>
  <c r="S918" i="37" s="1"/>
  <c r="S510" i="37"/>
  <c r="S529" i="37"/>
  <c r="AK526" i="37"/>
  <c r="S527" i="37"/>
  <c r="S974" i="37" a="1"/>
  <c r="S974" i="37" s="1"/>
  <c r="S518" i="37"/>
  <c r="S534" i="37"/>
  <c r="S512" i="37"/>
  <c r="S524" i="37"/>
  <c r="AK497" i="37"/>
  <c r="AK534" i="37"/>
  <c r="S542" i="37"/>
  <c r="S523" i="37"/>
  <c r="AK509" i="37"/>
  <c r="S497" i="37"/>
  <c r="S515" i="37"/>
  <c r="S536" i="37"/>
  <c r="AK572" i="37"/>
  <c r="AK528" i="37"/>
  <c r="S499" i="37"/>
  <c r="DW59" i="28"/>
  <c r="AK508" i="37"/>
  <c r="AK516" i="37"/>
  <c r="AK560" i="37"/>
  <c r="AK542" i="37"/>
  <c r="S554" i="37"/>
  <c r="S566" i="37"/>
  <c r="S560" i="37"/>
  <c r="S535" i="37"/>
  <c r="AK520" i="37"/>
  <c r="S575" i="37"/>
  <c r="S891" i="37"/>
  <c r="AK527" i="37"/>
  <c r="AK573" i="37"/>
  <c r="S581" i="37"/>
  <c r="AK515" i="37"/>
  <c r="S934" i="37" a="1"/>
  <c r="S934" i="37" s="1"/>
  <c r="S961" i="37"/>
  <c r="S561" i="37"/>
  <c r="S562" i="37"/>
  <c r="S962" i="37" a="1"/>
  <c r="S962" i="37" s="1"/>
  <c r="S552" i="37"/>
  <c r="S933" i="37"/>
  <c r="S555" i="37"/>
  <c r="S564" i="37"/>
  <c r="S528" i="37"/>
  <c r="S521" i="37"/>
  <c r="AK554" i="37"/>
  <c r="S549" i="37"/>
  <c r="AK533" i="37"/>
  <c r="S567" i="37"/>
  <c r="S557" i="37"/>
  <c r="S576" i="37"/>
  <c r="AK510" i="37"/>
  <c r="AK496" i="37"/>
  <c r="S509" i="37"/>
  <c r="S568" i="37"/>
  <c r="S582" i="37"/>
  <c r="AK555" i="37"/>
  <c r="AK567" i="37"/>
  <c r="S558" i="37"/>
  <c r="S892" i="37" a="1"/>
  <c r="S892" i="37" s="1"/>
  <c r="S947" i="37"/>
  <c r="S919" i="37"/>
  <c r="S517" i="37"/>
  <c r="S548" i="37"/>
  <c r="S569" i="37"/>
  <c r="AK543" i="37"/>
  <c r="S976" i="37" a="1"/>
  <c r="S976" i="37" s="1"/>
  <c r="S573" i="37"/>
  <c r="AK579" i="37"/>
  <c r="AK568" i="37"/>
  <c r="AK580" i="37"/>
  <c r="S570" i="37"/>
  <c r="S551" i="37"/>
  <c r="S574" i="37"/>
  <c r="S556" i="37"/>
  <c r="S543" i="37"/>
  <c r="S948" i="37" a="1"/>
  <c r="S948" i="37" s="1"/>
  <c r="S511" i="37"/>
  <c r="S920" i="37" a="1"/>
  <c r="S920" i="37" s="1"/>
  <c r="AK544" i="37"/>
  <c r="S500" i="37"/>
  <c r="S546" i="37"/>
  <c r="AK561" i="37"/>
  <c r="AK556" i="37"/>
  <c r="AK562" i="37"/>
  <c r="S975" i="37"/>
  <c r="S563" i="37"/>
  <c r="S580" i="37"/>
  <c r="AK514" i="37"/>
  <c r="S544" i="37"/>
  <c r="AK574" i="37"/>
  <c r="S545" i="37"/>
  <c r="S579" i="37"/>
  <c r="S550" i="37"/>
  <c r="S149" i="37"/>
  <c r="AM149" i="37" s="1"/>
  <c r="S660" i="37" a="1"/>
  <c r="S660" i="37" s="1"/>
  <c r="S158" i="37"/>
  <c r="AM158" i="37" s="1"/>
  <c r="S669" i="37" a="1"/>
  <c r="S669" i="37" s="1"/>
  <c r="S159" i="37"/>
  <c r="AM159" i="37" s="1"/>
  <c r="S670" i="37" a="1"/>
  <c r="S670" i="37" s="1"/>
  <c r="Q65" i="37"/>
  <c r="R616" i="37"/>
  <c r="AJ590" i="37"/>
  <c r="R622" i="37"/>
  <c r="AJ615" i="37"/>
  <c r="R628" i="37"/>
  <c r="R602" i="37"/>
  <c r="R591" i="37"/>
  <c r="AJ559" i="37"/>
  <c r="R547" i="37"/>
  <c r="R614" i="37"/>
  <c r="Q623" i="37"/>
  <c r="AI587" i="37"/>
  <c r="Q649" i="37"/>
  <c r="BA139" i="37"/>
  <c r="BA142" i="37"/>
  <c r="BA140" i="37"/>
  <c r="BA143" i="37"/>
  <c r="BA141" i="37"/>
  <c r="R207" i="37" a="1"/>
  <c r="R207" i="37" s="1"/>
  <c r="AX156" i="37"/>
  <c r="Z157" i="37"/>
  <c r="BA145" i="37"/>
  <c r="BA146" i="37"/>
  <c r="BA148" i="37"/>
  <c r="BA147" i="37"/>
  <c r="BA149" i="37"/>
  <c r="AH593" i="37"/>
  <c r="X593" i="37" s="1"/>
  <c r="BA133" i="37"/>
  <c r="BA136" i="37"/>
  <c r="BA134" i="37"/>
  <c r="BA137" i="37"/>
  <c r="BA135" i="37"/>
  <c r="W126" i="37"/>
  <c r="F126" i="37"/>
  <c r="V126" i="37" s="1"/>
  <c r="R85" i="37"/>
  <c r="Q587" i="37"/>
  <c r="J940" i="37" l="1"/>
  <c r="C242" i="51"/>
  <c r="C895" i="51" a="1"/>
  <c r="C895" i="51" s="1"/>
  <c r="D163" i="51"/>
  <c r="D237" i="51" s="1"/>
  <c r="D160" i="51"/>
  <c r="D162" i="51" s="1"/>
  <c r="P838" i="37"/>
  <c r="P944" i="37" s="1"/>
  <c r="P937" i="37" s="1"/>
  <c r="Y466" i="37"/>
  <c r="C103" i="51" a="1"/>
  <c r="C103" i="51" s="1"/>
  <c r="O286" i="51"/>
  <c r="G965" i="37"/>
  <c r="G964" i="37" s="1"/>
  <c r="G977" i="37" s="1"/>
  <c r="P840" i="37"/>
  <c r="P869" i="37"/>
  <c r="V837" i="37"/>
  <c r="V869" i="37" s="1"/>
  <c r="F869" i="37" s="1"/>
  <c r="P839" i="37"/>
  <c r="P841" i="37"/>
  <c r="P843" i="37"/>
  <c r="AH806" i="37"/>
  <c r="I104" i="48"/>
  <c r="I541" i="51" a="1"/>
  <c r="I541" i="51" s="1"/>
  <c r="I603" i="51" s="1"/>
  <c r="O290" i="51"/>
  <c r="N287" i="51"/>
  <c r="P286" i="51"/>
  <c r="P290" i="51"/>
  <c r="F541" i="51" a="1"/>
  <c r="F541" i="51" s="1"/>
  <c r="F28" i="51" s="1"/>
  <c r="L288" i="51"/>
  <c r="L286" i="51"/>
  <c r="M289" i="51"/>
  <c r="O289" i="51"/>
  <c r="N286" i="51"/>
  <c r="P288" i="51"/>
  <c r="O287" i="51"/>
  <c r="O285" i="51"/>
  <c r="M286" i="51"/>
  <c r="N289" i="51"/>
  <c r="M290" i="51"/>
  <c r="P287" i="51"/>
  <c r="M291" i="51"/>
  <c r="P289" i="51"/>
  <c r="M285" i="51"/>
  <c r="O288" i="51"/>
  <c r="L289" i="51"/>
  <c r="L290" i="51"/>
  <c r="L291" i="51"/>
  <c r="P291" i="51"/>
  <c r="N290" i="51"/>
  <c r="L287" i="51"/>
  <c r="M287" i="51"/>
  <c r="O291" i="51"/>
  <c r="N288" i="51"/>
  <c r="M288" i="51"/>
  <c r="L271" i="51"/>
  <c r="L285" i="51" s="1"/>
  <c r="N285" i="51"/>
  <c r="P285" i="51"/>
  <c r="N291" i="51"/>
  <c r="D239" i="51"/>
  <c r="C541" i="51" a="1"/>
  <c r="C541" i="51" s="1"/>
  <c r="C603" i="51" s="1"/>
  <c r="B636" i="51"/>
  <c r="B637" i="51" s="1"/>
  <c r="C29" i="51"/>
  <c r="C61" i="51"/>
  <c r="C64" i="51"/>
  <c r="C65" i="51"/>
  <c r="C66" i="51"/>
  <c r="C67" i="51"/>
  <c r="H541" i="51" a="1"/>
  <c r="H541" i="51" s="1"/>
  <c r="H602" i="51" s="1"/>
  <c r="H29" i="51"/>
  <c r="H601" i="51"/>
  <c r="G636" i="51"/>
  <c r="G637" i="51" s="1"/>
  <c r="H61" i="51"/>
  <c r="H64" i="51"/>
  <c r="H67" i="51"/>
  <c r="H66" i="51"/>
  <c r="H65" i="51"/>
  <c r="K932" i="51"/>
  <c r="I538" i="51"/>
  <c r="H628" i="51" s="1"/>
  <c r="H632" i="51" s="1"/>
  <c r="H640" i="51" s="1"/>
  <c r="G601" i="51"/>
  <c r="E628" i="51"/>
  <c r="D601" i="51"/>
  <c r="C636" i="51"/>
  <c r="C637" i="51" s="1"/>
  <c r="D61" i="51"/>
  <c r="D29" i="51"/>
  <c r="D67" i="51"/>
  <c r="D64" i="51"/>
  <c r="D65" i="51"/>
  <c r="D66" i="51"/>
  <c r="G541" i="51" a="1"/>
  <c r="G541" i="51" s="1"/>
  <c r="D541" i="51" a="1"/>
  <c r="D541" i="51" s="1"/>
  <c r="D28" i="51" s="1"/>
  <c r="B631" i="51"/>
  <c r="C160" i="51"/>
  <c r="G68" i="51"/>
  <c r="E636" i="51"/>
  <c r="E637" i="51" s="1"/>
  <c r="F601" i="51"/>
  <c r="F29" i="51"/>
  <c r="F61" i="51"/>
  <c r="F67" i="51"/>
  <c r="F66" i="51"/>
  <c r="F65" i="51"/>
  <c r="F64" i="51"/>
  <c r="B628" i="51"/>
  <c r="C155" i="51" a="1"/>
  <c r="C155" i="51" s="1"/>
  <c r="D240" i="51" a="1"/>
  <c r="D240" i="51" s="1"/>
  <c r="E541" i="51" a="1"/>
  <c r="E541" i="51" s="1"/>
  <c r="E28" i="51" s="1"/>
  <c r="C218" i="51" a="1"/>
  <c r="C218" i="51" s="1"/>
  <c r="E940" i="51"/>
  <c r="G932" i="51"/>
  <c r="E538" i="51"/>
  <c r="D628" i="51" s="1"/>
  <c r="D632" i="51" s="1"/>
  <c r="D640" i="51" s="1"/>
  <c r="E601" i="51"/>
  <c r="F932" i="51"/>
  <c r="D538" i="51"/>
  <c r="C628" i="51" s="1"/>
  <c r="D269" i="51"/>
  <c r="F269" i="51" s="1"/>
  <c r="F264" i="51"/>
  <c r="H538" i="51"/>
  <c r="G628" i="51" s="1"/>
  <c r="G632" i="51" s="1"/>
  <c r="J932" i="51"/>
  <c r="I68" i="51"/>
  <c r="I932" i="51"/>
  <c r="G538" i="51"/>
  <c r="F628" i="51" s="1"/>
  <c r="F632" i="51" s="1"/>
  <c r="F640" i="51" s="1"/>
  <c r="D564" i="51"/>
  <c r="C631" i="51" s="1"/>
  <c r="F934" i="51"/>
  <c r="E631" i="51"/>
  <c r="C63" i="51"/>
  <c r="K926" i="37"/>
  <c r="M954" i="37"/>
  <c r="I954" i="37"/>
  <c r="Y769" i="37" a="1"/>
  <c r="Y769" i="37" s="1"/>
  <c r="Y770" i="37" a="1"/>
  <c r="Y770" i="37" s="1"/>
  <c r="Y448" i="37"/>
  <c r="X448" i="37" s="1"/>
  <c r="Y472" i="37"/>
  <c r="X472" i="37" s="1"/>
  <c r="AN476" i="37" s="1"/>
  <c r="Y454" i="37"/>
  <c r="X454" i="37" s="1"/>
  <c r="AN458" i="37" s="1"/>
  <c r="Y478" i="37"/>
  <c r="X438" i="37"/>
  <c r="AN443" i="37" s="1"/>
  <c r="AK361" i="37"/>
  <c r="AK453" i="37" s="1"/>
  <c r="AK397" i="37"/>
  <c r="AK489" i="37" s="1"/>
  <c r="AK391" i="37"/>
  <c r="AK483" i="37" s="1"/>
  <c r="AK384" i="37"/>
  <c r="AK476" i="37" s="1"/>
  <c r="X432" i="37"/>
  <c r="AN437" i="37" s="1"/>
  <c r="AK373" i="37"/>
  <c r="AK465" i="37" s="1"/>
  <c r="AK360" i="37"/>
  <c r="AK452" i="37" s="1"/>
  <c r="AK379" i="37"/>
  <c r="AK471" i="37" s="1"/>
  <c r="AK367" i="37"/>
  <c r="AK459" i="37" s="1"/>
  <c r="Y484" i="37"/>
  <c r="AK366" i="37"/>
  <c r="AK458" i="37" s="1"/>
  <c r="AK372" i="37"/>
  <c r="AK464" i="37" s="1"/>
  <c r="AL557" i="37"/>
  <c r="AL545" i="37"/>
  <c r="AL575" i="37"/>
  <c r="AL582" i="37"/>
  <c r="AL499" i="37"/>
  <c r="AL500" i="37"/>
  <c r="AL518" i="37"/>
  <c r="AL576" i="37"/>
  <c r="AL563" i="37"/>
  <c r="AL517" i="37"/>
  <c r="AL535" i="37"/>
  <c r="AL564" i="37"/>
  <c r="AL530" i="37"/>
  <c r="AL569" i="37"/>
  <c r="AL511" i="37"/>
  <c r="AL529" i="37"/>
  <c r="AL570" i="37"/>
  <c r="AL581" i="37"/>
  <c r="AL536" i="37"/>
  <c r="AL524" i="37"/>
  <c r="AL558" i="37"/>
  <c r="AL546" i="37"/>
  <c r="AL512" i="37"/>
  <c r="AL523" i="37"/>
  <c r="AK396" i="37"/>
  <c r="AK488" i="37" s="1"/>
  <c r="AK552" i="37"/>
  <c r="AK505" i="37"/>
  <c r="AK506" i="37"/>
  <c r="AK551" i="37"/>
  <c r="X426" i="37"/>
  <c r="AN427" i="37" s="1"/>
  <c r="AK378" i="37"/>
  <c r="AK470" i="37" s="1"/>
  <c r="AK385" i="37"/>
  <c r="AK477" i="37" s="1"/>
  <c r="AK390" i="37"/>
  <c r="AK482" i="37" s="1"/>
  <c r="X420" i="37"/>
  <c r="AN425" i="37" s="1"/>
  <c r="X408" i="37"/>
  <c r="AN412" i="37" s="1"/>
  <c r="X402" i="37"/>
  <c r="AN405" i="37" s="1"/>
  <c r="H104" i="48"/>
  <c r="G104" i="48"/>
  <c r="E95" i="48" a="1"/>
  <c r="P847" i="37"/>
  <c r="J104" i="48"/>
  <c r="K104" i="48"/>
  <c r="E104" i="48"/>
  <c r="J106" i="48"/>
  <c r="F104" i="48"/>
  <c r="H106" i="48"/>
  <c r="E94" i="48"/>
  <c r="E134" i="48" s="1"/>
  <c r="F134" i="48"/>
  <c r="H134" i="48"/>
  <c r="I134" i="48"/>
  <c r="K134" i="48"/>
  <c r="G134" i="48"/>
  <c r="J134" i="48"/>
  <c r="P815" i="37"/>
  <c r="F788" i="37"/>
  <c r="F780" i="37"/>
  <c r="P826" i="37"/>
  <c r="AH808" i="37"/>
  <c r="ER33" i="28"/>
  <c r="ER35" i="28"/>
  <c r="FW35" i="28" s="1"/>
  <c r="P852" i="37"/>
  <c r="P972" i="37" s="1"/>
  <c r="P965" i="37" s="1"/>
  <c r="FW31" i="28"/>
  <c r="FW32" i="28"/>
  <c r="P853" i="37"/>
  <c r="P857" i="37"/>
  <c r="P855" i="37"/>
  <c r="V851" i="37"/>
  <c r="P871" i="37"/>
  <c r="P854" i="37"/>
  <c r="P825" i="37"/>
  <c r="AH804" i="37"/>
  <c r="P827" i="37"/>
  <c r="P824" i="37"/>
  <c r="P916" i="37" s="1"/>
  <c r="P909" i="37" s="1"/>
  <c r="K940" i="37"/>
  <c r="J968" i="37"/>
  <c r="V823" i="37"/>
  <c r="V867" i="37" s="1"/>
  <c r="F867" i="37" s="1"/>
  <c r="P898" i="37"/>
  <c r="AH807" i="37"/>
  <c r="P867" i="37"/>
  <c r="P850" i="37"/>
  <c r="P829" i="37"/>
  <c r="P870" i="37"/>
  <c r="I968" i="37"/>
  <c r="I884" i="37"/>
  <c r="G909" i="37"/>
  <c r="G908" i="37" s="1"/>
  <c r="G987" i="37" s="1"/>
  <c r="P848" i="37"/>
  <c r="K923" i="37"/>
  <c r="K922" i="37" s="1"/>
  <c r="K935" i="37" s="1"/>
  <c r="P845" i="37"/>
  <c r="P958" i="37" s="1"/>
  <c r="P951" i="37" s="1"/>
  <c r="V844" i="37"/>
  <c r="V870" i="37" s="1"/>
  <c r="F870" i="37" s="1"/>
  <c r="K884" i="37"/>
  <c r="P846" i="37"/>
  <c r="G912" i="37"/>
  <c r="M923" i="37"/>
  <c r="M922" i="37" s="1"/>
  <c r="M935" i="37" s="1"/>
  <c r="O937" i="37"/>
  <c r="O936" i="37" s="1"/>
  <c r="O989" i="37" s="1"/>
  <c r="H884" i="37"/>
  <c r="I923" i="37"/>
  <c r="I922" i="37" s="1"/>
  <c r="I988" i="37" s="1"/>
  <c r="M940" i="37"/>
  <c r="L881" i="37"/>
  <c r="L880" i="37" s="1"/>
  <c r="L985" i="37" s="1"/>
  <c r="N898" i="37"/>
  <c r="N895" i="37"/>
  <c r="N894" i="37" s="1"/>
  <c r="N907" i="37" s="1"/>
  <c r="AI478" i="37"/>
  <c r="M909" i="37"/>
  <c r="M908" i="37" s="1"/>
  <c r="M921" i="37" s="1"/>
  <c r="L898" i="37"/>
  <c r="X485" i="37"/>
  <c r="AI466" i="37"/>
  <c r="F455" i="37"/>
  <c r="L884" i="37"/>
  <c r="H937" i="37"/>
  <c r="H936" i="37" s="1"/>
  <c r="H949" i="37" s="1"/>
  <c r="K448" i="37"/>
  <c r="N937" i="37"/>
  <c r="N936" i="37" s="1"/>
  <c r="N949" i="37" s="1"/>
  <c r="AC460" i="37"/>
  <c r="M881" i="37"/>
  <c r="M880" i="37" s="1"/>
  <c r="M893" i="37" s="1"/>
  <c r="H898" i="37"/>
  <c r="L923" i="37"/>
  <c r="L922" i="37" s="1"/>
  <c r="L988" i="37" s="1"/>
  <c r="AI472" i="37"/>
  <c r="AI460" i="37"/>
  <c r="K909" i="37"/>
  <c r="K908" i="37" s="1"/>
  <c r="K987" i="37" s="1"/>
  <c r="K895" i="37"/>
  <c r="K894" i="37" s="1"/>
  <c r="K907" i="37" s="1"/>
  <c r="M926" i="37"/>
  <c r="X481" i="37"/>
  <c r="H895" i="37"/>
  <c r="H894" i="37" s="1"/>
  <c r="H986" i="37" s="1"/>
  <c r="K968" i="37"/>
  <c r="I881" i="37"/>
  <c r="I880" i="37" s="1"/>
  <c r="I893" i="37" s="1"/>
  <c r="K466" i="37"/>
  <c r="I466" i="37"/>
  <c r="H923" i="37"/>
  <c r="H922" i="37" s="1"/>
  <c r="H935" i="37" s="1"/>
  <c r="I898" i="37"/>
  <c r="L940" i="37"/>
  <c r="G951" i="37"/>
  <c r="G950" i="37" s="1"/>
  <c r="G990" i="37" s="1"/>
  <c r="J923" i="37"/>
  <c r="J922" i="37" s="1"/>
  <c r="J935" i="37" s="1"/>
  <c r="I940" i="37"/>
  <c r="O926" i="37"/>
  <c r="F452" i="37"/>
  <c r="L965" i="37"/>
  <c r="L964" i="37" s="1"/>
  <c r="L977" i="37" s="1"/>
  <c r="AA466" i="37"/>
  <c r="G968" i="37"/>
  <c r="G460" i="37"/>
  <c r="I965" i="37"/>
  <c r="I964" i="37" s="1"/>
  <c r="I977" i="37" s="1"/>
  <c r="I912" i="37"/>
  <c r="Q460" i="37"/>
  <c r="F456" i="37"/>
  <c r="N448" i="37"/>
  <c r="J895" i="37"/>
  <c r="J894" i="37" s="1"/>
  <c r="J986" i="37" s="1"/>
  <c r="K912" i="37"/>
  <c r="G937" i="37"/>
  <c r="G936" i="37" s="1"/>
  <c r="G989" i="37" s="1"/>
  <c r="AI454" i="37"/>
  <c r="O968" i="37"/>
  <c r="X449" i="37"/>
  <c r="X479" i="37"/>
  <c r="J954" i="37"/>
  <c r="J926" i="37"/>
  <c r="Q940" i="37"/>
  <c r="G923" i="37"/>
  <c r="G922" i="37" s="1"/>
  <c r="G935" i="37" s="1"/>
  <c r="I951" i="37"/>
  <c r="I950" i="37" s="1"/>
  <c r="I963" i="37" s="1"/>
  <c r="M912" i="37"/>
  <c r="G954" i="37"/>
  <c r="J965" i="37"/>
  <c r="J964" i="37" s="1"/>
  <c r="J977" i="37" s="1"/>
  <c r="O954" i="37"/>
  <c r="N926" i="37"/>
  <c r="K881" i="37"/>
  <c r="K880" i="37" s="1"/>
  <c r="K893" i="37" s="1"/>
  <c r="M968" i="37"/>
  <c r="L926" i="37"/>
  <c r="AI448" i="37"/>
  <c r="Q954" i="37"/>
  <c r="L968" i="37"/>
  <c r="N912" i="37"/>
  <c r="K937" i="37"/>
  <c r="K936" i="37" s="1"/>
  <c r="K989" i="37" s="1"/>
  <c r="J951" i="37"/>
  <c r="J950" i="37" s="1"/>
  <c r="J990" i="37" s="1"/>
  <c r="N884" i="37"/>
  <c r="AJ374" i="37"/>
  <c r="J881" i="37"/>
  <c r="J880" i="37" s="1"/>
  <c r="J985" i="37" s="1"/>
  <c r="F432" i="37"/>
  <c r="F469" i="37"/>
  <c r="Q472" i="37"/>
  <c r="P954" i="37"/>
  <c r="AJ466" i="37"/>
  <c r="V896" i="37"/>
  <c r="I937" i="37"/>
  <c r="I936" i="37" s="1"/>
  <c r="I989" i="37" s="1"/>
  <c r="Q815" i="37"/>
  <c r="AI484" i="37"/>
  <c r="H951" i="37"/>
  <c r="H950" i="37" s="1"/>
  <c r="H963" i="37" s="1"/>
  <c r="N940" i="37"/>
  <c r="F408" i="37"/>
  <c r="M965" i="37"/>
  <c r="M964" i="37" s="1"/>
  <c r="M977" i="37" s="1"/>
  <c r="J884" i="37"/>
  <c r="L951" i="37"/>
  <c r="L950" i="37" s="1"/>
  <c r="L990" i="37" s="1"/>
  <c r="J898" i="37"/>
  <c r="P813" i="37"/>
  <c r="Q484" i="37"/>
  <c r="H985" i="37"/>
  <c r="H893" i="37"/>
  <c r="AC484" i="37"/>
  <c r="L478" i="37"/>
  <c r="L909" i="37"/>
  <c r="L908" i="37" s="1"/>
  <c r="L987" i="37" s="1"/>
  <c r="N954" i="37"/>
  <c r="P968" i="37"/>
  <c r="N881" i="37"/>
  <c r="N880" i="37" s="1"/>
  <c r="N893" i="37" s="1"/>
  <c r="F475" i="37"/>
  <c r="F474" i="37"/>
  <c r="O884" i="37"/>
  <c r="F897" i="37"/>
  <c r="V928" i="37"/>
  <c r="V900" i="37"/>
  <c r="H912" i="37"/>
  <c r="K951" i="37"/>
  <c r="K950" i="37" s="1"/>
  <c r="K963" i="37" s="1"/>
  <c r="V882" i="37"/>
  <c r="H940" i="37"/>
  <c r="X456" i="37"/>
  <c r="F458" i="37"/>
  <c r="V970" i="37"/>
  <c r="X451" i="37"/>
  <c r="G484" i="37"/>
  <c r="J909" i="37"/>
  <c r="J908" i="37" s="1"/>
  <c r="J921" i="37" s="1"/>
  <c r="M884" i="37"/>
  <c r="Q466" i="37"/>
  <c r="F480" i="37"/>
  <c r="V885" i="37"/>
  <c r="X475" i="37"/>
  <c r="I926" i="37"/>
  <c r="F438" i="37"/>
  <c r="V911" i="37"/>
  <c r="G884" i="37"/>
  <c r="N965" i="37"/>
  <c r="N964" i="37" s="1"/>
  <c r="N991" i="37" s="1"/>
  <c r="V897" i="37"/>
  <c r="G926" i="37"/>
  <c r="G940" i="37"/>
  <c r="N951" i="37"/>
  <c r="N950" i="37" s="1"/>
  <c r="N963" i="37" s="1"/>
  <c r="H926" i="37"/>
  <c r="L954" i="37"/>
  <c r="N923" i="37"/>
  <c r="N922" i="37" s="1"/>
  <c r="N988" i="37" s="1"/>
  <c r="F462" i="37"/>
  <c r="L937" i="37"/>
  <c r="L936" i="37" s="1"/>
  <c r="L949" i="37" s="1"/>
  <c r="K954" i="37"/>
  <c r="P811" i="37"/>
  <c r="R898" i="37"/>
  <c r="F473" i="37"/>
  <c r="F461" i="37"/>
  <c r="V883" i="37"/>
  <c r="K965" i="37"/>
  <c r="K964" i="37" s="1"/>
  <c r="K991" i="37" s="1"/>
  <c r="I909" i="37"/>
  <c r="I908" i="37" s="1"/>
  <c r="I921" i="37" s="1"/>
  <c r="I895" i="37"/>
  <c r="I894" i="37" s="1"/>
  <c r="I907" i="37" s="1"/>
  <c r="M951" i="37"/>
  <c r="M950" i="37" s="1"/>
  <c r="X414" i="37"/>
  <c r="AN416" i="37" s="1"/>
  <c r="F426" i="37"/>
  <c r="P812" i="37"/>
  <c r="R926" i="37"/>
  <c r="Q912" i="37"/>
  <c r="H478" i="37"/>
  <c r="O898" i="37"/>
  <c r="R484" i="37"/>
  <c r="G898" i="37"/>
  <c r="G478" i="37"/>
  <c r="O895" i="37"/>
  <c r="O894" i="37" s="1"/>
  <c r="X474" i="37"/>
  <c r="V809" i="37"/>
  <c r="P810" i="37"/>
  <c r="O909" i="37"/>
  <c r="O908" i="37" s="1"/>
  <c r="O921" i="37" s="1"/>
  <c r="V914" i="37"/>
  <c r="F882" i="37"/>
  <c r="V953" i="37"/>
  <c r="P865" i="37"/>
  <c r="AH802" i="37"/>
  <c r="X473" i="37"/>
  <c r="F402" i="37"/>
  <c r="L912" i="37"/>
  <c r="Q884" i="37"/>
  <c r="L895" i="37"/>
  <c r="L894" i="37" s="1"/>
  <c r="L986" i="37" s="1"/>
  <c r="N968" i="37"/>
  <c r="V967" i="37"/>
  <c r="H968" i="37"/>
  <c r="K898" i="37"/>
  <c r="V956" i="37"/>
  <c r="Y460" i="37"/>
  <c r="M895" i="37"/>
  <c r="M894" i="37" s="1"/>
  <c r="M907" i="37" s="1"/>
  <c r="AH805" i="37"/>
  <c r="P836" i="37"/>
  <c r="V830" i="37"/>
  <c r="P831" i="37"/>
  <c r="P930" i="37" s="1"/>
  <c r="P923" i="37" s="1"/>
  <c r="P922" i="37" s="1"/>
  <c r="P868" i="37"/>
  <c r="P832" i="37"/>
  <c r="P834" i="37"/>
  <c r="P833" i="37"/>
  <c r="F911" i="37"/>
  <c r="J912" i="37"/>
  <c r="F939" i="37"/>
  <c r="F896" i="37"/>
  <c r="G472" i="37"/>
  <c r="F472" i="37" s="1"/>
  <c r="F459" i="37"/>
  <c r="J484" i="37"/>
  <c r="O940" i="37"/>
  <c r="G881" i="37"/>
  <c r="G880" i="37" s="1"/>
  <c r="G985" i="37" s="1"/>
  <c r="F486" i="37"/>
  <c r="F420" i="37"/>
  <c r="V952" i="37"/>
  <c r="Q926" i="37"/>
  <c r="V899" i="37"/>
  <c r="V966" i="37"/>
  <c r="F925" i="37"/>
  <c r="R392" i="37"/>
  <c r="R761" i="37" s="1"/>
  <c r="R851" i="37" s="1"/>
  <c r="G895" i="37"/>
  <c r="G894" i="37" s="1"/>
  <c r="G907" i="37" s="1"/>
  <c r="V910" i="37"/>
  <c r="V942" i="37"/>
  <c r="X463" i="37"/>
  <c r="F482" i="37"/>
  <c r="F465" i="37"/>
  <c r="F454" i="37"/>
  <c r="F953" i="37"/>
  <c r="V939" i="37"/>
  <c r="AD484" i="37"/>
  <c r="Q810" i="37"/>
  <c r="Q888" i="37" s="1"/>
  <c r="Q881" i="37" s="1"/>
  <c r="Q880" i="37" s="1"/>
  <c r="Q985" i="37" s="1"/>
  <c r="O821" i="37"/>
  <c r="F924" i="37"/>
  <c r="F966" i="37"/>
  <c r="F910" i="37"/>
  <c r="X457" i="37"/>
  <c r="V913" i="37"/>
  <c r="F479" i="37"/>
  <c r="X455" i="37"/>
  <c r="V941" i="37"/>
  <c r="H965" i="37"/>
  <c r="H964" i="37" s="1"/>
  <c r="H991" i="37" s="1"/>
  <c r="H909" i="37"/>
  <c r="H908" i="37" s="1"/>
  <c r="F952" i="37"/>
  <c r="V925" i="37"/>
  <c r="Q448" i="37"/>
  <c r="V924" i="37"/>
  <c r="F467" i="37"/>
  <c r="F883" i="37"/>
  <c r="AD478" i="37"/>
  <c r="I460" i="37"/>
  <c r="M898" i="37"/>
  <c r="F485" i="37"/>
  <c r="F449" i="37"/>
  <c r="X467" i="37"/>
  <c r="V886" i="37"/>
  <c r="Q968" i="37"/>
  <c r="F938" i="37"/>
  <c r="H954" i="37"/>
  <c r="M937" i="37"/>
  <c r="M936" i="37" s="1"/>
  <c r="S370" i="37"/>
  <c r="S462" i="37" s="1"/>
  <c r="Q865" i="37"/>
  <c r="Q454" i="37"/>
  <c r="P940" i="37"/>
  <c r="S957" i="37" a="1"/>
  <c r="S957" i="37" s="1"/>
  <c r="F967" i="37"/>
  <c r="J937" i="37"/>
  <c r="J936" i="37" s="1"/>
  <c r="J949" i="37" s="1"/>
  <c r="R912" i="37"/>
  <c r="Q898" i="37"/>
  <c r="AK387" i="37"/>
  <c r="AK479" i="37" s="1"/>
  <c r="S376" i="37"/>
  <c r="S468" i="37" s="1"/>
  <c r="R478" i="37"/>
  <c r="Q756" i="37"/>
  <c r="Q816" i="37" s="1"/>
  <c r="Q820" i="37" s="1"/>
  <c r="V938" i="37"/>
  <c r="P926" i="37"/>
  <c r="AK383" i="37"/>
  <c r="AK475" i="37" s="1"/>
  <c r="S885" i="37" a="1"/>
  <c r="S885" i="37" s="1"/>
  <c r="V955" i="37"/>
  <c r="R954" i="37"/>
  <c r="AK376" i="37"/>
  <c r="AK468" i="37" s="1"/>
  <c r="S786" i="37"/>
  <c r="S785" i="37" s="1"/>
  <c r="S784" i="37" s="1"/>
  <c r="S389" i="37"/>
  <c r="S481" i="37" s="1"/>
  <c r="V969" i="37"/>
  <c r="S363" i="37"/>
  <c r="S455" i="37" s="1"/>
  <c r="S943" i="37" a="1"/>
  <c r="S943" i="37" s="1"/>
  <c r="AI808" i="37"/>
  <c r="Q871" i="37"/>
  <c r="Q853" i="37"/>
  <c r="Q854" i="37"/>
  <c r="Q852" i="37"/>
  <c r="Q972" i="37" s="1"/>
  <c r="Q965" i="37" s="1"/>
  <c r="Q964" i="37" s="1"/>
  <c r="Q977" i="37" s="1"/>
  <c r="Q855" i="37"/>
  <c r="Q857" i="37"/>
  <c r="Q827" i="37"/>
  <c r="Q826" i="37"/>
  <c r="Q824" i="37"/>
  <c r="Q916" i="37" s="1"/>
  <c r="Q909" i="37" s="1"/>
  <c r="Q908" i="37" s="1"/>
  <c r="Q921" i="37" s="1"/>
  <c r="Q825" i="37"/>
  <c r="Q867" i="37"/>
  <c r="AI804" i="37"/>
  <c r="Q829" i="37"/>
  <c r="AI805" i="37"/>
  <c r="Q833" i="37"/>
  <c r="Q836" i="37"/>
  <c r="Q831" i="37"/>
  <c r="Q930" i="37" s="1"/>
  <c r="Q923" i="37" s="1"/>
  <c r="Q922" i="37" s="1"/>
  <c r="Q988" i="37" s="1"/>
  <c r="Q868" i="37"/>
  <c r="Q832" i="37"/>
  <c r="Q834" i="37"/>
  <c r="O972" i="37"/>
  <c r="O965" i="37" s="1"/>
  <c r="O964" i="37" s="1"/>
  <c r="O977" i="37" s="1"/>
  <c r="O856" i="37"/>
  <c r="AJ479" i="37"/>
  <c r="AJ478" i="37" s="1"/>
  <c r="AJ386" i="37"/>
  <c r="R449" i="37"/>
  <c r="R356" i="37"/>
  <c r="R755" i="37" s="1"/>
  <c r="R809" i="37" s="1"/>
  <c r="F414" i="37"/>
  <c r="AK369" i="37"/>
  <c r="AK395" i="37"/>
  <c r="AK487" i="37" s="1"/>
  <c r="AK388" i="37"/>
  <c r="AK480" i="37" s="1"/>
  <c r="S369" i="37"/>
  <c r="S970" i="37"/>
  <c r="S377" i="37"/>
  <c r="S469" i="37" s="1"/>
  <c r="S373" i="37"/>
  <c r="S465" i="37" s="1"/>
  <c r="S929" i="37" a="1"/>
  <c r="S929" i="37" s="1"/>
  <c r="S971" i="37" a="1"/>
  <c r="S971" i="37" s="1"/>
  <c r="S927" i="37" a="1"/>
  <c r="S927" i="37" s="1"/>
  <c r="S794" i="37"/>
  <c r="S793" i="37" s="1"/>
  <c r="S792" i="37" s="1"/>
  <c r="Q811" i="37"/>
  <c r="FW28" i="28"/>
  <c r="AJ380" i="37"/>
  <c r="AJ473" i="37"/>
  <c r="AJ472" i="37" s="1"/>
  <c r="P884" i="37"/>
  <c r="Q759" i="37"/>
  <c r="Q837" i="37" s="1"/>
  <c r="AK357" i="37"/>
  <c r="AK377" i="37"/>
  <c r="AK469" i="37" s="1"/>
  <c r="AK358" i="37"/>
  <c r="AK450" i="37" s="1"/>
  <c r="S393" i="37"/>
  <c r="S366" i="37"/>
  <c r="S458" i="37" s="1"/>
  <c r="S914" i="37"/>
  <c r="S886" i="37"/>
  <c r="S928" i="37"/>
  <c r="S956" i="37"/>
  <c r="S941" i="37" a="1"/>
  <c r="S941" i="37" s="1"/>
  <c r="O828" i="37"/>
  <c r="Q813" i="37"/>
  <c r="R473" i="37"/>
  <c r="R380" i="37"/>
  <c r="R759" i="37" s="1"/>
  <c r="R837" i="37" s="1"/>
  <c r="R968" i="37"/>
  <c r="R477" i="37"/>
  <c r="O958" i="37"/>
  <c r="O951" i="37" s="1"/>
  <c r="O950" i="37" s="1"/>
  <c r="O849" i="37"/>
  <c r="R464" i="37"/>
  <c r="AK381" i="37"/>
  <c r="AK394" i="37"/>
  <c r="AK486" i="37" s="1"/>
  <c r="S387" i="37"/>
  <c r="S382" i="37"/>
  <c r="S474" i="37" s="1"/>
  <c r="S887" i="37" a="1"/>
  <c r="S887" i="37" s="1"/>
  <c r="S371" i="37"/>
  <c r="S463" i="37" s="1"/>
  <c r="S383" i="37"/>
  <c r="S475" i="37" s="1"/>
  <c r="S900" i="37"/>
  <c r="S365" i="37"/>
  <c r="S774" i="37"/>
  <c r="S773" i="37" s="1"/>
  <c r="S772" i="37" s="1"/>
  <c r="O888" i="37"/>
  <c r="O881" i="37" s="1"/>
  <c r="O880" i="37" s="1"/>
  <c r="O814" i="37"/>
  <c r="AI802" i="37"/>
  <c r="AJ449" i="37"/>
  <c r="AJ448" i="37" s="1"/>
  <c r="AJ356" i="37"/>
  <c r="R465" i="37"/>
  <c r="AJ362" i="37"/>
  <c r="R884" i="37"/>
  <c r="P912" i="37"/>
  <c r="AK363" i="37"/>
  <c r="AK370" i="37"/>
  <c r="AK462" i="37" s="1"/>
  <c r="S381" i="37"/>
  <c r="S915" i="37" a="1"/>
  <c r="S915" i="37" s="1"/>
  <c r="S396" i="37"/>
  <c r="S488" i="37" s="1"/>
  <c r="S359" i="37"/>
  <c r="S451" i="37" s="1"/>
  <c r="S395" i="37"/>
  <c r="S487" i="37" s="1"/>
  <c r="S364" i="37"/>
  <c r="S456" i="37" s="1"/>
  <c r="S969" i="37" a="1"/>
  <c r="S969" i="37" s="1"/>
  <c r="S790" i="37"/>
  <c r="S789" i="37" s="1"/>
  <c r="S788" i="37" s="1"/>
  <c r="R362" i="37"/>
  <c r="Q812" i="37"/>
  <c r="R940" i="37"/>
  <c r="AJ454" i="37"/>
  <c r="AJ460" i="37"/>
  <c r="AK382" i="37"/>
  <c r="AK474" i="37" s="1"/>
  <c r="AK371" i="37"/>
  <c r="AK463" i="37" s="1"/>
  <c r="S379" i="37"/>
  <c r="S471" i="37" s="1"/>
  <c r="S372" i="37"/>
  <c r="S464" i="37" s="1"/>
  <c r="S390" i="37"/>
  <c r="S482" i="37" s="1"/>
  <c r="S358" i="37"/>
  <c r="S450" i="37" s="1"/>
  <c r="S361" i="37"/>
  <c r="S453" i="37" s="1"/>
  <c r="S367" i="37"/>
  <c r="S459" i="37" s="1"/>
  <c r="S899" i="37" a="1"/>
  <c r="S899" i="37" s="1"/>
  <c r="S778" i="37"/>
  <c r="S777" i="37" s="1"/>
  <c r="S776" i="37" s="1"/>
  <c r="R454" i="37"/>
  <c r="R474" i="37"/>
  <c r="AJ392" i="37"/>
  <c r="AJ485" i="37"/>
  <c r="AJ484" i="37" s="1"/>
  <c r="O930" i="37"/>
  <c r="O835" i="37"/>
  <c r="AJ368" i="37"/>
  <c r="R368" i="37"/>
  <c r="R757" i="37" s="1"/>
  <c r="R823" i="37" s="1"/>
  <c r="R461" i="37"/>
  <c r="V927" i="37"/>
  <c r="Q760" i="37"/>
  <c r="Q844" i="37" s="1"/>
  <c r="AK393" i="37"/>
  <c r="AK389" i="37"/>
  <c r="AK481" i="37" s="1"/>
  <c r="AK365" i="37"/>
  <c r="AK457" i="37" s="1"/>
  <c r="S357" i="37"/>
  <c r="S388" i="37"/>
  <c r="S480" i="37" s="1"/>
  <c r="S397" i="37"/>
  <c r="S489" i="37" s="1"/>
  <c r="S901" i="37" a="1"/>
  <c r="S901" i="37" s="1"/>
  <c r="S360" i="37"/>
  <c r="S452" i="37" s="1"/>
  <c r="S394" i="37"/>
  <c r="S486" i="37" s="1"/>
  <c r="S913" i="37" a="1"/>
  <c r="S913" i="37" s="1"/>
  <c r="S782" i="37"/>
  <c r="S781" i="37" s="1"/>
  <c r="S780" i="37" s="1"/>
  <c r="R467" i="37"/>
  <c r="R466" i="37" s="1"/>
  <c r="R374" i="37"/>
  <c r="R758" i="37" s="1"/>
  <c r="R830" i="37" s="1"/>
  <c r="Q478" i="37"/>
  <c r="R450" i="37"/>
  <c r="AK375" i="37"/>
  <c r="AK364" i="37"/>
  <c r="AK456" i="37" s="1"/>
  <c r="AK359" i="37"/>
  <c r="AK451" i="37" s="1"/>
  <c r="S375" i="37"/>
  <c r="S384" i="37"/>
  <c r="S476" i="37" s="1"/>
  <c r="S942" i="37"/>
  <c r="S391" i="37"/>
  <c r="S483" i="37" s="1"/>
  <c r="S378" i="37"/>
  <c r="S470" i="37" s="1"/>
  <c r="S385" i="37"/>
  <c r="S477" i="37" s="1"/>
  <c r="S955" i="37" a="1"/>
  <c r="S955" i="37" s="1"/>
  <c r="S770" i="37"/>
  <c r="S769" i="37" s="1"/>
  <c r="S768" i="37" s="1"/>
  <c r="R386" i="37"/>
  <c r="R760" i="37" s="1"/>
  <c r="R844" i="37" s="1"/>
  <c r="CC20" i="37"/>
  <c r="CC36" i="37"/>
  <c r="CC29" i="37"/>
  <c r="CC40" i="37"/>
  <c r="CC28" i="37"/>
  <c r="CC19" i="37"/>
  <c r="CC39" i="37"/>
  <c r="BG55" i="37"/>
  <c r="CC37" i="37"/>
  <c r="CC50" i="37"/>
  <c r="CC23" i="37"/>
  <c r="CC34" i="37"/>
  <c r="BG43" i="37"/>
  <c r="CC47" i="37"/>
  <c r="CC38" i="37"/>
  <c r="CC16" i="37"/>
  <c r="BG25" i="37"/>
  <c r="CC52" i="37"/>
  <c r="CC24" i="37"/>
  <c r="BG31" i="37"/>
  <c r="BG50" i="37"/>
  <c r="CC27" i="37"/>
  <c r="BG20" i="37"/>
  <c r="BG44" i="37"/>
  <c r="CC35" i="37"/>
  <c r="CC53" i="37"/>
  <c r="CC46" i="37"/>
  <c r="BG38" i="37"/>
  <c r="CC22" i="37"/>
  <c r="CC45" i="37"/>
  <c r="BG26" i="37"/>
  <c r="BG49" i="37"/>
  <c r="CC26" i="37"/>
  <c r="CC48" i="37"/>
  <c r="CC41" i="37"/>
  <c r="CC30" i="37"/>
  <c r="CC15" i="37"/>
  <c r="ES32" i="28" s="1"/>
  <c r="CC21" i="37"/>
  <c r="BG56" i="37"/>
  <c r="CC31" i="37"/>
  <c r="BG32" i="37"/>
  <c r="CC33" i="37"/>
  <c r="CC54" i="37"/>
  <c r="CC49" i="37"/>
  <c r="CC42" i="37"/>
  <c r="CC17" i="37"/>
  <c r="CC55" i="37"/>
  <c r="CC18" i="37"/>
  <c r="BG37" i="37"/>
  <c r="CC25" i="37"/>
  <c r="CC43" i="37"/>
  <c r="CC51" i="37"/>
  <c r="BG19" i="37"/>
  <c r="CC44" i="37"/>
  <c r="CC56" i="37"/>
  <c r="CC32" i="37"/>
  <c r="BA150" i="37"/>
  <c r="AR128" i="37"/>
  <c r="AR148" i="37"/>
  <c r="AR146" i="37"/>
  <c r="AR129" i="37"/>
  <c r="R212" i="37"/>
  <c r="BB143" i="37"/>
  <c r="AR143" i="37" s="1"/>
  <c r="Z138" i="37"/>
  <c r="BB139" i="37"/>
  <c r="AR139" i="37" s="1"/>
  <c r="R218" i="37"/>
  <c r="R206" i="37"/>
  <c r="S603" i="37"/>
  <c r="S73" i="37"/>
  <c r="BA162" i="37"/>
  <c r="S219" i="37" a="1"/>
  <c r="S219" i="37" s="1"/>
  <c r="S72" i="37"/>
  <c r="AR141" i="37"/>
  <c r="AR130" i="37"/>
  <c r="AR131" i="37"/>
  <c r="BB142" i="37"/>
  <c r="AR142" i="37" s="1"/>
  <c r="BB140" i="37"/>
  <c r="AR149" i="37"/>
  <c r="R637" i="37"/>
  <c r="AR147" i="37"/>
  <c r="BB164" i="37"/>
  <c r="AR164" i="37" s="1"/>
  <c r="BB167" i="37"/>
  <c r="AR167" i="37" s="1"/>
  <c r="BB165" i="37"/>
  <c r="AR165" i="37" s="1"/>
  <c r="S601" i="37"/>
  <c r="BB166" i="37"/>
  <c r="AR166" i="37" s="1"/>
  <c r="BB152" i="37"/>
  <c r="AR152" i="37" s="1"/>
  <c r="BB163" i="37"/>
  <c r="AR163" i="37" s="1"/>
  <c r="BB155" i="37"/>
  <c r="AR155" i="37" s="1"/>
  <c r="BB153" i="37"/>
  <c r="AR153" i="37" s="1"/>
  <c r="BB126" i="37"/>
  <c r="BB151" i="37"/>
  <c r="AR151" i="37" s="1"/>
  <c r="R649" i="37"/>
  <c r="AJ598" i="37"/>
  <c r="AJ595" i="37"/>
  <c r="AK619" i="37"/>
  <c r="BA144" i="37"/>
  <c r="BF15" i="37"/>
  <c r="BA156" i="37"/>
  <c r="BB154" i="37"/>
  <c r="AR154" i="37" s="1"/>
  <c r="AK588" i="37"/>
  <c r="AK495" i="37"/>
  <c r="AK612" i="37"/>
  <c r="AK519" i="37"/>
  <c r="AK600" i="37"/>
  <c r="AK507" i="37"/>
  <c r="AK601" i="37"/>
  <c r="AK628" i="37"/>
  <c r="S602" i="37"/>
  <c r="S959" i="37"/>
  <c r="AK621" i="37"/>
  <c r="AK624" i="37"/>
  <c r="AK531" i="37"/>
  <c r="AO23" i="37"/>
  <c r="AO17" i="37"/>
  <c r="AO42" i="37"/>
  <c r="AO35" i="37"/>
  <c r="AO41" i="37"/>
  <c r="AO36" i="37"/>
  <c r="AO54" i="37"/>
  <c r="AO30" i="37"/>
  <c r="AO56" i="37"/>
  <c r="AO37" i="37"/>
  <c r="AO20" i="37"/>
  <c r="AO44" i="37"/>
  <c r="AO48" i="37"/>
  <c r="AO55" i="37"/>
  <c r="AO18" i="37"/>
  <c r="AO32" i="37"/>
  <c r="AO47" i="37"/>
  <c r="AO24" i="37"/>
  <c r="AO53" i="37"/>
  <c r="AO29" i="37"/>
  <c r="BG34" i="37"/>
  <c r="AO38" i="37"/>
  <c r="AO26" i="37"/>
  <c r="AO50" i="37"/>
  <c r="BG16" i="37"/>
  <c r="AO52" i="37"/>
  <c r="DJ59" i="28"/>
  <c r="HD59" i="28"/>
  <c r="AO49" i="37"/>
  <c r="BG46" i="37"/>
  <c r="AO46" i="37"/>
  <c r="BG22" i="37"/>
  <c r="AO25" i="37"/>
  <c r="BG40" i="37"/>
  <c r="AO31" i="37"/>
  <c r="AO19" i="37"/>
  <c r="AO28" i="37"/>
  <c r="AO40" i="37"/>
  <c r="AO43" i="37"/>
  <c r="AO34" i="37"/>
  <c r="BG52" i="37"/>
  <c r="AO22" i="37"/>
  <c r="BG24" i="37"/>
  <c r="AO94" i="37"/>
  <c r="U94" i="37" s="1"/>
  <c r="AO97" i="37"/>
  <c r="U97" i="37" s="1"/>
  <c r="AO95" i="37"/>
  <c r="U95" i="37" s="1"/>
  <c r="BG23" i="37"/>
  <c r="BG41" i="37"/>
  <c r="BG17" i="37"/>
  <c r="BG35" i="37"/>
  <c r="BG18" i="37"/>
  <c r="BG30" i="37"/>
  <c r="BG29" i="37"/>
  <c r="BG47" i="37"/>
  <c r="BG36" i="37"/>
  <c r="AO96" i="37"/>
  <c r="U96" i="37" s="1"/>
  <c r="AO100" i="37"/>
  <c r="U100" i="37" s="1"/>
  <c r="BG42" i="37"/>
  <c r="AO98" i="37"/>
  <c r="U98" i="37" s="1"/>
  <c r="BG28" i="37"/>
  <c r="AO16" i="37"/>
  <c r="BG54" i="37"/>
  <c r="BG53" i="37"/>
  <c r="BG48" i="37"/>
  <c r="AO99" i="37"/>
  <c r="U99" i="37" s="1"/>
  <c r="T34" i="37"/>
  <c r="T75" i="37" s="1"/>
  <c r="AN196" i="37"/>
  <c r="AN195" i="37"/>
  <c r="AN197" i="37"/>
  <c r="AN33" i="37"/>
  <c r="T155" i="37"/>
  <c r="AN155" i="37" s="1"/>
  <c r="T666" i="37" a="1"/>
  <c r="T666" i="37" s="1"/>
  <c r="T152" i="37"/>
  <c r="AN152" i="37" s="1"/>
  <c r="T663" i="37" a="1"/>
  <c r="T663" i="37" s="1"/>
  <c r="T664" i="37" a="1"/>
  <c r="T664" i="37" s="1"/>
  <c r="T153" i="37"/>
  <c r="AN153" i="37" s="1"/>
  <c r="T645" i="37" a="1"/>
  <c r="T645" i="37" s="1"/>
  <c r="T134" i="37"/>
  <c r="AN134" i="37" s="1"/>
  <c r="R138" i="37"/>
  <c r="AL139" i="37"/>
  <c r="AL138" i="37" s="1"/>
  <c r="AL163" i="37"/>
  <c r="AL162" i="37" s="1"/>
  <c r="R162" i="37"/>
  <c r="R587" i="37"/>
  <c r="R599" i="37"/>
  <c r="R132" i="37"/>
  <c r="AL133" i="37"/>
  <c r="AL132" i="37" s="1"/>
  <c r="R611" i="37"/>
  <c r="S200" i="37"/>
  <c r="S21" i="37"/>
  <c r="S62" i="37" s="1"/>
  <c r="S133" i="37"/>
  <c r="S644" i="37" a="1"/>
  <c r="S644" i="37" s="1"/>
  <c r="BA138" i="37"/>
  <c r="AK602" i="37"/>
  <c r="AK553" i="37"/>
  <c r="AK607" i="37"/>
  <c r="S627" i="37"/>
  <c r="AK504" i="37"/>
  <c r="AK548" i="37"/>
  <c r="AK502" i="37"/>
  <c r="S502" i="37"/>
  <c r="AK503" i="37"/>
  <c r="S905" i="37"/>
  <c r="S506" i="37"/>
  <c r="S598" i="37" s="1"/>
  <c r="AK550" i="37"/>
  <c r="S503" i="37"/>
  <c r="S595" i="37" s="1"/>
  <c r="S906" i="37" a="1"/>
  <c r="S906" i="37" s="1"/>
  <c r="AK549" i="37"/>
  <c r="S904" i="37" a="1"/>
  <c r="S904" i="37" s="1"/>
  <c r="S505" i="37"/>
  <c r="S597" i="37" s="1"/>
  <c r="S504" i="37"/>
  <c r="S596" i="37" s="1"/>
  <c r="S615" i="37"/>
  <c r="S626" i="37"/>
  <c r="S917" i="37"/>
  <c r="S571" i="37"/>
  <c r="S625" i="37"/>
  <c r="AK604" i="37"/>
  <c r="T496" i="37"/>
  <c r="T515" i="37"/>
  <c r="AL521" i="37"/>
  <c r="T548" i="37"/>
  <c r="AL508" i="37"/>
  <c r="AL534" i="37"/>
  <c r="T520" i="37"/>
  <c r="T508" i="37"/>
  <c r="AL528" i="37"/>
  <c r="T566" i="37"/>
  <c r="AL526" i="37"/>
  <c r="T514" i="37"/>
  <c r="T511" i="37"/>
  <c r="T932" i="37" a="1"/>
  <c r="T932" i="37" s="1"/>
  <c r="T536" i="37"/>
  <c r="T533" i="37"/>
  <c r="T523" i="37"/>
  <c r="T521" i="37"/>
  <c r="AL527" i="37"/>
  <c r="T532" i="37"/>
  <c r="T527" i="37"/>
  <c r="T498" i="37"/>
  <c r="AL520" i="37"/>
  <c r="T528" i="37"/>
  <c r="T890" i="37" a="1"/>
  <c r="T890" i="37" s="1"/>
  <c r="T572" i="37"/>
  <c r="T542" i="37"/>
  <c r="AL566" i="37"/>
  <c r="T974" i="37" a="1"/>
  <c r="T974" i="37" s="1"/>
  <c r="AL515" i="37"/>
  <c r="AL578" i="37"/>
  <c r="AL560" i="37"/>
  <c r="T518" i="37"/>
  <c r="T530" i="37"/>
  <c r="AL510" i="37"/>
  <c r="T554" i="37"/>
  <c r="AL496" i="37"/>
  <c r="T526" i="37"/>
  <c r="T522" i="37"/>
  <c r="AL532" i="37"/>
  <c r="T516" i="37"/>
  <c r="T510" i="37"/>
  <c r="T517" i="37"/>
  <c r="AL572" i="37"/>
  <c r="T512" i="37"/>
  <c r="AL533" i="37"/>
  <c r="AL509" i="37"/>
  <c r="AL554" i="37"/>
  <c r="AL514" i="37"/>
  <c r="T578" i="37"/>
  <c r="AL497" i="37"/>
  <c r="T499" i="37"/>
  <c r="T960" i="37" a="1"/>
  <c r="T960" i="37" s="1"/>
  <c r="T524" i="37"/>
  <c r="T946" i="37" a="1"/>
  <c r="T946" i="37" s="1"/>
  <c r="AL542" i="37"/>
  <c r="T529" i="37"/>
  <c r="T509" i="37"/>
  <c r="DX59" i="28"/>
  <c r="T947" i="37"/>
  <c r="AL561" i="37"/>
  <c r="AL543" i="37"/>
  <c r="T557" i="37"/>
  <c r="T546" i="37"/>
  <c r="AL580" i="37"/>
  <c r="T567" i="37"/>
  <c r="T573" i="37"/>
  <c r="T551" i="37"/>
  <c r="T961" i="37"/>
  <c r="T543" i="37"/>
  <c r="T574" i="37"/>
  <c r="AL516" i="37"/>
  <c r="T552" i="37"/>
  <c r="T975" i="37"/>
  <c r="T558" i="37"/>
  <c r="T579" i="37"/>
  <c r="T575" i="37"/>
  <c r="T948" i="37" a="1"/>
  <c r="T948" i="37" s="1"/>
  <c r="AL522" i="37"/>
  <c r="T976" i="37" a="1"/>
  <c r="T976" i="37" s="1"/>
  <c r="AL568" i="37"/>
  <c r="T580" i="37"/>
  <c r="T535" i="37"/>
  <c r="T549" i="37"/>
  <c r="T933" i="37"/>
  <c r="T534" i="37"/>
  <c r="AL562" i="37"/>
  <c r="AL556" i="37"/>
  <c r="AL579" i="37"/>
  <c r="AL498" i="37"/>
  <c r="T568" i="37"/>
  <c r="T582" i="37"/>
  <c r="T934" i="37" a="1"/>
  <c r="T934" i="37" s="1"/>
  <c r="T570" i="37"/>
  <c r="T581" i="37"/>
  <c r="T576" i="37"/>
  <c r="T560" i="37"/>
  <c r="AL574" i="37"/>
  <c r="T563" i="37"/>
  <c r="T919" i="37"/>
  <c r="AL555" i="37"/>
  <c r="T564" i="37"/>
  <c r="T497" i="37"/>
  <c r="T891" i="37"/>
  <c r="AL573" i="37"/>
  <c r="T920" i="37" a="1"/>
  <c r="T920" i="37" s="1"/>
  <c r="T555" i="37"/>
  <c r="T556" i="37"/>
  <c r="T550" i="37"/>
  <c r="T545" i="37"/>
  <c r="T569" i="37"/>
  <c r="AL544" i="37"/>
  <c r="T962" i="37" a="1"/>
  <c r="T962" i="37" s="1"/>
  <c r="T500" i="37"/>
  <c r="T562" i="37"/>
  <c r="T918" i="37" a="1"/>
  <c r="T918" i="37" s="1"/>
  <c r="T561" i="37"/>
  <c r="T544" i="37"/>
  <c r="T892" i="37" a="1"/>
  <c r="T892" i="37" s="1"/>
  <c r="AL567" i="37"/>
  <c r="BF27" i="37"/>
  <c r="T131" i="37"/>
  <c r="AN131" i="37" s="1"/>
  <c r="T642" i="37" a="1"/>
  <c r="T642" i="37" s="1"/>
  <c r="T670" i="37" a="1"/>
  <c r="T670" i="37" s="1"/>
  <c r="T159" i="37"/>
  <c r="AN159" i="37" s="1"/>
  <c r="T195" i="37" a="1"/>
  <c r="T195" i="37" s="1"/>
  <c r="T189" i="37" a="1"/>
  <c r="T189" i="37" s="1"/>
  <c r="T183" i="37" a="1"/>
  <c r="T183" i="37" s="1"/>
  <c r="T201" i="37" a="1"/>
  <c r="T201" i="37" s="1"/>
  <c r="T215" i="37" a="1"/>
  <c r="T215" i="37" s="1"/>
  <c r="T184" i="37" a="1"/>
  <c r="T184" i="37" s="1"/>
  <c r="T204" i="37" a="1"/>
  <c r="T204" i="37" s="1"/>
  <c r="T187" i="37" a="1"/>
  <c r="T187" i="37" s="1"/>
  <c r="T220" i="37" a="1"/>
  <c r="T220" i="37" s="1"/>
  <c r="T209" i="37" a="1"/>
  <c r="T209" i="37" s="1"/>
  <c r="T208" i="37" a="1"/>
  <c r="T208" i="37" s="1"/>
  <c r="T205" i="37" a="1"/>
  <c r="T205" i="37" s="1"/>
  <c r="T203" i="37" a="1"/>
  <c r="T203" i="37" s="1"/>
  <c r="T196" i="37" a="1"/>
  <c r="T196" i="37" s="1"/>
  <c r="T214" i="37" a="1"/>
  <c r="T214" i="37" s="1"/>
  <c r="T199" i="37" a="1"/>
  <c r="T199" i="37" s="1"/>
  <c r="T202" i="37" a="1"/>
  <c r="T202" i="37" s="1"/>
  <c r="T186" i="37" a="1"/>
  <c r="T186" i="37" s="1"/>
  <c r="T191" i="37" a="1"/>
  <c r="T191" i="37" s="1"/>
  <c r="T221" i="37" a="1"/>
  <c r="T221" i="37" s="1"/>
  <c r="T198" i="37" a="1"/>
  <c r="T198" i="37" s="1"/>
  <c r="T185" i="37" a="1"/>
  <c r="T185" i="37" s="1"/>
  <c r="T193" i="37" a="1"/>
  <c r="T193" i="37" s="1"/>
  <c r="T211" i="37" a="1"/>
  <c r="T211" i="37" s="1"/>
  <c r="T223" i="37" a="1"/>
  <c r="T223" i="37" s="1"/>
  <c r="T217" i="37" a="1"/>
  <c r="T217" i="37" s="1"/>
  <c r="T192" i="37" a="1"/>
  <c r="T192" i="37" s="1"/>
  <c r="T197" i="37" a="1"/>
  <c r="T197" i="37" s="1"/>
  <c r="T190" i="37" a="1"/>
  <c r="T190" i="37" s="1"/>
  <c r="T652" i="37" a="1"/>
  <c r="T652" i="37" s="1"/>
  <c r="T141" i="37"/>
  <c r="AN141" i="37" s="1"/>
  <c r="BF33" i="37"/>
  <c r="BB157" i="37"/>
  <c r="BB158" i="37"/>
  <c r="AR158" i="37" s="1"/>
  <c r="BB161" i="37"/>
  <c r="AR161" i="37" s="1"/>
  <c r="BB159" i="37"/>
  <c r="AR159" i="37" s="1"/>
  <c r="BB160" i="37"/>
  <c r="AR160" i="37" s="1"/>
  <c r="S39" i="37"/>
  <c r="S65" i="37" s="1"/>
  <c r="S151" i="37"/>
  <c r="S662" i="37" a="1"/>
  <c r="S662" i="37" s="1"/>
  <c r="S641" i="37" a="1"/>
  <c r="S641" i="37" s="1"/>
  <c r="S130" i="37"/>
  <c r="AM130" i="37" s="1"/>
  <c r="R643" i="37"/>
  <c r="AK627" i="37"/>
  <c r="S613" i="37"/>
  <c r="S559" i="37"/>
  <c r="S591" i="37"/>
  <c r="S541" i="37"/>
  <c r="AK603" i="37"/>
  <c r="S945" i="37"/>
  <c r="AK614" i="37"/>
  <c r="AK590" i="37"/>
  <c r="S614" i="37"/>
  <c r="BA126" i="37"/>
  <c r="T40" i="37"/>
  <c r="AN199" i="37"/>
  <c r="AN200" i="37"/>
  <c r="AN201" i="37"/>
  <c r="AN39" i="37"/>
  <c r="T651" i="37" a="1"/>
  <c r="T651" i="37" s="1"/>
  <c r="T140" i="37"/>
  <c r="AN140" i="37" s="1"/>
  <c r="T135" i="37"/>
  <c r="AN135" i="37" s="1"/>
  <c r="T646" i="37" a="1"/>
  <c r="T646" i="37" s="1"/>
  <c r="BF51" i="37"/>
  <c r="R661" i="37"/>
  <c r="R61" i="37"/>
  <c r="V944" i="37"/>
  <c r="BC139" i="37"/>
  <c r="BC141" i="37"/>
  <c r="BC143" i="37"/>
  <c r="BC140" i="37"/>
  <c r="BC142" i="37"/>
  <c r="AL145" i="37"/>
  <c r="AL144" i="37" s="1"/>
  <c r="R144" i="37"/>
  <c r="S82" i="37"/>
  <c r="S547" i="37"/>
  <c r="S620" i="37"/>
  <c r="S565" i="37"/>
  <c r="AK620" i="37"/>
  <c r="AK626" i="37"/>
  <c r="S610" i="37"/>
  <c r="S622" i="37"/>
  <c r="S600" i="37"/>
  <c r="S507" i="37"/>
  <c r="S612" i="37"/>
  <c r="S519" i="37"/>
  <c r="S889" i="37"/>
  <c r="BC133" i="37"/>
  <c r="BC137" i="37"/>
  <c r="BC134" i="37"/>
  <c r="BC136" i="37"/>
  <c r="BC135" i="37"/>
  <c r="T49" i="37"/>
  <c r="T87" i="37" s="1"/>
  <c r="AN114" i="37"/>
  <c r="T114" i="37" s="1"/>
  <c r="T669" i="37" a="1"/>
  <c r="T669" i="37" s="1"/>
  <c r="T158" i="37"/>
  <c r="AN158" i="37" s="1"/>
  <c r="T31" i="37"/>
  <c r="T84" i="37" s="1"/>
  <c r="AN111" i="37"/>
  <c r="T111" i="37" s="1"/>
  <c r="T55" i="37"/>
  <c r="T88" i="37" s="1"/>
  <c r="AN115" i="37"/>
  <c r="T115" i="37" s="1"/>
  <c r="T128" i="37"/>
  <c r="AN128" i="37" s="1"/>
  <c r="T639" i="37" a="1"/>
  <c r="T639" i="37" s="1"/>
  <c r="BC157" i="37"/>
  <c r="BC160" i="37"/>
  <c r="BC161" i="37"/>
  <c r="BC159" i="37"/>
  <c r="BC158" i="37"/>
  <c r="R501" i="37"/>
  <c r="R594" i="37"/>
  <c r="R593" i="37" s="1"/>
  <c r="R617" i="37"/>
  <c r="S163" i="37"/>
  <c r="S51" i="37"/>
  <c r="S67" i="37" s="1"/>
  <c r="S674" i="37" a="1"/>
  <c r="S674" i="37" s="1"/>
  <c r="R623" i="37"/>
  <c r="S136" i="37"/>
  <c r="AM136" i="37" s="1"/>
  <c r="S647" i="37" a="1"/>
  <c r="S647" i="37" s="1"/>
  <c r="S671" i="37" a="1"/>
  <c r="S671" i="37" s="1"/>
  <c r="S160" i="37"/>
  <c r="AM160" i="37" s="1"/>
  <c r="R667" i="37"/>
  <c r="BB133" i="37"/>
  <c r="BB136" i="37"/>
  <c r="AR136" i="37" s="1"/>
  <c r="BB135" i="37"/>
  <c r="AR135" i="37" s="1"/>
  <c r="BB134" i="37"/>
  <c r="AR134" i="37" s="1"/>
  <c r="BB137" i="37"/>
  <c r="AR137" i="37" s="1"/>
  <c r="Z132" i="37"/>
  <c r="R655" i="37"/>
  <c r="T97" i="37"/>
  <c r="S210" i="37" a="1"/>
  <c r="S210" i="37" s="1"/>
  <c r="S206" i="37" s="1"/>
  <c r="AJ587" i="37"/>
  <c r="S148" i="37"/>
  <c r="AM148" i="37" s="1"/>
  <c r="S659" i="37" a="1"/>
  <c r="S659" i="37" s="1"/>
  <c r="S609" i="37"/>
  <c r="AK610" i="37"/>
  <c r="S553" i="37"/>
  <c r="AK571" i="37"/>
  <c r="AK589" i="37"/>
  <c r="S973" i="37"/>
  <c r="S590" i="37"/>
  <c r="S577" i="37"/>
  <c r="S608" i="37"/>
  <c r="AK565" i="37"/>
  <c r="BB144" i="37"/>
  <c r="T775" i="37"/>
  <c r="T783" i="37"/>
  <c r="FW59" i="28"/>
  <c r="T795" i="37"/>
  <c r="T791" i="37"/>
  <c r="T771" i="37"/>
  <c r="T779" i="37"/>
  <c r="T787" i="37"/>
  <c r="T660" i="37" a="1"/>
  <c r="T660" i="37" s="1"/>
  <c r="T149" i="37"/>
  <c r="AN149" i="37" s="1"/>
  <c r="T675" i="37" a="1"/>
  <c r="T675" i="37" s="1"/>
  <c r="T164" i="37"/>
  <c r="AN164" i="37" s="1"/>
  <c r="AN51" i="37"/>
  <c r="AN207" i="37"/>
  <c r="AN208" i="37"/>
  <c r="T52" i="37"/>
  <c r="T78" i="37" s="1"/>
  <c r="AN209" i="37"/>
  <c r="BF21" i="37"/>
  <c r="T654" i="37" a="1"/>
  <c r="T654" i="37" s="1"/>
  <c r="T143" i="37"/>
  <c r="AN143" i="37" s="1"/>
  <c r="R903" i="37"/>
  <c r="AL151" i="37"/>
  <c r="AL150" i="37" s="1"/>
  <c r="R150" i="37"/>
  <c r="BC163" i="37"/>
  <c r="BC164" i="37"/>
  <c r="BC166" i="37"/>
  <c r="BC165" i="37"/>
  <c r="BC167" i="37"/>
  <c r="S166" i="37"/>
  <c r="AM166" i="37" s="1"/>
  <c r="S677" i="37" a="1"/>
  <c r="S677" i="37" s="1"/>
  <c r="AI593" i="37"/>
  <c r="AJ605" i="37"/>
  <c r="R605" i="37"/>
  <c r="S182" i="37"/>
  <c r="BC151" i="37"/>
  <c r="BC152" i="37"/>
  <c r="BC154" i="37"/>
  <c r="BC153" i="37"/>
  <c r="BC155" i="37"/>
  <c r="S145" i="37"/>
  <c r="S33" i="37"/>
  <c r="S656" i="37" a="1"/>
  <c r="S656" i="37" s="1"/>
  <c r="AK606" i="37"/>
  <c r="AK513" i="37"/>
  <c r="AK541" i="37"/>
  <c r="S628" i="37"/>
  <c r="AK616" i="37"/>
  <c r="S619" i="37"/>
  <c r="S931" i="37"/>
  <c r="AK592" i="37"/>
  <c r="S513" i="37"/>
  <c r="S606" i="37"/>
  <c r="S525" i="37"/>
  <c r="S618" i="37"/>
  <c r="S653" i="37" a="1"/>
  <c r="S653" i="37" s="1"/>
  <c r="S142" i="37"/>
  <c r="AM142" i="37" s="1"/>
  <c r="T22" i="37"/>
  <c r="T213" i="37" s="1" a="1"/>
  <c r="T213" i="37" s="1"/>
  <c r="AN188" i="37"/>
  <c r="AN187" i="37"/>
  <c r="AN189" i="37"/>
  <c r="AN21" i="37"/>
  <c r="T147" i="37"/>
  <c r="AN147" i="37" s="1"/>
  <c r="T658" i="37" a="1"/>
  <c r="T658" i="37" s="1"/>
  <c r="T648" i="37" a="1"/>
  <c r="T648" i="37" s="1"/>
  <c r="T137" i="37"/>
  <c r="AN137" i="37" s="1"/>
  <c r="T678" i="37" a="1"/>
  <c r="T678" i="37" s="1"/>
  <c r="T167" i="37"/>
  <c r="AN167" i="37" s="1"/>
  <c r="T16" i="37"/>
  <c r="T72" i="37" s="1"/>
  <c r="AN185" i="37"/>
  <c r="AN183" i="37"/>
  <c r="AN184" i="37"/>
  <c r="AN15" i="37"/>
  <c r="T19" i="37"/>
  <c r="T82" i="37" s="1"/>
  <c r="AN109" i="37"/>
  <c r="T109" i="37" s="1"/>
  <c r="P817" i="37"/>
  <c r="P902" i="37" s="1"/>
  <c r="AH803" i="37"/>
  <c r="P819" i="37"/>
  <c r="P818" i="37"/>
  <c r="P822" i="37"/>
  <c r="P820" i="37"/>
  <c r="P866" i="37"/>
  <c r="V816" i="37"/>
  <c r="AJ597" i="37"/>
  <c r="AJ623" i="37"/>
  <c r="S157" i="37"/>
  <c r="S45" i="37"/>
  <c r="S66" i="37" s="1"/>
  <c r="S668" i="37" a="1"/>
  <c r="S668" i="37" s="1"/>
  <c r="BC145" i="37"/>
  <c r="BC148" i="37"/>
  <c r="BC149" i="37"/>
  <c r="BC146" i="37"/>
  <c r="BC147" i="37"/>
  <c r="S194" i="37"/>
  <c r="R65" i="37"/>
  <c r="S27" i="37"/>
  <c r="S63" i="37" s="1"/>
  <c r="S139" i="37"/>
  <c r="S650" i="37" a="1"/>
  <c r="S650" i="37" s="1"/>
  <c r="BA132" i="37"/>
  <c r="S592" i="37"/>
  <c r="AK625" i="37"/>
  <c r="AK559" i="37"/>
  <c r="S607" i="37"/>
  <c r="S616" i="37"/>
  <c r="AK618" i="37"/>
  <c r="AK525" i="37"/>
  <c r="AK615" i="37"/>
  <c r="AK613" i="37"/>
  <c r="AK609" i="37"/>
  <c r="S624" i="37"/>
  <c r="S531" i="37"/>
  <c r="AJ599" i="37"/>
  <c r="T46" i="37"/>
  <c r="AN45" i="37"/>
  <c r="AN203" i="37"/>
  <c r="AN205" i="37"/>
  <c r="AN204" i="37"/>
  <c r="T25" i="37"/>
  <c r="AN110" i="37"/>
  <c r="T110" i="37" s="1"/>
  <c r="T37" i="37"/>
  <c r="AN112" i="37"/>
  <c r="T112" i="37" s="1"/>
  <c r="T165" i="37"/>
  <c r="AN165" i="37" s="1"/>
  <c r="T676" i="37" a="1"/>
  <c r="T676" i="37" s="1"/>
  <c r="T640" i="37" a="1"/>
  <c r="T640" i="37" s="1"/>
  <c r="T129" i="37"/>
  <c r="AN129" i="37" s="1"/>
  <c r="T161" i="37"/>
  <c r="AN161" i="37" s="1"/>
  <c r="T672" i="37" a="1"/>
  <c r="T672" i="37" s="1"/>
  <c r="AJ547" i="37"/>
  <c r="AJ596" i="37"/>
  <c r="R673" i="37"/>
  <c r="S87" i="37"/>
  <c r="AR145" i="37"/>
  <c r="AL157" i="37"/>
  <c r="AL156" i="37" s="1"/>
  <c r="R156" i="37"/>
  <c r="N921" i="37"/>
  <c r="N987" i="37"/>
  <c r="S15" i="37"/>
  <c r="S127" i="37"/>
  <c r="S638" i="37" a="1"/>
  <c r="S638" i="37" s="1"/>
  <c r="S665" i="37" a="1"/>
  <c r="S665" i="37" s="1"/>
  <c r="S154" i="37"/>
  <c r="AM154" i="37" s="1"/>
  <c r="S222" i="37" a="1"/>
  <c r="S222" i="37" s="1"/>
  <c r="AJ617" i="37"/>
  <c r="S84" i="37"/>
  <c r="AK608" i="37"/>
  <c r="S589" i="37"/>
  <c r="S604" i="37"/>
  <c r="S621" i="37"/>
  <c r="AK577" i="37"/>
  <c r="AK591" i="37"/>
  <c r="AK622" i="37"/>
  <c r="S588" i="37"/>
  <c r="S495" i="37"/>
  <c r="BF39" i="37"/>
  <c r="T28" i="37"/>
  <c r="AN191" i="37"/>
  <c r="AN192" i="37"/>
  <c r="AN27" i="37"/>
  <c r="AN193" i="37"/>
  <c r="T657" i="37" a="1"/>
  <c r="T657" i="37" s="1"/>
  <c r="T146" i="37"/>
  <c r="AN146" i="37" s="1"/>
  <c r="T43" i="37"/>
  <c r="AN113" i="37"/>
  <c r="T113" i="37" s="1"/>
  <c r="BF45" i="37"/>
  <c r="AJ594" i="37"/>
  <c r="AJ501" i="37"/>
  <c r="AL127" i="37"/>
  <c r="AL126" i="37" s="1"/>
  <c r="R126" i="37"/>
  <c r="AR127" i="37"/>
  <c r="S88" i="37"/>
  <c r="BC127" i="37"/>
  <c r="BC130" i="37"/>
  <c r="BC131" i="37"/>
  <c r="BC129" i="37"/>
  <c r="BC128" i="37"/>
  <c r="AJ611" i="37"/>
  <c r="S216" i="37" a="1"/>
  <c r="S216" i="37" s="1"/>
  <c r="S212" i="37" s="1"/>
  <c r="S188" i="37"/>
  <c r="D610" i="51" l="1"/>
  <c r="G991" i="37"/>
  <c r="X466" i="37"/>
  <c r="AN468" i="37" s="1"/>
  <c r="D155" i="51" a="1"/>
  <c r="D155" i="51" s="1"/>
  <c r="D165" i="51" s="1"/>
  <c r="AN806" i="37"/>
  <c r="F944" i="37"/>
  <c r="D216" i="51"/>
  <c r="E938" i="51" a="1"/>
  <c r="E938" i="51" s="1"/>
  <c r="I551" i="51"/>
  <c r="I602" i="51"/>
  <c r="P842" i="37"/>
  <c r="H28" i="51"/>
  <c r="H603" i="51"/>
  <c r="I27" i="51"/>
  <c r="K933" i="51" s="1"/>
  <c r="E632" i="51"/>
  <c r="E640" i="51" s="1"/>
  <c r="AN440" i="37"/>
  <c r="AN441" i="37"/>
  <c r="AN439" i="37"/>
  <c r="F603" i="51"/>
  <c r="AN442" i="37"/>
  <c r="C610" i="51"/>
  <c r="C158" i="51" s="1"/>
  <c r="I28" i="51"/>
  <c r="E603" i="51"/>
  <c r="H610" i="51"/>
  <c r="F27" i="51"/>
  <c r="H933" i="51" s="1"/>
  <c r="F602" i="51"/>
  <c r="D602" i="51"/>
  <c r="F551" i="51"/>
  <c r="E610" i="51"/>
  <c r="B632" i="51"/>
  <c r="B640" i="51" s="1"/>
  <c r="V865" i="37"/>
  <c r="C216" i="51"/>
  <c r="D164" i="51"/>
  <c r="D27" i="51"/>
  <c r="F933" i="51" s="1"/>
  <c r="D551" i="51"/>
  <c r="D603" i="51"/>
  <c r="G640" i="51"/>
  <c r="C68" i="51"/>
  <c r="G610" i="51"/>
  <c r="G551" i="51"/>
  <c r="G27" i="51"/>
  <c r="I933" i="51" s="1"/>
  <c r="G602" i="51"/>
  <c r="C27" i="51"/>
  <c r="E933" i="51" s="1"/>
  <c r="C551" i="51"/>
  <c r="C156" i="51" s="1" a="1"/>
  <c r="C156" i="51" s="1"/>
  <c r="C28" i="51"/>
  <c r="P888" i="37"/>
  <c r="P881" i="37" s="1"/>
  <c r="I610" i="51"/>
  <c r="F68" i="51"/>
  <c r="D242" i="51"/>
  <c r="C604" i="51" a="1"/>
  <c r="C604" i="51" s="1"/>
  <c r="F610" i="51"/>
  <c r="G28" i="51"/>
  <c r="C632" i="51"/>
  <c r="C640" i="51" s="1"/>
  <c r="D68" i="51"/>
  <c r="H551" i="51"/>
  <c r="H27" i="51"/>
  <c r="J933" i="51" s="1"/>
  <c r="C132" i="51" a="1"/>
  <c r="E27" i="51"/>
  <c r="G933" i="51" s="1"/>
  <c r="E551" i="51"/>
  <c r="E602" i="51"/>
  <c r="C165" i="51"/>
  <c r="C162" i="51"/>
  <c r="C164" i="51" s="1"/>
  <c r="H68" i="51"/>
  <c r="C602" i="51"/>
  <c r="G603" i="51"/>
  <c r="AL397" i="37"/>
  <c r="AL489" i="37" s="1"/>
  <c r="AN429" i="37"/>
  <c r="AN430" i="37"/>
  <c r="AN428" i="37"/>
  <c r="AN431" i="37"/>
  <c r="X478" i="37"/>
  <c r="AN481" i="37" s="1"/>
  <c r="AN421" i="37"/>
  <c r="AN423" i="37"/>
  <c r="AN422" i="37"/>
  <c r="AN424" i="37"/>
  <c r="FW33" i="28"/>
  <c r="AN403" i="37"/>
  <c r="AL396" i="37"/>
  <c r="AL488" i="37" s="1"/>
  <c r="V916" i="37"/>
  <c r="AN435" i="37"/>
  <c r="X484" i="37"/>
  <c r="AN488" i="37" s="1"/>
  <c r="AN434" i="37"/>
  <c r="AL379" i="37"/>
  <c r="AL471" i="37" s="1"/>
  <c r="AL373" i="37"/>
  <c r="AL465" i="37" s="1"/>
  <c r="AN433" i="37"/>
  <c r="AN411" i="37"/>
  <c r="AL366" i="37"/>
  <c r="AL458" i="37" s="1"/>
  <c r="AL384" i="37"/>
  <c r="AL476" i="37" s="1"/>
  <c r="AN410" i="37"/>
  <c r="AN404" i="37"/>
  <c r="AL361" i="37"/>
  <c r="AL453" i="37" s="1"/>
  <c r="AL385" i="37"/>
  <c r="AL477" i="37" s="1"/>
  <c r="AM575" i="37"/>
  <c r="AM563" i="37"/>
  <c r="AM517" i="37"/>
  <c r="AM564" i="37"/>
  <c r="AM582" i="37"/>
  <c r="AM529" i="37"/>
  <c r="AM518" i="37"/>
  <c r="AM570" i="37"/>
  <c r="AM558" i="37"/>
  <c r="AM557" i="37"/>
  <c r="AM530" i="37"/>
  <c r="AM523" i="37"/>
  <c r="AM536" i="37"/>
  <c r="AM512" i="37"/>
  <c r="AM524" i="37"/>
  <c r="AM581" i="37"/>
  <c r="AM576" i="37"/>
  <c r="AM535" i="37"/>
  <c r="AM545" i="37"/>
  <c r="AM500" i="37"/>
  <c r="AM546" i="37"/>
  <c r="AM569" i="37"/>
  <c r="AM499" i="37"/>
  <c r="AM511" i="37"/>
  <c r="AN436" i="37"/>
  <c r="AL391" i="37"/>
  <c r="AL483" i="37" s="1"/>
  <c r="AL390" i="37"/>
  <c r="AL482" i="37" s="1"/>
  <c r="AL372" i="37"/>
  <c r="AL464" i="37" s="1"/>
  <c r="AN406" i="37"/>
  <c r="AL360" i="37"/>
  <c r="AL452" i="37" s="1"/>
  <c r="AL378" i="37"/>
  <c r="AL470" i="37" s="1"/>
  <c r="AL551" i="37"/>
  <c r="AL506" i="37"/>
  <c r="AL552" i="37"/>
  <c r="AL505" i="37"/>
  <c r="AN407" i="37"/>
  <c r="AL367" i="37"/>
  <c r="AL459" i="37" s="1"/>
  <c r="X460" i="37"/>
  <c r="AN462" i="37" s="1"/>
  <c r="AN455" i="37"/>
  <c r="AN409" i="37"/>
  <c r="AN457" i="37"/>
  <c r="AN456" i="37"/>
  <c r="AN459" i="37"/>
  <c r="AN413" i="37"/>
  <c r="H105" i="48"/>
  <c r="K105" i="48"/>
  <c r="I105" i="48"/>
  <c r="J105" i="48"/>
  <c r="F105" i="48"/>
  <c r="G105" i="48"/>
  <c r="E96" i="48" a="1"/>
  <c r="E95" i="48"/>
  <c r="J135" i="48"/>
  <c r="H135" i="48"/>
  <c r="G135" i="48"/>
  <c r="I135" i="48"/>
  <c r="F135" i="48"/>
  <c r="K135" i="48"/>
  <c r="E101" i="48" a="1"/>
  <c r="E101" i="48" s="1"/>
  <c r="E140" i="48" s="1"/>
  <c r="ES33" i="28"/>
  <c r="ES35" i="28"/>
  <c r="AN807" i="37"/>
  <c r="P856" i="37"/>
  <c r="I935" i="37"/>
  <c r="K988" i="37"/>
  <c r="V871" i="37"/>
  <c r="F871" i="37" s="1"/>
  <c r="AN808" i="37"/>
  <c r="L935" i="37"/>
  <c r="F916" i="37"/>
  <c r="P828" i="37"/>
  <c r="N986" i="37"/>
  <c r="M988" i="37"/>
  <c r="G986" i="37"/>
  <c r="G921" i="37"/>
  <c r="AN804" i="37"/>
  <c r="Q866" i="37"/>
  <c r="H907" i="37"/>
  <c r="O949" i="37"/>
  <c r="J988" i="37"/>
  <c r="I985" i="37"/>
  <c r="L991" i="37"/>
  <c r="L893" i="37"/>
  <c r="P849" i="37"/>
  <c r="G963" i="37"/>
  <c r="J989" i="37"/>
  <c r="I987" i="37"/>
  <c r="Q893" i="37"/>
  <c r="M987" i="37"/>
  <c r="T589" i="37"/>
  <c r="G893" i="37"/>
  <c r="K921" i="37"/>
  <c r="L963" i="37"/>
  <c r="L921" i="37"/>
  <c r="F448" i="37"/>
  <c r="N989" i="37"/>
  <c r="H989" i="37"/>
  <c r="L907" i="37"/>
  <c r="F466" i="37"/>
  <c r="H988" i="37"/>
  <c r="I990" i="37"/>
  <c r="H977" i="37"/>
  <c r="H990" i="37"/>
  <c r="K986" i="37"/>
  <c r="M985" i="37"/>
  <c r="AN417" i="37"/>
  <c r="J963" i="37"/>
  <c r="G988" i="37"/>
  <c r="K985" i="37"/>
  <c r="AN802" i="37"/>
  <c r="AN475" i="37"/>
  <c r="G949" i="37"/>
  <c r="F484" i="37"/>
  <c r="V968" i="37"/>
  <c r="F460" i="37"/>
  <c r="F478" i="37"/>
  <c r="V926" i="37"/>
  <c r="I991" i="37"/>
  <c r="K977" i="37"/>
  <c r="V972" i="37"/>
  <c r="K949" i="37"/>
  <c r="J907" i="37"/>
  <c r="F958" i="37"/>
  <c r="R756" i="37"/>
  <c r="R816" i="37" s="1"/>
  <c r="R817" i="37" s="1"/>
  <c r="R902" i="37" s="1"/>
  <c r="R895" i="37" s="1"/>
  <c r="R894" i="37" s="1"/>
  <c r="N985" i="37"/>
  <c r="Q819" i="37"/>
  <c r="M986" i="37"/>
  <c r="Q818" i="37"/>
  <c r="K990" i="37"/>
  <c r="J991" i="37"/>
  <c r="AI803" i="37"/>
  <c r="Q822" i="37"/>
  <c r="F972" i="37"/>
  <c r="O991" i="37"/>
  <c r="Q817" i="37"/>
  <c r="Q902" i="37" s="1"/>
  <c r="Q895" i="37" s="1"/>
  <c r="Q894" i="37" s="1"/>
  <c r="Q907" i="37" s="1"/>
  <c r="AN418" i="37"/>
  <c r="P814" i="37"/>
  <c r="Q856" i="37"/>
  <c r="J987" i="37"/>
  <c r="M991" i="37"/>
  <c r="I949" i="37"/>
  <c r="J893" i="37"/>
  <c r="AN474" i="37"/>
  <c r="F926" i="37"/>
  <c r="F954" i="37"/>
  <c r="R857" i="37"/>
  <c r="R854" i="37"/>
  <c r="AJ808" i="37"/>
  <c r="R852" i="37"/>
  <c r="R972" i="37" s="1"/>
  <c r="R965" i="37" s="1"/>
  <c r="R964" i="37" s="1"/>
  <c r="R991" i="37" s="1"/>
  <c r="R871" i="37"/>
  <c r="R855" i="37"/>
  <c r="R853" i="37"/>
  <c r="V954" i="37"/>
  <c r="AN419" i="37"/>
  <c r="AN477" i="37"/>
  <c r="AN473" i="37"/>
  <c r="S912" i="37"/>
  <c r="V898" i="37"/>
  <c r="N990" i="37"/>
  <c r="L989" i="37"/>
  <c r="I986" i="37"/>
  <c r="AN415" i="37"/>
  <c r="F898" i="37"/>
  <c r="F940" i="37"/>
  <c r="AN467" i="37"/>
  <c r="Q935" i="37"/>
  <c r="AL376" i="37"/>
  <c r="AL468" i="37" s="1"/>
  <c r="N977" i="37"/>
  <c r="F912" i="37"/>
  <c r="Q835" i="37"/>
  <c r="M990" i="37"/>
  <c r="M963" i="37"/>
  <c r="R460" i="37"/>
  <c r="V884" i="37"/>
  <c r="S954" i="37"/>
  <c r="N935" i="37"/>
  <c r="O987" i="37"/>
  <c r="F968" i="37"/>
  <c r="O907" i="37"/>
  <c r="O986" i="37"/>
  <c r="V940" i="37"/>
  <c r="T378" i="37"/>
  <c r="T470" i="37" s="1"/>
  <c r="V912" i="37"/>
  <c r="Q814" i="37"/>
  <c r="H921" i="37"/>
  <c r="H987" i="37"/>
  <c r="P835" i="37"/>
  <c r="AN805" i="37"/>
  <c r="V868" i="37"/>
  <c r="F868" i="37" s="1"/>
  <c r="AN469" i="37"/>
  <c r="M989" i="37"/>
  <c r="M949" i="37"/>
  <c r="S884" i="37"/>
  <c r="R841" i="37"/>
  <c r="R840" i="37"/>
  <c r="R869" i="37"/>
  <c r="AJ806" i="37"/>
  <c r="R838" i="37"/>
  <c r="R944" i="37" s="1"/>
  <c r="R937" i="37" s="1"/>
  <c r="R936" i="37" s="1"/>
  <c r="R989" i="37" s="1"/>
  <c r="R839" i="37"/>
  <c r="R843" i="37"/>
  <c r="T391" i="37"/>
  <c r="T483" i="37" s="1"/>
  <c r="AL381" i="37"/>
  <c r="Q991" i="37"/>
  <c r="Q987" i="37"/>
  <c r="R472" i="37"/>
  <c r="AL388" i="37"/>
  <c r="AL480" i="37" s="1"/>
  <c r="T381" i="37"/>
  <c r="T473" i="37" s="1"/>
  <c r="Q828" i="37"/>
  <c r="S898" i="37"/>
  <c r="T383" i="37"/>
  <c r="T475" i="37" s="1"/>
  <c r="V958" i="37"/>
  <c r="T396" i="37"/>
  <c r="T488" i="37" s="1"/>
  <c r="R833" i="37"/>
  <c r="R831" i="37"/>
  <c r="R930" i="37" s="1"/>
  <c r="R923" i="37" s="1"/>
  <c r="R922" i="37" s="1"/>
  <c r="R988" i="37" s="1"/>
  <c r="R868" i="37"/>
  <c r="AJ805" i="37"/>
  <c r="R832" i="37"/>
  <c r="R834" i="37"/>
  <c r="R836" i="37"/>
  <c r="R846" i="37"/>
  <c r="AJ807" i="37"/>
  <c r="R845" i="37"/>
  <c r="R958" i="37" s="1"/>
  <c r="R951" i="37" s="1"/>
  <c r="R950" i="37" s="1"/>
  <c r="R963" i="37" s="1"/>
  <c r="R870" i="37"/>
  <c r="R848" i="37"/>
  <c r="R850" i="37"/>
  <c r="R847" i="37"/>
  <c r="AJ802" i="37"/>
  <c r="R813" i="37"/>
  <c r="R811" i="37"/>
  <c r="R815" i="37"/>
  <c r="R865" i="37"/>
  <c r="R812" i="37"/>
  <c r="R810" i="37"/>
  <c r="R888" i="37" s="1"/>
  <c r="R881" i="37" s="1"/>
  <c r="R880" i="37" s="1"/>
  <c r="R985" i="37" s="1"/>
  <c r="R829" i="37"/>
  <c r="R867" i="37"/>
  <c r="R824" i="37"/>
  <c r="R916" i="37" s="1"/>
  <c r="R909" i="37" s="1"/>
  <c r="R908" i="37" s="1"/>
  <c r="R921" i="37" s="1"/>
  <c r="R826" i="37"/>
  <c r="AJ804" i="37"/>
  <c r="R825" i="37"/>
  <c r="R827" i="37"/>
  <c r="O923" i="37"/>
  <c r="V930" i="37"/>
  <c r="F930" i="37"/>
  <c r="T359" i="37"/>
  <c r="T451" i="37" s="1"/>
  <c r="T927" i="37" a="1"/>
  <c r="T927" i="37" s="1"/>
  <c r="T786" i="37"/>
  <c r="T785" i="37" s="1"/>
  <c r="T784" i="37" s="1"/>
  <c r="AN451" i="37"/>
  <c r="AN453" i="37"/>
  <c r="AN452" i="37"/>
  <c r="AN450" i="37"/>
  <c r="AL395" i="37"/>
  <c r="AL487" i="37" s="1"/>
  <c r="T970" i="37"/>
  <c r="T366" i="37"/>
  <c r="T458" i="37" s="1"/>
  <c r="T397" i="37"/>
  <c r="T489" i="37" s="1"/>
  <c r="T774" i="37"/>
  <c r="T773" i="37" s="1"/>
  <c r="T772" i="37" s="1"/>
  <c r="AK478" i="37"/>
  <c r="S457" i="37"/>
  <c r="S454" i="37" s="1"/>
  <c r="AL389" i="37"/>
  <c r="AL481" i="37" s="1"/>
  <c r="T376" i="37"/>
  <c r="T468" i="37" s="1"/>
  <c r="T388" i="37"/>
  <c r="T480" i="37" s="1"/>
  <c r="T358" i="37"/>
  <c r="T450" i="37" s="1"/>
  <c r="T955" i="37" a="1"/>
  <c r="T955" i="37" s="1"/>
  <c r="AK392" i="37"/>
  <c r="AK485" i="37"/>
  <c r="AK484" i="37" s="1"/>
  <c r="S380" i="37"/>
  <c r="S759" i="37" s="1"/>
  <c r="S837" i="37" s="1"/>
  <c r="S473" i="37"/>
  <c r="S472" i="37" s="1"/>
  <c r="AL363" i="37"/>
  <c r="AL371" i="37"/>
  <c r="AL463" i="37" s="1"/>
  <c r="AL383" i="37"/>
  <c r="AL475" i="37" s="1"/>
  <c r="T369" i="37"/>
  <c r="T914" i="37"/>
  <c r="T367" i="37"/>
  <c r="T459" i="37" s="1"/>
  <c r="T385" i="37"/>
  <c r="T477" i="37" s="1"/>
  <c r="T371" i="37"/>
  <c r="T463" i="37" s="1"/>
  <c r="T900" i="37"/>
  <c r="T969" i="37" a="1"/>
  <c r="T969" i="37" s="1"/>
  <c r="T770" i="37"/>
  <c r="T769" i="37" s="1"/>
  <c r="T768" i="37" s="1"/>
  <c r="S368" i="37"/>
  <c r="S757" i="37" s="1"/>
  <c r="S823" i="37" s="1"/>
  <c r="S461" i="37"/>
  <c r="S460" i="37" s="1"/>
  <c r="AK386" i="37"/>
  <c r="S392" i="37"/>
  <c r="S761" i="37" s="1"/>
  <c r="S851" i="37" s="1"/>
  <c r="S855" i="37" s="1"/>
  <c r="S485" i="37"/>
  <c r="S484" i="37" s="1"/>
  <c r="S940" i="37"/>
  <c r="AL357" i="37"/>
  <c r="AL365" i="37"/>
  <c r="AL457" i="37" s="1"/>
  <c r="AL358" i="37"/>
  <c r="AL450" i="37" s="1"/>
  <c r="T363" i="37"/>
  <c r="T370" i="37"/>
  <c r="T462" i="37" s="1"/>
  <c r="T886" i="37"/>
  <c r="T382" i="37"/>
  <c r="T474" i="37" s="1"/>
  <c r="T943" i="37" a="1"/>
  <c r="T943" i="37" s="1"/>
  <c r="T394" i="37"/>
  <c r="T486" i="37" s="1"/>
  <c r="T913" i="37" a="1"/>
  <c r="T913" i="37" s="1"/>
  <c r="T794" i="37"/>
  <c r="T793" i="37" s="1"/>
  <c r="T792" i="37" s="1"/>
  <c r="FX29" i="28"/>
  <c r="ET29" i="28"/>
  <c r="FX30" i="28"/>
  <c r="ET30" i="28"/>
  <c r="FX31" i="28"/>
  <c r="ET31" i="28"/>
  <c r="S968" i="37"/>
  <c r="AK455" i="37"/>
  <c r="AK454" i="37" s="1"/>
  <c r="AK362" i="37"/>
  <c r="AK449" i="37"/>
  <c r="AK448" i="37" s="1"/>
  <c r="AK356" i="37"/>
  <c r="AL393" i="37"/>
  <c r="AL382" i="37"/>
  <c r="AL474" i="37" s="1"/>
  <c r="AL359" i="37"/>
  <c r="AL451" i="37" s="1"/>
  <c r="T389" i="37"/>
  <c r="T481" i="37" s="1"/>
  <c r="T929" i="37" a="1"/>
  <c r="T929" i="37" s="1"/>
  <c r="T887" i="37" a="1"/>
  <c r="T887" i="37" s="1"/>
  <c r="T365" i="37"/>
  <c r="T457" i="37" s="1"/>
  <c r="T372" i="37"/>
  <c r="T464" i="37" s="1"/>
  <c r="T971" i="37" a="1"/>
  <c r="T971" i="37" s="1"/>
  <c r="T885" i="37" a="1"/>
  <c r="T885" i="37" s="1"/>
  <c r="S926" i="37"/>
  <c r="R448" i="37"/>
  <c r="FX28" i="28"/>
  <c r="ET28" i="28"/>
  <c r="AI806" i="37"/>
  <c r="Q869" i="37"/>
  <c r="Q839" i="37"/>
  <c r="Q840" i="37"/>
  <c r="Q843" i="37"/>
  <c r="Q841" i="37"/>
  <c r="Q838" i="37"/>
  <c r="AL369" i="37"/>
  <c r="AL370" i="37"/>
  <c r="AL462" i="37" s="1"/>
  <c r="T357" i="37"/>
  <c r="T393" i="37"/>
  <c r="T395" i="37"/>
  <c r="T487" i="37" s="1"/>
  <c r="T379" i="37"/>
  <c r="T471" i="37" s="1"/>
  <c r="T956" i="37"/>
  <c r="T928" i="37"/>
  <c r="T390" i="37"/>
  <c r="T482" i="37" s="1"/>
  <c r="T778" i="37"/>
  <c r="T777" i="37" s="1"/>
  <c r="T776" i="37" s="1"/>
  <c r="AK461" i="37"/>
  <c r="AK460" i="37" s="1"/>
  <c r="AK368" i="37"/>
  <c r="F884" i="37"/>
  <c r="AL387" i="37"/>
  <c r="AK374" i="37"/>
  <c r="AK467" i="37"/>
  <c r="AK466" i="37" s="1"/>
  <c r="O990" i="37"/>
  <c r="O963" i="37"/>
  <c r="AL375" i="37"/>
  <c r="AL364" i="37"/>
  <c r="AL456" i="37" s="1"/>
  <c r="T375" i="37"/>
  <c r="T957" i="37" a="1"/>
  <c r="T957" i="37" s="1"/>
  <c r="T373" i="37"/>
  <c r="T465" i="37" s="1"/>
  <c r="T364" i="37"/>
  <c r="T456" i="37" s="1"/>
  <c r="T915" i="37" a="1"/>
  <c r="T915" i="37" s="1"/>
  <c r="T360" i="37"/>
  <c r="T452" i="37" s="1"/>
  <c r="T941" i="37" a="1"/>
  <c r="T941" i="37" s="1"/>
  <c r="T790" i="37"/>
  <c r="T789" i="37" s="1"/>
  <c r="T788" i="37" s="1"/>
  <c r="AK473" i="37"/>
  <c r="AK472" i="37" s="1"/>
  <c r="AK380" i="37"/>
  <c r="S374" i="37"/>
  <c r="S758" i="37" s="1"/>
  <c r="S830" i="37" s="1"/>
  <c r="S467" i="37"/>
  <c r="S466" i="37" s="1"/>
  <c r="AN449" i="37"/>
  <c r="Q870" i="37"/>
  <c r="Q846" i="37"/>
  <c r="Q845" i="37"/>
  <c r="Q850" i="37"/>
  <c r="Q847" i="37"/>
  <c r="AI807" i="37"/>
  <c r="Q848" i="37"/>
  <c r="S449" i="37"/>
  <c r="S448" i="37" s="1"/>
  <c r="S356" i="37"/>
  <c r="S755" i="37" s="1"/>
  <c r="S809" i="37" s="1"/>
  <c r="O893" i="37"/>
  <c r="O985" i="37"/>
  <c r="S386" i="37"/>
  <c r="S760" i="37" s="1"/>
  <c r="S844" i="37" s="1"/>
  <c r="S479" i="37"/>
  <c r="S478" i="37" s="1"/>
  <c r="AL394" i="37"/>
  <c r="AL486" i="37" s="1"/>
  <c r="AL377" i="37"/>
  <c r="AL469" i="37" s="1"/>
  <c r="T387" i="37"/>
  <c r="T942" i="37"/>
  <c r="T377" i="37"/>
  <c r="T469" i="37" s="1"/>
  <c r="T361" i="37"/>
  <c r="T453" i="37" s="1"/>
  <c r="T384" i="37"/>
  <c r="T476" i="37" s="1"/>
  <c r="T901" i="37" a="1"/>
  <c r="T901" i="37" s="1"/>
  <c r="T899" i="37" a="1"/>
  <c r="T899" i="37" s="1"/>
  <c r="T782" i="37"/>
  <c r="T781" i="37" s="1"/>
  <c r="T780" i="37" s="1"/>
  <c r="S362" i="37"/>
  <c r="AR126" i="37"/>
  <c r="AR144" i="37"/>
  <c r="S218" i="37"/>
  <c r="T592" i="37"/>
  <c r="BB138" i="37"/>
  <c r="AR162" i="37"/>
  <c r="BB162" i="37"/>
  <c r="T626" i="37"/>
  <c r="AR140" i="37"/>
  <c r="AR138" i="37" s="1"/>
  <c r="AR150" i="37"/>
  <c r="BC138" i="37"/>
  <c r="S649" i="37"/>
  <c r="BB150" i="37"/>
  <c r="AL603" i="37"/>
  <c r="AK595" i="37"/>
  <c r="S673" i="37"/>
  <c r="AK617" i="37"/>
  <c r="S655" i="37"/>
  <c r="P821" i="37"/>
  <c r="AJ593" i="37"/>
  <c r="S637" i="37"/>
  <c r="AL614" i="37"/>
  <c r="S903" i="37"/>
  <c r="T157" i="37"/>
  <c r="T45" i="37"/>
  <c r="T66" i="37" s="1"/>
  <c r="T668" i="37" a="1"/>
  <c r="T668" i="37" s="1"/>
  <c r="P908" i="37"/>
  <c r="V908" i="37"/>
  <c r="T139" i="37"/>
  <c r="T27" i="37"/>
  <c r="T63" i="37" s="1"/>
  <c r="T650" i="37" a="1"/>
  <c r="T650" i="37" s="1"/>
  <c r="T74" i="37"/>
  <c r="BD157" i="37"/>
  <c r="BD161" i="37"/>
  <c r="BD158" i="37"/>
  <c r="BD159" i="37"/>
  <c r="BD160" i="37"/>
  <c r="T638" i="37" a="1"/>
  <c r="T638" i="37" s="1"/>
  <c r="T127" i="37"/>
  <c r="T15" i="37"/>
  <c r="T61" i="37" s="1"/>
  <c r="P964" i="37"/>
  <c r="V964" i="37"/>
  <c r="S587" i="37"/>
  <c r="S126" i="37"/>
  <c r="AM127" i="37"/>
  <c r="AM126" i="37" s="1"/>
  <c r="P950" i="37"/>
  <c r="V950" i="37"/>
  <c r="S605" i="37"/>
  <c r="BC162" i="37"/>
  <c r="T51" i="37"/>
  <c r="T67" i="37" s="1"/>
  <c r="T163" i="37"/>
  <c r="T674" i="37" a="1"/>
  <c r="T674" i="37" s="1"/>
  <c r="T917" i="37"/>
  <c r="T627" i="37"/>
  <c r="T621" i="37"/>
  <c r="AL621" i="37"/>
  <c r="AL625" i="37"/>
  <c r="T608" i="37"/>
  <c r="T610" i="37"/>
  <c r="T889" i="37"/>
  <c r="T613" i="37"/>
  <c r="T606" i="37"/>
  <c r="T513" i="37"/>
  <c r="T547" i="37"/>
  <c r="AK594" i="37"/>
  <c r="AK501" i="37"/>
  <c r="BD134" i="37"/>
  <c r="BD135" i="37"/>
  <c r="BD136" i="37"/>
  <c r="BD133" i="37"/>
  <c r="BD137" i="37"/>
  <c r="U22" i="37"/>
  <c r="U213" i="37" s="1" a="1"/>
  <c r="U213" i="37" s="1"/>
  <c r="AO188" i="37"/>
  <c r="AO189" i="37"/>
  <c r="AO187" i="37"/>
  <c r="AO21" i="37"/>
  <c r="AP21" i="37" s="1"/>
  <c r="AP22" i="37"/>
  <c r="AO111" i="37"/>
  <c r="U111" i="37" s="1"/>
  <c r="U31" i="37"/>
  <c r="U84" i="37" s="1"/>
  <c r="F84" i="37" s="1"/>
  <c r="AP31" i="37"/>
  <c r="U532" i="37"/>
  <c r="U890" i="37" a="1"/>
  <c r="U890" i="37" s="1"/>
  <c r="U497" i="37"/>
  <c r="U974" i="37" a="1"/>
  <c r="U974" i="37" s="1"/>
  <c r="AM516" i="37"/>
  <c r="U524" i="37"/>
  <c r="U526" i="37"/>
  <c r="U946" i="37" a="1"/>
  <c r="U946" i="37" s="1"/>
  <c r="U554" i="37"/>
  <c r="U508" i="37"/>
  <c r="U511" i="37"/>
  <c r="U496" i="37"/>
  <c r="U535" i="37"/>
  <c r="AM572" i="37"/>
  <c r="AM542" i="37"/>
  <c r="U500" i="37"/>
  <c r="AM578" i="37"/>
  <c r="U512" i="37"/>
  <c r="U566" i="37"/>
  <c r="U514" i="37"/>
  <c r="U520" i="37"/>
  <c r="AM522" i="37"/>
  <c r="AM515" i="37"/>
  <c r="U529" i="37"/>
  <c r="U523" i="37"/>
  <c r="U498" i="37"/>
  <c r="U560" i="37"/>
  <c r="U499" i="37"/>
  <c r="AM509" i="37"/>
  <c r="AM496" i="37"/>
  <c r="U530" i="37"/>
  <c r="AM554" i="37"/>
  <c r="AM526" i="37"/>
  <c r="AM527" i="37"/>
  <c r="AM534" i="37"/>
  <c r="AM498" i="37"/>
  <c r="AM497" i="37"/>
  <c r="U932" i="37" a="1"/>
  <c r="U932" i="37" s="1"/>
  <c r="U542" i="37"/>
  <c r="U528" i="37"/>
  <c r="AM514" i="37"/>
  <c r="AM508" i="37"/>
  <c r="AM533" i="37"/>
  <c r="AM566" i="37"/>
  <c r="AM532" i="37"/>
  <c r="U548" i="37"/>
  <c r="AM528" i="37"/>
  <c r="U536" i="37"/>
  <c r="U572" i="37"/>
  <c r="DY59" i="28"/>
  <c r="U510" i="37"/>
  <c r="U533" i="37"/>
  <c r="AM520" i="37"/>
  <c r="U568" i="37"/>
  <c r="AM574" i="37"/>
  <c r="AM521" i="37"/>
  <c r="U564" i="37"/>
  <c r="AM555" i="37"/>
  <c r="U551" i="37"/>
  <c r="U920" i="37" a="1"/>
  <c r="U920" i="37" s="1"/>
  <c r="AM543" i="37"/>
  <c r="U934" i="37" a="1"/>
  <c r="U934" i="37" s="1"/>
  <c r="AM556" i="37"/>
  <c r="U562" i="37"/>
  <c r="U517" i="37"/>
  <c r="U527" i="37"/>
  <c r="U522" i="37"/>
  <c r="U580" i="37"/>
  <c r="U919" i="37"/>
  <c r="U555" i="37"/>
  <c r="AM573" i="37"/>
  <c r="U581" i="37"/>
  <c r="U570" i="37"/>
  <c r="U976" i="37" a="1"/>
  <c r="U976" i="37" s="1"/>
  <c r="AM579" i="37"/>
  <c r="AM510" i="37"/>
  <c r="U574" i="37"/>
  <c r="AM580" i="37"/>
  <c r="U544" i="37"/>
  <c r="U549" i="37"/>
  <c r="U579" i="37"/>
  <c r="AM568" i="37"/>
  <c r="U552" i="37"/>
  <c r="U891" i="37"/>
  <c r="U960" i="37" a="1"/>
  <c r="U960" i="37" s="1"/>
  <c r="U578" i="37"/>
  <c r="U516" i="37"/>
  <c r="U567" i="37"/>
  <c r="U563" i="37"/>
  <c r="U569" i="37"/>
  <c r="U975" i="37"/>
  <c r="U561" i="37"/>
  <c r="U582" i="37"/>
  <c r="U557" i="37"/>
  <c r="U509" i="37"/>
  <c r="AM561" i="37"/>
  <c r="U558" i="37"/>
  <c r="U962" i="37" a="1"/>
  <c r="U962" i="37" s="1"/>
  <c r="U550" i="37"/>
  <c r="AM562" i="37"/>
  <c r="U556" i="37"/>
  <c r="U948" i="37" a="1"/>
  <c r="U948" i="37" s="1"/>
  <c r="U534" i="37"/>
  <c r="AM560" i="37"/>
  <c r="U545" i="37"/>
  <c r="U933" i="37"/>
  <c r="U575" i="37"/>
  <c r="U961" i="37"/>
  <c r="U576" i="37"/>
  <c r="AM544" i="37"/>
  <c r="U918" i="37" a="1"/>
  <c r="U918" i="37" s="1"/>
  <c r="U518" i="37"/>
  <c r="AM567" i="37"/>
  <c r="U546" i="37"/>
  <c r="U543" i="37"/>
  <c r="U515" i="37"/>
  <c r="U521" i="37"/>
  <c r="U947" i="37"/>
  <c r="U892" i="37" a="1"/>
  <c r="U892" i="37" s="1"/>
  <c r="U573" i="37"/>
  <c r="U53" i="37"/>
  <c r="AP53" i="37"/>
  <c r="U20" i="37"/>
  <c r="U211" i="37" s="1" a="1"/>
  <c r="U211" i="37" s="1"/>
  <c r="AP20" i="37"/>
  <c r="U42" i="37"/>
  <c r="AP42" i="37"/>
  <c r="AK611" i="37"/>
  <c r="P935" i="37"/>
  <c r="P988" i="37"/>
  <c r="S667" i="37"/>
  <c r="S623" i="37"/>
  <c r="T77" i="37"/>
  <c r="T641" i="37" a="1"/>
  <c r="T641" i="37" s="1"/>
  <c r="T130" i="37"/>
  <c r="AN130" i="37" s="1"/>
  <c r="T644" i="37" a="1"/>
  <c r="T644" i="37" s="1"/>
  <c r="T21" i="37"/>
  <c r="T133" i="37"/>
  <c r="AK605" i="37"/>
  <c r="P936" i="37"/>
  <c r="V936" i="37"/>
  <c r="AL541" i="37"/>
  <c r="T591" i="37"/>
  <c r="T604" i="37"/>
  <c r="AL624" i="37"/>
  <c r="AL531" i="37"/>
  <c r="AL559" i="37"/>
  <c r="T620" i="37"/>
  <c r="T615" i="37"/>
  <c r="AL618" i="37"/>
  <c r="AL525" i="37"/>
  <c r="AL613" i="37"/>
  <c r="AK597" i="37"/>
  <c r="BG51" i="37"/>
  <c r="BG39" i="37"/>
  <c r="U52" i="37"/>
  <c r="U78" i="37" s="1"/>
  <c r="F78" i="37" s="1"/>
  <c r="AO51" i="37"/>
  <c r="AP51" i="37" s="1"/>
  <c r="AO209" i="37"/>
  <c r="AO207" i="37"/>
  <c r="AO208" i="37"/>
  <c r="AP52" i="37"/>
  <c r="U24" i="37"/>
  <c r="U215" i="37" s="1" a="1"/>
  <c r="U215" i="37" s="1"/>
  <c r="AP24" i="37"/>
  <c r="U37" i="37"/>
  <c r="U85" i="37" s="1"/>
  <c r="AO112" i="37"/>
  <c r="U112" i="37" s="1"/>
  <c r="AP37" i="37"/>
  <c r="U17" i="37"/>
  <c r="U208" i="37" s="1" a="1"/>
  <c r="U208" i="37" s="1"/>
  <c r="AP17" i="37"/>
  <c r="T154" i="37"/>
  <c r="AN154" i="37" s="1"/>
  <c r="T665" i="37" a="1"/>
  <c r="T665" i="37" s="1"/>
  <c r="T647" i="37" a="1"/>
  <c r="T647" i="37" s="1"/>
  <c r="T136" i="37"/>
  <c r="AN136" i="37" s="1"/>
  <c r="S617" i="37"/>
  <c r="AM151" i="37"/>
  <c r="AM150" i="37" s="1"/>
  <c r="S150" i="37"/>
  <c r="BD127" i="37"/>
  <c r="BD131" i="37"/>
  <c r="BD128" i="37"/>
  <c r="BD130" i="37"/>
  <c r="BD129" i="37"/>
  <c r="BC150" i="37"/>
  <c r="BC132" i="37"/>
  <c r="S61" i="37"/>
  <c r="T210" i="37" a="1"/>
  <c r="T210" i="37" s="1"/>
  <c r="T216" i="37" a="1"/>
  <c r="T216" i="37" s="1"/>
  <c r="T212" i="37" s="1"/>
  <c r="T200" i="37"/>
  <c r="T945" i="37"/>
  <c r="AL589" i="37"/>
  <c r="AL604" i="37"/>
  <c r="T614" i="37"/>
  <c r="AL577" i="37"/>
  <c r="AL628" i="37"/>
  <c r="T625" i="37"/>
  <c r="T565" i="37"/>
  <c r="T607" i="37"/>
  <c r="AK547" i="37"/>
  <c r="T73" i="37"/>
  <c r="BD139" i="37"/>
  <c r="BD141" i="37"/>
  <c r="BD140" i="37"/>
  <c r="BD142" i="37"/>
  <c r="BD143" i="37"/>
  <c r="T33" i="37"/>
  <c r="T64" i="37" s="1"/>
  <c r="T145" i="37"/>
  <c r="T656" i="37" a="1"/>
  <c r="T656" i="37" s="1"/>
  <c r="U16" i="37"/>
  <c r="U72" i="37" s="1"/>
  <c r="F72" i="37" s="1"/>
  <c r="AO184" i="37"/>
  <c r="AO183" i="37"/>
  <c r="AO185" i="37"/>
  <c r="AO15" i="37"/>
  <c r="AP15" i="37" s="1"/>
  <c r="AP16" i="37"/>
  <c r="U34" i="37"/>
  <c r="AO197" i="37"/>
  <c r="AO33" i="37"/>
  <c r="AP33" i="37" s="1"/>
  <c r="AO195" i="37"/>
  <c r="AO196" i="37"/>
  <c r="AP34" i="37"/>
  <c r="U25" i="37"/>
  <c r="U216" i="37" s="1" a="1"/>
  <c r="U216" i="37" s="1"/>
  <c r="AO110" i="37"/>
  <c r="U110" i="37" s="1"/>
  <c r="AP25" i="37"/>
  <c r="BG15" i="37"/>
  <c r="U47" i="37"/>
  <c r="AP47" i="37"/>
  <c r="U56" i="37"/>
  <c r="AP56" i="37"/>
  <c r="U23" i="37"/>
  <c r="U214" i="37" s="1" a="1"/>
  <c r="U214" i="37" s="1"/>
  <c r="AP23" i="37"/>
  <c r="AK587" i="37"/>
  <c r="T86" i="37"/>
  <c r="T659" i="37" a="1"/>
  <c r="T659" i="37" s="1"/>
  <c r="T148" i="37"/>
  <c r="AN148" i="37" s="1"/>
  <c r="AM157" i="37"/>
  <c r="AM156" i="37" s="1"/>
  <c r="S156" i="37"/>
  <c r="T85" i="37"/>
  <c r="T160" i="37"/>
  <c r="AN160" i="37" s="1"/>
  <c r="T671" i="37" a="1"/>
  <c r="T671" i="37" s="1"/>
  <c r="T182" i="37"/>
  <c r="AL622" i="37"/>
  <c r="AL571" i="37"/>
  <c r="T618" i="37"/>
  <c r="T525" i="37"/>
  <c r="AL607" i="37"/>
  <c r="AL612" i="37"/>
  <c r="AL519" i="37"/>
  <c r="T628" i="37"/>
  <c r="AL620" i="37"/>
  <c r="T588" i="37"/>
  <c r="T495" i="37"/>
  <c r="AK596" i="37"/>
  <c r="S643" i="37"/>
  <c r="BG27" i="37"/>
  <c r="U791" i="37"/>
  <c r="U775" i="37"/>
  <c r="U783" i="37"/>
  <c r="U787" i="37"/>
  <c r="FX59" i="28"/>
  <c r="U771" i="37"/>
  <c r="U795" i="37"/>
  <c r="U779" i="37"/>
  <c r="BG21" i="37"/>
  <c r="U50" i="37"/>
  <c r="AP50" i="37"/>
  <c r="U32" i="37"/>
  <c r="U223" i="37" s="1" a="1"/>
  <c r="U223" i="37" s="1"/>
  <c r="AP32" i="37"/>
  <c r="U30" i="37"/>
  <c r="U221" i="37" s="1" a="1"/>
  <c r="U221" i="37" s="1"/>
  <c r="AP30" i="37"/>
  <c r="S64" i="37"/>
  <c r="T83" i="37"/>
  <c r="T166" i="37"/>
  <c r="AN166" i="37" s="1"/>
  <c r="T677" i="37" a="1"/>
  <c r="T677" i="37" s="1"/>
  <c r="T662" i="37" a="1"/>
  <c r="T662" i="37" s="1"/>
  <c r="T151" i="37"/>
  <c r="T39" i="37"/>
  <c r="T188" i="37"/>
  <c r="T616" i="37"/>
  <c r="T577" i="37"/>
  <c r="T609" i="37"/>
  <c r="AL495" i="37"/>
  <c r="AL588" i="37"/>
  <c r="T973" i="37"/>
  <c r="T590" i="37"/>
  <c r="T931" i="37"/>
  <c r="T600" i="37"/>
  <c r="T507" i="37"/>
  <c r="S132" i="37"/>
  <c r="AM133" i="37"/>
  <c r="AM132" i="37" s="1"/>
  <c r="U43" i="37"/>
  <c r="U86" i="37" s="1"/>
  <c r="AO113" i="37"/>
  <c r="U113" i="37" s="1"/>
  <c r="AP43" i="37"/>
  <c r="U46" i="37"/>
  <c r="U77" i="37" s="1"/>
  <c r="AO45" i="37"/>
  <c r="AP45" i="37" s="1"/>
  <c r="AO204" i="37"/>
  <c r="AO203" i="37"/>
  <c r="AO205" i="37"/>
  <c r="AP46" i="37"/>
  <c r="U26" i="37"/>
  <c r="U217" i="37" s="1" a="1"/>
  <c r="U217" i="37" s="1"/>
  <c r="AP26" i="37"/>
  <c r="U18" i="37"/>
  <c r="U209" i="37" s="1" a="1"/>
  <c r="U209" i="37" s="1"/>
  <c r="AP18" i="37"/>
  <c r="U54" i="37"/>
  <c r="AP54" i="37"/>
  <c r="AM145" i="37"/>
  <c r="AM144" i="37" s="1"/>
  <c r="S144" i="37"/>
  <c r="BD154" i="37"/>
  <c r="BD151" i="37"/>
  <c r="BD155" i="37"/>
  <c r="BD152" i="37"/>
  <c r="BD153" i="37"/>
  <c r="AM163" i="37"/>
  <c r="AM162" i="37" s="1"/>
  <c r="S162" i="37"/>
  <c r="S611" i="37"/>
  <c r="BD145" i="37"/>
  <c r="BD147" i="37"/>
  <c r="BD146" i="37"/>
  <c r="BD148" i="37"/>
  <c r="BD149" i="37"/>
  <c r="S661" i="37"/>
  <c r="BB156" i="37"/>
  <c r="AR157" i="37"/>
  <c r="AR156" i="37" s="1"/>
  <c r="T194" i="37"/>
  <c r="AL608" i="37"/>
  <c r="T904" i="37" a="1"/>
  <c r="T904" i="37" s="1"/>
  <c r="T502" i="37"/>
  <c r="AL548" i="37"/>
  <c r="AL502" i="37"/>
  <c r="AL504" i="37"/>
  <c r="AL503" i="37"/>
  <c r="T905" i="37"/>
  <c r="AL549" i="37"/>
  <c r="T906" i="37" a="1"/>
  <c r="T906" i="37" s="1"/>
  <c r="T505" i="37"/>
  <c r="T597" i="37" s="1"/>
  <c r="T503" i="37"/>
  <c r="T595" i="37" s="1"/>
  <c r="T504" i="37"/>
  <c r="T596" i="37" s="1"/>
  <c r="AL550" i="37"/>
  <c r="T506" i="37"/>
  <c r="T598" i="37" s="1"/>
  <c r="AL610" i="37"/>
  <c r="AL606" i="37"/>
  <c r="AL513" i="37"/>
  <c r="T602" i="37"/>
  <c r="T553" i="37"/>
  <c r="AL565" i="37"/>
  <c r="T619" i="37"/>
  <c r="AL609" i="37"/>
  <c r="T612" i="37"/>
  <c r="T519" i="37"/>
  <c r="AK598" i="37"/>
  <c r="BD163" i="37"/>
  <c r="BD165" i="37"/>
  <c r="BD166" i="37"/>
  <c r="BD167" i="37"/>
  <c r="BD164" i="37"/>
  <c r="U40" i="37"/>
  <c r="AO201" i="37"/>
  <c r="AO39" i="37"/>
  <c r="AP39" i="37" s="1"/>
  <c r="AO200" i="37"/>
  <c r="AO199" i="37"/>
  <c r="AP40" i="37"/>
  <c r="BG45" i="37"/>
  <c r="U38" i="37"/>
  <c r="AP38" i="37"/>
  <c r="U55" i="37"/>
  <c r="U88" i="37" s="1"/>
  <c r="F88" i="37" s="1"/>
  <c r="AO115" i="37"/>
  <c r="U115" i="37" s="1"/>
  <c r="AP55" i="37"/>
  <c r="U36" i="37"/>
  <c r="AP36" i="37"/>
  <c r="BC126" i="37"/>
  <c r="T653" i="37" a="1"/>
  <c r="T653" i="37" s="1"/>
  <c r="T142" i="37"/>
  <c r="AN142" i="37" s="1"/>
  <c r="T222" i="37" a="1"/>
  <c r="T222" i="37" s="1"/>
  <c r="T207" i="37" a="1"/>
  <c r="T207" i="37" s="1"/>
  <c r="T601" i="37"/>
  <c r="T959" i="37"/>
  <c r="AL553" i="37"/>
  <c r="AL615" i="37"/>
  <c r="AL602" i="37"/>
  <c r="T541" i="37"/>
  <c r="T624" i="37"/>
  <c r="T531" i="37"/>
  <c r="AL616" i="37"/>
  <c r="AL626" i="37"/>
  <c r="U28" i="37"/>
  <c r="U219" i="37" s="1" a="1"/>
  <c r="U219" i="37" s="1"/>
  <c r="AO191" i="37"/>
  <c r="AO192" i="37"/>
  <c r="AO193" i="37"/>
  <c r="AO27" i="37"/>
  <c r="AP27" i="37" s="1"/>
  <c r="AP28" i="37"/>
  <c r="U49" i="37"/>
  <c r="AO114" i="37"/>
  <c r="U114" i="37" s="1"/>
  <c r="AP49" i="37"/>
  <c r="BG33" i="37"/>
  <c r="U48" i="37"/>
  <c r="AP48" i="37"/>
  <c r="U41" i="37"/>
  <c r="AP41" i="37"/>
  <c r="AK599" i="37"/>
  <c r="AM139" i="37"/>
  <c r="AM138" i="37" s="1"/>
  <c r="S138" i="37"/>
  <c r="BC144" i="37"/>
  <c r="AN803" i="37"/>
  <c r="V866" i="37"/>
  <c r="F866" i="37" s="1"/>
  <c r="P895" i="37"/>
  <c r="V902" i="37"/>
  <c r="F902" i="37"/>
  <c r="BB132" i="37"/>
  <c r="AR133" i="37"/>
  <c r="AR132" i="37" s="1"/>
  <c r="BC156" i="37"/>
  <c r="S599" i="37"/>
  <c r="T76" i="37"/>
  <c r="T219" i="37" a="1"/>
  <c r="T219" i="37" s="1"/>
  <c r="T559" i="37"/>
  <c r="AL590" i="37"/>
  <c r="AL591" i="37"/>
  <c r="AL592" i="37"/>
  <c r="AL601" i="37"/>
  <c r="AL627" i="37"/>
  <c r="T622" i="37"/>
  <c r="T571" i="37"/>
  <c r="AL619" i="37"/>
  <c r="T603" i="37"/>
  <c r="AL600" i="37"/>
  <c r="AL507" i="37"/>
  <c r="S501" i="37"/>
  <c r="S594" i="37"/>
  <c r="S593" i="37" s="1"/>
  <c r="U19" i="37"/>
  <c r="U210" i="37" s="1" a="1"/>
  <c r="U210" i="37" s="1"/>
  <c r="AO109" i="37"/>
  <c r="U109" i="37" s="1"/>
  <c r="AP19" i="37"/>
  <c r="U189" i="37" a="1"/>
  <c r="U189" i="37" s="1"/>
  <c r="U195" i="37" a="1"/>
  <c r="U195" i="37" s="1"/>
  <c r="U187" i="37" a="1"/>
  <c r="U187" i="37" s="1"/>
  <c r="U201" i="37" a="1"/>
  <c r="U201" i="37" s="1"/>
  <c r="U186" i="37" a="1"/>
  <c r="U186" i="37" s="1"/>
  <c r="U199" i="37" a="1"/>
  <c r="U199" i="37" s="1"/>
  <c r="U202" i="37" a="1"/>
  <c r="U202" i="37" s="1"/>
  <c r="U203" i="37" a="1"/>
  <c r="U203" i="37" s="1"/>
  <c r="U183" i="37" a="1"/>
  <c r="U183" i="37" s="1"/>
  <c r="U193" i="37" a="1"/>
  <c r="U193" i="37" s="1"/>
  <c r="U205" i="37" a="1"/>
  <c r="U205" i="37" s="1"/>
  <c r="U184" i="37" a="1"/>
  <c r="U184" i="37" s="1"/>
  <c r="U192" i="37" a="1"/>
  <c r="U192" i="37" s="1"/>
  <c r="U185" i="37" a="1"/>
  <c r="U185" i="37" s="1"/>
  <c r="U191" i="37" a="1"/>
  <c r="U191" i="37" s="1"/>
  <c r="U197" i="37" a="1"/>
  <c r="U197" i="37" s="1"/>
  <c r="U190" i="37" a="1"/>
  <c r="U190" i="37" s="1"/>
  <c r="U204" i="37" a="1"/>
  <c r="U204" i="37" s="1"/>
  <c r="U196" i="37" a="1"/>
  <c r="U196" i="37" s="1"/>
  <c r="U198" i="37" a="1"/>
  <c r="U198" i="37" s="1"/>
  <c r="U29" i="37"/>
  <c r="U220" i="37" s="1" a="1"/>
  <c r="U220" i="37" s="1"/>
  <c r="AP29" i="37"/>
  <c r="U44" i="37"/>
  <c r="AP44" i="37"/>
  <c r="U35" i="37"/>
  <c r="AP35" i="37"/>
  <c r="AK623" i="37"/>
  <c r="AN470" i="37" l="1"/>
  <c r="AN471" i="37"/>
  <c r="F865" i="37"/>
  <c r="C883" i="51" a="1"/>
  <c r="C883" i="51" s="1"/>
  <c r="D158" i="51"/>
  <c r="D168" i="51" s="1"/>
  <c r="D217" i="51"/>
  <c r="D156" i="51" a="1"/>
  <c r="D156" i="51" s="1"/>
  <c r="V888" i="37"/>
  <c r="C233" i="51" s="1" a="1"/>
  <c r="C233" i="51" s="1"/>
  <c r="C232" i="51" s="1"/>
  <c r="F888" i="37"/>
  <c r="C168" i="51"/>
  <c r="AN482" i="37"/>
  <c r="C219" i="51" a="1"/>
  <c r="C219" i="51" s="1"/>
  <c r="D147" i="51"/>
  <c r="C132" i="51"/>
  <c r="C147" i="51" s="1"/>
  <c r="H147" i="51"/>
  <c r="G147" i="51"/>
  <c r="F147" i="51"/>
  <c r="E147" i="51"/>
  <c r="C217" i="51"/>
  <c r="E935" i="51" a="1"/>
  <c r="E935" i="51" s="1"/>
  <c r="C112" i="51" a="1"/>
  <c r="C157" i="51"/>
  <c r="C166" i="51"/>
  <c r="C231" i="51" a="1"/>
  <c r="C231" i="51" s="1"/>
  <c r="AN480" i="37"/>
  <c r="AN483" i="37"/>
  <c r="AN479" i="37"/>
  <c r="AN463" i="37"/>
  <c r="U626" i="37"/>
  <c r="AM391" i="37"/>
  <c r="AM483" i="37" s="1"/>
  <c r="AN489" i="37"/>
  <c r="AN486" i="37"/>
  <c r="AN485" i="37"/>
  <c r="AN487" i="37"/>
  <c r="AM385" i="37"/>
  <c r="AM477" i="37" s="1"/>
  <c r="AM372" i="37"/>
  <c r="AM464" i="37" s="1"/>
  <c r="AM361" i="37"/>
  <c r="AM453" i="37" s="1"/>
  <c r="AM373" i="37"/>
  <c r="AM465" i="37" s="1"/>
  <c r="AM390" i="37"/>
  <c r="AM482" i="37" s="1"/>
  <c r="AM397" i="37"/>
  <c r="AM489" i="37" s="1"/>
  <c r="AM384" i="37"/>
  <c r="AM476" i="37" s="1"/>
  <c r="AM360" i="37"/>
  <c r="AM452" i="37" s="1"/>
  <c r="AM378" i="37"/>
  <c r="AM470" i="37" s="1"/>
  <c r="AM366" i="37"/>
  <c r="AM458" i="37" s="1"/>
  <c r="AM506" i="37"/>
  <c r="AM505" i="37"/>
  <c r="AM551" i="37"/>
  <c r="AM552" i="37"/>
  <c r="AN465" i="37"/>
  <c r="AM396" i="37"/>
  <c r="AM488" i="37" s="1"/>
  <c r="AM379" i="37"/>
  <c r="AM471" i="37" s="1"/>
  <c r="AN464" i="37"/>
  <c r="AN461" i="37"/>
  <c r="AM367" i="37"/>
  <c r="AM459" i="37" s="1"/>
  <c r="G107" i="48"/>
  <c r="H107" i="48"/>
  <c r="I107" i="48"/>
  <c r="J107" i="48"/>
  <c r="K107" i="48"/>
  <c r="F107" i="48"/>
  <c r="E135" i="48"/>
  <c r="E105" i="48"/>
  <c r="F140" i="48"/>
  <c r="G140" i="48"/>
  <c r="J140" i="48"/>
  <c r="I140" i="48"/>
  <c r="C186" i="48" a="1"/>
  <c r="C186" i="48" s="1"/>
  <c r="K140" i="48"/>
  <c r="H140" i="48"/>
  <c r="C181" i="48" a="1"/>
  <c r="C181" i="48" s="1"/>
  <c r="C191" i="48" a="1"/>
  <c r="C191" i="48" s="1"/>
  <c r="E96" i="48"/>
  <c r="K136" i="48"/>
  <c r="I136" i="48"/>
  <c r="F136" i="48"/>
  <c r="J136" i="48"/>
  <c r="H136" i="48"/>
  <c r="G136" i="48"/>
  <c r="E98" i="48" a="1"/>
  <c r="FX32" i="28"/>
  <c r="ET32" i="28"/>
  <c r="R949" i="37"/>
  <c r="Q986" i="37"/>
  <c r="R818" i="37"/>
  <c r="R820" i="37"/>
  <c r="R819" i="37"/>
  <c r="R977" i="37"/>
  <c r="Q821" i="37"/>
  <c r="R987" i="37"/>
  <c r="R828" i="37"/>
  <c r="R866" i="37"/>
  <c r="AJ803" i="37"/>
  <c r="R822" i="37"/>
  <c r="R935" i="37"/>
  <c r="R990" i="37"/>
  <c r="R856" i="37"/>
  <c r="R849" i="37"/>
  <c r="R893" i="37"/>
  <c r="AL380" i="37"/>
  <c r="S854" i="37"/>
  <c r="S857" i="37"/>
  <c r="AM394" i="37"/>
  <c r="AM486" i="37" s="1"/>
  <c r="R814" i="37"/>
  <c r="AL473" i="37"/>
  <c r="AL472" i="37" s="1"/>
  <c r="U970" i="37"/>
  <c r="R842" i="37"/>
  <c r="S871" i="37"/>
  <c r="S756" i="37"/>
  <c r="S816" i="37" s="1"/>
  <c r="AK803" i="37" s="1"/>
  <c r="S852" i="37"/>
  <c r="S972" i="37" s="1"/>
  <c r="S965" i="37" s="1"/>
  <c r="S964" i="37" s="1"/>
  <c r="S977" i="37" s="1"/>
  <c r="U357" i="37"/>
  <c r="V357" i="37" s="1"/>
  <c r="AK804" i="37"/>
  <c r="S867" i="37"/>
  <c r="S827" i="37"/>
  <c r="S825" i="37"/>
  <c r="S829" i="37"/>
  <c r="S824" i="37"/>
  <c r="S916" i="37" s="1"/>
  <c r="S909" i="37" s="1"/>
  <c r="S908" i="37" s="1"/>
  <c r="S987" i="37" s="1"/>
  <c r="S826" i="37"/>
  <c r="U384" i="37"/>
  <c r="U476" i="37" s="1"/>
  <c r="AK808" i="37"/>
  <c r="R835" i="37"/>
  <c r="U790" i="37"/>
  <c r="U789" i="37" s="1"/>
  <c r="U788" i="37" s="1"/>
  <c r="AM363" i="37"/>
  <c r="AM455" i="37" s="1"/>
  <c r="AM375" i="37"/>
  <c r="AM467" i="37" s="1"/>
  <c r="AM370" i="37"/>
  <c r="AM462" i="37" s="1"/>
  <c r="S853" i="37"/>
  <c r="AM388" i="37"/>
  <c r="AM480" i="37" s="1"/>
  <c r="AM389" i="37"/>
  <c r="AM481" i="37" s="1"/>
  <c r="S812" i="37"/>
  <c r="S810" i="37"/>
  <c r="S888" i="37" s="1"/>
  <c r="S881" i="37" s="1"/>
  <c r="S880" i="37" s="1"/>
  <c r="S893" i="37" s="1"/>
  <c r="S815" i="37"/>
  <c r="S811" i="37"/>
  <c r="S813" i="37"/>
  <c r="AK802" i="37"/>
  <c r="S865" i="37"/>
  <c r="S847" i="37"/>
  <c r="S846" i="37"/>
  <c r="S848" i="37"/>
  <c r="S845" i="37"/>
  <c r="S958" i="37" s="1"/>
  <c r="S951" i="37" s="1"/>
  <c r="S950" i="37" s="1"/>
  <c r="S990" i="37" s="1"/>
  <c r="AK807" i="37"/>
  <c r="S870" i="37"/>
  <c r="S850" i="37"/>
  <c r="S831" i="37"/>
  <c r="S930" i="37" s="1"/>
  <c r="S923" i="37" s="1"/>
  <c r="S922" i="37" s="1"/>
  <c r="S935" i="37" s="1"/>
  <c r="S834" i="37"/>
  <c r="S868" i="37"/>
  <c r="AK805" i="37"/>
  <c r="S832" i="37"/>
  <c r="S836" i="37"/>
  <c r="S833" i="37"/>
  <c r="S838" i="37"/>
  <c r="S944" i="37" s="1"/>
  <c r="S937" i="37" s="1"/>
  <c r="S936" i="37" s="1"/>
  <c r="S989" i="37" s="1"/>
  <c r="AK806" i="37"/>
  <c r="S843" i="37"/>
  <c r="S841" i="37"/>
  <c r="S839" i="37"/>
  <c r="S840" i="37"/>
  <c r="S869" i="37"/>
  <c r="T940" i="37"/>
  <c r="AL467" i="37"/>
  <c r="AL466" i="37" s="1"/>
  <c r="AL374" i="37"/>
  <c r="Q944" i="37"/>
  <c r="Q937" i="37" s="1"/>
  <c r="Q936" i="37" s="1"/>
  <c r="Q842" i="37"/>
  <c r="AM369" i="37"/>
  <c r="AM383" i="37"/>
  <c r="AM475" i="37" s="1"/>
  <c r="AM365" i="37"/>
  <c r="AM457" i="37" s="1"/>
  <c r="U375" i="37"/>
  <c r="U391" i="37"/>
  <c r="U378" i="37"/>
  <c r="U901" i="37" a="1"/>
  <c r="U901" i="37" s="1"/>
  <c r="U382" i="37"/>
  <c r="U385" i="37"/>
  <c r="U927" i="37" a="1"/>
  <c r="U927" i="37" s="1"/>
  <c r="U794" i="37"/>
  <c r="U793" i="37" s="1"/>
  <c r="U792" i="37" s="1"/>
  <c r="AL485" i="37"/>
  <c r="AL484" i="37" s="1"/>
  <c r="AL392" i="37"/>
  <c r="T472" i="37"/>
  <c r="AM357" i="37"/>
  <c r="AM395" i="37"/>
  <c r="AM487" i="37" s="1"/>
  <c r="AM382" i="37"/>
  <c r="AM474" i="37" s="1"/>
  <c r="U363" i="37"/>
  <c r="U376" i="37"/>
  <c r="U372" i="37"/>
  <c r="U957" i="37" a="1"/>
  <c r="U957" i="37" s="1"/>
  <c r="U358" i="37"/>
  <c r="U389" i="37"/>
  <c r="U913" i="37" a="1"/>
  <c r="U913" i="37" s="1"/>
  <c r="U782" i="37"/>
  <c r="U781" i="37" s="1"/>
  <c r="U780" i="37" s="1"/>
  <c r="Q958" i="37"/>
  <c r="Q951" i="37" s="1"/>
  <c r="Q950" i="37" s="1"/>
  <c r="Q849" i="37"/>
  <c r="AL386" i="37"/>
  <c r="AL479" i="37"/>
  <c r="AL478" i="37" s="1"/>
  <c r="AM393" i="37"/>
  <c r="AM358" i="37"/>
  <c r="AM450" i="37" s="1"/>
  <c r="U383" i="37"/>
  <c r="U367" i="37"/>
  <c r="U390" i="37"/>
  <c r="U942" i="37"/>
  <c r="U915" i="37" a="1"/>
  <c r="U915" i="37" s="1"/>
  <c r="U379" i="37"/>
  <c r="U885" i="37" a="1"/>
  <c r="U885" i="37" s="1"/>
  <c r="T884" i="37"/>
  <c r="T368" i="37"/>
  <c r="T757" i="37" s="1"/>
  <c r="T823" i="37" s="1"/>
  <c r="T461" i="37"/>
  <c r="T460" i="37" s="1"/>
  <c r="T479" i="37"/>
  <c r="T478" i="37" s="1"/>
  <c r="T386" i="37"/>
  <c r="T760" i="37" s="1"/>
  <c r="T844" i="37" s="1"/>
  <c r="FX35" i="28"/>
  <c r="ET35" i="28"/>
  <c r="AM387" i="37"/>
  <c r="AM364" i="37"/>
  <c r="AM456" i="37" s="1"/>
  <c r="U393" i="37"/>
  <c r="U365" i="37"/>
  <c r="U914" i="37"/>
  <c r="U361" i="37"/>
  <c r="U928" i="37"/>
  <c r="U371" i="37"/>
  <c r="U943" i="37" a="1"/>
  <c r="U943" i="37" s="1"/>
  <c r="O922" i="37"/>
  <c r="V922" i="37"/>
  <c r="FX33" i="28"/>
  <c r="ET33" i="28"/>
  <c r="T392" i="37"/>
  <c r="T761" i="37" s="1"/>
  <c r="T851" i="37" s="1"/>
  <c r="T485" i="37"/>
  <c r="T484" i="37" s="1"/>
  <c r="AM381" i="37"/>
  <c r="AM359" i="37"/>
  <c r="AM451" i="37" s="1"/>
  <c r="U369" i="37"/>
  <c r="U364" i="37"/>
  <c r="U395" i="37"/>
  <c r="U373" i="37"/>
  <c r="U886" i="37"/>
  <c r="U396" i="37"/>
  <c r="U941" i="37" a="1"/>
  <c r="U941" i="37" s="1"/>
  <c r="U778" i="37"/>
  <c r="U777" i="37" s="1"/>
  <c r="U776" i="37" s="1"/>
  <c r="T362" i="37"/>
  <c r="T455" i="37"/>
  <c r="T454" i="37" s="1"/>
  <c r="T968" i="37"/>
  <c r="T954" i="37"/>
  <c r="T898" i="37"/>
  <c r="T356" i="37"/>
  <c r="T755" i="37" s="1"/>
  <c r="T809" i="37" s="1"/>
  <c r="T449" i="37"/>
  <c r="T448" i="37" s="1"/>
  <c r="AM371" i="37"/>
  <c r="AM463" i="37" s="1"/>
  <c r="U381" i="37"/>
  <c r="U956" i="37"/>
  <c r="U360" i="37"/>
  <c r="U887" i="37" a="1"/>
  <c r="U887" i="37" s="1"/>
  <c r="U359" i="37"/>
  <c r="U900" i="37"/>
  <c r="U899" i="37" a="1"/>
  <c r="U899" i="37" s="1"/>
  <c r="U786" i="37"/>
  <c r="U785" i="37" s="1"/>
  <c r="U784" i="37" s="1"/>
  <c r="AL455" i="37"/>
  <c r="AL454" i="37" s="1"/>
  <c r="AL362" i="37"/>
  <c r="T926" i="37"/>
  <c r="T467" i="37"/>
  <c r="T466" i="37" s="1"/>
  <c r="T374" i="37"/>
  <c r="T758" i="37" s="1"/>
  <c r="T830" i="37" s="1"/>
  <c r="U388" i="37"/>
  <c r="U397" i="37"/>
  <c r="U394" i="37"/>
  <c r="U955" i="37" a="1"/>
  <c r="U955" i="37" s="1"/>
  <c r="U770" i="37"/>
  <c r="U769" i="37" s="1"/>
  <c r="U768" i="37" s="1"/>
  <c r="T912" i="37"/>
  <c r="AL368" i="37"/>
  <c r="AL461" i="37"/>
  <c r="AL460" i="37" s="1"/>
  <c r="AM377" i="37"/>
  <c r="AM469" i="37" s="1"/>
  <c r="AM376" i="37"/>
  <c r="AM468" i="37" s="1"/>
  <c r="U387" i="37"/>
  <c r="U929" i="37" a="1"/>
  <c r="U929" i="37" s="1"/>
  <c r="U370" i="37"/>
  <c r="U366" i="37"/>
  <c r="U377" i="37"/>
  <c r="U971" i="37" a="1"/>
  <c r="U971" i="37" s="1"/>
  <c r="U969" i="37" a="1"/>
  <c r="U969" i="37" s="1"/>
  <c r="U774" i="37"/>
  <c r="U773" i="37" s="1"/>
  <c r="U772" i="37" s="1"/>
  <c r="AL356" i="37"/>
  <c r="AL449" i="37"/>
  <c r="AL448" i="37" s="1"/>
  <c r="T380" i="37"/>
  <c r="T759" i="37" s="1"/>
  <c r="T837" i="37" s="1"/>
  <c r="AM615" i="37"/>
  <c r="U73" i="37"/>
  <c r="F73" i="37" s="1"/>
  <c r="U613" i="37"/>
  <c r="F77" i="37"/>
  <c r="U74" i="37"/>
  <c r="F74" i="37" s="1"/>
  <c r="F86" i="37"/>
  <c r="U207" i="37" a="1"/>
  <c r="U207" i="37" s="1"/>
  <c r="U206" i="37" s="1"/>
  <c r="U917" i="37"/>
  <c r="T661" i="37"/>
  <c r="U601" i="37"/>
  <c r="U610" i="37"/>
  <c r="T206" i="37"/>
  <c r="AM602" i="37"/>
  <c r="T623" i="37"/>
  <c r="U577" i="37"/>
  <c r="U222" i="37" a="1"/>
  <c r="U222" i="37" s="1"/>
  <c r="U218" i="37" s="1"/>
  <c r="BD162" i="37"/>
  <c r="U607" i="37"/>
  <c r="T599" i="37"/>
  <c r="BD126" i="37"/>
  <c r="AL595" i="37"/>
  <c r="U608" i="37"/>
  <c r="U146" i="37"/>
  <c r="AO146" i="37" s="1"/>
  <c r="U657" i="37" a="1"/>
  <c r="U657" i="37" s="1"/>
  <c r="U666" i="37" a="1"/>
  <c r="U666" i="37" s="1"/>
  <c r="U155" i="37"/>
  <c r="AO155" i="37" s="1"/>
  <c r="U641" i="37" a="1"/>
  <c r="U641" i="37" s="1"/>
  <c r="U130" i="37"/>
  <c r="AO130" i="37" s="1"/>
  <c r="U677" i="37" a="1"/>
  <c r="U677" i="37" s="1"/>
  <c r="U166" i="37"/>
  <c r="AO166" i="37" s="1"/>
  <c r="AL501" i="37"/>
  <c r="AL594" i="37"/>
  <c r="BD144" i="37"/>
  <c r="T617" i="37"/>
  <c r="T655" i="37"/>
  <c r="BD138" i="37"/>
  <c r="R907" i="37"/>
  <c r="R986" i="37"/>
  <c r="AM559" i="37"/>
  <c r="AM613" i="37"/>
  <c r="U602" i="37"/>
  <c r="U547" i="37"/>
  <c r="AM592" i="37"/>
  <c r="AM619" i="37"/>
  <c r="U590" i="37"/>
  <c r="U604" i="37"/>
  <c r="U588" i="37"/>
  <c r="U495" i="37"/>
  <c r="U973" i="37"/>
  <c r="T65" i="37"/>
  <c r="AN139" i="37"/>
  <c r="AN138" i="37" s="1"/>
  <c r="T138" i="37"/>
  <c r="U650" i="37" a="1"/>
  <c r="U650" i="37" s="1"/>
  <c r="U139" i="37"/>
  <c r="U27" i="37"/>
  <c r="U63" i="37" s="1"/>
  <c r="U151" i="37"/>
  <c r="U39" i="37"/>
  <c r="U65" i="37" s="1"/>
  <c r="U662" i="37" a="1"/>
  <c r="U662" i="37" s="1"/>
  <c r="AL605" i="37"/>
  <c r="AL547" i="37"/>
  <c r="U137" i="37"/>
  <c r="AO137" i="37" s="1"/>
  <c r="U648" i="37" a="1"/>
  <c r="U648" i="37" s="1"/>
  <c r="U76" i="37"/>
  <c r="F76" i="37" s="1"/>
  <c r="U143" i="37"/>
  <c r="AO143" i="37" s="1"/>
  <c r="U654" i="37" a="1"/>
  <c r="U654" i="37" s="1"/>
  <c r="T587" i="37"/>
  <c r="U145" i="37"/>
  <c r="U656" i="37" a="1"/>
  <c r="U656" i="37" s="1"/>
  <c r="U33" i="37"/>
  <c r="U64" i="37" s="1"/>
  <c r="U75" i="37"/>
  <c r="F75" i="37" s="1"/>
  <c r="U135" i="37"/>
  <c r="AO135" i="37" s="1"/>
  <c r="U646" i="37" a="1"/>
  <c r="U646" i="37" s="1"/>
  <c r="U642" i="37" a="1"/>
  <c r="U642" i="37" s="1"/>
  <c r="U131" i="37"/>
  <c r="AO131" i="37" s="1"/>
  <c r="AM621" i="37"/>
  <c r="AM624" i="37"/>
  <c r="AM531" i="37"/>
  <c r="AM606" i="37"/>
  <c r="AM513" i="37"/>
  <c r="AM618" i="37"/>
  <c r="AM525" i="37"/>
  <c r="U615" i="37"/>
  <c r="AM577" i="37"/>
  <c r="U603" i="37"/>
  <c r="U589" i="37"/>
  <c r="U182" i="37"/>
  <c r="T218" i="37"/>
  <c r="BE139" i="37"/>
  <c r="BE142" i="37"/>
  <c r="BE143" i="37"/>
  <c r="BE141" i="37"/>
  <c r="BE140" i="37"/>
  <c r="U149" i="37"/>
  <c r="AO149" i="37" s="1"/>
  <c r="U660" i="37" a="1"/>
  <c r="U660" i="37" s="1"/>
  <c r="T611" i="37"/>
  <c r="T594" i="37"/>
  <c r="T593" i="37" s="1"/>
  <c r="T501" i="37"/>
  <c r="BE147" i="37"/>
  <c r="BE146" i="37"/>
  <c r="BE145" i="37"/>
  <c r="BE148" i="37"/>
  <c r="BE149" i="37"/>
  <c r="U154" i="37"/>
  <c r="AO154" i="37" s="1"/>
  <c r="U665" i="37" a="1"/>
  <c r="U665" i="37" s="1"/>
  <c r="AL587" i="37"/>
  <c r="AN151" i="37"/>
  <c r="AN150" i="37" s="1"/>
  <c r="T150" i="37"/>
  <c r="AN145" i="37"/>
  <c r="AN144" i="37" s="1"/>
  <c r="T144" i="37"/>
  <c r="AL623" i="37"/>
  <c r="U614" i="37"/>
  <c r="AM548" i="37"/>
  <c r="U502" i="37"/>
  <c r="U904" i="37" a="1"/>
  <c r="U904" i="37" s="1"/>
  <c r="AM504" i="37"/>
  <c r="AM502" i="37"/>
  <c r="AM549" i="37"/>
  <c r="U505" i="37"/>
  <c r="U597" i="37" s="1"/>
  <c r="U506" i="37"/>
  <c r="U598" i="37" s="1"/>
  <c r="AM550" i="37"/>
  <c r="U905" i="37"/>
  <c r="AM503" i="37"/>
  <c r="U503" i="37"/>
  <c r="U595" i="37" s="1"/>
  <c r="U906" i="37" a="1"/>
  <c r="U906" i="37" s="1"/>
  <c r="U504" i="37"/>
  <c r="U596" i="37" s="1"/>
  <c r="AM609" i="37"/>
  <c r="U620" i="37"/>
  <c r="AM553" i="37"/>
  <c r="U621" i="37"/>
  <c r="U592" i="37"/>
  <c r="U507" i="37"/>
  <c r="U600" i="37"/>
  <c r="U889" i="37"/>
  <c r="P977" i="37"/>
  <c r="P991" i="37"/>
  <c r="F991" i="37" s="1"/>
  <c r="F964" i="37"/>
  <c r="P921" i="37"/>
  <c r="P987" i="37"/>
  <c r="F987" i="37" s="1"/>
  <c r="F908" i="37"/>
  <c r="U194" i="37"/>
  <c r="P880" i="37"/>
  <c r="V880" i="37"/>
  <c r="U160" i="37"/>
  <c r="AO160" i="37" s="1"/>
  <c r="U671" i="37" a="1"/>
  <c r="U671" i="37" s="1"/>
  <c r="AL597" i="37"/>
  <c r="AL598" i="37"/>
  <c r="BE163" i="37"/>
  <c r="BE164" i="37"/>
  <c r="BE165" i="37"/>
  <c r="BE167" i="37"/>
  <c r="BE166" i="37"/>
  <c r="BE133" i="37"/>
  <c r="BE135" i="37"/>
  <c r="BE134" i="37"/>
  <c r="BE136" i="37"/>
  <c r="BE137" i="37"/>
  <c r="U161" i="37"/>
  <c r="AO161" i="37" s="1"/>
  <c r="U672" i="37" a="1"/>
  <c r="U672" i="37" s="1"/>
  <c r="BE160" i="37"/>
  <c r="BE161" i="37"/>
  <c r="BE158" i="37"/>
  <c r="BE157" i="37"/>
  <c r="BE159" i="37"/>
  <c r="U645" i="37" a="1"/>
  <c r="U645" i="37" s="1"/>
  <c r="U134" i="37"/>
  <c r="AO134" i="37" s="1"/>
  <c r="U647" i="37" a="1"/>
  <c r="U647" i="37" s="1"/>
  <c r="U136" i="37"/>
  <c r="AO136" i="37" s="1"/>
  <c r="U675" i="37" a="1"/>
  <c r="U675" i="37" s="1"/>
  <c r="U164" i="37"/>
  <c r="AO164" i="37" s="1"/>
  <c r="AM604" i="37"/>
  <c r="U619" i="37"/>
  <c r="AM622" i="37"/>
  <c r="AM603" i="37"/>
  <c r="U541" i="37"/>
  <c r="U622" i="37"/>
  <c r="AM607" i="37"/>
  <c r="AM610" i="37"/>
  <c r="U553" i="37"/>
  <c r="U531" i="37"/>
  <c r="U624" i="37"/>
  <c r="AK593" i="37"/>
  <c r="BD156" i="37"/>
  <c r="U212" i="37"/>
  <c r="U188" i="37"/>
  <c r="P894" i="37"/>
  <c r="V894" i="37"/>
  <c r="T903" i="37"/>
  <c r="F85" i="37"/>
  <c r="U128" i="37"/>
  <c r="AO128" i="37" s="1"/>
  <c r="U639" i="37" a="1"/>
  <c r="U639" i="37" s="1"/>
  <c r="AN133" i="37"/>
  <c r="AN132" i="37" s="1"/>
  <c r="T132" i="37"/>
  <c r="U609" i="37"/>
  <c r="AM616" i="37"/>
  <c r="U571" i="37"/>
  <c r="AM565" i="37"/>
  <c r="U931" i="37"/>
  <c r="AM588" i="37"/>
  <c r="AM495" i="37"/>
  <c r="AM614" i="37"/>
  <c r="AM541" i="37"/>
  <c r="U945" i="37"/>
  <c r="U644" i="37" a="1"/>
  <c r="U644" i="37" s="1"/>
  <c r="U133" i="37"/>
  <c r="U21" i="37"/>
  <c r="U62" i="37" s="1"/>
  <c r="P963" i="37"/>
  <c r="P990" i="37"/>
  <c r="F990" i="37" s="1"/>
  <c r="F950" i="37"/>
  <c r="T126" i="37"/>
  <c r="AN127" i="37"/>
  <c r="AN126" i="37" s="1"/>
  <c r="T667" i="37"/>
  <c r="U200" i="37"/>
  <c r="U663" i="37" a="1"/>
  <c r="U663" i="37" s="1"/>
  <c r="U152" i="37"/>
  <c r="AO152" i="37" s="1"/>
  <c r="U658" i="37" a="1"/>
  <c r="U658" i="37" s="1"/>
  <c r="U147" i="37"/>
  <c r="AO147" i="37" s="1"/>
  <c r="U165" i="37"/>
  <c r="AO165" i="37" s="1"/>
  <c r="U676" i="37" a="1"/>
  <c r="U676" i="37" s="1"/>
  <c r="AL611" i="37"/>
  <c r="U167" i="37"/>
  <c r="AO167" i="37" s="1"/>
  <c r="U678" i="37" a="1"/>
  <c r="U678" i="37" s="1"/>
  <c r="AL617" i="37"/>
  <c r="AM591" i="37"/>
  <c r="AM625" i="37"/>
  <c r="AM589" i="37"/>
  <c r="AM601" i="37"/>
  <c r="U612" i="37"/>
  <c r="U519" i="37"/>
  <c r="AM571" i="37"/>
  <c r="U525" i="37"/>
  <c r="U618" i="37"/>
  <c r="U653" i="37" a="1"/>
  <c r="U653" i="37" s="1"/>
  <c r="U142" i="37"/>
  <c r="AO142" i="37" s="1"/>
  <c r="T673" i="37"/>
  <c r="T637" i="37"/>
  <c r="T643" i="37"/>
  <c r="U959" i="37"/>
  <c r="AM519" i="37"/>
  <c r="AM612" i="37"/>
  <c r="U628" i="37"/>
  <c r="AM628" i="37"/>
  <c r="AM590" i="37"/>
  <c r="U591" i="37"/>
  <c r="U606" i="37"/>
  <c r="U513" i="37"/>
  <c r="AM627" i="37"/>
  <c r="U616" i="37"/>
  <c r="BD132" i="37"/>
  <c r="T605" i="37"/>
  <c r="BE130" i="37"/>
  <c r="BE127" i="37"/>
  <c r="BE129" i="37"/>
  <c r="BE131" i="37"/>
  <c r="BE128" i="37"/>
  <c r="T649" i="37"/>
  <c r="U651" i="37" a="1"/>
  <c r="U651" i="37" s="1"/>
  <c r="U140" i="37"/>
  <c r="AO140" i="37" s="1"/>
  <c r="AL599" i="37"/>
  <c r="U159" i="37"/>
  <c r="AO159" i="37" s="1"/>
  <c r="U670" i="37" a="1"/>
  <c r="U670" i="37" s="1"/>
  <c r="T62" i="37"/>
  <c r="AL596" i="37"/>
  <c r="BD150" i="37"/>
  <c r="U129" i="37"/>
  <c r="AO129" i="37" s="1"/>
  <c r="U640" i="37" a="1"/>
  <c r="U640" i="37" s="1"/>
  <c r="U668" i="37" a="1"/>
  <c r="U668" i="37" s="1"/>
  <c r="U157" i="37"/>
  <c r="U45" i="37"/>
  <c r="U66" i="37" s="1"/>
  <c r="U652" i="37" a="1"/>
  <c r="U652" i="37" s="1"/>
  <c r="U141" i="37"/>
  <c r="AO141" i="37" s="1"/>
  <c r="U87" i="37"/>
  <c r="F87" i="37" s="1"/>
  <c r="U669" i="37" a="1"/>
  <c r="U669" i="37" s="1"/>
  <c r="U158" i="37"/>
  <c r="AO158" i="37" s="1"/>
  <c r="U127" i="37"/>
  <c r="U638" i="37" a="1"/>
  <c r="U638" i="37" s="1"/>
  <c r="U15" i="37"/>
  <c r="U61" i="37" s="1"/>
  <c r="BE151" i="37"/>
  <c r="BE153" i="37"/>
  <c r="BE154" i="37"/>
  <c r="BE155" i="37"/>
  <c r="BE152" i="37"/>
  <c r="U83" i="37"/>
  <c r="F83" i="37" s="1"/>
  <c r="U659" i="37" a="1"/>
  <c r="U659" i="37" s="1"/>
  <c r="U148" i="37"/>
  <c r="AO148" i="37" s="1"/>
  <c r="U674" i="37" a="1"/>
  <c r="U674" i="37" s="1"/>
  <c r="U163" i="37"/>
  <c r="U51" i="37"/>
  <c r="U67" i="37" s="1"/>
  <c r="P949" i="37"/>
  <c r="P989" i="37"/>
  <c r="F989" i="37" s="1"/>
  <c r="F936" i="37"/>
  <c r="U82" i="37"/>
  <c r="F82" i="37" s="1"/>
  <c r="U153" i="37"/>
  <c r="AO153" i="37" s="1"/>
  <c r="U664" i="37" a="1"/>
  <c r="U664" i="37" s="1"/>
  <c r="U625" i="37"/>
  <c r="AM620" i="37"/>
  <c r="AM600" i="37"/>
  <c r="AM507" i="37"/>
  <c r="AM626" i="37"/>
  <c r="U559" i="37"/>
  <c r="U565" i="37"/>
  <c r="U627" i="37"/>
  <c r="AM608" i="37"/>
  <c r="AN163" i="37"/>
  <c r="AN162" i="37" s="1"/>
  <c r="T162" i="37"/>
  <c r="AN157" i="37"/>
  <c r="AN156" i="37" s="1"/>
  <c r="T156" i="37"/>
  <c r="C792" i="51" l="1" a="1"/>
  <c r="C792" i="51" s="1"/>
  <c r="D166" i="51"/>
  <c r="D157" i="51"/>
  <c r="H792" i="51" a="1"/>
  <c r="H792" i="51" s="1"/>
  <c r="D232" i="51"/>
  <c r="E956" i="51" a="1"/>
  <c r="E956" i="51" s="1"/>
  <c r="Q956" i="51" s="1"/>
  <c r="C159" i="51"/>
  <c r="C167" i="51"/>
  <c r="H122" i="51"/>
  <c r="E127" i="51"/>
  <c r="G127" i="51"/>
  <c r="H125" i="51"/>
  <c r="H124" i="51"/>
  <c r="H126" i="51"/>
  <c r="E128" i="51"/>
  <c r="H120" i="51"/>
  <c r="D128" i="51"/>
  <c r="H113" i="51"/>
  <c r="F127" i="51"/>
  <c r="H118" i="51"/>
  <c r="D127" i="51"/>
  <c r="H121" i="51"/>
  <c r="H114" i="51"/>
  <c r="H119" i="51"/>
  <c r="H116" i="51"/>
  <c r="F128" i="51"/>
  <c r="C112" i="51"/>
  <c r="H112" i="51" s="1"/>
  <c r="G128" i="51"/>
  <c r="H115" i="51"/>
  <c r="H123" i="51"/>
  <c r="H117" i="51"/>
  <c r="E957" i="51" a="1"/>
  <c r="E136" i="48"/>
  <c r="E107" i="48"/>
  <c r="C153" i="48" a="1"/>
  <c r="C153" i="48" s="1"/>
  <c r="C154" i="48" a="1"/>
  <c r="C154" i="48" s="1"/>
  <c r="E98" i="48"/>
  <c r="E137" i="48" s="1"/>
  <c r="K137" i="48"/>
  <c r="H137" i="48"/>
  <c r="F137" i="48"/>
  <c r="G137" i="48"/>
  <c r="I137" i="48"/>
  <c r="J137" i="48"/>
  <c r="R821" i="37"/>
  <c r="S856" i="37"/>
  <c r="S949" i="37"/>
  <c r="U449" i="37"/>
  <c r="S991" i="37"/>
  <c r="S842" i="37"/>
  <c r="S820" i="37"/>
  <c r="S819" i="37"/>
  <c r="S866" i="37"/>
  <c r="S817" i="37"/>
  <c r="S902" i="37" s="1"/>
  <c r="S895" i="37" s="1"/>
  <c r="S894" i="37" s="1"/>
  <c r="S986" i="37" s="1"/>
  <c r="S921" i="37"/>
  <c r="S818" i="37"/>
  <c r="U884" i="37"/>
  <c r="S822" i="37"/>
  <c r="T756" i="37"/>
  <c r="T816" i="37" s="1"/>
  <c r="T820" i="37" s="1"/>
  <c r="AM454" i="37"/>
  <c r="AM362" i="37"/>
  <c r="S828" i="37"/>
  <c r="S963" i="37"/>
  <c r="S849" i="37"/>
  <c r="S985" i="37"/>
  <c r="U356" i="37"/>
  <c r="V356" i="37" s="1"/>
  <c r="U968" i="37"/>
  <c r="U954" i="37"/>
  <c r="S814" i="37"/>
  <c r="U940" i="37"/>
  <c r="V384" i="37"/>
  <c r="S835" i="37"/>
  <c r="T845" i="37"/>
  <c r="T958" i="37" s="1"/>
  <c r="T951" i="37" s="1"/>
  <c r="T950" i="37" s="1"/>
  <c r="T990" i="37" s="1"/>
  <c r="AL807" i="37"/>
  <c r="T850" i="37"/>
  <c r="T846" i="37"/>
  <c r="T870" i="37"/>
  <c r="T848" i="37"/>
  <c r="T847" i="37"/>
  <c r="S988" i="37"/>
  <c r="AL804" i="37"/>
  <c r="T867" i="37"/>
  <c r="T824" i="37"/>
  <c r="T916" i="37" s="1"/>
  <c r="T909" i="37" s="1"/>
  <c r="T908" i="37" s="1"/>
  <c r="T921" i="37" s="1"/>
  <c r="T826" i="37"/>
  <c r="T829" i="37"/>
  <c r="T825" i="37"/>
  <c r="T827" i="37"/>
  <c r="T810" i="37"/>
  <c r="T888" i="37" s="1"/>
  <c r="T881" i="37" s="1"/>
  <c r="T880" i="37" s="1"/>
  <c r="T893" i="37" s="1"/>
  <c r="AL802" i="37"/>
  <c r="T812" i="37"/>
  <c r="T815" i="37"/>
  <c r="T865" i="37"/>
  <c r="T811" i="37"/>
  <c r="T813" i="37"/>
  <c r="T832" i="37"/>
  <c r="T868" i="37"/>
  <c r="T831" i="37"/>
  <c r="T930" i="37" s="1"/>
  <c r="T923" i="37" s="1"/>
  <c r="T922" i="37" s="1"/>
  <c r="T935" i="37" s="1"/>
  <c r="T834" i="37"/>
  <c r="T836" i="37"/>
  <c r="AL805" i="37"/>
  <c r="T833" i="37"/>
  <c r="T840" i="37"/>
  <c r="T869" i="37"/>
  <c r="T838" i="37"/>
  <c r="T944" i="37" s="1"/>
  <c r="T937" i="37" s="1"/>
  <c r="T936" i="37" s="1"/>
  <c r="T989" i="37" s="1"/>
  <c r="T843" i="37"/>
  <c r="AL806" i="37"/>
  <c r="T841" i="37"/>
  <c r="T839" i="37"/>
  <c r="T853" i="37"/>
  <c r="T857" i="37"/>
  <c r="T855" i="37"/>
  <c r="T852" i="37"/>
  <c r="T972" i="37" s="1"/>
  <c r="T965" i="37" s="1"/>
  <c r="T964" i="37" s="1"/>
  <c r="T977" i="37" s="1"/>
  <c r="T871" i="37"/>
  <c r="AL808" i="37"/>
  <c r="T854" i="37"/>
  <c r="U488" i="37"/>
  <c r="V396" i="37"/>
  <c r="O988" i="37"/>
  <c r="F988" i="37" s="1"/>
  <c r="O935" i="37"/>
  <c r="F922" i="37"/>
  <c r="U459" i="37"/>
  <c r="V367" i="37"/>
  <c r="U362" i="37"/>
  <c r="V362" i="37" s="1"/>
  <c r="U455" i="37"/>
  <c r="V363" i="37"/>
  <c r="U467" i="37"/>
  <c r="U374" i="37"/>
  <c r="V374" i="37" s="1"/>
  <c r="V375" i="37"/>
  <c r="U452" i="37"/>
  <c r="V360" i="37"/>
  <c r="AM479" i="37"/>
  <c r="AM478" i="37" s="1"/>
  <c r="AM386" i="37"/>
  <c r="U475" i="37"/>
  <c r="V383" i="37"/>
  <c r="U465" i="37"/>
  <c r="V373" i="37"/>
  <c r="U463" i="37"/>
  <c r="V371" i="37"/>
  <c r="U912" i="37"/>
  <c r="U926" i="37"/>
  <c r="U469" i="37"/>
  <c r="V377" i="37"/>
  <c r="U380" i="37"/>
  <c r="V380" i="37" s="1"/>
  <c r="U473" i="37"/>
  <c r="V381" i="37"/>
  <c r="U487" i="37"/>
  <c r="V395" i="37"/>
  <c r="AM392" i="37"/>
  <c r="AM485" i="37"/>
  <c r="AM484" i="37" s="1"/>
  <c r="U481" i="37"/>
  <c r="V389" i="37"/>
  <c r="AM449" i="37"/>
  <c r="AM448" i="37" s="1"/>
  <c r="AM356" i="37"/>
  <c r="U477" i="37"/>
  <c r="V385" i="37"/>
  <c r="AM461" i="37"/>
  <c r="AM460" i="37" s="1"/>
  <c r="AM368" i="37"/>
  <c r="U458" i="37"/>
  <c r="V366" i="37"/>
  <c r="U486" i="37"/>
  <c r="V394" i="37"/>
  <c r="AM466" i="37"/>
  <c r="U456" i="37"/>
  <c r="V364" i="37"/>
  <c r="U453" i="37"/>
  <c r="V361" i="37"/>
  <c r="U471" i="37"/>
  <c r="V379" i="37"/>
  <c r="U450" i="37"/>
  <c r="V358" i="37"/>
  <c r="U474" i="37"/>
  <c r="V382" i="37"/>
  <c r="V370" i="37"/>
  <c r="U462" i="37"/>
  <c r="U489" i="37"/>
  <c r="V397" i="37"/>
  <c r="AM374" i="37"/>
  <c r="U898" i="37"/>
  <c r="U368" i="37"/>
  <c r="V368" i="37" s="1"/>
  <c r="U461" i="37"/>
  <c r="V369" i="37"/>
  <c r="Q949" i="37"/>
  <c r="Q989" i="37"/>
  <c r="U480" i="37"/>
  <c r="V388" i="37"/>
  <c r="U457" i="37"/>
  <c r="V365" i="37"/>
  <c r="U464" i="37"/>
  <c r="V372" i="37"/>
  <c r="U470" i="37"/>
  <c r="V378" i="37"/>
  <c r="U386" i="37"/>
  <c r="V386" i="37" s="1"/>
  <c r="U479" i="37"/>
  <c r="V387" i="37"/>
  <c r="U451" i="37"/>
  <c r="V359" i="37"/>
  <c r="AM473" i="37"/>
  <c r="AM472" i="37" s="1"/>
  <c r="AM380" i="37"/>
  <c r="U392" i="37"/>
  <c r="V392" i="37" s="1"/>
  <c r="U485" i="37"/>
  <c r="V393" i="37"/>
  <c r="U482" i="37"/>
  <c r="V390" i="37"/>
  <c r="Q963" i="37"/>
  <c r="Q990" i="37"/>
  <c r="U468" i="37"/>
  <c r="V376" i="37"/>
  <c r="U483" i="37"/>
  <c r="V391" i="37"/>
  <c r="U599" i="37"/>
  <c r="U673" i="37"/>
  <c r="U667" i="37"/>
  <c r="U643" i="37"/>
  <c r="AM595" i="37"/>
  <c r="U903" i="37"/>
  <c r="AM599" i="37"/>
  <c r="AM611" i="37"/>
  <c r="U637" i="37"/>
  <c r="U617" i="37"/>
  <c r="U156" i="37"/>
  <c r="AO157" i="37"/>
  <c r="AO156" i="37" s="1"/>
  <c r="U605" i="37"/>
  <c r="U132" i="37"/>
  <c r="AO133" i="37"/>
  <c r="AO132" i="37" s="1"/>
  <c r="BF153" i="37"/>
  <c r="BF151" i="37"/>
  <c r="BF155" i="37"/>
  <c r="BF154" i="37"/>
  <c r="BF152" i="37"/>
  <c r="AM605" i="37"/>
  <c r="U138" i="37"/>
  <c r="AO139" i="37"/>
  <c r="AO138" i="37" s="1"/>
  <c r="BE126" i="37"/>
  <c r="BF127" i="37"/>
  <c r="BF128" i="37"/>
  <c r="BF131" i="37"/>
  <c r="BF129" i="37"/>
  <c r="BF130" i="37"/>
  <c r="BE132" i="37"/>
  <c r="AM501" i="37"/>
  <c r="AM594" i="37"/>
  <c r="U649" i="37"/>
  <c r="BF163" i="37"/>
  <c r="BF166" i="37"/>
  <c r="BF167" i="37"/>
  <c r="BF165" i="37"/>
  <c r="BF164" i="37"/>
  <c r="AM598" i="37"/>
  <c r="BE138" i="37"/>
  <c r="AM623" i="37"/>
  <c r="U655" i="37"/>
  <c r="U587" i="37"/>
  <c r="U623" i="37"/>
  <c r="BE156" i="37"/>
  <c r="AM596" i="37"/>
  <c r="U144" i="37"/>
  <c r="AO145" i="37"/>
  <c r="AO144" i="37" s="1"/>
  <c r="AL593" i="37"/>
  <c r="P893" i="37"/>
  <c r="P985" i="37"/>
  <c r="F985" i="37" s="1"/>
  <c r="F880" i="37"/>
  <c r="AM597" i="37"/>
  <c r="U661" i="37"/>
  <c r="BE150" i="37"/>
  <c r="U611" i="37"/>
  <c r="BF133" i="37"/>
  <c r="BF134" i="37"/>
  <c r="BF137" i="37"/>
  <c r="BF136" i="37"/>
  <c r="BF135" i="37"/>
  <c r="P907" i="37"/>
  <c r="P986" i="37"/>
  <c r="F986" i="37" s="1"/>
  <c r="F894" i="37"/>
  <c r="BF149" i="37"/>
  <c r="BF145" i="37"/>
  <c r="BF146" i="37"/>
  <c r="BF147" i="37"/>
  <c r="BF148" i="37"/>
  <c r="BF140" i="37"/>
  <c r="BF143" i="37"/>
  <c r="BF142" i="37"/>
  <c r="BF141" i="37"/>
  <c r="BF139" i="37"/>
  <c r="AO163" i="37"/>
  <c r="AO162" i="37" s="1"/>
  <c r="U162" i="37"/>
  <c r="AM587" i="37"/>
  <c r="BE162" i="37"/>
  <c r="U501" i="37"/>
  <c r="U594" i="37"/>
  <c r="U593" i="37" s="1"/>
  <c r="BE144" i="37"/>
  <c r="AM617" i="37"/>
  <c r="U150" i="37"/>
  <c r="AO151" i="37"/>
  <c r="AO150" i="37" s="1"/>
  <c r="BF160" i="37"/>
  <c r="BF158" i="37"/>
  <c r="BF157" i="37"/>
  <c r="BF159" i="37"/>
  <c r="BF161" i="37"/>
  <c r="AO127" i="37"/>
  <c r="AO126" i="37" s="1"/>
  <c r="U126" i="37"/>
  <c r="AM547" i="37"/>
  <c r="D167" i="51" l="1"/>
  <c r="D159" i="51"/>
  <c r="D169" i="51" s="1"/>
  <c r="E939" i="51" a="1"/>
  <c r="E939" i="51" s="1"/>
  <c r="E936" i="51" a="1"/>
  <c r="E936" i="51" s="1"/>
  <c r="C127" i="51"/>
  <c r="O956" i="51"/>
  <c r="M956" i="51"/>
  <c r="N956" i="51"/>
  <c r="L956" i="51"/>
  <c r="P956" i="51"/>
  <c r="C169" i="51"/>
  <c r="E957" i="51"/>
  <c r="N957" i="51" s="1"/>
  <c r="C128" i="51"/>
  <c r="C238" i="51" a="1"/>
  <c r="C238" i="51" s="1"/>
  <c r="H128" i="51"/>
  <c r="C187" i="48" a="1"/>
  <c r="C187" i="48" s="1"/>
  <c r="C192" i="48" a="1"/>
  <c r="C192" i="48" s="1"/>
  <c r="C182" i="48" a="1"/>
  <c r="C182" i="48" s="1"/>
  <c r="E99" i="48" a="1"/>
  <c r="E102" i="48" a="1"/>
  <c r="T985" i="37"/>
  <c r="T963" i="37"/>
  <c r="T822" i="37"/>
  <c r="S907" i="37"/>
  <c r="AL803" i="37"/>
  <c r="T818" i="37"/>
  <c r="T819" i="37"/>
  <c r="S821" i="37"/>
  <c r="T991" i="37"/>
  <c r="T817" i="37"/>
  <c r="T902" i="37" s="1"/>
  <c r="T895" i="37" s="1"/>
  <c r="T894" i="37" s="1"/>
  <c r="T986" i="37" s="1"/>
  <c r="T866" i="37"/>
  <c r="T949" i="37"/>
  <c r="U759" i="37"/>
  <c r="U837" i="37" s="1"/>
  <c r="U841" i="37" s="1"/>
  <c r="U755" i="37"/>
  <c r="U809" i="37" s="1"/>
  <c r="U815" i="37" s="1"/>
  <c r="T849" i="37"/>
  <c r="T988" i="37"/>
  <c r="U454" i="37"/>
  <c r="T814" i="37"/>
  <c r="U756" i="37"/>
  <c r="U816" i="37" s="1"/>
  <c r="U819" i="37" s="1"/>
  <c r="U448" i="37"/>
  <c r="U760" i="37"/>
  <c r="U844" i="37" s="1"/>
  <c r="U845" i="37" s="1"/>
  <c r="U958" i="37" s="1"/>
  <c r="U951" i="37" s="1"/>
  <c r="U950" i="37" s="1"/>
  <c r="U963" i="37" s="1"/>
  <c r="T856" i="37"/>
  <c r="T842" i="37"/>
  <c r="T987" i="37"/>
  <c r="U478" i="37"/>
  <c r="U466" i="37"/>
  <c r="T828" i="37"/>
  <c r="U484" i="37"/>
  <c r="U472" i="37"/>
  <c r="U460" i="37"/>
  <c r="U757" i="37"/>
  <c r="U823" i="37" s="1"/>
  <c r="U758" i="37"/>
  <c r="U830" i="37" s="1"/>
  <c r="U761" i="37"/>
  <c r="U851" i="37" s="1"/>
  <c r="T835" i="37"/>
  <c r="BF150" i="37"/>
  <c r="BF138" i="37"/>
  <c r="BG128" i="37"/>
  <c r="BG129" i="37"/>
  <c r="BG131" i="37"/>
  <c r="BG130" i="37"/>
  <c r="BG127" i="37"/>
  <c r="BG151" i="37"/>
  <c r="BG152" i="37"/>
  <c r="BG154" i="37"/>
  <c r="BG155" i="37"/>
  <c r="BG153" i="37"/>
  <c r="BG139" i="37"/>
  <c r="BG143" i="37"/>
  <c r="BG142" i="37"/>
  <c r="BG141" i="37"/>
  <c r="BG140" i="37"/>
  <c r="BF156" i="37"/>
  <c r="BG163" i="37"/>
  <c r="BG164" i="37"/>
  <c r="BG167" i="37"/>
  <c r="BG165" i="37"/>
  <c r="BG166" i="37"/>
  <c r="BG134" i="37"/>
  <c r="BG135" i="37"/>
  <c r="BG137" i="37"/>
  <c r="BG133" i="37"/>
  <c r="BG136" i="37"/>
  <c r="BF144" i="37"/>
  <c r="BG147" i="37"/>
  <c r="BG149" i="37"/>
  <c r="BG146" i="37"/>
  <c r="BG145" i="37"/>
  <c r="BG148" i="37"/>
  <c r="BF162" i="37"/>
  <c r="BF132" i="37"/>
  <c r="BF126" i="37"/>
  <c r="AM593" i="37"/>
  <c r="BG161" i="37"/>
  <c r="BG157" i="37"/>
  <c r="BG158" i="37"/>
  <c r="BG159" i="37"/>
  <c r="BG160" i="37"/>
  <c r="O957" i="51" l="1"/>
  <c r="M957" i="51"/>
  <c r="Q957" i="51"/>
  <c r="P957" i="51"/>
  <c r="L957" i="51"/>
  <c r="E102" i="48"/>
  <c r="E141" i="48" s="1"/>
  <c r="I141" i="48"/>
  <c r="K141" i="48"/>
  <c r="F141" i="48"/>
  <c r="G141" i="48"/>
  <c r="J141" i="48"/>
  <c r="H141" i="48"/>
  <c r="E99" i="48"/>
  <c r="E138" i="48" s="1"/>
  <c r="F138" i="48"/>
  <c r="H138" i="48"/>
  <c r="K138" i="48"/>
  <c r="G138" i="48"/>
  <c r="I138" i="48"/>
  <c r="J138" i="48"/>
  <c r="T907" i="37"/>
  <c r="U843" i="37"/>
  <c r="U838" i="37"/>
  <c r="U944" i="37" s="1"/>
  <c r="U937" i="37" s="1"/>
  <c r="U936" i="37" s="1"/>
  <c r="U949" i="37" s="1"/>
  <c r="U848" i="37"/>
  <c r="T821" i="37"/>
  <c r="U869" i="37"/>
  <c r="AM806" i="37"/>
  <c r="U812" i="37"/>
  <c r="U840" i="37"/>
  <c r="U811" i="37"/>
  <c r="U839" i="37"/>
  <c r="U865" i="37"/>
  <c r="U813" i="37"/>
  <c r="AM802" i="37"/>
  <c r="U810" i="37"/>
  <c r="U888" i="37" s="1"/>
  <c r="U881" i="37" s="1"/>
  <c r="U880" i="37" s="1"/>
  <c r="U820" i="37"/>
  <c r="U822" i="37"/>
  <c r="U817" i="37"/>
  <c r="U902" i="37" s="1"/>
  <c r="U895" i="37" s="1"/>
  <c r="U894" i="37" s="1"/>
  <c r="U907" i="37" s="1"/>
  <c r="U818" i="37"/>
  <c r="AM803" i="37"/>
  <c r="U866" i="37"/>
  <c r="U850" i="37"/>
  <c r="AM807" i="37"/>
  <c r="U847" i="37"/>
  <c r="U846" i="37"/>
  <c r="U870" i="37"/>
  <c r="U834" i="37"/>
  <c r="AM805" i="37"/>
  <c r="U831" i="37"/>
  <c r="U930" i="37" s="1"/>
  <c r="U923" i="37" s="1"/>
  <c r="U922" i="37" s="1"/>
  <c r="U833" i="37"/>
  <c r="U836" i="37"/>
  <c r="U832" i="37"/>
  <c r="U868" i="37"/>
  <c r="AM808" i="37"/>
  <c r="U857" i="37"/>
  <c r="U853" i="37"/>
  <c r="U854" i="37"/>
  <c r="U855" i="37"/>
  <c r="U871" i="37"/>
  <c r="U852" i="37"/>
  <c r="U972" i="37" s="1"/>
  <c r="U965" i="37" s="1"/>
  <c r="U964" i="37" s="1"/>
  <c r="AM804" i="37"/>
  <c r="U827" i="37"/>
  <c r="U867" i="37"/>
  <c r="U825" i="37"/>
  <c r="U824" i="37"/>
  <c r="U829" i="37"/>
  <c r="U826" i="37"/>
  <c r="U990" i="37"/>
  <c r="BG126" i="37"/>
  <c r="BG150" i="37"/>
  <c r="BG132" i="37"/>
  <c r="BG138" i="37"/>
  <c r="BG144" i="37"/>
  <c r="BG156" i="37"/>
  <c r="BG162" i="37"/>
  <c r="U989" i="37" l="1"/>
  <c r="U849" i="37"/>
  <c r="U842" i="37"/>
  <c r="U893" i="37"/>
  <c r="U985" i="37"/>
  <c r="U814" i="37"/>
  <c r="U986" i="37"/>
  <c r="U821" i="37"/>
  <c r="U835" i="37"/>
  <c r="U977" i="37"/>
  <c r="U991" i="37"/>
  <c r="U916" i="37"/>
  <c r="U909" i="37" s="1"/>
  <c r="U908" i="37" s="1"/>
  <c r="U828" i="37"/>
  <c r="U935" i="37"/>
  <c r="U988" i="37"/>
  <c r="U856" i="37"/>
  <c r="U987" i="37" l="1"/>
  <c r="U921" i="37"/>
  <c r="C816" i="51" l="1" a="1"/>
  <c r="C816" i="5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tc={F9AE558C-0209-4AB8-9868-3A1E857EAA47}</author>
  </authors>
  <commentList>
    <comment ref="K957" authorId="0" shapeId="0" xr:uid="{F9AE558C-0209-4AB8-9868-3A1E857EAA47}">
      <text>
        <t>[Threaded comment]
Your version of Excel allows you to read this threaded comment; however, any edits to it will get removed if the file is opened in a newer version of Excel. Learn more: https://go.microsoft.com/fwlink/?linkid=870924
Comment:
    &gt;1.4%</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tc={E1AE26BC-0C45-410C-B3EF-4CA6107AACDE}</author>
    <author>tc={5DD65D79-C631-47BD-8BBD-E2FAB41E8763}</author>
    <author>tc={B7B2CAB2-E61E-4D4C-844F-A797ED5BCD15}</author>
    <author>tc={FBE9E31E-FCF5-4D46-AA59-D3F983D80451}</author>
    <author>tc={4AD4F5EF-F11B-4F03-8105-C35E1B9B14EC}</author>
    <author>tc={F08B9DFF-68A8-4531-A3DC-33FBD5D51ECF}</author>
    <author>tc={E8C471AC-25B9-4AF0-950E-71B1A80B5065}</author>
    <author>tc={C0285F64-0636-491B-B611-A7589BA6305F}</author>
    <author>tc={5295FCFB-61D6-4EC1-8137-34794E2DA8F1}</author>
  </authors>
  <commentList>
    <comment ref="BX12" authorId="0" shapeId="0" xr:uid="{E1AE26BC-0C45-410C-B3EF-4CA6107AACDE}">
      <text>
        <t>[Threaded comment]
Your version of Excel allows you to read this threaded comment; however, any edits to it will get removed if the file is opened in a newer version of Excel. Learn more: https://go.microsoft.com/fwlink/?linkid=870924
Comment:
    Public and private
Reply:
    https://pilv.rtk.ee/s/Z4Ps3BiTKYxMsda</t>
      </text>
    </comment>
    <comment ref="FZ19" authorId="1" shapeId="0" xr:uid="{5DD65D79-C631-47BD-8BBD-E2FAB41E8763}">
      <text>
        <t>[Threaded comment]
Your version of Excel allows you to read this threaded comment; however, any edits to it will get removed if the file is opened in a newer version of Excel. Learn more: https://go.microsoft.com/fwlink/?linkid=870924
Comment:
    https://eur02.safelinks.protection.outlook.com/?url=https%3A%2F%2Fiea.blob.core.windows.net%2Fassets%2F28f84ed8-4101-4e95-ae51-9536b6436f14%2FMultiple_Benefits_of_Energy_Efficiency-148x199.pdf&amp;data=05%7C01%7CNora.Cheikh%40trinomics.eu%7Cbfeb884f2dbd431171f908db839e029f%7C0fc351ce322f46e4a34bc922c735605a%7C0%7C0%7C638248486892155350%7CUnknown%7CTWFpbGZsb3d8eyJWIjoiMC4wLjAwMDAiLCJQIjoiV2luMzIiLCJBTiI6Ik1haWwiLCJXVCI6Mn0%3D%7C3000%7C%7C%7C&amp;sdata=Pr8LifomAequJw881O5FmhEhZpxn9kIVT0uXMyq6vFE%3D&amp;reserved=0</t>
      </text>
    </comment>
    <comment ref="EE24" authorId="2" shapeId="0" xr:uid="{B7B2CAB2-E61E-4D4C-844F-A797ED5BCD15}">
      <text>
        <t>[Threaded comment]
Your version of Excel allows you to read this threaded comment; however, any edits to it will get removed if the file is opened in a newer version of Excel. Learn more: https://go.microsoft.com/fwlink/?linkid=870924
Comment:
    https://energiatalgud.ee/sites/default/files/2022-04/Riigi%20%C3%BCldine%20energiat%C3%B5hususkohustus%20aastatel%202021-2030%20ning%20taastuvenergia%20eesm%C3%A4rkide%20t%C3%A4itmine%20%282018%29%20Finantsakadeemia%20O%C3%9C.pdf</t>
      </text>
    </comment>
    <comment ref="AO25" authorId="3" shapeId="0" xr:uid="{FBE9E31E-FCF5-4D46-AA59-D3F983D80451}">
      <text>
        <t>[Threaded comment]
Your version of Excel allows you to read this threaded comment; however, any edits to it will get removed if the file is opened in a newer version of Excel. Learn more: https://go.microsoft.com/fwlink/?linkid=870924
Comment:
    50% for individuals; 50% for commercial use</t>
      </text>
    </comment>
    <comment ref="EE28" authorId="4" shapeId="0" xr:uid="{4AD4F5EF-F11B-4F03-8105-C35E1B9B14EC}">
      <text>
        <t>[Threaded comment]
Your version of Excel allows you to read this threaded comment; however, any edits to it will get removed if the file is opened in a newer version of Excel. Learn more: https://go.microsoft.com/fwlink/?linkid=870924
Comment:
    Do not want to double count taxes, as taxes are already included in the Ministry of Finance forecast for GDP. So only include the additional taxes accrued</t>
      </text>
    </comment>
    <comment ref="FZ58" authorId="5" shapeId="0" xr:uid="{F08B9DFF-68A8-4531-A3DC-33FBD5D51ECF}">
      <text>
        <t>[Threaded comment]
Your version of Excel allows you to read this threaded comment; however, any edits to it will get removed if the file is opened in a newer version of Excel. Learn more: https://go.microsoft.com/fwlink/?linkid=870924
Comment:
    https://eur02.safelinks.protection.outlook.com/?url=https%3A%2F%2Fiea.blob.core.windows.net%2Fassets%2F28f84ed8-4101-4e95-ae51-9536b6436f14%2FMultiple_Benefits_of_Energy_Efficiency-148x199.pdf&amp;data=05%7C01%7CNora.Cheikh%40trinomics.eu%7Cbfeb884f2dbd431171f908db839e029f%7C0fc351ce322f46e4a34bc922c735605a%7C0%7C0%7C638248486892155350%7CUnknown%7CTWFpbGZsb3d8eyJWIjoiMC4wLjAwMDAiLCJQIjoiV2luMzIiLCJBTiI6Ik1haWwiLCJXVCI6Mn0%3D%7C3000%7C%7C%7C&amp;sdata=Pr8LifomAequJw881O5FmhEhZpxn9kIVT0uXMyq6vFE%3D&amp;reserved=0</t>
      </text>
    </comment>
    <comment ref="CQ59" authorId="6" shapeId="0" xr:uid="{E8C471AC-25B9-4AF0-950E-71B1A80B5065}">
      <text>
        <t>[Threaded comment]
Your version of Excel allows you to read this threaded comment; however, any edits to it will get removed if the file is opened in a newer version of Excel. Learn more: https://go.microsoft.com/fwlink/?linkid=870924
Comment:
    https://energiatalgud.ee/sites/default/files/2022-04/EL%20struktuurivahenditest%20rahastatud%20meetmete%20m%C3%B5ju%20riigi%20energiamajanduse%20eesm%C3%A4rkide%20t%C3%A4itmisele%20-%20L%C3%B5pparuanne.pdf</t>
      </text>
    </comment>
    <comment ref="D62" authorId="7" shapeId="0" xr:uid="{C0285F64-0636-491B-B611-A7589BA6305F}">
      <text>
        <t>[Threaded comment]
Your version of Excel allows you to read this threaded comment; however, any edits to it will get removed if the file is opened in a newer version of Excel. Learn more: https://go.microsoft.com/fwlink/?linkid=870924
Comment:
    2+5 are the same</t>
      </text>
    </comment>
    <comment ref="Y73" authorId="8" shapeId="0" xr:uid="{5295FCFB-61D6-4EC1-8137-34794E2DA8F1}">
      <text>
        <t>[Threaded comment]
Your version of Excel allows you to read this threaded comment; however, any edits to it will get removed if the file is opened in a newer version of Excel. Learn more: https://go.microsoft.com/fwlink/?linkid=870924
Comment:
    Rail Baltic has two stops in Estonia in Tallinn and Parnu</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Frank Gerard</author>
    <author>Inge Roos</author>
  </authors>
  <commentList>
    <comment ref="AD253" authorId="0" shapeId="0" xr:uid="{D7D8056F-64E6-451E-AE2A-E287EDB8FA36}">
      <text>
        <r>
          <rPr>
            <b/>
            <sz val="9"/>
            <color indexed="81"/>
            <rFont val="Tahoma"/>
            <family val="2"/>
          </rPr>
          <t>Frank Gerard:</t>
        </r>
        <r>
          <rPr>
            <sz val="9"/>
            <color indexed="81"/>
            <rFont val="Tahoma"/>
            <family val="2"/>
          </rPr>
          <t xml:space="preserve">
on basis of 2020 figures</t>
        </r>
      </text>
    </comment>
    <comment ref="AC286" authorId="1" shapeId="0" xr:uid="{8D2C04C9-4EAB-4699-B7D8-8B9F8F7AB39D}">
      <text>
        <r>
          <rPr>
            <b/>
            <sz val="9"/>
            <color indexed="81"/>
            <rFont val="Tahoma"/>
            <family val="2"/>
            <charset val="186"/>
          </rPr>
          <t>Inge Roos:</t>
        </r>
        <r>
          <rPr>
            <sz val="9"/>
            <color indexed="81"/>
            <rFont val="Tahoma"/>
            <family val="2"/>
            <charset val="186"/>
          </rPr>
          <t xml:space="preserve">
an estimation</t>
        </r>
      </text>
    </comment>
    <comment ref="AC288" authorId="1" shapeId="0" xr:uid="{D59626F5-F713-446F-BDDD-61252C6E7457}">
      <text>
        <r>
          <rPr>
            <b/>
            <sz val="9"/>
            <color indexed="81"/>
            <rFont val="Tahoma"/>
            <family val="2"/>
            <charset val="186"/>
          </rPr>
          <t>Inge Roos:</t>
        </r>
        <r>
          <rPr>
            <sz val="9"/>
            <color indexed="81"/>
            <rFont val="Tahoma"/>
            <family val="2"/>
            <charset val="186"/>
          </rPr>
          <t xml:space="preserve">
An estimation</t>
        </r>
      </text>
    </comment>
    <comment ref="U363" authorId="1" shapeId="0" xr:uid="{BA2FDCA1-E79A-4536-A985-6CD01D4DB2F5}">
      <text>
        <r>
          <rPr>
            <b/>
            <sz val="9"/>
            <color rgb="FF000000"/>
            <rFont val="Tahoma"/>
            <family val="2"/>
          </rPr>
          <t>Inge Roos:</t>
        </r>
        <r>
          <rPr>
            <sz val="9"/>
            <color rgb="FF000000"/>
            <rFont val="Tahoma"/>
            <family val="2"/>
          </rPr>
          <t xml:space="preserve">
One wood processing company built its own CHP</t>
        </r>
      </text>
    </comment>
    <comment ref="M723" authorId="0" shapeId="0" xr:uid="{045FC821-21AB-4120-8A59-9B99525D2D7F}">
      <text>
        <r>
          <rPr>
            <b/>
            <sz val="9"/>
            <color indexed="81"/>
            <rFont val="Tahoma"/>
            <family val="2"/>
          </rPr>
          <t>Frank Gerard:</t>
        </r>
        <r>
          <rPr>
            <sz val="9"/>
            <color indexed="81"/>
            <rFont val="Tahoma"/>
            <family val="2"/>
          </rPr>
          <t xml:space="preserve">
not clear in total electricity of what? At country level? 25% of the electricity consumed is for space heating?
What is the aim of the indicator?</t>
        </r>
      </text>
    </comment>
    <comment ref="N723" authorId="0" shapeId="0" xr:uid="{C4BEB296-0F8D-46AE-977A-0CFD105182C8}">
      <text>
        <r>
          <rPr>
            <b/>
            <sz val="9"/>
            <color indexed="81"/>
            <rFont val="Tahoma"/>
            <family val="2"/>
          </rPr>
          <t>Frank Gerard:</t>
        </r>
        <r>
          <rPr>
            <sz val="9"/>
            <color indexed="81"/>
            <rFont val="Tahoma"/>
            <family val="2"/>
          </rPr>
          <t xml:space="preserve">
replace by %?</t>
        </r>
      </text>
    </comment>
    <comment ref="AC755" authorId="0" shapeId="0" xr:uid="{7F6A151F-A5A1-4638-BF5C-C2521D97DD6F}">
      <text>
        <r>
          <rPr>
            <b/>
            <sz val="9"/>
            <color indexed="81"/>
            <rFont val="Tahoma"/>
            <family val="2"/>
          </rPr>
          <t>Frank Gerard:</t>
        </r>
        <r>
          <rPr>
            <sz val="9"/>
            <color indexed="81"/>
            <rFont val="Tahoma"/>
            <family val="2"/>
          </rPr>
          <t xml:space="preserve">
in other MS, DHW is ~10% of heat use in dwellings. Why is this so high in Estonia? (vs 5841GWh in space)</t>
        </r>
      </text>
    </comment>
    <comment ref="AC771" authorId="0" shapeId="0" xr:uid="{45C19636-FB2B-4182-9096-089B21F9A02D}">
      <text>
        <r>
          <rPr>
            <b/>
            <sz val="9"/>
            <color indexed="81"/>
            <rFont val="Tahoma"/>
            <family val="2"/>
          </rPr>
          <t>Frank Gerard:</t>
        </r>
        <r>
          <rPr>
            <sz val="9"/>
            <color indexed="81"/>
            <rFont val="Tahoma"/>
            <family val="2"/>
          </rPr>
          <t xml:space="preserve">
cooking needs have decreased by more than 24% in 11y? While the dwelling stock increases? How can we explain?</t>
        </r>
      </text>
    </comment>
    <comment ref="M1103" authorId="1" shapeId="0" xr:uid="{69EEC040-21A3-43D8-80DA-E262388D8C5B}">
      <text>
        <r>
          <rPr>
            <b/>
            <sz val="9"/>
            <color indexed="81"/>
            <rFont val="Tahoma"/>
            <family val="2"/>
            <charset val="186"/>
          </rPr>
          <t>Inge Roos:</t>
        </r>
        <r>
          <rPr>
            <sz val="9"/>
            <color indexed="81"/>
            <rFont val="Tahoma"/>
            <family val="2"/>
            <charset val="186"/>
          </rPr>
          <t xml:space="preserve">
freight traffic in domestic transport ; ainult riigisisene kaubavedu</t>
        </r>
      </text>
    </comment>
    <comment ref="AC1228" authorId="1" shapeId="0" xr:uid="{A5BCB250-35A8-405F-BBEC-FEA04DAB2E0A}">
      <text>
        <r>
          <rPr>
            <b/>
            <sz val="9"/>
            <color indexed="81"/>
            <rFont val="Tahoma"/>
            <family val="2"/>
            <charset val="186"/>
          </rPr>
          <t>Inge Roos:</t>
        </r>
        <r>
          <rPr>
            <sz val="9"/>
            <color indexed="81"/>
            <rFont val="Tahoma"/>
            <family val="2"/>
            <charset val="186"/>
          </rPr>
          <t xml:space="preserve">
Andmed saadud Eesti Keskkonnaagentuurist Helen Heintalu</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tc={FD7D17EA-F49C-4B68-8EA8-07B4FCD7A20F}</author>
    <author>tc={6908BDEC-57E0-45A0-8C37-90C26A612B9C}</author>
  </authors>
  <commentList>
    <comment ref="C39" authorId="0" shapeId="0" xr:uid="{FD7D17EA-F49C-4B68-8EA8-07B4FCD7A20F}">
      <text>
        <t>[Threaded comment]
Your version of Excel allows you to read this threaded comment; however, any edits to it will get removed if the file is opened in a newer version of Excel. Learn more: https://go.microsoft.com/fwlink/?linkid=870924
Comment:
    2+5 are the same</t>
      </text>
    </comment>
    <comment ref="D71" authorId="1" shapeId="0" xr:uid="{6908BDEC-57E0-45A0-8C37-90C26A612B9C}">
      <text>
        <t>[Threaded comment]
Your version of Excel allows you to read this threaded comment; however, any edits to it will get removed if the file is opened in a newer version of Excel. Learn more: https://go.microsoft.com/fwlink/?linkid=870924
Comment:
    Avoid double counting savings from taxes</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Inge Roos</author>
  </authors>
  <commentList>
    <comment ref="AE5" authorId="0" shapeId="0" xr:uid="{ED6601C7-F250-4201-93BF-E33A03DB792C}">
      <text>
        <r>
          <rPr>
            <b/>
            <sz val="9"/>
            <color indexed="81"/>
            <rFont val="Tahoma"/>
            <family val="2"/>
            <charset val="186"/>
          </rPr>
          <t>Inge Roos:</t>
        </r>
        <r>
          <rPr>
            <sz val="9"/>
            <color indexed="81"/>
            <rFont val="Tahoma"/>
            <family val="2"/>
            <charset val="186"/>
          </rPr>
          <t xml:space="preserve">
Envirolmental Investments Centre
</t>
        </r>
      </text>
    </comment>
    <comment ref="AB8" authorId="0" shapeId="0" xr:uid="{0C7CE535-447B-41D0-95A6-580C6DC661B7}">
      <text>
        <r>
          <rPr>
            <b/>
            <sz val="9"/>
            <color indexed="81"/>
            <rFont val="Tahoma"/>
            <family val="2"/>
            <charset val="186"/>
          </rPr>
          <t>Inge Roos:</t>
        </r>
        <r>
          <rPr>
            <sz val="9"/>
            <color indexed="81"/>
            <rFont val="Tahoma"/>
            <family val="2"/>
            <charset val="186"/>
          </rPr>
          <t xml:space="preserve">
No data</t>
        </r>
      </text>
    </comment>
    <comment ref="Y9" authorId="0" shapeId="0" xr:uid="{1C437020-1E41-45E2-9CBB-A8CDDE39EF47}">
      <text>
        <r>
          <rPr>
            <b/>
            <sz val="9"/>
            <color indexed="81"/>
            <rFont val="Tahoma"/>
            <family val="2"/>
            <charset val="186"/>
          </rPr>
          <t>Inge Roos:</t>
        </r>
        <r>
          <rPr>
            <sz val="9"/>
            <color indexed="81"/>
            <rFont val="Tahoma"/>
            <family val="2"/>
            <charset val="186"/>
          </rPr>
          <t xml:space="preserve">
The recipient of the training pays for the training
</t>
        </r>
      </text>
    </comment>
    <comment ref="X11" authorId="0" shapeId="0" xr:uid="{AB425DFB-038C-47D7-BAB6-DBF584318686}">
      <text>
        <r>
          <rPr>
            <b/>
            <sz val="9"/>
            <color indexed="81"/>
            <rFont val="Tahoma"/>
            <family val="2"/>
            <charset val="186"/>
          </rPr>
          <t>Inge Roos:</t>
        </r>
        <r>
          <rPr>
            <sz val="9"/>
            <color indexed="81"/>
            <rFont val="Tahoma"/>
            <family val="2"/>
            <charset val="186"/>
          </rPr>
          <t xml:space="preserve">
No data</t>
        </r>
      </text>
    </comment>
    <comment ref="X25" authorId="0" shapeId="0" xr:uid="{0CE93978-0431-422A-BE70-71807E5C2927}">
      <text>
        <r>
          <rPr>
            <b/>
            <sz val="9"/>
            <color indexed="81"/>
            <rFont val="Tahoma"/>
            <family val="2"/>
            <charset val="186"/>
          </rPr>
          <t>Inge Roos:</t>
        </r>
        <r>
          <rPr>
            <sz val="9"/>
            <color indexed="81"/>
            <rFont val="Tahoma"/>
            <family val="2"/>
            <charset val="186"/>
          </rPr>
          <t xml:space="preserve">
No data</t>
        </r>
      </text>
    </comment>
    <comment ref="X26" authorId="0" shapeId="0" xr:uid="{AFEA7AE5-5824-4819-BBAE-E4FC7BEB0E16}">
      <text>
        <r>
          <rPr>
            <b/>
            <sz val="9"/>
            <color indexed="81"/>
            <rFont val="Tahoma"/>
            <family val="2"/>
            <charset val="186"/>
          </rPr>
          <t>Inge Roos:</t>
        </r>
        <r>
          <rPr>
            <sz val="9"/>
            <color indexed="81"/>
            <rFont val="Tahoma"/>
            <family val="2"/>
            <charset val="186"/>
          </rPr>
          <t xml:space="preserve">
No data</t>
        </r>
      </text>
    </comment>
    <comment ref="Y32" authorId="0" shapeId="0" xr:uid="{821BC59B-3E45-493F-AFBD-348FE035CF6E}">
      <text>
        <r>
          <rPr>
            <b/>
            <sz val="9"/>
            <color indexed="81"/>
            <rFont val="Tahoma"/>
            <family val="2"/>
            <charset val="186"/>
          </rPr>
          <t>Inge Roos:</t>
        </r>
        <r>
          <rPr>
            <sz val="9"/>
            <color indexed="81"/>
            <rFont val="Tahoma"/>
            <family val="2"/>
            <charset val="186"/>
          </rPr>
          <t xml:space="preserve">
No data</t>
        </r>
      </text>
    </comment>
    <comment ref="Y33" authorId="0" shapeId="0" xr:uid="{EF164364-9A29-4521-92D9-29176A1C3DD3}">
      <text>
        <r>
          <rPr>
            <b/>
            <sz val="9"/>
            <color indexed="81"/>
            <rFont val="Tahoma"/>
            <family val="2"/>
            <charset val="186"/>
          </rPr>
          <t>Inge Roos:</t>
        </r>
        <r>
          <rPr>
            <sz val="9"/>
            <color indexed="81"/>
            <rFont val="Tahoma"/>
            <family val="2"/>
            <charset val="186"/>
          </rPr>
          <t xml:space="preserve">
No data</t>
        </r>
      </text>
    </comment>
    <comment ref="Y34" authorId="0" shapeId="0" xr:uid="{CDC0477C-FA13-47BB-AF08-AEA91479E162}">
      <text>
        <r>
          <rPr>
            <b/>
            <sz val="9"/>
            <color indexed="81"/>
            <rFont val="Tahoma"/>
            <family val="2"/>
            <charset val="186"/>
          </rPr>
          <t>Inge Roos:</t>
        </r>
        <r>
          <rPr>
            <sz val="9"/>
            <color indexed="81"/>
            <rFont val="Tahoma"/>
            <family val="2"/>
            <charset val="186"/>
          </rPr>
          <t xml:space="preserve">
No data</t>
        </r>
      </text>
    </comment>
    <comment ref="Y35" authorId="0" shapeId="0" xr:uid="{0C0DD3CB-725B-4E1B-AD0A-54BD172D77A2}">
      <text>
        <r>
          <rPr>
            <b/>
            <sz val="9"/>
            <color indexed="81"/>
            <rFont val="Tahoma"/>
            <family val="2"/>
          </rPr>
          <t>Inge Roos:</t>
        </r>
        <r>
          <rPr>
            <sz val="9"/>
            <color indexed="81"/>
            <rFont val="Tahoma"/>
            <family val="2"/>
          </rPr>
          <t xml:space="preserve">
No data</t>
        </r>
      </text>
    </comment>
    <comment ref="Y36" authorId="0" shapeId="0" xr:uid="{2B655F4D-9C2C-4DF4-8EA5-6A87D244E93C}">
      <text>
        <r>
          <rPr>
            <b/>
            <sz val="9"/>
            <color indexed="81"/>
            <rFont val="Tahoma"/>
            <family val="2"/>
          </rPr>
          <t>Inge Roos:</t>
        </r>
        <r>
          <rPr>
            <sz val="9"/>
            <color indexed="81"/>
            <rFont val="Tahoma"/>
            <family val="2"/>
          </rPr>
          <t xml:space="preserve">
No data</t>
        </r>
      </text>
    </comment>
    <comment ref="Y37" authorId="0" shapeId="0" xr:uid="{D34A1854-337D-462C-869C-14060B6FFB54}">
      <text>
        <r>
          <rPr>
            <b/>
            <sz val="9"/>
            <color indexed="81"/>
            <rFont val="Tahoma"/>
            <family val="2"/>
          </rPr>
          <t>Inge Roos:</t>
        </r>
        <r>
          <rPr>
            <sz val="9"/>
            <color indexed="81"/>
            <rFont val="Tahoma"/>
            <family val="2"/>
          </rPr>
          <t xml:space="preserve">
No data</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tc={F3933AA3-1A66-4808-A1AF-E72CE826C901}</author>
    <author>tc={5F41A610-32DA-4414-9A8F-DE856E7F19AE}</author>
    <author>tc={0AFB7879-F43B-41D7-BE0F-5198795B9930}</author>
    <author>tc={0870A877-DA84-42FF-952B-3078D3BF0C37}</author>
    <author>tc={C7F641BE-EF58-4264-BDED-08ED0C0A1BE3}</author>
  </authors>
  <commentList>
    <comment ref="A71" authorId="0" shapeId="0" xr:uid="{F3933AA3-1A66-4808-A1AF-E72CE826C901}">
      <text>
        <t>[Threaded comment]
Your version of Excel allows you to read this threaded comment; however, any edits to it will get removed if the file is opened in a newer version of Excel. Learn more: https://go.microsoft.com/fwlink/?linkid=870924
Comment:
    Share of GDP</t>
      </text>
    </comment>
    <comment ref="B291" authorId="1" shapeId="0" xr:uid="{5F41A610-32DA-4414-9A8F-DE856E7F19AE}">
      <text>
        <t>[Threaded comment]
Your version of Excel allows you to read this threaded comment; however, any edits to it will get removed if the file is opened in a newer version of Excel. Learn more: https://go.microsoft.com/fwlink/?linkid=870924
Comment:
    @Frank Gerard I have double checked this an the original conversion factor was correct. 1000L gasoline = 9.5 MWh. The tax is quite high in Estonia</t>
      </text>
    </comment>
    <comment ref="B494" authorId="2" shapeId="0" xr:uid="{0AFB7879-F43B-41D7-BE0F-5198795B9930}">
      <text>
        <t xml:space="preserve">[Threaded comment]
Your version of Excel allows you to read this threaded comment; however, any edits to it will get removed if the file is opened in a newer version of Excel. Learn more: https://go.microsoft.com/fwlink/?linkid=870924
Comment:
    @Frank Gerard </t>
      </text>
    </comment>
    <comment ref="B501" authorId="3" shapeId="0" xr:uid="{0870A877-DA84-42FF-952B-3078D3BF0C37}">
      <text>
        <t xml:space="preserve">[Threaded comment]
Your version of Excel allows you to read this threaded comment; however, any edits to it will get removed if the file is opened in a newer version of Excel. Learn more: https://go.microsoft.com/fwlink/?linkid=870924
Comment:
    @Frank Gerard </t>
      </text>
    </comment>
    <comment ref="D586" authorId="4" shapeId="0" xr:uid="{C7F641BE-EF58-4264-BDED-08ED0C0A1BE3}">
      <text>
        <t xml:space="preserve">[Threaded comment]
Your version of Excel allows you to read this threaded comment; however, any edits to it will get removed if the file is opened in a newer version of Excel. Learn more: https://go.microsoft.com/fwlink/?linkid=870924
Comment:
    a vehicle registered in Estonia in the name of a natural person </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<sst xmlns="http://schemas.openxmlformats.org/spreadsheetml/2006/main" count="9903" uniqueCount="3181">
  <si>
    <t>Introduction to the Deliverable 3 Model</t>
  </si>
  <si>
    <t>TAB</t>
  </si>
  <si>
    <t>Description</t>
  </si>
  <si>
    <t>Summary tabs</t>
  </si>
  <si>
    <t>Exec. Sum</t>
  </si>
  <si>
    <r>
      <t xml:space="preserve">Provides all pathways graphs and synthetic tables for the </t>
    </r>
    <r>
      <rPr>
        <sz val="8"/>
        <color rgb="FFFF0000"/>
        <rFont val="Arial"/>
        <family val="2"/>
      </rPr>
      <t>Executive Summary of D3</t>
    </r>
    <r>
      <rPr>
        <sz val="8"/>
        <rFont val="Arial"/>
        <family val="2"/>
      </rPr>
      <t>, following up the order of the Exec Sum</t>
    </r>
  </si>
  <si>
    <t>Pathway Comparison</t>
  </si>
  <si>
    <r>
      <t xml:space="preserve">Provides the comparison of all pathways in a visual (graphs) and synthetic (tables) way, for all indicators, following the </t>
    </r>
    <r>
      <rPr>
        <sz val="8"/>
        <color rgb="FFFF0000"/>
        <rFont val="Arial"/>
        <family val="2"/>
      </rPr>
      <t>order of D3 report in a strcutured way</t>
    </r>
  </si>
  <si>
    <t>Calculation tabs</t>
  </si>
  <si>
    <t>Pathway Analysis</t>
  </si>
  <si>
    <t>Provides the details of all indicators per pathway, starting with the evolution of energy consumption in each sector (summary), and the related savings, in primary and final energy, GHG emissions, air pollution, renovated areas (per building category), investments costs (private/public), cost savings (private/public), impact on energy cost and prices, on employment, on value added, on government taxes and revenue, on GDP, on labor productivity, household disposable income, energy poverty</t>
  </si>
  <si>
    <t>EE Measures</t>
  </si>
  <si>
    <t>Contains all information of all Energy Efficiency measures (cost &amp; savings until 2035 in MWh and EUR, split private/public, jobs, tax impact, GDP, GHG emissions, m2 renovated, …), with a first section on existing measures, and a second section on new measures. Columns HY-IE provides the intensity of implementation under each pathway</t>
  </si>
  <si>
    <t>Baseline</t>
  </si>
  <si>
    <t>Establishes the baseline scenario (in function of growth), the current scenario (with ongoing EE measures), and then it models the different pathways, based on the EE measures and their intensity. The result is the project of energy demand in each sector (industry, residential, service, transport and agriculture)</t>
  </si>
  <si>
    <t>Datasources</t>
  </si>
  <si>
    <t>Taltech</t>
  </si>
  <si>
    <t>Provides the information provided by TalTech for each measure (i.e. expected energy savings, investment) and assumptions</t>
  </si>
  <si>
    <t>MKM 2014-20</t>
  </si>
  <si>
    <t>Provides the measure-level information based on the existing measures from MKM from 2014 to 2020</t>
  </si>
  <si>
    <t>KLIM 2021-30</t>
  </si>
  <si>
    <t>Provides the measure-level information based on the existing measures from KLIM from 2021 to 2030</t>
  </si>
  <si>
    <t>CF</t>
  </si>
  <si>
    <t>Provides measure-level information based on the information available from the Cohesion Fund 2021-2027</t>
  </si>
  <si>
    <t>Sources</t>
  </si>
  <si>
    <t>Provides measure-level information based on other impact studies (KMPG, Finantsakadeemia OÜ, SEI)</t>
  </si>
  <si>
    <t>Admin sheets</t>
  </si>
  <si>
    <t>Assumptions</t>
  </si>
  <si>
    <t>All underlying assumptions of the model that are not measure specific (GDP, taxes, employment, fuel use, energy prices, emissions factors, etc.)</t>
  </si>
  <si>
    <t xml:space="preserve">Admin </t>
  </si>
  <si>
    <t>All values which remain constant throughout modelling (types of measures, energy conversion rates)</t>
  </si>
  <si>
    <t>Executive Summary</t>
  </si>
  <si>
    <t>% Annual energy savings, 2024-2030</t>
  </si>
  <si>
    <t>Figure 0 2 Forecast of annual energy savings with the existing energy efficiency measures shows that Estonia is far behind the EED target</t>
  </si>
  <si>
    <t>Year</t>
  </si>
  <si>
    <t>EEO</t>
  </si>
  <si>
    <t>VA</t>
  </si>
  <si>
    <t>Reno wave</t>
  </si>
  <si>
    <t>EET</t>
  </si>
  <si>
    <t>CEER1</t>
  </si>
  <si>
    <t>CEER2</t>
  </si>
  <si>
    <t>EED target (2018)</t>
  </si>
  <si>
    <t>EED recast target (2023)</t>
  </si>
  <si>
    <t>Average annual energy savings 2024-2030 (%)</t>
  </si>
  <si>
    <t>EED Recast target (2024-2030)</t>
  </si>
  <si>
    <t>EED target (2018 until 2023)</t>
  </si>
  <si>
    <t>Figure 0 3 Annual energy savings (%)</t>
  </si>
  <si>
    <t>Total cumulative energy savings, 2021-2030 (TWh)</t>
  </si>
  <si>
    <t>Figure 0 4 Cumulative energy savings (TWh) 2021-2030</t>
  </si>
  <si>
    <t>Sector</t>
  </si>
  <si>
    <t>Industry</t>
  </si>
  <si>
    <t>Households</t>
  </si>
  <si>
    <t>Services</t>
  </si>
  <si>
    <t>Transport</t>
  </si>
  <si>
    <t>Agriculture, fishing and forestry</t>
  </si>
  <si>
    <t>Total</t>
  </si>
  <si>
    <r>
      <t>Summary of pathways achieving the targets</t>
    </r>
    <r>
      <rPr>
        <sz val="8"/>
        <rFont val="Trebuchet MS"/>
        <family val="2"/>
      </rPr>
      <t> </t>
    </r>
  </si>
  <si>
    <t>Table 0 3: Summary of pathways achieving the targets</t>
  </si>
  <si>
    <t>Objective</t>
  </si>
  <si>
    <t>Unit</t>
  </si>
  <si>
    <t>EED target</t>
  </si>
  <si>
    <t>NECP 2030</t>
  </si>
  <si>
    <t>RenoWave</t>
  </si>
  <si>
    <t>Final energy consumption</t>
  </si>
  <si>
    <t>TWh</t>
  </si>
  <si>
    <t>Cumulative energy savings</t>
  </si>
  <si>
    <t>2021-2030</t>
  </si>
  <si>
    <t>Final energy savings rate</t>
  </si>
  <si>
    <t>%</t>
  </si>
  <si>
    <t>Final energy savings rate, average</t>
  </si>
  <si>
    <t>2024-2030</t>
  </si>
  <si>
    <t>Primary energy consumption</t>
  </si>
  <si>
    <t>Final energy savings of public sector/buildings</t>
  </si>
  <si>
    <t>Renovation rate of public owned buildings</t>
  </si>
  <si>
    <t>Total renovated area of central  government buildings</t>
  </si>
  <si>
    <t>mln. m2</t>
  </si>
  <si>
    <t>Industry annual energy savings</t>
  </si>
  <si>
    <t>GWh</t>
  </si>
  <si>
    <t>Transport fuel consumption</t>
  </si>
  <si>
    <t>Scoring of pathways achieving the targets</t>
  </si>
  <si>
    <t>Table 0 4: Scoring of pathways achieving the targets</t>
  </si>
  <si>
    <t>Reno Wave</t>
  </si>
  <si>
    <t>30,0</t>
  </si>
  <si>
    <t>33,3</t>
  </si>
  <si>
    <t>21,3</t>
  </si>
  <si>
    <t>1,90%</t>
  </si>
  <si>
    <t>1,50%</t>
  </si>
  <si>
    <t>45,7</t>
  </si>
  <si>
    <t>63,9</t>
  </si>
  <si>
    <t>3,0%</t>
  </si>
  <si>
    <t>Global average scoring</t>
  </si>
  <si>
    <r>
      <t>Summary of impact assessment</t>
    </r>
    <r>
      <rPr>
        <sz val="8"/>
        <rFont val="Trebuchet MS"/>
        <family val="2"/>
      </rPr>
      <t> </t>
    </r>
  </si>
  <si>
    <t>Table 0 5: Summary of impact assessment</t>
  </si>
  <si>
    <t>Indicator</t>
  </si>
  <si>
    <t>Time period</t>
  </si>
  <si>
    <t>GHG emission reduction, cumulative</t>
  </si>
  <si>
    <t>MtCO2</t>
  </si>
  <si>
    <t>Investment costs (total), cumulative</t>
  </si>
  <si>
    <t>MEUR</t>
  </si>
  <si>
    <t>of which public support, cumulative</t>
  </si>
  <si>
    <t>Cost savings, cumulative</t>
  </si>
  <si>
    <t>Impact on GDP</t>
  </si>
  <si>
    <t>Impact on disposable income</t>
  </si>
  <si>
    <t>Impact on employment (Average annual job creation)</t>
  </si>
  <si>
    <t>Thousand employees</t>
  </si>
  <si>
    <t>Impact on tax revenue</t>
  </si>
  <si>
    <t>Average energy cost as a share of household disposable income</t>
  </si>
  <si>
    <t>Average yearly GDP</t>
  </si>
  <si>
    <t>Average yearly Investment costs (total)</t>
  </si>
  <si>
    <t>Average yearly tax revenue</t>
  </si>
  <si>
    <t>Average yearly public support</t>
  </si>
  <si>
    <r>
      <t>GHG Emission reduction per sector (MtCO</t>
    </r>
    <r>
      <rPr>
        <b/>
        <vertAlign val="subscript"/>
        <sz val="16"/>
        <color theme="6"/>
        <rFont val="Trebuchet MS"/>
        <family val="2"/>
      </rPr>
      <t>2</t>
    </r>
    <r>
      <rPr>
        <b/>
        <sz val="16"/>
        <color theme="6"/>
        <rFont val="Trebuchet MS"/>
        <family val="2"/>
      </rPr>
      <t>e) 2021 -2030</t>
    </r>
  </si>
  <si>
    <t>Figure 0 5 GHG Emission reduction per sector (MtCO2e) 2021-2030</t>
  </si>
  <si>
    <t>Scoring of the impact assessment</t>
  </si>
  <si>
    <t>Table 0 6: Scoring of the impact assessment</t>
  </si>
  <si>
    <r>
      <t>Renovation rate for buildings (%) and energy savings rate for industry and transport (%), 2024-2035</t>
    </r>
    <r>
      <rPr>
        <sz val="8"/>
        <rFont val="Trebuchet MS"/>
        <family val="2"/>
      </rPr>
      <t> </t>
    </r>
  </si>
  <si>
    <t>Table 0 7 Renovation rate for buildings (%) and energy savings rate for industry and transport (%), 2024-2035</t>
  </si>
  <si>
    <t>Residential annual renovation rate (%)</t>
  </si>
  <si>
    <t>% of residential buildings renovated (in 2035 vs 2024)</t>
  </si>
  <si>
    <t>Non-residential renovation rate</t>
  </si>
  <si>
    <t>% of non-residential buildings renovated (in 2035 vs 2024)</t>
  </si>
  <si>
    <t>Industry energy savings rate</t>
  </si>
  <si>
    <t>Transport energy savings rate</t>
  </si>
  <si>
    <r>
      <t>Deep and shallow renovated residential and non-residential building stock per pathway, 2024-2035 cumulative</t>
    </r>
    <r>
      <rPr>
        <sz val="8"/>
        <rFont val="Trebuchet MS"/>
        <family val="2"/>
      </rPr>
      <t> </t>
    </r>
  </si>
  <si>
    <t>Pathway</t>
  </si>
  <si>
    <t>Residential</t>
  </si>
  <si>
    <t>Non-residential</t>
  </si>
  <si>
    <t>Figure 0 6 Deep and shallow renovated residential and non-residential building stock per pathway, 2024-2035 cumulative</t>
  </si>
  <si>
    <t>Deep</t>
  </si>
  <si>
    <t>Shallow</t>
  </si>
  <si>
    <r>
      <t>Industry energy savings and investment needs, 2024-2035 cumulative</t>
    </r>
    <r>
      <rPr>
        <sz val="8"/>
        <rFont val="Trebuchet MS"/>
        <family val="2"/>
      </rPr>
      <t> </t>
    </r>
  </si>
  <si>
    <t>Table 0 8 Industry energy savings and investment needs, 2024-2035 cumulative</t>
  </si>
  <si>
    <t>Energy savings (GWh) (2024-2035)</t>
  </si>
  <si>
    <t>Investment needs (incl. tax) (MEUR) (2024-2035)</t>
  </si>
  <si>
    <r>
      <t>Transport energy savings and investment needs, 2024-2035 cumulative</t>
    </r>
    <r>
      <rPr>
        <sz val="8"/>
        <rFont val="Trebuchet MS"/>
        <family val="2"/>
      </rPr>
      <t> </t>
    </r>
  </si>
  <si>
    <t>Table 0 9 Transport energy savings and investment needs, 2024-2035 cumulative</t>
  </si>
  <si>
    <t>Cumulative energy savings (GWh) (2024-2035)</t>
  </si>
  <si>
    <r>
      <t>Agroforestry energy savings and investment needs, 2024-2035 cumulative</t>
    </r>
    <r>
      <rPr>
        <sz val="8"/>
        <rFont val="Trebuchet MS"/>
        <family val="2"/>
      </rPr>
      <t> </t>
    </r>
  </si>
  <si>
    <t>Table 0 10 Agroforestry energy savings and investment needs, 2024-2035 cumulative</t>
  </si>
  <si>
    <t>Comparison of industrial consumption under CEER2 pathway in a growth scenario and in a status uo scenario</t>
  </si>
  <si>
    <t>Figure 0 7 Comparison of industrial consumption under CEER2 pathway in a growth scenario and in a status uo scenario</t>
  </si>
  <si>
    <t>Pathway comparison</t>
  </si>
  <si>
    <t>Relative intensity of the EE measures within each sector for each pathway</t>
  </si>
  <si>
    <t>Underlying data is in the EE Measures tab</t>
  </si>
  <si>
    <t>Figure 3 1 relative intensity(*) of the EE measures within each sector for each pathway</t>
  </si>
  <si>
    <t>Overview of pathway investment requirements and energy savings from 2021-2030</t>
  </si>
  <si>
    <t>Public and private sector investment costs per MWh</t>
  </si>
  <si>
    <t>Public sector cost (MEUR)</t>
  </si>
  <si>
    <t>Private sector cost (MEUR)</t>
  </si>
  <si>
    <t>Total energy savings (TWh)</t>
  </si>
  <si>
    <t>Figure 3‑2 Overview of pathway investment requirements and energy savings from 2021-2030</t>
  </si>
  <si>
    <t>Overview of cumulative energy savings (TWh) per sector per pathway, 2021-2030</t>
  </si>
  <si>
    <t>Figure 3‑3 Overview of cumulative energy savings (TWh) per sector per pathway, 2021-2030</t>
  </si>
  <si>
    <t>Each pathway individually</t>
  </si>
  <si>
    <t>Selection of the Pathway</t>
  </si>
  <si>
    <t>referred to as PATH</t>
  </si>
  <si>
    <t>Comparison of PATH outcomes and EE targets for meeting NECP objectives</t>
  </si>
  <si>
    <t>ENERGY CONSUMPTION AND SAVINGS</t>
  </si>
  <si>
    <t>Table 5 4 Comparison of EEOS outcomes and EE targets for meeting NECP objectives</t>
  </si>
  <si>
    <t>NECP 2030 objective</t>
  </si>
  <si>
    <t>EED</t>
  </si>
  <si>
    <t>Annual final energy savings rate in 2030 (%)</t>
  </si>
  <si>
    <t>Annual final savings rate, 2024-2030 average (%)</t>
  </si>
  <si>
    <t>Final energy consumption in 2030 (TWh)</t>
  </si>
  <si>
    <t>Primary energy consumption in 2030 (TWh)</t>
  </si>
  <si>
    <t>https://ec.europa.eu/eurostat/databrowser/view/NRG_BAL_C__custom_6880046/default/table?lang=en</t>
  </si>
  <si>
    <t>Total renovated area of central gov. buildings from 2021 to 2030 (mln m2)</t>
  </si>
  <si>
    <t>Average industry annual energy savings (2021-2030) (GWh)</t>
  </si>
  <si>
    <t>Transport fuel consumption (TWh)</t>
  </si>
  <si>
    <t>Annual final energy consumption for the PATH pathway per sector (2021-2035), TWh</t>
  </si>
  <si>
    <t>Figure 5 1 Annual final energy consumption for the EEOS pathway per sector (2021-2030), TWh</t>
  </si>
  <si>
    <t>total</t>
  </si>
  <si>
    <t>Figure 0-1 Energy consumption by sector, 2022</t>
  </si>
  <si>
    <t>savings 2021-2030</t>
  </si>
  <si>
    <t>Final energy consumption by fuel source</t>
  </si>
  <si>
    <t>Figure 5‑8 Final energy consumption by fuel source</t>
  </si>
  <si>
    <t>PATH investment costs and cost savings (cumulative 2021-2030), MEUR</t>
  </si>
  <si>
    <t>INVESTMENT COSTS AND COST SAVINGS</t>
  </si>
  <si>
    <t>Table 5 5 EEOS investment costs and cost savings (cumulative 2021-2030), MEUR</t>
  </si>
  <si>
    <t>Total Investment costs (MEUR)</t>
  </si>
  <si>
    <t>Public sector</t>
  </si>
  <si>
    <t>Private sector</t>
  </si>
  <si>
    <t>Household</t>
  </si>
  <si>
    <t>Companies</t>
  </si>
  <si>
    <t>Total cost savings (MEUR)</t>
  </si>
  <si>
    <t>Total net cost (MEUR)</t>
  </si>
  <si>
    <t>Cumulative renovated building stock from 2021 to 2030 per building type, m2</t>
  </si>
  <si>
    <t xml:space="preserve">Figure 5 3 Cumulative renovated building stock from 2021 to 2030 per building type, m2 </t>
  </si>
  <si>
    <t>Cumulative Building stock renovated (m2)</t>
  </si>
  <si>
    <t>Commercial</t>
  </si>
  <si>
    <t>Municipalities</t>
  </si>
  <si>
    <t xml:space="preserve">Figure 5 2 Cumulative renovated building stock from 2021 to 2030, m2 </t>
  </si>
  <si>
    <t>Macroeconomic impacts of the PATH pathway (Cumulative 2021-2030), MEUR</t>
  </si>
  <si>
    <t>SOCIOECONOMIC IMPACT</t>
  </si>
  <si>
    <t>Table 5 6 Macroeconomic impacts of the EEOS pathway (Cumulative 2021-2030), MEUR</t>
  </si>
  <si>
    <t>Total impact on GDP (MEUR)</t>
  </si>
  <si>
    <t>Average annual impact on GDP (%)</t>
  </si>
  <si>
    <t>Total GDP in 2030 (MEUR)</t>
  </si>
  <si>
    <t>Total impact on employment (average job creation per year, thousand employees)</t>
  </si>
  <si>
    <t>Employment in 2030 (thousand employees)</t>
  </si>
  <si>
    <t>Impact of measures</t>
  </si>
  <si>
    <t>Construction</t>
  </si>
  <si>
    <t>Impact of energy prices</t>
  </si>
  <si>
    <t>Labour productivity (GDP/employee) (EUR)</t>
  </si>
  <si>
    <t>Total impact on disposable income (MEUR)</t>
  </si>
  <si>
    <t>Renovation costs (-)</t>
  </si>
  <si>
    <t>Personal transport costs (-)</t>
  </si>
  <si>
    <t>Increase in taxes (-)</t>
  </si>
  <si>
    <t>Increase in employment (+)</t>
  </si>
  <si>
    <t>Energy cost savings (+)</t>
  </si>
  <si>
    <t>Energy cost share of disposable income (%)</t>
  </si>
  <si>
    <t>Total impact to tax revenues (MEUR)</t>
  </si>
  <si>
    <t>Reduction in taxes via savings (MEUR)</t>
  </si>
  <si>
    <t>Environmental impacts of the PATH pathway (Cumulative 2021-2030)</t>
  </si>
  <si>
    <t>Table 5 7 Environmental impacts of the EEOS pathway (Cumulative 2021-2030)</t>
  </si>
  <si>
    <t>Differece</t>
  </si>
  <si>
    <t>Total GHG emissions reduction (MtCO2)</t>
  </si>
  <si>
    <t>Air pollution emissions reduction (kt)</t>
  </si>
  <si>
    <t>Energy savings and investment cost and cost savings per region, cumulative 2021-2030</t>
  </si>
  <si>
    <t>Regional impact</t>
  </si>
  <si>
    <t>Table 5 8 Energy savings and investment cost and cost savings per region, cumulative 2021-2030</t>
  </si>
  <si>
    <t>Region</t>
  </si>
  <si>
    <t>Final energy savings (TWh), 2021-2030</t>
  </si>
  <si>
    <t>Total investment cost (MEUR), 2021-2030</t>
  </si>
  <si>
    <t>Total cost savings (MEUR), 2021-2030</t>
  </si>
  <si>
    <t>Net cost of energy savings (EUR/MWh)</t>
  </si>
  <si>
    <t>Figure 6‑19 Comparison of average net cost of energy savings per region from 2021 to 2030 per pathway</t>
  </si>
  <si>
    <t>Final energy consumption (TWh) in 2030 across pathways</t>
  </si>
  <si>
    <t>Table 6 1 Final energy consumption (TWh) in 2030 across pathways</t>
  </si>
  <si>
    <t>Target value</t>
  </si>
  <si>
    <t>Final energy consumption in 2030</t>
  </si>
  <si>
    <t>Figure 6‑1 Final energy consumption in 2030 (TWh)</t>
  </si>
  <si>
    <t>Primary energy consumption (TWh) in 2030 across pathways</t>
  </si>
  <si>
    <t>Table 6‑2 Primary energy consumption (TWh) in 2030 across pathways</t>
  </si>
  <si>
    <t>Primary energy consumption (TWh) in 2030</t>
  </si>
  <si>
    <t>Primary energy consumption in 2030</t>
  </si>
  <si>
    <t>Figure 6‑2 Primary energy consumption in 2030 (TWh)</t>
  </si>
  <si>
    <t>Annual final energy savings rate (%) in 2030 across pathways</t>
  </si>
  <si>
    <t>Table 6‑3 Annual final energy savings rate (%) in 2030 across pathways</t>
  </si>
  <si>
    <t>Annual saving rates between 2021 and 2030 (%) against target</t>
  </si>
  <si>
    <t>Figure 6‑3 Annual saving rates between 2021 and 2030 (%) against target</t>
  </si>
  <si>
    <t>Figure 0-2 Forecast of annual energy savings with the existing energy efficiency measures shows that Estonia is far behind the EED target</t>
  </si>
  <si>
    <t>Average annual final savings (%), 2024-2030 average, across pathways</t>
  </si>
  <si>
    <t>Table 6‑4 Average annual final savings (%), 2024-2030 average, across pathways</t>
  </si>
  <si>
    <t>Average annual final savings rate, 2024-2030 (%)</t>
  </si>
  <si>
    <t>Pathway progress to average annual energy savings target</t>
  </si>
  <si>
    <t>Figure 6‑4 Pathway progress to average annual energy savings target</t>
  </si>
  <si>
    <t>Cumulative (final) energy savings (TWh) over the 2021-2030 period, across pathways</t>
  </si>
  <si>
    <t>Table 6 5 Cumulative (final) energy savings (TWh) over the 2021-2030 period, across pathways</t>
  </si>
  <si>
    <t>Cumulative energy savings (GWh)</t>
  </si>
  <si>
    <t>Cumulative (final) energy savings over the 2021-2030 period (TWh)</t>
  </si>
  <si>
    <t>(cf. figure above)</t>
  </si>
  <si>
    <t>Average annual energy savings in the industry over the 2021-2030 (TWh)</t>
  </si>
  <si>
    <t>Table 6 6 Average annual energy savings in the industry over the 2021-2030 (TWh)</t>
  </si>
  <si>
    <t>Industry annual energy savings (2021-2030) (GWh)</t>
  </si>
  <si>
    <t>Annual energy savings in the industry over the 2021-2030 period (TWh)</t>
  </si>
  <si>
    <t>Industry annual energy savings (TWh)</t>
  </si>
  <si>
    <t>Figure 6‑6 Annual energy savings in the industry over the 2021-2030 period (TWh)</t>
  </si>
  <si>
    <t>NECP 2030 target</t>
  </si>
  <si>
    <t>2023-2030</t>
  </si>
  <si>
    <t>Road transport fuel consumption (TWh) in 2030 across all pathways</t>
  </si>
  <si>
    <t>Table 6 7 Road transport fuel consumption (TWh) in 2030 across all pathways</t>
  </si>
  <si>
    <t>Road transport fuel consumption (TWh) in 2030</t>
  </si>
  <si>
    <t>All pathways - Fuel consumption, Transport 2030</t>
  </si>
  <si>
    <t>Fuel consumption by vehicle fleet in 2030 (TWh)</t>
  </si>
  <si>
    <t>Figure 6‑7 All pathways - Fuel consumption, Transport 2030</t>
  </si>
  <si>
    <t>w/o measures</t>
  </si>
  <si>
    <t>Fuel consumption in road transport</t>
  </si>
  <si>
    <t>Pathway results effectiveness toward EED &amp; NECP targets</t>
  </si>
  <si>
    <t>Table 6‑8 Pathway results effectiveness toward EED &amp; NECP targets</t>
  </si>
  <si>
    <t>EED targets</t>
  </si>
  <si>
    <t>Cumulative energy savings 2021-2030 (TWh)</t>
  </si>
  <si>
    <t>Average annual final savings, 2024-2030 average (%)</t>
  </si>
  <si>
    <t>Reduction of final energy consumption of all public bodies, each year, in average 2021-2030 (%)</t>
  </si>
  <si>
    <t>Renovation of total floor area of buildings owned by public bodies, each year, 2021-2030 (%)</t>
  </si>
  <si>
    <t>NECP specific targets</t>
  </si>
  <si>
    <t>Total renovated area of central government buildings (mln m2)</t>
  </si>
  <si>
    <t>Final energy consumption of buildings (households and services)</t>
  </si>
  <si>
    <t>Figure 6‑8 Final energy consumption of buildings (households and services)</t>
  </si>
  <si>
    <t>Reduction of final energy consumption &amp; renovation of public buildings</t>
  </si>
  <si>
    <t>Table 6 9 Reduction of final energy consumption &amp; renovation of public buildings</t>
  </si>
  <si>
    <t>Total renovated area of central government buildings over 2021-2030 (mln m2)</t>
  </si>
  <si>
    <t>Table 6‑10 Total renovated area of central government buildings over 2021-2030 (mln m2)</t>
  </si>
  <si>
    <t>Total renovated area of central gov. buildings (2021-2030) (mln m2)</t>
  </si>
  <si>
    <t>Total investment cost per pathway 2021-2030</t>
  </si>
  <si>
    <t>Investment &amp; savings costs</t>
  </si>
  <si>
    <t>Total investment costs</t>
  </si>
  <si>
    <t>Figure 6‑9 Total investment cost per pathway 2021-2030</t>
  </si>
  <si>
    <t>Public sector investment</t>
  </si>
  <si>
    <t>Total cost savings</t>
  </si>
  <si>
    <t>Public sector cost savings</t>
  </si>
  <si>
    <t>All pathways - cost split public vs. private</t>
  </si>
  <si>
    <t>All pathways – cost savings split public vs. private</t>
  </si>
  <si>
    <t>Net costs per MWh (Investment + cost savings)</t>
  </si>
  <si>
    <t>Figure 6 11 All pathways – cost savings split public vs. private</t>
  </si>
  <si>
    <t>Figure 6‑10 All pathways - cost split public vs. private</t>
  </si>
  <si>
    <t>Renowave</t>
  </si>
  <si>
    <t>Net costs per MWh</t>
  </si>
  <si>
    <t>Net public cost per MWh</t>
  </si>
  <si>
    <t>Net private cost per MWh</t>
  </si>
  <si>
    <t>Total energy savings</t>
  </si>
  <si>
    <t>Household investment</t>
  </si>
  <si>
    <t>Household savings</t>
  </si>
  <si>
    <t>Net costs per energy savings achieved</t>
  </si>
  <si>
    <t>Investments vs medium term savings</t>
  </si>
  <si>
    <t>Total investment cost 2021-2030</t>
  </si>
  <si>
    <t>which generates saving cost in 2030</t>
  </si>
  <si>
    <t>that will continue over 20y at least (meaning 30y for investments realised in 2021, and 20y for those realised in 2030)</t>
  </si>
  <si>
    <t>which comes on top of the savings made during 2021-2030</t>
  </si>
  <si>
    <t>net cost over 20y-30y operation</t>
  </si>
  <si>
    <t>Energy Savings in 2030 [TWh]</t>
  </si>
  <si>
    <t>cumulative savings over 2021-2030 [TWh]</t>
  </si>
  <si>
    <t>total savings 2021-2050 [TWh]</t>
  </si>
  <si>
    <t>Net cost per MWh (over life time)</t>
  </si>
  <si>
    <t>Figure 6‑12 Net costs per energy savings achieved</t>
  </si>
  <si>
    <t>Comparison of impact on GDP across pathways, 2021-2035</t>
  </si>
  <si>
    <t>Underlying data in the Pathway Analysis tab</t>
  </si>
  <si>
    <t>Figure 6 13 Comparison of impact on GDP across pathways, 2021-2035</t>
  </si>
  <si>
    <t>Comparison of GHG emissions reduction (2021-2030) per pathway</t>
  </si>
  <si>
    <t>GHG emissions reduction (ktCO2e) per sector</t>
  </si>
  <si>
    <t xml:space="preserve">Figure 6‑14 Comparison of GHG emissions reduction (2021-2030) per pathway </t>
  </si>
  <si>
    <t xml:space="preserve">Comparison of air pollutants reduction (2021-2030) per pathway </t>
  </si>
  <si>
    <t>Air pollution reduction (kt) per scenario</t>
  </si>
  <si>
    <t xml:space="preserve">Figure 6‑15 Comparison of air pollutants reduction (2021-2030) per pathway </t>
  </si>
  <si>
    <t>Impact on energy prices for households and other sectors (EUR/MWh)</t>
  </si>
  <si>
    <t>Total impact on energy prices</t>
  </si>
  <si>
    <t>Table 6‑11 Impact on energy prices for households and other sectors (EUR/MWh)</t>
  </si>
  <si>
    <t>Impact of inflation and energy taxation</t>
  </si>
  <si>
    <t>Impact of EEOS</t>
  </si>
  <si>
    <t>2021 price</t>
  </si>
  <si>
    <t>Average yearly increase in price</t>
  </si>
  <si>
    <t>2030 price</t>
  </si>
  <si>
    <t>Total price difference</t>
  </si>
  <si>
    <t>% increase</t>
  </si>
  <si>
    <t>Additional average yearly increase in price</t>
  </si>
  <si>
    <t>Additional price difference</t>
  </si>
  <si>
    <t>Additional increase (%)</t>
  </si>
  <si>
    <t>Heat price (EUR/MWh)</t>
  </si>
  <si>
    <t>Other</t>
  </si>
  <si>
    <t>Electricity (EUR/MWh)</t>
  </si>
  <si>
    <t>Gas price (EUR/MWh)</t>
  </si>
  <si>
    <t>Comparison of impact on disposable income (MEUR) from 2021 to 2030 per pathway</t>
  </si>
  <si>
    <t>Energy savings (incl. avoided taxes) (+)</t>
  </si>
  <si>
    <t>Figure 6‑16 Comparison of impact on disposable income (MEUR) from 2021 to 2030 per pathway</t>
  </si>
  <si>
    <t>Comparison of energy costs as a share of disposable  income (%) from 2021 to 2030 per pathway</t>
  </si>
  <si>
    <t>W/o EE measures</t>
  </si>
  <si>
    <t>Figure 6‑17 Comparison of energy costs as a share of disposable income (%) from 2021 to 2030 per pathway</t>
  </si>
  <si>
    <t>Comparison of total employment from 2021 to 2030 per pathway</t>
  </si>
  <si>
    <t>Figure 6‑18 Comparison of total employment from 2021 to 2030 per pathway</t>
  </si>
  <si>
    <t>Comparison of labour productivitiy (2021-2030 average) per pathway</t>
  </si>
  <si>
    <t>Table 6‑12 Comparison of labour productivitiy (2021-2030 average) per pathway</t>
  </si>
  <si>
    <t>Comparison of impact on taxes and revenues (cumulative 2021-2030) per pathway</t>
  </si>
  <si>
    <t>Table 6‑13 Comparison of impact on taxes and revenues (cumulative 2021-2030) per pathway</t>
  </si>
  <si>
    <t>Impact on taxes via measures (indirect)</t>
  </si>
  <si>
    <t>Impact on taxes via tax measures (direct)</t>
  </si>
  <si>
    <t>Summary pathway results comparison – energy savings towards EED targets</t>
  </si>
  <si>
    <t>Table 6‑14 Summary pathway results comparison – energy savings towards EED targets</t>
  </si>
  <si>
    <t>/</t>
  </si>
  <si>
    <t>Total renovated area of central government buildings</t>
  </si>
  <si>
    <t>ENMAK 2030 action 2.8</t>
  </si>
  <si>
    <t>ENMAK 2030 action 2.3</t>
  </si>
  <si>
    <t>Summary pathway results comparison - energy savings towards NECP targets</t>
  </si>
  <si>
    <t>Table 6‑15 Summary pathway results comparison - energy savings towards NECP targets</t>
  </si>
  <si>
    <t>Summary pathway results comparison over 2021-2030 period – impact indicators</t>
  </si>
  <si>
    <t>Table 6‑16 Summary pathway results comparison over 2021-2030 period – impact indicators</t>
  </si>
  <si>
    <t>Average GDP</t>
  </si>
  <si>
    <t>Average tax revenue</t>
  </si>
  <si>
    <t>In Addition (not in the report)</t>
  </si>
  <si>
    <t>Renovation rates</t>
  </si>
  <si>
    <t>Residential renovation rate</t>
  </si>
  <si>
    <t>2024-2035</t>
  </si>
  <si>
    <t>% of residential buildings renovated</t>
  </si>
  <si>
    <t>% of non-residential buildings renovated</t>
  </si>
  <si>
    <t>Other pathway level results</t>
  </si>
  <si>
    <t>Select pathway</t>
  </si>
  <si>
    <t>No measures</t>
  </si>
  <si>
    <t>Baseline measures</t>
  </si>
  <si>
    <t>Analysis of pathway results</t>
  </si>
  <si>
    <t>Use the + buttons on the left to view pathway results</t>
  </si>
  <si>
    <t xml:space="preserve">Primary and final energy consumption broken down by relevant sectors and region, and achieved energy savings </t>
  </si>
  <si>
    <t>Final energy consumption (GWh)</t>
  </si>
  <si>
    <t>Annual final energy savings (GWh)</t>
  </si>
  <si>
    <t>Annual final energy savings per region (GWh)</t>
  </si>
  <si>
    <t>Baseline scenario minus final energy savings</t>
  </si>
  <si>
    <t>Cumulative annual savings x sector  share % x scenario share %</t>
  </si>
  <si>
    <t>Cumulative annual savings x region share % x scenario share %</t>
  </si>
  <si>
    <t>Cumulative 2021-2030</t>
  </si>
  <si>
    <t>Cumulative 2024-2035</t>
  </si>
  <si>
    <t>Oil products</t>
  </si>
  <si>
    <t>Gas</t>
  </si>
  <si>
    <t>Coal</t>
  </si>
  <si>
    <t>Renewable energy</t>
  </si>
  <si>
    <t>Heat final</t>
  </si>
  <si>
    <t>Electricity final</t>
  </si>
  <si>
    <t>Annual energy savings rate</t>
  </si>
  <si>
    <t>Public building annual final energy  (GWh)</t>
  </si>
  <si>
    <t>Public building savings rate</t>
  </si>
  <si>
    <t>Road transport final energy consumption (GWh)</t>
  </si>
  <si>
    <t>Primary energy consumption (GWh)</t>
  </si>
  <si>
    <t>Primary energy savings (GWh)</t>
  </si>
  <si>
    <t>Annual primary energy savings per region (GWh)</t>
  </si>
  <si>
    <t>Final energy savings x primary energy factor</t>
  </si>
  <si>
    <t>Pathway primary consumption minus Baseline (w/o measures) primary consumption</t>
  </si>
  <si>
    <t>Cumulative 2022-2030</t>
  </si>
  <si>
    <t>Environmental impact - GHG emissions and air pollution</t>
  </si>
  <si>
    <t>GHG emissions reduction (ktCO2e)</t>
  </si>
  <si>
    <t>Air pollution reduction (kt)</t>
  </si>
  <si>
    <t>SOx</t>
  </si>
  <si>
    <t>NOx</t>
  </si>
  <si>
    <t>PM2.5</t>
  </si>
  <si>
    <t>Renovated building area</t>
  </si>
  <si>
    <t>Total renovated building area (million m2)</t>
  </si>
  <si>
    <t>Annual Renovation Rate (%)</t>
  </si>
  <si>
    <t>Total building stock area (million m2)</t>
  </si>
  <si>
    <t>Service</t>
  </si>
  <si>
    <t>Service - Public</t>
  </si>
  <si>
    <t>Central gov.</t>
  </si>
  <si>
    <t>Service - Commercial</t>
  </si>
  <si>
    <t>Total - Deep</t>
  </si>
  <si>
    <t>Total - Shallow</t>
  </si>
  <si>
    <t>Residential - Deep</t>
  </si>
  <si>
    <t>Residential - Shallow</t>
  </si>
  <si>
    <t>Service - Deep</t>
  </si>
  <si>
    <t>Service - Shallow</t>
  </si>
  <si>
    <t>Investment costs (including taxes) and cost savings broken down by sector and region, and total energy costs</t>
  </si>
  <si>
    <t>Total investment costs (MEUR) (incl. tax)</t>
  </si>
  <si>
    <t>Cumulative (2024-2035</t>
  </si>
  <si>
    <t>Public sector investment costs (MEUR) (incl. tax)</t>
  </si>
  <si>
    <t>Private sector investment costs (MEUR) (incl. tax)</t>
  </si>
  <si>
    <t>Total cost savings (MEUR) (incl. tax)</t>
  </si>
  <si>
    <t>Public cost savings (MEUR) (incl. tax)</t>
  </si>
  <si>
    <t>Private cost savings (MEUR) (incl. tax)</t>
  </si>
  <si>
    <t>Impact on energy costs and prices</t>
  </si>
  <si>
    <t>Total energy costs (MEUR) (incl. tax) per sector</t>
  </si>
  <si>
    <t>Impact on employment</t>
  </si>
  <si>
    <t>Changes in overall employment due to energy prices and job creation of energy efficiency investments, with a breakdown of impact of investments of three sectors</t>
  </si>
  <si>
    <t>Total employment</t>
  </si>
  <si>
    <t>Forecasted employment + impacts of investments + impact of energy prices</t>
  </si>
  <si>
    <t>% employment growth</t>
  </si>
  <si>
    <t>Total impact</t>
  </si>
  <si>
    <t>Impact of investments</t>
  </si>
  <si>
    <t>Construction (Households and Services)</t>
  </si>
  <si>
    <t>Impact on value added</t>
  </si>
  <si>
    <t>Value added (MEUR)</t>
  </si>
  <si>
    <t>Forecasted value added + investments</t>
  </si>
  <si>
    <t>Impact on government taxes and revenue</t>
  </si>
  <si>
    <t>Forecasted government revenues + increase in taxes via measures (tax measures + taxes from investments) - reduction in taxes via energy savings</t>
  </si>
  <si>
    <t>Ìmpact on taxes via tax meaures (direct)</t>
  </si>
  <si>
    <t>Reduction in taxes via energy savings</t>
  </si>
  <si>
    <t>GDP (MEUR)</t>
  </si>
  <si>
    <t>Forecasted GDP (based on value added) broken down into its main components</t>
  </si>
  <si>
    <t>Historical average (GDP%)</t>
  </si>
  <si>
    <t>Cumulative</t>
  </si>
  <si>
    <t>Compensation of employees</t>
  </si>
  <si>
    <t>Consumption of fixed capital</t>
  </si>
  <si>
    <t>Operating surplus and mixed income</t>
  </si>
  <si>
    <t>Taxes on production and imports</t>
  </si>
  <si>
    <t>Subsidies</t>
  </si>
  <si>
    <t>GDP growth %</t>
  </si>
  <si>
    <t>Impact on Labour productivity</t>
  </si>
  <si>
    <t>Labour productivity (GDP/employee)</t>
  </si>
  <si>
    <t>Labour productivity (GDP per employee)</t>
  </si>
  <si>
    <t>Change %</t>
  </si>
  <si>
    <t>Impact on household disposible income</t>
  </si>
  <si>
    <t>Household disposable income (MEUR)</t>
  </si>
  <si>
    <t>Impact on disposable income broken down by main impacts</t>
  </si>
  <si>
    <t>disposable income per employee</t>
  </si>
  <si>
    <t>Net impact on disposable income</t>
  </si>
  <si>
    <t>Related to renovation activities</t>
  </si>
  <si>
    <t>Related to personal transport taxes</t>
  </si>
  <si>
    <t>Cross-sectoral</t>
  </si>
  <si>
    <t>Related to energy taxes</t>
  </si>
  <si>
    <t>disposable income per employee (€ /employee)</t>
  </si>
  <si>
    <t>Impact on energy poverty</t>
  </si>
  <si>
    <t>Household energy costs as a share of household disposable income</t>
  </si>
  <si>
    <t>Impact on energy cost share of household disposable income</t>
  </si>
  <si>
    <t>Average</t>
  </si>
  <si>
    <t>New and existing EE measures</t>
  </si>
  <si>
    <t>&lt;- cost savings per year; % public savings</t>
  </si>
  <si>
    <t>Use the + buttons above to view measure info</t>
  </si>
  <si>
    <t>&lt;- costs per year; % gov. support; cost allocation</t>
  </si>
  <si>
    <t>General Information</t>
  </si>
  <si>
    <t>General information</t>
  </si>
  <si>
    <t>Impact allocation (%)</t>
  </si>
  <si>
    <t>Energy savings</t>
  </si>
  <si>
    <t>Investment costs</t>
  </si>
  <si>
    <t>Cost savings</t>
  </si>
  <si>
    <t>Taxes</t>
  </si>
  <si>
    <t>Employment</t>
  </si>
  <si>
    <t>Emissions reduction</t>
  </si>
  <si>
    <t>% uptake per pathway</t>
  </si>
  <si>
    <t>Proj. / Intern. Ref.</t>
  </si>
  <si>
    <t>Name of measure (English)</t>
  </si>
  <si>
    <t>Ref. NECP 2023</t>
  </si>
  <si>
    <t>Name of measure as listed in NECP (Estonian)</t>
  </si>
  <si>
    <t>Name of measure as listed in NECP (English)</t>
  </si>
  <si>
    <t>Type of policy (Main/Enabling)</t>
  </si>
  <si>
    <t>Policy name</t>
  </si>
  <si>
    <t>Modelling assumptions/source</t>
  </si>
  <si>
    <t>Sector share</t>
  </si>
  <si>
    <t>Energy source</t>
  </si>
  <si>
    <t>Building type impacted</t>
  </si>
  <si>
    <t>Type of renovation</t>
  </si>
  <si>
    <t>Building type (detailed public)</t>
  </si>
  <si>
    <t>% Personal transport</t>
  </si>
  <si>
    <t>Annual additional savings</t>
  </si>
  <si>
    <t>Annual additional savings (GWh)</t>
  </si>
  <si>
    <t>Cumulative annual savings(GWh)</t>
  </si>
  <si>
    <t>Total budget 2021-2030</t>
  </si>
  <si>
    <t>Unit cost per MWh</t>
  </si>
  <si>
    <t>Annual investment costs (MEUR)</t>
  </si>
  <si>
    <t>% gov. financial support</t>
  </si>
  <si>
    <t>% private cost</t>
  </si>
  <si>
    <t>Cost allocation</t>
  </si>
  <si>
    <t>Average annual costs</t>
  </si>
  <si>
    <t>Annual cost savings (MEUR) (including increase in taxes)</t>
  </si>
  <si>
    <t>Annual cost savings (MEUR) (with EEOS prices)</t>
  </si>
  <si>
    <t>% public savings</t>
  </si>
  <si>
    <t>% private savings</t>
  </si>
  <si>
    <t>Average annual cost savings</t>
  </si>
  <si>
    <t>Direct tax increase</t>
  </si>
  <si>
    <t>Increase in taxes (MEUR)</t>
  </si>
  <si>
    <t>Reduction in taxes (MEUR)</t>
  </si>
  <si>
    <t>Net impact on taxes (MEUR)</t>
  </si>
  <si>
    <t>Impact on employment (no. of jobs)</t>
  </si>
  <si>
    <t>Emissions reduction (ktCO2)</t>
  </si>
  <si>
    <t>Renovated building area (million m2)</t>
  </si>
  <si>
    <t>Energy savings per m2</t>
  </si>
  <si>
    <t>% of building stock (pre-2000)</t>
  </si>
  <si>
    <t>start year</t>
  </si>
  <si>
    <t>finish year</t>
  </si>
  <si>
    <t>Co-benefits rating</t>
  </si>
  <si>
    <t>Co-benefits</t>
  </si>
  <si>
    <t>Assessment 
(Stop, Go, Go + changes)</t>
  </si>
  <si>
    <t>Comments (on Assessment)</t>
  </si>
  <si>
    <t>Agro/forestry</t>
  </si>
  <si>
    <t xml:space="preserve">Põhja-Eesti </t>
  </si>
  <si>
    <t>Lääne-Eesti</t>
  </si>
  <si>
    <t>Kirde-Eesti</t>
  </si>
  <si>
    <t>Lõuna-Eesti </t>
  </si>
  <si>
    <t>Kesk-Eesti</t>
  </si>
  <si>
    <t>Single house</t>
  </si>
  <si>
    <t>Building with 2 dwellings</t>
  </si>
  <si>
    <t>Apartment</t>
  </si>
  <si>
    <t>Non-Res building</t>
  </si>
  <si>
    <t>Deep renovation</t>
  </si>
  <si>
    <t>Shallow renovation</t>
  </si>
  <si>
    <t>Public</t>
  </si>
  <si>
    <t>Avg (2024-2035)</t>
  </si>
  <si>
    <t>€/MWh</t>
  </si>
  <si>
    <t>Avg 2024-2035</t>
  </si>
  <si>
    <t>Avg 2021-2030</t>
  </si>
  <si>
    <t>1=Yes</t>
  </si>
  <si>
    <t>Avg 2024-35</t>
  </si>
  <si>
    <t>2025-2030 avg</t>
  </si>
  <si>
    <t>kWh/m2</t>
  </si>
  <si>
    <t>(+/-)</t>
  </si>
  <si>
    <t>EXISTING MEASURES</t>
  </si>
  <si>
    <t>eR1</t>
  </si>
  <si>
    <t>Renovation of apartment buildings (2014-2020)</t>
  </si>
  <si>
    <t>HF2a + HF2b</t>
  </si>
  <si>
    <t>Korterelamute rekonstrueerimise toetamine (2015-2027) + Eramute rekonstrueerimise toetamine (2015-2027)</t>
  </si>
  <si>
    <r>
      <t xml:space="preserve">Supporting the reconstruction of apartment buildings (2015-2027) </t>
    </r>
    <r>
      <rPr>
        <sz val="8"/>
        <color theme="6"/>
        <rFont val="Trebuchet MS"/>
        <family val="2"/>
      </rPr>
      <t xml:space="preserve">- 2023 NECP separates apartment buildings and small houses </t>
    </r>
  </si>
  <si>
    <t>Main</t>
  </si>
  <si>
    <t>Support scheme(s)</t>
  </si>
  <si>
    <t>See Sheet 'KLIM (2021-2030)'</t>
  </si>
  <si>
    <t>40% government; 60% homeowners</t>
  </si>
  <si>
    <t>Go</t>
  </si>
  <si>
    <t>This measure is already planned to continue in the future. Usually includes deep renovation, covering both EE and RES.</t>
  </si>
  <si>
    <t>eR2</t>
  </si>
  <si>
    <t>Renovation of private buildings (2019-present)</t>
  </si>
  <si>
    <t>Reconstruction of small houses</t>
  </si>
  <si>
    <t>30% government; 70% homeowners</t>
  </si>
  <si>
    <t>Refers to single household buildings, usually more flexible than measure for apartment buildlings, i.e. not necc. deep reno.</t>
  </si>
  <si>
    <t>eR3</t>
  </si>
  <si>
    <t>Renovation of rental apartments (2016-present)</t>
  </si>
  <si>
    <t>MKM (2014-2020)</t>
  </si>
  <si>
    <t>46% government; 54% homeowners</t>
  </si>
  <si>
    <t>Stop</t>
  </si>
  <si>
    <t>Measure yields insignificant savings.</t>
  </si>
  <si>
    <t>eR4</t>
  </si>
  <si>
    <t>Atmospheric air protection programme, including replacing fossil fuel-based heating equipment for apartment associations (2014-present)</t>
  </si>
  <si>
    <t>44% government; 56% homeowners</t>
  </si>
  <si>
    <t>Should not be considered in the frame of energy efficiency.</t>
  </si>
  <si>
    <t>eS1</t>
  </si>
  <si>
    <t>Renovation of healthcare centres (2016-on-going)</t>
  </si>
  <si>
    <t>HF1g</t>
  </si>
  <si>
    <t>Tervisekeskuste kaasajastamine (2016-)</t>
  </si>
  <si>
    <t>Modernisation of health centres (2016-)</t>
  </si>
  <si>
    <t>95% government</t>
  </si>
  <si>
    <t>Go, with changes</t>
  </si>
  <si>
    <t xml:space="preserve">To broaden the measure, to increase flexibility. </t>
  </si>
  <si>
    <t>eS2</t>
  </si>
  <si>
    <t>Modernisation of street lighting (2016-on-going)</t>
  </si>
  <si>
    <t>HF4</t>
  </si>
  <si>
    <t>Investeeringud tänavavalgustuse rekonstrueerimisprogrammi (2007-2024)</t>
  </si>
  <si>
    <t>Street lighting reconstruction programme investments (2007-2024)</t>
  </si>
  <si>
    <t>Obligation scheme (supply side)</t>
  </si>
  <si>
    <t>100% government</t>
  </si>
  <si>
    <t>This measure is something that can be taken up by the local municipality. Central government will stop subsidising this to local municipalities</t>
  </si>
  <si>
    <t>eS3</t>
  </si>
  <si>
    <t>Renovation of social care homes (2017-on-going)</t>
  </si>
  <si>
    <t>HF1e</t>
  </si>
  <si>
    <t>Erihoolekandeasutuste reorganiseerimine (2017-)</t>
  </si>
  <si>
    <t>Reorganisation of special care institutions (2017-)</t>
  </si>
  <si>
    <t>SEI (KLIM (2021-2030)</t>
  </si>
  <si>
    <t>n/a</t>
  </si>
  <si>
    <t>To broaden the measure to cover 'public buildings'. These buildlings will require deep renovation and is expected to incur high costs.</t>
  </si>
  <si>
    <t>eS4</t>
  </si>
  <si>
    <t>Renovation of school buildings (2018-on-going)</t>
  </si>
  <si>
    <t>HF1c + HF1d</t>
  </si>
  <si>
    <t>Põhikoolivõrgu korrastamine (2018-) + Gümnaasiumivõrgu korrastamine (2018-)</t>
  </si>
  <si>
    <t>Arrangement of the basic school network (2018-) + Arrangement of the gymnasium network (2018-)</t>
  </si>
  <si>
    <t>eS5</t>
  </si>
  <si>
    <t>Renovation of university and R&amp;D institutions (2016-on-going)</t>
  </si>
  <si>
    <t>HF1f</t>
  </si>
  <si>
    <t>Institutsionaalne arendusprogramm teadus- ja arendusasutustele ja kõrgkoolidele</t>
  </si>
  <si>
    <t>Institutional development programme for R&amp;D institutions and higher education institutions</t>
  </si>
  <si>
    <t>SEI</t>
  </si>
  <si>
    <t>eS6</t>
  </si>
  <si>
    <t>Renovation of kindergarten (2017-on-going)</t>
  </si>
  <si>
    <t>HF1i</t>
  </si>
  <si>
    <t>Lasteaiahoonetes energiatõhususe ja taastuvenergia kasutuse edendamine</t>
  </si>
  <si>
    <t>Kindergarten renovation</t>
  </si>
  <si>
    <t>See Sheet 'MKM (2014-2020)'</t>
  </si>
  <si>
    <t>eS7</t>
  </si>
  <si>
    <t>New childcare and pre-primary education infrastructure (2016-on-going)</t>
  </si>
  <si>
    <t>HF1h</t>
  </si>
  <si>
    <t>Uue lapsehoiu ja alushariduse infrastruktuuri loomine</t>
  </si>
  <si>
    <t>New childcare and pre-primary education infrastructure</t>
  </si>
  <si>
    <t xml:space="preserve">Already regulated by NZEB in EPBD. </t>
  </si>
  <si>
    <t>eI1</t>
  </si>
  <si>
    <t>Energy and resource efficiency in industries (2016-)</t>
  </si>
  <si>
    <t>EN20</t>
  </si>
  <si>
    <t>Energia- ja ressursitõhusus ettevõtetes (2016-)</t>
  </si>
  <si>
    <t>48% government; 52% industry</t>
  </si>
  <si>
    <t>+++</t>
  </si>
  <si>
    <t>Industry development</t>
  </si>
  <si>
    <t>Already considered to continue as an important measure.</t>
  </si>
  <si>
    <t>eI2</t>
  </si>
  <si>
    <t>Electro intensive enterprises tax reduction (2018-on-going)</t>
  </si>
  <si>
    <t>Pricing (e.g. carbon pricing, taxation or excise, etc.)</t>
  </si>
  <si>
    <t>The logic is that if companies have no money, they would also have no money to invest in EE at all. BE example: companies should reduce energy usage first before support is given.</t>
  </si>
  <si>
    <t>eT1</t>
  </si>
  <si>
    <t>Eco-driving (2011-ongoing)</t>
  </si>
  <si>
    <t>TR3</t>
  </si>
  <si>
    <t>Säästliku autojuhtimise edendamine (2002-)</t>
  </si>
  <si>
    <t>Promotion of economical driving (2002-)</t>
  </si>
  <si>
    <t>Energy Efficient Transport</t>
  </si>
  <si>
    <t>There are list of 7-8 new measures that are being proposed.</t>
  </si>
  <si>
    <t>eT2</t>
  </si>
  <si>
    <t>Walking and cycling roads (2015-2018)</t>
  </si>
  <si>
    <t>TR4b</t>
  </si>
  <si>
    <t>Linnatänavate ümberkorraldamine (2015-)</t>
  </si>
  <si>
    <t>Reconstruction of city streets (2015-)</t>
  </si>
  <si>
    <t>Enabling</t>
  </si>
  <si>
    <t>These are infrastructure investments which does not directly reduce energy usage. To move this to enabling measures + need for incentivising people to use public transport, for e.g. schemes to encourage people to buy electric bicycles/mobility devices</t>
  </si>
  <si>
    <t>eT3</t>
  </si>
  <si>
    <t>Mobile speed cameras (2019-on-going)</t>
  </si>
  <si>
    <t>100% vehicle owners</t>
  </si>
  <si>
    <t xml:space="preserve">Measure is likely to continue, but may have a limited impact on energy efficiency. </t>
  </si>
  <si>
    <t>eT4</t>
  </si>
  <si>
    <t>Time-based road toll for heavy duty vehicles (2018-on-going)</t>
  </si>
  <si>
    <t>TR6</t>
  </si>
  <si>
    <t>Raskeveokite ajapõhine teekasutustasu (2018-)</t>
  </si>
  <si>
    <t>Road usage fees for heavy duty vehicles based on time (2018-)</t>
  </si>
  <si>
    <t>KPMG Baltics</t>
  </si>
  <si>
    <t>eT5</t>
  </si>
  <si>
    <t>Electric car purchase and rental programme (2019-on-going)</t>
  </si>
  <si>
    <t>TR7</t>
  </si>
  <si>
    <t>Elektriautode ostutoetus (2020-2025)</t>
  </si>
  <si>
    <t>Electric car purchase support (2020-2025)</t>
  </si>
  <si>
    <t>eA1</t>
  </si>
  <si>
    <t>Aid for energy and resource-efficient processing of fishery and aquaculture products (2017-on-going)</t>
  </si>
  <si>
    <t>To see if this can be expanded to other industries such as agriculture and forestry.</t>
  </si>
  <si>
    <t>eA2</t>
  </si>
  <si>
    <t>Support for improving the energy efficiency of coastal fishing vessels (2019- on-going)</t>
  </si>
  <si>
    <t>Markus (Energex) to do a double check on the details of this measure; see if this can be scaled up to expand to other industries</t>
  </si>
  <si>
    <t>eC1</t>
  </si>
  <si>
    <t>Excise and value added tax of natural gas</t>
  </si>
  <si>
    <t>Gov. (admin costs); cost of increased taxes on tax payers</t>
  </si>
  <si>
    <t>eC2</t>
  </si>
  <si>
    <t>Excise and value added tax of electricity</t>
  </si>
  <si>
    <t>eC3</t>
  </si>
  <si>
    <t>Excise and value added tax in heating sector</t>
  </si>
  <si>
    <t>eC4</t>
  </si>
  <si>
    <t>Excise and value added tax of gasoline</t>
  </si>
  <si>
    <t>eC5</t>
  </si>
  <si>
    <t>Excise and value added tax of diesel fuel and light fuel oil</t>
  </si>
  <si>
    <t>eC6</t>
  </si>
  <si>
    <t>Value added tax of firewood</t>
  </si>
  <si>
    <t>Gov. (admin costs); no increased taxes</t>
  </si>
  <si>
    <t>eC7</t>
  </si>
  <si>
    <t>Renewable energy fee</t>
  </si>
  <si>
    <t>eC8</t>
  </si>
  <si>
    <t>Wood chips and waste VAT</t>
  </si>
  <si>
    <t>eC9</t>
  </si>
  <si>
    <t>Excise duty on specially marked diesel</t>
  </si>
  <si>
    <t>eC10</t>
  </si>
  <si>
    <t>Electricity smart meters (2015-on-going)</t>
  </si>
  <si>
    <t>EN10</t>
  </si>
  <si>
    <t>Elektri kauglugemise kohustus (2013-)</t>
  </si>
  <si>
    <t> Obligation to read electricity remotely  (2013-)</t>
  </si>
  <si>
    <t>Move to enabling policies.</t>
  </si>
  <si>
    <t>eC11</t>
  </si>
  <si>
    <t>Energy efficiency investments by electricity distribution companies (2020-on-going)</t>
  </si>
  <si>
    <t>??</t>
  </si>
  <si>
    <t>eC12</t>
  </si>
  <si>
    <t>Profit distribution based corporate income tax (1991-on-going)</t>
  </si>
  <si>
    <t>You can reinvest profits without taxation, does not necc. result to EE measures. May need additional explanation.</t>
  </si>
  <si>
    <t>eC13</t>
  </si>
  <si>
    <t>Oil boiler replacement (2015-on-going)</t>
  </si>
  <si>
    <t>EN18</t>
  </si>
  <si>
    <t>Väikeelamute taastuvenergia kasutuselevõtu ja küttesüsteemide uuendamise toetus (2014-)</t>
  </si>
  <si>
    <t>Oil boiler replacement programme (2014-)</t>
  </si>
  <si>
    <t>The savings will be recorded as part of building renovations; in addition, most of these have been replaced in Estonia.</t>
  </si>
  <si>
    <t>NEW MEASURES</t>
  </si>
  <si>
    <t>nR1</t>
  </si>
  <si>
    <t>Obligation scheme for residential sector</t>
  </si>
  <si>
    <t>See Sheet 'TalTech'</t>
  </si>
  <si>
    <t>-</t>
  </si>
  <si>
    <t>Will likely compromise indoor climate.</t>
  </si>
  <si>
    <t xml:space="preserve">Obligation scheme is more targeted at energy suppliers, not building owners. Difficult to implement in Estonian context. 
'Carrot' type, Positive framing is important - can sell white certificates if they have energy savings: new market/opportunities. </t>
  </si>
  <si>
    <t>nR2</t>
  </si>
  <si>
    <t>MEPS targeting rented/selling dwellings</t>
  </si>
  <si>
    <t>MEPS &amp; industrial binding target (demand side)</t>
  </si>
  <si>
    <t>+</t>
  </si>
  <si>
    <t>Improved indoor climate</t>
  </si>
  <si>
    <t>MEPS are problematic for residential buildings. May also encourage black market in rental market (if for e.g. rentals cannot take place below a certain level). 
Idea behind is to provide support scheme + strong signal to the worse performing buildings to perform deep renovations over a period of 10 years.  It also helps to protect vulnerable households.
Due to presence of split incentives, it may be useful to have targeted measure for rented dwellings. However, calculations may become more complex - strong assumptions would be needed here.</t>
  </si>
  <si>
    <t>nR3</t>
  </si>
  <si>
    <t>MEPS for all dwelling (regulatory requirements for EPC class E, F, and G or above)</t>
  </si>
  <si>
    <t>nR4</t>
  </si>
  <si>
    <t>Renovation grants for single family houses (20-30% support)</t>
  </si>
  <si>
    <t>++</t>
  </si>
  <si>
    <t>Improved indoor climate and real estate value, reduced DALY and health care cost</t>
  </si>
  <si>
    <t>A successful, existing measure, but does cost a lot. However, they do bring in 'white' market (prevents black market)</t>
  </si>
  <si>
    <t>nR5</t>
  </si>
  <si>
    <t>Tax deduction for renovation works by private persons (=parallel track for single family)</t>
  </si>
  <si>
    <t xml:space="preserve">Focus group: single family buildings. Example from Sweden: tax reduction is provided for the work costs (which makes up a big % of total cost), limited to a certain amount per year (for e.g. cap at EUR 5K annually). This helps to reduce black market labour. </t>
  </si>
  <si>
    <t>nR6</t>
  </si>
  <si>
    <t>Renovation grants for multifamily buildings/housing associations (30% support)</t>
  </si>
  <si>
    <t xml:space="preserve">Focus group: multi-family buildings: Funding for renovation grants may be limited. Tax deduction encourages private investments. Both may be run in parallel. </t>
  </si>
  <si>
    <t>nR7</t>
  </si>
  <si>
    <t>Property tax (according to EPC levels)</t>
  </si>
  <si>
    <t>Will work for both residential and non-residential buildlings. 
Option 1: Adapt level based on EPC; 
Option 1 + : Use property taxation to make a loan/reinbursement to realise energy saving investments</t>
  </si>
  <si>
    <t>nR8</t>
  </si>
  <si>
    <t>CO2 tax for end energy use of residential buildings</t>
  </si>
  <si>
    <t>CO2 tax and property tax are alternative measures with the same impact</t>
  </si>
  <si>
    <t>residential</t>
  </si>
  <si>
    <t>nS1</t>
  </si>
  <si>
    <t>Obligation scheme for service sector</t>
  </si>
  <si>
    <t>Same as residential, it would be difficult to implement this in Estonia. Better application potential compared to residential sector.</t>
  </si>
  <si>
    <t>nS2</t>
  </si>
  <si>
    <t>Central government buildings renovation support (100% support)</t>
  </si>
  <si>
    <t>HF1b + HF5b</t>
  </si>
  <si>
    <t>Keskvalitsuse hoonete rekonstrueerimine (2019-) + Täiendav keskvalitsuse hoonete rekonstrueerimine (2025-)</t>
  </si>
  <si>
    <t>Energy efficiency in central government buildings (2019-)</t>
  </si>
  <si>
    <t>Improved indoor climate and improved productivity and wellbeing.</t>
  </si>
  <si>
    <t>nS3</t>
  </si>
  <si>
    <t>Public and municipality buildings renovation support (60% support in average)</t>
  </si>
  <si>
    <t>HF1a + HF5a</t>
  </si>
  <si>
    <t>Kohalike omavalitsuste hoonete rekonstrueerimine (2020-) + Täiendav KOV hoonete rekonstrueerimine (2025-)</t>
  </si>
  <si>
    <t>Energy efficiency in local government buildings (2020-)  + Additional reconstruction of municipal buildings (2025-)</t>
  </si>
  <si>
    <t>nS4</t>
  </si>
  <si>
    <t>Commercial buildings energy performance investments support</t>
  </si>
  <si>
    <t>HF3</t>
  </si>
  <si>
    <t>Erasektori mitteeluhoonete rekonstrueerimise toetamine</t>
  </si>
  <si>
    <t>Supporting the reconstruction of non-residential buildings in the private sector</t>
  </si>
  <si>
    <t xml:space="preserve">Includes privately owned, non-residential building. But this is not realistic to obtain funding, as a lot of funds are already required for residential buildings. 
New investment instruments and monetary sources, for e.g. private banks in Estonia, or EIB could fill the gap in the future. </t>
  </si>
  <si>
    <t>nS5</t>
  </si>
  <si>
    <t>CO2 certificate sales based on energy savings from commercial buildings renovation, income invested as renovation support</t>
  </si>
  <si>
    <t>Like a local ETS that is voluntary: To collect funding for renovation grant; energy savings will be sold as certificate by funding renovation projects. i.e., renovation support to non-residential buildings, this agency can also sell certificates to get funds to carry out renovations.
Voluntary 'offset' scheme: for companies who wants to reduce their energy footprint. 
ETS 2 will also already cover building sector - will there be an overlap?</t>
  </si>
  <si>
    <t>nS6</t>
  </si>
  <si>
    <t>CO2 tax for end energy use of commercial buildings</t>
  </si>
  <si>
    <t>Focus should be on 'non-residential' buildings.</t>
  </si>
  <si>
    <t>nS7</t>
  </si>
  <si>
    <t>nS8</t>
  </si>
  <si>
    <t>Minimum energy performance standards for non-residential buildings (regulatory requirements for EPC class E and F)</t>
  </si>
  <si>
    <t>service</t>
  </si>
  <si>
    <t>nI1</t>
  </si>
  <si>
    <t>Voluntary scheme for the industry, with binding targets based on incentives</t>
  </si>
  <si>
    <t>Voluntary scheme</t>
  </si>
  <si>
    <t>nI2</t>
  </si>
  <si>
    <t>Promotion of resource-efficient green technologies of industrial enterprises (RRP)</t>
  </si>
  <si>
    <t>Tööstusettevõtete ressursitõhusate rohetehnoloogiate edendamine</t>
  </si>
  <si>
    <t>Anna/TalTech can send us a word document with Industry/cross-cutting measures</t>
  </si>
  <si>
    <t>nI3</t>
  </si>
  <si>
    <t>Supporting energy efficiency investments in energy-intensive companies</t>
  </si>
  <si>
    <t>Elektrointensiivsete ettevõtete energiasääst</t>
  </si>
  <si>
    <t>nI4</t>
  </si>
  <si>
    <t xml:space="preserve">Investment support for the food industry to ensure security of energy supply </t>
  </si>
  <si>
    <t>Toiduainetööstuse investeeringutoetus energia varustuskindluse tagamiseks</t>
  </si>
  <si>
    <t>nI5</t>
  </si>
  <si>
    <t>Supporting energy efficiency investments in companies</t>
  </si>
  <si>
    <t>Energiatõhususe investeeringute toetamine ettevõtetes</t>
  </si>
  <si>
    <t>nI6</t>
  </si>
  <si>
    <t>Energy consulting and networking events for small and medium enterprises (SMEs)</t>
  </si>
  <si>
    <t>Väike ja keskmiste ettevõtete (VKE) energianõustamine ja võrgustumisüritused</t>
  </si>
  <si>
    <t>industry</t>
  </si>
  <si>
    <t>nT1</t>
  </si>
  <si>
    <t>Promotion of clean and energy efficient road transport vehicles in public procurement</t>
  </si>
  <si>
    <t>TR17</t>
  </si>
  <si>
    <t>KHS direktiivi ülevõtmine ning riigisektori sõidukipargi keskkonnasõbralikuks muutmine</t>
  </si>
  <si>
    <t>nT2</t>
  </si>
  <si>
    <t>Subsidy for public transport usage instead of personal vehicle</t>
  </si>
  <si>
    <t>nT3</t>
  </si>
  <si>
    <t>Priority lanes for micromobility</t>
  </si>
  <si>
    <t>nT4</t>
  </si>
  <si>
    <t>Electric charging infrastructure for existing inhabitance areas</t>
  </si>
  <si>
    <t>nT5</t>
  </si>
  <si>
    <t>Biomethane infrastructure</t>
  </si>
  <si>
    <t>nT6</t>
  </si>
  <si>
    <t>Hydrogen infrastructure</t>
  </si>
  <si>
    <t>nT7</t>
  </si>
  <si>
    <t>Vehicle tax for registration</t>
  </si>
  <si>
    <t>nT8</t>
  </si>
  <si>
    <t>Annual vehicle tax</t>
  </si>
  <si>
    <t>nT9</t>
  </si>
  <si>
    <t>Development of convenient and modern public transport</t>
  </si>
  <si>
    <t>TR5</t>
  </si>
  <si>
    <t>Mugav ja kaasaegne ühistransport</t>
  </si>
  <si>
    <t>Finantsakadeemia OÜ</t>
  </si>
  <si>
    <t>nT11</t>
  </si>
  <si>
    <t>Developing the railroad infrastructure  (includes the building of Rail Baltic)</t>
  </si>
  <si>
    <t>TR13</t>
  </si>
  <si>
    <t>Raudteeinfrastruktuuri arendamine  (sh Rail Balticu ehitus)</t>
  </si>
  <si>
    <t>nT12</t>
  </si>
  <si>
    <t>The railroad electrification</t>
  </si>
  <si>
    <t>TR14</t>
  </si>
  <si>
    <t>Raudtee elektrifitseerimine</t>
  </si>
  <si>
    <t>nT13</t>
  </si>
  <si>
    <t>Promoting the use of biomethane in buses</t>
  </si>
  <si>
    <t>TR16a</t>
  </si>
  <si>
    <t>Biometaani kasutamise soodustamine bussides</t>
  </si>
  <si>
    <t>nT14</t>
  </si>
  <si>
    <t>Promoting the use of electricity in buses</t>
  </si>
  <si>
    <t>TR16b</t>
  </si>
  <si>
    <t>Elektri kasutamise soodustamine bussides</t>
  </si>
  <si>
    <t>nT15</t>
  </si>
  <si>
    <t>Acquisition of additional passenger trains</t>
  </si>
  <si>
    <t>TR18</t>
  </si>
  <si>
    <t>Täiendatavate reisirongide soetamine</t>
  </si>
  <si>
    <t>nT16</t>
  </si>
  <si>
    <t>New tram lines in Tallinn</t>
  </si>
  <si>
    <t>TR20</t>
  </si>
  <si>
    <t xml:space="preserve">Tallinna uued trammiliinid </t>
  </si>
  <si>
    <t>nT17</t>
  </si>
  <si>
    <t>Subsidy for micromobility usage instead of personal vehicle</t>
  </si>
  <si>
    <t>nT18</t>
  </si>
  <si>
    <t>All Tallinn and Tartu taxis run on electricity</t>
  </si>
  <si>
    <t>nT19</t>
  </si>
  <si>
    <t>Tallinn and Tartu congestion charge</t>
  </si>
  <si>
    <t>nT20</t>
  </si>
  <si>
    <t>Mileage-based road use fee for heavy vehicles.</t>
  </si>
  <si>
    <t>nT21</t>
  </si>
  <si>
    <t>Subsidizing biofuel that meets the criteria of sustainability or imposing the obligation to sell it to filling stations</t>
  </si>
  <si>
    <t>transport</t>
  </si>
  <si>
    <t>nA1</t>
  </si>
  <si>
    <t>Audits in large agricultural holdings</t>
  </si>
  <si>
    <t>PM21</t>
  </si>
  <si>
    <t>Auditid suuremates põllumajandusettevõtetes</t>
  </si>
  <si>
    <t>nA2</t>
  </si>
  <si>
    <t>Energy efficiency measures in the fisheries sector</t>
  </si>
  <si>
    <t>Kalandussektori energiatõhususe meetmed</t>
  </si>
  <si>
    <t>nC1</t>
  </si>
  <si>
    <t>Green procurement</t>
  </si>
  <si>
    <t>LEGEND</t>
  </si>
  <si>
    <t>Proposed by project team</t>
  </si>
  <si>
    <t>Continuation of existing measure</t>
  </si>
  <si>
    <t>Measures from NECP 2023</t>
  </si>
  <si>
    <t>Measures from NECP 2019 but not included previously in D2 and which are relevant</t>
  </si>
  <si>
    <t>*Energy savings were provided by KLIM</t>
  </si>
  <si>
    <t>Baseline Scenario</t>
  </si>
  <si>
    <t>P1</t>
  </si>
  <si>
    <t>P2</t>
  </si>
  <si>
    <t>P3</t>
  </si>
  <si>
    <t>P4</t>
  </si>
  <si>
    <t>P5</t>
  </si>
  <si>
    <t>P6</t>
  </si>
  <si>
    <t>P7</t>
  </si>
  <si>
    <t>Title</t>
  </si>
  <si>
    <t>TOTAL ENERGY USE</t>
  </si>
  <si>
    <t>from 2020 without savings</t>
  </si>
  <si>
    <t>IND</t>
  </si>
  <si>
    <t>w/o savings</t>
  </si>
  <si>
    <t>FEC</t>
  </si>
  <si>
    <t>Total consumption of industry without savings</t>
  </si>
  <si>
    <t>BASELINE WITHOUT SAVINGS</t>
  </si>
  <si>
    <t>HH</t>
  </si>
  <si>
    <t>Total consumption of households</t>
  </si>
  <si>
    <t>TER</t>
  </si>
  <si>
    <t>Total consumption of tertiary &amp; others</t>
  </si>
  <si>
    <t>TRA</t>
  </si>
  <si>
    <t>Total consumption of transport (excl. international air)</t>
  </si>
  <si>
    <t>AFF</t>
  </si>
  <si>
    <t>Total consumption of agriculture, fishing and forestry</t>
  </si>
  <si>
    <t>WITHOUT SAVINGS</t>
  </si>
  <si>
    <t>EED TARGET</t>
  </si>
  <si>
    <t>SECTOR SPECIFIC SAVINGS</t>
  </si>
  <si>
    <t>Existing</t>
  </si>
  <si>
    <t>SAV</t>
  </si>
  <si>
    <t>Specific savings for the industry</t>
  </si>
  <si>
    <t>Specific savings for households</t>
  </si>
  <si>
    <t>Specific savings for tertiary</t>
  </si>
  <si>
    <t>Specific savings for transport</t>
  </si>
  <si>
    <t>Specific savings for agriculture, fishing and forestry</t>
  </si>
  <si>
    <t>CROSS-CUTTING SAVINGS</t>
  </si>
  <si>
    <t>Cross-cutting savings for the industry</t>
  </si>
  <si>
    <t>Cross-cutting savings for households</t>
  </si>
  <si>
    <t>Cross-cutting savings for tertiary</t>
  </si>
  <si>
    <t>Cross-cutting savings for transport</t>
  </si>
  <si>
    <t>Cross-cutting savings for agriculture, fishing and forestry</t>
  </si>
  <si>
    <t>Total consumption of industry</t>
  </si>
  <si>
    <t>BASELINE WITH SAVINGS from EXISTING MEASURES</t>
  </si>
  <si>
    <t>WITH SAVINGS</t>
  </si>
  <si>
    <t>%YEARLY ENERGY SAVINGS</t>
  </si>
  <si>
    <t>CUMULATIVE</t>
  </si>
  <si>
    <t>New</t>
  </si>
  <si>
    <t>SCENARIO</t>
  </si>
  <si>
    <t>Total consumption of industry with savings</t>
  </si>
  <si>
    <t>Total consumption of industry with savings without growth</t>
  </si>
  <si>
    <t>INDUSTRY</t>
  </si>
  <si>
    <t>Establishing the Baseline</t>
  </si>
  <si>
    <t>Production index and physical production of industry</t>
  </si>
  <si>
    <t>Manufacturing industry</t>
  </si>
  <si>
    <t>Assumed % increase in production of industry sector</t>
  </si>
  <si>
    <t>Production index of food, beverage and tobacco (Nace 10,11,12)</t>
  </si>
  <si>
    <t>2015=100</t>
  </si>
  <si>
    <t>Production index of textiles, clothing, leather (Nace 13,14,15)</t>
  </si>
  <si>
    <t>Production index of wood industry (Nace 16)</t>
  </si>
  <si>
    <t>Production index of paper and printing products  (Nace 17,18)</t>
  </si>
  <si>
    <t xml:space="preserve">  Production index of paper and board (Nace 17)</t>
  </si>
  <si>
    <t>Production index of chemicals (Nace 20,21)</t>
  </si>
  <si>
    <t>Production index of non metallic minerals (Nace 23)</t>
  </si>
  <si>
    <t>Production index of primary metal industry (Nace 24)</t>
  </si>
  <si>
    <t>Production index  of machinery (Nace 25,26,27,28)</t>
  </si>
  <si>
    <t xml:space="preserve">  Production index of fabricated  metal (Nace 25)</t>
  </si>
  <si>
    <t>Production index  of transport equipment  (Nace 29,30)</t>
  </si>
  <si>
    <t>Production index of other manufacturing (Nace 22,31,32)</t>
  </si>
  <si>
    <t xml:space="preserve">  Production index of  rubber &amp; plastics products (Nace 22)</t>
  </si>
  <si>
    <t>Production index of manufacturing industry (Section C, Nace 10-32)</t>
  </si>
  <si>
    <t>Other industries</t>
  </si>
  <si>
    <t>Production index of mines (Nace 05 to 09)</t>
  </si>
  <si>
    <t>Production index of construction (41 to 43)</t>
  </si>
  <si>
    <t>Production index of industry</t>
  </si>
  <si>
    <t>Physical production</t>
  </si>
  <si>
    <t>Production of crude steel</t>
  </si>
  <si>
    <t>kt</t>
  </si>
  <si>
    <t xml:space="preserve">  of which non electric crude steel</t>
  </si>
  <si>
    <t xml:space="preserve">  of which electric crude steel</t>
  </si>
  <si>
    <t>Production of cement</t>
  </si>
  <si>
    <t>Production of clinker</t>
  </si>
  <si>
    <t>Production of ammonia</t>
  </si>
  <si>
    <t>Production of paper</t>
  </si>
  <si>
    <t>Production of paper pulp</t>
  </si>
  <si>
    <t xml:space="preserve">  of which mechanical paper pulp</t>
  </si>
  <si>
    <t xml:space="preserve">  of which chemical paper pulp</t>
  </si>
  <si>
    <t>Production of glass</t>
  </si>
  <si>
    <t>76.7</t>
  </si>
  <si>
    <t xml:space="preserve">  of which flat glass</t>
  </si>
  <si>
    <t xml:space="preserve">  of which bottle glass</t>
  </si>
  <si>
    <t>Final energy consumption of manufacturing industry by branch</t>
  </si>
  <si>
    <t>Manufacturing (Section C, Nace 10 to 32)</t>
  </si>
  <si>
    <t>Oil products consumption of manufacturing industry</t>
  </si>
  <si>
    <t xml:space="preserve">  of which diesel oil</t>
  </si>
  <si>
    <t xml:space="preserve">  of which heavy fuel oil</t>
  </si>
  <si>
    <t xml:space="preserve">  of which other petroleum</t>
  </si>
  <si>
    <t>Gas final consumption of manufacturing industry</t>
  </si>
  <si>
    <t xml:space="preserve">  of which natural gas</t>
  </si>
  <si>
    <t xml:space="preserve">  of which manufactured gas (purchased + self produced)</t>
  </si>
  <si>
    <t>Coal final consumption of manufacturing industry</t>
  </si>
  <si>
    <t xml:space="preserve">  of which hard coal</t>
  </si>
  <si>
    <t xml:space="preserve">  of which brown coal (oil shale)</t>
  </si>
  <si>
    <t xml:space="preserve">  of which coke</t>
  </si>
  <si>
    <t xml:space="preserve">  of which other solid fuels (peat ..)</t>
  </si>
  <si>
    <t>Heat final consumption (purchased) of manufacturing industry</t>
  </si>
  <si>
    <t>Electricity final consumption (purchased + self produced) of manufacturing industry</t>
  </si>
  <si>
    <t>Other final consumption of manufacturing industry (wood, wastes), except ambient heat</t>
  </si>
  <si>
    <t>MANUFACTURING</t>
  </si>
  <si>
    <t>Total final energy consumption of manufacturing industry</t>
  </si>
  <si>
    <t>Control</t>
  </si>
  <si>
    <t>Food, beverage and tobacco (Nace 10,11,12)</t>
  </si>
  <si>
    <t>Oil products consumption of food, beverage and tobacco</t>
  </si>
  <si>
    <t>Gas final consumption of food, beverage and tobacco</t>
  </si>
  <si>
    <t>Coal final consumption of food, beverage and tobacco</t>
  </si>
  <si>
    <t xml:space="preserve">  of which brown coal</t>
  </si>
  <si>
    <t>Heat final consumption (purchased) of  food, beverage and tobacco</t>
  </si>
  <si>
    <t>Electricity final consumption (purchased + self produced) of food, beverage and tobacco</t>
  </si>
  <si>
    <t>Other final consumption of food, beverage and tobacco (wood, wastes), except ambient heat</t>
  </si>
  <si>
    <t>FOOD</t>
  </si>
  <si>
    <t>Total final energy consumption of food, beverage and tobacco</t>
  </si>
  <si>
    <t>Textiles, clothing, leather and footwear (Nace 13,14,15)</t>
  </si>
  <si>
    <t>Oil products consumption of textiles, clothing, leather and footwear</t>
  </si>
  <si>
    <t>Gas final consumption of textiles, clothing, leather and footwear</t>
  </si>
  <si>
    <t>Coal final consumption of textiles, clothing, leather and footwear</t>
  </si>
  <si>
    <t>Heat final consumption (purchased) of  textiles, clothing, leather and footwear</t>
  </si>
  <si>
    <t>Electricity final consumption (purchased + self produced) of textiles, clothing, leather and footwear</t>
  </si>
  <si>
    <t>Other final consumption of textiles, clothing, leather and footwear (wood, wastes), except ambient heat</t>
  </si>
  <si>
    <t>TEXTILES</t>
  </si>
  <si>
    <t>Total final energy consumption of textiles, clothing, leather and footwear</t>
  </si>
  <si>
    <t>Wood, wood products (Nace 16)</t>
  </si>
  <si>
    <t>Oil products consumption of wood</t>
  </si>
  <si>
    <t>Gas final consumption of wood</t>
  </si>
  <si>
    <t>Coal final consumption of wood</t>
  </si>
  <si>
    <t>Heat final consumption (purchased) of  wood</t>
  </si>
  <si>
    <t>Electricity final consumption (purchased + self produced) of wood</t>
  </si>
  <si>
    <t>Other final consumption of wood (wood, wastes), except ambient heat</t>
  </si>
  <si>
    <t>WOOD</t>
  </si>
  <si>
    <t>Total final energy consumption of wood</t>
  </si>
  <si>
    <t>Paper, pulp and printing products (Nace 17,18)</t>
  </si>
  <si>
    <t>Oil products consumption of paper, pulp and printing products</t>
  </si>
  <si>
    <t>Gas final consumption of paper, pulp and printing products</t>
  </si>
  <si>
    <t>Coal final consumption of paper, pulp and printing products</t>
  </si>
  <si>
    <t>Heat final consumption (purchased) of paper, pulp and printing products</t>
  </si>
  <si>
    <t>Electricity final consumption (purchased + self produced) of paper, pulp and printing products</t>
  </si>
  <si>
    <t>Other final consumption of paper, pulp and printing products (wood, wastes), except ambient heat</t>
  </si>
  <si>
    <t>PAPER</t>
  </si>
  <si>
    <t>Total final energy consumption of paper, pulp and printing products</t>
  </si>
  <si>
    <t>Chemicals (Nace 20,21)</t>
  </si>
  <si>
    <t>Oil products consumption of chemicals</t>
  </si>
  <si>
    <t>Gas final consumption of chemicals</t>
  </si>
  <si>
    <t>Coal final consumption of chemicals</t>
  </si>
  <si>
    <t>Heat final consumption (purchased) of chemicals</t>
  </si>
  <si>
    <t>Electricity final consumption (purchased + self produced) of chemicals</t>
  </si>
  <si>
    <t>Other final consumption of chemicals (wood, wastes), except ambient heat</t>
  </si>
  <si>
    <t>CHEMICALS</t>
  </si>
  <si>
    <t>Total final energy consumption of chemicals</t>
  </si>
  <si>
    <t>Non metallic minerals (Nace 23)</t>
  </si>
  <si>
    <t>Oil products consumption of non metallic minerals</t>
  </si>
  <si>
    <t>Gas final consumption of non metallic minerals</t>
  </si>
  <si>
    <t>Coal final consumption of non metallic minerals</t>
  </si>
  <si>
    <t>Heat final consumption (purchased) of non metallic minerals</t>
  </si>
  <si>
    <t>Electricity final consumption (purchased + self produced) of non metallic minerals</t>
  </si>
  <si>
    <t>Other final consumption of non metallic minerals (wood, wastes), except ambient heat</t>
  </si>
  <si>
    <t>BUILDING MATERIAL</t>
  </si>
  <si>
    <t>Total final energy consumption of non metallic minerals</t>
  </si>
  <si>
    <t>Steel (Nace 24.1-24.2-24.3-24.51-24.52)</t>
  </si>
  <si>
    <t>Oil products consumption of steel</t>
  </si>
  <si>
    <t>Gas final consumption of steel</t>
  </si>
  <si>
    <t>Coal final consumption of steel</t>
  </si>
  <si>
    <t>Heat final consumption (purchased) of steel</t>
  </si>
  <si>
    <t>Electricity final consumption (purchased + self produced) of steel</t>
  </si>
  <si>
    <t>Other final consumption of steel (wood, wastes), except ambient heat</t>
  </si>
  <si>
    <t>IRON AND STEEL</t>
  </si>
  <si>
    <t>Total final energy consumption of steel</t>
  </si>
  <si>
    <t>Non ferrous metals (Nace 24.4-24.53-24.54)</t>
  </si>
  <si>
    <t>Oil products consumption of non ferrous metals</t>
  </si>
  <si>
    <t>Gas final consumption of non ferrous metals</t>
  </si>
  <si>
    <t>Coal final consumption of non ferrous metals</t>
  </si>
  <si>
    <t>Heat final consumption (purchased) of non ferrous metals</t>
  </si>
  <si>
    <t>Electricity final consumption (purchased + self produced) of non ferrous metals</t>
  </si>
  <si>
    <t>Other final consumption of non ferrous metals (wood, wastes), except ambient heat</t>
  </si>
  <si>
    <t>NONFERROUS</t>
  </si>
  <si>
    <t>Total final energy consumption of non ferrous metals</t>
  </si>
  <si>
    <t>Machinery and metal products (Nace 25,26,27,28)</t>
  </si>
  <si>
    <t>Oil products consumption of machinery</t>
  </si>
  <si>
    <t>Gas final consumption of machinery</t>
  </si>
  <si>
    <t>Coal final consumption of machinery</t>
  </si>
  <si>
    <t>Heat final consumption (purchased) of machinery</t>
  </si>
  <si>
    <t>Electricity final consumption (purchased + self produced) of machinery</t>
  </si>
  <si>
    <t>Other final consumption of machinery (wood, wastes), except ambient heat</t>
  </si>
  <si>
    <t>MACHINERY</t>
  </si>
  <si>
    <t>Total final energy consumption of machinery</t>
  </si>
  <si>
    <t>Transport equipment (Nace 29,30)</t>
  </si>
  <si>
    <t>Oil products consumption of transport equipment</t>
  </si>
  <si>
    <t>Gas final consumption of transport equipment</t>
  </si>
  <si>
    <t>Coal final consumption of transport equipment</t>
  </si>
  <si>
    <t>Heat final consumption (purchased) of transport equipment</t>
  </si>
  <si>
    <t>Electricity final consumption (purchased + self produced) of transport equipment</t>
  </si>
  <si>
    <t>Other final consumption of transport equipment (wood, wastes), except ambient heat</t>
  </si>
  <si>
    <t>TRANSPORT VEHICLES</t>
  </si>
  <si>
    <t>Total final energy consumption of transport equipment</t>
  </si>
  <si>
    <t>Other manufacturing (Nace 22,31,32)</t>
  </si>
  <si>
    <t>OTHER</t>
  </si>
  <si>
    <t>Total final energy consumption of other manufacturing</t>
  </si>
  <si>
    <t>Final energy consumption of other industries by branch</t>
  </si>
  <si>
    <t>Mining and quarrying (Nace 07 to 09)</t>
  </si>
  <si>
    <t>Oil products consumption of mines</t>
  </si>
  <si>
    <t>Gas final consumption of mines</t>
  </si>
  <si>
    <t>Coal final consumption of mines</t>
  </si>
  <si>
    <t>Heat final consumption (purchased) of mines</t>
  </si>
  <si>
    <t>Electricity final consumption (purchased + self produced) of mines</t>
  </si>
  <si>
    <t>Other final consumption of mines (wood, wastes), except ambient heat</t>
  </si>
  <si>
    <t>MINES</t>
  </si>
  <si>
    <t>Total final energy consumption of mines</t>
  </si>
  <si>
    <t>Water processing (Nace 36 to 39)</t>
  </si>
  <si>
    <t>WATER</t>
  </si>
  <si>
    <t>Electricity final consumption of water production/treatment</t>
  </si>
  <si>
    <t>Construction (Nace 41 to 43)</t>
  </si>
  <si>
    <t>Oil products consumption of construction</t>
  </si>
  <si>
    <t>Gas final consumption of construction</t>
  </si>
  <si>
    <t>Coal final consumption of construction</t>
  </si>
  <si>
    <t>Heat final consumption (purchased) of construction</t>
  </si>
  <si>
    <t>Electricity final consumption (purchased + self produced) of construction</t>
  </si>
  <si>
    <t>Other final consumption of construction (wood, wastes), except ambient heat</t>
  </si>
  <si>
    <t>CONSTRUCTION</t>
  </si>
  <si>
    <t>Total final energy consumption of construction</t>
  </si>
  <si>
    <t>1.6. Final energy consumption of energy intensive products</t>
  </si>
  <si>
    <t>Cement</t>
  </si>
  <si>
    <t>Oil products consumption of cement</t>
  </si>
  <si>
    <t>Gas final consumption of cement</t>
  </si>
  <si>
    <t>Coal final consumption of cement</t>
  </si>
  <si>
    <t>Heat final consumption (purchased) of cement</t>
  </si>
  <si>
    <t>Electricity final consumption (purchased + self produced) of cement</t>
  </si>
  <si>
    <t>Other final consumption of cement (wood, wastes), except ambient heat</t>
  </si>
  <si>
    <t>CEMENT</t>
  </si>
  <si>
    <t>Total final energy consumption of cement</t>
  </si>
  <si>
    <t>Harmonization of energy data</t>
  </si>
  <si>
    <t>Final energy consumption of  food</t>
  </si>
  <si>
    <t>Final energy consumption of textile</t>
  </si>
  <si>
    <t>Final energy consumption of wood industry</t>
  </si>
  <si>
    <t>Final energy consumption of paper</t>
  </si>
  <si>
    <t>Final energy consumption of chemicals</t>
  </si>
  <si>
    <t>Final energy consumption of non metallic minerals</t>
  </si>
  <si>
    <t xml:space="preserve">    of which cement</t>
  </si>
  <si>
    <t>Final energy consumption of iron and steel</t>
  </si>
  <si>
    <t>Final energy consumption of  non ferrous</t>
  </si>
  <si>
    <t>Final energy consumption of  machinery &amp; metal products</t>
  </si>
  <si>
    <t>FABRICATED METALS</t>
  </si>
  <si>
    <t xml:space="preserve">    of which  fabricated metals</t>
  </si>
  <si>
    <t>Final energy consumption of  transport vehicles</t>
  </si>
  <si>
    <t>Final energy consumption of  other manufacturing</t>
  </si>
  <si>
    <t>Final energy consumption of manufacturing (sum of branches)</t>
  </si>
  <si>
    <t>Final energy consumption of  manufacturing</t>
  </si>
  <si>
    <t>Consistency: sum of branches compared to manufacturing</t>
  </si>
  <si>
    <t>Final energy consumption of mining</t>
  </si>
  <si>
    <t>Final energy consumption of water processing</t>
  </si>
  <si>
    <t>Final energy consumption of  construction</t>
  </si>
  <si>
    <t>Final energy consumption of industry (sum of branches)</t>
  </si>
  <si>
    <t>Final energy consumption of  industry</t>
  </si>
  <si>
    <t>Integrating existing Energy Efficiency measures</t>
  </si>
  <si>
    <t>Integrating planned &amp; new Energy Efficiency measures</t>
  </si>
  <si>
    <t>BUILDING HOUSEHOLDS</t>
  </si>
  <si>
    <t>Total stock of buildings</t>
  </si>
  <si>
    <t>Assumed % change in surface by building type</t>
  </si>
  <si>
    <t>% change in res. building stock</t>
  </si>
  <si>
    <t>% change in renovation</t>
  </si>
  <si>
    <t>% total change</t>
  </si>
  <si>
    <t>% of total building stock</t>
  </si>
  <si>
    <t>Stock of buildings &lt;2000 [Surface]</t>
  </si>
  <si>
    <t>m2</t>
  </si>
  <si>
    <t>Before 2027</t>
  </si>
  <si>
    <t>After 2027</t>
  </si>
  <si>
    <t>Dwellings - detached</t>
  </si>
  <si>
    <t>Dwellings - apartment</t>
  </si>
  <si>
    <t>Stock of buildings renovated from 2021[Surface]</t>
  </si>
  <si>
    <t>Stock of buildings &gt;2000 [Surface]</t>
  </si>
  <si>
    <t>Stock of new buildings from 2021 [Surface]</t>
  </si>
  <si>
    <t>Yearly change</t>
  </si>
  <si>
    <t>New buildings [Surface]</t>
  </si>
  <si>
    <t>Renovation [Surface]</t>
  </si>
  <si>
    <t>dropout [Surface]</t>
  </si>
  <si>
    <t>Theoretical Heat Consumption of buildings</t>
  </si>
  <si>
    <t>Stock of buildings &lt;2000 [GWh]</t>
  </si>
  <si>
    <t>kWh/m2 heat</t>
  </si>
  <si>
    <t>Stock of buildings renovated from 2021[GWh]</t>
  </si>
  <si>
    <t>Stock of buildings &gt;2000 [GWh]</t>
  </si>
  <si>
    <t>Stock of new buildings from 2021 [GWh]</t>
  </si>
  <si>
    <t>Theoretical Elec Consumption of buildings</t>
  </si>
  <si>
    <t>kWh/m2 elec</t>
  </si>
  <si>
    <t>WITH SPECIFIC SAVINGS</t>
  </si>
  <si>
    <t>BUILDING SERVICE</t>
  </si>
  <si>
    <t>Service - Office</t>
  </si>
  <si>
    <t>Service - Education</t>
  </si>
  <si>
    <t>Service - Other</t>
  </si>
  <si>
    <t>New renovations each year</t>
  </si>
  <si>
    <t>Stock of buildings &lt;2000</t>
  </si>
  <si>
    <t>Stock of buildings renovated from 2021</t>
  </si>
  <si>
    <t>Stock of buildings &gt;2000</t>
  </si>
  <si>
    <t>Stock of new buildings from 2021</t>
  </si>
  <si>
    <t>TRANSPORT</t>
  </si>
  <si>
    <t>1.1. Stocks of vehicles</t>
  </si>
  <si>
    <t>Cars</t>
  </si>
  <si>
    <t>Stock of cars</t>
  </si>
  <si>
    <t>k</t>
  </si>
  <si>
    <t>Stock of cars of power &lt; 1300 cm3 or similar</t>
  </si>
  <si>
    <t>Stock of cars of power 1300-2001 cm3 or similar</t>
  </si>
  <si>
    <t>Stock of cars of power &gt; 2001 cm3 or similar</t>
  </si>
  <si>
    <t>Stock of motor gasoline cars</t>
  </si>
  <si>
    <t>Stock of diesel oil cars</t>
  </si>
  <si>
    <t>Stock of LPG cars</t>
  </si>
  <si>
    <t>Stock of NGV cars</t>
  </si>
  <si>
    <t>Stock of electricity cars</t>
  </si>
  <si>
    <t>Stock of hybrid cars</t>
  </si>
  <si>
    <t>Sales of cars</t>
  </si>
  <si>
    <t>Annual sales of new cars</t>
  </si>
  <si>
    <t>% of new cars &lt; 130g CO2</t>
  </si>
  <si>
    <t>% of new cars &lt; 115g CO2</t>
  </si>
  <si>
    <t>% of new cars &lt; 95g CO2</t>
  </si>
  <si>
    <t>Annual sales of new cars of power &lt; 1300 cm3 or similar</t>
  </si>
  <si>
    <t>Annual sales of new cars of power 1300-2001 cm3 or similar</t>
  </si>
  <si>
    <t>Annual sales of new cars of power &gt; 2001 cm3 or similar</t>
  </si>
  <si>
    <t>Annual sales of new motor gasoline cars</t>
  </si>
  <si>
    <t>Annual sales of new diesel oil cars</t>
  </si>
  <si>
    <t>Annual sales of new LPG cars</t>
  </si>
  <si>
    <t>Annual sales of new NGV cars</t>
  </si>
  <si>
    <t>Annual sales of new electricity cars</t>
  </si>
  <si>
    <t>Annual sales of new hybrid cars</t>
  </si>
  <si>
    <t>Annual sales of new flex cars</t>
  </si>
  <si>
    <t>Motorcycles</t>
  </si>
  <si>
    <t>Stocks of motorcycles</t>
  </si>
  <si>
    <t>Annual sales of new motorcycles</t>
  </si>
  <si>
    <t>Buses</t>
  </si>
  <si>
    <t>Stock of buses</t>
  </si>
  <si>
    <t>Stock of motor gasoline buses</t>
  </si>
  <si>
    <t>Stock of diesel oil buses</t>
  </si>
  <si>
    <t>Stock of electric buses</t>
  </si>
  <si>
    <t>Stock of NGV buses</t>
  </si>
  <si>
    <t>Stock of hybrid buses</t>
  </si>
  <si>
    <t>Stock of other fuel buses</t>
  </si>
  <si>
    <t>Sales of buses</t>
  </si>
  <si>
    <t>Annual sales of new buses</t>
  </si>
  <si>
    <t>Annual sales of new motor gasoline buses</t>
  </si>
  <si>
    <t>Annual sales of new diesel oil buses</t>
  </si>
  <si>
    <t>Annual sales of new electric buses</t>
  </si>
  <si>
    <t>Annual sales of NGV buses</t>
  </si>
  <si>
    <t>Annual sales of hybrid buses</t>
  </si>
  <si>
    <t>Annual sales of new other fuel buses</t>
  </si>
  <si>
    <t>Light vehicles</t>
  </si>
  <si>
    <t>Stock of light vehicles</t>
  </si>
  <si>
    <t>Stock of light vehicles (&lt; 3 t useful load)</t>
  </si>
  <si>
    <t>Stock of motor gasoline  light vehicles</t>
  </si>
  <si>
    <t>Stock of diesel oil light vehicles</t>
  </si>
  <si>
    <t>Stock of electric light vehicles</t>
  </si>
  <si>
    <t>Stock of NGV light vehicles</t>
  </si>
  <si>
    <t>Stock of hybrid light vehicles</t>
  </si>
  <si>
    <t>Stock of other light vehicles</t>
  </si>
  <si>
    <t>Sales of light vehicles</t>
  </si>
  <si>
    <t>Annual sales of new light vehicles (&lt; 3 t useful load)</t>
  </si>
  <si>
    <t>Annual sales of new motor gasoline light vehicles</t>
  </si>
  <si>
    <t>Annual sales of new diesel oil light vehicles</t>
  </si>
  <si>
    <t>Annual sales of new electric light vehicles</t>
  </si>
  <si>
    <t>Annual sales of new GNV light vehicles</t>
  </si>
  <si>
    <t>Annual sales of new hybrid light vehicles</t>
  </si>
  <si>
    <t>Annual sales of new other light vehicles</t>
  </si>
  <si>
    <t>Trucks</t>
  </si>
  <si>
    <t>Stock of trucks</t>
  </si>
  <si>
    <t>Stock of trucks 3-10 t useful load</t>
  </si>
  <si>
    <t>Stock of trucks 10-30 t useful load</t>
  </si>
  <si>
    <t>Stock of trucks &gt; 30 t useful load</t>
  </si>
  <si>
    <t>Stock of motor gasoline trucks</t>
  </si>
  <si>
    <t>Stock of diesel oil trucks</t>
  </si>
  <si>
    <t>Stock of other fuel trucks</t>
  </si>
  <si>
    <t>Sales of trucks</t>
  </si>
  <si>
    <t>Annual sales of new trucks</t>
  </si>
  <si>
    <t>Annual sales of new trucks 3-10 t useful load</t>
  </si>
  <si>
    <t>Annual sales of new trucks 10-30 t useful load</t>
  </si>
  <si>
    <t>Annual sales of new trucks &gt; 30 t useful load</t>
  </si>
  <si>
    <t>Annual sales of new motor gasoline  trucks</t>
  </si>
  <si>
    <t>Annual sales of new diesel oil trucks</t>
  </si>
  <si>
    <t>Annual sales of new other fuel trucks</t>
  </si>
  <si>
    <t>Trucks and light vehicles</t>
  </si>
  <si>
    <t>Stock of trucks and light vehicles</t>
  </si>
  <si>
    <t>Stock of trucks and light duty vehicles</t>
  </si>
  <si>
    <t>Stock of motor gasoline trucks and light duty vehicles</t>
  </si>
  <si>
    <t>Stock of diesel oil trucks and light duty vehicles</t>
  </si>
  <si>
    <t>Stock of other fuel trucks and light duty vehicles (electric, NGV, etc.)</t>
  </si>
  <si>
    <t>1.2. Average distance per type of vehicle</t>
  </si>
  <si>
    <t>km/year for cars</t>
  </si>
  <si>
    <t>km</t>
  </si>
  <si>
    <t xml:space="preserve">   km/year for motor gasoline cars</t>
  </si>
  <si>
    <t xml:space="preserve">   km/year for diesel oil cars</t>
  </si>
  <si>
    <t>km/year for motorcycles</t>
  </si>
  <si>
    <t>km/year for buses</t>
  </si>
  <si>
    <t>km/year for light vehicles</t>
  </si>
  <si>
    <t>km/year for trucks</t>
  </si>
  <si>
    <t>km/year for trucks &amp; light vehicles</t>
  </si>
  <si>
    <t>1.3. Traffics</t>
  </si>
  <si>
    <t>Passengers traffic</t>
  </si>
  <si>
    <t>Traffics in passenger-km</t>
  </si>
  <si>
    <t>Passengers traffic by cars (pkm)</t>
  </si>
  <si>
    <t>Mpkm</t>
  </si>
  <si>
    <t>Passengers traffic by motorcycles (pkm)</t>
  </si>
  <si>
    <t>Passengers traffic in buses (pkm)</t>
  </si>
  <si>
    <t>Passengers traffic in rail transport</t>
  </si>
  <si>
    <t xml:space="preserve">  Passengers traffic in trains (pkm) </t>
  </si>
  <si>
    <t xml:space="preserve">  Passengers traffic in metros, tram (pkm) </t>
  </si>
  <si>
    <t>Passengers traffic in domestic air (pkm)</t>
  </si>
  <si>
    <t>Passengers traffic in coasts and rivers (pkm)</t>
  </si>
  <si>
    <t>Passengers traffic by non motorized mode (bicycle, foot) (pkm)</t>
  </si>
  <si>
    <t>Traffics in passengers</t>
  </si>
  <si>
    <t>Passengers traffic in buses (passengers)</t>
  </si>
  <si>
    <t>M</t>
  </si>
  <si>
    <t xml:space="preserve">Passengers traffic in trains (passengers) </t>
  </si>
  <si>
    <t>Passengers traffic in domestic air (passengers)</t>
  </si>
  <si>
    <t>Passengers traffic in air transport (passengers)</t>
  </si>
  <si>
    <t>Passengers traffic in coast and rivers (passengers)</t>
  </si>
  <si>
    <t>Goods traffic</t>
  </si>
  <si>
    <t>Traffics in ton-km</t>
  </si>
  <si>
    <t>Freight traffic on road (tkm)</t>
  </si>
  <si>
    <t>Mtkm</t>
  </si>
  <si>
    <t>Freight traffic in trains (tkm)</t>
  </si>
  <si>
    <t>Freight traffic in rivers (tkm)</t>
  </si>
  <si>
    <t>1.4. Energy consumption by mode of transport</t>
  </si>
  <si>
    <t>Road transport</t>
  </si>
  <si>
    <t>Road transport (incl . foreign  vehicles)</t>
  </si>
  <si>
    <t>Motor gasoline consumption in road transport</t>
  </si>
  <si>
    <t>Diesel oil consumption in road transport</t>
  </si>
  <si>
    <t>LPG consumption in road transport</t>
  </si>
  <si>
    <t>NGV consumption in road transport</t>
  </si>
  <si>
    <t>Electricity consumption in road transport</t>
  </si>
  <si>
    <t>Biofuel energy consumption of road</t>
  </si>
  <si>
    <t xml:space="preserve">  of which bioethanol</t>
  </si>
  <si>
    <t xml:space="preserve">  of which biodiesel</t>
  </si>
  <si>
    <t>of which biogas</t>
  </si>
  <si>
    <t>Total road consumption</t>
  </si>
  <si>
    <t>Rail transport</t>
  </si>
  <si>
    <t>Diesel oil consumption in rail transport</t>
  </si>
  <si>
    <t>Fuel oil consumption in rail transport</t>
  </si>
  <si>
    <t>Electricity consumption in rail transport</t>
  </si>
  <si>
    <t>Total rail consumption</t>
  </si>
  <si>
    <t>Air transport</t>
  </si>
  <si>
    <t>Aviation gasoline consumption in domestic air transport</t>
  </si>
  <si>
    <t>Jet fuels consumption in domestic air transport</t>
  </si>
  <si>
    <t>Total domestic air transport consumption</t>
  </si>
  <si>
    <t>Domestic water transport</t>
  </si>
  <si>
    <t>Motor gasoline consumption in river transport</t>
  </si>
  <si>
    <t>Diesel oil consumption in river transport</t>
  </si>
  <si>
    <t>Fuel oil consumption in river transport</t>
  </si>
  <si>
    <t>Diesel oil consumption in domestic sea transport</t>
  </si>
  <si>
    <t>Fuel oil consumption in domestic sea transport</t>
  </si>
  <si>
    <t>Total domestic water consumption</t>
  </si>
  <si>
    <t>Assumed % increase in total transport consumption (since 2021)</t>
  </si>
  <si>
    <t>Share in sector's energy consumption</t>
  </si>
  <si>
    <t>Motor Gasoline</t>
  </si>
  <si>
    <t>Diesel oil</t>
  </si>
  <si>
    <t>Aviation gasoline</t>
  </si>
  <si>
    <t>LPG</t>
  </si>
  <si>
    <t>NGV</t>
  </si>
  <si>
    <t>Biogas</t>
  </si>
  <si>
    <t>Bioethanol</t>
  </si>
  <si>
    <t>Biodiesel</t>
  </si>
  <si>
    <t>Electricity</t>
  </si>
  <si>
    <t>AGRICULTURE, FISHING &amp; FORESTRY</t>
  </si>
  <si>
    <t>Evolution of Agriculture, fishing &amp; forestry activity</t>
  </si>
  <si>
    <t>Oil products consumption of agriculture, fishing and forestry</t>
  </si>
  <si>
    <t xml:space="preserve">  of which LPG</t>
  </si>
  <si>
    <t xml:space="preserve">  of which heating oil</t>
  </si>
  <si>
    <t xml:space="preserve">  of which fuel oil</t>
  </si>
  <si>
    <t>Gas consumption of agriculture, fishing and forestry</t>
  </si>
  <si>
    <t>Coal consumption of agriculture, fishing and forestry</t>
  </si>
  <si>
    <t xml:space="preserve">  of which brown coal (lignite)</t>
  </si>
  <si>
    <t xml:space="preserve">  of which peat</t>
  </si>
  <si>
    <t>Electricity consumption of agriculture, fishing and forestry</t>
  </si>
  <si>
    <t>Heat consumption of agriculture, fishing and forestry</t>
  </si>
  <si>
    <t>Renewables consumption of agriculture, fishing and forestry, except ambient heat (wood, waste…)</t>
  </si>
  <si>
    <t>Integrating Energy Efficiency measures</t>
  </si>
  <si>
    <t>Volume of the measure, M€/a</t>
  </si>
  <si>
    <t xml:space="preserve">Total volume of the measure, M€ </t>
  </si>
  <si>
    <t>Financial support %</t>
  </si>
  <si>
    <t>Actual financial support %</t>
  </si>
  <si>
    <t xml:space="preserve">Investment with VAT (20%), €/m2 </t>
  </si>
  <si>
    <t>Energy saving heat, kWh/m2 a</t>
  </si>
  <si>
    <t>Energy saving electricity, kWh/m2 a</t>
  </si>
  <si>
    <t>million m2 renovated</t>
  </si>
  <si>
    <t>Fleet size</t>
  </si>
  <si>
    <t>Percentage of fleet affected</t>
  </si>
  <si>
    <t>Affected travels</t>
  </si>
  <si>
    <t>Effect on  motive energy consumption</t>
  </si>
  <si>
    <t>Percentage of urban travel</t>
  </si>
  <si>
    <t>Annual fuel energy GWh</t>
  </si>
  <si>
    <t>Price of 1 kilometer construction</t>
  </si>
  <si>
    <t>Total length of required network</t>
  </si>
  <si>
    <t>Estimated average turnover of fleet</t>
  </si>
  <si>
    <t>Estimated amount of infrastructure needed</t>
  </si>
  <si>
    <t>Infrastructure cost per station</t>
  </si>
  <si>
    <t>Current tax rate</t>
  </si>
  <si>
    <t>Proposed tax rate</t>
  </si>
  <si>
    <t>Estimated loss in tax discipline</t>
  </si>
  <si>
    <t>Cost of tax implementation</t>
  </si>
  <si>
    <t>Investment with VAT, €/vehicle</t>
  </si>
  <si>
    <t>Unit cost</t>
  </si>
  <si>
    <t>New energy saving heat, GWh</t>
  </si>
  <si>
    <t>New energy saving electricity, GWh</t>
  </si>
  <si>
    <t>% heat savings</t>
  </si>
  <si>
    <t>% electricity savings</t>
  </si>
  <si>
    <t>Total new energy savings, GWh</t>
  </si>
  <si>
    <t>Total volume of investments mobilised, M€</t>
  </si>
  <si>
    <t>Energy provider (billed to end user)</t>
  </si>
  <si>
    <t>Energy savings targets:</t>
  </si>
  <si>
    <t>GWh in 2022</t>
  </si>
  <si>
    <t>MEPS targeting rented + sold dwellings</t>
  </si>
  <si>
    <t>Building owner</t>
  </si>
  <si>
    <t>GWh heat</t>
  </si>
  <si>
    <t>Homeowners</t>
  </si>
  <si>
    <t>GWh electricity</t>
  </si>
  <si>
    <t>30% government 70% homeowners (government cost reported)</t>
  </si>
  <si>
    <t>Calculated savings:</t>
  </si>
  <si>
    <t>Tax deduction to homeowners (lost tax for the government)</t>
  </si>
  <si>
    <t>kWh/m2 electricity</t>
  </si>
  <si>
    <t>kWh/m2 per year</t>
  </si>
  <si>
    <t>million m2 per year</t>
  </si>
  <si>
    <t>dwellings per year</t>
  </si>
  <si>
    <t>Investment cost</t>
  </si>
  <si>
    <t>EUR/m2</t>
  </si>
  <si>
    <t>80% government</t>
  </si>
  <si>
    <t>MEUR per year</t>
  </si>
  <si>
    <t>60% central government 40% local government (government cost reported)</t>
  </si>
  <si>
    <t>Burden of the investment</t>
  </si>
  <si>
    <t>30% government 70% building owners (government cost reported)</t>
  </si>
  <si>
    <t>% government suppport</t>
  </si>
  <si>
    <t>Businesses buying certificates</t>
  </si>
  <si>
    <t>Building owners</t>
  </si>
  <si>
    <t>Industry and agriculture</t>
  </si>
  <si>
    <t>Promotion of resource-efficient green technologies of industrial enterprises (RRF)</t>
  </si>
  <si>
    <t>Government + cohesion fund</t>
  </si>
  <si>
    <t>Energy savings from electro intensive companies</t>
  </si>
  <si>
    <t>Government (State aid)</t>
  </si>
  <si>
    <t>EU support + government</t>
  </si>
  <si>
    <t/>
  </si>
  <si>
    <t>50% government</t>
  </si>
  <si>
    <t>Vehicle owners</t>
  </si>
  <si>
    <t>50% government 50% taxi companies</t>
  </si>
  <si>
    <t>Road users</t>
  </si>
  <si>
    <t>F</t>
  </si>
  <si>
    <t>P</t>
  </si>
  <si>
    <t>Energy and resource efficiency in industries (2016-on-going)</t>
  </si>
  <si>
    <t>Agriculture/forestry</t>
  </si>
  <si>
    <t>Savings and support costs of measures D3</t>
  </si>
  <si>
    <t>2014-2020</t>
  </si>
  <si>
    <t>Total cumulative energy savings, GWh</t>
  </si>
  <si>
    <t>Total annual energy savings, GWh</t>
  </si>
  <si>
    <t>Annual energy savings, GWh</t>
  </si>
  <si>
    <t>Years applied</t>
  </si>
  <si>
    <t>End year</t>
  </si>
  <si>
    <t>Support, MEUR</t>
  </si>
  <si>
    <t>Investment costs, MEUR</t>
  </si>
  <si>
    <t>% gov support</t>
  </si>
  <si>
    <t>State aid, MEUR</t>
  </si>
  <si>
    <t>Job creation</t>
  </si>
  <si>
    <t>The executing agency</t>
  </si>
  <si>
    <t>Source of savings</t>
  </si>
  <si>
    <t>Source of investments</t>
  </si>
  <si>
    <t>Residental</t>
  </si>
  <si>
    <t>Renovation of rental apartments (2020-present)</t>
  </si>
  <si>
    <t>KREDEX</t>
  </si>
  <si>
    <t>MKM, Reporting template 2020 EE</t>
  </si>
  <si>
    <t>MKM, Lauri Suu</t>
  </si>
  <si>
    <t>KIK</t>
  </si>
  <si>
    <t>KIK database</t>
  </si>
  <si>
    <t>Renovation of kindergarten (2018-on-going)</t>
  </si>
  <si>
    <t>Energy and resource efficiency in industries (2018-on-going)</t>
  </si>
  <si>
    <t>MKM, Anneli.Schmiedeberg@mkm.ee</t>
  </si>
  <si>
    <t>Eco-driving (2014-ongoing)</t>
  </si>
  <si>
    <t>Walking and cycling roads (2016-ongoing)</t>
  </si>
  <si>
    <t>MKM</t>
  </si>
  <si>
    <t>Mobile speed cameras (2018-on-going)</t>
  </si>
  <si>
    <t>MKM, State budget</t>
  </si>
  <si>
    <t>PRIA</t>
  </si>
  <si>
    <t>PRIA; Maire Miroljubov, Budget and Analysis Department, 5377 4494 (the data request has been made, I'm still waiting for an answer)</t>
  </si>
  <si>
    <t>PRIA; Maire Miroljubov</t>
  </si>
  <si>
    <t>Not separately reported, includes in eC6</t>
  </si>
  <si>
    <t>Not separately reported, includes in eC5</t>
  </si>
  <si>
    <t>Electricity smart meters (2014-on-going)</t>
  </si>
  <si>
    <t>Profit distribution based corporate income tax (2014-on-going)</t>
  </si>
  <si>
    <t>Total Annual energy savings, GWh</t>
  </si>
  <si>
    <t>State aid in the period  (2021-2030), MEUR</t>
  </si>
  <si>
    <t>It has not yet been decided whether such a scheme will come to Estonia</t>
  </si>
  <si>
    <t>Developing the railroad infrastructure  (includes the building of Rail Baltic)</t>
  </si>
  <si>
    <t>No data</t>
  </si>
  <si>
    <t>Nr</t>
  </si>
  <si>
    <t>Meetme nimetus</t>
  </si>
  <si>
    <t>ID</t>
  </si>
  <si>
    <t>Ministeerium</t>
  </si>
  <si>
    <t>Rakendav asutus</t>
  </si>
  <si>
    <t>Prognoositav eelarve 2021-2030 perioodil</t>
  </si>
  <si>
    <t>Aastane energiasäästu prognoos (GWh)</t>
  </si>
  <si>
    <t>Kumuleeruv energiasääst (GWh)</t>
  </si>
  <si>
    <t>NEW SAVINGS (GWh)</t>
  </si>
  <si>
    <t>Area renovated (million m2)</t>
  </si>
  <si>
    <t>Estimated budget for the period 2021-2030</t>
  </si>
  <si>
    <t>Annual energy savings forecast (GWh)</t>
  </si>
  <si>
    <t>KWh/m2</t>
  </si>
  <si>
    <t>Elektrienergia aktsiis ja käibemaks</t>
  </si>
  <si>
    <t>Electricity excise and VAT</t>
  </si>
  <si>
    <t>Rahandusministeerium</t>
  </si>
  <si>
    <t>Maksu- ja Tolliamet</t>
  </si>
  <si>
    <t>Bensiini aktsiis ja käibemaks</t>
  </si>
  <si>
    <t>Gasoline excise and VAT</t>
  </si>
  <si>
    <t>Kerge kütteõli ja diislikütuse aktsiis ning käibemaks</t>
  </si>
  <si>
    <t>Light fuel oil and diesel fuel excise duty and VAT</t>
  </si>
  <si>
    <t>Maagaasi aktsiis ja käibemaks</t>
  </si>
  <si>
    <t>Natural gas excise and VAT</t>
  </si>
  <si>
    <t>Kaugküttes soojuse tootmiseks kasutatud kütuste aktsiis ja soojuse käibemaks</t>
  </si>
  <si>
    <t>Excise duty on fuels used to produce heat in district heating and VAT on heat</t>
  </si>
  <si>
    <t>Küttepuude ja puidujäätmete käibemaks</t>
  </si>
  <si>
    <t>VAT on firewood and wood waste</t>
  </si>
  <si>
    <t>Korterelamute rekonstrueerimise toetus 2014-2020</t>
  </si>
  <si>
    <t>Subsidy for the reconstruction of apartment buildings 2014-2020</t>
  </si>
  <si>
    <t>Majandus- ja Kommunikatsiooniministeerium</t>
  </si>
  <si>
    <t>Ettevõtluse ja Innovatsiooni SA</t>
  </si>
  <si>
    <t>Korterelamute rekonstrueerimise toetus RRF/REACTEU</t>
  </si>
  <si>
    <t>Support for the reconstruction of apartment buildings RRF/REACTEU</t>
  </si>
  <si>
    <t>Korterelamute rekonstrueerimise toetus Moderniseerimisfond/CO2</t>
  </si>
  <si>
    <t>Subsidy for the reconstruction of apartment buildings Modernization Fund/CO2</t>
  </si>
  <si>
    <t>Korterelamute rekonstrueerimise toetus SF 2021-2027</t>
  </si>
  <si>
    <t>Support for the reconstruction of apartment buildings SF 2021-2027</t>
  </si>
  <si>
    <t>Korterelamute rekonstrueerimise toetus</t>
  </si>
  <si>
    <t>Väikeelamute energiatõhususe suurendamise toetus</t>
  </si>
  <si>
    <t>Subsidy for increasing the energy efficiency of small houses</t>
  </si>
  <si>
    <t>Ettevõtete ressursitõhusus</t>
  </si>
  <si>
    <t>Resource efficiency of companies</t>
  </si>
  <si>
    <t>Keskkonnaministeerium</t>
  </si>
  <si>
    <t>Keskkonnainvesteeringute Keskus</t>
  </si>
  <si>
    <t>Tänavavalgustuse renoveerimine</t>
  </si>
  <si>
    <t>Renovation of street lighting</t>
  </si>
  <si>
    <t>Erihoolekandeasutuste reorganiseerimine</t>
  </si>
  <si>
    <t>Reorganization of special welfare institutions</t>
  </si>
  <si>
    <t>Sotsiaalministeerium</t>
  </si>
  <si>
    <t>Riigi Tugiteenuste Keskus</t>
  </si>
  <si>
    <t>Investeeringute toetamine esmatasandi tervisekeskuste infrastruktuuri tõmbekeskustes</t>
  </si>
  <si>
    <t>Supporting investments in primary health center infrastructure centers of attraction</t>
  </si>
  <si>
    <t>Koolivõrgu korrastamine 2014-2020</t>
  </si>
  <si>
    <t>Organizing the school network 2014-2020</t>
  </si>
  <si>
    <t>Haridus- ja Teadusministeerium</t>
  </si>
  <si>
    <t>Elektribusside toetus</t>
  </si>
  <si>
    <t>Support for electric buses</t>
  </si>
  <si>
    <t>Elektriautode toetus 2021</t>
  </si>
  <si>
    <t>Support for electric cars in 2021</t>
  </si>
  <si>
    <t>Elektriautode toetus 2022</t>
  </si>
  <si>
    <t>Support for electric cars in 2022</t>
  </si>
  <si>
    <t>Avaliku sektori hoonete energiatõhusus</t>
  </si>
  <si>
    <t>Energy efficiency of public sector buildings</t>
  </si>
  <si>
    <t>Säästliku autojuhtimise edendamine</t>
  </si>
  <si>
    <t>Promoting sustainable driving</t>
  </si>
  <si>
    <t>Transpordiamet</t>
  </si>
  <si>
    <t>Atmosfääri õhu kaitse programm</t>
  </si>
  <si>
    <t>Atmospheric Air Protection Program</t>
  </si>
  <si>
    <t>Elektrointensiivsete ettevõtete elektri- ja maagaasi aktsiisi soodustus</t>
  </si>
  <si>
    <t>Discount on electricity and natural gas excise duty for electro-intensive companies</t>
  </si>
  <si>
    <t>Elektri kauglugemise kohustus</t>
  </si>
  <si>
    <t>Obligation for remote reading of electricity</t>
  </si>
  <si>
    <t>Muinsuskaitsealad ajaloolistes linnakeskustes</t>
  </si>
  <si>
    <t>Heritage protected areas in historic city centers</t>
  </si>
  <si>
    <t>Kultuuriministeerium</t>
  </si>
  <si>
    <t>Investment support for the food industry to ensure security of energy supply</t>
  </si>
  <si>
    <t>Maaeluministeerium</t>
  </si>
  <si>
    <t>Põllumajanduse Registrite ja Informatsiooni Amet</t>
  </si>
  <si>
    <t>Elamute liitumine kaugküttevõrkudega või tahkel kütusel põhineva kütteseadme uuendamine (ühtekuuluvusfond)</t>
  </si>
  <si>
    <t>Connection of dwellings to district heating networks or renewal of a heating device based on solid fuel (cohesion fund)</t>
  </si>
  <si>
    <t>Electrification of railways</t>
  </si>
  <si>
    <t>Eesti Raudtee</t>
  </si>
  <si>
    <t>Tallinna uued trammiliinid</t>
  </si>
  <si>
    <t>Tallinn's new tram lines</t>
  </si>
  <si>
    <t>AS Tallinna Linnatransport</t>
  </si>
  <si>
    <t>Uued rattateed</t>
  </si>
  <si>
    <t>New cycle paths</t>
  </si>
  <si>
    <t>Parvlaevad</t>
  </si>
  <si>
    <t>Ferries</t>
  </si>
  <si>
    <t>TS Laevad OÜ</t>
  </si>
  <si>
    <t>Energiasäästu kampaaniate läbiviimine</t>
  </si>
  <si>
    <t>Conducting energy saving campaigns</t>
  </si>
  <si>
    <t>Riigikantselei</t>
  </si>
  <si>
    <t>Kombineeritud sadeveesüsteemid sh. lahkvoolsete sademeveesüsteemide rajamine (sh säästvad sademeveesüsteemid) (ühtekuuluvusfond)</t>
  </si>
  <si>
    <t>Combined rainwater systems incl. construction of divergent rainwater systems (including sustainable rainwater systems) (cohesion fund)</t>
  </si>
  <si>
    <t>Kalandussektori energiatõhususe meetmed 2021-2030</t>
  </si>
  <si>
    <t>Fisheries sector energy efficiency measures 2021-2030</t>
  </si>
  <si>
    <t>KOV haridushoonete energiatõhusus</t>
  </si>
  <si>
    <t>Energy efficiency of municipal educational buildings</t>
  </si>
  <si>
    <t>Keskvalitsuse energiasäästumeetmete rakendamine</t>
  </si>
  <si>
    <t>Implementation of central government energy saving measures</t>
  </si>
  <si>
    <t>Riigi Kinnsivara AS</t>
  </si>
  <si>
    <t>KOKKU</t>
  </si>
  <si>
    <t>Täiendavad meetmed</t>
  </si>
  <si>
    <t>Vajaminev toetus 2021-2030 perioodil</t>
  </si>
  <si>
    <t>Täiendav rekonstrueerimine avalikus sektoris</t>
  </si>
  <si>
    <t>Additional reconstruction in the public sector</t>
  </si>
  <si>
    <t>Täiendav korterelamute rekonstrueerimine</t>
  </si>
  <si>
    <t>Additional reconstruction of apartment buildings</t>
  </si>
  <si>
    <t>Täiendav väikeelamute rekonstrueerimine</t>
  </si>
  <si>
    <t>Additional reconstruction of small houses</t>
  </si>
  <si>
    <t>Energiatõhusate küttesüsteemidetoetamine</t>
  </si>
  <si>
    <t>Supporting energy-efficient heating systems</t>
  </si>
  <si>
    <t>Skeemid energiatõhususe töödele ja seadmetele</t>
  </si>
  <si>
    <t>Schemes for energy efficiency works and equipment</t>
  </si>
  <si>
    <t>Energiatõhususe vähempakkumised</t>
  </si>
  <si>
    <t>Less energy efficiency offers</t>
  </si>
  <si>
    <t>Auto esmase registreerimise ja/või aastamaks</t>
  </si>
  <si>
    <t>Initial car registration and/or annual tax</t>
  </si>
  <si>
    <t>Kodutarbijate energiasäästualase teadlikkuse järjepidev suurendamine</t>
  </si>
  <si>
    <t>Continuously increasing the energy saving awareness of home consumers</t>
  </si>
  <si>
    <t>Energiatõhususe vabatahtlikud lepingud</t>
  </si>
  <si>
    <t>Voluntary contracts for energy efficiency</t>
  </si>
  <si>
    <t>Energiatõhususe kohustuste süsteem</t>
  </si>
  <si>
    <t>Energy efficiency obligation system</t>
  </si>
  <si>
    <t>Keskvalitsuse ja kohalike omavalitsuste energiajuhtimine</t>
  </si>
  <si>
    <t>Energy management of the central government and local governments</t>
  </si>
  <si>
    <t>Energiatõhusate sõidukite toetusmeede avalikule sektorile</t>
  </si>
  <si>
    <t>Support measure for energy-efficient vehicles for the public sector</t>
  </si>
  <si>
    <t>Väikese mõjuga plaanitavad meetmed</t>
  </si>
  <si>
    <t>Haiglavõrgu kaasajastamine</t>
  </si>
  <si>
    <t>Modernization of the hospital network</t>
  </si>
  <si>
    <t>Keskkonnahoidlike päästetööde põhiauto hankimine</t>
  </si>
  <si>
    <t>Obtaining a basic vehicle for environmentally friendly rescue operations</t>
  </si>
  <si>
    <t>Siseministeerium</t>
  </si>
  <si>
    <r>
      <t>Annex 1. Cohesion policy funds 2021-2027 measures</t>
    </r>
    <r>
      <rPr>
        <sz val="11"/>
        <rFont val="Trebuchet MS"/>
        <family val="2"/>
        <scheme val="minor"/>
      </rPr>
      <t>list</t>
    </r>
    <r>
      <rPr>
        <sz val="11"/>
        <color theme="1"/>
        <rFont val="Trebuchet MS"/>
        <family val="2"/>
        <scheme val="minor"/>
      </rPr>
      <t xml:space="preserve"> (confirmed by the protocol decision of the session of the Government of the Republic on 15.12.2022)</t>
    </r>
  </si>
  <si>
    <t>https://www.rtk.ee/toetusfondid-ja-programmid/euroopa-liidu-valisvahendid/2021-2027-toetusperiood#meetmete-nimekiri-2021-2027</t>
  </si>
  <si>
    <t>Policy objective</t>
  </si>
  <si>
    <t xml:space="preserve"> EU specific objective</t>
  </si>
  <si>
    <t xml:space="preserve"> Related Institutions</t>
  </si>
  <si>
    <t>Budget</t>
  </si>
  <si>
    <t>Output indicators</t>
  </si>
  <si>
    <t>Performance indicators</t>
  </si>
  <si>
    <t>No</t>
  </si>
  <si>
    <t>Name</t>
  </si>
  <si>
    <t>Priority</t>
  </si>
  <si>
    <t xml:space="preserve"> Measure number</t>
  </si>
  <si>
    <t>Measure</t>
  </si>
  <si>
    <t xml:space="preserve"> Interventions in line with the operational plan</t>
  </si>
  <si>
    <t>Foundation</t>
  </si>
  <si>
    <t>Implementing authority</t>
  </si>
  <si>
    <t>Application Unit*</t>
  </si>
  <si>
    <t xml:space="preserve"> EU support budget</t>
  </si>
  <si>
    <t xml:space="preserve"> Share of EU support</t>
  </si>
  <si>
    <t xml:space="preserve"> State co-financing</t>
  </si>
  <si>
    <t xml:space="preserve"> Share of state co-financing</t>
  </si>
  <si>
    <t>Self-financing</t>
  </si>
  <si>
    <t xml:space="preserve"> Share of self-financing</t>
  </si>
  <si>
    <t>Total cost</t>
  </si>
  <si>
    <t>CODE</t>
  </si>
  <si>
    <t>Unit of measurement</t>
  </si>
  <si>
    <t xml:space="preserve"> Target level 2024</t>
  </si>
  <si>
    <t xml:space="preserve"> Target level 2029</t>
  </si>
  <si>
    <t>Basic level</t>
  </si>
  <si>
    <t xml:space="preserve"> Smarter Estonia</t>
  </si>
  <si>
    <t>(a)(i)</t>
  </si>
  <si>
    <t xml:space="preserve"> developing and increasing research and innovation capacity and adoption of advanced technologies</t>
  </si>
  <si>
    <t>21.1.1.1</t>
  </si>
  <si>
    <t xml:space="preserve"> Increasing the R&amp;D intensity and knowledge transfer capacity of companies</t>
  </si>
  <si>
    <t>Increasing companies' R&amp;D awareness (R&amp;D opportunities) and increasing R&amp;D capacity Applied research and experimental development program Company development program (including Company development program, Entrepreneur product development program, Support and development center support) Innovation and development department Innovative public procurement</t>
  </si>
  <si>
    <t>ERDF</t>
  </si>
  <si>
    <t xml:space="preserve"> Enterprise and Innovation Foundation</t>
  </si>
  <si>
    <t>RCO01</t>
  </si>
  <si>
    <t xml:space="preserve"> Supported enterprises (of which: micro, small, medium and large enterprises)</t>
  </si>
  <si>
    <t>Entrepreneurs</t>
  </si>
  <si>
    <t>RCR25</t>
  </si>
  <si>
    <t xml:space="preserve"> SMEs with higher added value per employee</t>
  </si>
  <si>
    <t>RCO02</t>
  </si>
  <si>
    <t xml:space="preserve"> Subsidized entrepreneurs</t>
  </si>
  <si>
    <t>RCR02</t>
  </si>
  <si>
    <t xml:space="preserve"> Private sector investments that supplement public sector support</t>
  </si>
  <si>
    <t>Euro</t>
  </si>
  <si>
    <t>RCO04</t>
  </si>
  <si>
    <t xml:space="preserve"> Entrepreneurs receive non-financial support</t>
  </si>
  <si>
    <t>RCR05</t>
  </si>
  <si>
    <t xml:space="preserve"> In-house innovation is carried out by SMEs</t>
  </si>
  <si>
    <t>RCO10</t>
  </si>
  <si>
    <t xml:space="preserve"> Entrepreneurs cooperating with research institutions</t>
  </si>
  <si>
    <t>VVV02</t>
  </si>
  <si>
    <t xml:space="preserve"> Number of participants in activities</t>
  </si>
  <si>
    <t>Participants</t>
  </si>
  <si>
    <t>21.1.1.2</t>
  </si>
  <si>
    <t>Growing the capacity of research and development that meets the needs of society and the economy</t>
  </si>
  <si>
    <t xml:space="preserve"> Increasing the impact of scientific research and supporting the institutional knowledge transfer capacity of research institutions and higher education institutions (ASTRA+). Implementation of thematic research and development programs to promote academic, private and public sector co-creation and cooperation in areas of smart specialization. Increasing the ability to implement the results of research, development and innovation activities in society and creating a favorable political environment for this. Creating knowledge networks and business and research community connections through the movement of employees between the academic, private and public sectors. Making available state-of-the-art knowledge and research infrastructure services that meet the needs of the economy and society in the focus areas of TAIE.</t>
  </si>
  <si>
    <t>HTM</t>
  </si>
  <si>
    <t>RTK</t>
  </si>
  <si>
    <t>PSR01</t>
  </si>
  <si>
    <t xml:space="preserve"> The volume of research and development contracts concluded with companies</t>
  </si>
  <si>
    <t>RCO07</t>
  </si>
  <si>
    <t>Research institutions participate in joint research projects</t>
  </si>
  <si>
    <t>Research institutions</t>
  </si>
  <si>
    <t>RCR08</t>
  </si>
  <si>
    <t xml:space="preserve"> Publications resulting from supported projects</t>
  </si>
  <si>
    <t>Publications</t>
  </si>
  <si>
    <t>PSR02</t>
  </si>
  <si>
    <t xml:space="preserve"> Number of supported innovation projects</t>
  </si>
  <si>
    <t>Project</t>
  </si>
  <si>
    <t>PSO02</t>
  </si>
  <si>
    <t xml:space="preserve"> Number of participants in mobility schemes</t>
  </si>
  <si>
    <t>Participant</t>
  </si>
  <si>
    <t>RCR102</t>
  </si>
  <si>
    <t xml:space="preserve"> Research jobs created in supported companies</t>
  </si>
  <si>
    <t xml:space="preserve"> Full-time equivalent</t>
  </si>
  <si>
    <t>PSR03</t>
  </si>
  <si>
    <t xml:space="preserve"> Income from the provision of services of centers of excellence and research infrastructures</t>
  </si>
  <si>
    <t>21.1.1.3</t>
  </si>
  <si>
    <t xml:space="preserve"> Increasing the innovation capacity of the public sector</t>
  </si>
  <si>
    <t xml:space="preserve"> Support for public sector innovation projects (for finding solutions to Estonia's important development needs). Analyzes and tools to support public sector innovation and development.</t>
  </si>
  <si>
    <t>RK</t>
  </si>
  <si>
    <t>PSO01</t>
  </si>
  <si>
    <t xml:space="preserve"> Innovative projects that received support</t>
  </si>
  <si>
    <t xml:space="preserve"> Innovative projects</t>
  </si>
  <si>
    <t>PSR04</t>
  </si>
  <si>
    <t xml:space="preserve"> New, introduced solutions and initiatives to solve Estonia's development needs</t>
  </si>
  <si>
    <t xml:space="preserve"> New solutions</t>
  </si>
  <si>
    <t>21.1.1.4</t>
  </si>
  <si>
    <t>Ensuring the consistent operation of the research system</t>
  </si>
  <si>
    <t xml:space="preserve"> Supporting the Internationalization of R&amp;D: Connecting to the International Knowledge Market</t>
  </si>
  <si>
    <t>PSR05</t>
  </si>
  <si>
    <t xml:space="preserve"> Estonia's participation in the activities of the European Research Area: contribution to internationally coordinated TA activities</t>
  </si>
  <si>
    <t xml:space="preserve"> in millions of euros per inhabitant</t>
  </si>
  <si>
    <t>PSO03</t>
  </si>
  <si>
    <t xml:space="preserve"> The number of organizations participating in the activities of the framework programs of the European Union</t>
  </si>
  <si>
    <t>Organization</t>
  </si>
  <si>
    <t>(a)(ii)</t>
  </si>
  <si>
    <t xml:space="preserve"> bringing digitalization benefits to citizens, businesses, research institutions and public sector bodies</t>
  </si>
  <si>
    <t>21.1.2.1</t>
  </si>
  <si>
    <t>Digital country</t>
  </si>
  <si>
    <t xml:space="preserve"> Development and introduction of digital solutions and innovations in the public sector</t>
  </si>
  <si>
    <t>RCO14</t>
  </si>
  <si>
    <t xml:space="preserve"> Public sector institutions supported to develop digital services, products and processes</t>
  </si>
  <si>
    <t xml:space="preserve"> Public sector institutions</t>
  </si>
  <si>
    <t>RCR11</t>
  </si>
  <si>
    <t xml:space="preserve"> Users of new and updated public digital services, products and processes</t>
  </si>
  <si>
    <t xml:space="preserve"> Number of end users per year</t>
  </si>
  <si>
    <t>PSO04</t>
  </si>
  <si>
    <t xml:space="preserve"> New or updated digital services, products and processes</t>
  </si>
  <si>
    <t>Number</t>
  </si>
  <si>
    <t>21.1.2.2</t>
  </si>
  <si>
    <t xml:space="preserve"> Development and introduction of digital solutions and innovations in the private sector</t>
  </si>
  <si>
    <t>(a)(iii)</t>
  </si>
  <si>
    <t xml:space="preserve"> Enhancing the sustainable economic growth and competitiveness of SMEs and creating jobs in SMEs, including through productive investments</t>
  </si>
  <si>
    <t>21.1.3.1</t>
  </si>
  <si>
    <t xml:space="preserve"> Developing the business environment, supporting internationalization and encouraging investments</t>
  </si>
  <si>
    <t xml:space="preserve"> Supporting the internationalization of companies (including the development of a network of foreign representatives, supporting participation in joint stands, developing export competences and capabilities; Supporting the involvement of foreign investments and foreign specialists) Boosting start-ups Company development program light Supporting activities related to the digitalization of companies (including RTE) Entrepreneurial awareness, including management quality and responsible entrepreneurship Revitalizing and restarting the tourism sector support Start-up grant (EIS/RTK)</t>
  </si>
  <si>
    <t>RCR17</t>
  </si>
  <si>
    <t xml:space="preserve"> New businesses that are still operating</t>
  </si>
  <si>
    <t>RCO05</t>
  </si>
  <si>
    <t>New entrepreneurs supported</t>
  </si>
  <si>
    <t>21.1.3.2</t>
  </si>
  <si>
    <t xml:space="preserve"> Cross-disciplinary development of culture, cooperation and internationalization</t>
  </si>
  <si>
    <t xml:space="preserve"> Supporting the development plans of ambitious SMEs operating in the cultural and creative sector and increasing the export capacity of SMEs with growth potential; Provision of support services supporting the development of the cultural and creative sector (incubation, accelerator and development services); Encouraging cooperation within and across sectors of the cultural and creative sector; Raising creative economy awareness and developing knowledge and skills.</t>
  </si>
  <si>
    <t>WHICH</t>
  </si>
  <si>
    <t xml:space="preserve"> Supported entrepreneurs</t>
  </si>
  <si>
    <t xml:space="preserve"> New entrepreneurs supported</t>
  </si>
  <si>
    <t>21.1.3.3</t>
  </si>
  <si>
    <t>Regional development</t>
  </si>
  <si>
    <t xml:space="preserve"> Support measure for business development in South-East Estonia</t>
  </si>
  <si>
    <t>RM</t>
  </si>
  <si>
    <t>21.1.3.4</t>
  </si>
  <si>
    <t xml:space="preserve"> Providing financing to companies (loans, guarantees, equity investments)</t>
  </si>
  <si>
    <t>RCO03</t>
  </si>
  <si>
    <t xml:space="preserve"> Entrepreneurs supported by financing means</t>
  </si>
  <si>
    <t>21.1.3.5</t>
  </si>
  <si>
    <t>Supporting county development centers (by providing consulting services)</t>
  </si>
  <si>
    <t>(a)(iv)</t>
  </si>
  <si>
    <t xml:space="preserve"> developing smart specialisation, industrial transition and entrepreneurship skills</t>
  </si>
  <si>
    <t>21.1.4.1</t>
  </si>
  <si>
    <t xml:space="preserve"> Supporting county development centers (in increasing the capacity of SMEs in the field of smart specialization, the triple turn of industry and entrepreneurship)</t>
  </si>
  <si>
    <t>RCO101</t>
  </si>
  <si>
    <t xml:space="preserve"> SMEs investing in smart specialisation, industrial transition and entrepreneurial skills</t>
  </si>
  <si>
    <t>RCR98</t>
  </si>
  <si>
    <t xml:space="preserve"> SME employees undergoing training for smart specialisation, industrial transition and entrepreneurial skills development</t>
  </si>
  <si>
    <t xml:space="preserve"> The number of participants</t>
  </si>
  <si>
    <t>21.1.4.2</t>
  </si>
  <si>
    <t xml:space="preserve"> Increasing the impact of scientific research and supporting the institutional knowledge transfer capacity of research institutions and higher education institutions (ASTRA+)</t>
  </si>
  <si>
    <t>PSO05</t>
  </si>
  <si>
    <t xml:space="preserve"> Organizations investing in skills that support smart specialization, industrial transition and entrepreneurship</t>
  </si>
  <si>
    <t>PSR06</t>
  </si>
  <si>
    <t>Employees who participated in activities aimed at acquiring skills that support smart specialization, industrial transition and entrepreneurship (technical, managerial, entrepreneurial, supporting the green transition, etc.)</t>
  </si>
  <si>
    <t>An employee</t>
  </si>
  <si>
    <t>≥380</t>
  </si>
  <si>
    <t>21.1.4.3</t>
  </si>
  <si>
    <t xml:space="preserve"> Increasing the innovation capacity of the public sector.</t>
  </si>
  <si>
    <t xml:space="preserve"> Individual and group development activities, cross-sectoral cooperation formats, thematic development projects, conferences and seminars.</t>
  </si>
  <si>
    <t>Organizations</t>
  </si>
  <si>
    <t>(a)(v)</t>
  </si>
  <si>
    <t xml:space="preserve"> increasing digital connectivity</t>
  </si>
  <si>
    <t>21.1.5.1</t>
  </si>
  <si>
    <t>Connectivity</t>
  </si>
  <si>
    <t xml:space="preserve"> Construction of a very high capacity access network; Supporting the development of 5G</t>
  </si>
  <si>
    <t>RCO41</t>
  </si>
  <si>
    <t xml:space="preserve"> Additional living spaces with access to superfast broadband</t>
  </si>
  <si>
    <t>Living spaces</t>
  </si>
  <si>
    <t>RCR53</t>
  </si>
  <si>
    <t xml:space="preserve"> Dwellings where a broadband connection to a very high capacity network has been ordered</t>
  </si>
  <si>
    <t>RCO42</t>
  </si>
  <si>
    <t xml:space="preserve"> Added entrepreneurs with access to super-fast broadband</t>
  </si>
  <si>
    <t>RCR54</t>
  </si>
  <si>
    <t>Businesses who have subscribed to a broadband connection to a very high capacity network</t>
  </si>
  <si>
    <t>PSO06</t>
  </si>
  <si>
    <t xml:space="preserve"> Established 5G masts</t>
  </si>
  <si>
    <t>Masts</t>
  </si>
  <si>
    <t>PSR07</t>
  </si>
  <si>
    <t xml:space="preserve"> Transport corridors covered by 5G coverage</t>
  </si>
  <si>
    <t>Transport corridors</t>
  </si>
  <si>
    <t xml:space="preserve"> A greener Estonia</t>
  </si>
  <si>
    <t>(b)(i)</t>
  </si>
  <si>
    <t xml:space="preserve"> promoting energy efficiency and reducing greenhouse gas emissions</t>
  </si>
  <si>
    <t>21.2.1.1</t>
  </si>
  <si>
    <t xml:space="preserve"> Sustainable and accessible housing fund</t>
  </si>
  <si>
    <t xml:space="preserve"> Supporting the reconstruction of apartment buildings; Supporting the phased reconstruction of apartment buildings in areas with low property values</t>
  </si>
  <si>
    <t>RCO18</t>
  </si>
  <si>
    <t xml:space="preserve"> Dwellings with higher energy efficiency</t>
  </si>
  <si>
    <t>RCR29</t>
  </si>
  <si>
    <t xml:space="preserve"> Estimated greenhouse gas emissions</t>
  </si>
  <si>
    <t xml:space="preserve"> tons of CO2 eq/year</t>
  </si>
  <si>
    <t>PSO07</t>
  </si>
  <si>
    <t xml:space="preserve"> The number of dwellings in the improved apartment buildings</t>
  </si>
  <si>
    <t>RCR26</t>
  </si>
  <si>
    <t xml:space="preserve"> Annual consumption of primary energy</t>
  </si>
  <si>
    <t>MWh/year</t>
  </si>
  <si>
    <t>21.2.1.2</t>
  </si>
  <si>
    <t xml:space="preserve"> More efficient use of primary energy and increasing the share of renewable energy in final consumption</t>
  </si>
  <si>
    <t>Supporting the renovation and construction of district heating systems and boiler equipment (including investments in medium-capacity combustion equipment)</t>
  </si>
  <si>
    <t>RCO20</t>
  </si>
  <si>
    <t xml:space="preserve"> Newly built or improved district heating or district cooling networks</t>
  </si>
  <si>
    <t>RCO22</t>
  </si>
  <si>
    <t xml:space="preserve"> Added capacity for renewable energy production</t>
  </si>
  <si>
    <t>MW</t>
  </si>
  <si>
    <t>21.2.1.3</t>
  </si>
  <si>
    <t xml:space="preserve"> Development of human-centered healthcare</t>
  </si>
  <si>
    <t xml:space="preserve"> Energy efficiency of healthcare facilities</t>
  </si>
  <si>
    <t>ÜF</t>
  </si>
  <si>
    <t>SOM</t>
  </si>
  <si>
    <t>RCO19</t>
  </si>
  <si>
    <t xml:space="preserve"> Public buildings with higher energy efficiency</t>
  </si>
  <si>
    <t>PSR42</t>
  </si>
  <si>
    <t xml:space="preserve"> Modern energy-efficient hospital buildings</t>
  </si>
  <si>
    <t>21.2.1.4</t>
  </si>
  <si>
    <t xml:space="preserve"> Implementation of climate goals, protection of ambient air and radiation safety</t>
  </si>
  <si>
    <t xml:space="preserve"> Connection of residences to district heating networks or renewal of a heating device based on solid fuel</t>
  </si>
  <si>
    <t>KEM</t>
  </si>
  <si>
    <t>PSO08</t>
  </si>
  <si>
    <t xml:space="preserve"> Residential buildings with an improved heating system</t>
  </si>
  <si>
    <t>Residential buildings</t>
  </si>
  <si>
    <t>21.2.1.5</t>
  </si>
  <si>
    <t xml:space="preserve"> Development and improvement of the air quality monitoring network; Creation of a location-based health risk assessment system.</t>
  </si>
  <si>
    <t>PSO09</t>
  </si>
  <si>
    <t>Assessment and monitoring systems used to assess air quality</t>
  </si>
  <si>
    <t>21.2.1.6</t>
  </si>
  <si>
    <t xml:space="preserve"> Housing investment fund</t>
  </si>
  <si>
    <t>VVV32</t>
  </si>
  <si>
    <t xml:space="preserve"> Housing supported by financing means</t>
  </si>
  <si>
    <t>(b)(ii)</t>
  </si>
  <si>
    <t xml:space="preserve"> promotion of renewable energy in accordance with Directive (EU) 2018/2001, including the sustainability criteria set out therein</t>
  </si>
  <si>
    <t>21.2.2.1</t>
  </si>
  <si>
    <t xml:space="preserve"> Encouraging the introduction of biomethane</t>
  </si>
  <si>
    <t>RCO59</t>
  </si>
  <si>
    <t xml:space="preserve"> Alternative fuels infrastructure</t>
  </si>
  <si>
    <t xml:space="preserve"> Refueling/charging points</t>
  </si>
  <si>
    <t>PSR08</t>
  </si>
  <si>
    <t xml:space="preserve"> Annual amount of biomethane additionally used</t>
  </si>
  <si>
    <t>PSO10</t>
  </si>
  <si>
    <t xml:space="preserve"> Number of vehicles using biomethane</t>
  </si>
  <si>
    <t>Vehicles</t>
  </si>
  <si>
    <t>(b)(iv)</t>
  </si>
  <si>
    <t xml:space="preserve"> promoting climate change adaptation and disaster risk prevention and resilience, taking into account ecosystem-based approaches</t>
  </si>
  <si>
    <t>21.2.3.1</t>
  </si>
  <si>
    <t>Combined rainwater systems incl. construction of divergent storm water systems; Remediation of water bodies in poor condition; Local government climate measures and other adaptation measures; Development of meteorological, hydrological and environmental monitoring and their support systems</t>
  </si>
  <si>
    <t>RCO26</t>
  </si>
  <si>
    <t xml:space="preserve"> New or upgraded green infrastructure built to adapt to climate change</t>
  </si>
  <si>
    <t>huh</t>
  </si>
  <si>
    <t>RCR35</t>
  </si>
  <si>
    <t xml:space="preserve"> Population benefiting from flood protection measures</t>
  </si>
  <si>
    <t xml:space="preserve"> Number of persons</t>
  </si>
  <si>
    <t>PSO11</t>
  </si>
  <si>
    <t xml:space="preserve"> Number of local governments where trainings, seminars and information days have taken place and/or where climate adaptation and mitigation measures have been implemented</t>
  </si>
  <si>
    <t xml:space="preserve"> Local governments</t>
  </si>
  <si>
    <t>PSR09</t>
  </si>
  <si>
    <t xml:space="preserve"> Proportion of people who are aware of and taking action on the effects of climate change</t>
  </si>
  <si>
    <t>RCO24</t>
  </si>
  <si>
    <t xml:space="preserve"> Investments in new or upgraded natural disaster risk monitoring, disaster preparedness, warning and response systems</t>
  </si>
  <si>
    <t>RCR96</t>
  </si>
  <si>
    <t>Population benefiting from measures taken to insure against non-climatic natural and anthropogenic risks</t>
  </si>
  <si>
    <t>PSO12</t>
  </si>
  <si>
    <t xml:space="preserve"> The area occupied by the activities implemented for the treatment of the water body</t>
  </si>
  <si>
    <t>PSR10</t>
  </si>
  <si>
    <t xml:space="preserve"> Area of water bodies improved from poor to good condition</t>
  </si>
  <si>
    <t>21.2.3.2</t>
  </si>
  <si>
    <t xml:space="preserve"> Protection and use of wildlife</t>
  </si>
  <si>
    <t xml:space="preserve"> Habitat restoration to increase climate change adaptation readiness; Preparation and implementation of greening plans, i.e. improving the biodiversity of cities, including additional construction of green areas</t>
  </si>
  <si>
    <t>PSO13</t>
  </si>
  <si>
    <t xml:space="preserve"> Area of habitats that received support for improving their condition</t>
  </si>
  <si>
    <t>PSR11</t>
  </si>
  <si>
    <t xml:space="preserve"> The number of areas where the condition of habitats and species has improved with the support</t>
  </si>
  <si>
    <t xml:space="preserve"> Number of areas</t>
  </si>
  <si>
    <t>21.2.3.3</t>
  </si>
  <si>
    <t xml:space="preserve"> Increasing rescue capacity</t>
  </si>
  <si>
    <t>Designing a safe environment; Rescue on land and inland waterways; population protection, preparedness for crises and their resolution; providing assistance in sea areas and border water bodies</t>
  </si>
  <si>
    <t>Sim</t>
  </si>
  <si>
    <t>RCO28</t>
  </si>
  <si>
    <t xml:space="preserve"> An area covered by protective measures to prevent forest or landscape fires</t>
  </si>
  <si>
    <t>RCR36</t>
  </si>
  <si>
    <t xml:space="preserve"> Population benefiting from measures taken to insure against forest or landscape fires</t>
  </si>
  <si>
    <t>VVV33</t>
  </si>
  <si>
    <t xml:space="preserve"> Investments in sea rescue (personal protective equipment for volunteers, maritime safety, SAR)</t>
  </si>
  <si>
    <t>euro</t>
  </si>
  <si>
    <t>21.2.3.4</t>
  </si>
  <si>
    <t xml:space="preserve"> Competitiveness of transport</t>
  </si>
  <si>
    <t xml:space="preserve"> Protection of the water area of ports</t>
  </si>
  <si>
    <t>PSO14</t>
  </si>
  <si>
    <t xml:space="preserve"> The number of ports where protection measures against the effects of climate change have been implemented</t>
  </si>
  <si>
    <t>Ports</t>
  </si>
  <si>
    <t>PSR12</t>
  </si>
  <si>
    <t xml:space="preserve"> Long-term reliability of ports serving liner shipping</t>
  </si>
  <si>
    <t xml:space="preserve"> Useful life in years</t>
  </si>
  <si>
    <t>21.2.3.5</t>
  </si>
  <si>
    <t xml:space="preserve"> To prevent and mitigate the risk of flooding, the measures specified in the flood risk mitigation plan are supported.</t>
  </si>
  <si>
    <t>RCO25</t>
  </si>
  <si>
    <t>New or strengthened structures for securing against floods on the coastal strip, river and lake shores</t>
  </si>
  <si>
    <t>21.2.3.6</t>
  </si>
  <si>
    <t xml:space="preserve"> Updating the monitoring system of roadside weather stations</t>
  </si>
  <si>
    <t>VVV03</t>
  </si>
  <si>
    <t xml:space="preserve"> Number of road weather stations reconstructed or renewed</t>
  </si>
  <si>
    <t>(b)(vi)</t>
  </si>
  <si>
    <t xml:space="preserve"> promoting the transition to a circular and resource-efficient economy</t>
  </si>
  <si>
    <t>21.2.4.1</t>
  </si>
  <si>
    <t xml:space="preserve"> Organizing the circular economy</t>
  </si>
  <si>
    <t xml:space="preserve"> Supporting the introduction of circular economy-based production and consumption models, including industrial symbiosis and the reduction of losses related to the procurement of raw materials, and the training of relevant specialist experts; Increasing the energy and resource efficiency of industry and the service sector, including SMEs, and supporting audits; Avoiding and reducing waste generation and packaging, promoting the reuse of products; Supporting the infrastructure for the separate collection of waste; Increasing recycling capacity and ensuring safe material circulation</t>
  </si>
  <si>
    <t>PSO15</t>
  </si>
  <si>
    <t>Entrepreneurs supported in the circular economy</t>
  </si>
  <si>
    <t>PSR13</t>
  </si>
  <si>
    <t xml:space="preserve"> Primary raw material savings with projects</t>
  </si>
  <si>
    <t>tons/year</t>
  </si>
  <si>
    <t>VVV04</t>
  </si>
  <si>
    <t xml:space="preserve"> Investments in the development of the circular economy</t>
  </si>
  <si>
    <t>RCR103</t>
  </si>
  <si>
    <t xml:space="preserve"> Separately collected waste</t>
  </si>
  <si>
    <t>RCO107</t>
  </si>
  <si>
    <t xml:space="preserve"> Investments in facilities for the separate collection of waste</t>
  </si>
  <si>
    <t>RCR48</t>
  </si>
  <si>
    <t xml:space="preserve"> Waste used as raw material</t>
  </si>
  <si>
    <t>(b)(viii)</t>
  </si>
  <si>
    <t xml:space="preserve"> promotion of a sustainable multimodal urban mobility environment as part of the transition to a CO2-neutral economy</t>
  </si>
  <si>
    <t>21.2.5.1</t>
  </si>
  <si>
    <t xml:space="preserve"> Construction of the main network of bicycle paths and improvement of bicycle parking facilities; development of multi-modal public transport hubs; development of tram traffic in Tallinn</t>
  </si>
  <si>
    <t>RCO54</t>
  </si>
  <si>
    <t xml:space="preserve"> New or updated multi-species connections</t>
  </si>
  <si>
    <t xml:space="preserve"> Multiple connections</t>
  </si>
  <si>
    <t>PSR14</t>
  </si>
  <si>
    <t xml:space="preserve"> Number of new or updated users of multimodal connections per year</t>
  </si>
  <si>
    <t>Users/year</t>
  </si>
  <si>
    <t>RCO55</t>
  </si>
  <si>
    <t xml:space="preserve"> Length of new tram and metro lines</t>
  </si>
  <si>
    <t>Km</t>
  </si>
  <si>
    <t>RCR63</t>
  </si>
  <si>
    <t>Number of users of new or updated tram and metro lines per year</t>
  </si>
  <si>
    <t>RCO58</t>
  </si>
  <si>
    <t xml:space="preserve"> Dedicated bicycle infrastructure supported</t>
  </si>
  <si>
    <t>RCR64</t>
  </si>
  <si>
    <t xml:space="preserve"> Annual number of users of dedicated bicycle infrastructure</t>
  </si>
  <si>
    <t>RCO75</t>
  </si>
  <si>
    <t xml:space="preserve"> Supported integrated territorial development strategies</t>
  </si>
  <si>
    <t xml:space="preserve"> Contributions to strategies</t>
  </si>
  <si>
    <t xml:space="preserve"> A more united Estonia</t>
  </si>
  <si>
    <t xml:space="preserve"> (c)(i)</t>
  </si>
  <si>
    <t xml:space="preserve"> development of a climate-resilient, intelligent, safe, sustainable and multimodal trans-European transport network (TEN-T);</t>
  </si>
  <si>
    <t>21.3.1.1</t>
  </si>
  <si>
    <t xml:space="preserve"> Transport competitiveness (Road transport infrastructure)</t>
  </si>
  <si>
    <t xml:space="preserve"> Construction and reconstruction of TEN-T roads</t>
  </si>
  <si>
    <t>RCO45</t>
  </si>
  <si>
    <t xml:space="preserve"> Length of reconstructed or updated roads - TEN-T</t>
  </si>
  <si>
    <t>PSR15</t>
  </si>
  <si>
    <t xml:space="preserve"> Number of fatalities on new and reconstructed road sections</t>
  </si>
  <si>
    <t xml:space="preserve"> killed / per year</t>
  </si>
  <si>
    <t>RCR56</t>
  </si>
  <si>
    <t xml:space="preserve"> Time savings due to improved road infrastructure</t>
  </si>
  <si>
    <t xml:space="preserve"> human day per year</t>
  </si>
  <si>
    <t>21.3.1.2</t>
  </si>
  <si>
    <t xml:space="preserve"> Transport competitiveness (Rail transport infrastructure)</t>
  </si>
  <si>
    <t>Development and reconstruction of railways (including local stops of the Rail Baltic line Tallinn-Ikla, international passenger terminals); railway electrification.</t>
  </si>
  <si>
    <t>RCO49</t>
  </si>
  <si>
    <t xml:space="preserve"> Length of reconstructed or upgraded tracks - TEN-T</t>
  </si>
  <si>
    <t>PSR16</t>
  </si>
  <si>
    <t xml:space="preserve"> Annual number of railway users</t>
  </si>
  <si>
    <t xml:space="preserve"> million passengers/year</t>
  </si>
  <si>
    <t>RCO53</t>
  </si>
  <si>
    <t xml:space="preserve"> New or upgraded railway stations and stops</t>
  </si>
  <si>
    <t xml:space="preserve"> Stations and stops</t>
  </si>
  <si>
    <t>PSO16</t>
  </si>
  <si>
    <t xml:space="preserve"> Length of electrified railways - TEN-T</t>
  </si>
  <si>
    <t xml:space="preserve"> (c)(ii)</t>
  </si>
  <si>
    <t xml:space="preserve"> developing and promoting sustainable, climate-resilient, intelligent and diverse mobility at national, regional and local levels, including improving access to the TEN-T network and cross-border mobility</t>
  </si>
  <si>
    <t>21.3.2.1</t>
  </si>
  <si>
    <t xml:space="preserve"> Local government investments in bicycle and/or footpaths outside the three largest (Tallinn, Tartu and Pärnu) urban areas</t>
  </si>
  <si>
    <t>PSO17</t>
  </si>
  <si>
    <t xml:space="preserve"> Supported cycling and/or footpath infrastructure</t>
  </si>
  <si>
    <t>PSR17</t>
  </si>
  <si>
    <t>Annual number of users of supported bicycle and/or pedestrian infrastructure</t>
  </si>
  <si>
    <t xml:space="preserve"> A more social Estonia</t>
  </si>
  <si>
    <t>(d)(iii)</t>
  </si>
  <si>
    <t xml:space="preserve"> promoting the socio-economic inclusion of marginalized communities, low-income households and disadvantaged groups, including people with special needs, through integrated measures, including housing and social services</t>
  </si>
  <si>
    <t>21.4.1.1</t>
  </si>
  <si>
    <t xml:space="preserve"> Ensuring high-quality social services and care opportunities that support independent living</t>
  </si>
  <si>
    <r>
      <t xml:space="preserve"> Adaptation of living and service places that support the independent living of people with special needs and the elderly, including supporting the introduction of smart solutions.</t>
    </r>
    <r>
      <rPr>
        <sz val="10"/>
        <rFont val="Trebuchet MS"/>
        <family val="2"/>
        <scheme val="minor"/>
      </rPr>
      <t xml:space="preserve"> Creation of community-based supported living in a service building Special care service places</t>
    </r>
    <r>
      <rPr>
        <sz val="10"/>
        <rFont val="Trebuchet MS"/>
        <family val="2"/>
        <scheme val="minor"/>
      </rPr>
      <t xml:space="preserve"> reorganization</t>
    </r>
    <r>
      <rPr>
        <sz val="10"/>
        <rFont val="Trebuchet MS"/>
        <family val="2"/>
        <scheme val="minor"/>
      </rPr>
      <t xml:space="preserve"> Developments of information systems supporting the implementation of long-term care measures</t>
    </r>
  </si>
  <si>
    <t>PSO18</t>
  </si>
  <si>
    <t xml:space="preserve"> Number of living and service places created or adapted</t>
  </si>
  <si>
    <t>number</t>
  </si>
  <si>
    <t>PSR18</t>
  </si>
  <si>
    <t xml:space="preserve"> The number of users of new or updated residences and services</t>
  </si>
  <si>
    <t>VVV05</t>
  </si>
  <si>
    <t xml:space="preserve"> Common database in the field of social protection</t>
  </si>
  <si>
    <t>21.4.1.2</t>
  </si>
  <si>
    <t xml:space="preserve"> Services aimed at children and families are of high quality and meet the needs of families</t>
  </si>
  <si>
    <r>
      <t xml:space="preserve"> Social infrastructure that increases children's well-being</t>
    </r>
    <r>
      <rPr>
        <i/>
        <sz val="10"/>
        <rFont val="Trebuchet MS"/>
        <family val="2"/>
        <scheme val="minor"/>
      </rPr>
      <t xml:space="preserve"> (interventions are being coordinated with the European Commission)</t>
    </r>
  </si>
  <si>
    <t>VVV24</t>
  </si>
  <si>
    <t xml:space="preserve"> Developed infrastructures</t>
  </si>
  <si>
    <t>21.4.1.3</t>
  </si>
  <si>
    <t xml:space="preserve"> Centers for the development and provision of integrated welfare services</t>
  </si>
  <si>
    <t>PSO19</t>
  </si>
  <si>
    <t xml:space="preserve"> Number of modernized wellness centers</t>
  </si>
  <si>
    <t>a</t>
  </si>
  <si>
    <t xml:space="preserve"> improve the employment opportunities and the availability of activation measures for all jobseekers, in particular the young and the long-term unemployed and those excluded from the labor market and those belonging to disadvantaged groups in the labor market, doing so for young people in particular through the implementation of the Youth Guarantee, and through the promotion of self-employment and the social economy</t>
  </si>
  <si>
    <t>21.4.2.1</t>
  </si>
  <si>
    <t xml:space="preserve"> Achieving and maintaining high levels of employment</t>
  </si>
  <si>
    <t>Solving the structural problems of the labor market, increasing employment and supporting the labor market participation of various labor market risk groups</t>
  </si>
  <si>
    <t>ESF</t>
  </si>
  <si>
    <t>PSO20</t>
  </si>
  <si>
    <t xml:space="preserve"> Number of times of participation</t>
  </si>
  <si>
    <t>PSR19</t>
  </si>
  <si>
    <t xml:space="preserve"> The working-age population in employment after receiving the service</t>
  </si>
  <si>
    <t>21.4.2.2</t>
  </si>
  <si>
    <t xml:space="preserve"> Supporting the equal economic independence of men and women and increasing gender balance at all levels of decision-making and management</t>
  </si>
  <si>
    <t xml:space="preserve"> Promotion of gender equality in the labor market</t>
  </si>
  <si>
    <t>VVV06</t>
  </si>
  <si>
    <t xml:space="preserve"> Actions to reduce gender segregation</t>
  </si>
  <si>
    <t xml:space="preserve"> Number</t>
  </si>
  <si>
    <t>d</t>
  </si>
  <si>
    <t xml:space="preserve"> to promote adaptation of employees, companies and entrepreneurs to changes and active and healthy aging and a healthy and well-adapted work environment where health risks are managed</t>
  </si>
  <si>
    <t>21.4.3.1</t>
  </si>
  <si>
    <t>Designing occupational health and safety services. Increasing the capacity of organizations dealing with the working environment and working conditions, including social partners and professional organizations.</t>
  </si>
  <si>
    <t>PSO21</t>
  </si>
  <si>
    <t xml:space="preserve"> The number of solutions developed in the field of working conditions, occupational health and safety</t>
  </si>
  <si>
    <t>PSR20</t>
  </si>
  <si>
    <t xml:space="preserve"> Share of those who dropped out of employment due to health reasons (15 - 74)</t>
  </si>
  <si>
    <t>PSO22</t>
  </si>
  <si>
    <t xml:space="preserve"> Creation of a support system for the prevention of the development of permanent loss of working capacity and the continued employment of people with temporary incapacity for work</t>
  </si>
  <si>
    <t>PSR21</t>
  </si>
  <si>
    <t xml:space="preserve"> The share of new people with partial and no work capacity from the working-age population</t>
  </si>
  <si>
    <t>PSO23</t>
  </si>
  <si>
    <t xml:space="preserve"> The number of users of the support system for preventing the development of permanent loss of work ability and maintaining employment for people with temporary work incapacity</t>
  </si>
  <si>
    <t xml:space="preserve"> Number of users</t>
  </si>
  <si>
    <t>21.4.3.2</t>
  </si>
  <si>
    <t>Reducing health risks and risk behaviors and empowering communities and localities to promote health</t>
  </si>
  <si>
    <t xml:space="preserve"> Improving the availability of disease prevention measures, counseling, rehabilitation and support services to increase people's competitiveness in the labor market and return to the labor market</t>
  </si>
  <si>
    <t>VVV07</t>
  </si>
  <si>
    <t xml:space="preserve"> A model for the prevention of cross-sectoral health problems and the early detection of risks</t>
  </si>
  <si>
    <t>21.4.3.3</t>
  </si>
  <si>
    <t xml:space="preserve"> Paying benefits, developing schemes and designing a social insurance system that takes into account the cross-border movement of people</t>
  </si>
  <si>
    <t xml:space="preserve"> Supporting active aging through raising awareness among employees and employers</t>
  </si>
  <si>
    <t>VVV08</t>
  </si>
  <si>
    <t xml:space="preserve"> Pension counseling information sessions</t>
  </si>
  <si>
    <t xml:space="preserve"> 440</t>
  </si>
  <si>
    <t xml:space="preserve"> e</t>
  </si>
  <si>
    <t>make education and training systems more quality, inclusive, efficient and relevant to the labor market, including by validating non-formal and informal learning, supporting the acquisition of key competences, including entrepreneurial and digital skills, and promoting the uptake of dual training systems and apprenticeships</t>
  </si>
  <si>
    <t>21.4.4.1</t>
  </si>
  <si>
    <t xml:space="preserve"> Teachers' subsequent growth and development, learning concept and environments</t>
  </si>
  <si>
    <t xml:space="preserve"> Research-based curriculum and learning software development and implementation and evaluation of learning quality, personal learning paths and learning analytics. Initial and continuing education and further training of employees in the field of education and youth.</t>
  </si>
  <si>
    <t>PSO24</t>
  </si>
  <si>
    <t xml:space="preserve"> The number of employees in the field of education and youth who participated in trainings (at least 32 ac hours).</t>
  </si>
  <si>
    <t>order of participation</t>
  </si>
  <si>
    <t xml:space="preserve"> 16,750</t>
  </si>
  <si>
    <t>PSR22</t>
  </si>
  <si>
    <t xml:space="preserve"> Education and youth workers who have qualified at the end of the training</t>
  </si>
  <si>
    <t>e</t>
  </si>
  <si>
    <t>21.4.4.2</t>
  </si>
  <si>
    <t xml:space="preserve"> Relations between education, society and the labor market</t>
  </si>
  <si>
    <t>Guidance of students' study choices in vocational and higher education, e Technology Program (aka Engineering Academy). Development of vocational and higher education that meets the needs of the labor market (PRÕM+). Development of IT education and digital skills. Quality of higher education, internationalization and doctoral schools.</t>
  </si>
  <si>
    <t>PSO25</t>
  </si>
  <si>
    <t xml:space="preserve"> Number of supported priority study areas</t>
  </si>
  <si>
    <t xml:space="preserve"> number of fields of study (ISCED 2013))</t>
  </si>
  <si>
    <t>PSR23</t>
  </si>
  <si>
    <t xml:space="preserve"> The proportion of students studying in priority fields of study</t>
  </si>
  <si>
    <t xml:space="preserve"> % of all learners</t>
  </si>
  <si>
    <t>PSO27</t>
  </si>
  <si>
    <t xml:space="preserve"> Number of participants in workplace-based learning</t>
  </si>
  <si>
    <t>PSR25</t>
  </si>
  <si>
    <t xml:space="preserve"> Participants in workplace-based learning who received a qualification at the end of the activity</t>
  </si>
  <si>
    <t>VVV36</t>
  </si>
  <si>
    <t xml:space="preserve"> The number of advanced level students who participated in the activities</t>
  </si>
  <si>
    <t>under development</t>
  </si>
  <si>
    <t>PSO26</t>
  </si>
  <si>
    <t xml:space="preserve"> The number of higher education institutions that participated in learning quality development projects</t>
  </si>
  <si>
    <t xml:space="preserve"> number of educational institutions</t>
  </si>
  <si>
    <t>PSR24</t>
  </si>
  <si>
    <t xml:space="preserve"> The number of higher education institutions that have completed learning quality development projects</t>
  </si>
  <si>
    <t>21.4.4.3</t>
  </si>
  <si>
    <t>Science communication and popularization of science</t>
  </si>
  <si>
    <t>VVV09</t>
  </si>
  <si>
    <t xml:space="preserve"> The number of organized science communication and science popularization events</t>
  </si>
  <si>
    <t>Event</t>
  </si>
  <si>
    <t>f</t>
  </si>
  <si>
    <t xml:space="preserve"> promote equal access and completion of quality and inclusive education and training, from early childhood education and care through general and vocational education and training to tertiary education, as well as adult education and training, in particular for disadvantaged groups, including facilitating learning mobility for all and accessibility for people with disabilities;</t>
  </si>
  <si>
    <t>21.4.5.1</t>
  </si>
  <si>
    <t xml:space="preserve"> Development of the youth field</t>
  </si>
  <si>
    <t xml:space="preserve"> Youth employment measures to support the entry of young people into the labor market and to provide support measures to young people with NEET status.</t>
  </si>
  <si>
    <t>PSO28</t>
  </si>
  <si>
    <t xml:space="preserve"> Number of participants in youth work services</t>
  </si>
  <si>
    <t>PSO29</t>
  </si>
  <si>
    <t xml:space="preserve"> Number of NEET youth who participated in youth work services</t>
  </si>
  <si>
    <t>PSR26</t>
  </si>
  <si>
    <t>NEET young people who participated in support measures, who have exited the status of NEET young people 6 months after leaving the activity</t>
  </si>
  <si>
    <t xml:space="preserve"> %</t>
  </si>
  <si>
    <t>21.4.5.2</t>
  </si>
  <si>
    <t xml:space="preserve"> Education support services</t>
  </si>
  <si>
    <t>PSO30</t>
  </si>
  <si>
    <t xml:space="preserve"> The number of counseling cases of the study counseling service</t>
  </si>
  <si>
    <t>Counseling case</t>
  </si>
  <si>
    <t>PSR27</t>
  </si>
  <si>
    <t xml:space="preserve"> Customer feedback of study counseling service</t>
  </si>
  <si>
    <t xml:space="preserve"> recommendation index (%)</t>
  </si>
  <si>
    <t>g</t>
  </si>
  <si>
    <t xml:space="preserve"> promote lifelong learning, in particular flexible upskilling and retraining opportunities available to all, taking into account entrepreneurial and digital skills, better predict changes and new necessary skills based on the needs of the labor market, facilitate career transitions and encourage professional mobility</t>
  </si>
  <si>
    <t>21.4.6.1</t>
  </si>
  <si>
    <t xml:space="preserve"> Learning opportunities and organization of education</t>
  </si>
  <si>
    <t xml:space="preserve"> Supporting the participation of adults in non-formal education and development activities (including increasing the capacity of training institutions, quality development, making adult learning paths more flexible, popularizing lifelong learning). Supporting the participation of adults in advanced education.</t>
  </si>
  <si>
    <t>PSO31</t>
  </si>
  <si>
    <t xml:space="preserve"> Number of adults participating in non-formal education</t>
  </si>
  <si>
    <t>PSR28</t>
  </si>
  <si>
    <t xml:space="preserve"> Non-formal education participants who obtained a qualification at the end of the training</t>
  </si>
  <si>
    <t>participants</t>
  </si>
  <si>
    <t>PSO32</t>
  </si>
  <si>
    <t xml:space="preserve"> Number of adults participating in non-formal education in the social field</t>
  </si>
  <si>
    <t>PSO33</t>
  </si>
  <si>
    <t xml:space="preserve"> The number of participants in adult re-entry activities</t>
  </si>
  <si>
    <t>participant</t>
  </si>
  <si>
    <t>21.4.6.2</t>
  </si>
  <si>
    <t xml:space="preserve"> Vocational system reform</t>
  </si>
  <si>
    <t>VVV10</t>
  </si>
  <si>
    <t xml:space="preserve"> The information system of the comprehensive vocational system was created</t>
  </si>
  <si>
    <t xml:space="preserve"> information system</t>
  </si>
  <si>
    <t>h</t>
  </si>
  <si>
    <t xml:space="preserve"> encourage active inclusion to promote equal opportunities, non-discrimination and active participation and improve the employability of disadvantaged groups in particular</t>
  </si>
  <si>
    <t>21.4.7.1</t>
  </si>
  <si>
    <t xml:space="preserve"> Learning the Estonian language and developing language learning</t>
  </si>
  <si>
    <t>PSO34</t>
  </si>
  <si>
    <t xml:space="preserve"> The number of educational workers who participated in trainings related to language learning and integration (at least 32 credit hours).</t>
  </si>
  <si>
    <t>PSR29</t>
  </si>
  <si>
    <t xml:space="preserve"> Educators who received a qualification at the end of the training</t>
  </si>
  <si>
    <t>21.4.7.2</t>
  </si>
  <si>
    <t>Services for at-risk youth: Involving children and youth in civil society</t>
  </si>
  <si>
    <t>VVV11</t>
  </si>
  <si>
    <t xml:space="preserve"> The indicator is being developed.</t>
  </si>
  <si>
    <t>21.4.7.3</t>
  </si>
  <si>
    <t xml:space="preserve"> Development of the language field</t>
  </si>
  <si>
    <t>PSO35</t>
  </si>
  <si>
    <t xml:space="preserve"> Number of e-language learning services to be created</t>
  </si>
  <si>
    <t xml:space="preserve"> new service</t>
  </si>
  <si>
    <t>21.4.7.4</t>
  </si>
  <si>
    <t xml:space="preserve"> Designing criminal policy and reducing crime</t>
  </si>
  <si>
    <t xml:space="preserve"> Various activities aimed at reducing youth recidivism. Target group: young people, professionals, potential service providers.</t>
  </si>
  <si>
    <t>JUM</t>
  </si>
  <si>
    <t>VVV12</t>
  </si>
  <si>
    <t xml:space="preserve"> Number of young people who received the intervention/program</t>
  </si>
  <si>
    <t xml:space="preserve"> the number of participants</t>
  </si>
  <si>
    <t>VVT01</t>
  </si>
  <si>
    <t xml:space="preserve"> Proportion of young people who are in the labor market 1 month after the end of the intervention/program</t>
  </si>
  <si>
    <t>VVV13</t>
  </si>
  <si>
    <t xml:space="preserve"> The number of specialists who participated in the training</t>
  </si>
  <si>
    <t xml:space="preserve"> number of specialists</t>
  </si>
  <si>
    <t>21.4.7.5</t>
  </si>
  <si>
    <t xml:space="preserve"> Estonia that supports integration, including modernization</t>
  </si>
  <si>
    <t>Offering the adaptation program "Settle in Estonia"; Further development and implementation of the data exchange solution (including the information platform); Activities that support the competitiveness of people with different linguistic and cultural backgrounds and returnees on the labor market; Activities supporting the learning of the Estonian language and civic education; Informing the public about migration, integration, including adaptation; Supporting local governments in providing integration, including adaptation services; promoting contacts between communities.</t>
  </si>
  <si>
    <t>VVV14</t>
  </si>
  <si>
    <t xml:space="preserve"> Number of participants in the adaptation program</t>
  </si>
  <si>
    <t>PSR30</t>
  </si>
  <si>
    <t xml:space="preserve"> The number of people who completed activities supporting language learning in the field of integration</t>
  </si>
  <si>
    <t>VVV15</t>
  </si>
  <si>
    <t xml:space="preserve"> The number of foreigners referred to the adaptation program</t>
  </si>
  <si>
    <t>VVV16</t>
  </si>
  <si>
    <t xml:space="preserve"> Number of participants in the labor exchange program</t>
  </si>
  <si>
    <t>PSO36</t>
  </si>
  <si>
    <t xml:space="preserve"> The number of participants in activities supporting language learning in the field of integration</t>
  </si>
  <si>
    <t>VVV17</t>
  </si>
  <si>
    <t xml:space="preserve"> Number of social media campaigns and cross media programs</t>
  </si>
  <si>
    <t xml:space="preserve"> number</t>
  </si>
  <si>
    <t>VVV18</t>
  </si>
  <si>
    <t>Number of local government coordinators</t>
  </si>
  <si>
    <t>VVV19</t>
  </si>
  <si>
    <t xml:space="preserve"> The number of mentors involved in the activities of NGOs</t>
  </si>
  <si>
    <t>21.4.7.6</t>
  </si>
  <si>
    <t xml:space="preserve"> Preventive and safe living environment</t>
  </si>
  <si>
    <t xml:space="preserve"> Supporting young people with risky behavior, promoting cooperation models based on local level networking and prevention work: • Cooperation model of specialists to support young people with medium and high risk behavior • Trainings for the development of preventive competence and the prevention of risky behavior • Creation of the competence to reduce harm and risky behavior related to alcohol and other drugs • Promotion of local level networking to increase security</t>
  </si>
  <si>
    <t>VVV20</t>
  </si>
  <si>
    <t xml:space="preserve"> Number of participants in prevention activities</t>
  </si>
  <si>
    <t xml:space="preserve"> order of participation</t>
  </si>
  <si>
    <t xml:space="preserve"> 240</t>
  </si>
  <si>
    <t xml:space="preserve"> 1140</t>
  </si>
  <si>
    <t>21.4.7.7</t>
  </si>
  <si>
    <t xml:space="preserve"> Increasing the influence of civil society and supporting development</t>
  </si>
  <si>
    <t>Involvement of children and youth in civil society 1. Development of a systemic community-based model of involvement of children and youth (ensuring the succession of civil society) 2. Increasing the involvement and participation skills of NGOs dealing with children and youth (creating opportunities for the development of NGOs, developing and strengthening NGOs with an emphasis on NGOs dealing with children and youth)</t>
  </si>
  <si>
    <t>VVV21</t>
  </si>
  <si>
    <t xml:space="preserve"> Number of training participants</t>
  </si>
  <si>
    <t xml:space="preserve"> 20</t>
  </si>
  <si>
    <t>21.4.7.8</t>
  </si>
  <si>
    <t xml:space="preserve"> Organizing the execution of punishments</t>
  </si>
  <si>
    <t xml:space="preserve"> Increasing the competitiveness of inmates through their better integration, including improving Estonian language skills. Target group: inmates, potential service providers</t>
  </si>
  <si>
    <t>VVV22</t>
  </si>
  <si>
    <t xml:space="preserve"> Number of participants in language learning and integration activities</t>
  </si>
  <si>
    <t>21.4.7.9</t>
  </si>
  <si>
    <t xml:space="preserve"> Supporting children and families Preventing risky behavior in children</t>
  </si>
  <si>
    <t>PSO37</t>
  </si>
  <si>
    <t xml:space="preserve"> Development of an organizational model for child protection</t>
  </si>
  <si>
    <t>Model</t>
  </si>
  <si>
    <t>PSR31</t>
  </si>
  <si>
    <t xml:space="preserve"> Implementation of the child protection organizational model</t>
  </si>
  <si>
    <t>model</t>
  </si>
  <si>
    <t>PSO38</t>
  </si>
  <si>
    <t>Developing interventions for children/youth at risk</t>
  </si>
  <si>
    <t xml:space="preserve"> Number of interventions</t>
  </si>
  <si>
    <t>PSR32</t>
  </si>
  <si>
    <t xml:space="preserve"> Implementing interventions for children/youth at risk</t>
  </si>
  <si>
    <t>(d)(ii)</t>
  </si>
  <si>
    <t xml:space="preserve"> improving equitable access to inclusive and quality services in education, training and lifelong learning by developing accessible infrastructure, including strengthening resilience in relation to distance and e-learning and training</t>
  </si>
  <si>
    <t>21.4.8.1</t>
  </si>
  <si>
    <t xml:space="preserve"> Organizing the elementary school network (in order to align educational places with demographic changes in a shrinking region), supporting the implementation of the principles of inclusive education and developing cooperation between educational institutions (regional education centers).</t>
  </si>
  <si>
    <t>RCO67</t>
  </si>
  <si>
    <t xml:space="preserve"> Capacity of classrooms in new or updated educational institutions</t>
  </si>
  <si>
    <t>persons</t>
  </si>
  <si>
    <t>RCR71</t>
  </si>
  <si>
    <t xml:space="preserve"> Number of users of new or upgraded educational institutions per year</t>
  </si>
  <si>
    <t xml:space="preserve"> users per year</t>
  </si>
  <si>
    <t>VVV34</t>
  </si>
  <si>
    <t>The number of educational institutions receiving support for implementing the principles of inclusive education</t>
  </si>
  <si>
    <t>VVV35</t>
  </si>
  <si>
    <t xml:space="preserve"> Number of pilot projects supported</t>
  </si>
  <si>
    <t xml:space="preserve"> ≥ 2</t>
  </si>
  <si>
    <t>21.4.8.2</t>
  </si>
  <si>
    <t xml:space="preserve"> Promotion of quality management in general education that is evidence-based and supports learner development.</t>
  </si>
  <si>
    <t>VVV23</t>
  </si>
  <si>
    <t xml:space="preserve"> The number of educational institutions that have benefited from the activities</t>
  </si>
  <si>
    <r>
      <rPr>
        <b/>
        <sz val="10"/>
        <rFont val="Trebuchet MS"/>
        <family val="2"/>
        <scheme val="minor"/>
      </rPr>
      <t xml:space="preserve"> ≥</t>
    </r>
    <r>
      <rPr>
        <sz val="10"/>
        <rFont val="Trebuchet MS"/>
        <family val="2"/>
        <scheme val="minor"/>
      </rPr>
      <t>20</t>
    </r>
  </si>
  <si>
    <t xml:space="preserve"> ≥ 85</t>
  </si>
  <si>
    <t xml:space="preserve"> improve equitable and timely access to quality, sustainable and affordable services, including services that improve access to housing and person-centered care, including health care; modernize social protection systems, including improving access to social protection, paying particular attention to children and disadvantaged groups; improve accessibility (including for people with disabilities), efficiency and resilience of health systems and long-term care services</t>
  </si>
  <si>
    <t>21.4.9.1</t>
  </si>
  <si>
    <r>
      <rPr>
        <sz val="10"/>
        <rFont val="Trebuchet MS"/>
        <family val="2"/>
        <scheme val="minor"/>
      </rPr>
      <t>Community and local government empowerment; improving the availability of services; development of innovative and integrated services; easing the maintenance burden; raising the qualifications of the workforce in the social field and ensuring sustainability. High-quality and accessible social services; easing the maintenance burden; raising the qualifications of the workforce in the social field and ensuring sustainability; integration of different fields and introduction of innovative solutions. High-quality and accessible social services, including protected workplace service, person-centered services.</t>
    </r>
    <r>
      <rPr>
        <strike/>
        <sz val="10"/>
        <rFont val="Trebuchet MS"/>
        <family val="2"/>
        <scheme val="minor"/>
      </rPr>
      <t/>
    </r>
  </si>
  <si>
    <t>PSO39</t>
  </si>
  <si>
    <t xml:space="preserve"> Number of recipients of welfare services</t>
  </si>
  <si>
    <t>PSR33</t>
  </si>
  <si>
    <t xml:space="preserve"> Proportion of participants whose coping improved or maintained</t>
  </si>
  <si>
    <t>PSR34</t>
  </si>
  <si>
    <t xml:space="preserve"> Proportion of participants whose care burden situation improved</t>
  </si>
  <si>
    <t>21.4.9.2</t>
  </si>
  <si>
    <t xml:space="preserve"> Community-Led Local Development - CLLD</t>
  </si>
  <si>
    <t>Improving the availability and quality of long-term care services and easing the burden of care Ensuring human dignity, including reducing poverty and increasing social inclusion</t>
  </si>
  <si>
    <t>PSO40</t>
  </si>
  <si>
    <t xml:space="preserve"> Number of LAG strategies supported</t>
  </si>
  <si>
    <t>PSR35</t>
  </si>
  <si>
    <t xml:space="preserve"> Proportion of rural population covered by local action group strategies</t>
  </si>
  <si>
    <t>21.4.9.3</t>
  </si>
  <si>
    <t xml:space="preserve"> Development and provision of social services aimed at children and families, reducing long-term care (including children with disabilities).</t>
  </si>
  <si>
    <t>m</t>
  </si>
  <si>
    <t xml:space="preserve"> reduce material deprivation by providing food and/or primary material aid to the most deprived persons, including children, and take accompanying measures that support the social inclusion of these persons</t>
  </si>
  <si>
    <t>21.4.10.1</t>
  </si>
  <si>
    <t xml:space="preserve"> Social Security Program</t>
  </si>
  <si>
    <t xml:space="preserve"> Provision of food and/or essential goods (e.g. based on the voucher scheme)</t>
  </si>
  <si>
    <t>EMCO01</t>
  </si>
  <si>
    <t xml:space="preserve"> The total monetary value of the food and goods shared</t>
  </si>
  <si>
    <t xml:space="preserve"> Not set</t>
  </si>
  <si>
    <t>EMCR10</t>
  </si>
  <si>
    <t xml:space="preserve"> Number of final recipients of food aid</t>
  </si>
  <si>
    <t>Estonia closer to people</t>
  </si>
  <si>
    <t>(e)(i)</t>
  </si>
  <si>
    <t xml:space="preserve"> promoting comprehensive and inclusive social, economic and environmental development, culture, natural heritage, sustainable tourism and security in urban areas</t>
  </si>
  <si>
    <t>21.5.1.1</t>
  </si>
  <si>
    <t xml:space="preserve"> Development of larger urban areas (including revitalization of Ida-Viru urban areas, smart solutions including green solutions, available high-quality public services, better capacity of local governments)</t>
  </si>
  <si>
    <t>RCO114</t>
  </si>
  <si>
    <t xml:space="preserve"> Public space created or restored in urban areas</t>
  </si>
  <si>
    <t>PSR36</t>
  </si>
  <si>
    <t xml:space="preserve"> Number of residents benefiting from developed public urban space</t>
  </si>
  <si>
    <t xml:space="preserve"> Number of people</t>
  </si>
  <si>
    <t>RCO36</t>
  </si>
  <si>
    <t xml:space="preserve"> Green infrastructure supported for purposes other than climate change adaptation</t>
  </si>
  <si>
    <t>VVT02</t>
  </si>
  <si>
    <t xml:space="preserve"> The volume of investments involved in the project</t>
  </si>
  <si>
    <t>VVV25</t>
  </si>
  <si>
    <t>RCO74</t>
  </si>
  <si>
    <t xml:space="preserve"> Population covered by projects within the framework of integrated territorial development strategies</t>
  </si>
  <si>
    <t>PSR37</t>
  </si>
  <si>
    <t xml:space="preserve"> Number of organizations benefiting from integrated projects</t>
  </si>
  <si>
    <t xml:space="preserve"> Number of organizations</t>
  </si>
  <si>
    <t>PSR38</t>
  </si>
  <si>
    <t xml:space="preserve"> Number of projects in which land use or administrative costs related to services are reduced by at least 20% with the updated arrangement</t>
  </si>
  <si>
    <t xml:space="preserve"> Number of projects</t>
  </si>
  <si>
    <t>RCO76</t>
  </si>
  <si>
    <t xml:space="preserve"> Integrated territorial development projects</t>
  </si>
  <si>
    <t>PSO41</t>
  </si>
  <si>
    <t xml:space="preserve"> Number of services with new and updated arrangements</t>
  </si>
  <si>
    <t xml:space="preserve"> Number of services</t>
  </si>
  <si>
    <t>(e)(ii)</t>
  </si>
  <si>
    <t xml:space="preserve"> promoting comprehensive and inclusive social, economic and environmental local development, culture, natural heritage, sustainable tourism and security in non-urban areas</t>
  </si>
  <si>
    <t>21.5.2.1</t>
  </si>
  <si>
    <t xml:space="preserve"> Attractive regional business and living environment, Available high-quality public services, Better capacity of local governments</t>
  </si>
  <si>
    <t>PSR39</t>
  </si>
  <si>
    <t xml:space="preserve"> The number of fully developed service networks</t>
  </si>
  <si>
    <t>Service networks</t>
  </si>
  <si>
    <t>PSR40</t>
  </si>
  <si>
    <t xml:space="preserve"> Number of participants who completed the development program (to improve professional competence)</t>
  </si>
  <si>
    <t>PSO42</t>
  </si>
  <si>
    <t xml:space="preserve"> Number of new development programs</t>
  </si>
  <si>
    <t>Programs</t>
  </si>
  <si>
    <t xml:space="preserve"> A fair transition</t>
  </si>
  <si>
    <t>21.6.1.1</t>
  </si>
  <si>
    <t xml:space="preserve"> Ida-Viru business investment support</t>
  </si>
  <si>
    <t xml:space="preserve"> Ida-Viru business investment support (including industry)</t>
  </si>
  <si>
    <t>ÜÜF</t>
  </si>
  <si>
    <t xml:space="preserve"> Supported enterprises (including: micro, small, medium and large enterprises)</t>
  </si>
  <si>
    <t>entrepreneurs</t>
  </si>
  <si>
    <t>RCR01</t>
  </si>
  <si>
    <t xml:space="preserve"> Jobs created in supported companies</t>
  </si>
  <si>
    <t xml:space="preserve"> Number of FTEs</t>
  </si>
  <si>
    <t>21.6.1.2</t>
  </si>
  <si>
    <r>
      <t xml:space="preserve"> Support for knowledge-intensive activities of Ida-Viru entrepreneurs</t>
    </r>
    <r>
      <rPr>
        <strike/>
        <sz val="10"/>
        <rFont val="Trebuchet MS"/>
        <family val="2"/>
        <scheme val="minor"/>
      </rPr>
      <t/>
    </r>
  </si>
  <si>
    <r>
      <t xml:space="preserve"> Support for knowledge-intensive activities of Ida-Viru entrepreneurs and entrepreneurs investing in Ida-Viru</t>
    </r>
    <r>
      <rPr>
        <strike/>
        <sz val="10"/>
        <rFont val="Trebuchet MS"/>
        <family val="2"/>
        <scheme val="minor"/>
      </rPr>
      <t/>
    </r>
  </si>
  <si>
    <t xml:space="preserve"> Full-time equivalent per year</t>
  </si>
  <si>
    <t>21.6.1.3</t>
  </si>
  <si>
    <t xml:space="preserve"> Support for increasing the knowledge intensity of entrepreneurship in Ida-Viru County: developing the supply of research capacity to create a TA network in Ida-Viru County</t>
  </si>
  <si>
    <t>Research jobs created in supporting companies</t>
  </si>
  <si>
    <t>21.6.1.4</t>
  </si>
  <si>
    <t xml:space="preserve"> Business diversification support services</t>
  </si>
  <si>
    <t xml:space="preserve"> Establishment of incubators in Narva and Jõhvi; Creation and development of the Ida-Virumaa incubation services program</t>
  </si>
  <si>
    <t>RCO15</t>
  </si>
  <si>
    <t xml:space="preserve"> Created business incubation capability</t>
  </si>
  <si>
    <t>RCR18</t>
  </si>
  <si>
    <t xml:space="preserve"> SMEs using the services of a business incubator after the establishment of the incubator</t>
  </si>
  <si>
    <t xml:space="preserve"> Entrepreneurs per year</t>
  </si>
  <si>
    <t>21.6.1.5</t>
  </si>
  <si>
    <t xml:space="preserve"> Investment support for SMEs</t>
  </si>
  <si>
    <t xml:space="preserve"> Supporting investments, product and process development of SMEs in Ida-Virumaa</t>
  </si>
  <si>
    <t>RCR03</t>
  </si>
  <si>
    <t xml:space="preserve"> SMEs adopting product or process innovation</t>
  </si>
  <si>
    <t>RCR04</t>
  </si>
  <si>
    <t xml:space="preserve"> SMEs adopting marketing or organizational innovation</t>
  </si>
  <si>
    <t>21.6.1.6</t>
  </si>
  <si>
    <t xml:space="preserve"> Supporting employment and further and retraining</t>
  </si>
  <si>
    <t xml:space="preserve"> Support for moving from job to job and employee re-profiling for workers in the oil shale sector</t>
  </si>
  <si>
    <t>PSO43</t>
  </si>
  <si>
    <t xml:space="preserve"> number of participations</t>
  </si>
  <si>
    <t>EECR04</t>
  </si>
  <si>
    <t>Participants who went to work after leaving the program, including self-employed</t>
  </si>
  <si>
    <t>21.6.1.7</t>
  </si>
  <si>
    <t xml:space="preserve"> Increasing the volume of continuing education in Ida-Viru and developing and launching new level education curricula in vocational and higher education</t>
  </si>
  <si>
    <t>PSR41</t>
  </si>
  <si>
    <t xml:space="preserve"> Participants who qualified when they left</t>
  </si>
  <si>
    <t>VVV26</t>
  </si>
  <si>
    <t xml:space="preserve"> The number of curricula created and supplemented based on the needs of employers</t>
  </si>
  <si>
    <t>VVT03</t>
  </si>
  <si>
    <t xml:space="preserve"> The number of students accepted to new or expanded study programs based on the needs of employers</t>
  </si>
  <si>
    <t>21.6.1.8</t>
  </si>
  <si>
    <t>Solving environmental problems related to mining and oil shale processing and regional development of waste management: * Elimination of collapses and sinkholes of mines closed during the Soviet period; * Repairing quarries of construction mineral resources damaged by mining and abandoned; * Reconstruction of the closure solution for the larger fire area of the closed industrial waste and semi-coke landfill in Kohtla-Järve; * Regional development of waste management</t>
  </si>
  <si>
    <t>RCO38</t>
  </si>
  <si>
    <t xml:space="preserve"> Area of supported restored land</t>
  </si>
  <si>
    <t>hectares</t>
  </si>
  <si>
    <t>RCO34</t>
  </si>
  <si>
    <t xml:space="preserve"> Additional waste recycling capacity</t>
  </si>
  <si>
    <t>RCR52</t>
  </si>
  <si>
    <t xml:space="preserve"> Reclaimed land used for green spaces, social housing, economic or other uses</t>
  </si>
  <si>
    <t>Hectares</t>
  </si>
  <si>
    <t>21.6.1.9</t>
  </si>
  <si>
    <t xml:space="preserve"> Solving environmental problems related to oil shale mining and processing and reducing health damage</t>
  </si>
  <si>
    <t>Activities of the Partnership for Risk Assessment of Chemicals (PARC) and "Conducting biomonitoring among the population exposed to the oil shale sector (project related to the PARC partnership)"</t>
  </si>
  <si>
    <t>VVV27</t>
  </si>
  <si>
    <t xml:space="preserve"> Number of people participating in biomonitoring</t>
  </si>
  <si>
    <t>21.6.1.10</t>
  </si>
  <si>
    <t xml:space="preserve"> Regional development - local government investments</t>
  </si>
  <si>
    <t xml:space="preserve"> Ida-Viru Local Government investments to mitigate the effects of the transition</t>
  </si>
  <si>
    <t>VVV28</t>
  </si>
  <si>
    <t xml:space="preserve"> The volume of municipal investments</t>
  </si>
  <si>
    <t>VVT04</t>
  </si>
  <si>
    <t xml:space="preserve"> Number of public services with improved quality</t>
  </si>
  <si>
    <t xml:space="preserve"> number of services</t>
  </si>
  <si>
    <t>21.6.1.11</t>
  </si>
  <si>
    <t xml:space="preserve"> Regional development - regional initiatives</t>
  </si>
  <si>
    <t xml:space="preserve"> Support for regional initiatives for a just transition</t>
  </si>
  <si>
    <t>VVV29</t>
  </si>
  <si>
    <t xml:space="preserve"> Number of participating organizations</t>
  </si>
  <si>
    <t xml:space="preserve"> number of organizations</t>
  </si>
  <si>
    <t>VVT05</t>
  </si>
  <si>
    <t xml:space="preserve"> Funding from participating organizations that complements the grant</t>
  </si>
  <si>
    <t>21.6.1.12</t>
  </si>
  <si>
    <t xml:space="preserve"> Development of social and health services supporting social change</t>
  </si>
  <si>
    <t>VVV30</t>
  </si>
  <si>
    <t>VVT06</t>
  </si>
  <si>
    <t xml:space="preserve"> The proportion of people whose qualification level has increased or received a corresponding certificate before completing the training</t>
  </si>
  <si>
    <t>21.6.1.13</t>
  </si>
  <si>
    <t xml:space="preserve"> Uncoupling of district heating from oil shale</t>
  </si>
  <si>
    <t xml:space="preserve"> Supporting the transition to renewable fuels for district heating in Ida-Virumaa</t>
  </si>
  <si>
    <t xml:space="preserve"> Added capacity for renewable energy production (of which: electricity, thermal energy)</t>
  </si>
  <si>
    <t>21.6.1.14</t>
  </si>
  <si>
    <t xml:space="preserve"> Marine environment and water protection and use</t>
  </si>
  <si>
    <t xml:space="preserve"> Solving environmental problems related to mining and oil shale processing and regional development of waste management: * Safeguarding of residual pollution objects of national importance in Ida-Virumaa * Study of security of supply of public water supply in Ida-Virumaa</t>
  </si>
  <si>
    <t>VVV31</t>
  </si>
  <si>
    <t xml:space="preserve"> Groundwater reserves have been confirmed in areas where reserves have been depleted or require reassessment</t>
  </si>
  <si>
    <t>study</t>
  </si>
  <si>
    <t>VVT07</t>
  </si>
  <si>
    <t xml:space="preserve"> The number of people whose water resource for public water supply has been assessed</t>
  </si>
  <si>
    <t>21.6.1.15</t>
  </si>
  <si>
    <t>Solving environmental problems related to mining and oil shale processing and regional development of waste management: * Restoration of the water regime of Kurtna lakes damaged as a result of oil shale mining</t>
  </si>
  <si>
    <t xml:space="preserve"> Technical assistance</t>
  </si>
  <si>
    <t>N/A</t>
  </si>
  <si>
    <t>21.7.1.1</t>
  </si>
  <si>
    <t xml:space="preserve"> Empowering partners</t>
  </si>
  <si>
    <t xml:space="preserve"> Increasing the administrative capacity of partners in the financing of CCP funds.</t>
  </si>
  <si>
    <t>HE</t>
  </si>
  <si>
    <t xml:space="preserve"> in development</t>
  </si>
  <si>
    <t>21.7.1.2</t>
  </si>
  <si>
    <t xml:space="preserve"> Covering administration costs</t>
  </si>
  <si>
    <t>21.7.1.3</t>
  </si>
  <si>
    <t xml:space="preserve"> Technical assistance for food aid</t>
  </si>
  <si>
    <t>https://energiatalgud.ee/node/8919</t>
  </si>
  <si>
    <t>https://energiatalgud.ee/sites/default/files/2022-04/1.%20Riikliku%20energias%C3%A4%C3%A4stukohustuse%20t%C3%A4itmiseks%20sobilike%20finantsmeetmete%20arvutusmetoodikate%20v%C3%A4ljat%C3%B6%C3%B6tamine%20ja%20energias%C3%A4%C3%A4stu%20potentsiaali%20hindamine.pdf</t>
  </si>
  <si>
    <t>From</t>
  </si>
  <si>
    <t>to</t>
  </si>
  <si>
    <t>Administrative costs</t>
  </si>
  <si>
    <t>Annual emissions reduction</t>
  </si>
  <si>
    <t>Average annual tax revenue</t>
  </si>
  <si>
    <t>Annual admin. Costs</t>
  </si>
  <si>
    <t>Annual NEW savings (GWh)</t>
  </si>
  <si>
    <t>Cumulative savings (GWh)</t>
  </si>
  <si>
    <t>Annual</t>
  </si>
  <si>
    <t>ktCO2</t>
  </si>
  <si>
    <t>Electricity excise &amp; VAT</t>
  </si>
  <si>
    <t>Gasoline excise &amp; VAT</t>
  </si>
  <si>
    <t>Diesel excise &amp; VAT</t>
  </si>
  <si>
    <t>Natural gas excise &amp; VAT</t>
  </si>
  <si>
    <t>Heat production excise duty and VAT</t>
  </si>
  <si>
    <t>VAT on firewood</t>
  </si>
  <si>
    <t>Time-based toll</t>
  </si>
  <si>
    <t>Annual car tax</t>
  </si>
  <si>
    <t>Car registration tax</t>
  </si>
  <si>
    <t>https://www.mkm.ee/media/431/download</t>
  </si>
  <si>
    <t>GWh/ktoe</t>
  </si>
  <si>
    <t>Annual savings (ktoe)</t>
  </si>
  <si>
    <t>Total costs savings</t>
  </si>
  <si>
    <t>% government savings</t>
  </si>
  <si>
    <t>% government support</t>
  </si>
  <si>
    <t>reduction of taxes (included in savings)</t>
  </si>
  <si>
    <t>HO01</t>
  </si>
  <si>
    <t>Reconstruction of private houses</t>
  </si>
  <si>
    <t>er2</t>
  </si>
  <si>
    <t>HO02</t>
  </si>
  <si>
    <t>Reconstruction of apartment buildings</t>
  </si>
  <si>
    <t>er1</t>
  </si>
  <si>
    <t>HO03</t>
  </si>
  <si>
    <t>Renovation of central government buildings</t>
  </si>
  <si>
    <t>ns2</t>
  </si>
  <si>
    <t>HO04</t>
  </si>
  <si>
    <t>Renovation of municipal buildings</t>
  </si>
  <si>
    <t>ns3</t>
  </si>
  <si>
    <t>TR06</t>
  </si>
  <si>
    <t>Electric cars</t>
  </si>
  <si>
    <t>TR07</t>
  </si>
  <si>
    <t>Rail baltic</t>
  </si>
  <si>
    <t>TR08</t>
  </si>
  <si>
    <t>TR09</t>
  </si>
  <si>
    <t>Acquisition of electric trains</t>
  </si>
  <si>
    <t>TR10</t>
  </si>
  <si>
    <t>Talinn tram traffic</t>
  </si>
  <si>
    <t>HO12</t>
  </si>
  <si>
    <t>Non-residential buildings of the private sector</t>
  </si>
  <si>
    <t>ns4</t>
  </si>
  <si>
    <t>Promotion of economical driving</t>
  </si>
  <si>
    <t>Comfortable and modern public transport</t>
  </si>
  <si>
    <t>TR16</t>
  </si>
  <si>
    <t>Other spatial and land use measures in cities</t>
  </si>
  <si>
    <t>nT10</t>
  </si>
  <si>
    <t>Electric buses</t>
  </si>
  <si>
    <t>EN28</t>
  </si>
  <si>
    <t>SME energy consulting and networking events</t>
  </si>
  <si>
    <t>TR30</t>
  </si>
  <si>
    <t>Use of hydrogen as an alternative fuel in the transport sector</t>
  </si>
  <si>
    <t>SEI study</t>
  </si>
  <si>
    <t>Uuring „EL struktuurivahenditest rahastatud meetmete mõju riigi energiamajanduse eesmärkide täitmisele“ - Tepsli OÜ, SEI Tallinn (Stockholm Environment Institute)</t>
  </si>
  <si>
    <t>Investment (MEUR)</t>
  </si>
  <si>
    <t>Energy cost savings (per MWh)</t>
  </si>
  <si>
    <t>Support for the reconstruction of apartment buildings</t>
  </si>
  <si>
    <t>Resource efficiency in enterprises</t>
  </si>
  <si>
    <t>Renovation of street lighting infrastructure</t>
  </si>
  <si>
    <t>Reorganization of specialized welfare institutions</t>
  </si>
  <si>
    <t>Support for investments in infrastructure attractions in primary health centres</t>
  </si>
  <si>
    <t>Modernisation of schools in the course of the reorganisation of the school network</t>
  </si>
  <si>
    <t>Creation of a new infrastructure for childcare and early childhood education</t>
  </si>
  <si>
    <t>Renovation and/or construction of district heating boilers and fuel exchange</t>
  </si>
  <si>
    <t>Renovation of depreciated and inefficient heat pipelines and/or construction of new heat pipelines (final consumption)</t>
  </si>
  <si>
    <t>Construction of local heating solutions instead of district heating solution (final consumption)</t>
  </si>
  <si>
    <t>Connection of dwellings to district heating networks or renewal of solid fuel heater</t>
  </si>
  <si>
    <t>Support for SMEs from the JTF</t>
  </si>
  <si>
    <t>Renovation costs (€/MWh)</t>
  </si>
  <si>
    <t>NEW ANNUAL SAVINGS (in GWh/year) achieved in year i
(annual savings achieved in year i from actions newly done in year i)</t>
  </si>
  <si>
    <t>Energy savings achieved up to 2020 (savings achieved from measures and notified under Article 7(4)c) and (d) shall not be part of this table)</t>
  </si>
  <si>
    <t xml:space="preserve">New annual savings expressed in final energy      </t>
  </si>
  <si>
    <t>Comments on revisions in data for years previous to 2019 (when relevant)</t>
  </si>
  <si>
    <t>EEOS</t>
  </si>
  <si>
    <t>ktoe</t>
  </si>
  <si>
    <t>Alternative measure 1</t>
  </si>
  <si>
    <t>Fuel and energy excise taxes and renewable energy fee (2012-on-going)</t>
  </si>
  <si>
    <t>Input data was updated with FEC from Eurostat. Methodology remains same.</t>
  </si>
  <si>
    <t>Alternative measure 2</t>
  </si>
  <si>
    <t>Alternative measure 3</t>
  </si>
  <si>
    <t>Alternative measure 4</t>
  </si>
  <si>
    <t>Alternative measure 5</t>
  </si>
  <si>
    <t>Alternative measure 6</t>
  </si>
  <si>
    <t>Alternative measure 7</t>
  </si>
  <si>
    <t>Not previously reported.</t>
  </si>
  <si>
    <t>Alternative measure 8</t>
  </si>
  <si>
    <t>Time - based road toll for heavy duty vehicles</t>
  </si>
  <si>
    <t>Alternative measure 9</t>
  </si>
  <si>
    <t>Renovation of apartment buildings</t>
  </si>
  <si>
    <t>Ex-post assessment has been made for individual actions to adjust previously made forecasts.</t>
  </si>
  <si>
    <t>Alternative measure 10</t>
  </si>
  <si>
    <t>Energy and resource efficiency in industries</t>
  </si>
  <si>
    <t>Alternative measure 11</t>
  </si>
  <si>
    <t>Renovation of street lightning</t>
  </si>
  <si>
    <t>Alternative measure 12</t>
  </si>
  <si>
    <t>Renovation of school buildings</t>
  </si>
  <si>
    <t>Alternative measure 13</t>
  </si>
  <si>
    <t>Renovation of healthcare centres</t>
  </si>
  <si>
    <t>Alternative measure 14</t>
  </si>
  <si>
    <t>Renovation of social care homes</t>
  </si>
  <si>
    <t>Alternative measure 15</t>
  </si>
  <si>
    <t>Renovation of university and R&amp;D institutions</t>
  </si>
  <si>
    <t>Alternative measure 16</t>
  </si>
  <si>
    <t>Renovation of kindergartens</t>
  </si>
  <si>
    <t>Alternative measure 17</t>
  </si>
  <si>
    <t>Eco-driving</t>
  </si>
  <si>
    <t>Alternative measure 18</t>
  </si>
  <si>
    <t>Electricity smart meters</t>
  </si>
  <si>
    <t>Alternative measure 19</t>
  </si>
  <si>
    <t>Electrointensive enterprises tax reduction</t>
  </si>
  <si>
    <t>Alternative measure 20</t>
  </si>
  <si>
    <t>Alternative measure 21</t>
  </si>
  <si>
    <t>Renovation of private houses</t>
  </si>
  <si>
    <t>Alternative measure 22</t>
  </si>
  <si>
    <t>Central government building renovations</t>
  </si>
  <si>
    <t>Alternative measure 23</t>
  </si>
  <si>
    <t>Atmospheric air protection program, including heating equipment for apartment associations</t>
  </si>
  <si>
    <t>Alternative measure 24</t>
  </si>
  <si>
    <t>Renovation of rental apartments</t>
  </si>
  <si>
    <t>Alternative measure 25</t>
  </si>
  <si>
    <t>Oil boiler replacement</t>
  </si>
  <si>
    <t>Alternative measure 26</t>
  </si>
  <si>
    <t>Support for improving the energy efficiency of coastal fishing vessels</t>
  </si>
  <si>
    <t>Alternative measure 27</t>
  </si>
  <si>
    <t>Aid for energy and resource-efficient processing of fishery and aquaculture products</t>
  </si>
  <si>
    <t>Alternative measure 28</t>
  </si>
  <si>
    <t>Alternative measure 29</t>
  </si>
  <si>
    <t>Energy efficiency investments by electricity distribution companies</t>
  </si>
  <si>
    <t>Alternative measure 30</t>
  </si>
  <si>
    <t>Light traffic roads</t>
  </si>
  <si>
    <t>Alternative measure 31</t>
  </si>
  <si>
    <t>Mobile speed cameras</t>
  </si>
  <si>
    <t>Alternative measure 32</t>
  </si>
  <si>
    <t>Profit distribution based corporate income tax</t>
  </si>
  <si>
    <t xml:space="preserve">Total savings </t>
  </si>
  <si>
    <t>Title 1</t>
  </si>
  <si>
    <t>Title 2</t>
  </si>
  <si>
    <t>Title 3</t>
  </si>
  <si>
    <t>Series 1</t>
  </si>
  <si>
    <t>Series 2</t>
  </si>
  <si>
    <t>Series 3</t>
  </si>
  <si>
    <t>Series 4</t>
  </si>
  <si>
    <t>Series 5</t>
  </si>
  <si>
    <t>Series 6</t>
  </si>
  <si>
    <t>Example colour column chart</t>
  </si>
  <si>
    <t>Example colour pie chart</t>
  </si>
  <si>
    <t>Example pie with texture for Black and White print - useful for EC work</t>
  </si>
  <si>
    <t>Example column chart with texture for Black and White print - useful for EC work</t>
  </si>
  <si>
    <t>Styles</t>
  </si>
  <si>
    <t>Work without gridlines (unselect on the View tab) in general</t>
  </si>
  <si>
    <t>Colour scheme</t>
  </si>
  <si>
    <t>Trinomics colours in this column</t>
  </si>
  <si>
    <t>Apply cell style as appropriate to achieve desired look</t>
  </si>
  <si>
    <t>Max</t>
  </si>
  <si>
    <t>Min</t>
  </si>
  <si>
    <t>Red</t>
  </si>
  <si>
    <t>Table heading</t>
  </si>
  <si>
    <t>Table heading 2</t>
  </si>
  <si>
    <t>Green</t>
  </si>
  <si>
    <t>Table cell</t>
  </si>
  <si>
    <t>Blue</t>
  </si>
  <si>
    <t>Input white</t>
  </si>
  <si>
    <t>Use this for blank cells</t>
  </si>
  <si>
    <t>Tri_Input1</t>
  </si>
  <si>
    <t>Use this cell style to signal where the user should provide an input</t>
  </si>
  <si>
    <t>Tri_InputFixed</t>
  </si>
  <si>
    <t>Use this cell style to signal a fixed input (e.g. constant)</t>
  </si>
  <si>
    <t>Tri_InputList</t>
  </si>
  <si>
    <t>Use this cell style to signal a dropdown list</t>
  </si>
  <si>
    <t>Tri_Warning</t>
  </si>
  <si>
    <t>Use this cell style to highlight limitations / concerns / errors</t>
  </si>
  <si>
    <t>Tri_Calculation1</t>
  </si>
  <si>
    <t>Use this cell style to highlight that the cell contains a calculation</t>
  </si>
  <si>
    <t>Tri_Calculation2</t>
  </si>
  <si>
    <t>Tri_Calculation3</t>
  </si>
  <si>
    <t>Tri_Calculation4</t>
  </si>
  <si>
    <t>Tri_CalculationSum</t>
  </si>
  <si>
    <t>Use calculation shading to show clearly where the same formula is used in all cells in that colour</t>
  </si>
  <si>
    <t>Users can then quickly copy-paste formulas to all relevant cells</t>
  </si>
  <si>
    <t>Alternate colours when the formula changes</t>
  </si>
  <si>
    <t>Tri_Comment</t>
  </si>
  <si>
    <t>Use this cell style to indicate that this is a comment</t>
  </si>
  <si>
    <t>Tri_check</t>
  </si>
  <si>
    <t>Use this cell style to indicate that this is a check on calculations</t>
  </si>
  <si>
    <t>Tri_RangeName</t>
  </si>
  <si>
    <t>Use this cell style to indicate the name of the named range used for the table or list</t>
  </si>
  <si>
    <t>Tri_Source</t>
  </si>
  <si>
    <t>Use this cell style to indicate the source of the information presented</t>
  </si>
  <si>
    <t>Simple example:</t>
  </si>
  <si>
    <t>Cost</t>
  </si>
  <si>
    <t>Number of trips per person</t>
  </si>
  <si>
    <t>Trip cost per person</t>
  </si>
  <si>
    <t>Number of people</t>
  </si>
  <si>
    <t>Brussels - Rotterdam  - return train</t>
  </si>
  <si>
    <t>UK-Brussels - return flight</t>
  </si>
  <si>
    <t>Rotterdam-Copenhagen return flight</t>
  </si>
  <si>
    <t xml:space="preserve">Travel cost </t>
  </si>
  <si>
    <t>Workshop cost</t>
  </si>
  <si>
    <t>BASELINE MACROECONOMIC FORECAST</t>
  </si>
  <si>
    <t>Value added (MEUR) from Estonia Statistics (2021-2022) and forecast 2023-2030 based on growth rates of each sector</t>
  </si>
  <si>
    <t xml:space="preserve">Source: </t>
  </si>
  <si>
    <t>Estonia Statistics: RAA0042: VALUE ADDED (ESA 2010) by Economic activity (EMTAK 2008) /component, Indicator, Year and Quarter</t>
  </si>
  <si>
    <t>% sector growth</t>
  </si>
  <si>
    <t>From Scenario sheet</t>
  </si>
  <si>
    <t>No increase</t>
  </si>
  <si>
    <t>Buildings - households</t>
  </si>
  <si>
    <t>Buildings - services</t>
  </si>
  <si>
    <t>Remaining increase based on value added growth</t>
  </si>
  <si>
    <t>Building - household share</t>
  </si>
  <si>
    <t>Building - service share</t>
  </si>
  <si>
    <t>GDP and value added (MEUR)</t>
  </si>
  <si>
    <t>Total (GDP)</t>
  </si>
  <si>
    <t>Net taxes on products</t>
  </si>
  <si>
    <t>Value added</t>
  </si>
  <si>
    <t>Buildings</t>
  </si>
  <si>
    <t>Agriculture, forestry and fishing</t>
  </si>
  <si>
    <t>Mining and quarrying</t>
  </si>
  <si>
    <t>Manufacturing</t>
  </si>
  <si>
    <t>Electricity, gas, steam and air conditioning supply</t>
  </si>
  <si>
    <t>Water supply; sewerage, waste management and remediation activities</t>
  </si>
  <si>
    <t>Building</t>
  </si>
  <si>
    <t>Wholesale and retail trade</t>
  </si>
  <si>
    <t>Transportation and storage</t>
  </si>
  <si>
    <t>Accommodation and food service activities</t>
  </si>
  <si>
    <t>Information and communication</t>
  </si>
  <si>
    <t>Financial and insurance activities</t>
  </si>
  <si>
    <t>Real estate activities</t>
  </si>
  <si>
    <t>Professional, scientific and technical activities</t>
  </si>
  <si>
    <t>Administrative and support service activities</t>
  </si>
  <si>
    <t>Public administration and defence; compulsory social security</t>
  </si>
  <si>
    <t>Education</t>
  </si>
  <si>
    <t>Human health and social work activities</t>
  </si>
  <si>
    <t>Arts, entertainment and recreation</t>
  </si>
  <si>
    <t>Other service activities</t>
  </si>
  <si>
    <t>Activities of households as employers; undifferentiated goods- and services-producing activities of households for own use</t>
  </si>
  <si>
    <t>VALUE ADDED TOTAL</t>
  </si>
  <si>
    <t>GDP AT MARKET PRICES</t>
  </si>
  <si>
    <t>Long term macroeconomic forecast based on RM studies</t>
  </si>
  <si>
    <t xml:space="preserve">Sources: </t>
  </si>
  <si>
    <t>RM's long-term forecast until 2070</t>
  </si>
  <si>
    <t>https://www.fin.ee/riigi-rahandus-ja-maksud/fiskaalpoliitika-ja-majandus/rahandusministeeriumi-majandusprognoos</t>
  </si>
  <si>
    <t>RM's 2023 spring economic forecast</t>
  </si>
  <si>
    <t>Estonia Statistics: RV086</t>
  </si>
  <si>
    <t>Population (forecast)</t>
  </si>
  <si>
    <t>GDP at current prices (million €)</t>
  </si>
  <si>
    <t>GDP at constant prices (million €)</t>
  </si>
  <si>
    <t>Value added (€ million)</t>
  </si>
  <si>
    <t>Average monthly salary (€)</t>
  </si>
  <si>
    <t>Wage growth</t>
  </si>
  <si>
    <t>Employment (thousand people)</t>
  </si>
  <si>
    <t>labour costs (MEUR)</t>
  </si>
  <si>
    <t>disposable income (MEUR)</t>
  </si>
  <si>
    <t>Value added / employee (€, productivity)</t>
  </si>
  <si>
    <t>productivity growth</t>
  </si>
  <si>
    <t>GDP / employee (€, productivity) - nominal</t>
  </si>
  <si>
    <t>GDP / employee (€, productivity) - constant</t>
  </si>
  <si>
    <t>Total general government revenues (MEUR)</t>
  </si>
  <si>
    <t>13 890</t>
  </si>
  <si>
    <t>14 798</t>
  </si>
  <si>
    <t>15 274</t>
  </si>
  <si>
    <t>15 957</t>
  </si>
  <si>
    <t>16 299</t>
  </si>
  <si>
    <t>16 711</t>
  </si>
  <si>
    <t>Total general government expenditure (MEUR)</t>
  </si>
  <si>
    <t>14 267</t>
  </si>
  <si>
    <t>16 457</t>
  </si>
  <si>
    <t>16 978</t>
  </si>
  <si>
    <t>17 656</t>
  </si>
  <si>
    <t>18 285</t>
  </si>
  <si>
    <t>18 666</t>
  </si>
  <si>
    <t xml:space="preserve">Public sector revenues (million €) </t>
  </si>
  <si>
    <t>as % of GDP</t>
  </si>
  <si>
    <t>% public sector revenues growth</t>
  </si>
  <si>
    <t>Taxes and social security contributions</t>
  </si>
  <si>
    <t>Personal income tax (RE part)</t>
  </si>
  <si>
    <t>Personal income tax (part of the local government)</t>
  </si>
  <si>
    <t>Legal entity income tax</t>
  </si>
  <si>
    <t>Social tax</t>
  </si>
  <si>
    <t>Heavy goods vehicle tax</t>
  </si>
  <si>
    <t>Vat</t>
  </si>
  <si>
    <t>Excise duties</t>
  </si>
  <si>
    <t xml:space="preserve">    Excise duty on alcohol</t>
  </si>
  <si>
    <t xml:space="preserve">    Excise duty on tobacco</t>
  </si>
  <si>
    <t xml:space="preserve">    Excise duty on fuel</t>
  </si>
  <si>
    <t xml:space="preserve">    Excise duty on packaging</t>
  </si>
  <si>
    <t xml:space="preserve">    Excise duty on electricity</t>
  </si>
  <si>
    <t xml:space="preserve">    Other excise duty</t>
  </si>
  <si>
    <t>Gambling tax</t>
  </si>
  <si>
    <t>Duty</t>
  </si>
  <si>
    <t>Unemployment insurance premium</t>
  </si>
  <si>
    <t>Funded pension contribution</t>
  </si>
  <si>
    <t>Land tax</t>
  </si>
  <si>
    <t>Non-taxable income</t>
  </si>
  <si>
    <t>Grants received</t>
  </si>
  <si>
    <t>State fees</t>
  </si>
  <si>
    <t>Income from economic activities</t>
  </si>
  <si>
    <t>Proceeds from the sale of fixed assets and inventories</t>
  </si>
  <si>
    <t>Fines and other pecuniary penalties</t>
  </si>
  <si>
    <t>Environmental charges</t>
  </si>
  <si>
    <t>Other operating income</t>
  </si>
  <si>
    <t>Interest and owner's income</t>
  </si>
  <si>
    <t>Historical GDP shares, 2010-2022</t>
  </si>
  <si>
    <t>RAA0024: GROSS DOMESTIC PRODUCT BY INCOME APPROACH (ESA 2010) by Component, Indicator, Year and Quarter</t>
  </si>
  <si>
    <t>Share in GDP at current prices, percentages</t>
  </si>
  <si>
    <t>2010</t>
  </si>
  <si>
    <t>2011</t>
  </si>
  <si>
    <t>2012</t>
  </si>
  <si>
    <t>2013</t>
  </si>
  <si>
    <t>2014</t>
  </si>
  <si>
    <t>2015</t>
  </si>
  <si>
    <t>2016</t>
  </si>
  <si>
    <t>2017</t>
  </si>
  <si>
    <t>2018</t>
  </si>
  <si>
    <t>2019</t>
  </si>
  <si>
    <t>2020</t>
  </si>
  <si>
    <t>2021</t>
  </si>
  <si>
    <t>2022</t>
  </si>
  <si>
    <t>Subsidies (-)</t>
  </si>
  <si>
    <t>Operating surplus and mixed income*</t>
  </si>
  <si>
    <t>SHARE OF FUEL MIX</t>
  </si>
  <si>
    <t>Share of energy use based on energy source per sector</t>
  </si>
  <si>
    <t>Scenario sheet</t>
  </si>
  <si>
    <t>Share of the energy consumption</t>
  </si>
  <si>
    <t>Economy</t>
  </si>
  <si>
    <t>Total Gas</t>
  </si>
  <si>
    <t>Heat</t>
  </si>
  <si>
    <t>Total Heat</t>
  </si>
  <si>
    <t>Total Electricity</t>
  </si>
  <si>
    <t>Gasoline</t>
  </si>
  <si>
    <t>Total Gasoline</t>
  </si>
  <si>
    <t>Diesel</t>
  </si>
  <si>
    <t>Total diesel</t>
  </si>
  <si>
    <t>Total renewable energy</t>
  </si>
  <si>
    <t>Source: D2</t>
  </si>
  <si>
    <t>Agriculture/fishery</t>
  </si>
  <si>
    <t>Oil products broken down by fuel</t>
  </si>
  <si>
    <t>Renewable energy broken down by fuel</t>
  </si>
  <si>
    <t>Energy sources for district heating</t>
  </si>
  <si>
    <t>KE0240: ENERGY BALANCE SHEET by Year, Indicator and Type of fuel/energy</t>
  </si>
  <si>
    <t>https://www.sciencedirect.com/science/article/pii/S2666955222000089</t>
  </si>
  <si>
    <t>Fuel</t>
  </si>
  <si>
    <t>2021 final consumption (TJ)</t>
  </si>
  <si>
    <t>Share</t>
  </si>
  <si>
    <t>Source</t>
  </si>
  <si>
    <t>Solid biofuels</t>
  </si>
  <si>
    <t>Wood</t>
  </si>
  <si>
    <t>Motor gasoline</t>
  </si>
  <si>
    <t>Renewable municipal waste</t>
  </si>
  <si>
    <t>Waste heat</t>
  </si>
  <si>
    <t>Kerosene</t>
  </si>
  <si>
    <t>Blended biogasoline</t>
  </si>
  <si>
    <t>Gas oil and diesel oil</t>
  </si>
  <si>
    <t>Blended biodiesel</t>
  </si>
  <si>
    <t>Crude oil</t>
  </si>
  <si>
    <t>Fuel oil</t>
  </si>
  <si>
    <t>Oil</t>
  </si>
  <si>
    <t>Heat energy sources for household consumption</t>
  </si>
  <si>
    <t>D2</t>
  </si>
  <si>
    <t>wood</t>
  </si>
  <si>
    <t>District heating</t>
  </si>
  <si>
    <t>Energy consumption share for Transport</t>
  </si>
  <si>
    <t>2023</t>
  </si>
  <si>
    <t>2024</t>
  </si>
  <si>
    <t>2025</t>
  </si>
  <si>
    <t>2026</t>
  </si>
  <si>
    <t>2027</t>
  </si>
  <si>
    <t>2028</t>
  </si>
  <si>
    <t>2029</t>
  </si>
  <si>
    <t>2030</t>
  </si>
  <si>
    <t>Energy sources for electricity and heat production</t>
  </si>
  <si>
    <t>Source:</t>
  </si>
  <si>
    <t>KE033: PRODUCTION OF POWER PLANTS AND CONSUMPTION OF FUELS FOR ENERGY GENERATION by Type of fuel/energy, Indicator, Year and Type of power plant</t>
  </si>
  <si>
    <t>Oil shale, thousand t</t>
  </si>
  <si>
    <t>Peat, thousand t</t>
  </si>
  <si>
    <t>Wood chips and waste, thousand m³ solid volume</t>
  </si>
  <si>
    <t>Shale oil (heavy fraction), thousand t</t>
  </si>
  <si>
    <t>Natural gas, million m³</t>
  </si>
  <si>
    <t>Biogases, million m³</t>
  </si>
  <si>
    <t>EUR</t>
  </si>
  <si>
    <t>Waste fuel, thousand t</t>
  </si>
  <si>
    <t>MWH</t>
  </si>
  <si>
    <t>Other renewable sources, TJ</t>
  </si>
  <si>
    <t>Shale oil gas, TJ</t>
  </si>
  <si>
    <t>ENERGY TAX RATES AND PRICES</t>
  </si>
  <si>
    <t>Elasticities (from KPMG)</t>
  </si>
  <si>
    <t>Elasticity</t>
  </si>
  <si>
    <t>Sweden’s Integrated National Energy and Climate Plan (January 2020)</t>
  </si>
  <si>
    <t>PWC (2019) - Aktsiisipoliitika riskid, võimalused ja mõju majandus–keskkonnale piirikaubanduse tingimustes</t>
  </si>
  <si>
    <t>Xavier Labandeira et al. A meta-analysis on the price elasticity of energy demand. Energy Policy 102 (2017)</t>
  </si>
  <si>
    <t>KPMG log-lineaarse mudeli tulemus</t>
  </si>
  <si>
    <t>Specially marked diesel</t>
  </si>
  <si>
    <t>Võrdustatud diisliga</t>
  </si>
  <si>
    <t>Wood and wood waste</t>
  </si>
  <si>
    <t>Bengt Hillring. Price formation on the Swedish woodfuel market. Biomass and Bioenergy 17 (1999)</t>
  </si>
  <si>
    <t>Energy tax rates (EUR/MWh), 2021-2030</t>
  </si>
  <si>
    <t>Energy tax rates from KPMG study</t>
  </si>
  <si>
    <t>See tables below for sources</t>
  </si>
  <si>
    <t>Total tax</t>
  </si>
  <si>
    <t>EUR/MWh</t>
  </si>
  <si>
    <t>https://www.emta.ee/en/business-client/taxes-and-payment/excise-duties/fuel-and-electricity#gaseous-fuels</t>
  </si>
  <si>
    <t>VAT (households only)</t>
  </si>
  <si>
    <t>Excise</t>
  </si>
  <si>
    <t>Eesti</t>
  </si>
  <si>
    <t>EMTA</t>
  </si>
  <si>
    <t>Electrical electro-intensive</t>
  </si>
  <si>
    <t>€/1000l</t>
  </si>
  <si>
    <t>Gas - households</t>
  </si>
  <si>
    <t>Electricity - industry</t>
  </si>
  <si>
    <t>Heat - households</t>
  </si>
  <si>
    <t>Electricity - households</t>
  </si>
  <si>
    <t>Natural gas</t>
  </si>
  <si>
    <t>€/1000M3</t>
  </si>
  <si>
    <t>Natural gas intensive</t>
  </si>
  <si>
    <t>Motor gasoline - households</t>
  </si>
  <si>
    <t>Heavy fuel oil</t>
  </si>
  <si>
    <t>Light fuel oil</t>
  </si>
  <si>
    <t>Diesel - households</t>
  </si>
  <si>
    <t>KPMG arvutused</t>
  </si>
  <si>
    <t>Gas - industry</t>
  </si>
  <si>
    <t>Firewood</t>
  </si>
  <si>
    <t>Gas (national average)</t>
  </si>
  <si>
    <t>Wood chips and waste</t>
  </si>
  <si>
    <t>Heat (national average)</t>
  </si>
  <si>
    <t>€/1000kg</t>
  </si>
  <si>
    <t>Electricity (national average)</t>
  </si>
  <si>
    <t>€/GJ</t>
  </si>
  <si>
    <t>Increase in taxes compared to 2021</t>
  </si>
  <si>
    <t>Energy price</t>
  </si>
  <si>
    <t>% change in energy prices</t>
  </si>
  <si>
    <t>2021-2025</t>
  </si>
  <si>
    <t>% change in energy use (% change in price x elasticity)</t>
  </si>
  <si>
    <t>Total new energy savings</t>
  </si>
  <si>
    <t>Final consumption (GWh) (KPMG)</t>
  </si>
  <si>
    <t>Energy market prices</t>
  </si>
  <si>
    <t>Inflation rate</t>
  </si>
  <si>
    <t>KPMG study</t>
  </si>
  <si>
    <t>Estonia Statistics: KE08</t>
  </si>
  <si>
    <t>EUR/1000L</t>
  </si>
  <si>
    <t>EUR/t</t>
  </si>
  <si>
    <t xml:space="preserve"> Estonia Statistics: KE08</t>
  </si>
  <si>
    <t>KPMG study &amp; Estonia Statistics: KE08</t>
  </si>
  <si>
    <t>Electricity households</t>
  </si>
  <si>
    <t>Heat households</t>
  </si>
  <si>
    <t>Woodchips and waste</t>
  </si>
  <si>
    <t>EUROSTAT: Gas prices components for non-household consumers - annual data (online data code: NRG_PC_203_C )</t>
  </si>
  <si>
    <t>EUROSTAT: Gas prices components for household consumers - annual data (online data code: NRG_PC_202_C )</t>
  </si>
  <si>
    <t>EUR/kWh</t>
  </si>
  <si>
    <t>Annual gas consumption</t>
  </si>
  <si>
    <t>Tax</t>
  </si>
  <si>
    <t>Tax - intensive</t>
  </si>
  <si>
    <t>&lt;20 GJ</t>
  </si>
  <si>
    <t>20-200 GJ</t>
  </si>
  <si>
    <t>&gt;200 GJ</t>
  </si>
  <si>
    <t>&lt;1000 GJ</t>
  </si>
  <si>
    <t>1000-10000 GJ</t>
  </si>
  <si>
    <t>10000-100000 GJ</t>
  </si>
  <si>
    <t>100000-1000000 GJ</t>
  </si>
  <si>
    <t>1000000-4000000 GJ</t>
  </si>
  <si>
    <t>&gt;4000000 GJ</t>
  </si>
  <si>
    <t>EUROSTAT: Electricity prices components for household consumers - annual data (from 2007 onwards) (online data code: NRG_PC_204_C )</t>
  </si>
  <si>
    <t>KE33: ELECTRICITY PRICE FOR INDUSTRIAL END-USER by Consumption and Period</t>
  </si>
  <si>
    <t>Tax - households</t>
  </si>
  <si>
    <t xml:space="preserve">Tax </t>
  </si>
  <si>
    <t xml:space="preserve">Annual electricity consumption </t>
  </si>
  <si>
    <t>&lt;1000 kWh</t>
  </si>
  <si>
    <t>1000-2500 kWh</t>
  </si>
  <si>
    <t>2500-5000 kWh</t>
  </si>
  <si>
    <t>5000-15000 kWh</t>
  </si>
  <si>
    <t>&gt;15000 kWh</t>
  </si>
  <si>
    <t>&lt; 20MWh</t>
  </si>
  <si>
    <t>20-500 MWh</t>
  </si>
  <si>
    <t>500-2000 MWh</t>
  </si>
  <si>
    <t>2000-20000 MWh</t>
  </si>
  <si>
    <t>20000-70000 MWh</t>
  </si>
  <si>
    <t>70000-150000 MWh</t>
  </si>
  <si>
    <t>&gt;150000 MWh</t>
  </si>
  <si>
    <t>Total energy price (market price + tax)</t>
  </si>
  <si>
    <t>Energy prices per energy source</t>
  </si>
  <si>
    <t>% pass on to end users</t>
  </si>
  <si>
    <t>Impact on cost</t>
  </si>
  <si>
    <t>Heat services (EEOS)</t>
  </si>
  <si>
    <t>Heat households (EEOS)</t>
  </si>
  <si>
    <t>Electricity services (EEOS)</t>
  </si>
  <si>
    <t>Electricity households (EEOS)</t>
  </si>
  <si>
    <t>Average energy cost (MEUR/GWh)</t>
  </si>
  <si>
    <t>MEUR/GWh</t>
  </si>
  <si>
    <t>EEOS Average energy cost (MEUR/GWh)</t>
  </si>
  <si>
    <t>Total tax (MEUR/GWh)</t>
  </si>
  <si>
    <t>VAT rates</t>
  </si>
  <si>
    <t>General VAT rate</t>
  </si>
  <si>
    <t>GHG AND AIR POLLUTION FACTORS</t>
  </si>
  <si>
    <t xml:space="preserve">Emissions factors per energy source </t>
  </si>
  <si>
    <t>Air pollutants</t>
  </si>
  <si>
    <t>GHG Emissions</t>
  </si>
  <si>
    <t>ETM</t>
  </si>
  <si>
    <t>JRC</t>
  </si>
  <si>
    <t>IPCC</t>
  </si>
  <si>
    <t>KPMG</t>
  </si>
  <si>
    <t>Used factors</t>
  </si>
  <si>
    <t>Value</t>
  </si>
  <si>
    <t>CO2e</t>
  </si>
  <si>
    <t>CO2</t>
  </si>
  <si>
    <t>CH4</t>
  </si>
  <si>
    <t>N2O</t>
  </si>
  <si>
    <t>ktCO2/GWh</t>
  </si>
  <si>
    <t>kg/GWh</t>
  </si>
  <si>
    <t>kgCO2/MJ</t>
  </si>
  <si>
    <t>tCO2/MWh</t>
  </si>
  <si>
    <t>kg/GJ</t>
  </si>
  <si>
    <t>EEA (see table below)</t>
  </si>
  <si>
    <t>https://refman.energytransitionmodel.com/publications/1708</t>
  </si>
  <si>
    <t>https://jeodpp.jrc.ec.europa.eu/ftp/jrc-opendata/COM-EF/dataset/comw/JRC-CoM-EF-CoMW-EF-2017.pdf</t>
  </si>
  <si>
    <t>https://energy.ec.europa.eu/system/files/2023-02/C_2023_1086_1_EN_annexe_acte_autonome_part1_v4.pdf</t>
  </si>
  <si>
    <t>default value from the 2006 IPCC</t>
  </si>
  <si>
    <t>https://www.sei.org/wp-content/uploads/2019/10/aruanne-net0-sysinik-2050-191010.pdf</t>
  </si>
  <si>
    <t>https://assets.publishing.service.gov.uk/government/uploads/system/uploads/attachment_data/file/961490/Part_3_CHP_Environmental_BEIS_v03.pdf</t>
  </si>
  <si>
    <t>Including 5% transmission loss</t>
  </si>
  <si>
    <t>Biodiesels</t>
  </si>
  <si>
    <t>http://efdb.apps.eea.europa.eu/?source=%7B%22query%22%3A%7B%22match_all%22%3A%7B%7D%7D%2C%22display_type%22%3A%22tabular%22%7D</t>
  </si>
  <si>
    <t>Nox</t>
  </si>
  <si>
    <t>g/GJ</t>
  </si>
  <si>
    <t>kg/tonne fuel</t>
  </si>
  <si>
    <t>kg/LTO</t>
  </si>
  <si>
    <t>g/tonne fuel</t>
  </si>
  <si>
    <t>g/kg fuel</t>
  </si>
  <si>
    <t>Emissions factors per sector</t>
  </si>
  <si>
    <t>ktSOx/GWh</t>
  </si>
  <si>
    <t>ktNOx/GWh</t>
  </si>
  <si>
    <t>ktPM2.5/GWh</t>
  </si>
  <si>
    <t>https://elering.ee/en/renewable-energy-charge#tab0</t>
  </si>
  <si>
    <t>Renewable energy consumption</t>
  </si>
  <si>
    <t>MWh</t>
  </si>
  <si>
    <t>Revenue from RE fee</t>
  </si>
  <si>
    <t>SHARE OF PERSONAL TRANSPORT ON THE ROAD (2022)</t>
  </si>
  <si>
    <t>TS32: VEHICLES, 31 DECEMBER by Year, Type of vehicle and Indicator</t>
  </si>
  <si>
    <t>Private Vehicles</t>
  </si>
  <si>
    <t>% private</t>
  </si>
  <si>
    <t>Passenger cars</t>
  </si>
  <si>
    <t>Lorries</t>
  </si>
  <si>
    <t>PRIMARY ENERGY FACTOR</t>
  </si>
  <si>
    <t>https://energy.ec.europa.eu/system/files/2018-05/ee_2018_cost-optimal_en_version_0.pdf; https://epbd-ca.eu/wp-content/uploads/2018/04/05-CCT1-Factsheet-PEF.pdf; https://ec.europa.eu/research/participants/documents/downloadPublic?documentIds=080166e5bbdd2fdc&amp;appId=PPGMS</t>
  </si>
  <si>
    <t>Primary energy conversion factors</t>
  </si>
  <si>
    <t>JOB IMPACT</t>
  </si>
  <si>
    <t>Impact of investment on employment</t>
  </si>
  <si>
    <t>Type of investment</t>
  </si>
  <si>
    <t>New jobs per MEUR investment</t>
  </si>
  <si>
    <t>Public transport</t>
  </si>
  <si>
    <t xml:space="preserve">https://www.tmleuven.be/en/project/neujobs </t>
  </si>
  <si>
    <t>Electric vehicles</t>
  </si>
  <si>
    <t>Bicycling infrastructure</t>
  </si>
  <si>
    <t xml:space="preserve">https://www.tmleuven.be/en/project/jobcreationcycling </t>
  </si>
  <si>
    <t>Impact of energy prices on employment</t>
  </si>
  <si>
    <t>Not including inflation</t>
  </si>
  <si>
    <t>https://doi.org/10.1016/j.jeem.2019.04.002</t>
  </si>
  <si>
    <t>REGIONAL SPLIT</t>
  </si>
  <si>
    <t>Share of building (based on m2) built before 2000 per county per housing type (2021)</t>
  </si>
  <si>
    <t>Estonia Statistics - RL21202: BUILDINGS CONTAINING CONVENTIONAL DWELLINGS, DWELLINGS AND AREA OF DWELLINGS, 31 DECEMBER 2021 by Aasta, Asukoht, Ehitusaeg, Näitaja and Hoone tüüp</t>
  </si>
  <si>
    <t>County</t>
  </si>
  <si>
    <t>Whole country</t>
  </si>
  <si>
    <t>Harju county</t>
  </si>
  <si>
    <t>Hiiu county</t>
  </si>
  <si>
    <t>Ida-Viru county</t>
  </si>
  <si>
    <t>Jõgeva county</t>
  </si>
  <si>
    <t>Järva county</t>
  </si>
  <si>
    <t>Lääne county</t>
  </si>
  <si>
    <t>Lääne-Viru county</t>
  </si>
  <si>
    <t>Põlva county</t>
  </si>
  <si>
    <t>Pärnu county</t>
  </si>
  <si>
    <t>Rapla county</t>
  </si>
  <si>
    <t>Saare county</t>
  </si>
  <si>
    <t>Tartu county</t>
  </si>
  <si>
    <t>Valga county</t>
  </si>
  <si>
    <t>Viljandi county</t>
  </si>
  <si>
    <t>Võru county</t>
  </si>
  <si>
    <t>Share of the total</t>
  </si>
  <si>
    <t>County statistics on population, utilised agricultural area and industrial production (2023)</t>
  </si>
  <si>
    <t>Estonia Statistics</t>
  </si>
  <si>
    <t>Population</t>
  </si>
  <si>
    <t>Utilised agricultural area, ha</t>
  </si>
  <si>
    <t>Industrial production</t>
  </si>
  <si>
    <t>Estonia Statistics source</t>
  </si>
  <si>
    <t>RV022U</t>
  </si>
  <si>
    <t>PMS403</t>
  </si>
  <si>
    <t>TO023</t>
  </si>
  <si>
    <t>Local budget expenditure per region (2017)</t>
  </si>
  <si>
    <t>RR301: LOCAL BUDGETS EXPENDITURE by Year, Indicator and Region/Administrative unit</t>
  </si>
  <si>
    <t>Operating expenditures and investment activities expenses</t>
  </si>
  <si>
    <t>General public services</t>
  </si>
  <si>
    <t>..local government council</t>
  </si>
  <si>
    <t>..local government administration</t>
  </si>
  <si>
    <t>Economic affairs</t>
  </si>
  <si>
    <t>..road transport (maintenance of rural municipality roads and streets)</t>
  </si>
  <si>
    <t>..management of public transport</t>
  </si>
  <si>
    <t>..water transport</t>
  </si>
  <si>
    <t>..air transport</t>
  </si>
  <si>
    <t>Housing and community amenities</t>
  </si>
  <si>
    <t>..street lighting</t>
  </si>
  <si>
    <t>Public health</t>
  </si>
  <si>
    <t>..pharmaceutical products and pharmacies</t>
  </si>
  <si>
    <t>..out-patient services</t>
  </si>
  <si>
    <t>..hospital services</t>
  </si>
  <si>
    <t>..public health services</t>
  </si>
  <si>
    <t>..other public health, incl health care administration</t>
  </si>
  <si>
    <t>..health care expenditure n.e.c.</t>
  </si>
  <si>
    <t>Recreation, culture and religion</t>
  </si>
  <si>
    <t>..pre-primary education (kindergartens)</t>
  </si>
  <si>
    <t>..general education schools, incl kindergarten-schools</t>
  </si>
  <si>
    <t>..vocational schools</t>
  </si>
  <si>
    <t>..tertiary education</t>
  </si>
  <si>
    <t>Social protection</t>
  </si>
  <si>
    <t>Central government floor area</t>
  </si>
  <si>
    <t>State Real Estate Register</t>
  </si>
  <si>
    <t>State occupied floor area (m2)</t>
  </si>
  <si>
    <t>Real estate owned by central government by building use type</t>
  </si>
  <si>
    <t>LTRS: https://energy.ec.europa.eu/system/files/2020-09/ee_2020_ltrs_official_translation_en_0.pdf</t>
  </si>
  <si>
    <t>Central government buildings</t>
  </si>
  <si>
    <t>Municipality</t>
  </si>
  <si>
    <t>Total public</t>
  </si>
  <si>
    <t>Floor area</t>
  </si>
  <si>
    <t>Owned</t>
  </si>
  <si>
    <t>Rented</t>
  </si>
  <si>
    <t>% of total floor area</t>
  </si>
  <si>
    <t>Service-related</t>
  </si>
  <si>
    <t>Education, research</t>
  </si>
  <si>
    <t>Office</t>
  </si>
  <si>
    <t>Commerce</t>
  </si>
  <si>
    <t>Accomodation</t>
  </si>
  <si>
    <t>Commerce/services</t>
  </si>
  <si>
    <t>Other special-purpose buildings</t>
  </si>
  <si>
    <t>Warehouses</t>
  </si>
  <si>
    <t>Healthcare</t>
  </si>
  <si>
    <t>Non-residential buildings</t>
  </si>
  <si>
    <t>Type of building</t>
  </si>
  <si>
    <t>Net area, m2</t>
  </si>
  <si>
    <t>Central gov. building</t>
  </si>
  <si>
    <t>Municipal</t>
  </si>
  <si>
    <t>Gov</t>
  </si>
  <si>
    <t>Private</t>
  </si>
  <si>
    <t>Share of private buildings (exl. Industry)</t>
  </si>
  <si>
    <t>All buildings</t>
  </si>
  <si>
    <t>Public buildings</t>
  </si>
  <si>
    <t>Of all buildings</t>
  </si>
  <si>
    <t>SHARE OF</t>
  </si>
  <si>
    <t>Total (exl. Industry</t>
  </si>
  <si>
    <t>KE062: CONSUMPTION OF FUELS by Year, Economic activity and Type of fuel</t>
  </si>
  <si>
    <t>Firewood, thousand m³ solid volume</t>
  </si>
  <si>
    <t>Wood waste and chips, thousand m³ solid volume</t>
  </si>
  <si>
    <t>Briguette and pellets, thousand tons</t>
  </si>
  <si>
    <t>Liquefied gas, thousand tons</t>
  </si>
  <si>
    <t>Heavy fuel oil, thousand tons</t>
  </si>
  <si>
    <t>Shale oil (heavy fraction), thousand tons</t>
  </si>
  <si>
    <t>Light fuel oil and diesel, thousand tons</t>
  </si>
  <si>
    <t>Diesel, thousand tons</t>
  </si>
  <si>
    <t>Motor gasoline, thousand tons</t>
  </si>
  <si>
    <t>Aviation gasoline, thousand tons</t>
  </si>
  <si>
    <t>Shale oil gas, million m³</t>
  </si>
  <si>
    <t>Biogas, million m³</t>
  </si>
  <si>
    <t>Other biomass**, thousand tons</t>
  </si>
  <si>
    <t>Municipal waste, thousand tons</t>
  </si>
  <si>
    <t>Electricity, GWh</t>
  </si>
  <si>
    <t>Heat, GWh</t>
  </si>
  <si>
    <t>Electricity and heat, GWh</t>
  </si>
  <si>
    <t>Economic activities total</t>
  </si>
  <si>
    <t>Agriculture</t>
  </si>
  <si>
    <t>Forestry</t>
  </si>
  <si>
    <t>Fishing</t>
  </si>
  <si>
    <t>Mining and agglomeration of oil-shale</t>
  </si>
  <si>
    <t>Extraction of peat and other mining</t>
  </si>
  <si>
    <t>Manufacture of food products and beverages</t>
  </si>
  <si>
    <t>Manufacture of textile, leather and clothing industry</t>
  </si>
  <si>
    <t>Manufacture of production of wood and wood products</t>
  </si>
  <si>
    <t>Manufacture of pulp, paper and printing industry</t>
  </si>
  <si>
    <t>Manufacture of refined petroleum products</t>
  </si>
  <si>
    <t>Manufacture of chemicals and chemical products</t>
  </si>
  <si>
    <t>Manufacture of rubber and plastic products</t>
  </si>
  <si>
    <t>Manufacture of other non-metallic mineral products</t>
  </si>
  <si>
    <t>Manufacture of basic metals</t>
  </si>
  <si>
    <t>Manufacture of fabricated metal products</t>
  </si>
  <si>
    <t>Manufacture of computer, electronic and optical products</t>
  </si>
  <si>
    <t>Manufacture of furniture</t>
  </si>
  <si>
    <t>Other manufacturing</t>
  </si>
  <si>
    <t>Electricity, steam and hot water supply</t>
  </si>
  <si>
    <t>Water collection, treatment and supply</t>
  </si>
  <si>
    <t>Waste collection, treatment and disposal activities; materials recovery</t>
  </si>
  <si>
    <t>Land transport</t>
  </si>
  <si>
    <t>Water transport</t>
  </si>
  <si>
    <t>Warehousing and support activities for transportation</t>
  </si>
  <si>
    <t>..</t>
  </si>
  <si>
    <t>Public services</t>
  </si>
  <si>
    <t>Other services</t>
  </si>
  <si>
    <t>Public services (out of the total)</t>
  </si>
  <si>
    <t>Agro/Forestry</t>
  </si>
  <si>
    <t>Dropdown list for EE Measures</t>
  </si>
  <si>
    <t>Assessment</t>
  </si>
  <si>
    <t>EE targets</t>
  </si>
  <si>
    <t>Quantitative impact</t>
  </si>
  <si>
    <t>To</t>
  </si>
  <si>
    <t>MJ</t>
  </si>
  <si>
    <t>GJ</t>
  </si>
  <si>
    <t>TJ</t>
  </si>
  <si>
    <t>PJ</t>
  </si>
  <si>
    <t>GDP broken down into its main components</t>
  </si>
  <si>
    <t>Based on changes to value added (i.e. investments)</t>
  </si>
  <si>
    <t>Final energy consumption by 2030</t>
  </si>
  <si>
    <t>Investment needs linked to the pathway and costs, broken down by private and public funding sources</t>
  </si>
  <si>
    <t>Based on investment cost estimates</t>
  </si>
  <si>
    <t>Reduction of primary energy consumption</t>
  </si>
  <si>
    <t>compared to recent peak (69.4 TWh in 2013)</t>
  </si>
  <si>
    <t>Primary energy consumption broken down by relevant sectors</t>
  </si>
  <si>
    <t>Based on final energy</t>
  </si>
  <si>
    <t>final energy consumption broken down by relevant sectors</t>
  </si>
  <si>
    <t>Based on energy savings estimates</t>
  </si>
  <si>
    <t>Type of policy</t>
  </si>
  <si>
    <t>Maximum fuel consumption by vehicle fleet in 2030</t>
  </si>
  <si>
    <t>GHG emissions</t>
  </si>
  <si>
    <t>Based on energy savings estimates and energy composition per sector and GHG emissions factors per energy source</t>
  </si>
  <si>
    <t>Other environmental indicators with available data, such as air pollution</t>
  </si>
  <si>
    <t>Based on energy savings estimates and energy composition per sector and air pollution factors per energy source</t>
  </si>
  <si>
    <t>Transport job creation</t>
  </si>
  <si>
    <t>t</t>
  </si>
  <si>
    <t>https://ec.europa.eu/eurostat/documents/38154/4956218/ENERGY-BALANCE-GUIDE.pdf/de76d0d2-8b17-b47c-f6f5-415bd09b7750?t=1632139948586</t>
  </si>
  <si>
    <t>Changes in the energy prices and costs (electricity, heat, fuels) for commercial consumers (broken down by at least 5 relevant sectors) and for household consumers (broken down by at least 5 relevant categories)</t>
  </si>
  <si>
    <t>No. of jobs per million euros invested in public infra</t>
  </si>
  <si>
    <t>Changes in household disposable income, broken down into at least five relevant categories</t>
  </si>
  <si>
    <t>Based on renovation costs, changes in taxes and changes in employment</t>
  </si>
  <si>
    <t>No. of jobs per million euros invested in public transport operations</t>
  </si>
  <si>
    <t>https://www.tmleuven.be/en/project/neujobs</t>
  </si>
  <si>
    <t>Mt</t>
  </si>
  <si>
    <t>Changes in energy poverty (Qualitative) (known methodology?)</t>
  </si>
  <si>
    <t>Estonia no. of jobs per million euros of gov. subsidies</t>
  </si>
  <si>
    <t>mln m3</t>
  </si>
  <si>
    <r>
      <t xml:space="preserve">Changes in overall employment, </t>
    </r>
    <r>
      <rPr>
        <sz val="8"/>
        <color rgb="FFE84C22"/>
        <rFont val="Trebuchet MS"/>
        <family val="2"/>
      </rPr>
      <t>due to energy prices</t>
    </r>
    <r>
      <rPr>
        <sz val="8"/>
        <color rgb="FF000000"/>
        <rFont val="Trebuchet MS"/>
        <family val="2"/>
      </rPr>
      <t xml:space="preserve"> and job creation of energy efficiency investments, with detailed analysis of the three sectors/sub-sectors with highest employment changes (including analysis of potential labour supply bottlenecks)</t>
    </r>
  </si>
  <si>
    <t>Based on job creation estimates</t>
  </si>
  <si>
    <t>Job losses from electric vehicles per energy saves (in million euros) (reduction of car maintenance, takes into account job creation from wholesale trade, car manufacturing, etc.)</t>
  </si>
  <si>
    <t>m3</t>
  </si>
  <si>
    <t>Changes in labour productivity (expressed in GDP per employee)</t>
  </si>
  <si>
    <t>Based on GDP and employment</t>
  </si>
  <si>
    <t>No. of jobs per million euros invested in bicycle infra</t>
  </si>
  <si>
    <t>https://www.tmleuven.be/en/project/jobcreationcycling</t>
  </si>
  <si>
    <t>1000m3</t>
  </si>
  <si>
    <t>Changes in government taxes and revenues</t>
  </si>
  <si>
    <t>Based on public investment and tax change estimates</t>
  </si>
  <si>
    <t>Biomass</t>
  </si>
  <si>
    <t>https://mdgs.un.org/unsd/energy/balance/2013/05.pdf</t>
  </si>
  <si>
    <t>any significant differences in impacts to be expected at regional level (NUTS316)</t>
  </si>
  <si>
    <t>Estonia (see with TalTech)</t>
  </si>
  <si>
    <t>Renovation wave</t>
  </si>
  <si>
    <t>Emissions global warming potential</t>
  </si>
  <si>
    <t>Biofuel</t>
  </si>
  <si>
    <t>Emissions type</t>
  </si>
  <si>
    <t>GWP</t>
  </si>
  <si>
    <t>Fuel gas</t>
  </si>
  <si>
    <t>https://www.pbl.nl/sites/default/files/downloads/pbl-2021-decarbonisation-options-for-large-volume-organic-chemicals-production-sabic-geleen_3718.pdf</t>
  </si>
  <si>
    <t>Others</t>
  </si>
  <si>
    <t>Residual gases</t>
  </si>
  <si>
    <t>tonne</t>
  </si>
  <si>
    <t>Integrated Planning (incl. climate plans)</t>
  </si>
  <si>
    <t>F gas</t>
  </si>
  <si>
    <t>Adapt the institutional framework - Governance (more to local authorities)</t>
  </si>
  <si>
    <t>litre</t>
  </si>
  <si>
    <t>Capacity building (professionals skills, regional experts &amp; authorities)</t>
  </si>
  <si>
    <t>1000L</t>
  </si>
  <si>
    <t>Empower end-consumers (access to info, price signal, tech availability, …)</t>
  </si>
  <si>
    <t>Mobilise finance (incl. sustainable finance, and public support, blending)</t>
  </si>
  <si>
    <t>Energy audits &amp; energy management systems</t>
  </si>
  <si>
    <t>https://hextobinary.com/unit/energy/from/gasoline/to/megawatthour</t>
  </si>
  <si>
    <t>Hydrogen</t>
  </si>
  <si>
    <t>https://www.energy.gov/eere/fuelcells/hydrogen-storage</t>
  </si>
  <si>
    <t>kg</t>
  </si>
  <si>
    <t>Naphtha</t>
  </si>
  <si>
    <t>1000 L</t>
  </si>
  <si>
    <t>vat</t>
  </si>
  <si>
    <t>Heavy oil</t>
  </si>
  <si>
    <t>Hot oil</t>
  </si>
  <si>
    <t>https://hextobinary.com/unit/energy/from/klfuel/to/megawatthour</t>
  </si>
  <si>
    <t>https://cdn.cdp.net/cdp-production/cms/guidance_docs/pdfs/000/000/477/original/CDP-Conversion-of-fuel-data-to-MWh.pdf?1479755175</t>
  </si>
  <si>
    <t>Isobutane</t>
  </si>
  <si>
    <t>https://www.ncbi.nlm.nih.gov/pmc/articles/PMC5569640/#:~:text=The%20heating%20value%20of%20the,those%20reported%20for%20SS%20pyrolysis.</t>
  </si>
  <si>
    <t>Syngas</t>
  </si>
  <si>
    <t>Petroleum coke</t>
  </si>
  <si>
    <t>Coke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</si>
</sst>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25">
    <numFmt numFmtId="164" formatCode="_ * #,##0.00_ ;_ * \-#,##0.00_ ;_ * &quot;-&quot;??_ ;_ @_ "/>
    <numFmt numFmtId="165" formatCode="_(* #,##0.00_);_(* \(#,##0.00\);_(* &quot;-&quot;??_);_(@_)"/>
    <numFmt numFmtId="166" formatCode="0.0%"/>
    <numFmt numFmtId="167" formatCode="_(* #,##0_);_(* \(#,##0\);_(* &quot;-&quot;??_);_(@_)"/>
    <numFmt numFmtId="168" formatCode="0.0"/>
    <numFmt numFmtId="169" formatCode="#,##0.0"/>
    <numFmt numFmtId="170" formatCode="#,##0.000"/>
    <numFmt numFmtId="171" formatCode="0.00_ ;[Red]\-0.00\ "/>
    <numFmt numFmtId="172" formatCode="0_ ;[Red]\-0\ "/>
    <numFmt numFmtId="173" formatCode="#,##0.0000"/>
    <numFmt numFmtId="174" formatCode="_(* #,##0.0_);_(* \(#,##0.0\);_(* &quot;-&quot;??_);_(@_)"/>
    <numFmt numFmtId="175" formatCode="_ * #,##0_ ;_ * \-#,##0_ ;_ * &quot;-&quot;??_ ;_ @_ "/>
    <numFmt numFmtId="176" formatCode="_ * #,##0_ ;_ * \-#,##0_ ;_ * &quot;-&quot;?_ ;_ @_ "/>
    <numFmt numFmtId="177" formatCode="_ * #,##0.0_ ;_ * \-#,##0.0_ ;_ * &quot;-&quot;?_ ;_ @_ "/>
    <numFmt numFmtId="178" formatCode="#,##0.0_ ;[Red]\-#,##0.0\ "/>
    <numFmt numFmtId="179" formatCode="#,##0.00_ ;[Red]\-#,##0.00\ "/>
    <numFmt numFmtId="180" formatCode="0.000"/>
    <numFmt numFmtId="181" formatCode="0.00000%"/>
    <numFmt numFmtId="182" formatCode="0.000000%"/>
    <numFmt numFmtId="183" formatCode="0.000%"/>
    <numFmt numFmtId="184" formatCode="0.0000"/>
    <numFmt numFmtId="185" formatCode="_(* #,##0.000_);_(* \(#,##0.000\);_(* &quot;-&quot;??_);_(@_)"/>
    <numFmt numFmtId="186" formatCode="_-* #,##0_-;\-* #,##0_-;_-* &quot;-&quot;??_-;_-@_-"/>
    <numFmt numFmtId="187" formatCode="0.000000"/>
    <numFmt numFmtId="188" formatCode="#,##0_ ;\-#,##0\ "/>
  </numFmts>
  <fonts count="160" x14ac:knownFonts="1">
    <font>
      <sz val="8"/>
      <name val="Trebuchet MS"/>
      <family val="2"/>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11"/>
      <color theme="1"/>
      <name val="Trebuchet MS"/>
      <family val="2"/>
      <scheme val="minor"/>
    </font>
    <font>
      <sz val="8"/>
      <name val="Arial"/>
      <family val="2"/>
    </font>
    <font>
      <sz val="8"/>
      <name val="Arial"/>
      <family val="2"/>
    </font>
    <font>
      <b/>
      <sz val="8"/>
      <name val="Arial"/>
      <family val="2"/>
    </font>
    <font>
      <sz val="8"/>
      <color indexed="8"/>
      <name val="Arial"/>
      <family val="2"/>
    </font>
    <font>
      <sz val="8"/>
      <color theme="1"/>
      <name val="Arial"/>
      <family val="2"/>
    </font>
    <font>
      <sz val="8"/>
      <color theme="0"/>
      <name val="Arial"/>
      <family val="2"/>
    </font>
    <font>
      <sz val="8"/>
      <color rgb="FF8D2EA5"/>
      <name val="Arial"/>
      <family val="2"/>
    </font>
    <font>
      <sz val="8"/>
      <color theme="4"/>
      <name val="Arial"/>
      <family val="2"/>
    </font>
    <font>
      <u/>
      <sz val="8"/>
      <color rgb="FF6688CA"/>
      <name val="Arial"/>
      <family val="2"/>
    </font>
    <font>
      <b/>
      <sz val="11"/>
      <color theme="4"/>
      <name val="Verdana"/>
      <family val="2"/>
    </font>
    <font>
      <b/>
      <sz val="10"/>
      <color theme="6"/>
      <name val="Verdana"/>
      <family val="2"/>
    </font>
    <font>
      <b/>
      <sz val="9"/>
      <color theme="6"/>
      <name val="Verdana"/>
      <family val="2"/>
    </font>
    <font>
      <b/>
      <sz val="9"/>
      <color rgb="FF6688CA"/>
      <name val="Verdana"/>
      <family val="2"/>
    </font>
    <font>
      <u/>
      <sz val="8"/>
      <color theme="4"/>
      <name val="Arial"/>
      <family val="2"/>
    </font>
    <font>
      <sz val="8"/>
      <color rgb="FF3F3F3F"/>
      <name val="Arial"/>
      <family val="2"/>
    </font>
    <font>
      <b/>
      <sz val="16"/>
      <color theme="6"/>
      <name val="Verdana"/>
      <family val="2"/>
    </font>
    <font>
      <b/>
      <sz val="8"/>
      <color theme="1"/>
      <name val="Verdana"/>
      <family val="2"/>
    </font>
    <font>
      <sz val="8"/>
      <color theme="7"/>
      <name val="Arial"/>
      <family val="2"/>
    </font>
    <font>
      <b/>
      <sz val="12"/>
      <color rgb="FF002C54"/>
      <name val="Trebuchet MS"/>
      <family val="2"/>
    </font>
    <font>
      <b/>
      <sz val="8"/>
      <color theme="5"/>
      <name val="Trebuchet MS"/>
      <family val="2"/>
    </font>
    <font>
      <b/>
      <sz val="8"/>
      <name val="Trebuchet MS"/>
      <family val="2"/>
    </font>
    <font>
      <sz val="8"/>
      <name val="Trebuchet MS"/>
      <family val="2"/>
    </font>
    <font>
      <sz val="8"/>
      <color theme="1"/>
      <name val="Trebuchet MS"/>
      <family val="2"/>
    </font>
    <font>
      <sz val="8"/>
      <color rgb="FFBD0C30"/>
      <name val="Trebuchet MS"/>
      <family val="2"/>
    </font>
    <font>
      <sz val="8"/>
      <color theme="0"/>
      <name val="Trebuchet MS"/>
      <family val="2"/>
    </font>
    <font>
      <b/>
      <sz val="8"/>
      <color theme="0"/>
      <name val="Trebuchet MS"/>
      <family val="2"/>
    </font>
    <font>
      <sz val="8"/>
      <name val="Trebuchet MS"/>
      <family val="2"/>
      <scheme val="minor"/>
    </font>
    <font>
      <sz val="8"/>
      <color theme="5"/>
      <name val="Trebuchet MS"/>
      <family val="2"/>
    </font>
    <font>
      <b/>
      <i/>
      <sz val="6"/>
      <color theme="3" tint="0.499984740745262"/>
      <name val="Trebuchet MS"/>
      <family val="2"/>
    </font>
    <font>
      <sz val="8"/>
      <color theme="3" tint="0.499984740745262"/>
      <name val="Trebuchet MS"/>
      <family val="2"/>
    </font>
    <font>
      <sz val="7"/>
      <color theme="4"/>
      <name val="Trebuchet MS"/>
      <family val="2"/>
    </font>
    <font>
      <sz val="11"/>
      <color rgb="FF9C0006"/>
      <name val="Trebuchet MS"/>
      <family val="2"/>
      <scheme val="minor"/>
    </font>
    <font>
      <sz val="9"/>
      <color indexed="81"/>
      <name val="Tahoma"/>
      <family val="2"/>
    </font>
    <font>
      <b/>
      <u/>
      <sz val="8"/>
      <name val="Trebuchet MS"/>
      <family val="2"/>
    </font>
    <font>
      <b/>
      <sz val="9"/>
      <color indexed="81"/>
      <name val="Tahoma"/>
      <family val="2"/>
    </font>
    <font>
      <sz val="11"/>
      <color theme="1"/>
      <name val="Trebuchet MS"/>
      <family val="2"/>
      <charset val="186"/>
      <scheme val="minor"/>
    </font>
    <font>
      <b/>
      <sz val="9"/>
      <color indexed="81"/>
      <name val="Tahoma"/>
      <family val="2"/>
      <charset val="186"/>
    </font>
    <font>
      <sz val="9"/>
      <color indexed="81"/>
      <name val="Tahoma"/>
      <family val="2"/>
      <charset val="186"/>
    </font>
    <font>
      <b/>
      <sz val="9"/>
      <color rgb="FF000000"/>
      <name val="Tahoma"/>
      <family val="2"/>
    </font>
    <font>
      <sz val="9"/>
      <color rgb="FF000000"/>
      <name val="Tahoma"/>
      <family val="2"/>
    </font>
    <font>
      <sz val="8"/>
      <color theme="6"/>
      <name val="Trebuchet MS"/>
      <family val="2"/>
    </font>
    <font>
      <b/>
      <sz val="8"/>
      <color theme="3"/>
      <name val="Trebuchet MS"/>
      <family val="2"/>
      <scheme val="minor"/>
    </font>
    <font>
      <sz val="8"/>
      <color theme="3"/>
      <name val="Trebuchet MS"/>
      <family val="2"/>
      <scheme val="minor"/>
    </font>
    <font>
      <b/>
      <sz val="8"/>
      <color theme="0"/>
      <name val="Trebuchet MS"/>
      <family val="2"/>
      <scheme val="minor"/>
    </font>
    <font>
      <b/>
      <sz val="8"/>
      <name val="Trebuchet MS"/>
      <family val="2"/>
      <scheme val="minor"/>
    </font>
    <font>
      <b/>
      <sz val="8"/>
      <color theme="1"/>
      <name val="Trebuchet MS"/>
      <family val="2"/>
      <scheme val="minor"/>
    </font>
    <font>
      <sz val="8"/>
      <color theme="1"/>
      <name val="Trebuchet MS"/>
      <family val="2"/>
      <scheme val="minor"/>
    </font>
    <font>
      <b/>
      <sz val="8"/>
      <color rgb="FFFF0000"/>
      <name val="Trebuchet MS"/>
      <family val="2"/>
      <scheme val="minor"/>
    </font>
    <font>
      <i/>
      <sz val="8"/>
      <color theme="3"/>
      <name val="Trebuchet MS"/>
      <family val="2"/>
      <scheme val="minor"/>
    </font>
    <font>
      <i/>
      <sz val="8"/>
      <name val="Trebuchet MS"/>
      <family val="2"/>
      <scheme val="minor"/>
    </font>
    <font>
      <sz val="8"/>
      <color rgb="FF0000CC"/>
      <name val="Trebuchet MS"/>
      <family val="2"/>
      <scheme val="minor"/>
    </font>
    <font>
      <i/>
      <sz val="8"/>
      <color rgb="FF0000CC"/>
      <name val="Trebuchet MS"/>
      <family val="2"/>
      <scheme val="minor"/>
    </font>
    <font>
      <b/>
      <sz val="8"/>
      <color rgb="FF0000CC"/>
      <name val="Trebuchet MS"/>
      <family val="2"/>
      <scheme val="minor"/>
    </font>
    <font>
      <i/>
      <sz val="8"/>
      <color rgb="FFFF0000"/>
      <name val="Trebuchet MS"/>
      <family val="2"/>
      <scheme val="minor"/>
    </font>
    <font>
      <b/>
      <sz val="8"/>
      <color theme="5"/>
      <name val="Trebuchet MS"/>
      <family val="2"/>
      <scheme val="minor"/>
    </font>
    <font>
      <i/>
      <sz val="8"/>
      <color rgb="FF00B050"/>
      <name val="Trebuchet MS"/>
      <family val="2"/>
      <scheme val="minor"/>
    </font>
    <font>
      <b/>
      <sz val="8"/>
      <color rgb="FF002C54"/>
      <name val="Trebuchet MS"/>
      <family val="2"/>
      <scheme val="minor"/>
    </font>
    <font>
      <sz val="8"/>
      <color theme="4"/>
      <name val="Trebuchet MS"/>
      <family val="2"/>
      <scheme val="minor"/>
    </font>
    <font>
      <b/>
      <sz val="8"/>
      <color rgb="FF92D050"/>
      <name val="Trebuchet MS"/>
      <family val="2"/>
      <scheme val="minor"/>
    </font>
    <font>
      <i/>
      <sz val="8"/>
      <color rgb="FFEC6625"/>
      <name val="Trebuchet MS"/>
      <family val="2"/>
      <scheme val="minor"/>
    </font>
    <font>
      <i/>
      <sz val="8"/>
      <color rgb="FF00758F"/>
      <name val="Trebuchet MS"/>
      <family val="2"/>
      <scheme val="minor"/>
    </font>
    <font>
      <b/>
      <sz val="8"/>
      <color rgb="FF00758F"/>
      <name val="Trebuchet MS"/>
      <family val="2"/>
      <scheme val="minor"/>
    </font>
    <font>
      <b/>
      <sz val="8"/>
      <color theme="4"/>
      <name val="Trebuchet MS"/>
      <family val="2"/>
      <scheme val="minor"/>
    </font>
    <font>
      <sz val="8"/>
      <color theme="0"/>
      <name val="Trebuchet MS"/>
      <family val="2"/>
      <scheme val="minor"/>
    </font>
    <font>
      <b/>
      <sz val="8"/>
      <color theme="6"/>
      <name val="Trebuchet MS"/>
      <family val="2"/>
      <scheme val="minor"/>
    </font>
    <font>
      <b/>
      <i/>
      <sz val="8"/>
      <color theme="3" tint="0.499984740745262"/>
      <name val="Trebuchet MS"/>
      <family val="2"/>
      <scheme val="minor"/>
    </font>
    <font>
      <b/>
      <sz val="7"/>
      <color theme="0"/>
      <name val="Trebuchet MS"/>
      <family val="2"/>
      <scheme val="minor"/>
    </font>
    <font>
      <sz val="6"/>
      <name val="Trebuchet MS"/>
      <family val="2"/>
      <scheme val="minor"/>
    </font>
    <font>
      <b/>
      <u/>
      <sz val="8"/>
      <color theme="4"/>
      <name val="Arial"/>
      <family val="2"/>
    </font>
    <font>
      <i/>
      <sz val="7"/>
      <color theme="5"/>
      <name val="Trebuchet MS"/>
      <family val="2"/>
    </font>
    <font>
      <sz val="8"/>
      <color rgb="FFFF0000"/>
      <name val="Trebuchet MS"/>
      <family val="2"/>
    </font>
    <font>
      <sz val="11"/>
      <color rgb="FF000000"/>
      <name val="Calibri"/>
      <family val="2"/>
    </font>
    <font>
      <sz val="8"/>
      <color rgb="FF000000"/>
      <name val="Trebuchet MS"/>
      <family val="2"/>
      <scheme val="major"/>
    </font>
    <font>
      <sz val="8"/>
      <name val="Trebuchet MS"/>
      <family val="2"/>
      <scheme val="major"/>
    </font>
    <font>
      <b/>
      <sz val="8"/>
      <name val="Trebuchet MS"/>
      <family val="2"/>
      <scheme val="major"/>
    </font>
    <font>
      <b/>
      <sz val="8"/>
      <color theme="0"/>
      <name val="Trebuchet MS"/>
      <family val="2"/>
      <scheme val="major"/>
    </font>
    <font>
      <sz val="8"/>
      <color theme="1"/>
      <name val="Trebuchet MS"/>
      <family val="2"/>
      <scheme val="major"/>
    </font>
    <font>
      <i/>
      <sz val="8"/>
      <name val="Trebuchet MS"/>
      <family val="2"/>
      <scheme val="major"/>
    </font>
    <font>
      <i/>
      <sz val="7"/>
      <color theme="0" tint="-0.34998626667073579"/>
      <name val="Trebuchet MS"/>
      <family val="2"/>
      <scheme val="major"/>
    </font>
    <font>
      <b/>
      <sz val="8"/>
      <color rgb="FF002C54"/>
      <name val="Trebuchet MS"/>
      <family val="2"/>
      <scheme val="major"/>
    </font>
    <font>
      <b/>
      <sz val="11"/>
      <color rgb="FF002C54"/>
      <name val="Trebuchet MS"/>
      <family val="2"/>
      <scheme val="major"/>
    </font>
    <font>
      <b/>
      <sz val="9"/>
      <color theme="0"/>
      <name val="Trebuchet MS"/>
      <family val="2"/>
      <scheme val="major"/>
    </font>
    <font>
      <i/>
      <sz val="8"/>
      <color theme="0" tint="-0.499984740745262"/>
      <name val="Trebuchet MS"/>
      <family val="2"/>
      <scheme val="major"/>
    </font>
    <font>
      <b/>
      <sz val="8"/>
      <color theme="5"/>
      <name val="Trebuchet MS"/>
      <family val="2"/>
      <scheme val="major"/>
    </font>
    <font>
      <b/>
      <sz val="7"/>
      <color theme="5"/>
      <name val="Trebuchet MS"/>
      <family val="2"/>
      <scheme val="major"/>
    </font>
    <font>
      <sz val="7"/>
      <color theme="4"/>
      <name val="Trebuchet MS"/>
      <family val="2"/>
      <scheme val="major"/>
    </font>
    <font>
      <sz val="11"/>
      <color rgb="FF000000"/>
      <name val="Trebuchet MS"/>
      <family val="2"/>
      <scheme val="major"/>
    </font>
    <font>
      <u/>
      <sz val="8"/>
      <color theme="4"/>
      <name val="Trebuchet MS"/>
      <family val="2"/>
    </font>
    <font>
      <sz val="8"/>
      <color indexed="8"/>
      <name val="Trebuchet MS"/>
      <family val="2"/>
    </font>
    <font>
      <sz val="10"/>
      <color theme="1"/>
      <name val="Trebuchet MS"/>
      <family val="2"/>
      <scheme val="minor"/>
    </font>
    <font>
      <b/>
      <sz val="10"/>
      <color theme="1"/>
      <name val="Trebuchet MS"/>
      <family val="2"/>
      <scheme val="minor"/>
    </font>
    <font>
      <sz val="10"/>
      <name val="Trebuchet MS"/>
      <family val="2"/>
      <scheme val="minor"/>
    </font>
    <font>
      <sz val="10"/>
      <color indexed="2"/>
      <name val="Trebuchet MS"/>
      <family val="2"/>
      <scheme val="minor"/>
    </font>
    <font>
      <b/>
      <sz val="10"/>
      <name val="Trebuchet MS"/>
      <family val="2"/>
      <scheme val="minor"/>
    </font>
    <font>
      <sz val="11"/>
      <name val="Trebuchet MS"/>
      <family val="2"/>
      <scheme val="minor"/>
    </font>
    <font>
      <sz val="10"/>
      <name val="Calibri"/>
      <family val="2"/>
    </font>
    <font>
      <i/>
      <sz val="10"/>
      <name val="Trebuchet MS"/>
      <family val="2"/>
      <scheme val="minor"/>
    </font>
    <font>
      <strike/>
      <sz val="10"/>
      <name val="Trebuchet MS"/>
      <family val="2"/>
      <scheme val="minor"/>
    </font>
    <font>
      <b/>
      <sz val="11"/>
      <name val="Trebuchet MS"/>
      <family val="2"/>
      <scheme val="minor"/>
    </font>
    <font>
      <sz val="8"/>
      <color rgb="FF000000"/>
      <name val="Trebuchet MS"/>
      <family val="2"/>
    </font>
    <font>
      <sz val="8"/>
      <color rgb="FFE84C22"/>
      <name val="Trebuchet MS"/>
      <family val="2"/>
    </font>
    <font>
      <sz val="8"/>
      <color rgb="FFFFFFFF"/>
      <name val="Trebuchet MS"/>
      <family val="2"/>
      <charset val="186"/>
    </font>
    <font>
      <u/>
      <sz val="8"/>
      <name val="Trebuchet MS"/>
      <family val="2"/>
    </font>
    <font>
      <sz val="9"/>
      <name val="Trebuchet MS"/>
      <family val="2"/>
    </font>
    <font>
      <b/>
      <sz val="9"/>
      <color rgb="FFFFFFFF"/>
      <name val="Trebuchet MS"/>
      <family val="2"/>
    </font>
    <font>
      <sz val="9"/>
      <color rgb="FF000000"/>
      <name val="Trebuchet MS"/>
      <family val="2"/>
    </font>
    <font>
      <b/>
      <sz val="8"/>
      <color theme="6"/>
      <name val="Trebuchet MS"/>
      <family val="2"/>
    </font>
    <font>
      <b/>
      <sz val="8"/>
      <color theme="0" tint="-0.14999847407452621"/>
      <name val="Trebuchet MS"/>
      <family val="2"/>
      <scheme val="minor"/>
    </font>
    <font>
      <sz val="9"/>
      <color rgb="FF000000"/>
      <name val="Trebuchet MS"/>
      <family val="2"/>
      <scheme val="major"/>
    </font>
    <font>
      <b/>
      <i/>
      <sz val="6"/>
      <color theme="3" tint="0.499984740745262"/>
      <name val="Trebuchet MS"/>
      <family val="2"/>
      <scheme val="major"/>
    </font>
    <font>
      <u/>
      <sz val="8"/>
      <color theme="4"/>
      <name val="Trebuchet MS"/>
      <family val="2"/>
      <scheme val="major"/>
    </font>
    <font>
      <b/>
      <i/>
      <sz val="10"/>
      <color rgb="FF002C54"/>
      <name val="Trebuchet MS"/>
      <family val="2"/>
    </font>
    <font>
      <b/>
      <sz val="9"/>
      <color theme="6"/>
      <name val="Trebuchet MS"/>
      <family val="2"/>
    </font>
    <font>
      <b/>
      <i/>
      <sz val="10"/>
      <color rgb="FF002C54"/>
      <name val="Trebuchet MS"/>
      <family val="2"/>
      <scheme val="major"/>
    </font>
    <font>
      <sz val="8"/>
      <color theme="0"/>
      <name val="Trebuchet MS"/>
      <family val="2"/>
      <scheme val="major"/>
    </font>
    <font>
      <b/>
      <sz val="8"/>
      <color theme="1"/>
      <name val="Trebuchet MS"/>
      <family val="2"/>
      <charset val="186"/>
      <scheme val="minor"/>
    </font>
    <font>
      <sz val="8"/>
      <color theme="1"/>
      <name val="Trebuchet MS"/>
      <family val="2"/>
      <charset val="186"/>
      <scheme val="minor"/>
    </font>
    <font>
      <b/>
      <sz val="8"/>
      <color rgb="FF0000CC"/>
      <name val="Calibri"/>
      <family val="2"/>
    </font>
    <font>
      <sz val="8"/>
      <color rgb="FF0000CC"/>
      <name val="Trebuchet MS"/>
      <family val="2"/>
      <charset val="186"/>
      <scheme val="minor"/>
    </font>
    <font>
      <sz val="8"/>
      <color rgb="FF0000CC"/>
      <name val="Calibri"/>
      <family val="2"/>
      <charset val="186"/>
    </font>
    <font>
      <sz val="8"/>
      <name val="Trebuchet MS"/>
      <family val="2"/>
      <charset val="186"/>
      <scheme val="minor"/>
    </font>
    <font>
      <sz val="8"/>
      <color rgb="FFFF0000"/>
      <name val="Trebuchet MS"/>
      <family val="2"/>
      <charset val="186"/>
      <scheme val="minor"/>
    </font>
    <font>
      <sz val="8"/>
      <color rgb="FF000000"/>
      <name val="Calibri"/>
      <family val="2"/>
      <charset val="186"/>
    </font>
    <font>
      <b/>
      <sz val="8"/>
      <color rgb="FF0000CC"/>
      <name val="Calibri"/>
      <family val="2"/>
      <charset val="186"/>
    </font>
    <font>
      <sz val="8"/>
      <color theme="1"/>
      <name val="Calibri"/>
      <family val="2"/>
      <charset val="186"/>
    </font>
    <font>
      <b/>
      <sz val="7"/>
      <color theme="0"/>
      <name val="Trebuchet MS"/>
      <family val="2"/>
    </font>
    <font>
      <b/>
      <sz val="14"/>
      <color rgb="FF002C54"/>
      <name val="Trebuchet MS"/>
      <family val="2"/>
    </font>
    <font>
      <i/>
      <sz val="8"/>
      <color theme="0" tint="-0.249977111117893"/>
      <name val="Trebuchet MS"/>
      <family val="2"/>
      <scheme val="major"/>
    </font>
    <font>
      <u/>
      <sz val="8"/>
      <name val="Trebuchet MS"/>
      <family val="2"/>
      <scheme val="major"/>
    </font>
    <font>
      <sz val="8"/>
      <color rgb="FF8D2EA5"/>
      <name val="Trebuchet MS"/>
      <family val="2"/>
      <scheme val="major"/>
    </font>
    <font>
      <b/>
      <sz val="8"/>
      <color theme="1"/>
      <name val="Trebuchet MS"/>
      <family val="2"/>
    </font>
    <font>
      <sz val="8"/>
      <color rgb="FF00B050"/>
      <name val="Trebuchet MS"/>
      <family val="2"/>
    </font>
    <font>
      <i/>
      <sz val="8"/>
      <name val="Trebuchet MS"/>
      <family val="2"/>
    </font>
    <font>
      <i/>
      <sz val="8"/>
      <color rgb="FF000000"/>
      <name val="Trebuchet MS"/>
      <family val="2"/>
    </font>
    <font>
      <sz val="9"/>
      <color rgb="FFFF0000"/>
      <name val="Trebuchet MS"/>
      <family val="2"/>
    </font>
    <font>
      <b/>
      <sz val="8"/>
      <color rgb="FF000000"/>
      <name val="Trebuchet MS"/>
      <family val="2"/>
    </font>
    <font>
      <sz val="8"/>
      <color rgb="FFFF0000"/>
      <name val="Trebuchet MS"/>
      <family val="2"/>
      <scheme val="major"/>
    </font>
    <font>
      <b/>
      <sz val="9"/>
      <color theme="0"/>
      <name val="Trebuchet MS"/>
      <family val="2"/>
    </font>
    <font>
      <sz val="8"/>
      <color rgb="FFFFCC00"/>
      <name val="Trebuchet MS"/>
      <family val="2"/>
    </font>
    <font>
      <b/>
      <sz val="8"/>
      <color rgb="FFFFFFFF"/>
      <name val="Trebuchet MS"/>
      <family val="2"/>
    </font>
    <font>
      <b/>
      <sz val="11"/>
      <color rgb="FF005962"/>
      <name val="Trebuchet MS"/>
      <family val="2"/>
    </font>
    <font>
      <b/>
      <sz val="16"/>
      <color theme="6"/>
      <name val="Trebuchet MS"/>
      <family val="2"/>
    </font>
    <font>
      <b/>
      <vertAlign val="subscript"/>
      <sz val="16"/>
      <color theme="6"/>
      <name val="Trebuchet MS"/>
      <family val="2"/>
    </font>
    <font>
      <sz val="10"/>
      <name val="Trebuchet MS"/>
      <family val="2"/>
    </font>
    <font>
      <b/>
      <sz val="20"/>
      <color theme="0"/>
      <name val="Trebuchet MS"/>
      <family val="2"/>
    </font>
    <font>
      <b/>
      <sz val="12"/>
      <color rgb="FF0070C0"/>
      <name val="Trebuchet MS"/>
      <family val="2"/>
    </font>
    <font>
      <b/>
      <u/>
      <sz val="8"/>
      <color theme="0"/>
      <name val="Trebuchet MS"/>
      <family val="2"/>
    </font>
    <font>
      <b/>
      <sz val="8"/>
      <color theme="0"/>
      <name val="Arial"/>
      <family val="2"/>
    </font>
    <font>
      <b/>
      <sz val="12"/>
      <color theme="6"/>
      <name val="Trebuchet MS"/>
      <family val="2"/>
      <scheme val="major"/>
    </font>
    <font>
      <b/>
      <sz val="20"/>
      <color theme="0"/>
      <name val="Trebuchet MS"/>
      <family val="2"/>
      <scheme val="major"/>
    </font>
    <font>
      <b/>
      <sz val="16"/>
      <color theme="0"/>
      <name val="Trebuchet MS"/>
      <family val="2"/>
    </font>
    <font>
      <b/>
      <sz val="12"/>
      <color theme="0"/>
      <name val="Trebuchet MS"/>
      <family val="2"/>
    </font>
    <font>
      <sz val="8"/>
      <color rgb="FFFF0000"/>
      <name val="Arial"/>
      <family val="2"/>
    </font>
    <font>
      <b/>
      <sz val="8"/>
      <color rgb="FF005962"/>
      <name val="Trebuchet MS"/>
      <family val="2"/>
    </font>
  </fonts>
  <fills count="127">
    <fill>
      <patternFill patternType="none"/>
    </fill>
    <fill>
      <patternFill patternType="gray125"/>
    </fill>
    <fill>
      <patternFill patternType="solid">
        <fgColor indexed="56"/>
        <bgColor indexed="64"/>
      </patternFill>
    </fill>
    <fill>
      <patternFill patternType="solid">
        <fgColor indexed="62"/>
        <bgColor indexed="64"/>
      </patternFill>
    </fill>
    <fill>
      <patternFill patternType="solid">
        <fgColor indexed="18"/>
        <bgColor indexed="6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rgb="FFFFE2CC"/>
        <bgColor rgb="FFFFE2CC"/>
      </patternFill>
    </fill>
    <fill>
      <patternFill patternType="solid">
        <fgColor rgb="FFCCD7ED"/>
        <bgColor indexed="64"/>
      </patternFill>
    </fill>
    <fill>
      <patternFill patternType="solid">
        <fgColor rgb="FFE3D5ED"/>
        <bgColor indexed="64"/>
      </patternFill>
    </fill>
    <fill>
      <patternFill patternType="solid">
        <fgColor rgb="FFCAE399"/>
        <bgColor rgb="FFE4F1CC"/>
      </patternFill>
    </fill>
    <fill>
      <patternFill patternType="solid">
        <fgColor rgb="FFE8E8E8"/>
        <bgColor indexed="64"/>
      </patternFill>
    </fill>
    <fill>
      <patternFill patternType="solid">
        <fgColor rgb="FFFFEB9C"/>
        <bgColor indexed="48"/>
      </patternFill>
    </fill>
    <fill>
      <patternFill patternType="solid">
        <fgColor rgb="FFE4F1CC"/>
        <bgColor indexed="64"/>
      </patternFill>
    </fill>
    <fill>
      <patternFill patternType="solid">
        <fgColor theme="8" tint="0.79998168889431442"/>
        <bgColor indexed="64"/>
      </patternFill>
    </fill>
    <fill>
      <patternFill patternType="solid">
        <fgColor indexed="60"/>
        <bgColor indexed="64"/>
      </patternFill>
    </fill>
    <fill>
      <patternFill patternType="solid">
        <fgColor indexed="53"/>
        <bgColor indexed="64"/>
      </patternFill>
    </fill>
    <fill>
      <patternFill patternType="solid">
        <fgColor indexed="23"/>
        <bgColor indexed="64"/>
      </patternFill>
    </fill>
    <fill>
      <patternFill patternType="solid">
        <fgColor indexed="39"/>
        <bgColor indexed="64"/>
      </patternFill>
    </fill>
    <fill>
      <patternFill patternType="solid">
        <fgColor indexed="38"/>
        <bgColor indexed="64"/>
      </patternFill>
    </fill>
    <fill>
      <patternFill patternType="solid">
        <fgColor indexed="63"/>
        <bgColor indexed="64"/>
      </patternFill>
    </fill>
    <fill>
      <patternFill patternType="solid">
        <fgColor rgb="FFD1339D"/>
        <bgColor indexed="64"/>
      </patternFill>
    </fill>
    <fill>
      <patternFill patternType="solid">
        <fgColor rgb="FF8E58B7"/>
        <bgColor indexed="64"/>
      </patternFill>
    </fill>
    <fill>
      <patternFill patternType="solid">
        <fgColor rgb="FF50458F"/>
        <bgColor indexed="64"/>
      </patternFill>
    </fill>
    <fill>
      <patternFill patternType="solid">
        <fgColor indexed="31"/>
        <bgColor indexed="64"/>
      </patternFill>
    </fill>
    <fill>
      <patternFill patternType="solid">
        <fgColor indexed="30"/>
        <bgColor indexed="64"/>
      </patternFill>
    </fill>
    <fill>
      <patternFill patternType="solid">
        <fgColor rgb="FFE5E533"/>
        <bgColor indexed="64"/>
      </patternFill>
    </fill>
    <fill>
      <patternFill patternType="solid">
        <fgColor indexed="59"/>
        <bgColor indexed="64"/>
      </patternFill>
    </fill>
    <fill>
      <patternFill patternType="solid">
        <fgColor rgb="FFAA82C9"/>
        <bgColor indexed="64"/>
      </patternFill>
    </fill>
    <fill>
      <patternFill patternType="solid">
        <fgColor indexed="54"/>
        <bgColor indexed="64"/>
      </patternFill>
    </fill>
    <fill>
      <patternFill patternType="solid">
        <fgColor indexed="9"/>
        <bgColor indexed="64"/>
      </patternFill>
    </fill>
    <fill>
      <patternFill patternType="solid">
        <fgColor indexed="46"/>
        <bgColor indexed="64"/>
      </patternFill>
    </fill>
    <fill>
      <patternFill patternType="solid">
        <fgColor rgb="FFE899CE"/>
        <bgColor indexed="64"/>
      </patternFill>
    </fill>
    <fill>
      <patternFill patternType="solid">
        <fgColor indexed="19"/>
        <bgColor indexed="64"/>
      </patternFill>
    </fill>
    <fill>
      <patternFill patternType="solid">
        <fgColor indexed="12"/>
        <bgColor indexed="64"/>
      </patternFill>
    </fill>
    <fill>
      <patternFill patternType="solid">
        <fgColor indexed="22"/>
        <bgColor indexed="64"/>
      </patternFill>
    </fill>
    <fill>
      <patternFill patternType="solid">
        <fgColor indexed="61"/>
        <bgColor indexed="64"/>
      </patternFill>
    </fill>
    <fill>
      <patternFill patternType="solid">
        <fgColor theme="5"/>
        <bgColor indexed="64"/>
      </patternFill>
    </fill>
    <fill>
      <patternFill patternType="solid">
        <fgColor rgb="FF25547F"/>
        <bgColor indexed="64"/>
      </patternFill>
    </fill>
    <fill>
      <patternFill patternType="solid">
        <fgColor rgb="FF4B7DAA"/>
        <bgColor indexed="64"/>
      </patternFill>
    </fill>
    <fill>
      <patternFill patternType="solid">
        <fgColor rgb="FF70A5D4"/>
        <bgColor indexed="64"/>
      </patternFill>
    </fill>
    <fill>
      <patternFill patternType="solid">
        <fgColor rgb="FF00707C"/>
        <bgColor rgb="FF95C633"/>
      </patternFill>
    </fill>
    <fill>
      <patternFill patternType="solid">
        <fgColor rgb="FF008795"/>
        <bgColor indexed="64"/>
      </patternFill>
    </fill>
    <fill>
      <patternFill patternType="solid">
        <fgColor rgb="FF009DAF"/>
        <bgColor indexed="64"/>
      </patternFill>
    </fill>
    <fill>
      <patternFill patternType="solid">
        <fgColor rgb="FFF3715A"/>
        <bgColor indexed="64"/>
      </patternFill>
    </fill>
    <fill>
      <patternFill patternType="solid">
        <fgColor rgb="FFF69583"/>
        <bgColor indexed="64"/>
      </patternFill>
    </fill>
    <fill>
      <patternFill patternType="solid">
        <fgColor rgb="FFF9B8AD"/>
        <bgColor indexed="64"/>
      </patternFill>
    </fill>
    <fill>
      <patternFill patternType="solid">
        <fgColor rgb="FFC1D8D7"/>
        <bgColor indexed="64"/>
      </patternFill>
    </fill>
    <fill>
      <patternFill patternType="solid">
        <fgColor rgb="FFD1E2E1"/>
        <bgColor indexed="64"/>
      </patternFill>
    </fill>
    <fill>
      <patternFill patternType="solid">
        <fgColor rgb="FFE0EBEB"/>
        <bgColor indexed="64"/>
      </patternFill>
    </fill>
    <fill>
      <patternFill patternType="solid">
        <fgColor rgb="FFD9BC7D"/>
        <bgColor indexed="64"/>
      </patternFill>
    </fill>
    <fill>
      <patternFill patternType="solid">
        <fgColor rgb="FFB49553"/>
        <bgColor indexed="64"/>
      </patternFill>
    </fill>
    <fill>
      <patternFill patternType="solid">
        <fgColor rgb="FF8E6D2A"/>
        <bgColor indexed="64"/>
      </patternFill>
    </fill>
    <fill>
      <patternFill patternType="solid">
        <fgColor theme="9"/>
        <bgColor indexed="64"/>
      </patternFill>
    </fill>
    <fill>
      <patternFill patternType="solid">
        <fgColor theme="0" tint="-0.499984740745262"/>
        <bgColor indexed="64"/>
      </patternFill>
    </fill>
    <fill>
      <patternFill patternType="solid">
        <fgColor theme="0" tint="-0.24994659260841701"/>
        <bgColor indexed="64"/>
      </patternFill>
    </fill>
    <fill>
      <patternFill patternType="solid">
        <fgColor theme="0" tint="-4.9989318521683403E-2"/>
        <bgColor indexed="64"/>
      </patternFill>
    </fill>
    <fill>
      <patternFill patternType="solid">
        <fgColor theme="4" tint="0.749992370372631"/>
        <bgColor indexed="64"/>
      </patternFill>
    </fill>
    <fill>
      <patternFill patternType="solid">
        <fgColor rgb="FF00707C"/>
        <bgColor indexed="64"/>
      </patternFill>
    </fill>
    <fill>
      <patternFill patternType="solid">
        <fgColor theme="5" tint="0.249977111117893"/>
        <bgColor indexed="64"/>
      </patternFill>
    </fill>
    <fill>
      <patternFill patternType="solid">
        <fgColor theme="6" tint="0.79998168889431442"/>
        <bgColor indexed="64"/>
      </patternFill>
    </fill>
    <fill>
      <patternFill patternType="solid">
        <fgColor theme="7" tint="0.79998168889431442"/>
        <bgColor indexed="64"/>
      </patternFill>
    </fill>
    <fill>
      <patternFill patternType="solid">
        <fgColor theme="8" tint="-0.749992370372631"/>
        <bgColor indexed="64"/>
      </patternFill>
    </fill>
    <fill>
      <patternFill patternType="solid">
        <fgColor theme="4" tint="0.89996032593768116"/>
        <bgColor indexed="64"/>
      </patternFill>
    </fill>
    <fill>
      <patternFill patternType="solid">
        <fgColor theme="5" tint="0.89996032593768116"/>
        <bgColor indexed="64"/>
      </patternFill>
    </fill>
    <fill>
      <patternFill patternType="solid">
        <fgColor rgb="FFFFECDD"/>
        <bgColor indexed="64"/>
      </patternFill>
    </fill>
    <fill>
      <patternFill patternType="solid">
        <fgColor theme="4"/>
        <bgColor theme="4"/>
      </patternFill>
    </fill>
    <fill>
      <patternFill patternType="solid">
        <fgColor rgb="FFFFC7CE"/>
      </patternFill>
    </fill>
    <fill>
      <patternFill patternType="solid">
        <fgColor rgb="FFFFFF00"/>
        <bgColor indexed="64"/>
      </patternFill>
    </fill>
    <fill>
      <patternFill patternType="solid">
        <fgColor rgb="FFEFF5F5"/>
        <bgColor indexed="64"/>
      </patternFill>
    </fill>
    <fill>
      <patternFill patternType="solid">
        <fgColor theme="0" tint="-0.249977111117893"/>
        <bgColor indexed="64"/>
      </patternFill>
    </fill>
    <fill>
      <patternFill patternType="solid">
        <fgColor theme="1"/>
        <bgColor indexed="64"/>
      </patternFill>
    </fill>
    <fill>
      <patternFill patternType="solid">
        <fgColor theme="8"/>
        <bgColor indexed="64"/>
      </patternFill>
    </fill>
    <fill>
      <patternFill patternType="solid">
        <fgColor theme="0" tint="-0.14999847407452621"/>
        <bgColor indexed="64"/>
      </patternFill>
    </fill>
    <fill>
      <patternFill patternType="solid">
        <fgColor theme="4"/>
        <bgColor indexed="64"/>
      </patternFill>
    </fill>
    <fill>
      <patternFill patternType="solid">
        <fgColor rgb="FF00B050"/>
        <bgColor indexed="64"/>
      </patternFill>
    </fill>
    <fill>
      <patternFill patternType="solid">
        <fgColor rgb="FFD9D9D9"/>
        <bgColor rgb="FF000000"/>
      </patternFill>
    </fill>
    <fill>
      <patternFill patternType="solid">
        <fgColor theme="4" tint="0.89999084444715716"/>
        <bgColor indexed="64"/>
      </patternFill>
    </fill>
    <fill>
      <patternFill patternType="solid">
        <fgColor rgb="FFFFC000"/>
        <bgColor indexed="64"/>
      </patternFill>
    </fill>
    <fill>
      <patternFill patternType="solid">
        <fgColor theme="8" tint="-9.9978637043366805E-2"/>
        <bgColor indexed="64"/>
      </patternFill>
    </fill>
    <fill>
      <patternFill patternType="solid">
        <fgColor theme="6"/>
        <bgColor indexed="64"/>
      </patternFill>
    </fill>
    <fill>
      <patternFill patternType="solid">
        <fgColor theme="5" tint="0.499984740745262"/>
        <bgColor indexed="64"/>
      </patternFill>
    </fill>
    <fill>
      <patternFill patternType="solid">
        <fgColor theme="6" tint="0.39997558519241921"/>
        <bgColor indexed="64"/>
      </patternFill>
    </fill>
    <fill>
      <patternFill patternType="solid">
        <fgColor theme="6" tint="0.59999389629810485"/>
        <bgColor indexed="64"/>
      </patternFill>
    </fill>
    <fill>
      <patternFill patternType="solid">
        <fgColor theme="5" tint="0.749992370372631"/>
        <bgColor indexed="64"/>
      </patternFill>
    </fill>
    <fill>
      <patternFill patternType="solid">
        <fgColor rgb="FF7030A0"/>
        <bgColor indexed="64"/>
      </patternFill>
    </fill>
    <fill>
      <patternFill patternType="solid">
        <fgColor theme="4" tint="0.499984740745262"/>
        <bgColor indexed="64"/>
      </patternFill>
    </fill>
    <fill>
      <patternFill patternType="solid">
        <fgColor theme="8" tint="-0.249977111117893"/>
        <bgColor indexed="64"/>
      </patternFill>
    </fill>
    <fill>
      <patternFill patternType="solid">
        <fgColor theme="6" tint="-0.499984740745262"/>
        <bgColor indexed="64"/>
      </patternFill>
    </fill>
    <fill>
      <patternFill patternType="solid">
        <fgColor theme="6" tint="-0.249977111117893"/>
        <bgColor indexed="64"/>
      </patternFill>
    </fill>
    <fill>
      <patternFill patternType="solid">
        <fgColor theme="7" tint="-0.499984740745262"/>
        <bgColor indexed="64"/>
      </patternFill>
    </fill>
    <fill>
      <patternFill patternType="solid">
        <fgColor theme="7" tint="-0.249977111117893"/>
        <bgColor indexed="64"/>
      </patternFill>
    </fill>
    <fill>
      <patternFill patternType="solid">
        <fgColor theme="7" tint="0.39997558519241921"/>
        <bgColor indexed="64"/>
      </patternFill>
    </fill>
    <fill>
      <patternFill patternType="solid">
        <fgColor theme="7" tint="0.59999389629810485"/>
        <bgColor indexed="64"/>
      </patternFill>
    </fill>
    <fill>
      <patternFill patternType="solid">
        <fgColor theme="5" tint="9.9978637043366805E-2"/>
        <bgColor indexed="64"/>
      </patternFill>
    </fill>
    <fill>
      <patternFill patternType="solid">
        <fgColor theme="5" tint="0.89999084444715716"/>
        <bgColor indexed="64"/>
      </patternFill>
    </fill>
    <fill>
      <patternFill patternType="solid">
        <fgColor theme="5" tint="0.89999084444715716"/>
        <bgColor rgb="FF000000"/>
      </patternFill>
    </fill>
    <fill>
      <patternFill patternType="solid">
        <fgColor theme="8" tint="-0.499984740745262"/>
        <bgColor indexed="64"/>
      </patternFill>
    </fill>
    <fill>
      <patternFill patternType="solid">
        <fgColor theme="8"/>
        <bgColor rgb="FF000000"/>
      </patternFill>
    </fill>
    <fill>
      <patternFill patternType="solid">
        <fgColor rgb="FFE2CFF1"/>
        <bgColor indexed="64"/>
      </patternFill>
    </fill>
    <fill>
      <patternFill patternType="solid">
        <fgColor rgb="FFC19AE2"/>
        <bgColor indexed="64"/>
      </patternFill>
    </fill>
    <fill>
      <patternFill patternType="solid">
        <fgColor theme="8" tint="-0.249977111117893"/>
        <bgColor theme="4"/>
      </patternFill>
    </fill>
    <fill>
      <patternFill patternType="solid">
        <fgColor theme="4" tint="0.499984740745262"/>
        <bgColor theme="4"/>
      </patternFill>
    </fill>
    <fill>
      <patternFill patternType="solid">
        <fgColor theme="0"/>
        <bgColor indexed="64"/>
      </patternFill>
    </fill>
    <fill>
      <patternFill patternType="solid">
        <fgColor theme="7"/>
        <bgColor indexed="64"/>
      </patternFill>
    </fill>
    <fill>
      <patternFill patternType="solid">
        <fgColor rgb="FFFFFFFF"/>
        <bgColor rgb="FFFCFCFC"/>
      </patternFill>
    </fill>
    <fill>
      <patternFill patternType="solid">
        <fgColor theme="0"/>
        <bgColor theme="0"/>
      </patternFill>
    </fill>
    <fill>
      <patternFill patternType="solid">
        <fgColor theme="8" tint="0.79998168889431442"/>
        <bgColor theme="8" tint="0.79998168889431442"/>
      </patternFill>
    </fill>
    <fill>
      <patternFill patternType="solid">
        <fgColor theme="0" tint="-4.9989318521683403E-2"/>
        <bgColor theme="0" tint="-4.9989318521683403E-2"/>
      </patternFill>
    </fill>
    <fill>
      <patternFill patternType="solid">
        <fgColor theme="6" tint="0.79998168889431442"/>
        <bgColor theme="6" tint="0.79998168889431442"/>
      </patternFill>
    </fill>
    <fill>
      <patternFill patternType="solid">
        <fgColor rgb="FF6992B8"/>
        <bgColor indexed="64"/>
      </patternFill>
    </fill>
    <fill>
      <patternFill patternType="solid">
        <fgColor theme="0"/>
        <bgColor rgb="FF000000"/>
      </patternFill>
    </fill>
    <fill>
      <patternFill patternType="solid">
        <fgColor theme="9" tint="0.79998168889431442"/>
        <bgColor indexed="64"/>
      </patternFill>
    </fill>
    <fill>
      <patternFill patternType="solid">
        <fgColor rgb="FF005962"/>
        <bgColor indexed="64"/>
      </patternFill>
    </fill>
    <fill>
      <patternFill patternType="solid">
        <fgColor theme="7" tint="0.59999389629810485"/>
        <bgColor rgb="FFFFE2CC"/>
      </patternFill>
    </fill>
    <fill>
      <patternFill patternType="solid">
        <fgColor theme="0"/>
        <bgColor rgb="FFFFE2CC"/>
      </patternFill>
    </fill>
    <fill>
      <patternFill patternType="solid">
        <fgColor theme="2" tint="-4.9989318521683403E-2"/>
        <bgColor indexed="64"/>
      </patternFill>
    </fill>
    <fill>
      <patternFill patternType="solid">
        <fgColor theme="2" tint="-0.249977111117893"/>
        <bgColor indexed="64"/>
      </patternFill>
    </fill>
    <fill>
      <patternFill patternType="solid">
        <fgColor rgb="FFB2CECD"/>
        <bgColor indexed="64"/>
      </patternFill>
    </fill>
    <fill>
      <patternFill patternType="solid">
        <fgColor theme="4" tint="0.249977111117893"/>
        <bgColor indexed="64"/>
      </patternFill>
    </fill>
    <fill>
      <patternFill patternType="solid">
        <fgColor theme="5"/>
        <bgColor rgb="FFFFE2CC"/>
      </patternFill>
    </fill>
    <fill>
      <patternFill patternType="solid">
        <fgColor theme="0" tint="-0.34998626667073579"/>
        <bgColor indexed="64"/>
      </patternFill>
    </fill>
    <fill>
      <patternFill patternType="solid">
        <fgColor theme="4" tint="9.9978637043366805E-2"/>
        <bgColor indexed="64"/>
      </patternFill>
    </fill>
    <fill>
      <patternFill patternType="solid">
        <fgColor theme="2" tint="-0.14999847407452621"/>
        <bgColor indexed="64"/>
      </patternFill>
    </fill>
  </fills>
  <borders count="155">
    <border>
      <left/>
      <right/>
      <top/>
      <bottom/>
      <diagonal/>
    </border>
    <border>
      <left style="hair">
        <color indexed="13"/>
      </left>
      <right style="hair">
        <color indexed="13"/>
      </right>
      <top style="hair">
        <color indexed="13"/>
      </top>
      <bottom style="hair">
        <color indexed="13"/>
      </bottom>
      <diagonal/>
    </border>
    <border>
      <left style="hair">
        <color indexed="43"/>
      </left>
      <right style="hair">
        <color indexed="43"/>
      </right>
      <top style="hair">
        <color indexed="43"/>
      </top>
      <bottom style="hair">
        <color indexed="43"/>
      </bottom>
      <diagonal/>
    </border>
    <border>
      <left style="hair">
        <color indexed="43"/>
      </left>
      <right style="hair">
        <color indexed="43"/>
      </right>
      <top style="hair">
        <color indexed="43"/>
      </top>
      <bottom style="thin">
        <color indexed="34"/>
      </bottom>
      <diagonal/>
    </border>
    <border>
      <left style="dotted">
        <color rgb="FFE8E8E8"/>
      </left>
      <right style="dotted">
        <color rgb="FFE8E8E8"/>
      </right>
      <top style="dotted">
        <color rgb="FFE8E8E8"/>
      </top>
      <bottom style="dotted">
        <color rgb="FFE8E8E8"/>
      </bottom>
      <diagonal/>
    </border>
    <border>
      <left/>
      <right/>
      <top/>
      <bottom style="medium">
        <color theme="5"/>
      </bottom>
      <diagonal/>
    </border>
    <border>
      <left/>
      <right/>
      <top/>
      <bottom style="thin">
        <color theme="6"/>
      </bottom>
      <diagonal/>
    </border>
    <border>
      <left style="dotted">
        <color theme="5"/>
      </left>
      <right style="dotted">
        <color theme="5"/>
      </right>
      <top style="thin">
        <color theme="5"/>
      </top>
      <bottom style="medium">
        <color theme="5"/>
      </bottom>
      <diagonal/>
    </border>
    <border>
      <left/>
      <right/>
      <top/>
      <bottom style="medium">
        <color theme="6"/>
      </bottom>
      <diagonal/>
    </border>
    <border>
      <left/>
      <right/>
      <top/>
      <bottom style="thick">
        <color rgb="FFB2CECD"/>
      </bottom>
      <diagonal/>
    </border>
    <border>
      <left style="hair">
        <color indexed="43"/>
      </left>
      <right style="hair">
        <color indexed="43"/>
      </right>
      <top style="hair">
        <color indexed="43"/>
      </top>
      <bottom style="thin">
        <color theme="5"/>
      </bottom>
      <diagonal/>
    </border>
    <border>
      <left style="hair">
        <color indexed="43"/>
      </left>
      <right style="hair">
        <color indexed="43"/>
      </right>
      <top/>
      <bottom/>
      <diagonal/>
    </border>
    <border>
      <left style="hair">
        <color indexed="43"/>
      </left>
      <right style="hair">
        <color indexed="43"/>
      </right>
      <top style="hair">
        <color indexed="43"/>
      </top>
      <bottom/>
      <diagonal/>
    </border>
    <border>
      <left style="hair">
        <color indexed="43"/>
      </left>
      <right style="hair">
        <color indexed="43"/>
      </right>
      <top/>
      <bottom style="hair">
        <color indexed="43"/>
      </bottom>
      <diagonal/>
    </border>
    <border>
      <left style="hair">
        <color indexed="43"/>
      </left>
      <right/>
      <top/>
      <bottom style="hair">
        <color indexed="43"/>
      </bottom>
      <diagonal/>
    </border>
    <border>
      <left/>
      <right style="hair">
        <color indexed="43"/>
      </right>
      <top/>
      <bottom style="hair">
        <color indexed="43"/>
      </bottom>
      <diagonal/>
    </border>
    <border>
      <left/>
      <right/>
      <top/>
      <bottom style="hair">
        <color indexed="43"/>
      </bottom>
      <diagonal/>
    </border>
    <border>
      <left style="hair">
        <color indexed="43"/>
      </left>
      <right/>
      <top style="hair">
        <color indexed="43"/>
      </top>
      <bottom style="hair">
        <color indexed="43"/>
      </bottom>
      <diagonal/>
    </border>
    <border>
      <left style="thin">
        <color theme="3"/>
      </left>
      <right style="thin">
        <color theme="3"/>
      </right>
      <top style="thin">
        <color theme="3"/>
      </top>
      <bottom style="thin">
        <color theme="3"/>
      </bottom>
      <diagonal/>
    </border>
    <border>
      <left style="thin">
        <color theme="3"/>
      </left>
      <right style="thin">
        <color theme="3"/>
      </right>
      <top style="thin">
        <color theme="3"/>
      </top>
      <bottom/>
      <diagonal/>
    </border>
    <border>
      <left style="thin">
        <color indexed="64"/>
      </left>
      <right style="thin">
        <color indexed="64"/>
      </right>
      <top style="thin">
        <color indexed="64"/>
      </top>
      <bottom style="thin">
        <color indexed="64"/>
      </bottom>
      <diagonal/>
    </border>
    <border>
      <left style="thin">
        <color rgb="FF00758F"/>
      </left>
      <right style="thin">
        <color rgb="FF00758F"/>
      </right>
      <top style="thin">
        <color rgb="FF00758F"/>
      </top>
      <bottom style="thin">
        <color rgb="FF00758F"/>
      </bottom>
      <diagonal/>
    </border>
    <border>
      <left style="thin">
        <color theme="3"/>
      </left>
      <right/>
      <top style="thin">
        <color theme="3"/>
      </top>
      <bottom style="thin">
        <color theme="3"/>
      </bottom>
      <diagonal/>
    </border>
    <border>
      <left style="thin">
        <color indexed="64"/>
      </left>
      <right/>
      <top style="thin">
        <color indexed="64"/>
      </top>
      <bottom style="thin">
        <color indexed="64"/>
      </bottom>
      <diagonal/>
    </border>
    <border>
      <left/>
      <right style="hair">
        <color indexed="43"/>
      </right>
      <top style="hair">
        <color indexed="43"/>
      </top>
      <bottom style="hair">
        <color indexed="43"/>
      </bottom>
      <diagonal/>
    </border>
    <border>
      <left/>
      <right style="hair">
        <color indexed="13"/>
      </right>
      <top style="hair">
        <color indexed="13"/>
      </top>
      <bottom style="hair">
        <color indexed="13"/>
      </bottom>
      <diagonal/>
    </border>
    <border>
      <left style="hair">
        <color indexed="13"/>
      </left>
      <right/>
      <top style="hair">
        <color indexed="13"/>
      </top>
      <bottom style="hair">
        <color indexed="13"/>
      </bottom>
      <diagonal/>
    </border>
    <border>
      <left style="thin">
        <color theme="3"/>
      </left>
      <right/>
      <top style="thin">
        <color theme="3"/>
      </top>
      <bottom/>
      <diagonal/>
    </border>
    <border>
      <left style="thin">
        <color rgb="FF00758F"/>
      </left>
      <right/>
      <top style="thin">
        <color rgb="FF00758F"/>
      </top>
      <bottom style="thin">
        <color rgb="FF00758F"/>
      </bottom>
      <diagonal/>
    </border>
    <border>
      <left/>
      <right/>
      <top style="thin">
        <color theme="3"/>
      </top>
      <bottom/>
      <diagonal/>
    </border>
    <border>
      <left/>
      <right/>
      <top style="thin">
        <color rgb="FF00758F"/>
      </top>
      <bottom style="thin">
        <color rgb="FF00758F"/>
      </bottom>
      <diagonal/>
    </border>
    <border>
      <left/>
      <right style="hair">
        <color theme="0" tint="-0.34998626667073579"/>
      </right>
      <top style="hair">
        <color theme="0" tint="-0.34998626667073579"/>
      </top>
      <bottom style="hair">
        <color theme="0" tint="-0.34998626667073579"/>
      </bottom>
      <diagonal/>
    </border>
    <border>
      <left style="medium">
        <color theme="0" tint="-0.34998626667073579"/>
      </left>
      <right style="medium">
        <color theme="0" tint="-0.34998626667073579"/>
      </right>
      <top style="medium">
        <color theme="0" tint="-0.34998626667073579"/>
      </top>
      <bottom style="medium">
        <color theme="0" tint="-0.34998626667073579"/>
      </bottom>
      <diagonal/>
    </border>
    <border>
      <left style="hair">
        <color indexed="13"/>
      </left>
      <right style="hair">
        <color indexed="13"/>
      </right>
      <top style="hair">
        <color indexed="13"/>
      </top>
      <bottom/>
      <diagonal/>
    </border>
    <border>
      <left style="hair">
        <color indexed="13"/>
      </left>
      <right style="hair">
        <color indexed="13"/>
      </right>
      <top/>
      <bottom/>
      <diagonal/>
    </border>
    <border>
      <left/>
      <right style="hair">
        <color indexed="13"/>
      </right>
      <top style="hair">
        <color indexed="13"/>
      </top>
      <bottom/>
      <diagonal/>
    </border>
    <border>
      <left/>
      <right/>
      <top style="hair">
        <color indexed="43"/>
      </top>
      <bottom style="hair">
        <color indexed="43"/>
      </bottom>
      <diagonal/>
    </border>
    <border>
      <left/>
      <right style="hair">
        <color indexed="13"/>
      </right>
      <top/>
      <bottom/>
      <diagonal/>
    </border>
    <border>
      <left style="hair">
        <color indexed="13"/>
      </left>
      <right style="hair">
        <color indexed="13"/>
      </right>
      <top/>
      <bottom style="hair">
        <color indexed="13"/>
      </bottom>
      <diagonal/>
    </border>
    <border>
      <left style="medium">
        <color indexed="64"/>
      </left>
      <right style="medium">
        <color indexed="64"/>
      </right>
      <top style="medium">
        <color indexed="64"/>
      </top>
      <bottom style="hair">
        <color indexed="13"/>
      </bottom>
      <diagonal/>
    </border>
    <border>
      <left style="medium">
        <color indexed="64"/>
      </left>
      <right style="medium">
        <color indexed="64"/>
      </right>
      <top style="hair">
        <color indexed="13"/>
      </top>
      <bottom style="hair">
        <color indexed="13"/>
      </bottom>
      <diagonal/>
    </border>
    <border>
      <left style="hair">
        <color indexed="13"/>
      </left>
      <right/>
      <top/>
      <bottom/>
      <diagonal/>
    </border>
    <border>
      <left/>
      <right/>
      <top style="hair">
        <color indexed="13"/>
      </top>
      <bottom style="hair">
        <color indexed="13"/>
      </bottom>
      <diagonal/>
    </border>
    <border>
      <left style="thin">
        <color auto="1"/>
      </left>
      <right style="thin">
        <color auto="1"/>
      </right>
      <top/>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rgb="FFD4D4D4"/>
      </left>
      <right style="medium">
        <color rgb="FFD4D4D4"/>
      </right>
      <top style="medium">
        <color rgb="FFD4D4D4"/>
      </top>
      <bottom/>
      <diagonal/>
    </border>
    <border>
      <left/>
      <right style="medium">
        <color rgb="FFD4D4D4"/>
      </right>
      <top style="medium">
        <color rgb="FFD4D4D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medium">
        <color indexed="64"/>
      </left>
      <right/>
      <top/>
      <bottom/>
      <diagonal/>
    </border>
    <border>
      <left style="thin">
        <color theme="5"/>
      </left>
      <right style="thin">
        <color theme="5"/>
      </right>
      <top style="thin">
        <color theme="5"/>
      </top>
      <bottom style="thin">
        <color theme="5"/>
      </bottom>
      <diagonal/>
    </border>
    <border>
      <left style="thin">
        <color theme="5"/>
      </left>
      <right/>
      <top style="thin">
        <color theme="5"/>
      </top>
      <bottom style="thin">
        <color theme="5"/>
      </bottom>
      <diagonal/>
    </border>
    <border>
      <left/>
      <right/>
      <top style="thin">
        <color theme="5"/>
      </top>
      <bottom style="thin">
        <color theme="5"/>
      </bottom>
      <diagonal/>
    </border>
    <border>
      <left/>
      <right style="thin">
        <color theme="5"/>
      </right>
      <top style="thin">
        <color theme="5"/>
      </top>
      <bottom style="thin">
        <color theme="5"/>
      </bottom>
      <diagonal/>
    </border>
    <border>
      <left style="medium">
        <color rgb="FF005962"/>
      </left>
      <right/>
      <top style="medium">
        <color rgb="FF005962"/>
      </top>
      <bottom style="medium">
        <color rgb="FF005962"/>
      </bottom>
      <diagonal/>
    </border>
    <border>
      <left/>
      <right/>
      <top style="medium">
        <color rgb="FF005962"/>
      </top>
      <bottom style="medium">
        <color rgb="FF005962"/>
      </bottom>
      <diagonal/>
    </border>
    <border>
      <left style="medium">
        <color rgb="FF005962"/>
      </left>
      <right/>
      <top/>
      <bottom style="medium">
        <color rgb="FF005962"/>
      </bottom>
      <diagonal/>
    </border>
    <border>
      <left/>
      <right/>
      <top/>
      <bottom style="medium">
        <color rgb="FF005962"/>
      </bottom>
      <diagonal/>
    </border>
    <border>
      <left/>
      <right style="medium">
        <color rgb="FF005962"/>
      </right>
      <top/>
      <bottom style="medium">
        <color rgb="FF005962"/>
      </bottom>
      <diagonal/>
    </border>
    <border>
      <left/>
      <right/>
      <top/>
      <bottom style="thin">
        <color theme="7" tint="-0.499984740745262"/>
      </bottom>
      <diagonal/>
    </border>
    <border>
      <left style="hair">
        <color indexed="13"/>
      </left>
      <right/>
      <top style="thin">
        <color theme="7" tint="-0.499984740745262"/>
      </top>
      <bottom/>
      <diagonal/>
    </border>
    <border>
      <left/>
      <right/>
      <top style="thin">
        <color theme="7" tint="-0.499984740745262"/>
      </top>
      <bottom/>
      <diagonal/>
    </border>
    <border>
      <left/>
      <right/>
      <top/>
      <bottom style="medium">
        <color theme="8" tint="-0.499984740745262"/>
      </bottom>
      <diagonal/>
    </border>
    <border>
      <left style="thin">
        <color indexed="64"/>
      </left>
      <right/>
      <top/>
      <bottom/>
      <diagonal/>
    </border>
    <border>
      <left/>
      <right/>
      <top/>
      <bottom style="hair">
        <color indexed="13"/>
      </bottom>
      <diagonal/>
    </border>
    <border>
      <left style="hair">
        <color indexed="13"/>
      </left>
      <right/>
      <top style="thin">
        <color theme="7" tint="-0.499984740745262"/>
      </top>
      <bottom style="hair">
        <color indexed="13"/>
      </bottom>
      <diagonal/>
    </border>
    <border>
      <left/>
      <right/>
      <top style="thin">
        <color theme="7" tint="-0.499984740745262"/>
      </top>
      <bottom style="hair">
        <color indexed="13"/>
      </bottom>
      <diagonal/>
    </border>
    <border>
      <left style="medium">
        <color indexed="64"/>
      </left>
      <right style="medium">
        <color indexed="64"/>
      </right>
      <top style="hair">
        <color indexed="13"/>
      </top>
      <bottom style="medium">
        <color indexed="64"/>
      </bottom>
      <diagonal/>
    </border>
    <border>
      <left/>
      <right/>
      <top style="thin">
        <color theme="5"/>
      </top>
      <bottom/>
      <diagonal/>
    </border>
    <border>
      <left style="hair">
        <color indexed="13"/>
      </left>
      <right/>
      <top/>
      <bottom style="hair">
        <color indexed="13"/>
      </bottom>
      <diagonal/>
    </border>
    <border>
      <left/>
      <right style="medium">
        <color indexed="64"/>
      </right>
      <top style="hair">
        <color indexed="13"/>
      </top>
      <bottom style="medium">
        <color indexed="64"/>
      </bottom>
      <diagonal/>
    </border>
    <border>
      <left style="hair">
        <color indexed="13"/>
      </left>
      <right style="hair">
        <color indexed="13"/>
      </right>
      <top style="hair">
        <color indexed="13"/>
      </top>
      <bottom style="medium">
        <color indexed="64"/>
      </bottom>
      <diagonal/>
    </border>
    <border>
      <left style="hair">
        <color indexed="13"/>
      </left>
      <right style="medium">
        <color indexed="64"/>
      </right>
      <top style="hair">
        <color indexed="13"/>
      </top>
      <bottom style="medium">
        <color indexed="64"/>
      </bottom>
      <diagonal/>
    </border>
    <border>
      <left/>
      <right style="medium">
        <color indexed="64"/>
      </right>
      <top style="hair">
        <color indexed="13"/>
      </top>
      <bottom/>
      <diagonal/>
    </border>
    <border>
      <left style="thin">
        <color theme="5"/>
      </left>
      <right/>
      <top style="thin">
        <color theme="5"/>
      </top>
      <bottom/>
      <diagonal/>
    </border>
    <border>
      <left style="thin">
        <color theme="5"/>
      </left>
      <right/>
      <top/>
      <bottom style="thin">
        <color theme="5"/>
      </bottom>
      <diagonal/>
    </border>
    <border>
      <left style="thin">
        <color theme="5"/>
      </left>
      <right/>
      <top/>
      <bottom/>
      <diagonal/>
    </border>
    <border>
      <left/>
      <right/>
      <top/>
      <bottom style="thin">
        <color theme="5"/>
      </bottom>
      <diagonal/>
    </border>
    <border>
      <left/>
      <right style="medium">
        <color rgb="FF005962"/>
      </right>
      <top style="medium">
        <color rgb="FF005962"/>
      </top>
      <bottom style="medium">
        <color rgb="FF005962"/>
      </bottom>
      <diagonal/>
    </border>
    <border>
      <left style="medium">
        <color rgb="FF005962"/>
      </left>
      <right/>
      <top style="medium">
        <color rgb="FF005962"/>
      </top>
      <bottom/>
      <diagonal/>
    </border>
    <border>
      <left/>
      <right/>
      <top style="medium">
        <color rgb="FF005962"/>
      </top>
      <bottom/>
      <diagonal/>
    </border>
    <border>
      <left/>
      <right style="medium">
        <color rgb="FF005962"/>
      </right>
      <top style="medium">
        <color rgb="FF005962"/>
      </top>
      <bottom/>
      <diagonal/>
    </border>
    <border>
      <left style="thin">
        <color indexed="64"/>
      </left>
      <right/>
      <top style="thin">
        <color indexed="64"/>
      </top>
      <bottom style="thin">
        <color theme="5"/>
      </bottom>
      <diagonal/>
    </border>
    <border>
      <left/>
      <right/>
      <top style="thin">
        <color indexed="64"/>
      </top>
      <bottom style="thin">
        <color theme="5"/>
      </bottom>
      <diagonal/>
    </border>
    <border>
      <left/>
      <right style="thin">
        <color indexed="64"/>
      </right>
      <top style="thin">
        <color indexed="64"/>
      </top>
      <bottom style="thin">
        <color theme="5"/>
      </bottom>
      <diagonal/>
    </border>
    <border>
      <left style="thin">
        <color indexed="64"/>
      </left>
      <right/>
      <top style="thin">
        <color theme="5"/>
      </top>
      <bottom style="thin">
        <color theme="5"/>
      </bottom>
      <diagonal/>
    </border>
    <border>
      <left/>
      <right style="thin">
        <color indexed="64"/>
      </right>
      <top style="thin">
        <color theme="5"/>
      </top>
      <bottom style="thin">
        <color theme="5"/>
      </bottom>
      <diagonal/>
    </border>
    <border>
      <left style="thin">
        <color indexed="64"/>
      </left>
      <right/>
      <top style="thin">
        <color theme="5"/>
      </top>
      <bottom style="thin">
        <color indexed="64"/>
      </bottom>
      <diagonal/>
    </border>
    <border>
      <left/>
      <right/>
      <top style="thin">
        <color theme="5"/>
      </top>
      <bottom style="thin">
        <color indexed="64"/>
      </bottom>
      <diagonal/>
    </border>
    <border>
      <left/>
      <right style="thin">
        <color indexed="64"/>
      </right>
      <top style="thin">
        <color theme="5"/>
      </top>
      <bottom style="thin">
        <color indexed="64"/>
      </bottom>
      <diagonal/>
    </border>
    <border>
      <left style="thin">
        <color indexed="64"/>
      </left>
      <right style="thin">
        <color indexed="64"/>
      </right>
      <top style="thin">
        <color indexed="64"/>
      </top>
      <bottom style="thin">
        <color theme="5"/>
      </bottom>
      <diagonal/>
    </border>
    <border>
      <left style="thin">
        <color indexed="64"/>
      </left>
      <right style="thin">
        <color indexed="64"/>
      </right>
      <top style="thin">
        <color theme="5"/>
      </top>
      <bottom style="thin">
        <color theme="5"/>
      </bottom>
      <diagonal/>
    </border>
    <border>
      <left style="thin">
        <color indexed="64"/>
      </left>
      <right style="thin">
        <color indexed="64"/>
      </right>
      <top style="thin">
        <color theme="5"/>
      </top>
      <bottom style="thin">
        <color indexed="64"/>
      </bottom>
      <diagonal/>
    </border>
    <border>
      <left style="thin">
        <color rgb="FF005962"/>
      </left>
      <right/>
      <top style="thin">
        <color rgb="FF005962"/>
      </top>
      <bottom style="thin">
        <color rgb="FF005962"/>
      </bottom>
      <diagonal/>
    </border>
    <border>
      <left/>
      <right/>
      <top style="thin">
        <color rgb="FF005962"/>
      </top>
      <bottom style="thin">
        <color rgb="FF005962"/>
      </bottom>
      <diagonal/>
    </border>
    <border>
      <left/>
      <right style="thin">
        <color rgb="FF005962"/>
      </right>
      <top style="thin">
        <color rgb="FF005962"/>
      </top>
      <bottom style="thin">
        <color rgb="FF005962"/>
      </bottom>
      <diagonal/>
    </border>
    <border>
      <left style="thin">
        <color indexed="64"/>
      </left>
      <right/>
      <top style="thin">
        <color indexed="64"/>
      </top>
      <bottom style="thin">
        <color rgb="FF005962"/>
      </bottom>
      <diagonal/>
    </border>
    <border>
      <left/>
      <right/>
      <top style="thin">
        <color indexed="64"/>
      </top>
      <bottom style="thin">
        <color rgb="FF005962"/>
      </bottom>
      <diagonal/>
    </border>
    <border>
      <left style="thin">
        <color indexed="64"/>
      </left>
      <right/>
      <top style="thin">
        <color rgb="FF005962"/>
      </top>
      <bottom style="thin">
        <color rgb="FF005962"/>
      </bottom>
      <diagonal/>
    </border>
    <border>
      <left style="thin">
        <color indexed="64"/>
      </left>
      <right/>
      <top style="thin">
        <color rgb="FF005962"/>
      </top>
      <bottom style="thin">
        <color indexed="64"/>
      </bottom>
      <diagonal/>
    </border>
    <border>
      <left/>
      <right/>
      <top style="thin">
        <color rgb="FF005962"/>
      </top>
      <bottom style="thin">
        <color indexed="64"/>
      </bottom>
      <diagonal/>
    </border>
    <border>
      <left/>
      <right style="thin">
        <color indexed="64"/>
      </right>
      <top style="thin">
        <color rgb="FF005962"/>
      </top>
      <bottom style="thin">
        <color indexed="64"/>
      </bottom>
      <diagonal/>
    </border>
    <border>
      <left style="thin">
        <color theme="5"/>
      </left>
      <right style="thin">
        <color theme="5"/>
      </right>
      <top style="thin">
        <color theme="5"/>
      </top>
      <bottom/>
      <diagonal/>
    </border>
    <border>
      <left style="thin">
        <color theme="5"/>
      </left>
      <right style="thin">
        <color theme="5"/>
      </right>
      <top/>
      <bottom style="thin">
        <color theme="5"/>
      </bottom>
      <diagonal/>
    </border>
    <border>
      <left style="thin">
        <color theme="5"/>
      </left>
      <right style="thin">
        <color theme="5"/>
      </right>
      <top style="thin">
        <color theme="5"/>
      </top>
      <bottom style="thin">
        <color indexed="64"/>
      </bottom>
      <diagonal/>
    </border>
    <border>
      <left style="medium">
        <color indexed="64"/>
      </left>
      <right style="medium">
        <color indexed="64"/>
      </right>
      <top/>
      <bottom style="hair">
        <color indexed="13"/>
      </bottom>
      <diagonal/>
    </border>
    <border>
      <left style="hair">
        <color indexed="43"/>
      </left>
      <right/>
      <top style="hair">
        <color indexed="43"/>
      </top>
      <bottom/>
      <diagonal/>
    </border>
    <border>
      <left/>
      <right style="hair">
        <color indexed="43"/>
      </right>
      <top style="hair">
        <color indexed="43"/>
      </top>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style="thin">
        <color theme="0" tint="-0.499984740745262"/>
      </left>
      <right style="thin">
        <color theme="0" tint="-0.499984740745262"/>
      </right>
      <top style="thin">
        <color theme="0" tint="-0.499984740745262"/>
      </top>
      <bottom/>
      <diagonal/>
    </border>
    <border>
      <left style="thin">
        <color theme="0" tint="-0.499984740745262"/>
      </left>
      <right style="thin">
        <color theme="0" tint="-0.499984740745262"/>
      </right>
      <top/>
      <bottom style="thin">
        <color theme="0" tint="-0.499984740745262"/>
      </bottom>
      <diagonal/>
    </border>
    <border>
      <left/>
      <right style="thin">
        <color indexed="64"/>
      </right>
      <top style="medium">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style="thin">
        <color indexed="64"/>
      </top>
      <bottom/>
      <diagonal/>
    </border>
    <border>
      <left/>
      <right style="thin">
        <color indexed="64"/>
      </right>
      <top style="thin">
        <color indexed="64"/>
      </top>
      <bottom/>
      <diagonal/>
    </border>
    <border>
      <left style="thin">
        <color theme="0" tint="-0.499984740745262"/>
      </left>
      <right/>
      <top/>
      <bottom/>
      <diagonal/>
    </border>
    <border>
      <left style="hair">
        <color indexed="13"/>
      </left>
      <right/>
      <top style="hair">
        <color indexed="13"/>
      </top>
      <bottom/>
      <diagonal/>
    </border>
    <border>
      <left/>
      <right style="hair">
        <color indexed="13"/>
      </right>
      <top/>
      <bottom style="hair">
        <color indexed="13"/>
      </bottom>
      <diagonal/>
    </border>
    <border>
      <left/>
      <right style="medium">
        <color indexed="64"/>
      </right>
      <top style="hair">
        <color indexed="43"/>
      </top>
      <bottom style="hair">
        <color indexed="43"/>
      </bottom>
      <diagonal/>
    </border>
    <border>
      <left/>
      <right style="medium">
        <color indexed="64"/>
      </right>
      <top style="hair">
        <color indexed="13"/>
      </top>
      <bottom style="hair">
        <color indexed="13"/>
      </bottom>
      <diagonal/>
    </border>
    <border>
      <left/>
      <right style="medium">
        <color indexed="64"/>
      </right>
      <top/>
      <bottom style="hair">
        <color indexed="13"/>
      </bottom>
      <diagonal/>
    </border>
    <border>
      <left/>
      <right style="hair">
        <color indexed="13"/>
      </right>
      <top style="hair">
        <color indexed="13"/>
      </top>
      <bottom style="medium">
        <color indexed="64"/>
      </bottom>
      <diagonal/>
    </border>
  </borders>
  <cellStyleXfs count="103">
    <xf numFmtId="0" fontId="0" fillId="0" borderId="0"/>
    <xf numFmtId="0" fontId="28" fillId="43" borderId="0" applyNumberFormat="0" applyBorder="0" applyAlignment="0" applyProtection="0"/>
    <xf numFmtId="0" fontId="28" fillId="46" borderId="0" applyNumberFormat="0" applyBorder="0" applyAlignment="0" applyProtection="0"/>
    <xf numFmtId="0" fontId="28" fillId="49" borderId="0" applyNumberFormat="0" applyBorder="0" applyAlignment="0" applyProtection="0"/>
    <xf numFmtId="0" fontId="28" fillId="52" borderId="0" applyNumberFormat="0" applyBorder="0" applyAlignment="0" applyProtection="0"/>
    <xf numFmtId="0" fontId="28" fillId="55" borderId="0" applyNumberFormat="0" applyBorder="0" applyAlignment="0" applyProtection="0"/>
    <xf numFmtId="0" fontId="10" fillId="59" borderId="0" applyNumberFormat="0" applyBorder="0" applyAlignment="0" applyProtection="0"/>
    <xf numFmtId="0" fontId="28" fillId="42" borderId="0" applyNumberFormat="0" applyBorder="0" applyAlignment="0" applyProtection="0"/>
    <xf numFmtId="0" fontId="30" fillId="45" borderId="0" applyNumberFormat="0" applyBorder="0" applyAlignment="0" applyProtection="0"/>
    <xf numFmtId="0" fontId="28" fillId="48" borderId="0" applyNumberFormat="0" applyBorder="0" applyAlignment="0" applyProtection="0"/>
    <xf numFmtId="0" fontId="28" fillId="51" borderId="0" applyNumberFormat="0" applyBorder="0" applyAlignment="0" applyProtection="0"/>
    <xf numFmtId="0" fontId="28" fillId="54" borderId="0" applyNumberFormat="0" applyBorder="0" applyAlignment="0" applyProtection="0"/>
    <xf numFmtId="0" fontId="10" fillId="58" borderId="0" applyNumberFormat="0" applyBorder="0" applyAlignment="0" applyProtection="0"/>
    <xf numFmtId="0" fontId="30" fillId="41" borderId="0" applyNumberFormat="0" applyBorder="0" applyAlignment="0" applyProtection="0"/>
    <xf numFmtId="0" fontId="30" fillId="44" borderId="0" applyNumberFormat="0" applyBorder="0" applyAlignment="0" applyProtection="0"/>
    <xf numFmtId="0" fontId="30" fillId="47" borderId="0" applyNumberFormat="0" applyBorder="0" applyAlignment="0" applyProtection="0"/>
    <xf numFmtId="0" fontId="27" fillId="50" borderId="0" applyNumberFormat="0" applyBorder="0" applyAlignment="0" applyProtection="0"/>
    <xf numFmtId="0" fontId="27" fillId="53" borderId="0" applyNumberFormat="0" applyBorder="0" applyAlignment="0" applyProtection="0"/>
    <xf numFmtId="0" fontId="6" fillId="57" borderId="0" applyNumberFormat="0" applyBorder="0" applyAlignment="0" applyProtection="0"/>
    <xf numFmtId="0" fontId="30" fillId="5" borderId="0" applyNumberFormat="0" applyBorder="0" applyAlignment="0" applyProtection="0"/>
    <xf numFmtId="0" fontId="30" fillId="6" borderId="0" applyNumberFormat="0" applyBorder="0" applyAlignment="0" applyProtection="0"/>
    <xf numFmtId="0" fontId="11" fillId="7" borderId="0" applyNumberFormat="0" applyBorder="0" applyAlignment="0" applyProtection="0"/>
    <xf numFmtId="0" fontId="6" fillId="8" borderId="0" applyNumberFormat="0" applyBorder="0" applyAlignment="0" applyProtection="0"/>
    <xf numFmtId="0" fontId="6" fillId="9" borderId="0" applyNumberFormat="0" applyBorder="0" applyAlignment="0" applyProtection="0"/>
    <xf numFmtId="0" fontId="30" fillId="56" borderId="0" applyNumberFormat="0" applyBorder="0" applyAlignment="0" applyProtection="0"/>
    <xf numFmtId="0" fontId="7" fillId="10" borderId="0" applyNumberFormat="0" applyBorder="0" applyAlignment="0" applyProtection="0"/>
    <xf numFmtId="0" fontId="7" fillId="11" borderId="4" applyNumberFormat="0" applyAlignment="0" applyProtection="0"/>
    <xf numFmtId="0" fontId="12" fillId="12" borderId="0" applyNumberFormat="0" applyAlignment="0" applyProtection="0"/>
    <xf numFmtId="0" fontId="6" fillId="0" borderId="1" applyNumberFormat="0" applyAlignment="0"/>
    <xf numFmtId="0" fontId="6" fillId="66" borderId="1" applyNumberFormat="0" applyAlignment="0"/>
    <xf numFmtId="0" fontId="6" fillId="67" borderId="1" applyNumberFormat="0" applyAlignment="0"/>
    <xf numFmtId="0" fontId="6" fillId="63" borderId="1" applyNumberFormat="0" applyAlignment="0"/>
    <xf numFmtId="0" fontId="6" fillId="64" borderId="1" applyNumberFormat="0" applyAlignment="0"/>
    <xf numFmtId="3" fontId="27" fillId="2" borderId="1" applyNumberFormat="0" applyAlignment="0">
      <protection locked="0"/>
    </xf>
    <xf numFmtId="0" fontId="6" fillId="3" borderId="1" applyNumberFormat="0" applyFont="0" applyAlignment="0"/>
    <xf numFmtId="3" fontId="6" fillId="4" borderId="1" applyNumberFormat="0" applyFont="0" applyAlignment="0">
      <protection locked="0"/>
    </xf>
    <xf numFmtId="1" fontId="7" fillId="0" borderId="1" applyNumberFormat="0" applyFont="0" applyAlignment="0">
      <protection locked="0"/>
    </xf>
    <xf numFmtId="0" fontId="24" fillId="0" borderId="9" applyNumberFormat="0" applyFill="0" applyAlignment="0"/>
    <xf numFmtId="0" fontId="132" fillId="0" borderId="8" applyNumberFormat="0" applyFill="0" applyAlignment="0"/>
    <xf numFmtId="0" fontId="117" fillId="0" borderId="83" applyNumberFormat="0" applyFill="0" applyAlignment="0"/>
    <xf numFmtId="0" fontId="27" fillId="0" borderId="2" applyNumberFormat="0" applyAlignment="0"/>
    <xf numFmtId="0" fontId="26" fillId="0" borderId="3" applyNumberFormat="0">
      <alignment wrapText="1"/>
    </xf>
    <xf numFmtId="0" fontId="31" fillId="40" borderId="0" applyNumberFormat="0" applyBorder="0">
      <alignment wrapText="1"/>
    </xf>
    <xf numFmtId="0" fontId="25" fillId="0" borderId="10" applyNumberFormat="0">
      <alignment wrapText="1"/>
    </xf>
    <xf numFmtId="0" fontId="29" fillId="68" borderId="0" applyNumberFormat="0" applyBorder="0" applyAlignment="0">
      <protection locked="0"/>
    </xf>
    <xf numFmtId="0" fontId="13" fillId="72" borderId="0" applyNumberFormat="0" applyBorder="0" applyAlignment="0" applyProtection="0"/>
    <xf numFmtId="0" fontId="14" fillId="0" borderId="0" applyNumberFormat="0" applyFill="0" applyBorder="0" applyAlignment="0" applyProtection="0">
      <alignment vertical="top"/>
      <protection locked="0"/>
    </xf>
    <xf numFmtId="0" fontId="10" fillId="13" borderId="0" applyNumberFormat="0" applyBorder="0" applyAlignment="0" applyProtection="0"/>
    <xf numFmtId="0" fontId="15" fillId="0" borderId="5" applyNumberFormat="0" applyFill="0" applyAlignment="0" applyProtection="0"/>
    <xf numFmtId="0" fontId="16" fillId="0" borderId="6" applyNumberFormat="0" applyFill="0" applyAlignment="0" applyProtection="0"/>
    <xf numFmtId="0" fontId="17" fillId="0" borderId="6" applyNumberFormat="0" applyFill="0" applyAlignment="0" applyProtection="0"/>
    <xf numFmtId="0" fontId="18" fillId="0" borderId="0" applyNumberFormat="0" applyBorder="0" applyAlignment="0" applyProtection="0"/>
    <xf numFmtId="0" fontId="19" fillId="0" borderId="0" applyNumberFormat="0" applyFill="0" applyBorder="0" applyAlignment="0" applyProtection="0">
      <alignment vertical="top"/>
      <protection locked="0"/>
    </xf>
    <xf numFmtId="0" fontId="7" fillId="2" borderId="0" applyNumberFormat="0" applyAlignment="0" applyProtection="0"/>
    <xf numFmtId="0" fontId="7" fillId="14" borderId="0" applyNumberFormat="0" applyAlignment="0" applyProtection="0"/>
    <xf numFmtId="0" fontId="10" fillId="15" borderId="0" applyNumberFormat="0" applyBorder="0" applyAlignment="0" applyProtection="0"/>
    <xf numFmtId="0" fontId="13" fillId="0" borderId="0" applyNumberFormat="0" applyAlignment="0" applyProtection="0"/>
    <xf numFmtId="0" fontId="20" fillId="16" borderId="0" applyNumberFormat="0" applyAlignment="0" applyProtection="0"/>
    <xf numFmtId="0" fontId="21" fillId="0" borderId="0" applyNumberFormat="0" applyFill="0" applyBorder="0" applyAlignment="0" applyProtection="0"/>
    <xf numFmtId="0" fontId="22" fillId="0" borderId="7" applyNumberFormat="0" applyFill="0" applyAlignment="0" applyProtection="0"/>
    <xf numFmtId="0" fontId="23" fillId="17"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6" fillId="23" borderId="0" applyNumberFormat="0" applyBorder="0" applyAlignment="0" applyProtection="0"/>
    <xf numFmtId="0" fontId="11" fillId="24" borderId="0" applyNumberFormat="0" applyBorder="0" applyAlignment="0" applyProtection="0"/>
    <xf numFmtId="0" fontId="11" fillId="25" borderId="0" applyNumberFormat="0" applyBorder="0" applyAlignment="0" applyProtection="0"/>
    <xf numFmtId="0" fontId="11" fillId="26" borderId="0" applyNumberFormat="0" applyBorder="0" applyAlignment="0" applyProtection="0"/>
    <xf numFmtId="0" fontId="11" fillId="27" borderId="0" applyNumberFormat="0" applyBorder="0" applyAlignment="0" applyProtection="0"/>
    <xf numFmtId="0" fontId="11" fillId="28" borderId="0" applyNumberFormat="0" applyBorder="0" applyAlignment="0" applyProtection="0"/>
    <xf numFmtId="0" fontId="6" fillId="29" borderId="0" applyNumberFormat="0" applyBorder="0" applyAlignment="0" applyProtection="0"/>
    <xf numFmtId="0" fontId="6" fillId="30" borderId="0" applyNumberFormat="0" applyBorder="0" applyAlignment="0" applyProtection="0"/>
    <xf numFmtId="0" fontId="6" fillId="31" borderId="0" applyNumberFormat="0" applyBorder="0" applyAlignment="0" applyProtection="0"/>
    <xf numFmtId="0" fontId="6" fillId="32"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6" fillId="3" borderId="0" applyNumberFormat="0" applyBorder="0" applyAlignment="0" applyProtection="0"/>
    <xf numFmtId="0" fontId="6" fillId="35" borderId="0" applyNumberFormat="0" applyBorder="0" applyAlignment="0" applyProtection="0"/>
    <xf numFmtId="0" fontId="6" fillId="36" borderId="0" applyNumberFormat="0" applyBorder="0" applyAlignment="0" applyProtection="0"/>
    <xf numFmtId="0" fontId="6" fillId="37" borderId="0" applyNumberFormat="0" applyBorder="0" applyAlignment="0" applyProtection="0"/>
    <xf numFmtId="0" fontId="9" fillId="38" borderId="0" applyNumberFormat="0" applyBorder="0" applyAlignment="0" applyProtection="0"/>
    <xf numFmtId="0" fontId="9" fillId="39" borderId="0" applyNumberFormat="0" applyBorder="0" applyAlignment="0" applyProtection="0"/>
    <xf numFmtId="0" fontId="6" fillId="4" borderId="0" applyNumberFormat="0" applyBorder="0" applyAlignment="0" applyProtection="0"/>
    <xf numFmtId="0" fontId="33" fillId="0" borderId="0"/>
    <xf numFmtId="0" fontId="34" fillId="0" borderId="0"/>
    <xf numFmtId="0" fontId="35" fillId="0" borderId="0">
      <alignment horizontal="right"/>
    </xf>
    <xf numFmtId="0" fontId="36" fillId="0" borderId="0"/>
    <xf numFmtId="0" fontId="31" fillId="69" borderId="1"/>
    <xf numFmtId="0" fontId="5" fillId="0" borderId="0"/>
    <xf numFmtId="0" fontId="37" fillId="70" borderId="0" applyNumberFormat="0" applyBorder="0" applyAlignment="0" applyProtection="0"/>
    <xf numFmtId="165" fontId="27" fillId="0" borderId="0" applyFont="0" applyFill="0" applyBorder="0" applyAlignment="0" applyProtection="0"/>
    <xf numFmtId="9" fontId="27" fillId="0" borderId="0" applyFont="0" applyFill="0" applyBorder="0" applyAlignment="0" applyProtection="0"/>
    <xf numFmtId="0" fontId="41" fillId="0" borderId="0"/>
    <xf numFmtId="9" fontId="41" fillId="0" borderId="0" applyFont="0" applyFill="0" applyBorder="0" applyAlignment="0" applyProtection="0"/>
    <xf numFmtId="0" fontId="77" fillId="0" borderId="0" applyBorder="0"/>
    <xf numFmtId="9" fontId="4" fillId="0" borderId="0" applyFont="0" applyFill="0" applyBorder="0" applyProtection="0"/>
    <xf numFmtId="0" fontId="4" fillId="0" borderId="0"/>
    <xf numFmtId="0" fontId="118" fillId="0" borderId="86"/>
    <xf numFmtId="0" fontId="3" fillId="0" borderId="0"/>
    <xf numFmtId="164" fontId="3" fillId="0" borderId="0" applyFont="0" applyFill="0" applyBorder="0" applyAlignment="0" applyProtection="0"/>
    <xf numFmtId="9" fontId="3" fillId="0" borderId="0" applyFont="0" applyFill="0" applyBorder="0" applyAlignment="0" applyProtection="0"/>
  </cellStyleXfs>
  <cellXfs count="2177">
    <xf numFmtId="0" fontId="0" fillId="0" borderId="0" xfId="0"/>
    <xf numFmtId="0" fontId="132" fillId="0" borderId="8" xfId="38"/>
    <xf numFmtId="0" fontId="24" fillId="0" borderId="9" xfId="37"/>
    <xf numFmtId="0" fontId="6" fillId="0" borderId="0" xfId="0" applyFont="1"/>
    <xf numFmtId="0" fontId="8" fillId="0" borderId="0" xfId="0" applyFont="1"/>
    <xf numFmtId="0" fontId="117" fillId="0" borderId="83" xfId="39"/>
    <xf numFmtId="0" fontId="26" fillId="0" borderId="3" xfId="41">
      <alignment wrapText="1"/>
    </xf>
    <xf numFmtId="0" fontId="0" fillId="0" borderId="1" xfId="36" applyNumberFormat="1" applyFont="1">
      <protection locked="0"/>
    </xf>
    <xf numFmtId="0" fontId="0" fillId="65" borderId="0" xfId="0" applyFill="1"/>
    <xf numFmtId="0" fontId="31" fillId="40" borderId="0" xfId="42">
      <alignment wrapText="1"/>
    </xf>
    <xf numFmtId="0" fontId="25" fillId="0" borderId="10" xfId="43">
      <alignment wrapText="1"/>
    </xf>
    <xf numFmtId="0" fontId="25" fillId="0" borderId="10" xfId="43" applyAlignment="1"/>
    <xf numFmtId="0" fontId="27" fillId="0" borderId="2" xfId="40"/>
    <xf numFmtId="0" fontId="0" fillId="0" borderId="2" xfId="40" applyFont="1"/>
    <xf numFmtId="0" fontId="0" fillId="2" borderId="1" xfId="33" applyNumberFormat="1" applyFont="1">
      <protection locked="0"/>
    </xf>
    <xf numFmtId="0" fontId="0" fillId="3" borderId="1" xfId="34" applyFont="1"/>
    <xf numFmtId="0" fontId="0" fillId="4" borderId="1" xfId="35" applyNumberFormat="1" applyFont="1">
      <protection locked="0"/>
    </xf>
    <xf numFmtId="0" fontId="29" fillId="68" borderId="0" xfId="44">
      <protection locked="0"/>
    </xf>
    <xf numFmtId="0" fontId="0" fillId="0" borderId="11" xfId="40" applyFont="1" applyBorder="1"/>
    <xf numFmtId="3" fontId="27" fillId="0" borderId="2" xfId="40" applyNumberFormat="1"/>
    <xf numFmtId="3" fontId="27" fillId="66" borderId="1" xfId="29" applyNumberFormat="1" applyFont="1"/>
    <xf numFmtId="3" fontId="27" fillId="67" borderId="1" xfId="30" applyNumberFormat="1" applyFont="1"/>
    <xf numFmtId="3" fontId="27" fillId="63" borderId="1" xfId="31" applyNumberFormat="1" applyFont="1"/>
    <xf numFmtId="3" fontId="27" fillId="64" borderId="1" xfId="32" applyNumberFormat="1" applyFont="1"/>
    <xf numFmtId="0" fontId="0" fillId="66" borderId="1" xfId="29" applyFont="1"/>
    <xf numFmtId="0" fontId="0" fillId="67" borderId="1" xfId="30" applyFont="1"/>
    <xf numFmtId="0" fontId="0" fillId="63" borderId="1" xfId="31" applyFont="1"/>
    <xf numFmtId="0" fontId="0" fillId="64" borderId="1" xfId="32" applyFont="1"/>
    <xf numFmtId="0" fontId="32" fillId="0" borderId="0" xfId="0" applyFont="1"/>
    <xf numFmtId="0" fontId="30" fillId="5" borderId="0" xfId="19"/>
    <xf numFmtId="0" fontId="32" fillId="41" borderId="0" xfId="0" applyFont="1" applyFill="1"/>
    <xf numFmtId="0" fontId="32" fillId="42" borderId="0" xfId="0" applyFont="1" applyFill="1"/>
    <xf numFmtId="0" fontId="32" fillId="43" borderId="0" xfId="0" applyFont="1" applyFill="1"/>
    <xf numFmtId="0" fontId="32" fillId="60" borderId="0" xfId="0" applyFont="1" applyFill="1"/>
    <xf numFmtId="0" fontId="32" fillId="0" borderId="1" xfId="36" applyNumberFormat="1" applyFont="1">
      <protection locked="0"/>
    </xf>
    <xf numFmtId="1" fontId="32" fillId="0" borderId="1" xfId="36" applyNumberFormat="1" applyFont="1">
      <protection locked="0"/>
    </xf>
    <xf numFmtId="0" fontId="30" fillId="6" borderId="0" xfId="20"/>
    <xf numFmtId="0" fontId="32" fillId="61" borderId="0" xfId="0" applyFont="1" applyFill="1"/>
    <xf numFmtId="0" fontId="32" fillId="45" borderId="0" xfId="0" applyFont="1" applyFill="1"/>
    <xf numFmtId="0" fontId="32" fillId="46" borderId="0" xfId="0" applyFont="1" applyFill="1"/>
    <xf numFmtId="0" fontId="32" fillId="62" borderId="0" xfId="0" applyFont="1" applyFill="1"/>
    <xf numFmtId="0" fontId="11" fillId="7" borderId="0" xfId="21"/>
    <xf numFmtId="0" fontId="32" fillId="47" borderId="0" xfId="0" applyFont="1" applyFill="1"/>
    <xf numFmtId="0" fontId="32" fillId="48" borderId="0" xfId="0" applyFont="1" applyFill="1"/>
    <xf numFmtId="0" fontId="32" fillId="49" borderId="0" xfId="0" applyFont="1" applyFill="1"/>
    <xf numFmtId="0" fontId="32" fillId="63" borderId="0" xfId="0" applyFont="1" applyFill="1"/>
    <xf numFmtId="0" fontId="6" fillId="8" borderId="0" xfId="22"/>
    <xf numFmtId="0" fontId="32" fillId="50" borderId="0" xfId="0" applyFont="1" applyFill="1"/>
    <xf numFmtId="0" fontId="32" fillId="51" borderId="0" xfId="0" applyFont="1" applyFill="1"/>
    <xf numFmtId="0" fontId="32" fillId="52" borderId="0" xfId="0" applyFont="1" applyFill="1"/>
    <xf numFmtId="0" fontId="32" fillId="64" borderId="0" xfId="0" applyFont="1" applyFill="1"/>
    <xf numFmtId="0" fontId="6" fillId="9" borderId="0" xfId="23"/>
    <xf numFmtId="0" fontId="32" fillId="53" borderId="0" xfId="0" applyFont="1" applyFill="1"/>
    <xf numFmtId="0" fontId="32" fillId="54" borderId="0" xfId="0" applyFont="1" applyFill="1"/>
    <xf numFmtId="0" fontId="32" fillId="55" borderId="0" xfId="0" applyFont="1" applyFill="1"/>
    <xf numFmtId="0" fontId="33" fillId="0" borderId="0" xfId="85"/>
    <xf numFmtId="0" fontId="34" fillId="0" borderId="0" xfId="86"/>
    <xf numFmtId="0" fontId="35" fillId="0" borderId="0" xfId="87">
      <alignment horizontal="right"/>
    </xf>
    <xf numFmtId="0" fontId="36" fillId="0" borderId="0" xfId="88"/>
    <xf numFmtId="0" fontId="31" fillId="69" borderId="1" xfId="89"/>
    <xf numFmtId="10" fontId="0" fillId="0" borderId="0" xfId="0" applyNumberFormat="1"/>
    <xf numFmtId="167" fontId="0" fillId="0" borderId="0" xfId="0" applyNumberFormat="1"/>
    <xf numFmtId="1" fontId="0" fillId="0" borderId="0" xfId="0" applyNumberFormat="1"/>
    <xf numFmtId="0" fontId="26" fillId="0" borderId="0" xfId="0" applyFont="1"/>
    <xf numFmtId="0" fontId="39" fillId="0" borderId="0" xfId="0" applyFont="1"/>
    <xf numFmtId="167" fontId="0" fillId="0" borderId="0" xfId="92" applyNumberFormat="1" applyFont="1"/>
    <xf numFmtId="167" fontId="6" fillId="66" borderId="1" xfId="29" applyNumberFormat="1"/>
    <xf numFmtId="167" fontId="6" fillId="67" borderId="1" xfId="30" applyNumberFormat="1"/>
    <xf numFmtId="9" fontId="6" fillId="66" borderId="1" xfId="29" applyNumberFormat="1"/>
    <xf numFmtId="0" fontId="0" fillId="0" borderId="0" xfId="0" applyAlignment="1">
      <alignment wrapText="1"/>
    </xf>
    <xf numFmtId="0" fontId="0" fillId="0" borderId="2" xfId="40" applyFont="1" applyAlignment="1">
      <alignment horizontal="left" vertical="top" wrapText="1"/>
    </xf>
    <xf numFmtId="0" fontId="0" fillId="0" borderId="17" xfId="40" applyFont="1" applyBorder="1" applyAlignment="1">
      <alignment horizontal="left" vertical="top" wrapText="1"/>
    </xf>
    <xf numFmtId="0" fontId="48" fillId="76" borderId="0" xfId="94" quotePrefix="1" applyFont="1" applyFill="1" applyAlignment="1">
      <alignment horizontal="left" vertical="center"/>
    </xf>
    <xf numFmtId="0" fontId="49" fillId="40" borderId="0" xfId="94" applyFont="1" applyFill="1"/>
    <xf numFmtId="0" fontId="49" fillId="40" borderId="0" xfId="94" applyFont="1" applyFill="1" applyAlignment="1">
      <alignment horizontal="center"/>
    </xf>
    <xf numFmtId="3" fontId="50" fillId="2" borderId="1" xfId="33" applyNumberFormat="1" applyFont="1" applyAlignment="1">
      <alignment horizontal="center" vertical="center"/>
      <protection locked="0"/>
    </xf>
    <xf numFmtId="0" fontId="49" fillId="40" borderId="0" xfId="94" applyFont="1" applyFill="1" applyAlignment="1">
      <alignment horizontal="center" vertical="center" wrapText="1"/>
    </xf>
    <xf numFmtId="9" fontId="50" fillId="76" borderId="0" xfId="94" quotePrefix="1" applyNumberFormat="1" applyFont="1" applyFill="1" applyAlignment="1">
      <alignment horizontal="center" vertical="center"/>
    </xf>
    <xf numFmtId="0" fontId="51" fillId="81" borderId="0" xfId="94" applyFont="1" applyFill="1" applyAlignment="1">
      <alignment horizontal="center" vertical="center" textRotation="90"/>
    </xf>
    <xf numFmtId="0" fontId="47" fillId="81" borderId="0" xfId="94" applyFont="1" applyFill="1" applyAlignment="1">
      <alignment horizontal="center" vertical="center" wrapText="1"/>
    </xf>
    <xf numFmtId="9" fontId="32" fillId="82" borderId="0" xfId="94" applyNumberFormat="1" applyFont="1" applyFill="1" applyAlignment="1">
      <alignment horizontal="left" vertical="center"/>
    </xf>
    <xf numFmtId="172" fontId="52" fillId="0" borderId="0" xfId="94" applyNumberFormat="1" applyFont="1"/>
    <xf numFmtId="0" fontId="47" fillId="89" borderId="0" xfId="94" applyFont="1" applyFill="1" applyAlignment="1">
      <alignment horizontal="center" vertical="center" wrapText="1"/>
    </xf>
    <xf numFmtId="0" fontId="49" fillId="83" borderId="0" xfId="94" applyFont="1" applyFill="1"/>
    <xf numFmtId="0" fontId="49" fillId="83" borderId="0" xfId="94" applyFont="1" applyFill="1" applyAlignment="1">
      <alignment horizontal="center"/>
    </xf>
    <xf numFmtId="0" fontId="48" fillId="76" borderId="0" xfId="94" quotePrefix="1" applyFont="1" applyFill="1" applyAlignment="1">
      <alignment horizontal="center" vertical="center"/>
    </xf>
    <xf numFmtId="3" fontId="32" fillId="76" borderId="18" xfId="95" applyNumberFormat="1" applyFont="1" applyFill="1" applyBorder="1" applyAlignment="1" applyProtection="1">
      <alignment horizontal="center" vertical="center"/>
      <protection locked="0"/>
    </xf>
    <xf numFmtId="3" fontId="32" fillId="76" borderId="22" xfId="95" applyNumberFormat="1" applyFont="1" applyFill="1" applyBorder="1" applyAlignment="1" applyProtection="1">
      <alignment horizontal="center" vertical="center"/>
      <protection locked="0"/>
    </xf>
    <xf numFmtId="0" fontId="47" fillId="76" borderId="0" xfId="94" quotePrefix="1" applyFont="1" applyFill="1" applyAlignment="1">
      <alignment horizontal="center" vertical="center"/>
    </xf>
    <xf numFmtId="0" fontId="52" fillId="0" borderId="0" xfId="94" applyFont="1"/>
    <xf numFmtId="9" fontId="32" fillId="76" borderId="0" xfId="94" quotePrefix="1" applyNumberFormat="1" applyFont="1" applyFill="1" applyAlignment="1">
      <alignment horizontal="center" vertical="center"/>
    </xf>
    <xf numFmtId="10" fontId="53" fillId="0" borderId="0" xfId="93" applyNumberFormat="1" applyFont="1" applyBorder="1"/>
    <xf numFmtId="4" fontId="32" fillId="76" borderId="18" xfId="95" applyNumberFormat="1" applyFont="1" applyFill="1" applyBorder="1" applyAlignment="1" applyProtection="1">
      <alignment horizontal="center" vertical="center"/>
      <protection locked="0"/>
    </xf>
    <xf numFmtId="4" fontId="32" fillId="76" borderId="22" xfId="95" applyNumberFormat="1" applyFont="1" applyFill="1" applyBorder="1" applyAlignment="1" applyProtection="1">
      <alignment horizontal="center" vertical="center"/>
      <protection locked="0"/>
    </xf>
    <xf numFmtId="0" fontId="49" fillId="55" borderId="0" xfId="94" applyFont="1" applyFill="1"/>
    <xf numFmtId="0" fontId="49" fillId="55" borderId="0" xfId="94" applyFont="1" applyFill="1" applyAlignment="1">
      <alignment horizontal="center"/>
    </xf>
    <xf numFmtId="0" fontId="49" fillId="77" borderId="0" xfId="0" applyFont="1" applyFill="1" applyAlignment="1">
      <alignment vertical="center"/>
    </xf>
    <xf numFmtId="169" fontId="50" fillId="76" borderId="18" xfId="95" applyNumberFormat="1" applyFont="1" applyFill="1" applyBorder="1" applyAlignment="1" applyProtection="1">
      <alignment horizontal="center" vertical="center"/>
      <protection locked="0"/>
    </xf>
    <xf numFmtId="0" fontId="48" fillId="76" borderId="0" xfId="0" quotePrefix="1" applyFont="1" applyFill="1" applyAlignment="1">
      <alignment horizontal="left" vertical="center"/>
    </xf>
    <xf numFmtId="169" fontId="32" fillId="76" borderId="18" xfId="95" applyNumberFormat="1" applyFont="1" applyFill="1" applyBorder="1" applyAlignment="1" applyProtection="1">
      <alignment horizontal="center" vertical="center"/>
      <protection locked="0"/>
    </xf>
    <xf numFmtId="169" fontId="56" fillId="76" borderId="18" xfId="95" applyNumberFormat="1" applyFont="1" applyFill="1" applyBorder="1" applyAlignment="1" applyProtection="1">
      <alignment horizontal="center" vertical="center"/>
      <protection locked="0"/>
    </xf>
    <xf numFmtId="4" fontId="50" fillId="76" borderId="18" xfId="95" applyNumberFormat="1" applyFont="1" applyFill="1" applyBorder="1" applyAlignment="1" applyProtection="1">
      <alignment horizontal="center" vertical="center"/>
      <protection locked="0"/>
    </xf>
    <xf numFmtId="0" fontId="49" fillId="77" borderId="0" xfId="0" applyFont="1" applyFill="1" applyAlignment="1">
      <alignment horizontal="center" vertical="center"/>
    </xf>
    <xf numFmtId="3" fontId="59" fillId="76" borderId="18" xfId="95" applyNumberFormat="1" applyFont="1" applyFill="1" applyBorder="1" applyAlignment="1" applyProtection="1">
      <alignment horizontal="center" vertical="center"/>
      <protection locked="0"/>
    </xf>
    <xf numFmtId="3" fontId="55" fillId="76" borderId="18" xfId="95" applyNumberFormat="1" applyFont="1" applyFill="1" applyBorder="1" applyAlignment="1" applyProtection="1">
      <alignment horizontal="center" vertical="center"/>
      <protection locked="0"/>
    </xf>
    <xf numFmtId="0" fontId="56" fillId="76" borderId="0" xfId="0" quotePrefix="1" applyFont="1" applyFill="1" applyAlignment="1">
      <alignment horizontal="center" vertical="center"/>
    </xf>
    <xf numFmtId="0" fontId="49" fillId="88" borderId="0" xfId="94" applyFont="1" applyFill="1"/>
    <xf numFmtId="0" fontId="49" fillId="88" borderId="0" xfId="94" applyFont="1" applyFill="1" applyAlignment="1">
      <alignment horizontal="center"/>
    </xf>
    <xf numFmtId="0" fontId="51" fillId="0" borderId="0" xfId="94" applyFont="1"/>
    <xf numFmtId="0" fontId="49" fillId="40" borderId="0" xfId="42" applyFont="1">
      <alignment wrapText="1"/>
    </xf>
    <xf numFmtId="0" fontId="52" fillId="40" borderId="0" xfId="94" applyFont="1" applyFill="1"/>
    <xf numFmtId="0" fontId="50" fillId="76" borderId="0" xfId="0" applyFont="1" applyFill="1" applyAlignment="1">
      <alignment vertical="center"/>
    </xf>
    <xf numFmtId="0" fontId="56" fillId="76" borderId="0" xfId="0" applyFont="1" applyFill="1" applyAlignment="1">
      <alignment horizontal="center" vertical="center"/>
    </xf>
    <xf numFmtId="3" fontId="32" fillId="64" borderId="1" xfId="32" applyNumberFormat="1" applyFont="1"/>
    <xf numFmtId="179" fontId="32" fillId="66" borderId="1" xfId="29" applyNumberFormat="1" applyFont="1"/>
    <xf numFmtId="171" fontId="32" fillId="64" borderId="1" xfId="32" applyNumberFormat="1" applyFont="1"/>
    <xf numFmtId="3" fontId="32" fillId="63" borderId="1" xfId="31" applyNumberFormat="1" applyFont="1"/>
    <xf numFmtId="0" fontId="52" fillId="83" borderId="0" xfId="94" applyFont="1" applyFill="1"/>
    <xf numFmtId="0" fontId="52" fillId="84" borderId="0" xfId="94" applyFont="1" applyFill="1"/>
    <xf numFmtId="10" fontId="52" fillId="0" borderId="0" xfId="93" applyNumberFormat="1" applyFont="1"/>
    <xf numFmtId="10" fontId="32" fillId="0" borderId="0" xfId="93" applyNumberFormat="1" applyFont="1" applyBorder="1" applyAlignment="1">
      <alignment horizontal="center" vertical="center"/>
    </xf>
    <xf numFmtId="176" fontId="52" fillId="80" borderId="0" xfId="94" applyNumberFormat="1" applyFont="1" applyFill="1"/>
    <xf numFmtId="1" fontId="52" fillId="80" borderId="0" xfId="94" applyNumberFormat="1" applyFont="1" applyFill="1"/>
    <xf numFmtId="0" fontId="52" fillId="85" borderId="0" xfId="94" applyFont="1" applyFill="1"/>
    <xf numFmtId="0" fontId="52" fillId="55" borderId="0" xfId="94" applyFont="1" applyFill="1"/>
    <xf numFmtId="0" fontId="60" fillId="76" borderId="0" xfId="0" applyFont="1" applyFill="1" applyAlignment="1">
      <alignment vertical="center"/>
    </xf>
    <xf numFmtId="0" fontId="58" fillId="76" borderId="0" xfId="0" applyFont="1" applyFill="1" applyAlignment="1">
      <alignment horizontal="center" vertical="center"/>
    </xf>
    <xf numFmtId="0" fontId="57" fillId="76" borderId="0" xfId="0" applyFont="1" applyFill="1" applyAlignment="1">
      <alignment horizontal="center" vertical="center"/>
    </xf>
    <xf numFmtId="0" fontId="64" fillId="76" borderId="0" xfId="0" quotePrefix="1" applyFont="1" applyFill="1" applyAlignment="1">
      <alignment horizontal="left" vertical="center"/>
    </xf>
    <xf numFmtId="0" fontId="61" fillId="76" borderId="0" xfId="0" applyFont="1" applyFill="1" applyAlignment="1">
      <alignment horizontal="center" vertical="center"/>
    </xf>
    <xf numFmtId="9" fontId="32" fillId="78" borderId="20" xfId="0" applyNumberFormat="1" applyFont="1" applyFill="1" applyBorder="1" applyAlignment="1">
      <alignment horizontal="center"/>
    </xf>
    <xf numFmtId="169" fontId="32" fillId="79" borderId="21" xfId="95" applyNumberFormat="1" applyFont="1" applyFill="1" applyBorder="1" applyAlignment="1" applyProtection="1">
      <alignment horizontal="center" vertical="center"/>
      <protection locked="0"/>
    </xf>
    <xf numFmtId="169" fontId="56" fillId="79" borderId="21" xfId="95" applyNumberFormat="1" applyFont="1" applyFill="1" applyBorder="1" applyAlignment="1" applyProtection="1">
      <alignment horizontal="center" vertical="center"/>
      <protection locked="0"/>
    </xf>
    <xf numFmtId="0" fontId="50" fillId="76" borderId="0" xfId="0" applyFont="1" applyFill="1" applyAlignment="1">
      <alignment horizontal="center" vertical="center"/>
    </xf>
    <xf numFmtId="0" fontId="63" fillId="76" borderId="0" xfId="0" applyFont="1" applyFill="1" applyAlignment="1">
      <alignment vertical="center"/>
    </xf>
    <xf numFmtId="0" fontId="47" fillId="76" borderId="0" xfId="0" quotePrefix="1" applyFont="1" applyFill="1" applyAlignment="1">
      <alignment horizontal="left" vertical="center"/>
    </xf>
    <xf numFmtId="0" fontId="56" fillId="76" borderId="0" xfId="0" applyFont="1" applyFill="1" applyAlignment="1">
      <alignment vertical="center"/>
    </xf>
    <xf numFmtId="0" fontId="52" fillId="0" borderId="20" xfId="0" applyFont="1" applyBorder="1"/>
    <xf numFmtId="0" fontId="32" fillId="76" borderId="0" xfId="0" applyFont="1" applyFill="1" applyAlignment="1">
      <alignment horizontal="center" vertical="center"/>
    </xf>
    <xf numFmtId="9" fontId="65" fillId="79" borderId="0" xfId="95" quotePrefix="1" applyFont="1" applyFill="1" applyBorder="1" applyAlignment="1">
      <alignment horizontal="center" vertical="center"/>
    </xf>
    <xf numFmtId="0" fontId="66" fillId="79" borderId="0" xfId="0" quotePrefix="1" applyFont="1" applyFill="1" applyAlignment="1">
      <alignment horizontal="center" vertical="center"/>
    </xf>
    <xf numFmtId="0" fontId="67" fillId="79" borderId="0" xfId="0" applyFont="1" applyFill="1" applyAlignment="1">
      <alignment horizontal="center" vertical="center"/>
    </xf>
    <xf numFmtId="0" fontId="68" fillId="76" borderId="0" xfId="0" applyFont="1" applyFill="1" applyAlignment="1">
      <alignment horizontal="center" vertical="center"/>
    </xf>
    <xf numFmtId="0" fontId="63" fillId="76" borderId="0" xfId="0" applyFont="1" applyFill="1" applyAlignment="1">
      <alignment horizontal="center" vertical="center"/>
    </xf>
    <xf numFmtId="0" fontId="52" fillId="88" borderId="0" xfId="94" applyFont="1" applyFill="1"/>
    <xf numFmtId="3" fontId="32" fillId="2" borderId="1" xfId="33" applyNumberFormat="1" applyFont="1" applyAlignment="1">
      <alignment horizontal="center" vertical="center"/>
      <protection locked="0"/>
    </xf>
    <xf numFmtId="179" fontId="32" fillId="64" borderId="25" xfId="32" applyNumberFormat="1" applyFont="1" applyBorder="1"/>
    <xf numFmtId="9" fontId="32" fillId="2" borderId="1" xfId="33" applyNumberFormat="1" applyFont="1">
      <protection locked="0"/>
    </xf>
    <xf numFmtId="166" fontId="32" fillId="2" borderId="1" xfId="33" applyNumberFormat="1" applyFont="1">
      <protection locked="0"/>
    </xf>
    <xf numFmtId="169" fontId="32" fillId="2" borderId="1" xfId="33" applyNumberFormat="1" applyFont="1" applyAlignment="1">
      <alignment horizontal="center" vertical="center"/>
      <protection locked="0"/>
    </xf>
    <xf numFmtId="3" fontId="32" fillId="2" borderId="1" xfId="33" applyNumberFormat="1" applyFont="1" applyAlignment="1">
      <alignment horizontal="center"/>
      <protection locked="0"/>
    </xf>
    <xf numFmtId="3" fontId="32" fillId="2" borderId="26" xfId="33" applyNumberFormat="1" applyFont="1" applyBorder="1" applyAlignment="1">
      <alignment horizontal="center" vertical="center"/>
      <protection locked="0"/>
    </xf>
    <xf numFmtId="3" fontId="50" fillId="2" borderId="26" xfId="33" applyNumberFormat="1" applyFont="1" applyBorder="1" applyAlignment="1">
      <alignment horizontal="center" vertical="center"/>
      <protection locked="0"/>
    </xf>
    <xf numFmtId="3" fontId="32" fillId="2" borderId="26" xfId="33" applyNumberFormat="1" applyFont="1" applyBorder="1" applyAlignment="1">
      <alignment horizontal="center"/>
      <protection locked="0"/>
    </xf>
    <xf numFmtId="3" fontId="32" fillId="0" borderId="17" xfId="40" applyNumberFormat="1" applyFont="1" applyBorder="1" applyAlignment="1">
      <alignment horizontal="center" vertical="center"/>
    </xf>
    <xf numFmtId="10" fontId="32" fillId="0" borderId="17" xfId="93" applyNumberFormat="1" applyFont="1" applyBorder="1" applyAlignment="1">
      <alignment horizontal="center" vertical="center"/>
    </xf>
    <xf numFmtId="167" fontId="32" fillId="66" borderId="26" xfId="92" applyNumberFormat="1" applyFont="1" applyFill="1" applyBorder="1" applyAlignment="1">
      <alignment horizontal="center" vertical="center"/>
    </xf>
    <xf numFmtId="3" fontId="50" fillId="76" borderId="22" xfId="95" applyNumberFormat="1" applyFont="1" applyFill="1" applyBorder="1" applyAlignment="1" applyProtection="1">
      <alignment horizontal="center" vertical="center"/>
      <protection locked="0"/>
    </xf>
    <xf numFmtId="169" fontId="50" fillId="76" borderId="22" xfId="95" applyNumberFormat="1" applyFont="1" applyFill="1" applyBorder="1" applyAlignment="1" applyProtection="1">
      <alignment horizontal="center" vertical="center"/>
      <protection locked="0"/>
    </xf>
    <xf numFmtId="169" fontId="32" fillId="76" borderId="22" xfId="95" applyNumberFormat="1" applyFont="1" applyFill="1" applyBorder="1" applyAlignment="1" applyProtection="1">
      <alignment horizontal="center" vertical="center"/>
      <protection locked="0"/>
    </xf>
    <xf numFmtId="9" fontId="32" fillId="78" borderId="23" xfId="0" applyNumberFormat="1" applyFont="1" applyFill="1" applyBorder="1" applyAlignment="1">
      <alignment horizontal="center"/>
    </xf>
    <xf numFmtId="169" fontId="56" fillId="79" borderId="28" xfId="95" applyNumberFormat="1" applyFont="1" applyFill="1" applyBorder="1" applyAlignment="1" applyProtection="1">
      <alignment horizontal="center" vertical="center"/>
      <protection locked="0"/>
    </xf>
    <xf numFmtId="169" fontId="56" fillId="76" borderId="22" xfId="95" applyNumberFormat="1" applyFont="1" applyFill="1" applyBorder="1" applyAlignment="1" applyProtection="1">
      <alignment horizontal="center" vertical="center"/>
      <protection locked="0"/>
    </xf>
    <xf numFmtId="4" fontId="50" fillId="76" borderId="22" xfId="95" applyNumberFormat="1" applyFont="1" applyFill="1" applyBorder="1" applyAlignment="1" applyProtection="1">
      <alignment horizontal="center" vertical="center"/>
      <protection locked="0"/>
    </xf>
    <xf numFmtId="0" fontId="52" fillId="0" borderId="23" xfId="0" applyFont="1" applyBorder="1"/>
    <xf numFmtId="169" fontId="32" fillId="79" borderId="28" xfId="95" applyNumberFormat="1" applyFont="1" applyFill="1" applyBorder="1" applyAlignment="1" applyProtection="1">
      <alignment horizontal="center" vertical="center"/>
      <protection locked="0"/>
    </xf>
    <xf numFmtId="3" fontId="56" fillId="79" borderId="28" xfId="95" applyNumberFormat="1" applyFont="1" applyFill="1" applyBorder="1" applyAlignment="1" applyProtection="1">
      <alignment horizontal="center" vertical="center"/>
      <protection locked="0"/>
    </xf>
    <xf numFmtId="3" fontId="59" fillId="76" borderId="22" xfId="95" applyNumberFormat="1" applyFont="1" applyFill="1" applyBorder="1" applyAlignment="1" applyProtection="1">
      <alignment horizontal="center" vertical="center"/>
      <protection locked="0"/>
    </xf>
    <xf numFmtId="3" fontId="55" fillId="76" borderId="22" xfId="95" applyNumberFormat="1" applyFont="1" applyFill="1" applyBorder="1" applyAlignment="1" applyProtection="1">
      <alignment horizontal="center" vertical="center"/>
      <protection locked="0"/>
    </xf>
    <xf numFmtId="0" fontId="63" fillId="76" borderId="23" xfId="0" applyFont="1" applyFill="1" applyBorder="1" applyAlignment="1">
      <alignment vertical="center"/>
    </xf>
    <xf numFmtId="166" fontId="32" fillId="76" borderId="22" xfId="95" applyNumberFormat="1" applyFont="1" applyFill="1" applyBorder="1" applyAlignment="1" applyProtection="1">
      <alignment horizontal="center" vertical="center"/>
      <protection locked="0"/>
    </xf>
    <xf numFmtId="4" fontId="56" fillId="79" borderId="28" xfId="95" applyNumberFormat="1" applyFont="1" applyFill="1" applyBorder="1" applyAlignment="1" applyProtection="1">
      <alignment horizontal="center" vertical="center"/>
      <protection locked="0"/>
    </xf>
    <xf numFmtId="169" fontId="32" fillId="76" borderId="27" xfId="95" applyNumberFormat="1" applyFont="1" applyFill="1" applyBorder="1" applyAlignment="1" applyProtection="1">
      <alignment horizontal="center" vertical="center"/>
      <protection locked="0"/>
    </xf>
    <xf numFmtId="0" fontId="32" fillId="0" borderId="23" xfId="0" applyFont="1" applyBorder="1"/>
    <xf numFmtId="169" fontId="32" fillId="76" borderId="29" xfId="95" applyNumberFormat="1" applyFont="1" applyFill="1" applyBorder="1" applyAlignment="1" applyProtection="1">
      <alignment horizontal="center" vertical="center"/>
      <protection locked="0"/>
    </xf>
    <xf numFmtId="4" fontId="32" fillId="79" borderId="28" xfId="95" applyNumberFormat="1" applyFont="1" applyFill="1" applyBorder="1" applyAlignment="1" applyProtection="1">
      <alignment horizontal="center" vertical="center"/>
      <protection locked="0"/>
    </xf>
    <xf numFmtId="169" fontId="32" fillId="76" borderId="23" xfId="95" applyNumberFormat="1" applyFont="1" applyFill="1" applyBorder="1" applyAlignment="1" applyProtection="1">
      <alignment horizontal="center" vertical="center"/>
      <protection locked="0"/>
    </xf>
    <xf numFmtId="4" fontId="32" fillId="79" borderId="30" xfId="95" applyNumberFormat="1" applyFont="1" applyFill="1" applyBorder="1" applyAlignment="1" applyProtection="1">
      <alignment horizontal="center" vertical="center"/>
      <protection locked="0"/>
    </xf>
    <xf numFmtId="0" fontId="48" fillId="60" borderId="31" xfId="94" applyFont="1" applyFill="1" applyBorder="1" applyAlignment="1">
      <alignment horizontal="left" vertical="center" wrapText="1"/>
    </xf>
    <xf numFmtId="0" fontId="48" fillId="60" borderId="31" xfId="94" applyFont="1" applyFill="1" applyBorder="1" applyAlignment="1">
      <alignment horizontal="left" vertical="center"/>
    </xf>
    <xf numFmtId="3" fontId="32" fillId="2" borderId="1" xfId="33" applyNumberFormat="1" applyFont="1" applyAlignment="1">
      <alignment horizontal="right" vertical="center"/>
      <protection locked="0"/>
    </xf>
    <xf numFmtId="10" fontId="52" fillId="2" borderId="1" xfId="33" applyNumberFormat="1" applyFont="1">
      <protection locked="0"/>
    </xf>
    <xf numFmtId="10" fontId="63" fillId="2" borderId="1" xfId="33" applyNumberFormat="1" applyFont="1" applyAlignment="1">
      <alignment vertical="center"/>
      <protection locked="0"/>
    </xf>
    <xf numFmtId="0" fontId="52" fillId="64" borderId="0" xfId="94" applyFont="1" applyFill="1"/>
    <xf numFmtId="0" fontId="52" fillId="75" borderId="0" xfId="94" applyFont="1" applyFill="1"/>
    <xf numFmtId="0" fontId="47" fillId="64" borderId="0" xfId="94" applyFont="1" applyFill="1" applyAlignment="1">
      <alignment horizontal="center" vertical="center" wrapText="1"/>
    </xf>
    <xf numFmtId="0" fontId="48" fillId="64" borderId="0" xfId="94" quotePrefix="1" applyFont="1" applyFill="1" applyAlignment="1">
      <alignment horizontal="left" vertical="center"/>
    </xf>
    <xf numFmtId="0" fontId="47" fillId="64" borderId="0" xfId="94" applyFont="1" applyFill="1" applyAlignment="1">
      <alignment horizontal="center" vertical="center"/>
    </xf>
    <xf numFmtId="0" fontId="48" fillId="90" borderId="0" xfId="94" quotePrefix="1" applyFont="1" applyFill="1" applyAlignment="1">
      <alignment horizontal="left" vertical="center"/>
    </xf>
    <xf numFmtId="0" fontId="47" fillId="90" borderId="0" xfId="94" applyFont="1" applyFill="1" applyAlignment="1">
      <alignment horizontal="center" vertical="center"/>
    </xf>
    <xf numFmtId="0" fontId="52" fillId="90" borderId="0" xfId="94" applyFont="1" applyFill="1"/>
    <xf numFmtId="0" fontId="47" fillId="90" borderId="0" xfId="94" applyFont="1" applyFill="1" applyAlignment="1">
      <alignment horizontal="left" vertical="center" wrapText="1"/>
    </xf>
    <xf numFmtId="0" fontId="48" fillId="75" borderId="0" xfId="94" quotePrefix="1" applyFont="1" applyFill="1" applyAlignment="1">
      <alignment horizontal="left" vertical="center"/>
    </xf>
    <xf numFmtId="0" fontId="47" fillId="75" borderId="0" xfId="94" applyFont="1" applyFill="1" applyAlignment="1">
      <alignment horizontal="center" vertical="center"/>
    </xf>
    <xf numFmtId="0" fontId="47" fillId="75" borderId="0" xfId="94" applyFont="1" applyFill="1" applyAlignment="1">
      <alignment horizontal="left" vertical="center" wrapText="1"/>
    </xf>
    <xf numFmtId="0" fontId="47" fillId="75" borderId="0" xfId="94" applyFont="1" applyFill="1" applyAlignment="1">
      <alignment horizontal="center" vertical="center" wrapText="1"/>
    </xf>
    <xf numFmtId="172" fontId="52" fillId="75" borderId="0" xfId="94" applyNumberFormat="1" applyFont="1" applyFill="1"/>
    <xf numFmtId="166" fontId="53" fillId="75" borderId="0" xfId="93" applyNumberFormat="1" applyFont="1" applyFill="1" applyBorder="1"/>
    <xf numFmtId="0" fontId="52" fillId="80" borderId="0" xfId="94" applyFont="1" applyFill="1"/>
    <xf numFmtId="0" fontId="48" fillId="80" borderId="0" xfId="94" quotePrefix="1" applyFont="1" applyFill="1" applyAlignment="1">
      <alignment horizontal="left" vertical="center"/>
    </xf>
    <xf numFmtId="0" fontId="47" fillId="80" borderId="0" xfId="94" applyFont="1" applyFill="1" applyAlignment="1">
      <alignment horizontal="center" vertical="center"/>
    </xf>
    <xf numFmtId="0" fontId="50" fillId="80" borderId="0" xfId="0" applyFont="1" applyFill="1" applyAlignment="1">
      <alignment vertical="center"/>
    </xf>
    <xf numFmtId="0" fontId="47" fillId="80" borderId="0" xfId="94" applyFont="1" applyFill="1" applyAlignment="1">
      <alignment horizontal="center" vertical="center" wrapText="1"/>
    </xf>
    <xf numFmtId="0" fontId="48" fillId="89" borderId="0" xfId="94" quotePrefix="1" applyFont="1" applyFill="1" applyAlignment="1">
      <alignment horizontal="left" vertical="center"/>
    </xf>
    <xf numFmtId="0" fontId="47" fillId="89" borderId="0" xfId="94" applyFont="1" applyFill="1" applyAlignment="1">
      <alignment horizontal="center" vertical="center"/>
    </xf>
    <xf numFmtId="0" fontId="52" fillId="89" borderId="0" xfId="94" applyFont="1" applyFill="1"/>
    <xf numFmtId="0" fontId="47" fillId="89" borderId="0" xfId="94" applyFont="1" applyFill="1" applyAlignment="1">
      <alignment horizontal="left" vertical="center" wrapText="1"/>
    </xf>
    <xf numFmtId="0" fontId="56" fillId="80" borderId="0" xfId="0" applyFont="1" applyFill="1" applyAlignment="1">
      <alignment horizontal="center" vertical="center"/>
    </xf>
    <xf numFmtId="0" fontId="47" fillId="80" borderId="0" xfId="94" applyFont="1" applyFill="1" applyAlignment="1">
      <alignment horizontal="left" vertical="center" wrapText="1"/>
    </xf>
    <xf numFmtId="178" fontId="51" fillId="80" borderId="0" xfId="94" applyNumberFormat="1" applyFont="1" applyFill="1"/>
    <xf numFmtId="0" fontId="48" fillId="63" borderId="0" xfId="94" quotePrefix="1" applyFont="1" applyFill="1" applyAlignment="1">
      <alignment horizontal="left" vertical="center"/>
    </xf>
    <xf numFmtId="0" fontId="60" fillId="63" borderId="0" xfId="94" applyFont="1" applyFill="1" applyAlignment="1">
      <alignment vertical="center"/>
    </xf>
    <xf numFmtId="0" fontId="56" fillId="63" borderId="0" xfId="94" applyFont="1" applyFill="1" applyAlignment="1">
      <alignment horizontal="center" vertical="center"/>
    </xf>
    <xf numFmtId="0" fontId="54" fillId="63" borderId="0" xfId="94" quotePrefix="1" applyFont="1" applyFill="1" applyAlignment="1">
      <alignment horizontal="left" vertical="center"/>
    </xf>
    <xf numFmtId="0" fontId="47" fillId="63" borderId="0" xfId="94" quotePrefix="1" applyFont="1" applyFill="1" applyAlignment="1">
      <alignment horizontal="left" vertical="center"/>
    </xf>
    <xf numFmtId="0" fontId="47" fillId="63" borderId="0" xfId="94" quotePrefix="1" applyFont="1" applyFill="1" applyAlignment="1">
      <alignment horizontal="center" vertical="center"/>
    </xf>
    <xf numFmtId="0" fontId="61" fillId="63" borderId="0" xfId="94" applyFont="1" applyFill="1" applyAlignment="1">
      <alignment horizontal="center" vertical="center"/>
    </xf>
    <xf numFmtId="9" fontId="32" fillId="63" borderId="0" xfId="94" quotePrefix="1" applyNumberFormat="1" applyFont="1" applyFill="1" applyAlignment="1">
      <alignment horizontal="center" vertical="center"/>
    </xf>
    <xf numFmtId="0" fontId="55" fillId="63" borderId="0" xfId="94" applyFont="1" applyFill="1" applyAlignment="1">
      <alignment vertical="center"/>
    </xf>
    <xf numFmtId="0" fontId="48" fillId="63" borderId="0" xfId="94" quotePrefix="1" applyFont="1" applyFill="1" applyAlignment="1">
      <alignment horizontal="center" vertical="center"/>
    </xf>
    <xf numFmtId="0" fontId="32" fillId="63" borderId="0" xfId="94" quotePrefix="1" applyFont="1" applyFill="1" applyAlignment="1">
      <alignment horizontal="left" vertical="center"/>
    </xf>
    <xf numFmtId="0" fontId="55" fillId="63" borderId="0" xfId="94" quotePrefix="1" applyFont="1" applyFill="1" applyAlignment="1">
      <alignment horizontal="left" vertical="center"/>
    </xf>
    <xf numFmtId="0" fontId="50" fillId="63" borderId="0" xfId="94" quotePrefix="1" applyFont="1" applyFill="1" applyAlignment="1">
      <alignment horizontal="left" vertical="center"/>
    </xf>
    <xf numFmtId="0" fontId="61" fillId="63" borderId="0" xfId="94" applyFont="1" applyFill="1" applyAlignment="1">
      <alignment vertical="center"/>
    </xf>
    <xf numFmtId="0" fontId="52" fillId="63" borderId="0" xfId="94" applyFont="1" applyFill="1"/>
    <xf numFmtId="9" fontId="50" fillId="63" borderId="0" xfId="94" quotePrefix="1" applyNumberFormat="1" applyFont="1" applyFill="1" applyAlignment="1">
      <alignment horizontal="center" vertical="center"/>
    </xf>
    <xf numFmtId="3" fontId="51" fillId="63" borderId="0" xfId="94" applyNumberFormat="1" applyFont="1" applyFill="1"/>
    <xf numFmtId="170" fontId="50" fillId="63" borderId="0" xfId="95" applyNumberFormat="1" applyFont="1" applyFill="1" applyBorder="1" applyAlignment="1" applyProtection="1">
      <alignment horizontal="center"/>
      <protection locked="0"/>
    </xf>
    <xf numFmtId="4" fontId="48" fillId="63" borderId="0" xfId="94" quotePrefix="1" applyNumberFormat="1" applyFont="1" applyFill="1" applyAlignment="1">
      <alignment horizontal="left" vertical="center"/>
    </xf>
    <xf numFmtId="0" fontId="7" fillId="14" borderId="0" xfId="54"/>
    <xf numFmtId="3" fontId="52" fillId="63" borderId="0" xfId="94" applyNumberFormat="1" applyFont="1" applyFill="1"/>
    <xf numFmtId="172" fontId="52" fillId="63" borderId="0" xfId="94" applyNumberFormat="1" applyFont="1" applyFill="1"/>
    <xf numFmtId="0" fontId="49" fillId="91" borderId="0" xfId="94" applyFont="1" applyFill="1"/>
    <xf numFmtId="0" fontId="48" fillId="91" borderId="0" xfId="94" quotePrefix="1" applyFont="1" applyFill="1" applyAlignment="1">
      <alignment horizontal="left" vertical="center"/>
    </xf>
    <xf numFmtId="0" fontId="48" fillId="91" borderId="0" xfId="94" quotePrefix="1" applyFont="1" applyFill="1" applyAlignment="1">
      <alignment horizontal="center" vertical="center"/>
    </xf>
    <xf numFmtId="0" fontId="52" fillId="91" borderId="0" xfId="94" applyFont="1" applyFill="1"/>
    <xf numFmtId="0" fontId="47" fillId="91" borderId="0" xfId="94" quotePrefix="1" applyFont="1" applyFill="1"/>
    <xf numFmtId="170" fontId="50" fillId="91" borderId="0" xfId="95" applyNumberFormat="1" applyFont="1" applyFill="1" applyBorder="1" applyAlignment="1" applyProtection="1">
      <alignment horizontal="center"/>
      <protection locked="0"/>
    </xf>
    <xf numFmtId="3" fontId="52" fillId="91" borderId="0" xfId="94" applyNumberFormat="1" applyFont="1" applyFill="1"/>
    <xf numFmtId="172" fontId="52" fillId="91" borderId="0" xfId="94" applyNumberFormat="1" applyFont="1" applyFill="1"/>
    <xf numFmtId="166" fontId="53" fillId="91" borderId="0" xfId="93" applyNumberFormat="1" applyFont="1" applyFill="1" applyBorder="1"/>
    <xf numFmtId="0" fontId="49" fillId="92" borderId="0" xfId="94" applyFont="1" applyFill="1"/>
    <xf numFmtId="0" fontId="49" fillId="92" borderId="0" xfId="94" applyFont="1" applyFill="1" applyAlignment="1">
      <alignment horizontal="center"/>
    </xf>
    <xf numFmtId="0" fontId="52" fillId="92" borderId="0" xfId="94" applyFont="1" applyFill="1"/>
    <xf numFmtId="0" fontId="56" fillId="63" borderId="0" xfId="94" quotePrefix="1" applyFont="1" applyFill="1" applyAlignment="1">
      <alignment horizontal="center" vertical="center"/>
    </xf>
    <xf numFmtId="0" fontId="57" fillId="63" borderId="0" xfId="94" quotePrefix="1" applyFont="1" applyFill="1" applyAlignment="1">
      <alignment horizontal="center" vertical="center"/>
    </xf>
    <xf numFmtId="0" fontId="32" fillId="63" borderId="0" xfId="94" applyFont="1" applyFill="1" applyAlignment="1" applyProtection="1">
      <alignment horizontal="left" vertical="center"/>
      <protection locked="0"/>
    </xf>
    <xf numFmtId="0" fontId="58" fillId="63" borderId="0" xfId="94" quotePrefix="1" applyFont="1" applyFill="1" applyAlignment="1">
      <alignment horizontal="center" vertical="center"/>
    </xf>
    <xf numFmtId="0" fontId="57" fillId="63" borderId="0" xfId="94" quotePrefix="1" applyFont="1" applyFill="1" applyAlignment="1">
      <alignment horizontal="left" vertical="center"/>
    </xf>
    <xf numFmtId="0" fontId="32" fillId="63" borderId="0" xfId="94" quotePrefix="1" applyFont="1" applyFill="1"/>
    <xf numFmtId="0" fontId="52" fillId="93" borderId="0" xfId="94" applyFont="1" applyFill="1"/>
    <xf numFmtId="0" fontId="49" fillId="93" borderId="0" xfId="94" applyFont="1" applyFill="1"/>
    <xf numFmtId="0" fontId="49" fillId="93" borderId="0" xfId="94" applyFont="1" applyFill="1" applyAlignment="1">
      <alignment horizontal="center"/>
    </xf>
    <xf numFmtId="0" fontId="49" fillId="94" borderId="0" xfId="94" applyFont="1" applyFill="1"/>
    <xf numFmtId="0" fontId="52" fillId="94" borderId="0" xfId="94" applyFont="1" applyFill="1"/>
    <xf numFmtId="172" fontId="52" fillId="94" borderId="0" xfId="94" applyNumberFormat="1" applyFont="1" applyFill="1"/>
    <xf numFmtId="10" fontId="53" fillId="94" borderId="0" xfId="93" applyNumberFormat="1" applyFont="1" applyFill="1" applyBorder="1"/>
    <xf numFmtId="0" fontId="32" fillId="94" borderId="0" xfId="40" applyFont="1" applyFill="1" applyBorder="1" applyAlignment="1">
      <alignment horizontal="center" vertical="center"/>
    </xf>
    <xf numFmtId="9" fontId="32" fillId="94" borderId="0" xfId="29" applyNumberFormat="1" applyFont="1" applyFill="1" applyBorder="1" applyAlignment="1">
      <alignment horizontal="center" vertical="center"/>
    </xf>
    <xf numFmtId="3" fontId="32" fillId="94" borderId="0" xfId="40" applyNumberFormat="1" applyFont="1" applyFill="1" applyBorder="1" applyAlignment="1">
      <alignment horizontal="center" vertical="center"/>
    </xf>
    <xf numFmtId="0" fontId="48" fillId="94" borderId="0" xfId="94" quotePrefix="1" applyFont="1" applyFill="1" applyAlignment="1">
      <alignment horizontal="left" vertical="center"/>
    </xf>
    <xf numFmtId="9" fontId="32" fillId="64" borderId="0" xfId="29" applyNumberFormat="1" applyFont="1" applyFill="1" applyBorder="1" applyAlignment="1">
      <alignment horizontal="center" vertical="center"/>
    </xf>
    <xf numFmtId="3" fontId="32" fillId="64" borderId="0" xfId="40" applyNumberFormat="1" applyFont="1" applyFill="1" applyBorder="1" applyAlignment="1">
      <alignment horizontal="center" vertical="center"/>
    </xf>
    <xf numFmtId="172" fontId="52" fillId="64" borderId="0" xfId="94" applyNumberFormat="1" applyFont="1" applyFill="1"/>
    <xf numFmtId="10" fontId="53" fillId="64" borderId="0" xfId="93" applyNumberFormat="1" applyFont="1" applyFill="1" applyBorder="1"/>
    <xf numFmtId="0" fontId="52" fillId="76" borderId="0" xfId="94" applyFont="1" applyFill="1"/>
    <xf numFmtId="10" fontId="52" fillId="76" borderId="0" xfId="93" applyNumberFormat="1" applyFont="1" applyFill="1"/>
    <xf numFmtId="0" fontId="48" fillId="64" borderId="0" xfId="94" quotePrefix="1" applyFont="1" applyFill="1" applyAlignment="1">
      <alignment horizontal="center" vertical="center"/>
    </xf>
    <xf numFmtId="3" fontId="32" fillId="0" borderId="24" xfId="40" applyNumberFormat="1" applyFont="1" applyBorder="1" applyAlignment="1">
      <alignment horizontal="center" vertical="center"/>
    </xf>
    <xf numFmtId="3" fontId="50" fillId="0" borderId="24" xfId="40" applyNumberFormat="1" applyFont="1" applyBorder="1" applyAlignment="1">
      <alignment horizontal="center" vertical="center"/>
    </xf>
    <xf numFmtId="3" fontId="50" fillId="64" borderId="0" xfId="40" applyNumberFormat="1" applyFont="1" applyFill="1" applyBorder="1" applyAlignment="1">
      <alignment horizontal="center" vertical="center"/>
    </xf>
    <xf numFmtId="0" fontId="52" fillId="95" borderId="0" xfId="94" applyFont="1" applyFill="1"/>
    <xf numFmtId="0" fontId="51" fillId="95" borderId="0" xfId="94" applyFont="1" applyFill="1"/>
    <xf numFmtId="0" fontId="52" fillId="95" borderId="0" xfId="94" quotePrefix="1" applyFont="1" applyFill="1" applyAlignment="1">
      <alignment horizontal="left" vertical="center"/>
    </xf>
    <xf numFmtId="0" fontId="52" fillId="95" borderId="0" xfId="94" quotePrefix="1" applyFont="1" applyFill="1" applyAlignment="1">
      <alignment horizontal="center" vertical="center"/>
    </xf>
    <xf numFmtId="0" fontId="51" fillId="95" borderId="0" xfId="94" quotePrefix="1" applyFont="1" applyFill="1"/>
    <xf numFmtId="169" fontId="32" fillId="96" borderId="0" xfId="40" applyNumberFormat="1" applyFont="1" applyFill="1" applyBorder="1" applyAlignment="1">
      <alignment vertical="center"/>
    </xf>
    <xf numFmtId="3" fontId="50" fillId="96" borderId="0" xfId="40" applyNumberFormat="1" applyFont="1" applyFill="1" applyBorder="1" applyAlignment="1">
      <alignment horizontal="center" vertical="center"/>
    </xf>
    <xf numFmtId="3" fontId="32" fillId="96" borderId="0" xfId="40" applyNumberFormat="1" applyFont="1" applyFill="1" applyBorder="1" applyAlignment="1">
      <alignment horizontal="center" vertical="center"/>
    </xf>
    <xf numFmtId="0" fontId="52" fillId="97" borderId="0" xfId="94" applyFont="1" applyFill="1"/>
    <xf numFmtId="0" fontId="49" fillId="97" borderId="0" xfId="94" applyFont="1" applyFill="1"/>
    <xf numFmtId="0" fontId="49" fillId="97" borderId="0" xfId="94" applyFont="1" applyFill="1" applyAlignment="1">
      <alignment horizontal="center"/>
    </xf>
    <xf numFmtId="0" fontId="69" fillId="97" borderId="0" xfId="94" applyFont="1" applyFill="1"/>
    <xf numFmtId="0" fontId="52" fillId="98" borderId="0" xfId="94" applyFont="1" applyFill="1"/>
    <xf numFmtId="0" fontId="49" fillId="62" borderId="0" xfId="94" applyFont="1" applyFill="1"/>
    <xf numFmtId="0" fontId="48" fillId="62" borderId="0" xfId="94" quotePrefix="1" applyFont="1" applyFill="1" applyAlignment="1">
      <alignment horizontal="left" vertical="center"/>
    </xf>
    <xf numFmtId="0" fontId="48" fillId="62" borderId="0" xfId="94" quotePrefix="1" applyFont="1" applyFill="1" applyAlignment="1">
      <alignment horizontal="center" vertical="center"/>
    </xf>
    <xf numFmtId="0" fontId="52" fillId="62" borderId="0" xfId="94" applyFont="1" applyFill="1"/>
    <xf numFmtId="0" fontId="47" fillId="62" borderId="0" xfId="94" quotePrefix="1" applyFont="1" applyFill="1"/>
    <xf numFmtId="0" fontId="50" fillId="84" borderId="0" xfId="94" applyFont="1" applyFill="1"/>
    <xf numFmtId="0" fontId="32" fillId="84" borderId="0" xfId="94" quotePrefix="1" applyFont="1" applyFill="1" applyAlignment="1">
      <alignment horizontal="left" vertical="center"/>
    </xf>
    <xf numFmtId="0" fontId="32" fillId="84" borderId="0" xfId="94" applyFont="1" applyFill="1"/>
    <xf numFmtId="172" fontId="32" fillId="84" borderId="0" xfId="94" applyNumberFormat="1" applyFont="1" applyFill="1"/>
    <xf numFmtId="10" fontId="50" fillId="84" borderId="0" xfId="93" applyNumberFormat="1" applyFont="1" applyFill="1" applyBorder="1"/>
    <xf numFmtId="0" fontId="48" fillId="98" borderId="0" xfId="94" quotePrefix="1" applyFont="1" applyFill="1" applyAlignment="1">
      <alignment horizontal="left" vertical="center"/>
    </xf>
    <xf numFmtId="9" fontId="32" fillId="98" borderId="0" xfId="29" applyNumberFormat="1" applyFont="1" applyFill="1" applyBorder="1" applyAlignment="1">
      <alignment horizontal="center" vertical="center"/>
    </xf>
    <xf numFmtId="3" fontId="32" fillId="98" borderId="0" xfId="40" applyNumberFormat="1" applyFont="1" applyFill="1" applyBorder="1" applyAlignment="1">
      <alignment horizontal="center" vertical="center"/>
    </xf>
    <xf numFmtId="166" fontId="32" fillId="98" borderId="0" xfId="29" applyNumberFormat="1" applyFont="1" applyFill="1" applyBorder="1" applyAlignment="1">
      <alignment horizontal="right"/>
    </xf>
    <xf numFmtId="173" fontId="32" fillId="99" borderId="0" xfId="95" applyNumberFormat="1" applyFont="1" applyFill="1" applyBorder="1" applyAlignment="1" applyProtection="1">
      <alignment horizontal="center" vertical="center"/>
      <protection locked="0"/>
    </xf>
    <xf numFmtId="0" fontId="63" fillId="98" borderId="0" xfId="94" applyFont="1" applyFill="1" applyAlignment="1">
      <alignment vertical="center"/>
    </xf>
    <xf numFmtId="3" fontId="32" fillId="98" borderId="0" xfId="95" applyNumberFormat="1" applyFont="1" applyFill="1" applyBorder="1" applyAlignment="1" applyProtection="1">
      <alignment horizontal="center" vertical="center"/>
      <protection locked="0"/>
    </xf>
    <xf numFmtId="3" fontId="50" fillId="98" borderId="0" xfId="95" applyNumberFormat="1" applyFont="1" applyFill="1" applyBorder="1" applyAlignment="1" applyProtection="1">
      <alignment horizontal="center" vertical="center"/>
      <protection locked="0"/>
    </xf>
    <xf numFmtId="3" fontId="53" fillId="98" borderId="0" xfId="95" applyNumberFormat="1" applyFont="1" applyFill="1" applyBorder="1" applyAlignment="1" applyProtection="1">
      <alignment horizontal="center" vertical="center"/>
      <protection locked="0"/>
    </xf>
    <xf numFmtId="0" fontId="48" fillId="98" borderId="0" xfId="94" applyFont="1" applyFill="1" applyAlignment="1">
      <alignment vertical="center"/>
    </xf>
    <xf numFmtId="0" fontId="49" fillId="98" borderId="0" xfId="94" applyFont="1" applyFill="1" applyAlignment="1">
      <alignment vertical="center"/>
    </xf>
    <xf numFmtId="49" fontId="32" fillId="98" borderId="0" xfId="95" applyNumberFormat="1" applyFont="1" applyFill="1" applyBorder="1" applyAlignment="1" applyProtection="1">
      <alignment horizontal="center" vertical="center"/>
      <protection locked="0"/>
    </xf>
    <xf numFmtId="9" fontId="56" fillId="98" borderId="0" xfId="94" applyNumberFormat="1" applyFont="1" applyFill="1" applyAlignment="1">
      <alignment horizontal="center" vertical="center"/>
    </xf>
    <xf numFmtId="4" fontId="32" fillId="98" borderId="0" xfId="95" applyNumberFormat="1" applyFont="1" applyFill="1" applyBorder="1" applyAlignment="1" applyProtection="1">
      <alignment horizontal="center" vertical="center"/>
      <protection locked="0"/>
    </xf>
    <xf numFmtId="0" fontId="61" fillId="98" borderId="0" xfId="94" applyFont="1" applyFill="1" applyAlignment="1">
      <alignment vertical="center"/>
    </xf>
    <xf numFmtId="9" fontId="32" fillId="84" borderId="0" xfId="29" applyNumberFormat="1" applyFont="1" applyFill="1" applyBorder="1" applyAlignment="1">
      <alignment horizontal="center" vertical="center"/>
    </xf>
    <xf numFmtId="3" fontId="32" fillId="84" borderId="0" xfId="40" applyNumberFormat="1" applyFont="1" applyFill="1" applyBorder="1" applyAlignment="1">
      <alignment horizontal="center" vertical="center"/>
    </xf>
    <xf numFmtId="0" fontId="32" fillId="98" borderId="0" xfId="40" applyFont="1" applyFill="1" applyBorder="1" applyAlignment="1">
      <alignment vertical="center"/>
    </xf>
    <xf numFmtId="0" fontId="32" fillId="98" borderId="0" xfId="40" applyFont="1" applyFill="1" applyBorder="1" applyAlignment="1">
      <alignment horizontal="center" vertical="center"/>
    </xf>
    <xf numFmtId="3" fontId="32" fillId="2" borderId="25" xfId="33" applyNumberFormat="1" applyFont="1" applyBorder="1" applyAlignment="1">
      <alignment horizontal="right" vertical="center"/>
      <protection locked="0"/>
    </xf>
    <xf numFmtId="167" fontId="32" fillId="66" borderId="25" xfId="92" applyNumberFormat="1" applyFont="1" applyFill="1" applyBorder="1" applyAlignment="1">
      <alignment horizontal="center" vertical="center"/>
    </xf>
    <xf numFmtId="3" fontId="50" fillId="98" borderId="0" xfId="40" applyNumberFormat="1" applyFont="1" applyFill="1" applyBorder="1" applyAlignment="1">
      <alignment horizontal="center" vertical="center"/>
    </xf>
    <xf numFmtId="167" fontId="32" fillId="98" borderId="0" xfId="92" applyNumberFormat="1" applyFont="1" applyFill="1" applyBorder="1" applyAlignment="1">
      <alignment horizontal="center" vertical="center"/>
    </xf>
    <xf numFmtId="169" fontId="32" fillId="84" borderId="0" xfId="40" applyNumberFormat="1" applyFont="1" applyFill="1" applyBorder="1" applyAlignment="1">
      <alignment vertical="center"/>
    </xf>
    <xf numFmtId="3" fontId="50" fillId="87" borderId="0" xfId="40" applyNumberFormat="1" applyFont="1" applyFill="1" applyBorder="1" applyAlignment="1">
      <alignment horizontal="center" vertical="center"/>
    </xf>
    <xf numFmtId="3" fontId="32" fillId="87" borderId="0" xfId="40" applyNumberFormat="1" applyFont="1" applyFill="1" applyBorder="1" applyAlignment="1">
      <alignment horizontal="center" vertical="center"/>
    </xf>
    <xf numFmtId="0" fontId="62" fillId="84" borderId="0" xfId="38" applyFont="1" applyFill="1" applyBorder="1" applyAlignment="1">
      <alignment vertical="center"/>
    </xf>
    <xf numFmtId="0" fontId="50" fillId="87" borderId="0" xfId="40" applyFont="1" applyFill="1" applyBorder="1" applyAlignment="1">
      <alignment vertical="center"/>
    </xf>
    <xf numFmtId="0" fontId="50" fillId="87" borderId="0" xfId="40" applyFont="1" applyFill="1" applyBorder="1" applyAlignment="1">
      <alignment horizontal="center" vertical="center"/>
    </xf>
    <xf numFmtId="3" fontId="32" fillId="2" borderId="25" xfId="33" applyNumberFormat="1" applyFont="1" applyBorder="1" applyAlignment="1">
      <alignment horizontal="center" vertical="center"/>
      <protection locked="0"/>
    </xf>
    <xf numFmtId="0" fontId="62" fillId="96" borderId="0" xfId="38" applyFont="1" applyFill="1" applyBorder="1" applyAlignment="1">
      <alignment vertical="center"/>
    </xf>
    <xf numFmtId="0" fontId="32" fillId="96" borderId="0" xfId="40" applyFont="1" applyFill="1" applyBorder="1" applyAlignment="1">
      <alignment horizontal="center" vertical="center"/>
    </xf>
    <xf numFmtId="0" fontId="50" fillId="96" borderId="0" xfId="40" applyFont="1" applyFill="1" applyBorder="1" applyAlignment="1">
      <alignment vertical="center"/>
    </xf>
    <xf numFmtId="0" fontId="50" fillId="96" borderId="0" xfId="40" applyFont="1" applyFill="1" applyBorder="1" applyAlignment="1">
      <alignment horizontal="center" vertical="center"/>
    </xf>
    <xf numFmtId="0" fontId="32" fillId="64" borderId="0" xfId="40" applyFont="1" applyFill="1" applyBorder="1" applyAlignment="1">
      <alignment vertical="center"/>
    </xf>
    <xf numFmtId="0" fontId="32" fillId="64" borderId="0" xfId="40" applyFont="1" applyFill="1" applyBorder="1" applyAlignment="1">
      <alignment horizontal="center" vertical="center"/>
    </xf>
    <xf numFmtId="0" fontId="62" fillId="64" borderId="0" xfId="38" applyFont="1" applyFill="1" applyBorder="1" applyAlignment="1">
      <alignment vertical="center"/>
    </xf>
    <xf numFmtId="0" fontId="50" fillId="64" borderId="0" xfId="40" applyFont="1" applyFill="1" applyBorder="1" applyAlignment="1">
      <alignment vertical="center"/>
    </xf>
    <xf numFmtId="0" fontId="50" fillId="64" borderId="0" xfId="40" applyFont="1" applyFill="1" applyBorder="1" applyAlignment="1">
      <alignment horizontal="center" vertical="center"/>
    </xf>
    <xf numFmtId="0" fontId="32" fillId="0" borderId="16" xfId="40" applyFont="1" applyBorder="1" applyAlignment="1">
      <alignment horizontal="center" vertical="center"/>
    </xf>
    <xf numFmtId="0" fontId="32" fillId="0" borderId="36" xfId="40" applyFont="1" applyBorder="1" applyAlignment="1">
      <alignment horizontal="center" vertical="center"/>
    </xf>
    <xf numFmtId="0" fontId="50" fillId="0" borderId="36" xfId="40" applyFont="1" applyBorder="1" applyAlignment="1">
      <alignment horizontal="center" vertical="center"/>
    </xf>
    <xf numFmtId="0" fontId="32" fillId="0" borderId="0" xfId="40" applyFont="1" applyBorder="1" applyAlignment="1">
      <alignment vertical="center"/>
    </xf>
    <xf numFmtId="0" fontId="62" fillId="0" borderId="0" xfId="38" applyFont="1" applyBorder="1" applyAlignment="1">
      <alignment vertical="center"/>
    </xf>
    <xf numFmtId="0" fontId="50" fillId="0" borderId="0" xfId="40" applyFont="1" applyBorder="1" applyAlignment="1">
      <alignment vertical="center"/>
    </xf>
    <xf numFmtId="0" fontId="32" fillId="2" borderId="1" xfId="33" applyNumberFormat="1" applyFont="1" applyAlignment="1">
      <alignment horizontal="center" vertical="center"/>
      <protection locked="0"/>
    </xf>
    <xf numFmtId="0" fontId="49" fillId="100" borderId="0" xfId="0" applyFont="1" applyFill="1" applyAlignment="1">
      <alignment vertical="center"/>
    </xf>
    <xf numFmtId="0" fontId="49" fillId="100" borderId="0" xfId="94" applyFont="1" applyFill="1" applyAlignment="1">
      <alignment horizontal="center"/>
    </xf>
    <xf numFmtId="0" fontId="63" fillId="75" borderId="0" xfId="0" applyFont="1" applyFill="1" applyAlignment="1">
      <alignment vertical="center"/>
    </xf>
    <xf numFmtId="0" fontId="60" fillId="75" borderId="0" xfId="0" applyFont="1" applyFill="1" applyAlignment="1">
      <alignment vertical="center"/>
    </xf>
    <xf numFmtId="0" fontId="47" fillId="75" borderId="0" xfId="0" quotePrefix="1" applyFont="1" applyFill="1" applyAlignment="1">
      <alignment horizontal="left" vertical="center"/>
    </xf>
    <xf numFmtId="0" fontId="48" fillId="75" borderId="0" xfId="0" quotePrefix="1" applyFont="1" applyFill="1" applyAlignment="1">
      <alignment horizontal="left" vertical="center"/>
    </xf>
    <xf numFmtId="0" fontId="56" fillId="75" borderId="0" xfId="0" quotePrefix="1" applyFont="1" applyFill="1" applyAlignment="1">
      <alignment horizontal="center" vertical="center"/>
    </xf>
    <xf numFmtId="0" fontId="54" fillId="75" borderId="0" xfId="0" quotePrefix="1" applyFont="1" applyFill="1" applyAlignment="1">
      <alignment horizontal="left" vertical="center"/>
    </xf>
    <xf numFmtId="0" fontId="58" fillId="75" borderId="0" xfId="0" quotePrefix="1" applyFont="1" applyFill="1" applyAlignment="1">
      <alignment horizontal="center" vertical="center"/>
    </xf>
    <xf numFmtId="0" fontId="61" fillId="75" borderId="0" xfId="0" applyFont="1" applyFill="1" applyAlignment="1">
      <alignment vertical="center"/>
    </xf>
    <xf numFmtId="0" fontId="61" fillId="75" borderId="0" xfId="0" applyFont="1" applyFill="1" applyAlignment="1">
      <alignment horizontal="center" vertical="center"/>
    </xf>
    <xf numFmtId="0" fontId="63" fillId="75" borderId="0" xfId="0" applyFont="1" applyFill="1" applyAlignment="1">
      <alignment horizontal="center" vertical="center"/>
    </xf>
    <xf numFmtId="0" fontId="51" fillId="75" borderId="0" xfId="0" applyFont="1" applyFill="1"/>
    <xf numFmtId="0" fontId="32" fillId="75" borderId="0" xfId="0" applyFont="1" applyFill="1"/>
    <xf numFmtId="3" fontId="63" fillId="75" borderId="0" xfId="0" applyNumberFormat="1" applyFont="1" applyFill="1" applyAlignment="1">
      <alignment vertical="center"/>
    </xf>
    <xf numFmtId="9" fontId="32" fillId="75" borderId="0" xfId="29" applyNumberFormat="1" applyFont="1" applyFill="1" applyBorder="1" applyAlignment="1">
      <alignment horizontal="center" vertical="center"/>
    </xf>
    <xf numFmtId="3" fontId="32" fillId="75" borderId="0" xfId="40" applyNumberFormat="1" applyFont="1" applyFill="1" applyBorder="1" applyAlignment="1">
      <alignment horizontal="center" vertical="center"/>
    </xf>
    <xf numFmtId="9" fontId="32" fillId="90" borderId="0" xfId="29" applyNumberFormat="1" applyFont="1" applyFill="1" applyBorder="1" applyAlignment="1">
      <alignment horizontal="center" vertical="center"/>
    </xf>
    <xf numFmtId="3" fontId="32" fillId="90" borderId="0" xfId="40" applyNumberFormat="1" applyFont="1" applyFill="1" applyBorder="1" applyAlignment="1">
      <alignment horizontal="center" vertical="center"/>
    </xf>
    <xf numFmtId="0" fontId="50" fillId="90" borderId="0" xfId="94" applyFont="1" applyFill="1"/>
    <xf numFmtId="0" fontId="32" fillId="90" borderId="0" xfId="94" quotePrefix="1" applyFont="1" applyFill="1" applyAlignment="1">
      <alignment horizontal="left" vertical="center"/>
    </xf>
    <xf numFmtId="0" fontId="32" fillId="90" borderId="0" xfId="94" applyFont="1" applyFill="1"/>
    <xf numFmtId="172" fontId="32" fillId="90" borderId="0" xfId="94" applyNumberFormat="1" applyFont="1" applyFill="1"/>
    <xf numFmtId="10" fontId="50" fillId="90" borderId="0" xfId="93" applyNumberFormat="1" applyFont="1" applyFill="1" applyBorder="1"/>
    <xf numFmtId="0" fontId="32" fillId="75" borderId="0" xfId="40" applyFont="1" applyFill="1" applyBorder="1" applyAlignment="1">
      <alignment vertical="center"/>
    </xf>
    <xf numFmtId="0" fontId="32" fillId="75" borderId="0" xfId="40" applyFont="1" applyFill="1" applyBorder="1" applyAlignment="1">
      <alignment horizontal="center" vertical="center"/>
    </xf>
    <xf numFmtId="176" fontId="52" fillId="75" borderId="0" xfId="94" applyNumberFormat="1" applyFont="1" applyFill="1"/>
    <xf numFmtId="174" fontId="52" fillId="75" borderId="0" xfId="92" applyNumberFormat="1" applyFont="1" applyFill="1"/>
    <xf numFmtId="177" fontId="52" fillId="75" borderId="0" xfId="94" applyNumberFormat="1" applyFont="1" applyFill="1"/>
    <xf numFmtId="0" fontId="49" fillId="75" borderId="0" xfId="0" applyFont="1" applyFill="1" applyAlignment="1">
      <alignment vertical="center"/>
    </xf>
    <xf numFmtId="3" fontId="32" fillId="75" borderId="18" xfId="95" applyNumberFormat="1" applyFont="1" applyFill="1" applyBorder="1" applyAlignment="1" applyProtection="1">
      <alignment horizontal="center" vertical="center"/>
      <protection locked="0"/>
    </xf>
    <xf numFmtId="3" fontId="50" fillId="75" borderId="18" xfId="95" applyNumberFormat="1" applyFont="1" applyFill="1" applyBorder="1" applyAlignment="1" applyProtection="1">
      <alignment horizontal="center" vertical="center"/>
      <protection locked="0"/>
    </xf>
    <xf numFmtId="9" fontId="32" fillId="75" borderId="20" xfId="0" applyNumberFormat="1" applyFont="1" applyFill="1" applyBorder="1" applyAlignment="1">
      <alignment horizontal="center"/>
    </xf>
    <xf numFmtId="166" fontId="32" fillId="75" borderId="18" xfId="95" applyNumberFormat="1" applyFont="1" applyFill="1" applyBorder="1" applyAlignment="1" applyProtection="1">
      <alignment horizontal="center" vertical="center"/>
      <protection locked="0"/>
    </xf>
    <xf numFmtId="169" fontId="32" fillId="75" borderId="18" xfId="95" applyNumberFormat="1" applyFont="1" applyFill="1" applyBorder="1" applyAlignment="1" applyProtection="1">
      <alignment horizontal="center" vertical="center"/>
      <protection locked="0"/>
    </xf>
    <xf numFmtId="169" fontId="32" fillId="75" borderId="19" xfId="95" applyNumberFormat="1" applyFont="1" applyFill="1" applyBorder="1" applyAlignment="1" applyProtection="1">
      <alignment horizontal="center" vertical="center"/>
      <protection locked="0"/>
    </xf>
    <xf numFmtId="0" fontId="32" fillId="75" borderId="20" xfId="0" applyFont="1" applyFill="1" applyBorder="1"/>
    <xf numFmtId="169" fontId="32" fillId="75" borderId="20" xfId="95" applyNumberFormat="1" applyFont="1" applyFill="1" applyBorder="1" applyAlignment="1" applyProtection="1">
      <alignment horizontal="center" vertical="center"/>
      <protection locked="0"/>
    </xf>
    <xf numFmtId="0" fontId="56" fillId="75" borderId="0" xfId="0" applyFont="1" applyFill="1" applyAlignment="1">
      <alignment vertical="center"/>
    </xf>
    <xf numFmtId="4" fontId="32" fillId="101" borderId="21" xfId="95" applyNumberFormat="1" applyFont="1" applyFill="1" applyBorder="1" applyAlignment="1" applyProtection="1">
      <alignment horizontal="center" vertical="center"/>
      <protection locked="0"/>
    </xf>
    <xf numFmtId="0" fontId="66" fillId="101" borderId="0" xfId="0" quotePrefix="1" applyFont="1" applyFill="1" applyAlignment="1">
      <alignment horizontal="center" vertical="center"/>
    </xf>
    <xf numFmtId="0" fontId="52" fillId="102" borderId="0" xfId="94" applyFont="1" applyFill="1"/>
    <xf numFmtId="0" fontId="60" fillId="102" borderId="0" xfId="0" applyFont="1" applyFill="1" applyAlignment="1">
      <alignment vertical="center"/>
    </xf>
    <xf numFmtId="0" fontId="32" fillId="102" borderId="0" xfId="0" applyFont="1" applyFill="1" applyAlignment="1">
      <alignment vertical="center"/>
    </xf>
    <xf numFmtId="0" fontId="55" fillId="102" borderId="0" xfId="0" applyFont="1" applyFill="1" applyAlignment="1">
      <alignment vertical="center"/>
    </xf>
    <xf numFmtId="0" fontId="50" fillId="102" borderId="0" xfId="0" applyFont="1" applyFill="1" applyAlignment="1">
      <alignment vertical="center"/>
    </xf>
    <xf numFmtId="9" fontId="32" fillId="102" borderId="0" xfId="29" applyNumberFormat="1" applyFont="1" applyFill="1" applyBorder="1" applyAlignment="1">
      <alignment horizontal="center" vertical="center"/>
    </xf>
    <xf numFmtId="3" fontId="32" fillId="102" borderId="0" xfId="40" applyNumberFormat="1" applyFont="1" applyFill="1" applyBorder="1" applyAlignment="1">
      <alignment horizontal="center" vertical="center"/>
    </xf>
    <xf numFmtId="0" fontId="49" fillId="103" borderId="0" xfId="94" applyFont="1" applyFill="1"/>
    <xf numFmtId="0" fontId="52" fillId="103" borderId="0" xfId="94" applyFont="1" applyFill="1"/>
    <xf numFmtId="0" fontId="50" fillId="103" borderId="0" xfId="94" applyFont="1" applyFill="1"/>
    <xf numFmtId="0" fontId="32" fillId="103" borderId="0" xfId="94" applyFont="1" applyFill="1"/>
    <xf numFmtId="0" fontId="32" fillId="102" borderId="0" xfId="40" applyFont="1" applyFill="1" applyBorder="1" applyAlignment="1">
      <alignment horizontal="center" vertical="center"/>
    </xf>
    <xf numFmtId="0" fontId="32" fillId="103" borderId="0" xfId="0" applyFont="1" applyFill="1"/>
    <xf numFmtId="0" fontId="52" fillId="57" borderId="0" xfId="94" applyFont="1" applyFill="1"/>
    <xf numFmtId="0" fontId="69" fillId="57" borderId="0" xfId="94" applyFont="1" applyFill="1"/>
    <xf numFmtId="0" fontId="62" fillId="57" borderId="0" xfId="38" applyFont="1" applyFill="1" applyBorder="1" applyAlignment="1">
      <alignment vertical="center"/>
    </xf>
    <xf numFmtId="0" fontId="32" fillId="57" borderId="0" xfId="94" applyFont="1" applyFill="1"/>
    <xf numFmtId="0" fontId="50" fillId="57" borderId="0" xfId="94" applyFont="1" applyFill="1"/>
    <xf numFmtId="0" fontId="47" fillId="40" borderId="0" xfId="94" applyFont="1" applyFill="1" applyAlignment="1">
      <alignment horizontal="left" vertical="center" wrapText="1"/>
    </xf>
    <xf numFmtId="0" fontId="69" fillId="40" borderId="0" xfId="94" quotePrefix="1" applyFont="1" applyFill="1" applyAlignment="1">
      <alignment horizontal="left" vertical="center"/>
    </xf>
    <xf numFmtId="0" fontId="49" fillId="40" borderId="0" xfId="94" applyFont="1" applyFill="1" applyAlignment="1">
      <alignment horizontal="center" vertical="center"/>
    </xf>
    <xf numFmtId="167" fontId="32" fillId="66" borderId="1" xfId="92" applyNumberFormat="1" applyFont="1" applyFill="1" applyBorder="1"/>
    <xf numFmtId="172" fontId="32" fillId="66" borderId="1" xfId="29" applyNumberFormat="1" applyFont="1"/>
    <xf numFmtId="167" fontId="32" fillId="64" borderId="1" xfId="32" applyNumberFormat="1" applyFont="1"/>
    <xf numFmtId="166" fontId="32" fillId="63" borderId="1" xfId="31" applyNumberFormat="1" applyFont="1"/>
    <xf numFmtId="171" fontId="32" fillId="63" borderId="1" xfId="31" applyNumberFormat="1" applyFont="1"/>
    <xf numFmtId="168" fontId="32" fillId="64" borderId="1" xfId="32" applyNumberFormat="1" applyFont="1"/>
    <xf numFmtId="169" fontId="32" fillId="2" borderId="1" xfId="33" applyNumberFormat="1" applyFont="1" applyAlignment="1">
      <alignment horizontal="center"/>
      <protection locked="0"/>
    </xf>
    <xf numFmtId="3" fontId="32" fillId="64" borderId="1" xfId="32" applyNumberFormat="1" applyFont="1" applyAlignment="1">
      <alignment horizontal="center"/>
    </xf>
    <xf numFmtId="3" fontId="32" fillId="64" borderId="26" xfId="32" applyNumberFormat="1" applyFont="1" applyBorder="1" applyAlignment="1">
      <alignment horizontal="center"/>
    </xf>
    <xf numFmtId="168" fontId="32" fillId="66" borderId="1" xfId="29" applyNumberFormat="1" applyFont="1"/>
    <xf numFmtId="0" fontId="32" fillId="14" borderId="0" xfId="54" applyFont="1"/>
    <xf numFmtId="3" fontId="32" fillId="66" borderId="1" xfId="29" applyNumberFormat="1" applyFont="1" applyAlignment="1">
      <alignment horizontal="center"/>
    </xf>
    <xf numFmtId="3" fontId="32" fillId="66" borderId="26" xfId="29" applyNumberFormat="1" applyFont="1" applyBorder="1" applyAlignment="1">
      <alignment horizontal="center"/>
    </xf>
    <xf numFmtId="9" fontId="71" fillId="0" borderId="0" xfId="93" applyFont="1"/>
    <xf numFmtId="4" fontId="32" fillId="66" borderId="1" xfId="29" applyNumberFormat="1" applyFont="1" applyAlignment="1">
      <alignment horizontal="center"/>
    </xf>
    <xf numFmtId="4" fontId="32" fillId="66" borderId="26" xfId="29" applyNumberFormat="1" applyFont="1" applyBorder="1" applyAlignment="1">
      <alignment horizontal="center"/>
    </xf>
    <xf numFmtId="4" fontId="32" fillId="2" borderId="1" xfId="33" applyNumberFormat="1" applyFont="1" applyAlignment="1">
      <alignment horizontal="center"/>
      <protection locked="0"/>
    </xf>
    <xf numFmtId="4" fontId="32" fillId="2" borderId="26" xfId="33" applyNumberFormat="1" applyFont="1" applyBorder="1" applyAlignment="1">
      <alignment horizontal="center"/>
      <protection locked="0"/>
    </xf>
    <xf numFmtId="4" fontId="50" fillId="64" borderId="1" xfId="32" applyNumberFormat="1" applyFont="1" applyAlignment="1">
      <alignment horizontal="center"/>
    </xf>
    <xf numFmtId="4" fontId="50" fillId="64" borderId="26" xfId="32" applyNumberFormat="1" applyFont="1" applyBorder="1" applyAlignment="1">
      <alignment horizontal="center"/>
    </xf>
    <xf numFmtId="4" fontId="50" fillId="63" borderId="1" xfId="31" applyNumberFormat="1" applyFont="1" applyAlignment="1">
      <alignment horizontal="center"/>
    </xf>
    <xf numFmtId="170" fontId="50" fillId="63" borderId="1" xfId="31" applyNumberFormat="1" applyFont="1" applyAlignment="1">
      <alignment horizontal="center"/>
    </xf>
    <xf numFmtId="170" fontId="50" fillId="64" borderId="1" xfId="32" applyNumberFormat="1" applyFont="1" applyAlignment="1">
      <alignment horizontal="center"/>
    </xf>
    <xf numFmtId="3" fontId="50" fillId="63" borderId="1" xfId="31" applyNumberFormat="1" applyFont="1"/>
    <xf numFmtId="3" fontId="50" fillId="64" borderId="1" xfId="32" applyNumberFormat="1" applyFont="1"/>
    <xf numFmtId="0" fontId="32" fillId="91" borderId="0" xfId="0" applyFont="1" applyFill="1"/>
    <xf numFmtId="166" fontId="32" fillId="66" borderId="1" xfId="29" applyNumberFormat="1" applyFont="1"/>
    <xf numFmtId="166" fontId="32" fillId="66" borderId="33" xfId="29" applyNumberFormat="1" applyFont="1" applyBorder="1"/>
    <xf numFmtId="172" fontId="32" fillId="14" borderId="0" xfId="54" applyNumberFormat="1" applyFont="1"/>
    <xf numFmtId="166" fontId="70" fillId="67" borderId="32" xfId="30" applyNumberFormat="1" applyFont="1" applyBorder="1"/>
    <xf numFmtId="3" fontId="32" fillId="63" borderId="25" xfId="31" applyNumberFormat="1" applyFont="1" applyBorder="1" applyAlignment="1">
      <alignment horizontal="right"/>
    </xf>
    <xf numFmtId="3" fontId="32" fillId="63" borderId="1" xfId="31" applyNumberFormat="1" applyFont="1" applyAlignment="1">
      <alignment horizontal="right"/>
    </xf>
    <xf numFmtId="3" fontId="50" fillId="66" borderId="25" xfId="29" applyNumberFormat="1" applyFont="1" applyBorder="1" applyAlignment="1">
      <alignment horizontal="right" vertical="center"/>
    </xf>
    <xf numFmtId="3" fontId="50" fillId="66" borderId="1" xfId="29" applyNumberFormat="1" applyFont="1" applyAlignment="1">
      <alignment horizontal="right" vertical="center"/>
    </xf>
    <xf numFmtId="3" fontId="50" fillId="66" borderId="1" xfId="29" applyNumberFormat="1" applyFont="1" applyAlignment="1">
      <alignment horizontal="center" vertical="center"/>
    </xf>
    <xf numFmtId="175" fontId="32" fillId="64" borderId="1" xfId="32" applyNumberFormat="1" applyFont="1"/>
    <xf numFmtId="10" fontId="32" fillId="63" borderId="1" xfId="31" applyNumberFormat="1" applyFont="1"/>
    <xf numFmtId="176" fontId="50" fillId="63" borderId="25" xfId="31" applyNumberFormat="1" applyFont="1" applyBorder="1"/>
    <xf numFmtId="176" fontId="50" fillId="63" borderId="1" xfId="31" applyNumberFormat="1" applyFont="1"/>
    <xf numFmtId="3" fontId="32" fillId="63" borderId="35" xfId="31" applyNumberFormat="1" applyFont="1" applyBorder="1"/>
    <xf numFmtId="3" fontId="32" fillId="63" borderId="33" xfId="31" applyNumberFormat="1" applyFont="1" applyBorder="1"/>
    <xf numFmtId="3" fontId="50" fillId="63" borderId="25" xfId="31" applyNumberFormat="1" applyFont="1" applyBorder="1" applyAlignment="1">
      <alignment vertical="center"/>
    </xf>
    <xf numFmtId="3" fontId="50" fillId="63" borderId="1" xfId="31" applyNumberFormat="1" applyFont="1" applyAlignment="1">
      <alignment vertical="center"/>
    </xf>
    <xf numFmtId="3" fontId="50" fillId="66" borderId="25" xfId="29" applyNumberFormat="1" applyFont="1" applyBorder="1" applyAlignment="1">
      <alignment horizontal="center" vertical="center"/>
    </xf>
    <xf numFmtId="3" fontId="32" fillId="64" borderId="25" xfId="32" applyNumberFormat="1" applyFont="1" applyBorder="1" applyAlignment="1">
      <alignment horizontal="center" vertical="center"/>
    </xf>
    <xf numFmtId="3" fontId="32" fillId="64" borderId="1" xfId="32" applyNumberFormat="1" applyFont="1" applyAlignment="1">
      <alignment horizontal="center" vertical="center"/>
    </xf>
    <xf numFmtId="10" fontId="32" fillId="66" borderId="1" xfId="29" applyNumberFormat="1" applyFont="1"/>
    <xf numFmtId="3" fontId="50" fillId="63" borderId="25" xfId="31" applyNumberFormat="1" applyFont="1" applyBorder="1"/>
    <xf numFmtId="174" fontId="32" fillId="63" borderId="1" xfId="31" applyNumberFormat="1" applyFont="1"/>
    <xf numFmtId="174" fontId="32" fillId="67" borderId="1" xfId="30" applyNumberFormat="1" applyFont="1"/>
    <xf numFmtId="174" fontId="32" fillId="64" borderId="1" xfId="32" applyNumberFormat="1" applyFont="1"/>
    <xf numFmtId="3" fontId="32" fillId="67" borderId="1" xfId="30" applyNumberFormat="1" applyFont="1" applyAlignment="1">
      <alignment horizontal="center" vertical="center"/>
    </xf>
    <xf numFmtId="174" fontId="50" fillId="64" borderId="1" xfId="32" applyNumberFormat="1" applyFont="1"/>
    <xf numFmtId="174" fontId="32" fillId="66" borderId="1" xfId="29" applyNumberFormat="1" applyFont="1"/>
    <xf numFmtId="3" fontId="32" fillId="64" borderId="1" xfId="32" applyNumberFormat="1" applyFont="1" applyAlignment="1">
      <alignment vertical="center"/>
    </xf>
    <xf numFmtId="10" fontId="32" fillId="63" borderId="1" xfId="31" applyNumberFormat="1" applyFont="1" applyAlignment="1">
      <alignment vertical="center"/>
    </xf>
    <xf numFmtId="10" fontId="32" fillId="64" borderId="1" xfId="32" applyNumberFormat="1" applyFont="1" applyAlignment="1">
      <alignment vertical="center"/>
    </xf>
    <xf numFmtId="166" fontId="70" fillId="75" borderId="32" xfId="30" applyNumberFormat="1" applyFont="1" applyFill="1" applyBorder="1"/>
    <xf numFmtId="1" fontId="32" fillId="66" borderId="1" xfId="29" applyNumberFormat="1" applyFont="1"/>
    <xf numFmtId="3" fontId="32" fillId="63" borderId="33" xfId="31" applyNumberFormat="1" applyFont="1" applyBorder="1" applyAlignment="1">
      <alignment horizontal="center" vertical="center"/>
    </xf>
    <xf numFmtId="1" fontId="50" fillId="63" borderId="1" xfId="31" applyNumberFormat="1" applyFont="1"/>
    <xf numFmtId="0" fontId="32" fillId="75" borderId="0" xfId="28" applyFont="1" applyFill="1" applyBorder="1" applyAlignment="1">
      <alignment horizontal="center" vertical="center"/>
    </xf>
    <xf numFmtId="0" fontId="50" fillId="75" borderId="0" xfId="28" applyFont="1" applyFill="1" applyBorder="1" applyAlignment="1">
      <alignment vertical="center"/>
    </xf>
    <xf numFmtId="0" fontId="32" fillId="75" borderId="0" xfId="28" applyFont="1" applyFill="1" applyBorder="1" applyAlignment="1">
      <alignment vertical="center"/>
    </xf>
    <xf numFmtId="0" fontId="50" fillId="104" borderId="0" xfId="89" applyFont="1" applyFill="1" applyBorder="1"/>
    <xf numFmtId="0" fontId="50" fillId="64" borderId="0" xfId="28" applyFont="1" applyFill="1" applyBorder="1" applyAlignment="1">
      <alignment vertical="center"/>
    </xf>
    <xf numFmtId="0" fontId="32" fillId="64" borderId="0" xfId="28" applyFont="1" applyFill="1" applyBorder="1" applyAlignment="1">
      <alignment horizontal="center" vertical="center"/>
    </xf>
    <xf numFmtId="0" fontId="48" fillId="75" borderId="0" xfId="94" quotePrefix="1" applyFont="1" applyFill="1" applyAlignment="1">
      <alignment horizontal="center" vertical="center"/>
    </xf>
    <xf numFmtId="0" fontId="32" fillId="84" borderId="0" xfId="40" applyFont="1" applyFill="1" applyBorder="1" applyAlignment="1">
      <alignment horizontal="center" vertical="center"/>
    </xf>
    <xf numFmtId="0" fontId="52" fillId="98" borderId="0" xfId="94" applyFont="1" applyFill="1" applyAlignment="1">
      <alignment horizontal="center" vertical="center"/>
    </xf>
    <xf numFmtId="0" fontId="48" fillId="98" borderId="0" xfId="94" quotePrefix="1" applyFont="1" applyFill="1" applyAlignment="1">
      <alignment horizontal="center" vertical="center"/>
    </xf>
    <xf numFmtId="0" fontId="32" fillId="102" borderId="0" xfId="0" applyFont="1" applyFill="1" applyAlignment="1">
      <alignment horizontal="center" vertical="center"/>
    </xf>
    <xf numFmtId="0" fontId="19" fillId="0" borderId="0" xfId="52" applyAlignment="1" applyProtection="1">
      <alignment vertical="center"/>
    </xf>
    <xf numFmtId="0" fontId="6" fillId="0" borderId="1" xfId="28"/>
    <xf numFmtId="0" fontId="6" fillId="0" borderId="1" xfId="28" applyAlignment="1"/>
    <xf numFmtId="0" fontId="6" fillId="0" borderId="0" xfId="28" applyBorder="1"/>
    <xf numFmtId="0" fontId="6" fillId="63" borderId="1" xfId="31" applyNumberFormat="1"/>
    <xf numFmtId="2" fontId="6" fillId="63" borderId="1" xfId="31" applyNumberFormat="1"/>
    <xf numFmtId="0" fontId="6" fillId="66" borderId="1" xfId="29"/>
    <xf numFmtId="0" fontId="31" fillId="40" borderId="0" xfId="42" applyAlignment="1">
      <alignment horizontal="center" wrapText="1"/>
    </xf>
    <xf numFmtId="168" fontId="6" fillId="67" borderId="1" xfId="30" applyNumberFormat="1"/>
    <xf numFmtId="0" fontId="6" fillId="67" borderId="34" xfId="30" applyBorder="1"/>
    <xf numFmtId="0" fontId="6" fillId="63" borderId="1" xfId="31"/>
    <xf numFmtId="0" fontId="19" fillId="0" borderId="0" xfId="52" applyAlignment="1" applyProtection="1"/>
    <xf numFmtId="168" fontId="0" fillId="2" borderId="1" xfId="33" applyNumberFormat="1" applyFont="1">
      <protection locked="0"/>
    </xf>
    <xf numFmtId="2" fontId="6" fillId="66" borderId="1" xfId="29" applyNumberFormat="1"/>
    <xf numFmtId="168" fontId="27" fillId="2" borderId="1" xfId="33" applyNumberFormat="1">
      <protection locked="0"/>
    </xf>
    <xf numFmtId="2" fontId="6" fillId="67" borderId="34" xfId="30" applyNumberFormat="1" applyBorder="1"/>
    <xf numFmtId="0" fontId="49" fillId="40" borderId="0" xfId="94" applyFont="1" applyFill="1" applyAlignment="1">
      <alignment horizontal="center" vertical="center" textRotation="90" wrapText="1"/>
    </xf>
    <xf numFmtId="1" fontId="0" fillId="2" borderId="1" xfId="33" applyNumberFormat="1" applyFont="1">
      <protection locked="0"/>
    </xf>
    <xf numFmtId="1" fontId="6" fillId="67" borderId="1" xfId="30" applyNumberFormat="1"/>
    <xf numFmtId="1" fontId="6" fillId="63" borderId="1" xfId="31" applyNumberFormat="1"/>
    <xf numFmtId="168" fontId="6" fillId="63" borderId="1" xfId="31" applyNumberFormat="1"/>
    <xf numFmtId="0" fontId="73" fillId="71" borderId="0" xfId="0" applyFont="1" applyFill="1"/>
    <xf numFmtId="0" fontId="31" fillId="40" borderId="0" xfId="42" applyAlignment="1"/>
    <xf numFmtId="0" fontId="0" fillId="2" borderId="1" xfId="33" applyNumberFormat="1" applyFont="1" applyAlignment="1">
      <protection locked="0"/>
    </xf>
    <xf numFmtId="4" fontId="0" fillId="2" borderId="1" xfId="33" applyNumberFormat="1" applyFont="1" applyAlignment="1">
      <protection locked="0"/>
    </xf>
    <xf numFmtId="168" fontId="6" fillId="66" borderId="1" xfId="29" applyNumberFormat="1"/>
    <xf numFmtId="1" fontId="6" fillId="66" borderId="1" xfId="29" applyNumberFormat="1"/>
    <xf numFmtId="168" fontId="6" fillId="64" borderId="1" xfId="32" applyNumberFormat="1"/>
    <xf numFmtId="1" fontId="27" fillId="2" borderId="1" xfId="33" applyNumberFormat="1">
      <protection locked="0"/>
    </xf>
    <xf numFmtId="0" fontId="74" fillId="0" borderId="0" xfId="52" applyFont="1" applyAlignment="1" applyProtection="1"/>
    <xf numFmtId="2" fontId="27" fillId="2" borderId="1" xfId="33" applyNumberFormat="1" applyAlignment="1">
      <protection locked="0"/>
    </xf>
    <xf numFmtId="2" fontId="0" fillId="2" borderId="1" xfId="33" applyNumberFormat="1" applyFont="1" applyAlignment="1">
      <protection locked="0"/>
    </xf>
    <xf numFmtId="180" fontId="0" fillId="2" borderId="1" xfId="33" applyNumberFormat="1" applyFont="1" applyAlignment="1">
      <protection locked="0"/>
    </xf>
    <xf numFmtId="9" fontId="32" fillId="64" borderId="1" xfId="93" applyFont="1" applyFill="1" applyBorder="1"/>
    <xf numFmtId="9" fontId="32" fillId="64" borderId="0" xfId="93" applyFont="1" applyFill="1" applyBorder="1"/>
    <xf numFmtId="0" fontId="6" fillId="0" borderId="1" xfId="28" applyNumberFormat="1"/>
    <xf numFmtId="0" fontId="6" fillId="0" borderId="0" xfId="28" applyBorder="1" applyAlignment="1"/>
    <xf numFmtId="9" fontId="6" fillId="63" borderId="1" xfId="31" applyNumberFormat="1"/>
    <xf numFmtId="9" fontId="0" fillId="2" borderId="1" xfId="93" applyFont="1" applyFill="1" applyBorder="1" applyProtection="1">
      <protection locked="0"/>
    </xf>
    <xf numFmtId="9" fontId="27" fillId="2" borderId="1" xfId="33" applyNumberFormat="1">
      <protection locked="0"/>
    </xf>
    <xf numFmtId="0" fontId="0" fillId="0" borderId="13" xfId="40" applyFont="1" applyBorder="1" applyAlignment="1">
      <alignment horizontal="left" vertical="top" wrapText="1"/>
    </xf>
    <xf numFmtId="168" fontId="50" fillId="67" borderId="1" xfId="30" applyNumberFormat="1" applyFont="1"/>
    <xf numFmtId="0" fontId="50" fillId="67" borderId="1" xfId="30" applyFont="1"/>
    <xf numFmtId="179" fontId="50" fillId="67" borderId="1" xfId="30" applyNumberFormat="1" applyFont="1"/>
    <xf numFmtId="172" fontId="32" fillId="80" borderId="0" xfId="54" applyNumberFormat="1" applyFont="1" applyFill="1"/>
    <xf numFmtId="166" fontId="32" fillId="67" borderId="1" xfId="30" applyNumberFormat="1" applyFont="1"/>
    <xf numFmtId="166" fontId="32" fillId="67" borderId="1" xfId="93" applyNumberFormat="1" applyFont="1" applyFill="1" applyBorder="1"/>
    <xf numFmtId="175" fontId="32" fillId="63" borderId="1" xfId="31" applyNumberFormat="1" applyFont="1"/>
    <xf numFmtId="3" fontId="32" fillId="63" borderId="1" xfId="31" applyNumberFormat="1" applyFont="1" applyAlignment="1">
      <alignment horizontal="center" vertical="center"/>
    </xf>
    <xf numFmtId="10" fontId="32" fillId="67" borderId="1" xfId="30" applyNumberFormat="1" applyFont="1"/>
    <xf numFmtId="10" fontId="32" fillId="2" borderId="1" xfId="33" applyNumberFormat="1" applyFont="1">
      <protection locked="0"/>
    </xf>
    <xf numFmtId="9" fontId="32" fillId="63" borderId="1" xfId="31" applyNumberFormat="1" applyFont="1"/>
    <xf numFmtId="0" fontId="50" fillId="105" borderId="25" xfId="89" applyFont="1" applyFill="1" applyBorder="1"/>
    <xf numFmtId="0" fontId="6" fillId="67" borderId="1" xfId="30"/>
    <xf numFmtId="2" fontId="6" fillId="67" borderId="1" xfId="30" applyNumberFormat="1"/>
    <xf numFmtId="2" fontId="0" fillId="0" borderId="0" xfId="0" applyNumberFormat="1"/>
    <xf numFmtId="0" fontId="69" fillId="40" borderId="0" xfId="94" applyFont="1" applyFill="1"/>
    <xf numFmtId="0" fontId="47" fillId="76" borderId="0" xfId="94" applyFont="1" applyFill="1" applyAlignment="1">
      <alignment horizontal="left" vertical="center" wrapText="1"/>
    </xf>
    <xf numFmtId="172" fontId="6" fillId="67" borderId="1" xfId="30" applyNumberFormat="1"/>
    <xf numFmtId="172" fontId="6" fillId="64" borderId="1" xfId="32" applyNumberFormat="1"/>
    <xf numFmtId="9" fontId="0" fillId="0" borderId="0" xfId="93" applyFont="1"/>
    <xf numFmtId="0" fontId="47" fillId="73" borderId="0" xfId="94" applyFont="1" applyFill="1" applyAlignment="1">
      <alignment horizontal="left" vertical="center" wrapText="1"/>
    </xf>
    <xf numFmtId="0" fontId="52" fillId="73" borderId="0" xfId="94" applyFont="1" applyFill="1"/>
    <xf numFmtId="9" fontId="0" fillId="2" borderId="1" xfId="33" applyNumberFormat="1" applyFont="1" applyAlignment="1">
      <alignment horizontal="center" vertical="top" wrapText="1"/>
      <protection locked="0"/>
    </xf>
    <xf numFmtId="9" fontId="0" fillId="2" borderId="1" xfId="33" applyNumberFormat="1" applyFont="1" applyAlignment="1">
      <alignment horizontal="center" vertical="center" wrapText="1"/>
      <protection locked="0"/>
    </xf>
    <xf numFmtId="9" fontId="0" fillId="2" borderId="1" xfId="33" applyNumberFormat="1" applyFont="1" applyAlignment="1">
      <alignment horizontal="center" vertical="center"/>
      <protection locked="0"/>
    </xf>
    <xf numFmtId="0" fontId="6" fillId="0" borderId="1" xfId="28" applyAlignment="1">
      <alignment vertical="center"/>
    </xf>
    <xf numFmtId="1" fontId="6" fillId="64" borderId="1" xfId="32" applyNumberFormat="1"/>
    <xf numFmtId="0" fontId="31" fillId="40" borderId="0" xfId="42" applyAlignment="1">
      <alignment horizontal="center" vertical="center" wrapText="1"/>
    </xf>
    <xf numFmtId="166" fontId="6" fillId="66" borderId="1" xfId="29" applyNumberFormat="1"/>
    <xf numFmtId="166" fontId="6" fillId="67" borderId="1" xfId="30" applyNumberFormat="1"/>
    <xf numFmtId="0" fontId="6" fillId="0" borderId="1" xfId="28" applyAlignment="1">
      <alignment horizontal="left"/>
    </xf>
    <xf numFmtId="10" fontId="6" fillId="63" borderId="1" xfId="31" applyNumberFormat="1"/>
    <xf numFmtId="9" fontId="0" fillId="0" borderId="0" xfId="0" applyNumberFormat="1"/>
    <xf numFmtId="168" fontId="31" fillId="69" borderId="1" xfId="89" applyNumberFormat="1"/>
    <xf numFmtId="2" fontId="6" fillId="0" borderId="1" xfId="28" applyNumberFormat="1"/>
    <xf numFmtId="166" fontId="8" fillId="67" borderId="1" xfId="30" applyNumberFormat="1" applyFont="1"/>
    <xf numFmtId="166" fontId="6" fillId="63" borderId="1" xfId="31" applyNumberFormat="1"/>
    <xf numFmtId="0" fontId="75" fillId="0" borderId="0" xfId="0" applyFont="1" applyAlignment="1">
      <alignment horizontal="center" wrapText="1"/>
    </xf>
    <xf numFmtId="167" fontId="78" fillId="4" borderId="1" xfId="92" applyNumberFormat="1" applyFont="1" applyFill="1" applyBorder="1" applyProtection="1">
      <protection locked="0"/>
    </xf>
    <xf numFmtId="0" fontId="79" fillId="0" borderId="0" xfId="0" applyFont="1"/>
    <xf numFmtId="0" fontId="80" fillId="0" borderId="0" xfId="0" applyFont="1"/>
    <xf numFmtId="0" fontId="81" fillId="40" borderId="0" xfId="42" applyFont="1">
      <alignment wrapText="1"/>
    </xf>
    <xf numFmtId="166" fontId="79" fillId="14" borderId="0" xfId="54" applyNumberFormat="1" applyFont="1" applyAlignment="1">
      <alignment wrapText="1"/>
    </xf>
    <xf numFmtId="166" fontId="79" fillId="63" borderId="1" xfId="31" applyNumberFormat="1" applyFont="1" applyAlignment="1">
      <alignment wrapText="1"/>
    </xf>
    <xf numFmtId="166" fontId="79" fillId="2" borderId="1" xfId="33" applyNumberFormat="1" applyFont="1" applyAlignment="1">
      <alignment wrapText="1"/>
      <protection locked="0"/>
    </xf>
    <xf numFmtId="166" fontId="79" fillId="66" borderId="1" xfId="29" applyNumberFormat="1" applyFont="1" applyAlignment="1">
      <alignment wrapText="1"/>
    </xf>
    <xf numFmtId="166" fontId="79" fillId="67" borderId="1" xfId="30" applyNumberFormat="1" applyFont="1" applyAlignment="1">
      <alignment wrapText="1"/>
    </xf>
    <xf numFmtId="167" fontId="80" fillId="64" borderId="1" xfId="92" applyNumberFormat="1" applyFont="1" applyFill="1" applyBorder="1"/>
    <xf numFmtId="0" fontId="79" fillId="0" borderId="1" xfId="28" applyFont="1" applyAlignment="1">
      <alignment horizontal="left" vertical="center" indent="1"/>
    </xf>
    <xf numFmtId="167" fontId="79" fillId="63" borderId="1" xfId="92" applyNumberFormat="1" applyFont="1" applyFill="1" applyBorder="1"/>
    <xf numFmtId="167" fontId="79" fillId="67" borderId="1" xfId="92" applyNumberFormat="1" applyFont="1" applyFill="1" applyBorder="1"/>
    <xf numFmtId="167" fontId="79" fillId="66" borderId="1" xfId="92" applyNumberFormat="1" applyFont="1" applyFill="1" applyBorder="1"/>
    <xf numFmtId="167" fontId="79" fillId="63" borderId="1" xfId="31" applyNumberFormat="1" applyFont="1"/>
    <xf numFmtId="168" fontId="79" fillId="2" borderId="1" xfId="33" applyNumberFormat="1" applyFont="1">
      <protection locked="0"/>
    </xf>
    <xf numFmtId="3" fontId="79" fillId="0" borderId="0" xfId="0" applyNumberFormat="1" applyFont="1"/>
    <xf numFmtId="0" fontId="79" fillId="2" borderId="1" xfId="33" applyNumberFormat="1" applyFont="1">
      <protection locked="0"/>
    </xf>
    <xf numFmtId="0" fontId="81" fillId="40" borderId="0" xfId="42" applyFont="1" applyBorder="1">
      <alignment wrapText="1"/>
    </xf>
    <xf numFmtId="0" fontId="79" fillId="0" borderId="1" xfId="28" applyFont="1"/>
    <xf numFmtId="3" fontId="82" fillId="2" borderId="1" xfId="33" applyNumberFormat="1" applyFont="1">
      <protection locked="0"/>
    </xf>
    <xf numFmtId="166" fontId="82" fillId="2" borderId="1" xfId="33" applyNumberFormat="1" applyFont="1">
      <protection locked="0"/>
    </xf>
    <xf numFmtId="9" fontId="83" fillId="67" borderId="1" xfId="30" applyNumberFormat="1" applyFont="1"/>
    <xf numFmtId="167" fontId="79" fillId="67" borderId="1" xfId="30" applyNumberFormat="1" applyFont="1"/>
    <xf numFmtId="3" fontId="82" fillId="3" borderId="1" xfId="34" applyNumberFormat="1" applyFont="1"/>
    <xf numFmtId="166" fontId="79" fillId="63" borderId="1" xfId="31" applyNumberFormat="1" applyFont="1"/>
    <xf numFmtId="169" fontId="82" fillId="2" borderId="1" xfId="33" applyNumberFormat="1" applyFont="1">
      <protection locked="0"/>
    </xf>
    <xf numFmtId="9" fontId="82" fillId="3" borderId="1" xfId="34" applyNumberFormat="1" applyFont="1"/>
    <xf numFmtId="1" fontId="82" fillId="3" borderId="1" xfId="34" applyNumberFormat="1" applyFont="1" applyAlignment="1">
      <alignment horizontal="right"/>
    </xf>
    <xf numFmtId="9" fontId="79" fillId="63" borderId="1" xfId="31" applyNumberFormat="1" applyFont="1"/>
    <xf numFmtId="0" fontId="79" fillId="0" borderId="34" xfId="28" applyFont="1" applyBorder="1"/>
    <xf numFmtId="0" fontId="79" fillId="14" borderId="0" xfId="54" applyFont="1"/>
    <xf numFmtId="9" fontId="79" fillId="64" borderId="1" xfId="32" applyNumberFormat="1" applyFont="1"/>
    <xf numFmtId="1" fontId="79" fillId="67" borderId="1" xfId="30" applyNumberFormat="1" applyFont="1"/>
    <xf numFmtId="0" fontId="84" fillId="0" borderId="0" xfId="0" applyFont="1"/>
    <xf numFmtId="0" fontId="86" fillId="0" borderId="8" xfId="38" applyFont="1"/>
    <xf numFmtId="0" fontId="85" fillId="0" borderId="8" xfId="38" applyFont="1"/>
    <xf numFmtId="1" fontId="80" fillId="63" borderId="1" xfId="31" applyNumberFormat="1" applyFont="1"/>
    <xf numFmtId="1" fontId="80" fillId="66" borderId="1" xfId="29" applyNumberFormat="1" applyFont="1"/>
    <xf numFmtId="1" fontId="79" fillId="63" borderId="1" xfId="31" applyNumberFormat="1" applyFont="1"/>
    <xf numFmtId="1" fontId="79" fillId="64" borderId="1" xfId="32" applyNumberFormat="1" applyFont="1"/>
    <xf numFmtId="0" fontId="79" fillId="64" borderId="1" xfId="32" applyFont="1"/>
    <xf numFmtId="0" fontId="81" fillId="40" borderId="0" xfId="42" applyFont="1" applyAlignment="1"/>
    <xf numFmtId="0" fontId="80" fillId="0" borderId="1" xfId="28" applyFont="1"/>
    <xf numFmtId="3" fontId="80" fillId="66" borderId="1" xfId="29" applyNumberFormat="1" applyFont="1"/>
    <xf numFmtId="166" fontId="79" fillId="64" borderId="1" xfId="32" applyNumberFormat="1" applyFont="1"/>
    <xf numFmtId="0" fontId="75" fillId="0" borderId="0" xfId="0" applyFont="1" applyAlignment="1">
      <alignment horizontal="center"/>
    </xf>
    <xf numFmtId="9" fontId="80" fillId="2" borderId="1" xfId="33" applyNumberFormat="1" applyFont="1">
      <protection locked="0"/>
    </xf>
    <xf numFmtId="167" fontId="80" fillId="66" borderId="1" xfId="92" applyNumberFormat="1" applyFont="1" applyFill="1" applyBorder="1"/>
    <xf numFmtId="9" fontId="79" fillId="67" borderId="1" xfId="30" applyNumberFormat="1" applyFont="1"/>
    <xf numFmtId="10" fontId="79" fillId="2" borderId="1" xfId="33" applyNumberFormat="1" applyFont="1">
      <protection locked="0"/>
    </xf>
    <xf numFmtId="166" fontId="79" fillId="2" borderId="1" xfId="33" applyNumberFormat="1" applyFont="1">
      <protection locked="0"/>
    </xf>
    <xf numFmtId="167" fontId="79" fillId="66" borderId="42" xfId="92" applyNumberFormat="1" applyFont="1" applyFill="1" applyBorder="1"/>
    <xf numFmtId="167" fontId="79" fillId="3" borderId="1" xfId="34" applyNumberFormat="1" applyFont="1"/>
    <xf numFmtId="167" fontId="79" fillId="0" borderId="0" xfId="0" applyNumberFormat="1" applyFont="1"/>
    <xf numFmtId="0" fontId="80" fillId="0" borderId="1" xfId="28" applyFont="1" applyAlignment="1">
      <alignment horizontal="left" vertical="center"/>
    </xf>
    <xf numFmtId="2" fontId="6" fillId="67" borderId="0" xfId="30" applyNumberFormat="1" applyBorder="1"/>
    <xf numFmtId="3" fontId="7" fillId="14" borderId="0" xfId="54" applyNumberFormat="1"/>
    <xf numFmtId="0" fontId="83" fillId="0" borderId="1" xfId="28" applyFont="1" applyAlignment="1">
      <alignment horizontal="left" indent="1"/>
    </xf>
    <xf numFmtId="0" fontId="83" fillId="0" borderId="0" xfId="0" applyFont="1" applyAlignment="1">
      <alignment horizontal="right"/>
    </xf>
    <xf numFmtId="175" fontId="79" fillId="64" borderId="1" xfId="32" applyNumberFormat="1" applyFont="1"/>
    <xf numFmtId="175" fontId="79" fillId="66" borderId="1" xfId="29" applyNumberFormat="1" applyFont="1"/>
    <xf numFmtId="3" fontId="79" fillId="67" borderId="1" xfId="30" applyNumberFormat="1" applyFont="1"/>
    <xf numFmtId="3" fontId="79" fillId="66" borderId="1" xfId="29" applyNumberFormat="1" applyFont="1"/>
    <xf numFmtId="3" fontId="80" fillId="63" borderId="1" xfId="31" applyNumberFormat="1" applyFont="1"/>
    <xf numFmtId="1" fontId="79" fillId="66" borderId="1" xfId="29" applyNumberFormat="1" applyFont="1"/>
    <xf numFmtId="168" fontId="88" fillId="64" borderId="1" xfId="32" applyNumberFormat="1" applyFont="1"/>
    <xf numFmtId="2" fontId="88" fillId="64" borderId="1" xfId="32" applyNumberFormat="1" applyFont="1"/>
    <xf numFmtId="167" fontId="79" fillId="64" borderId="1" xfId="32" applyNumberFormat="1" applyFont="1"/>
    <xf numFmtId="1" fontId="88" fillId="63" borderId="1" xfId="31" applyNumberFormat="1" applyFont="1"/>
    <xf numFmtId="1" fontId="88" fillId="67" borderId="1" xfId="30" applyNumberFormat="1" applyFont="1"/>
    <xf numFmtId="167" fontId="80" fillId="63" borderId="1" xfId="92" applyNumberFormat="1" applyFont="1" applyFill="1" applyBorder="1"/>
    <xf numFmtId="0" fontId="89" fillId="107" borderId="0" xfId="42" applyFont="1" applyFill="1">
      <alignment wrapText="1"/>
    </xf>
    <xf numFmtId="0" fontId="87" fillId="40" borderId="0" xfId="39" applyFont="1" applyFill="1" applyBorder="1"/>
    <xf numFmtId="0" fontId="90" fillId="107" borderId="0" xfId="42" applyFont="1" applyFill="1" applyAlignment="1"/>
    <xf numFmtId="0" fontId="80" fillId="95" borderId="1" xfId="28" applyFont="1" applyFill="1"/>
    <xf numFmtId="0" fontId="79" fillId="64" borderId="1" xfId="28" applyFont="1" applyFill="1" applyAlignment="1">
      <alignment horizontal="left" indent="1"/>
    </xf>
    <xf numFmtId="0" fontId="79" fillId="64" borderId="1" xfId="32" applyFont="1" applyAlignment="1">
      <alignment horizontal="left" indent="2"/>
    </xf>
    <xf numFmtId="0" fontId="79" fillId="64" borderId="1" xfId="32" applyFont="1" applyAlignment="1">
      <alignment horizontal="left" indent="1"/>
    </xf>
    <xf numFmtId="0" fontId="88" fillId="64" borderId="1" xfId="32" applyFont="1" applyAlignment="1">
      <alignment horizontal="left" indent="3"/>
    </xf>
    <xf numFmtId="9" fontId="79" fillId="14" borderId="0" xfId="54" applyNumberFormat="1" applyFont="1" applyAlignment="1"/>
    <xf numFmtId="1" fontId="79" fillId="2" borderId="1" xfId="33" applyNumberFormat="1" applyFont="1">
      <protection locked="0"/>
    </xf>
    <xf numFmtId="0" fontId="91" fillId="0" borderId="0" xfId="88" applyFont="1"/>
    <xf numFmtId="0" fontId="92" fillId="0" borderId="0" xfId="96" applyFont="1"/>
    <xf numFmtId="168" fontId="79" fillId="66" borderId="1" xfId="29" applyNumberFormat="1" applyFont="1"/>
    <xf numFmtId="0" fontId="79" fillId="0" borderId="1" xfId="28" applyFont="1" applyAlignment="1">
      <alignment horizontal="right"/>
    </xf>
    <xf numFmtId="9" fontId="80" fillId="63" borderId="1" xfId="31" applyNumberFormat="1" applyFont="1"/>
    <xf numFmtId="166" fontId="79" fillId="67" borderId="1" xfId="30" applyNumberFormat="1" applyFont="1"/>
    <xf numFmtId="9" fontId="80" fillId="66" borderId="1" xfId="29" applyNumberFormat="1" applyFont="1"/>
    <xf numFmtId="9" fontId="80" fillId="67" borderId="1" xfId="30" applyNumberFormat="1" applyFont="1"/>
    <xf numFmtId="9" fontId="81" fillId="69" borderId="1" xfId="93" applyFont="1" applyFill="1" applyBorder="1"/>
    <xf numFmtId="0" fontId="79" fillId="0" borderId="2" xfId="40" applyFont="1"/>
    <xf numFmtId="2" fontId="79" fillId="63" borderId="1" xfId="31" applyNumberFormat="1" applyFont="1"/>
    <xf numFmtId="165" fontId="79" fillId="66" borderId="1" xfId="92" applyFont="1" applyFill="1" applyBorder="1"/>
    <xf numFmtId="168" fontId="79" fillId="67" borderId="1" xfId="30" applyNumberFormat="1" applyFont="1"/>
    <xf numFmtId="0" fontId="79" fillId="0" borderId="1" xfId="28" applyFont="1" applyAlignment="1">
      <alignment horizontal="left"/>
    </xf>
    <xf numFmtId="2" fontId="79" fillId="2" borderId="1" xfId="33" applyNumberFormat="1" applyFont="1">
      <protection locked="0"/>
    </xf>
    <xf numFmtId="165" fontId="79" fillId="67" borderId="1" xfId="92" applyFont="1" applyFill="1" applyBorder="1"/>
    <xf numFmtId="0" fontId="79" fillId="2" borderId="1" xfId="33" applyNumberFormat="1" applyFont="1" applyAlignment="1">
      <alignment wrapText="1"/>
      <protection locked="0"/>
    </xf>
    <xf numFmtId="3" fontId="80" fillId="67" borderId="1" xfId="30" applyNumberFormat="1" applyFont="1"/>
    <xf numFmtId="0" fontId="0" fillId="0" borderId="11" xfId="40" applyFont="1" applyBorder="1" applyAlignment="1">
      <alignment horizontal="center" vertical="center"/>
    </xf>
    <xf numFmtId="0" fontId="0" fillId="0" borderId="13" xfId="40" applyFont="1" applyBorder="1" applyAlignment="1">
      <alignment horizontal="center" vertical="center"/>
    </xf>
    <xf numFmtId="0" fontId="0" fillId="0" borderId="14" xfId="40" applyFont="1" applyBorder="1" applyAlignment="1">
      <alignment horizontal="left" vertical="top" wrapText="1"/>
    </xf>
    <xf numFmtId="168" fontId="0" fillId="67" borderId="1" xfId="30" applyNumberFormat="1" applyFont="1"/>
    <xf numFmtId="168" fontId="0" fillId="63" borderId="1" xfId="31" applyNumberFormat="1" applyFont="1" applyAlignment="1"/>
    <xf numFmtId="168" fontId="0" fillId="66" borderId="1" xfId="29" applyNumberFormat="1" applyFont="1" applyAlignment="1"/>
    <xf numFmtId="168" fontId="0" fillId="63" borderId="1" xfId="31" applyNumberFormat="1" applyFont="1"/>
    <xf numFmtId="168" fontId="0" fillId="14" borderId="0" xfId="54" applyNumberFormat="1" applyFont="1"/>
    <xf numFmtId="9" fontId="0" fillId="63" borderId="1" xfId="31" applyNumberFormat="1" applyFont="1"/>
    <xf numFmtId="9" fontId="0" fillId="67" borderId="1" xfId="30" applyNumberFormat="1" applyFont="1"/>
    <xf numFmtId="168" fontId="0" fillId="14" borderId="0" xfId="54" applyNumberFormat="1" applyFont="1" applyProtection="1">
      <protection locked="0"/>
    </xf>
    <xf numFmtId="1" fontId="0" fillId="66" borderId="38" xfId="29" applyNumberFormat="1" applyFont="1" applyBorder="1"/>
    <xf numFmtId="1" fontId="0" fillId="63" borderId="1" xfId="31" applyNumberFormat="1" applyFont="1"/>
    <xf numFmtId="2" fontId="0" fillId="67" borderId="1" xfId="30" applyNumberFormat="1" applyFont="1"/>
    <xf numFmtId="0" fontId="0" fillId="2" borderId="38" xfId="33" applyNumberFormat="1" applyFont="1" applyBorder="1">
      <protection locked="0"/>
    </xf>
    <xf numFmtId="0" fontId="0" fillId="106" borderId="0" xfId="33" applyNumberFormat="1" applyFont="1" applyFill="1" applyBorder="1">
      <protection locked="0"/>
    </xf>
    <xf numFmtId="0" fontId="0" fillId="0" borderId="15" xfId="40" applyFont="1" applyBorder="1" applyAlignment="1">
      <alignment horizontal="center" vertical="top" wrapText="1"/>
    </xf>
    <xf numFmtId="0" fontId="0" fillId="0" borderId="13" xfId="40" applyFont="1" applyBorder="1"/>
    <xf numFmtId="0" fontId="0" fillId="0" borderId="2" xfId="40" applyFont="1" applyAlignment="1">
      <alignment horizontal="center" vertical="center"/>
    </xf>
    <xf numFmtId="1" fontId="0" fillId="0" borderId="1" xfId="36" applyNumberFormat="1" applyFont="1">
      <protection locked="0"/>
    </xf>
    <xf numFmtId="0" fontId="0" fillId="106" borderId="1" xfId="33" applyNumberFormat="1" applyFont="1" applyFill="1">
      <protection locked="0"/>
    </xf>
    <xf numFmtId="0" fontId="0" fillId="0" borderId="24" xfId="40" applyFont="1" applyBorder="1" applyAlignment="1">
      <alignment horizontal="center" vertical="top" wrapText="1"/>
    </xf>
    <xf numFmtId="168" fontId="0" fillId="64" borderId="1" xfId="32" applyNumberFormat="1" applyFont="1"/>
    <xf numFmtId="168" fontId="0" fillId="86" borderId="1" xfId="31" applyNumberFormat="1" applyFont="1" applyFill="1"/>
    <xf numFmtId="2" fontId="0" fillId="86" borderId="1" xfId="31" applyNumberFormat="1" applyFont="1" applyFill="1"/>
    <xf numFmtId="9" fontId="0" fillId="2" borderId="1" xfId="33" applyNumberFormat="1" applyFont="1">
      <protection locked="0"/>
    </xf>
    <xf numFmtId="0" fontId="0" fillId="0" borderId="2" xfId="40" applyFont="1" applyAlignment="1">
      <alignment horizontal="center"/>
    </xf>
    <xf numFmtId="168" fontId="0" fillId="66" borderId="1" xfId="29" applyNumberFormat="1" applyFont="1"/>
    <xf numFmtId="9" fontId="0" fillId="0" borderId="1" xfId="93" applyFont="1" applyBorder="1" applyProtection="1">
      <protection locked="0"/>
    </xf>
    <xf numFmtId="0" fontId="0" fillId="0" borderId="1" xfId="28" quotePrefix="1" applyNumberFormat="1" applyFont="1"/>
    <xf numFmtId="0" fontId="0" fillId="0" borderId="1" xfId="28" applyNumberFormat="1" applyFont="1"/>
    <xf numFmtId="2" fontId="0" fillId="14" borderId="0" xfId="54" applyNumberFormat="1" applyFont="1"/>
    <xf numFmtId="1" fontId="0" fillId="0" borderId="1" xfId="28" applyNumberFormat="1" applyFont="1"/>
    <xf numFmtId="1" fontId="0" fillId="67" borderId="1" xfId="30" applyNumberFormat="1" applyFont="1"/>
    <xf numFmtId="0" fontId="0" fillId="0" borderId="2" xfId="40" applyFont="1" applyAlignment="1">
      <alignment horizontal="left" vertical="top"/>
    </xf>
    <xf numFmtId="0" fontId="0" fillId="0" borderId="0" xfId="25" applyFont="1" applyFill="1"/>
    <xf numFmtId="1" fontId="0" fillId="0" borderId="38" xfId="28" applyNumberFormat="1" applyFont="1" applyBorder="1"/>
    <xf numFmtId="1" fontId="0" fillId="14" borderId="0" xfId="54" applyNumberFormat="1" applyFont="1"/>
    <xf numFmtId="0" fontId="0" fillId="2" borderId="38" xfId="33" applyNumberFormat="1" applyFont="1" applyBorder="1" applyAlignment="1">
      <alignment horizontal="center"/>
      <protection locked="0"/>
    </xf>
    <xf numFmtId="0" fontId="0" fillId="0" borderId="15" xfId="40" applyFont="1" applyBorder="1"/>
    <xf numFmtId="9" fontId="0" fillId="0" borderId="1" xfId="93" applyFont="1" applyBorder="1"/>
    <xf numFmtId="0" fontId="0" fillId="0" borderId="24" xfId="40" applyFont="1" applyBorder="1"/>
    <xf numFmtId="0" fontId="0" fillId="2" borderId="1" xfId="33" applyNumberFormat="1" applyFont="1" applyAlignment="1">
      <alignment horizontal="center"/>
      <protection locked="0"/>
    </xf>
    <xf numFmtId="0" fontId="0" fillId="0" borderId="2" xfId="40" applyFont="1" applyAlignment="1">
      <alignment horizontal="left"/>
    </xf>
    <xf numFmtId="2" fontId="0" fillId="2" borderId="1" xfId="33" applyNumberFormat="1" applyFont="1">
      <protection locked="0"/>
    </xf>
    <xf numFmtId="168" fontId="0" fillId="86" borderId="1" xfId="32" applyNumberFormat="1" applyFont="1" applyFill="1"/>
    <xf numFmtId="0" fontId="94" fillId="34" borderId="0" xfId="77" applyFont="1"/>
    <xf numFmtId="180" fontId="0" fillId="63" borderId="1" xfId="31" applyNumberFormat="1" applyFont="1"/>
    <xf numFmtId="0" fontId="94" fillId="75" borderId="0" xfId="77" applyFont="1" applyFill="1"/>
    <xf numFmtId="1" fontId="0" fillId="64" borderId="1" xfId="32" applyNumberFormat="1" applyFont="1"/>
    <xf numFmtId="1" fontId="76" fillId="2" borderId="1" xfId="33" applyNumberFormat="1" applyFont="1">
      <protection locked="0"/>
    </xf>
    <xf numFmtId="1" fontId="0" fillId="85" borderId="38" xfId="29" applyNumberFormat="1" applyFont="1" applyFill="1" applyBorder="1"/>
    <xf numFmtId="0" fontId="95" fillId="0" borderId="0" xfId="90" applyFont="1" applyAlignment="1">
      <alignment vertical="top"/>
    </xf>
    <xf numFmtId="0" fontId="96" fillId="0" borderId="0" xfId="90" applyFont="1" applyAlignment="1">
      <alignment vertical="center"/>
    </xf>
    <xf numFmtId="0" fontId="95" fillId="0" borderId="0" xfId="90" applyFont="1" applyAlignment="1">
      <alignment horizontal="center" vertical="center" wrapText="1"/>
    </xf>
    <xf numFmtId="0" fontId="97" fillId="0" borderId="0" xfId="90" applyFont="1" applyAlignment="1">
      <alignment vertical="top"/>
    </xf>
    <xf numFmtId="0" fontId="98" fillId="109" borderId="0" xfId="90" applyFont="1" applyFill="1" applyAlignment="1">
      <alignment vertical="top"/>
    </xf>
    <xf numFmtId="0" fontId="97" fillId="0" borderId="0" xfId="90" applyFont="1" applyAlignment="1">
      <alignment horizontal="center" vertical="top"/>
    </xf>
    <xf numFmtId="0" fontId="98" fillId="0" borderId="0" xfId="90" applyFont="1" applyAlignment="1">
      <alignment vertical="top"/>
    </xf>
    <xf numFmtId="0" fontId="97" fillId="0" borderId="0" xfId="90" applyFont="1" applyAlignment="1">
      <alignment horizontal="left" vertical="top" wrapText="1"/>
    </xf>
    <xf numFmtId="0" fontId="95" fillId="0" borderId="0" xfId="90" applyFont="1" applyAlignment="1">
      <alignment horizontal="center" vertical="top"/>
    </xf>
    <xf numFmtId="0" fontId="95" fillId="0" borderId="0" xfId="90" applyFont="1" applyAlignment="1">
      <alignment horizontal="left" vertical="top" wrapText="1"/>
    </xf>
    <xf numFmtId="0" fontId="95" fillId="0" borderId="0" xfId="90" applyFont="1" applyAlignment="1">
      <alignment horizontal="center" vertical="top" wrapText="1"/>
    </xf>
    <xf numFmtId="0" fontId="95" fillId="0" borderId="0" xfId="90" applyFont="1" applyAlignment="1">
      <alignment horizontal="left" vertical="top"/>
    </xf>
    <xf numFmtId="0" fontId="95" fillId="0" borderId="0" xfId="90" applyFont="1" applyAlignment="1">
      <alignment vertical="top" wrapText="1"/>
    </xf>
    <xf numFmtId="0" fontId="96" fillId="0" borderId="0" xfId="90" applyFont="1" applyAlignment="1">
      <alignment horizontal="left" vertical="top" wrapText="1"/>
    </xf>
    <xf numFmtId="0" fontId="97" fillId="0" borderId="0" xfId="90" applyFont="1" applyAlignment="1">
      <alignment horizontal="left" vertical="center" wrapText="1"/>
    </xf>
    <xf numFmtId="0" fontId="99" fillId="0" borderId="0" xfId="90" applyFont="1" applyAlignment="1">
      <alignment horizontal="center" vertical="top"/>
    </xf>
    <xf numFmtId="169" fontId="99" fillId="0" borderId="0" xfId="90" applyNumberFormat="1" applyFont="1" applyAlignment="1">
      <alignment vertical="top"/>
    </xf>
    <xf numFmtId="0" fontId="99" fillId="0" borderId="0" xfId="90" applyFont="1" applyAlignment="1">
      <alignment vertical="top"/>
    </xf>
    <xf numFmtId="3" fontId="99" fillId="0" borderId="0" xfId="90" applyNumberFormat="1" applyFont="1" applyAlignment="1">
      <alignment vertical="top"/>
    </xf>
    <xf numFmtId="0" fontId="97" fillId="0" borderId="0" xfId="90" applyFont="1" applyAlignment="1">
      <alignment horizontal="left" vertical="top"/>
    </xf>
    <xf numFmtId="3" fontId="97" fillId="0" borderId="0" xfId="90" applyNumberFormat="1" applyFont="1" applyAlignment="1">
      <alignment vertical="top"/>
    </xf>
    <xf numFmtId="3" fontId="97" fillId="0" borderId="0" xfId="90" applyNumberFormat="1" applyFont="1" applyAlignment="1">
      <alignment horizontal="right" vertical="top"/>
    </xf>
    <xf numFmtId="0" fontId="96" fillId="110" borderId="20" xfId="90" applyFont="1" applyFill="1" applyBorder="1" applyAlignment="1">
      <alignment horizontal="center" vertical="center"/>
    </xf>
    <xf numFmtId="0" fontId="96" fillId="110" borderId="20" xfId="90" applyFont="1" applyFill="1" applyBorder="1" applyAlignment="1">
      <alignment vertical="center" wrapText="1"/>
    </xf>
    <xf numFmtId="0" fontId="99" fillId="110" borderId="20" xfId="90" applyFont="1" applyFill="1" applyBorder="1" applyAlignment="1">
      <alignment horizontal="center" vertical="center" wrapText="1"/>
    </xf>
    <xf numFmtId="0" fontId="99" fillId="110" borderId="20" xfId="90" applyFont="1" applyFill="1" applyBorder="1" applyAlignment="1">
      <alignment horizontal="center" vertical="center"/>
    </xf>
    <xf numFmtId="0" fontId="96" fillId="110" borderId="20" xfId="90" applyFont="1" applyFill="1" applyBorder="1" applyAlignment="1">
      <alignment horizontal="center" vertical="center" wrapText="1"/>
    </xf>
    <xf numFmtId="169" fontId="99" fillId="110" borderId="20" xfId="90" applyNumberFormat="1" applyFont="1" applyFill="1" applyBorder="1" applyAlignment="1">
      <alignment horizontal="center" vertical="center" wrapText="1"/>
    </xf>
    <xf numFmtId="3" fontId="99" fillId="110" borderId="20" xfId="90" applyNumberFormat="1" applyFont="1" applyFill="1" applyBorder="1" applyAlignment="1">
      <alignment horizontal="center" vertical="center" wrapText="1"/>
    </xf>
    <xf numFmtId="0" fontId="99" fillId="110" borderId="20" xfId="90" applyFont="1" applyFill="1" applyBorder="1" applyAlignment="1">
      <alignment horizontal="left" vertical="center" wrapText="1"/>
    </xf>
    <xf numFmtId="3" fontId="99" fillId="110" borderId="20" xfId="90" applyNumberFormat="1" applyFont="1" applyFill="1" applyBorder="1" applyAlignment="1">
      <alignment horizontal="right" vertical="center" wrapText="1"/>
    </xf>
    <xf numFmtId="0" fontId="99" fillId="0" borderId="20" xfId="90" applyFont="1" applyBorder="1" applyAlignment="1">
      <alignment horizontal="center" vertical="top"/>
    </xf>
    <xf numFmtId="0" fontId="99" fillId="0" borderId="20" xfId="90" applyFont="1" applyBorder="1" applyAlignment="1">
      <alignment horizontal="left" vertical="top" wrapText="1"/>
    </xf>
    <xf numFmtId="0" fontId="99" fillId="0" borderId="20" xfId="90" applyFont="1" applyBorder="1" applyAlignment="1">
      <alignment horizontal="center" vertical="top" wrapText="1"/>
    </xf>
    <xf numFmtId="0" fontId="97" fillId="0" borderId="20" xfId="90" applyFont="1" applyBorder="1" applyAlignment="1">
      <alignment horizontal="left" vertical="top" wrapText="1"/>
    </xf>
    <xf numFmtId="0" fontId="97" fillId="0" borderId="20" xfId="90" applyFont="1" applyBorder="1" applyAlignment="1">
      <alignment vertical="top" wrapText="1"/>
    </xf>
    <xf numFmtId="0" fontId="97" fillId="0" borderId="20" xfId="90" applyFont="1" applyBorder="1" applyAlignment="1">
      <alignment horizontal="center" vertical="top"/>
    </xf>
    <xf numFmtId="0" fontId="97" fillId="0" borderId="20" xfId="90" applyFont="1" applyBorder="1" applyAlignment="1">
      <alignment horizontal="center" vertical="top" wrapText="1"/>
    </xf>
    <xf numFmtId="169" fontId="99" fillId="0" borderId="20" xfId="90" applyNumberFormat="1" applyFont="1" applyBorder="1" applyAlignment="1">
      <alignment vertical="top"/>
    </xf>
    <xf numFmtId="9" fontId="99" fillId="0" borderId="20" xfId="97" applyFont="1" applyBorder="1" applyAlignment="1">
      <alignment vertical="top"/>
    </xf>
    <xf numFmtId="3" fontId="99" fillId="0" borderId="20" xfId="90" applyNumberFormat="1" applyFont="1" applyBorder="1" applyAlignment="1">
      <alignment vertical="top"/>
    </xf>
    <xf numFmtId="3" fontId="97" fillId="0" borderId="20" xfId="90" applyNumberFormat="1" applyFont="1" applyBorder="1" applyAlignment="1">
      <alignment vertical="top"/>
    </xf>
    <xf numFmtId="0" fontId="97" fillId="0" borderId="20" xfId="90" applyFont="1" applyBorder="1" applyAlignment="1">
      <alignment horizontal="right" vertical="top" wrapText="1"/>
    </xf>
    <xf numFmtId="0" fontId="99" fillId="111" borderId="20" xfId="90" applyFont="1" applyFill="1" applyBorder="1" applyAlignment="1">
      <alignment horizontal="center" vertical="top"/>
    </xf>
    <xf numFmtId="0" fontId="99" fillId="111" borderId="20" xfId="90" applyFont="1" applyFill="1" applyBorder="1" applyAlignment="1">
      <alignment horizontal="left" vertical="top" wrapText="1"/>
    </xf>
    <xf numFmtId="0" fontId="99" fillId="111" borderId="20" xfId="90" applyFont="1" applyFill="1" applyBorder="1" applyAlignment="1">
      <alignment horizontal="center" vertical="top" wrapText="1"/>
    </xf>
    <xf numFmtId="0" fontId="97" fillId="111" borderId="20" xfId="90" applyFont="1" applyFill="1" applyBorder="1" applyAlignment="1">
      <alignment horizontal="left" vertical="top" wrapText="1"/>
    </xf>
    <xf numFmtId="0" fontId="97" fillId="111" borderId="20" xfId="90" applyFont="1" applyFill="1" applyBorder="1" applyAlignment="1">
      <alignment vertical="top" wrapText="1"/>
    </xf>
    <xf numFmtId="0" fontId="99" fillId="112" borderId="20" xfId="90" applyFont="1" applyFill="1" applyBorder="1" applyAlignment="1">
      <alignment horizontal="center" vertical="top"/>
    </xf>
    <xf numFmtId="0" fontId="97" fillId="112" borderId="20" xfId="90" applyFont="1" applyFill="1" applyBorder="1" applyAlignment="1">
      <alignment horizontal="center" vertical="top"/>
    </xf>
    <xf numFmtId="0" fontId="97" fillId="112" borderId="20" xfId="90" applyFont="1" applyFill="1" applyBorder="1" applyAlignment="1">
      <alignment horizontal="center" vertical="top" wrapText="1"/>
    </xf>
    <xf numFmtId="169" fontId="99" fillId="111" borderId="20" xfId="90" applyNumberFormat="1" applyFont="1" applyFill="1" applyBorder="1" applyAlignment="1">
      <alignment vertical="top"/>
    </xf>
    <xf numFmtId="9" fontId="99" fillId="111" borderId="20" xfId="97" applyFont="1" applyFill="1" applyBorder="1" applyAlignment="1">
      <alignment vertical="top"/>
    </xf>
    <xf numFmtId="3" fontId="99" fillId="111" borderId="20" xfId="90" applyNumberFormat="1" applyFont="1" applyFill="1" applyBorder="1" applyAlignment="1">
      <alignment vertical="top"/>
    </xf>
    <xf numFmtId="3" fontId="97" fillId="0" borderId="20" xfId="90" applyNumberFormat="1" applyFont="1" applyBorder="1" applyAlignment="1">
      <alignment horizontal="right" vertical="top" wrapText="1"/>
    </xf>
    <xf numFmtId="0" fontId="97" fillId="109" borderId="20" xfId="90" applyFont="1" applyFill="1" applyBorder="1" applyAlignment="1">
      <alignment horizontal="left" vertical="top" wrapText="1"/>
    </xf>
    <xf numFmtId="0" fontId="97" fillId="109" borderId="20" xfId="90" applyFont="1" applyFill="1" applyBorder="1" applyAlignment="1">
      <alignment horizontal="left" vertical="top"/>
    </xf>
    <xf numFmtId="3" fontId="97" fillId="109" borderId="20" xfId="90" applyNumberFormat="1" applyFont="1" applyFill="1" applyBorder="1" applyAlignment="1">
      <alignment vertical="top"/>
    </xf>
    <xf numFmtId="10" fontId="99" fillId="0" borderId="20" xfId="97" applyNumberFormat="1" applyFont="1" applyBorder="1" applyAlignment="1">
      <alignment vertical="top"/>
    </xf>
    <xf numFmtId="0" fontId="97" fillId="0" borderId="20" xfId="90" applyFont="1" applyBorder="1" applyAlignment="1">
      <alignment vertical="top"/>
    </xf>
    <xf numFmtId="0" fontId="97" fillId="0" borderId="20" xfId="90" applyFont="1" applyBorder="1" applyAlignment="1">
      <alignment horizontal="left" vertical="top"/>
    </xf>
    <xf numFmtId="181" fontId="99" fillId="111" borderId="20" xfId="97" applyNumberFormat="1" applyFont="1" applyFill="1" applyBorder="1" applyAlignment="1">
      <alignment vertical="top"/>
    </xf>
    <xf numFmtId="182" fontId="99" fillId="111" borderId="20" xfId="97" applyNumberFormat="1" applyFont="1" applyFill="1" applyBorder="1" applyAlignment="1">
      <alignment vertical="top"/>
    </xf>
    <xf numFmtId="4" fontId="99" fillId="0" borderId="20" xfId="90" applyNumberFormat="1" applyFont="1" applyBorder="1" applyAlignment="1">
      <alignment vertical="top"/>
    </xf>
    <xf numFmtId="4" fontId="99" fillId="111" borderId="20" xfId="90" applyNumberFormat="1" applyFont="1" applyFill="1" applyBorder="1" applyAlignment="1">
      <alignment vertical="top"/>
    </xf>
    <xf numFmtId="3" fontId="97" fillId="0" borderId="20" xfId="90" applyNumberFormat="1" applyFont="1" applyBorder="1" applyAlignment="1">
      <alignment horizontal="right" vertical="top"/>
    </xf>
    <xf numFmtId="0" fontId="97" fillId="0" borderId="20" xfId="90" applyFont="1" applyBorder="1" applyAlignment="1">
      <alignment horizontal="left" vertical="center" wrapText="1"/>
    </xf>
    <xf numFmtId="0" fontId="97" fillId="111" borderId="20" xfId="90" applyFont="1" applyFill="1" applyBorder="1" applyAlignment="1">
      <alignment horizontal="left" vertical="center" wrapText="1"/>
    </xf>
    <xf numFmtId="169" fontId="97" fillId="111" borderId="20" xfId="90" applyNumberFormat="1" applyFont="1" applyFill="1" applyBorder="1" applyAlignment="1">
      <alignment vertical="top"/>
    </xf>
    <xf numFmtId="0" fontId="99" fillId="109" borderId="20" xfId="90" applyFont="1" applyFill="1" applyBorder="1" applyAlignment="1">
      <alignment horizontal="center" vertical="top"/>
    </xf>
    <xf numFmtId="0" fontId="99" fillId="109" borderId="20" xfId="90" applyFont="1" applyFill="1" applyBorder="1" applyAlignment="1">
      <alignment horizontal="center" vertical="top" wrapText="1"/>
    </xf>
    <xf numFmtId="0" fontId="97" fillId="109" borderId="20" xfId="90" applyFont="1" applyFill="1" applyBorder="1" applyAlignment="1">
      <alignment vertical="top" wrapText="1"/>
    </xf>
    <xf numFmtId="0" fontId="97" fillId="109" borderId="20" xfId="90" applyFont="1" applyFill="1" applyBorder="1" applyAlignment="1">
      <alignment horizontal="center" vertical="top"/>
    </xf>
    <xf numFmtId="0" fontId="97" fillId="109" borderId="20" xfId="90" applyFont="1" applyFill="1" applyBorder="1" applyAlignment="1">
      <alignment horizontal="center" vertical="top" wrapText="1"/>
    </xf>
    <xf numFmtId="169" fontId="99" fillId="109" borderId="20" xfId="90" applyNumberFormat="1" applyFont="1" applyFill="1" applyBorder="1" applyAlignment="1">
      <alignment vertical="top"/>
    </xf>
    <xf numFmtId="9" fontId="99" fillId="109" borderId="20" xfId="97" applyFont="1" applyFill="1" applyBorder="1" applyAlignment="1">
      <alignment vertical="top"/>
    </xf>
    <xf numFmtId="3" fontId="99" fillId="109" borderId="20" xfId="90" applyNumberFormat="1" applyFont="1" applyFill="1" applyBorder="1" applyAlignment="1">
      <alignment vertical="top"/>
    </xf>
    <xf numFmtId="3" fontId="97" fillId="109" borderId="20" xfId="90" applyNumberFormat="1" applyFont="1" applyFill="1" applyBorder="1" applyAlignment="1">
      <alignment horizontal="right" vertical="top"/>
    </xf>
    <xf numFmtId="0" fontId="97" fillId="111" borderId="20" xfId="90" applyFont="1" applyFill="1" applyBorder="1" applyAlignment="1">
      <alignment horizontal="center" vertical="top" wrapText="1"/>
    </xf>
    <xf numFmtId="169" fontId="99" fillId="0" borderId="20" xfId="90" applyNumberFormat="1" applyFont="1" applyBorder="1" applyAlignment="1">
      <alignment horizontal="right" vertical="top"/>
    </xf>
    <xf numFmtId="0" fontId="99" fillId="0" borderId="20" xfId="90" applyFont="1" applyBorder="1" applyAlignment="1">
      <alignment horizontal="left" vertical="top"/>
    </xf>
    <xf numFmtId="0" fontId="97" fillId="0" borderId="0" xfId="90" applyFont="1" applyAlignment="1">
      <alignment vertical="top" wrapText="1"/>
    </xf>
    <xf numFmtId="9" fontId="99" fillId="111" borderId="20" xfId="90" applyNumberFormat="1" applyFont="1" applyFill="1" applyBorder="1" applyAlignment="1">
      <alignment vertical="top"/>
    </xf>
    <xf numFmtId="0" fontId="100" fillId="0" borderId="0" xfId="90" applyFont="1" applyAlignment="1">
      <alignment vertical="top"/>
    </xf>
    <xf numFmtId="10" fontId="99" fillId="111" borderId="20" xfId="97" applyNumberFormat="1" applyFont="1" applyFill="1" applyBorder="1" applyAlignment="1">
      <alignment vertical="top"/>
    </xf>
    <xf numFmtId="169" fontId="97" fillId="0" borderId="20" xfId="90" applyNumberFormat="1" applyFont="1" applyBorder="1" applyAlignment="1">
      <alignment vertical="top"/>
    </xf>
    <xf numFmtId="0" fontId="101" fillId="109" borderId="43" xfId="98" applyFont="1" applyFill="1" applyBorder="1" applyAlignment="1">
      <alignment horizontal="left" vertical="top" wrapText="1"/>
    </xf>
    <xf numFmtId="0" fontId="97" fillId="109" borderId="20" xfId="90" applyFont="1" applyFill="1" applyBorder="1" applyAlignment="1">
      <alignment vertical="top"/>
    </xf>
    <xf numFmtId="0" fontId="97" fillId="0" borderId="20" xfId="90" applyFont="1" applyBorder="1" applyAlignment="1">
      <alignment horizontal="right" vertical="top"/>
    </xf>
    <xf numFmtId="0" fontId="97" fillId="0" borderId="44" xfId="90" applyFont="1" applyBorder="1" applyAlignment="1">
      <alignment vertical="top" wrapText="1"/>
    </xf>
    <xf numFmtId="0" fontId="97" fillId="0" borderId="43" xfId="90" applyFont="1" applyBorder="1" applyAlignment="1">
      <alignment horizontal="left" vertical="top" wrapText="1"/>
    </xf>
    <xf numFmtId="0" fontId="97" fillId="0" borderId="45" xfId="90" applyFont="1" applyBorder="1" applyAlignment="1">
      <alignment horizontal="left" vertical="top" wrapText="1"/>
    </xf>
    <xf numFmtId="9" fontId="97" fillId="0" borderId="20" xfId="97" applyFont="1" applyBorder="1" applyAlignment="1">
      <alignment horizontal="right" vertical="top" wrapText="1"/>
    </xf>
    <xf numFmtId="0" fontId="97" fillId="0" borderId="45" xfId="90" applyFont="1" applyBorder="1" applyAlignment="1">
      <alignment vertical="top" wrapText="1"/>
    </xf>
    <xf numFmtId="9" fontId="97" fillId="0" borderId="20" xfId="90" applyNumberFormat="1" applyFont="1" applyBorder="1" applyAlignment="1">
      <alignment horizontal="right" vertical="top"/>
    </xf>
    <xf numFmtId="10" fontId="97" fillId="0" borderId="20" xfId="90" applyNumberFormat="1" applyFont="1" applyBorder="1" applyAlignment="1">
      <alignment horizontal="right" vertical="top"/>
    </xf>
    <xf numFmtId="0" fontId="100" fillId="0" borderId="20" xfId="90" applyFont="1" applyBorder="1" applyAlignment="1">
      <alignment horizontal="left" vertical="top" wrapText="1"/>
    </xf>
    <xf numFmtId="9" fontId="97" fillId="0" borderId="20" xfId="90" applyNumberFormat="1" applyFont="1" applyBorder="1" applyAlignment="1">
      <alignment horizontal="right" vertical="top" wrapText="1"/>
    </xf>
    <xf numFmtId="10" fontId="97" fillId="109" borderId="20" xfId="90" applyNumberFormat="1" applyFont="1" applyFill="1" applyBorder="1" applyAlignment="1">
      <alignment horizontal="right" vertical="top"/>
    </xf>
    <xf numFmtId="9" fontId="97" fillId="109" borderId="20" xfId="90" applyNumberFormat="1" applyFont="1" applyFill="1" applyBorder="1" applyAlignment="1">
      <alignment horizontal="right" vertical="top" wrapText="1"/>
    </xf>
    <xf numFmtId="9" fontId="97" fillId="109" borderId="20" xfId="90" applyNumberFormat="1" applyFont="1" applyFill="1" applyBorder="1" applyAlignment="1">
      <alignment horizontal="right" vertical="top"/>
    </xf>
    <xf numFmtId="0" fontId="102" fillId="109" borderId="20" xfId="90" applyFont="1" applyFill="1" applyBorder="1" applyAlignment="1">
      <alignment vertical="top"/>
    </xf>
    <xf numFmtId="0" fontId="97" fillId="109" borderId="0" xfId="90" applyFont="1" applyFill="1" applyAlignment="1">
      <alignment vertical="top"/>
    </xf>
    <xf numFmtId="0" fontId="97" fillId="109" borderId="20" xfId="90" applyFont="1" applyFill="1" applyBorder="1" applyAlignment="1">
      <alignment horizontal="right" vertical="top"/>
    </xf>
    <xf numFmtId="0" fontId="97" fillId="109" borderId="20" xfId="90" applyFont="1" applyFill="1" applyBorder="1" applyAlignment="1">
      <alignment horizontal="right" vertical="top" wrapText="1"/>
    </xf>
    <xf numFmtId="0" fontId="103" fillId="0" borderId="20" xfId="90" applyFont="1" applyBorder="1" applyAlignment="1">
      <alignment horizontal="left" vertical="top" wrapText="1"/>
    </xf>
    <xf numFmtId="0" fontId="103" fillId="0" borderId="20" xfId="90" applyFont="1" applyBorder="1" applyAlignment="1">
      <alignment horizontal="left" vertical="top"/>
    </xf>
    <xf numFmtId="9" fontId="103" fillId="0" borderId="20" xfId="90" applyNumberFormat="1" applyFont="1" applyBorder="1" applyAlignment="1">
      <alignment horizontal="right" vertical="top"/>
    </xf>
    <xf numFmtId="3" fontId="97" fillId="0" borderId="20" xfId="90" applyNumberFormat="1" applyFont="1" applyBorder="1" applyAlignment="1">
      <alignment horizontal="left" vertical="top" wrapText="1"/>
    </xf>
    <xf numFmtId="9" fontId="99" fillId="0" borderId="20" xfId="97" applyFont="1" applyBorder="1" applyAlignment="1">
      <alignment horizontal="right" vertical="top"/>
    </xf>
    <xf numFmtId="3" fontId="99" fillId="0" borderId="20" xfId="90" applyNumberFormat="1" applyFont="1" applyBorder="1" applyAlignment="1">
      <alignment horizontal="right" vertical="top"/>
    </xf>
    <xf numFmtId="9" fontId="97" fillId="0" borderId="20" xfId="97" applyFont="1" applyBorder="1" applyAlignment="1">
      <alignment vertical="top"/>
    </xf>
    <xf numFmtId="0" fontId="102" fillId="0" borderId="20" xfId="90" applyFont="1" applyBorder="1" applyAlignment="1">
      <alignment horizontal="left" vertical="top" wrapText="1"/>
    </xf>
    <xf numFmtId="169" fontId="99" fillId="0" borderId="20" xfId="90" applyNumberFormat="1" applyFont="1" applyBorder="1" applyAlignment="1">
      <alignment vertical="top" wrapText="1"/>
    </xf>
    <xf numFmtId="1" fontId="97" fillId="0" borderId="20" xfId="97" applyNumberFormat="1" applyFont="1" applyBorder="1" applyAlignment="1">
      <alignment horizontal="right" vertical="top"/>
    </xf>
    <xf numFmtId="1" fontId="97" fillId="109" borderId="20" xfId="90" applyNumberFormat="1" applyFont="1" applyFill="1" applyBorder="1" applyAlignment="1">
      <alignment horizontal="right" vertical="top"/>
    </xf>
    <xf numFmtId="0" fontId="97" fillId="111" borderId="20" xfId="90" applyFont="1" applyFill="1" applyBorder="1" applyAlignment="1">
      <alignment vertical="center" wrapText="1"/>
    </xf>
    <xf numFmtId="169" fontId="99" fillId="111" borderId="20" xfId="90" applyNumberFormat="1" applyFont="1" applyFill="1" applyBorder="1" applyAlignment="1">
      <alignment vertical="top" wrapText="1"/>
    </xf>
    <xf numFmtId="166" fontId="99" fillId="0" borderId="20" xfId="97" applyNumberFormat="1" applyFont="1" applyBorder="1" applyAlignment="1">
      <alignment vertical="top"/>
    </xf>
    <xf numFmtId="0" fontId="97" fillId="111" borderId="20" xfId="90" applyFont="1" applyFill="1" applyBorder="1" applyAlignment="1">
      <alignment horizontal="center" vertical="top"/>
    </xf>
    <xf numFmtId="183" fontId="99" fillId="0" borderId="20" xfId="97" applyNumberFormat="1" applyFont="1" applyBorder="1" applyAlignment="1">
      <alignment vertical="top"/>
    </xf>
    <xf numFmtId="3" fontId="97" fillId="0" borderId="20" xfId="90" applyNumberFormat="1" applyFont="1" applyBorder="1" applyAlignment="1">
      <alignment horizontal="left" vertical="top"/>
    </xf>
    <xf numFmtId="183" fontId="99" fillId="111" borderId="20" xfId="97" applyNumberFormat="1" applyFont="1" applyFill="1" applyBorder="1" applyAlignment="1">
      <alignment vertical="top"/>
    </xf>
    <xf numFmtId="0" fontId="99" fillId="0" borderId="20" xfId="90" applyFont="1" applyBorder="1" applyAlignment="1">
      <alignment horizontal="right" vertical="top" wrapText="1"/>
    </xf>
    <xf numFmtId="169" fontId="104" fillId="0" borderId="20" xfId="90" applyNumberFormat="1" applyFont="1" applyBorder="1" applyAlignment="1">
      <alignment vertical="top"/>
    </xf>
    <xf numFmtId="1" fontId="97" fillId="0" borderId="20" xfId="90" applyNumberFormat="1" applyFont="1" applyBorder="1" applyAlignment="1">
      <alignment horizontal="right" vertical="top"/>
    </xf>
    <xf numFmtId="166" fontId="99" fillId="109" borderId="20" xfId="97" applyNumberFormat="1" applyFont="1" applyFill="1" applyBorder="1" applyAlignment="1">
      <alignment vertical="top"/>
    </xf>
    <xf numFmtId="4" fontId="97" fillId="0" borderId="0" xfId="90" applyNumberFormat="1" applyFont="1" applyAlignment="1">
      <alignment vertical="top"/>
    </xf>
    <xf numFmtId="0" fontId="97" fillId="0" borderId="0" xfId="90" applyFont="1" applyAlignment="1">
      <alignment horizontal="center" vertical="top" wrapText="1"/>
    </xf>
    <xf numFmtId="4" fontId="97" fillId="0" borderId="0" xfId="90" applyNumberFormat="1" applyFont="1" applyAlignment="1">
      <alignment horizontal="center" vertical="top"/>
    </xf>
    <xf numFmtId="10" fontId="99" fillId="0" borderId="20" xfId="90" applyNumberFormat="1" applyFont="1" applyBorder="1" applyAlignment="1">
      <alignment vertical="top"/>
    </xf>
    <xf numFmtId="3" fontId="99" fillId="0" borderId="0" xfId="90" applyNumberFormat="1" applyFont="1" applyAlignment="1">
      <alignment horizontal="left" vertical="top"/>
    </xf>
    <xf numFmtId="0" fontId="19" fillId="0" borderId="0" xfId="52" applyAlignment="1" applyProtection="1">
      <alignment horizontal="center" vertical="top"/>
    </xf>
    <xf numFmtId="166" fontId="26" fillId="0" borderId="0" xfId="93" applyNumberFormat="1" applyFont="1"/>
    <xf numFmtId="0" fontId="49" fillId="40" borderId="0" xfId="94" applyFont="1" applyFill="1" applyAlignment="1">
      <alignment horizontal="left"/>
    </xf>
    <xf numFmtId="3" fontId="32" fillId="40" borderId="1" xfId="32" applyNumberFormat="1" applyFont="1" applyFill="1"/>
    <xf numFmtId="10" fontId="49" fillId="40" borderId="1" xfId="93" applyNumberFormat="1" applyFont="1" applyFill="1" applyBorder="1"/>
    <xf numFmtId="0" fontId="0" fillId="0" borderId="0" xfId="0" applyAlignment="1">
      <alignment horizontal="left" vertical="center" wrapText="1"/>
    </xf>
    <xf numFmtId="0" fontId="0" fillId="0" borderId="20" xfId="0" applyBorder="1"/>
    <xf numFmtId="0" fontId="105" fillId="0" borderId="20" xfId="0" applyFont="1" applyBorder="1" applyAlignment="1">
      <alignment horizontal="left" vertical="center" wrapText="1"/>
    </xf>
    <xf numFmtId="0" fontId="0" fillId="106" borderId="20" xfId="0" applyFill="1" applyBorder="1" applyAlignment="1">
      <alignment wrapText="1"/>
    </xf>
    <xf numFmtId="0" fontId="0" fillId="63" borderId="20" xfId="0" applyFill="1" applyBorder="1"/>
    <xf numFmtId="0" fontId="0" fillId="75" borderId="20" xfId="0" applyFill="1" applyBorder="1"/>
    <xf numFmtId="0" fontId="31" fillId="40" borderId="20" xfId="42" applyBorder="1">
      <alignment wrapText="1"/>
    </xf>
    <xf numFmtId="0" fontId="79" fillId="0" borderId="0" xfId="28" applyFont="1" applyBorder="1" applyAlignment="1">
      <alignment horizontal="right"/>
    </xf>
    <xf numFmtId="166" fontId="80" fillId="67" borderId="1" xfId="93" applyNumberFormat="1" applyFont="1" applyFill="1" applyBorder="1"/>
    <xf numFmtId="9" fontId="79" fillId="0" borderId="2" xfId="40" applyNumberFormat="1" applyFont="1"/>
    <xf numFmtId="4" fontId="32" fillId="64" borderId="1" xfId="32" applyNumberFormat="1" applyFont="1"/>
    <xf numFmtId="2" fontId="6" fillId="63" borderId="1" xfId="31" applyNumberFormat="1" applyAlignment="1"/>
    <xf numFmtId="168" fontId="0" fillId="0" borderId="0" xfId="0" applyNumberFormat="1"/>
    <xf numFmtId="0" fontId="107" fillId="113" borderId="49" xfId="94" applyFont="1" applyFill="1" applyBorder="1" applyAlignment="1">
      <alignment horizontal="center" vertical="center" wrapText="1"/>
    </xf>
    <xf numFmtId="0" fontId="107" fillId="113" borderId="50" xfId="94" applyFont="1" applyFill="1" applyBorder="1" applyAlignment="1">
      <alignment horizontal="center" vertical="center" wrapText="1"/>
    </xf>
    <xf numFmtId="0" fontId="107" fillId="113" borderId="0" xfId="94" applyFont="1" applyFill="1" applyAlignment="1">
      <alignment horizontal="center" vertical="center" wrapText="1"/>
    </xf>
    <xf numFmtId="9" fontId="79" fillId="2" borderId="1" xfId="33" applyNumberFormat="1" applyFont="1">
      <protection locked="0"/>
    </xf>
    <xf numFmtId="9" fontId="79" fillId="2" borderId="1" xfId="93" applyFont="1" applyFill="1" applyBorder="1" applyProtection="1">
      <protection locked="0"/>
    </xf>
    <xf numFmtId="0" fontId="80" fillId="0" borderId="0" xfId="0" applyFont="1" applyAlignment="1">
      <alignment horizontal="right"/>
    </xf>
    <xf numFmtId="0" fontId="80" fillId="0" borderId="0" xfId="28" applyFont="1" applyBorder="1" applyAlignment="1">
      <alignment horizontal="left"/>
    </xf>
    <xf numFmtId="0" fontId="79" fillId="2" borderId="1" xfId="33" applyNumberFormat="1" applyFont="1" applyAlignment="1">
      <protection locked="0"/>
    </xf>
    <xf numFmtId="167" fontId="6" fillId="63" borderId="1" xfId="31" applyNumberFormat="1"/>
    <xf numFmtId="185" fontId="79" fillId="67" borderId="1" xfId="92" applyNumberFormat="1" applyFont="1" applyFill="1" applyBorder="1"/>
    <xf numFmtId="9" fontId="79" fillId="0" borderId="0" xfId="93" applyFont="1"/>
    <xf numFmtId="9" fontId="79" fillId="0" borderId="0" xfId="0" applyNumberFormat="1" applyFont="1"/>
    <xf numFmtId="10" fontId="79" fillId="0" borderId="0" xfId="93" applyNumberFormat="1" applyFont="1"/>
    <xf numFmtId="0" fontId="79" fillId="0" borderId="37" xfId="28" applyFont="1" applyBorder="1" applyAlignment="1">
      <alignment horizontal="right"/>
    </xf>
    <xf numFmtId="2" fontId="6" fillId="64" borderId="1" xfId="32" applyNumberFormat="1"/>
    <xf numFmtId="1" fontId="0" fillId="115" borderId="1" xfId="30" applyNumberFormat="1" applyFont="1" applyFill="1"/>
    <xf numFmtId="10" fontId="80" fillId="66" borderId="34" xfId="93" applyNumberFormat="1" applyFont="1" applyFill="1" applyBorder="1"/>
    <xf numFmtId="166" fontId="79" fillId="14" borderId="0" xfId="93" applyNumberFormat="1" applyFont="1" applyFill="1"/>
    <xf numFmtId="166" fontId="79" fillId="0" borderId="0" xfId="93" applyNumberFormat="1" applyFont="1"/>
    <xf numFmtId="1" fontId="79" fillId="14" borderId="0" xfId="54" applyNumberFormat="1" applyFont="1"/>
    <xf numFmtId="2" fontId="79" fillId="14" borderId="0" xfId="54" applyNumberFormat="1" applyFont="1"/>
    <xf numFmtId="166" fontId="80" fillId="95" borderId="1" xfId="93" applyNumberFormat="1" applyFont="1" applyFill="1" applyBorder="1"/>
    <xf numFmtId="2" fontId="31" fillId="69" borderId="1" xfId="89" applyNumberFormat="1"/>
    <xf numFmtId="0" fontId="110" fillId="116" borderId="75" xfId="0" applyFont="1" applyFill="1" applyBorder="1" applyAlignment="1">
      <alignment horizontal="center" vertical="center" wrapText="1"/>
    </xf>
    <xf numFmtId="0" fontId="110" fillId="116" borderId="76" xfId="0" applyFont="1" applyFill="1" applyBorder="1" applyAlignment="1">
      <alignment horizontal="center" vertical="center" wrapText="1"/>
    </xf>
    <xf numFmtId="0" fontId="110" fillId="116" borderId="77" xfId="0" applyFont="1" applyFill="1" applyBorder="1" applyAlignment="1">
      <alignment horizontal="center" vertical="center" wrapText="1"/>
    </xf>
    <xf numFmtId="166" fontId="111" fillId="106" borderId="76" xfId="93" applyNumberFormat="1" applyFont="1" applyFill="1" applyBorder="1" applyAlignment="1">
      <alignment horizontal="center" vertical="center" wrapText="1"/>
    </xf>
    <xf numFmtId="166" fontId="0" fillId="0" borderId="0" xfId="0" applyNumberFormat="1"/>
    <xf numFmtId="168" fontId="0" fillId="0" borderId="76" xfId="93" applyNumberFormat="1" applyFont="1" applyBorder="1" applyAlignment="1">
      <alignment horizontal="center"/>
    </xf>
    <xf numFmtId="10" fontId="0" fillId="0" borderId="76" xfId="93" applyNumberFormat="1" applyFont="1" applyBorder="1" applyAlignment="1">
      <alignment horizontal="center"/>
    </xf>
    <xf numFmtId="10" fontId="0" fillId="0" borderId="77" xfId="93" applyNumberFormat="1" applyFont="1" applyBorder="1" applyAlignment="1">
      <alignment horizontal="center"/>
    </xf>
    <xf numFmtId="9" fontId="0" fillId="0" borderId="76" xfId="93" applyFont="1" applyBorder="1" applyAlignment="1">
      <alignment horizontal="center"/>
    </xf>
    <xf numFmtId="9" fontId="0" fillId="0" borderId="77" xfId="93" applyFont="1" applyBorder="1" applyAlignment="1">
      <alignment horizontal="center"/>
    </xf>
    <xf numFmtId="168" fontId="0" fillId="0" borderId="77" xfId="93" applyNumberFormat="1" applyFont="1" applyBorder="1" applyAlignment="1">
      <alignment horizontal="center"/>
    </xf>
    <xf numFmtId="1" fontId="0" fillId="0" borderId="76" xfId="93" applyNumberFormat="1" applyFont="1" applyBorder="1" applyAlignment="1">
      <alignment horizontal="center"/>
    </xf>
    <xf numFmtId="1" fontId="0" fillId="0" borderId="77" xfId="93" applyNumberFormat="1" applyFont="1" applyBorder="1" applyAlignment="1">
      <alignment horizontal="center"/>
    </xf>
    <xf numFmtId="168" fontId="0" fillId="0" borderId="75" xfId="0" applyNumberFormat="1" applyBorder="1"/>
    <xf numFmtId="0" fontId="31" fillId="40" borderId="0" xfId="42" applyAlignment="1">
      <alignment horizontal="center" vertical="center"/>
    </xf>
    <xf numFmtId="168" fontId="6" fillId="67" borderId="1" xfId="30" applyNumberFormat="1" applyAlignment="1"/>
    <xf numFmtId="0" fontId="0" fillId="0" borderId="0" xfId="0" applyAlignment="1">
      <alignment horizontal="left" indent="1"/>
    </xf>
    <xf numFmtId="0" fontId="0" fillId="0" borderId="0" xfId="0" applyAlignment="1">
      <alignment horizontal="left" indent="2"/>
    </xf>
    <xf numFmtId="1" fontId="0" fillId="0" borderId="0" xfId="0" applyNumberFormat="1" applyAlignment="1">
      <alignment horizontal="center"/>
    </xf>
    <xf numFmtId="1" fontId="0" fillId="0" borderId="0" xfId="92" applyNumberFormat="1" applyFont="1" applyAlignment="1">
      <alignment horizontal="center" vertical="center"/>
    </xf>
    <xf numFmtId="1" fontId="79" fillId="0" borderId="0" xfId="0" applyNumberFormat="1" applyFont="1"/>
    <xf numFmtId="9" fontId="79" fillId="67" borderId="1" xfId="93" applyFont="1" applyFill="1" applyBorder="1"/>
    <xf numFmtId="0" fontId="110" fillId="116" borderId="74" xfId="0" applyFont="1" applyFill="1" applyBorder="1" applyAlignment="1">
      <alignment horizontal="center" vertical="center" wrapText="1"/>
    </xf>
    <xf numFmtId="0" fontId="26" fillId="107" borderId="75" xfId="0" applyFont="1" applyFill="1" applyBorder="1"/>
    <xf numFmtId="1" fontId="26" fillId="107" borderId="76" xfId="92" applyNumberFormat="1" applyFont="1" applyFill="1" applyBorder="1" applyAlignment="1">
      <alignment horizontal="center" vertical="center"/>
    </xf>
    <xf numFmtId="1" fontId="26" fillId="107" borderId="77" xfId="92" applyNumberFormat="1" applyFont="1" applyFill="1" applyBorder="1" applyAlignment="1">
      <alignment horizontal="center" vertical="center"/>
    </xf>
    <xf numFmtId="0" fontId="0" fillId="0" borderId="75" xfId="0" applyBorder="1" applyAlignment="1">
      <alignment horizontal="left" indent="1"/>
    </xf>
    <xf numFmtId="1" fontId="0" fillId="0" borderId="76" xfId="92" applyNumberFormat="1" applyFont="1" applyBorder="1" applyAlignment="1">
      <alignment horizontal="center" vertical="center"/>
    </xf>
    <xf numFmtId="1" fontId="0" fillId="0" borderId="77" xfId="92" applyNumberFormat="1" applyFont="1" applyBorder="1" applyAlignment="1">
      <alignment horizontal="center" vertical="center"/>
    </xf>
    <xf numFmtId="0" fontId="0" fillId="0" borderId="75" xfId="0" applyBorder="1" applyAlignment="1">
      <alignment horizontal="left" indent="2"/>
    </xf>
    <xf numFmtId="1" fontId="0" fillId="0" borderId="76" xfId="0" applyNumberFormat="1" applyBorder="1" applyAlignment="1">
      <alignment horizontal="center"/>
    </xf>
    <xf numFmtId="1" fontId="0" fillId="0" borderId="77" xfId="0" applyNumberFormat="1" applyBorder="1" applyAlignment="1">
      <alignment horizontal="center"/>
    </xf>
    <xf numFmtId="2" fontId="0" fillId="0" borderId="76" xfId="93" applyNumberFormat="1" applyFont="1" applyBorder="1" applyAlignment="1">
      <alignment horizontal="center"/>
    </xf>
    <xf numFmtId="2" fontId="0" fillId="0" borderId="77" xfId="93" applyNumberFormat="1" applyFont="1" applyBorder="1" applyAlignment="1">
      <alignment horizontal="center"/>
    </xf>
    <xf numFmtId="2" fontId="26" fillId="107" borderId="76" xfId="92" applyNumberFormat="1" applyFont="1" applyFill="1" applyBorder="1" applyAlignment="1">
      <alignment horizontal="center" vertical="center"/>
    </xf>
    <xf numFmtId="2" fontId="26" fillId="107" borderId="77" xfId="92" applyNumberFormat="1" applyFont="1" applyFill="1" applyBorder="1" applyAlignment="1">
      <alignment horizontal="center" vertical="center"/>
    </xf>
    <xf numFmtId="0" fontId="30" fillId="40" borderId="75" xfId="40" applyFont="1" applyFill="1" applyBorder="1" applyAlignment="1">
      <alignment horizontal="center" wrapText="1"/>
    </xf>
    <xf numFmtId="0" fontId="30" fillId="40" borderId="76" xfId="40" applyFont="1" applyFill="1" applyBorder="1" applyAlignment="1">
      <alignment horizontal="center" wrapText="1"/>
    </xf>
    <xf numFmtId="0" fontId="30" fillId="40" borderId="77" xfId="40" applyFont="1" applyFill="1" applyBorder="1" applyAlignment="1">
      <alignment horizontal="center" wrapText="1"/>
    </xf>
    <xf numFmtId="0" fontId="0" fillId="96" borderId="75" xfId="40" applyFont="1" applyFill="1" applyBorder="1" applyAlignment="1">
      <alignment horizontal="center" vertical="center"/>
    </xf>
    <xf numFmtId="0" fontId="0" fillId="96" borderId="76" xfId="40" applyFont="1" applyFill="1" applyBorder="1" applyAlignment="1">
      <alignment horizontal="left" vertical="top" wrapText="1"/>
    </xf>
    <xf numFmtId="9" fontId="0" fillId="106" borderId="76" xfId="33" applyNumberFormat="1" applyFont="1" applyFill="1" applyBorder="1" applyAlignment="1">
      <alignment horizontal="center" vertical="top" wrapText="1"/>
      <protection locked="0"/>
    </xf>
    <xf numFmtId="9" fontId="0" fillId="106" borderId="77" xfId="33" applyNumberFormat="1" applyFont="1" applyFill="1" applyBorder="1" applyAlignment="1">
      <alignment horizontal="center" vertical="top" wrapText="1"/>
      <protection locked="0"/>
    </xf>
    <xf numFmtId="0" fontId="0" fillId="0" borderId="75" xfId="40" applyFont="1" applyBorder="1" applyAlignment="1">
      <alignment horizontal="center" vertical="center"/>
    </xf>
    <xf numFmtId="0" fontId="94" fillId="106" borderId="76" xfId="77" applyFont="1" applyFill="1" applyBorder="1" applyAlignment="1">
      <alignment vertical="top" wrapText="1"/>
    </xf>
    <xf numFmtId="9" fontId="0" fillId="106" borderId="76" xfId="33" applyNumberFormat="1" applyFont="1" applyFill="1" applyBorder="1" applyAlignment="1">
      <alignment horizontal="center" vertical="center" wrapText="1"/>
      <protection locked="0"/>
    </xf>
    <xf numFmtId="9" fontId="0" fillId="106" borderId="77" xfId="33" applyNumberFormat="1" applyFont="1" applyFill="1" applyBorder="1" applyAlignment="1">
      <alignment horizontal="center" vertical="center" wrapText="1"/>
      <protection locked="0"/>
    </xf>
    <xf numFmtId="0" fontId="0" fillId="96" borderId="75" xfId="40" applyFont="1" applyFill="1" applyBorder="1" applyAlignment="1">
      <alignment horizontal="center"/>
    </xf>
    <xf numFmtId="0" fontId="0" fillId="0" borderId="75" xfId="40" applyFont="1" applyBorder="1" applyAlignment="1">
      <alignment horizontal="center"/>
    </xf>
    <xf numFmtId="9" fontId="0" fillId="106" borderId="77" xfId="33" applyNumberFormat="1" applyFont="1" applyFill="1" applyBorder="1" applyAlignment="1">
      <alignment horizontal="center" vertical="center"/>
      <protection locked="0"/>
    </xf>
    <xf numFmtId="0" fontId="94" fillId="106" borderId="76" xfId="77" applyFont="1" applyFill="1" applyBorder="1" applyAlignment="1">
      <alignment horizontal="left" vertical="top" wrapText="1"/>
    </xf>
    <xf numFmtId="0" fontId="94" fillId="106" borderId="76" xfId="77" applyFont="1" applyFill="1" applyBorder="1" applyAlignment="1">
      <alignment horizontal="left" vertical="top"/>
    </xf>
    <xf numFmtId="0" fontId="0" fillId="117" borderId="76" xfId="25" applyFont="1" applyFill="1" applyBorder="1" applyAlignment="1">
      <alignment horizontal="left" vertical="top" wrapText="1"/>
    </xf>
    <xf numFmtId="0" fontId="94" fillId="106" borderId="76" xfId="77" applyFont="1" applyFill="1" applyBorder="1" applyAlignment="1">
      <alignment vertical="top"/>
    </xf>
    <xf numFmtId="9" fontId="0" fillId="106" borderId="76" xfId="33" applyNumberFormat="1" applyFont="1" applyFill="1" applyBorder="1" applyAlignment="1">
      <alignment horizontal="center" vertical="center"/>
      <protection locked="0"/>
    </xf>
    <xf numFmtId="0" fontId="0" fillId="96" borderId="76" xfId="0" applyFill="1" applyBorder="1" applyAlignment="1">
      <alignment horizontal="left" vertical="top" wrapText="1"/>
    </xf>
    <xf numFmtId="0" fontId="28" fillId="96" borderId="76" xfId="47" applyFont="1" applyFill="1" applyBorder="1" applyAlignment="1">
      <alignment horizontal="left" vertical="top" wrapText="1"/>
    </xf>
    <xf numFmtId="0" fontId="28" fillId="106" borderId="76" xfId="9" applyFill="1" applyBorder="1" applyAlignment="1">
      <alignment horizontal="left" vertical="top" wrapText="1"/>
    </xf>
    <xf numFmtId="0" fontId="0" fillId="106" borderId="76" xfId="40" applyFont="1" applyFill="1" applyBorder="1" applyAlignment="1">
      <alignment horizontal="left" vertical="top" wrapText="1"/>
    </xf>
    <xf numFmtId="0" fontId="0" fillId="106" borderId="76" xfId="40" applyFont="1" applyFill="1" applyBorder="1" applyAlignment="1">
      <alignment vertical="top" wrapText="1"/>
    </xf>
    <xf numFmtId="0" fontId="28" fillId="106" borderId="76" xfId="11" applyFill="1" applyBorder="1" applyAlignment="1">
      <alignment horizontal="left" vertical="top" wrapText="1"/>
    </xf>
    <xf numFmtId="0" fontId="28" fillId="106" borderId="76" xfId="11" applyFill="1" applyBorder="1" applyAlignment="1">
      <alignment vertical="top" wrapText="1"/>
    </xf>
    <xf numFmtId="0" fontId="73" fillId="71" borderId="0" xfId="0" applyFont="1" applyFill="1" applyAlignment="1">
      <alignment horizontal="center" vertical="top" wrapText="1"/>
    </xf>
    <xf numFmtId="0" fontId="73" fillId="71" borderId="0" xfId="0" applyFont="1" applyFill="1" applyAlignment="1">
      <alignment horizontal="center" wrapText="1"/>
    </xf>
    <xf numFmtId="10" fontId="6" fillId="67" borderId="1" xfId="30" applyNumberFormat="1"/>
    <xf numFmtId="10" fontId="6" fillId="64" borderId="1" xfId="32" applyNumberFormat="1"/>
    <xf numFmtId="10" fontId="6" fillId="66" borderId="1" xfId="29" applyNumberFormat="1"/>
    <xf numFmtId="0" fontId="73" fillId="71" borderId="0" xfId="0" applyFont="1" applyFill="1" applyAlignment="1">
      <alignment horizontal="right" vertical="top"/>
    </xf>
    <xf numFmtId="10" fontId="6" fillId="67" borderId="1" xfId="30" applyNumberFormat="1" applyAlignment="1">
      <alignment vertical="center"/>
    </xf>
    <xf numFmtId="10" fontId="6" fillId="66" borderId="1" xfId="29" applyNumberFormat="1" applyAlignment="1">
      <alignment vertical="center"/>
    </xf>
    <xf numFmtId="166" fontId="32" fillId="63" borderId="1" xfId="93" applyNumberFormat="1" applyFont="1" applyFill="1" applyBorder="1" applyAlignment="1">
      <alignment vertical="center"/>
    </xf>
    <xf numFmtId="166" fontId="6" fillId="64" borderId="1" xfId="32" applyNumberFormat="1" applyAlignment="1">
      <alignment vertical="center"/>
    </xf>
    <xf numFmtId="10" fontId="49" fillId="40" borderId="26" xfId="93" applyNumberFormat="1" applyFont="1" applyFill="1" applyBorder="1" applyAlignment="1"/>
    <xf numFmtId="167" fontId="6" fillId="66" borderId="1" xfId="92" applyNumberFormat="1" applyFont="1" applyFill="1" applyBorder="1"/>
    <xf numFmtId="165" fontId="6" fillId="64" borderId="1" xfId="32" applyNumberFormat="1"/>
    <xf numFmtId="3" fontId="50" fillId="63" borderId="1" xfId="31" applyNumberFormat="1" applyFont="1" applyAlignment="1">
      <alignment horizontal="center"/>
    </xf>
    <xf numFmtId="3" fontId="50" fillId="63" borderId="26" xfId="31" applyNumberFormat="1" applyFont="1" applyBorder="1" applyAlignment="1">
      <alignment horizontal="center"/>
    </xf>
    <xf numFmtId="3" fontId="50" fillId="64" borderId="1" xfId="32" applyNumberFormat="1" applyFont="1" applyAlignment="1">
      <alignment horizontal="center"/>
    </xf>
    <xf numFmtId="3" fontId="50" fillId="64" borderId="26" xfId="32" applyNumberFormat="1" applyFont="1" applyBorder="1" applyAlignment="1">
      <alignment horizontal="center"/>
    </xf>
    <xf numFmtId="3" fontId="55" fillId="63" borderId="0" xfId="94" applyNumberFormat="1" applyFont="1" applyFill="1" applyAlignment="1">
      <alignment vertical="center"/>
    </xf>
    <xf numFmtId="3" fontId="32" fillId="63" borderId="1" xfId="31" applyNumberFormat="1" applyFont="1" applyAlignment="1">
      <alignment horizontal="center"/>
    </xf>
    <xf numFmtId="0" fontId="110" fillId="116" borderId="79" xfId="0" applyFont="1" applyFill="1" applyBorder="1" applyAlignment="1">
      <alignment horizontal="center" vertical="center" wrapText="1"/>
    </xf>
    <xf numFmtId="0" fontId="27" fillId="0" borderId="80" xfId="0" applyFont="1" applyBorder="1" applyAlignment="1">
      <alignment vertical="center"/>
    </xf>
    <xf numFmtId="166" fontId="0" fillId="0" borderId="77" xfId="93" applyNumberFormat="1" applyFont="1" applyBorder="1" applyAlignment="1">
      <alignment horizontal="center"/>
    </xf>
    <xf numFmtId="0" fontId="81" fillId="40" borderId="0" xfId="42" applyFont="1" applyAlignment="1">
      <alignment horizontal="center" wrapText="1"/>
    </xf>
    <xf numFmtId="0" fontId="79" fillId="0" borderId="0" xfId="28" applyFont="1" applyBorder="1" applyAlignment="1">
      <alignment horizontal="left"/>
    </xf>
    <xf numFmtId="0" fontId="79" fillId="0" borderId="34" xfId="28" applyFont="1" applyBorder="1" applyAlignment="1">
      <alignment horizontal="left"/>
    </xf>
    <xf numFmtId="10" fontId="79" fillId="0" borderId="0" xfId="0" applyNumberFormat="1" applyFont="1"/>
    <xf numFmtId="0" fontId="27" fillId="2" borderId="1" xfId="33" applyNumberFormat="1">
      <protection locked="0"/>
    </xf>
    <xf numFmtId="0" fontId="80" fillId="0" borderId="0" xfId="28" applyFont="1" applyBorder="1" applyAlignment="1">
      <alignment horizontal="left" vertical="center"/>
    </xf>
    <xf numFmtId="0" fontId="79" fillId="0" borderId="0" xfId="0" applyFont="1" applyAlignment="1">
      <alignment horizontal="right"/>
    </xf>
    <xf numFmtId="168" fontId="114" fillId="2" borderId="1" xfId="33" applyNumberFormat="1" applyFont="1">
      <protection locked="0"/>
    </xf>
    <xf numFmtId="0" fontId="79" fillId="0" borderId="1" xfId="28" applyNumberFormat="1" applyFont="1" applyAlignment="1">
      <alignment horizontal="left" vertical="center" indent="1"/>
    </xf>
    <xf numFmtId="9" fontId="79" fillId="63" borderId="1" xfId="93" applyFont="1" applyFill="1" applyBorder="1"/>
    <xf numFmtId="9" fontId="79" fillId="66" borderId="1" xfId="29" applyNumberFormat="1" applyFont="1"/>
    <xf numFmtId="0" fontId="115" fillId="0" borderId="0" xfId="86" applyFont="1"/>
    <xf numFmtId="0" fontId="79" fillId="66" borderId="1" xfId="29" applyNumberFormat="1" applyFont="1"/>
    <xf numFmtId="166" fontId="79" fillId="66" borderId="1" xfId="29" applyNumberFormat="1" applyFont="1"/>
    <xf numFmtId="0" fontId="116" fillId="0" borderId="0" xfId="52" applyFont="1" applyAlignment="1" applyProtection="1"/>
    <xf numFmtId="0" fontId="81" fillId="69" borderId="1" xfId="89" applyFont="1"/>
    <xf numFmtId="2" fontId="79" fillId="64" borderId="1" xfId="32" applyNumberFormat="1" applyFont="1"/>
    <xf numFmtId="1" fontId="79" fillId="64" borderId="1" xfId="32" applyNumberFormat="1" applyFont="1" applyAlignment="1">
      <alignment wrapText="1"/>
    </xf>
    <xf numFmtId="0" fontId="79" fillId="108" borderId="0" xfId="0" applyFont="1" applyFill="1"/>
    <xf numFmtId="185" fontId="79" fillId="63" borderId="1" xfId="31" applyNumberFormat="1" applyFont="1"/>
    <xf numFmtId="165" fontId="79" fillId="66" borderId="1" xfId="29" applyNumberFormat="1" applyFont="1"/>
    <xf numFmtId="165" fontId="79" fillId="63" borderId="1" xfId="31" applyNumberFormat="1" applyFont="1"/>
    <xf numFmtId="1" fontId="79" fillId="66" borderId="1" xfId="29" applyNumberFormat="1" applyFont="1" applyAlignment="1">
      <alignment horizontal="left"/>
    </xf>
    <xf numFmtId="1" fontId="79" fillId="63" borderId="1" xfId="31" applyNumberFormat="1" applyFont="1" applyAlignment="1">
      <alignment horizontal="left"/>
    </xf>
    <xf numFmtId="0" fontId="79" fillId="67" borderId="1" xfId="30" applyFont="1" applyAlignment="1">
      <alignment horizontal="left"/>
    </xf>
    <xf numFmtId="0" fontId="79" fillId="66" borderId="1" xfId="29" applyFont="1"/>
    <xf numFmtId="1" fontId="79" fillId="67" borderId="1" xfId="30" applyNumberFormat="1" applyFont="1" applyAlignment="1">
      <alignment horizontal="left"/>
    </xf>
    <xf numFmtId="168" fontId="79" fillId="63" borderId="1" xfId="31" applyNumberFormat="1" applyFont="1" applyAlignment="1">
      <alignment horizontal="center"/>
    </xf>
    <xf numFmtId="168" fontId="79" fillId="66" borderId="1" xfId="29" applyNumberFormat="1" applyFont="1" applyAlignment="1">
      <alignment horizontal="center"/>
    </xf>
    <xf numFmtId="0" fontId="79" fillId="63" borderId="1" xfId="31" applyFont="1" applyAlignment="1">
      <alignment horizontal="left"/>
    </xf>
    <xf numFmtId="0" fontId="116" fillId="0" borderId="0" xfId="52" applyFont="1" applyFill="1" applyBorder="1" applyAlignment="1" applyProtection="1">
      <alignment horizontal="left"/>
    </xf>
    <xf numFmtId="180" fontId="79" fillId="63" borderId="1" xfId="31" applyNumberFormat="1" applyFont="1"/>
    <xf numFmtId="165" fontId="79" fillId="64" borderId="1" xfId="32" applyNumberFormat="1" applyFont="1"/>
    <xf numFmtId="0" fontId="116" fillId="0" borderId="0" xfId="52" applyFont="1" applyFill="1" applyBorder="1" applyAlignment="1" applyProtection="1"/>
    <xf numFmtId="0" fontId="79" fillId="67" borderId="1" xfId="30" applyFont="1"/>
    <xf numFmtId="2" fontId="79" fillId="67" borderId="1" xfId="30" applyNumberFormat="1" applyFont="1"/>
    <xf numFmtId="2" fontId="79" fillId="66" borderId="1" xfId="29" applyNumberFormat="1" applyFont="1"/>
    <xf numFmtId="168" fontId="79" fillId="63" borderId="1" xfId="31" applyNumberFormat="1" applyFont="1"/>
    <xf numFmtId="2" fontId="79" fillId="66" borderId="1" xfId="29" applyNumberFormat="1" applyFont="1" applyAlignment="1">
      <alignment horizontal="left"/>
    </xf>
    <xf numFmtId="1" fontId="79" fillId="2" borderId="1" xfId="33" applyNumberFormat="1" applyFont="1" applyAlignment="1">
      <alignment horizontal="left"/>
      <protection locked="0"/>
    </xf>
    <xf numFmtId="0" fontId="26" fillId="0" borderId="3" xfId="41" applyAlignment="1"/>
    <xf numFmtId="0" fontId="0" fillId="0" borderId="1" xfId="36" applyNumberFormat="1" applyFont="1" applyAlignment="1">
      <protection locked="0"/>
    </xf>
    <xf numFmtId="2" fontId="79" fillId="63" borderId="1" xfId="31" applyNumberFormat="1" applyFont="1" applyAlignment="1">
      <alignment horizontal="left"/>
    </xf>
    <xf numFmtId="2" fontId="27" fillId="2" borderId="1" xfId="33" applyNumberFormat="1">
      <protection locked="0"/>
    </xf>
    <xf numFmtId="167" fontId="79" fillId="2" borderId="1" xfId="92" applyNumberFormat="1" applyFont="1" applyFill="1" applyBorder="1" applyProtection="1">
      <protection locked="0"/>
    </xf>
    <xf numFmtId="0" fontId="119" fillId="0" borderId="83" xfId="39" applyFont="1"/>
    <xf numFmtId="0" fontId="119" fillId="106" borderId="83" xfId="39" applyNumberFormat="1" applyFont="1" applyFill="1" applyAlignment="1">
      <alignment horizontal="left" vertical="center"/>
    </xf>
    <xf numFmtId="3" fontId="119" fillId="0" borderId="83" xfId="39" applyNumberFormat="1" applyFont="1"/>
    <xf numFmtId="0" fontId="119" fillId="0" borderId="83" xfId="39" applyFont="1" applyFill="1"/>
    <xf numFmtId="0" fontId="119" fillId="0" borderId="83" xfId="39" applyFont="1" applyAlignment="1">
      <alignment horizontal="left"/>
    </xf>
    <xf numFmtId="0" fontId="119" fillId="0" borderId="83" xfId="39" applyFont="1" applyFill="1" applyAlignment="1">
      <alignment horizontal="left"/>
    </xf>
    <xf numFmtId="10" fontId="79" fillId="66" borderId="1" xfId="29" applyNumberFormat="1" applyFont="1"/>
    <xf numFmtId="168" fontId="79" fillId="67" borderId="1" xfId="30" applyNumberFormat="1" applyFont="1" applyAlignment="1">
      <alignment wrapText="1"/>
    </xf>
    <xf numFmtId="0" fontId="120" fillId="5" borderId="0" xfId="19" applyFont="1" applyAlignment="1"/>
    <xf numFmtId="0" fontId="120" fillId="5" borderId="0" xfId="19" applyFont="1" applyAlignment="1">
      <alignment horizontal="center"/>
    </xf>
    <xf numFmtId="0" fontId="81" fillId="5" borderId="0" xfId="19" applyFont="1" applyAlignment="1">
      <alignment wrapText="1"/>
    </xf>
    <xf numFmtId="0" fontId="81" fillId="5" borderId="0" xfId="19" applyFont="1" applyAlignment="1"/>
    <xf numFmtId="0" fontId="116" fillId="0" borderId="1" xfId="52" applyFont="1" applyBorder="1" applyAlignment="1" applyProtection="1"/>
    <xf numFmtId="0" fontId="79" fillId="0" borderId="1" xfId="28" applyFont="1" applyAlignment="1"/>
    <xf numFmtId="0" fontId="79" fillId="0" borderId="1" xfId="28" applyFont="1" applyAlignment="1">
      <alignment wrapText="1"/>
    </xf>
    <xf numFmtId="184" fontId="79" fillId="63" borderId="1" xfId="31" applyNumberFormat="1" applyFont="1" applyAlignment="1">
      <alignment horizontal="left"/>
    </xf>
    <xf numFmtId="1" fontId="79" fillId="64" borderId="1" xfId="32" applyNumberFormat="1" applyFont="1" applyAlignment="1">
      <alignment horizontal="left"/>
    </xf>
    <xf numFmtId="168" fontId="79" fillId="2" borderId="1" xfId="33" applyNumberFormat="1" applyFont="1" applyAlignment="1">
      <alignment horizontal="left"/>
      <protection locked="0"/>
    </xf>
    <xf numFmtId="0" fontId="86" fillId="0" borderId="8" xfId="38" applyFont="1" applyFill="1" applyAlignment="1">
      <alignment horizontal="left"/>
    </xf>
    <xf numFmtId="9" fontId="79" fillId="66" borderId="1" xfId="93" applyFont="1" applyFill="1" applyBorder="1"/>
    <xf numFmtId="0" fontId="83" fillId="0" borderId="1" xfId="28" applyFont="1"/>
    <xf numFmtId="164" fontId="52" fillId="64" borderId="0" xfId="94" applyNumberFormat="1" applyFont="1" applyFill="1"/>
    <xf numFmtId="164" fontId="52" fillId="90" borderId="0" xfId="94" applyNumberFormat="1" applyFont="1" applyFill="1"/>
    <xf numFmtId="168" fontId="111" fillId="106" borderId="76" xfId="93" applyNumberFormat="1" applyFont="1" applyFill="1" applyBorder="1" applyAlignment="1">
      <alignment horizontal="center" vertical="center" wrapText="1"/>
    </xf>
    <xf numFmtId="1" fontId="109" fillId="0" borderId="76" xfId="0" applyNumberFormat="1" applyFont="1" applyBorder="1" applyAlignment="1">
      <alignment horizontal="center" vertical="center" wrapText="1"/>
    </xf>
    <xf numFmtId="0" fontId="109" fillId="0" borderId="76" xfId="0" applyFont="1" applyBorder="1" applyAlignment="1">
      <alignment horizontal="center" vertical="center" wrapText="1"/>
    </xf>
    <xf numFmtId="1" fontId="109" fillId="0" borderId="76" xfId="0" applyNumberFormat="1" applyFont="1" applyBorder="1" applyAlignment="1">
      <alignment horizontal="center"/>
    </xf>
    <xf numFmtId="1" fontId="111" fillId="106" borderId="76" xfId="93" applyNumberFormat="1" applyFont="1" applyFill="1" applyBorder="1" applyAlignment="1">
      <alignment horizontal="center" vertical="center" wrapText="1"/>
    </xf>
    <xf numFmtId="181" fontId="79" fillId="0" borderId="0" xfId="0" applyNumberFormat="1" applyFont="1"/>
    <xf numFmtId="182" fontId="79" fillId="0" borderId="0" xfId="0" applyNumberFormat="1" applyFont="1"/>
    <xf numFmtId="168" fontId="79" fillId="2" borderId="0" xfId="33" applyNumberFormat="1" applyFont="1" applyBorder="1">
      <protection locked="0"/>
    </xf>
    <xf numFmtId="167" fontId="27" fillId="2" borderId="1" xfId="92" applyNumberFormat="1" applyFill="1" applyBorder="1" applyProtection="1">
      <protection locked="0"/>
    </xf>
    <xf numFmtId="0" fontId="121" fillId="0" borderId="0" xfId="94" applyFont="1"/>
    <xf numFmtId="0" fontId="122" fillId="0" borderId="0" xfId="94" applyFont="1"/>
    <xf numFmtId="2" fontId="123" fillId="0" borderId="0" xfId="94" applyNumberFormat="1" applyFont="1"/>
    <xf numFmtId="0" fontId="122" fillId="0" borderId="52" xfId="94" applyFont="1" applyBorder="1"/>
    <xf numFmtId="2" fontId="125" fillId="114" borderId="20" xfId="94" applyNumberFormat="1" applyFont="1" applyFill="1" applyBorder="1" applyAlignment="1">
      <alignment wrapText="1"/>
    </xf>
    <xf numFmtId="2" fontId="124" fillId="0" borderId="44" xfId="94" applyNumberFormat="1" applyFont="1" applyBorder="1"/>
    <xf numFmtId="0" fontId="124" fillId="0" borderId="20" xfId="94" applyFont="1" applyBorder="1"/>
    <xf numFmtId="9" fontId="124" fillId="0" borderId="45" xfId="93" applyFont="1" applyBorder="1"/>
    <xf numFmtId="0" fontId="122" fillId="0" borderId="53" xfId="94" applyFont="1" applyBorder="1"/>
    <xf numFmtId="0" fontId="124" fillId="0" borderId="20" xfId="94" applyFont="1" applyBorder="1" applyAlignment="1">
      <alignment wrapText="1"/>
    </xf>
    <xf numFmtId="0" fontId="122" fillId="0" borderId="44" xfId="94" applyFont="1" applyBorder="1"/>
    <xf numFmtId="0" fontId="122" fillId="0" borderId="44" xfId="94" applyFont="1" applyBorder="1" applyAlignment="1">
      <alignment wrapText="1"/>
    </xf>
    <xf numFmtId="0" fontId="124" fillId="0" borderId="44" xfId="94" applyFont="1" applyBorder="1"/>
    <xf numFmtId="2" fontId="126" fillId="0" borderId="44" xfId="94" applyNumberFormat="1" applyFont="1" applyBorder="1"/>
    <xf numFmtId="2" fontId="125" fillId="0" borderId="44" xfId="94" applyNumberFormat="1" applyFont="1" applyBorder="1"/>
    <xf numFmtId="0" fontId="122" fillId="0" borderId="55" xfId="94" applyFont="1" applyBorder="1"/>
    <xf numFmtId="0" fontId="127" fillId="0" borderId="0" xfId="94" applyFont="1" applyAlignment="1">
      <alignment horizontal="center"/>
    </xf>
    <xf numFmtId="0" fontId="124" fillId="0" borderId="56" xfId="94" applyFont="1" applyBorder="1"/>
    <xf numFmtId="0" fontId="122" fillId="0" borderId="57" xfId="94" applyFont="1" applyBorder="1"/>
    <xf numFmtId="0" fontId="124" fillId="0" borderId="57" xfId="94" applyFont="1" applyBorder="1"/>
    <xf numFmtId="180" fontId="124" fillId="0" borderId="57" xfId="94" applyNumberFormat="1" applyFont="1" applyBorder="1"/>
    <xf numFmtId="2" fontId="126" fillId="0" borderId="57" xfId="94" applyNumberFormat="1" applyFont="1" applyBorder="1"/>
    <xf numFmtId="0" fontId="122" fillId="0" borderId="58" xfId="94" applyFont="1" applyBorder="1"/>
    <xf numFmtId="0" fontId="122" fillId="0" borderId="59" xfId="94" applyFont="1" applyBorder="1"/>
    <xf numFmtId="0" fontId="124" fillId="0" borderId="60" xfId="94" applyFont="1" applyBorder="1"/>
    <xf numFmtId="0" fontId="124" fillId="0" borderId="52" xfId="94" applyFont="1" applyBorder="1"/>
    <xf numFmtId="2" fontId="124" fillId="0" borderId="52" xfId="94" applyNumberFormat="1" applyFont="1" applyBorder="1"/>
    <xf numFmtId="2" fontId="126" fillId="0" borderId="52" xfId="94" applyNumberFormat="1" applyFont="1" applyBorder="1"/>
    <xf numFmtId="2" fontId="126" fillId="0" borderId="61" xfId="94" applyNumberFormat="1" applyFont="1" applyBorder="1"/>
    <xf numFmtId="0" fontId="124" fillId="0" borderId="61" xfId="94" applyFont="1" applyBorder="1"/>
    <xf numFmtId="0" fontId="122" fillId="0" borderId="61" xfId="94" applyFont="1" applyBorder="1"/>
    <xf numFmtId="0" fontId="122" fillId="0" borderId="62" xfId="94" applyFont="1" applyBorder="1"/>
    <xf numFmtId="0" fontId="122" fillId="0" borderId="63" xfId="94" applyFont="1" applyBorder="1"/>
    <xf numFmtId="0" fontId="124" fillId="0" borderId="63" xfId="94" applyFont="1" applyBorder="1"/>
    <xf numFmtId="0" fontId="126" fillId="0" borderId="63" xfId="94" applyFont="1" applyBorder="1"/>
    <xf numFmtId="0" fontId="126" fillId="0" borderId="64" xfId="94" applyFont="1" applyBorder="1"/>
    <xf numFmtId="0" fontId="122" fillId="0" borderId="64" xfId="94" applyFont="1" applyBorder="1"/>
    <xf numFmtId="0" fontId="122" fillId="0" borderId="65" xfId="94" applyFont="1" applyBorder="1" applyAlignment="1">
      <alignment horizontal="center"/>
    </xf>
    <xf numFmtId="0" fontId="122" fillId="0" borderId="66" xfId="94" applyFont="1" applyBorder="1"/>
    <xf numFmtId="0" fontId="122" fillId="0" borderId="52" xfId="94" applyFont="1" applyBorder="1" applyAlignment="1">
      <alignment wrapText="1"/>
    </xf>
    <xf numFmtId="2" fontId="122" fillId="0" borderId="52" xfId="94" applyNumberFormat="1" applyFont="1" applyBorder="1"/>
    <xf numFmtId="0" fontId="122" fillId="0" borderId="20" xfId="94" applyFont="1" applyBorder="1" applyAlignment="1">
      <alignment wrapText="1"/>
    </xf>
    <xf numFmtId="2" fontId="124" fillId="0" borderId="20" xfId="94" applyNumberFormat="1" applyFont="1" applyBorder="1"/>
    <xf numFmtId="2" fontId="122" fillId="0" borderId="20" xfId="94" applyNumberFormat="1" applyFont="1" applyBorder="1"/>
    <xf numFmtId="0" fontId="122" fillId="0" borderId="20" xfId="94" applyFont="1" applyBorder="1"/>
    <xf numFmtId="0" fontId="122" fillId="0" borderId="23" xfId="94" applyFont="1" applyBorder="1"/>
    <xf numFmtId="0" fontId="122" fillId="0" borderId="67" xfId="94" applyFont="1" applyBorder="1"/>
    <xf numFmtId="2" fontId="122" fillId="0" borderId="44" xfId="94" applyNumberFormat="1" applyFont="1" applyBorder="1"/>
    <xf numFmtId="0" fontId="122" fillId="0" borderId="68" xfId="94" applyFont="1" applyBorder="1"/>
    <xf numFmtId="0" fontId="127" fillId="0" borderId="0" xfId="94" applyFont="1" applyAlignment="1">
      <alignment wrapText="1"/>
    </xf>
    <xf numFmtId="0" fontId="127" fillId="0" borderId="0" xfId="94" applyFont="1"/>
    <xf numFmtId="0" fontId="122" fillId="0" borderId="63" xfId="94" applyFont="1" applyBorder="1" applyAlignment="1">
      <alignment wrapText="1"/>
    </xf>
    <xf numFmtId="2" fontId="124" fillId="0" borderId="63" xfId="94" applyNumberFormat="1" applyFont="1" applyBorder="1"/>
    <xf numFmtId="2" fontId="126" fillId="0" borderId="63" xfId="94" applyNumberFormat="1" applyFont="1" applyBorder="1"/>
    <xf numFmtId="0" fontId="122" fillId="0" borderId="45" xfId="94" applyFont="1" applyBorder="1" applyAlignment="1">
      <alignment wrapText="1"/>
    </xf>
    <xf numFmtId="2" fontId="125" fillId="0" borderId="45" xfId="94" applyNumberFormat="1" applyFont="1" applyBorder="1" applyAlignment="1">
      <alignment wrapText="1"/>
    </xf>
    <xf numFmtId="2" fontId="125" fillId="0" borderId="0" xfId="94" applyNumberFormat="1" applyFont="1" applyAlignment="1">
      <alignment wrapText="1"/>
    </xf>
    <xf numFmtId="0" fontId="122" fillId="0" borderId="45" xfId="94" applyFont="1" applyBorder="1"/>
    <xf numFmtId="0" fontId="122" fillId="0" borderId="69" xfId="94" applyFont="1" applyBorder="1"/>
    <xf numFmtId="0" fontId="122" fillId="0" borderId="70" xfId="94" applyFont="1" applyBorder="1"/>
    <xf numFmtId="2" fontId="125" fillId="0" borderId="20" xfId="94" applyNumberFormat="1" applyFont="1" applyBorder="1" applyAlignment="1">
      <alignment wrapText="1"/>
    </xf>
    <xf numFmtId="0" fontId="122" fillId="0" borderId="0" xfId="94" applyFont="1" applyAlignment="1">
      <alignment vertical="top"/>
    </xf>
    <xf numFmtId="1" fontId="125" fillId="0" borderId="20" xfId="94" applyNumberFormat="1" applyFont="1" applyBorder="1" applyAlignment="1">
      <alignment wrapText="1"/>
    </xf>
    <xf numFmtId="0" fontId="127" fillId="0" borderId="20" xfId="94" applyFont="1" applyBorder="1" applyAlignment="1">
      <alignment wrapText="1"/>
    </xf>
    <xf numFmtId="0" fontId="127" fillId="0" borderId="45" xfId="94" applyFont="1" applyBorder="1" applyAlignment="1">
      <alignment wrapText="1"/>
    </xf>
    <xf numFmtId="0" fontId="122" fillId="0" borderId="0" xfId="94" applyFont="1" applyAlignment="1">
      <alignment horizontal="left"/>
    </xf>
    <xf numFmtId="180" fontId="124" fillId="0" borderId="20" xfId="94" applyNumberFormat="1" applyFont="1" applyBorder="1"/>
    <xf numFmtId="2" fontId="128" fillId="0" borderId="20" xfId="94" applyNumberFormat="1" applyFont="1" applyBorder="1" applyAlignment="1">
      <alignment wrapText="1"/>
    </xf>
    <xf numFmtId="0" fontId="122" fillId="0" borderId="72" xfId="94" applyFont="1" applyBorder="1" applyAlignment="1">
      <alignment wrapText="1"/>
    </xf>
    <xf numFmtId="2" fontId="124" fillId="0" borderId="65" xfId="94" applyNumberFormat="1" applyFont="1" applyBorder="1"/>
    <xf numFmtId="2" fontId="122" fillId="0" borderId="65" xfId="94" applyNumberFormat="1" applyFont="1" applyBorder="1"/>
    <xf numFmtId="2" fontId="123" fillId="0" borderId="65" xfId="94" applyNumberFormat="1" applyFont="1" applyBorder="1"/>
    <xf numFmtId="0" fontId="124" fillId="0" borderId="0" xfId="94" applyFont="1" applyAlignment="1">
      <alignment horizontal="center"/>
    </xf>
    <xf numFmtId="2" fontId="129" fillId="0" borderId="0" xfId="94" applyNumberFormat="1" applyFont="1"/>
    <xf numFmtId="0" fontId="130" fillId="0" borderId="0" xfId="94" applyFont="1"/>
    <xf numFmtId="2" fontId="122" fillId="0" borderId="0" xfId="94" applyNumberFormat="1" applyFont="1"/>
    <xf numFmtId="0" fontId="127" fillId="0" borderId="0" xfId="94" applyFont="1" applyAlignment="1">
      <alignment vertical="top"/>
    </xf>
    <xf numFmtId="168" fontId="124" fillId="0" borderId="20" xfId="94" applyNumberFormat="1" applyFont="1" applyBorder="1"/>
    <xf numFmtId="168" fontId="124" fillId="0" borderId="0" xfId="94" applyNumberFormat="1" applyFont="1"/>
    <xf numFmtId="0" fontId="124" fillId="0" borderId="0" xfId="94" applyFont="1"/>
    <xf numFmtId="0" fontId="122" fillId="0" borderId="60" xfId="94" applyFont="1" applyBorder="1" applyAlignment="1">
      <alignment wrapText="1"/>
    </xf>
    <xf numFmtId="0" fontId="122" fillId="0" borderId="62" xfId="94" applyFont="1" applyBorder="1" applyAlignment="1">
      <alignment wrapText="1"/>
    </xf>
    <xf numFmtId="0" fontId="124" fillId="0" borderId="45" xfId="94" applyFont="1" applyBorder="1"/>
    <xf numFmtId="2" fontId="125" fillId="0" borderId="43" xfId="94" applyNumberFormat="1" applyFont="1" applyBorder="1"/>
    <xf numFmtId="0" fontId="124" fillId="0" borderId="43" xfId="94" applyFont="1" applyBorder="1"/>
    <xf numFmtId="0" fontId="122" fillId="0" borderId="87" xfId="94" applyFont="1" applyBorder="1"/>
    <xf numFmtId="0" fontId="122" fillId="0" borderId="43" xfId="94" applyFont="1" applyBorder="1"/>
    <xf numFmtId="0" fontId="0" fillId="0" borderId="2" xfId="40" applyFont="1" applyAlignment="1"/>
    <xf numFmtId="0" fontId="0" fillId="0" borderId="17" xfId="40" applyFont="1" applyBorder="1" applyAlignment="1">
      <alignment horizontal="left" vertical="top"/>
    </xf>
    <xf numFmtId="9" fontId="0" fillId="67" borderId="1" xfId="30" applyNumberFormat="1" applyFont="1" applyAlignment="1"/>
    <xf numFmtId="9" fontId="0" fillId="0" borderId="1" xfId="93" applyFont="1" applyBorder="1" applyAlignment="1"/>
    <xf numFmtId="9" fontId="0" fillId="2" borderId="1" xfId="33" applyNumberFormat="1" applyFont="1" applyAlignment="1">
      <protection locked="0"/>
    </xf>
    <xf numFmtId="9" fontId="0" fillId="63" borderId="1" xfId="31" applyNumberFormat="1" applyFont="1" applyAlignment="1"/>
    <xf numFmtId="168" fontId="0" fillId="67" borderId="1" xfId="30" applyNumberFormat="1" applyFont="1" applyAlignment="1"/>
    <xf numFmtId="2" fontId="0" fillId="67" borderId="1" xfId="30" applyNumberFormat="1" applyFont="1" applyAlignment="1"/>
    <xf numFmtId="0" fontId="0" fillId="0" borderId="1" xfId="28" quotePrefix="1" applyNumberFormat="1" applyFont="1" applyAlignment="1"/>
    <xf numFmtId="0" fontId="0" fillId="0" borderId="1" xfId="28" applyNumberFormat="1" applyFont="1" applyAlignment="1"/>
    <xf numFmtId="0" fontId="0" fillId="0" borderId="24" xfId="40" applyFont="1" applyBorder="1" applyAlignment="1"/>
    <xf numFmtId="1" fontId="81" fillId="69" borderId="1" xfId="89" applyNumberFormat="1" applyFont="1"/>
    <xf numFmtId="2" fontId="6" fillId="67" borderId="1" xfId="30" applyNumberFormat="1" applyAlignment="1">
      <alignment horizontal="right" vertical="center" wrapText="1"/>
    </xf>
    <xf numFmtId="165" fontId="79" fillId="0" borderId="0" xfId="0" applyNumberFormat="1" applyFont="1"/>
    <xf numFmtId="0" fontId="27" fillId="2" borderId="1" xfId="33" applyNumberFormat="1" applyAlignment="1">
      <alignment wrapText="1"/>
      <protection locked="0"/>
    </xf>
    <xf numFmtId="0" fontId="27" fillId="2" borderId="34" xfId="33" applyNumberFormat="1" applyBorder="1">
      <protection locked="0"/>
    </xf>
    <xf numFmtId="164" fontId="6" fillId="63" borderId="1" xfId="31" applyNumberFormat="1"/>
    <xf numFmtId="164" fontId="6" fillId="64" borderId="1" xfId="32" applyNumberFormat="1"/>
    <xf numFmtId="0" fontId="27" fillId="2" borderId="0" xfId="33" applyNumberFormat="1" applyBorder="1">
      <protection locked="0"/>
    </xf>
    <xf numFmtId="0" fontId="6" fillId="64" borderId="1" xfId="32" applyNumberFormat="1"/>
    <xf numFmtId="185" fontId="6" fillId="63" borderId="1" xfId="31" applyNumberFormat="1"/>
    <xf numFmtId="185" fontId="6" fillId="66" borderId="1" xfId="29" applyNumberFormat="1"/>
    <xf numFmtId="0" fontId="0" fillId="0" borderId="76" xfId="0" applyBorder="1" applyAlignment="1">
      <alignment vertical="top"/>
    </xf>
    <xf numFmtId="0" fontId="0" fillId="0" borderId="76" xfId="0" applyBorder="1"/>
    <xf numFmtId="168" fontId="0" fillId="0" borderId="76" xfId="0" applyNumberFormat="1" applyBorder="1" applyAlignment="1">
      <alignment horizontal="center"/>
    </xf>
    <xf numFmtId="0" fontId="131" fillId="40" borderId="0" xfId="42" applyFont="1">
      <alignment wrapText="1"/>
    </xf>
    <xf numFmtId="185" fontId="6" fillId="67" borderId="1" xfId="30" applyNumberFormat="1"/>
    <xf numFmtId="0" fontId="0" fillId="0" borderId="0" xfId="0" applyAlignment="1">
      <alignment horizontal="center"/>
    </xf>
    <xf numFmtId="0" fontId="93" fillId="0" borderId="0" xfId="52" applyFont="1" applyAlignment="1" applyProtection="1">
      <alignment horizontal="center"/>
    </xf>
    <xf numFmtId="0" fontId="0" fillId="106" borderId="13" xfId="40" applyFont="1" applyFill="1" applyBorder="1" applyAlignment="1">
      <alignment horizontal="left" vertical="top" wrapText="1"/>
    </xf>
    <xf numFmtId="0" fontId="0" fillId="106" borderId="2" xfId="40" applyFont="1" applyFill="1" applyAlignment="1">
      <alignment horizontal="left" vertical="top" wrapText="1"/>
    </xf>
    <xf numFmtId="0" fontId="0" fillId="118" borderId="2" xfId="25" applyFont="1" applyFill="1" applyBorder="1" applyAlignment="1">
      <alignment horizontal="left" vertical="top" wrapText="1"/>
    </xf>
    <xf numFmtId="0" fontId="0" fillId="118" borderId="2" xfId="25" applyFont="1" applyFill="1" applyBorder="1"/>
    <xf numFmtId="0" fontId="108" fillId="0" borderId="0" xfId="52" applyFont="1" applyAlignment="1" applyProtection="1">
      <alignment horizontal="center" vertical="center"/>
    </xf>
    <xf numFmtId="0" fontId="79" fillId="0" borderId="1" xfId="28" applyFont="1" applyAlignment="1">
      <alignment horizontal="left" vertical="center" indent="2"/>
    </xf>
    <xf numFmtId="9" fontId="6" fillId="67" borderId="1" xfId="93" applyFont="1" applyFill="1" applyBorder="1"/>
    <xf numFmtId="9" fontId="79" fillId="63" borderId="0" xfId="93" applyFont="1" applyFill="1" applyBorder="1"/>
    <xf numFmtId="9" fontId="6" fillId="67" borderId="1" xfId="30" applyNumberFormat="1"/>
    <xf numFmtId="0" fontId="116" fillId="2" borderId="41" xfId="52" applyNumberFormat="1" applyFont="1" applyFill="1" applyBorder="1" applyAlignment="1">
      <protection locked="0"/>
    </xf>
    <xf numFmtId="0" fontId="132" fillId="0" borderId="8" xfId="38" applyFill="1"/>
    <xf numFmtId="0" fontId="83" fillId="0" borderId="0" xfId="0" applyFont="1"/>
    <xf numFmtId="167" fontId="30" fillId="5" borderId="1" xfId="19" applyNumberFormat="1" applyBorder="1" applyProtection="1">
      <protection locked="0"/>
    </xf>
    <xf numFmtId="9" fontId="30" fillId="5" borderId="1" xfId="19" applyNumberFormat="1" applyBorder="1" applyProtection="1">
      <protection locked="0"/>
    </xf>
    <xf numFmtId="167" fontId="30" fillId="5" borderId="1" xfId="19" applyNumberFormat="1" applyBorder="1"/>
    <xf numFmtId="0" fontId="133" fillId="0" borderId="1" xfId="28" applyFont="1"/>
    <xf numFmtId="0" fontId="80" fillId="0" borderId="0" xfId="0" applyFont="1" applyAlignment="1">
      <alignment horizontal="right" vertical="top"/>
    </xf>
    <xf numFmtId="0" fontId="134" fillId="2" borderId="41" xfId="33" applyNumberFormat="1" applyFont="1" applyBorder="1" applyAlignment="1">
      <alignment wrapText="1"/>
      <protection locked="0"/>
    </xf>
    <xf numFmtId="0" fontId="28" fillId="52" borderId="1" xfId="4" applyNumberFormat="1" applyBorder="1" applyAlignment="1" applyProtection="1">
      <alignment horizontal="center"/>
      <protection locked="0"/>
    </xf>
    <xf numFmtId="9" fontId="6" fillId="64" borderId="1" xfId="32" applyNumberFormat="1"/>
    <xf numFmtId="0" fontId="0" fillId="0" borderId="0" xfId="0" applyAlignment="1">
      <alignment horizontal="left" vertical="top" wrapText="1"/>
    </xf>
    <xf numFmtId="0" fontId="93" fillId="0" borderId="0" xfId="52" applyFont="1" applyAlignment="1" applyProtection="1">
      <alignment horizontal="center" vertical="center"/>
    </xf>
    <xf numFmtId="0" fontId="0" fillId="2" borderId="1" xfId="33" applyNumberFormat="1" applyFont="1" applyAlignment="1">
      <alignment horizontal="left" vertical="top" wrapText="1"/>
      <protection locked="0"/>
    </xf>
    <xf numFmtId="9" fontId="0" fillId="2" borderId="1" xfId="33" applyNumberFormat="1" applyFont="1" applyAlignment="1">
      <alignment horizontal="left" vertical="top" wrapText="1"/>
      <protection locked="0"/>
    </xf>
    <xf numFmtId="9" fontId="0" fillId="63" borderId="1" xfId="31" applyNumberFormat="1" applyFont="1" applyAlignment="1">
      <alignment horizontal="right" vertical="top" wrapText="1"/>
    </xf>
    <xf numFmtId="9" fontId="0" fillId="66" borderId="1" xfId="29" applyNumberFormat="1" applyFont="1" applyAlignment="1">
      <alignment horizontal="left" vertical="top" wrapText="1"/>
    </xf>
    <xf numFmtId="9" fontId="0" fillId="67" borderId="1" xfId="30" applyNumberFormat="1" applyFont="1" applyAlignment="1">
      <alignment horizontal="left" vertical="top" wrapText="1"/>
    </xf>
    <xf numFmtId="9" fontId="0" fillId="64" borderId="1" xfId="32" applyNumberFormat="1" applyFont="1" applyAlignment="1">
      <alignment horizontal="left" vertical="top" wrapText="1"/>
    </xf>
    <xf numFmtId="9" fontId="0" fillId="66" borderId="1" xfId="29" applyNumberFormat="1" applyFont="1" applyAlignment="1">
      <alignment horizontal="right" vertical="top" wrapText="1"/>
    </xf>
    <xf numFmtId="9" fontId="0" fillId="2" borderId="1" xfId="93" applyFont="1" applyFill="1" applyBorder="1" applyAlignment="1" applyProtection="1">
      <alignment horizontal="center" vertical="top" wrapText="1"/>
      <protection locked="0"/>
    </xf>
    <xf numFmtId="9" fontId="0" fillId="66" borderId="1" xfId="29" applyNumberFormat="1" applyFont="1"/>
    <xf numFmtId="9" fontId="0" fillId="64" borderId="1" xfId="32" applyNumberFormat="1" applyFont="1" applyAlignment="1">
      <alignment horizontal="right" vertical="top" wrapText="1"/>
    </xf>
    <xf numFmtId="9" fontId="0" fillId="67" borderId="1" xfId="30" applyNumberFormat="1" applyFont="1" applyAlignment="1">
      <alignment horizontal="right" vertical="top" wrapText="1"/>
    </xf>
    <xf numFmtId="0" fontId="0" fillId="106" borderId="0" xfId="0" applyFill="1" applyAlignment="1">
      <alignment horizontal="left" vertical="top" wrapText="1"/>
    </xf>
    <xf numFmtId="9" fontId="0" fillId="64" borderId="1" xfId="32" applyNumberFormat="1" applyFont="1"/>
    <xf numFmtId="9" fontId="0" fillId="67" borderId="1" xfId="93" applyFont="1" applyFill="1" applyBorder="1" applyAlignment="1">
      <alignment horizontal="right" vertical="top" wrapText="1"/>
    </xf>
    <xf numFmtId="9" fontId="0" fillId="63" borderId="1" xfId="31" applyNumberFormat="1" applyFont="1" applyAlignment="1">
      <alignment horizontal="left" vertical="top" wrapText="1"/>
    </xf>
    <xf numFmtId="1" fontId="0" fillId="102" borderId="1" xfId="32" applyNumberFormat="1" applyFont="1" applyFill="1" applyAlignment="1"/>
    <xf numFmtId="9" fontId="0" fillId="4" borderId="1" xfId="35" applyNumberFormat="1" applyFont="1">
      <protection locked="0"/>
    </xf>
    <xf numFmtId="9" fontId="0" fillId="2" borderId="1" xfId="93" applyFont="1" applyFill="1" applyBorder="1" applyAlignment="1" applyProtection="1">
      <alignment horizontal="left" vertical="top" wrapText="1"/>
      <protection locked="0"/>
    </xf>
    <xf numFmtId="0" fontId="28" fillId="54" borderId="2" xfId="11" applyBorder="1" applyAlignment="1">
      <alignment horizontal="left" vertical="top" wrapText="1"/>
    </xf>
    <xf numFmtId="0" fontId="28" fillId="54" borderId="2" xfId="11" applyBorder="1"/>
    <xf numFmtId="0" fontId="28" fillId="48" borderId="2" xfId="9" applyBorder="1" applyAlignment="1">
      <alignment horizontal="left" vertical="top" wrapText="1"/>
    </xf>
    <xf numFmtId="0" fontId="28" fillId="48" borderId="2" xfId="9" applyBorder="1"/>
    <xf numFmtId="0" fontId="0" fillId="0" borderId="0" xfId="0" applyAlignment="1">
      <alignment vertical="top"/>
    </xf>
    <xf numFmtId="9" fontId="0" fillId="2" borderId="1" xfId="33" applyNumberFormat="1" applyFont="1" applyAlignment="1">
      <alignment horizontal="left" vertical="top"/>
      <protection locked="0"/>
    </xf>
    <xf numFmtId="0" fontId="0" fillId="2" borderId="1" xfId="33" applyNumberFormat="1" applyFont="1" applyAlignment="1">
      <alignment horizontal="left" vertical="top"/>
      <protection locked="0"/>
    </xf>
    <xf numFmtId="9" fontId="0" fillId="66" borderId="1" xfId="29" applyNumberFormat="1" applyFont="1" applyAlignment="1">
      <alignment horizontal="right" vertical="top"/>
    </xf>
    <xf numFmtId="1" fontId="0" fillId="63" borderId="1" xfId="31" applyNumberFormat="1" applyFont="1" applyAlignment="1"/>
    <xf numFmtId="0" fontId="28" fillId="48" borderId="0" xfId="9" applyAlignment="1">
      <alignment horizontal="left" vertical="top" wrapText="1"/>
    </xf>
    <xf numFmtId="9" fontId="0" fillId="2" borderId="1" xfId="33" applyNumberFormat="1" applyFont="1" applyAlignment="1">
      <alignment horizontal="right" vertical="top" wrapText="1"/>
      <protection locked="0"/>
    </xf>
    <xf numFmtId="0" fontId="28" fillId="48" borderId="0" xfId="9" applyBorder="1" applyAlignment="1">
      <alignment horizontal="left" vertical="top" wrapText="1"/>
    </xf>
    <xf numFmtId="0" fontId="28" fillId="48" borderId="0" xfId="9" applyBorder="1" applyAlignment="1">
      <alignment horizontal="left" wrapText="1"/>
    </xf>
    <xf numFmtId="0" fontId="28" fillId="106" borderId="0" xfId="9" applyFill="1" applyBorder="1" applyAlignment="1">
      <alignment horizontal="left" wrapText="1"/>
    </xf>
    <xf numFmtId="0" fontId="28" fillId="106" borderId="2" xfId="9" applyFill="1" applyBorder="1" applyAlignment="1">
      <alignment horizontal="left" vertical="top" wrapText="1"/>
    </xf>
    <xf numFmtId="0" fontId="0" fillId="0" borderId="0" xfId="0" applyAlignment="1">
      <alignment horizontal="left"/>
    </xf>
    <xf numFmtId="0" fontId="28" fillId="48" borderId="0" xfId="9"/>
    <xf numFmtId="0" fontId="28" fillId="54" borderId="0" xfId="11"/>
    <xf numFmtId="0" fontId="0" fillId="86" borderId="0" xfId="0" applyFill="1"/>
    <xf numFmtId="2" fontId="80" fillId="66" borderId="34" xfId="29" applyNumberFormat="1" applyFont="1" applyBorder="1"/>
    <xf numFmtId="168" fontId="79" fillId="64" borderId="1" xfId="32" applyNumberFormat="1" applyFont="1"/>
    <xf numFmtId="167" fontId="80" fillId="63" borderId="1" xfId="31" applyNumberFormat="1" applyFont="1"/>
    <xf numFmtId="1" fontId="135" fillId="12" borderId="0" xfId="27" applyNumberFormat="1" applyFont="1"/>
    <xf numFmtId="10" fontId="79" fillId="63" borderId="1" xfId="31" applyNumberFormat="1" applyFont="1"/>
    <xf numFmtId="168" fontId="88" fillId="63" borderId="1" xfId="31" applyNumberFormat="1" applyFont="1"/>
    <xf numFmtId="168" fontId="88" fillId="67" borderId="1" xfId="30" applyNumberFormat="1" applyFont="1"/>
    <xf numFmtId="0" fontId="0" fillId="14" borderId="0" xfId="54" applyNumberFormat="1" applyFont="1" applyProtection="1">
      <protection locked="0"/>
    </xf>
    <xf numFmtId="0" fontId="0" fillId="14" borderId="0" xfId="54" applyNumberFormat="1" applyFont="1" applyAlignment="1" applyProtection="1">
      <protection locked="0"/>
    </xf>
    <xf numFmtId="9" fontId="6" fillId="66" borderId="1" xfId="93" applyFont="1" applyFill="1" applyBorder="1"/>
    <xf numFmtId="0" fontId="7" fillId="14" borderId="0" xfId="54" applyAlignment="1">
      <alignment wrapText="1"/>
    </xf>
    <xf numFmtId="0" fontId="28" fillId="52" borderId="0" xfId="4"/>
    <xf numFmtId="0" fontId="136" fillId="52" borderId="0" xfId="4" applyFont="1"/>
    <xf numFmtId="0" fontId="117" fillId="106" borderId="83" xfId="39" applyFill="1"/>
    <xf numFmtId="2" fontId="0" fillId="0" borderId="76" xfId="0" applyNumberFormat="1" applyBorder="1" applyAlignment="1">
      <alignment horizontal="center"/>
    </xf>
    <xf numFmtId="0" fontId="0" fillId="0" borderId="75" xfId="0" applyBorder="1" applyAlignment="1">
      <alignment horizontal="left"/>
    </xf>
    <xf numFmtId="9" fontId="28" fillId="2" borderId="1" xfId="93" applyFont="1" applyFill="1" applyBorder="1" applyProtection="1">
      <protection locked="0"/>
    </xf>
    <xf numFmtId="9" fontId="27" fillId="2" borderId="1" xfId="93" applyFont="1" applyFill="1" applyBorder="1" applyProtection="1">
      <protection locked="0"/>
    </xf>
    <xf numFmtId="165" fontId="80" fillId="63" borderId="1" xfId="92" applyFont="1" applyFill="1" applyBorder="1"/>
    <xf numFmtId="165" fontId="6" fillId="66" borderId="1" xfId="29" applyNumberFormat="1"/>
    <xf numFmtId="0" fontId="79" fillId="0" borderId="1" xfId="28" applyFont="1" applyAlignment="1">
      <alignment horizontal="left" indent="2"/>
    </xf>
    <xf numFmtId="0" fontId="6" fillId="0" borderId="34" xfId="28" applyBorder="1"/>
    <xf numFmtId="167" fontId="52" fillId="76" borderId="0" xfId="94" applyNumberFormat="1" applyFont="1" applyFill="1"/>
    <xf numFmtId="165" fontId="6" fillId="67" borderId="1" xfId="30" applyNumberFormat="1"/>
    <xf numFmtId="0" fontId="27" fillId="2" borderId="41" xfId="33" applyNumberFormat="1" applyBorder="1">
      <protection locked="0"/>
    </xf>
    <xf numFmtId="180" fontId="6" fillId="67" borderId="1" xfId="30" applyNumberFormat="1"/>
    <xf numFmtId="168" fontId="6" fillId="64" borderId="1" xfId="32" applyNumberFormat="1" applyAlignment="1"/>
    <xf numFmtId="9" fontId="6" fillId="0" borderId="1" xfId="28" applyNumberFormat="1"/>
    <xf numFmtId="9" fontId="6" fillId="0" borderId="1" xfId="93" applyFont="1" applyBorder="1"/>
    <xf numFmtId="9" fontId="6" fillId="67" borderId="1" xfId="30" applyNumberFormat="1" applyAlignment="1">
      <alignment horizontal="left" vertical="top" wrapText="1"/>
    </xf>
    <xf numFmtId="9" fontId="6" fillId="66" borderId="1" xfId="29" applyNumberFormat="1" applyAlignment="1">
      <alignment horizontal="left" vertical="top" wrapText="1"/>
    </xf>
    <xf numFmtId="9" fontId="6" fillId="63" borderId="1" xfId="31" applyNumberFormat="1" applyAlignment="1">
      <alignment horizontal="left" vertical="top" wrapText="1"/>
    </xf>
    <xf numFmtId="9" fontId="6" fillId="64" borderId="1" xfId="32" applyNumberFormat="1" applyAlignment="1">
      <alignment horizontal="left" vertical="top" wrapText="1"/>
    </xf>
    <xf numFmtId="9" fontId="0" fillId="67" borderId="1" xfId="30" applyNumberFormat="1" applyFont="1" applyAlignment="1">
      <alignment horizontal="right" vertical="top"/>
    </xf>
    <xf numFmtId="9" fontId="0" fillId="2" borderId="1" xfId="93" applyFont="1" applyFill="1" applyBorder="1" applyAlignment="1" applyProtection="1">
      <alignment horizontal="left" vertical="top"/>
      <protection locked="0"/>
    </xf>
    <xf numFmtId="168" fontId="0" fillId="14" borderId="0" xfId="54" applyNumberFormat="1" applyFont="1" applyAlignment="1" applyProtection="1">
      <protection locked="0"/>
    </xf>
    <xf numFmtId="168" fontId="0" fillId="64" borderId="1" xfId="32" applyNumberFormat="1" applyFont="1" applyAlignment="1"/>
    <xf numFmtId="168" fontId="0" fillId="14" borderId="0" xfId="54" applyNumberFormat="1" applyFont="1" applyAlignment="1"/>
    <xf numFmtId="9" fontId="0" fillId="4" borderId="1" xfId="35" applyNumberFormat="1" applyFont="1" applyAlignment="1">
      <protection locked="0"/>
    </xf>
    <xf numFmtId="1" fontId="0" fillId="0" borderId="1" xfId="28" applyNumberFormat="1" applyFont="1" applyAlignment="1"/>
    <xf numFmtId="2" fontId="0" fillId="14" borderId="0" xfId="54" applyNumberFormat="1" applyFont="1" applyAlignment="1"/>
    <xf numFmtId="1" fontId="0" fillId="14" borderId="0" xfId="54" applyNumberFormat="1" applyFont="1" applyAlignment="1"/>
    <xf numFmtId="2" fontId="6" fillId="64" borderId="1" xfId="32" applyNumberFormat="1" applyAlignment="1"/>
    <xf numFmtId="172" fontId="52" fillId="80" borderId="0" xfId="94" applyNumberFormat="1" applyFont="1" applyFill="1"/>
    <xf numFmtId="169" fontId="6" fillId="66" borderId="1" xfId="29" applyNumberFormat="1" applyAlignment="1">
      <alignment wrapText="1"/>
    </xf>
    <xf numFmtId="0" fontId="6" fillId="64" borderId="1" xfId="32"/>
    <xf numFmtId="166" fontId="6" fillId="64" borderId="1" xfId="32" applyNumberFormat="1"/>
    <xf numFmtId="168" fontId="6" fillId="64" borderId="1" xfId="32" applyNumberFormat="1" applyAlignment="1">
      <alignment wrapText="1"/>
    </xf>
    <xf numFmtId="169" fontId="6" fillId="67" borderId="1" xfId="30" applyNumberFormat="1" applyAlignment="1">
      <alignment wrapText="1"/>
    </xf>
    <xf numFmtId="164" fontId="79" fillId="66" borderId="1" xfId="92" applyNumberFormat="1" applyFont="1" applyFill="1" applyBorder="1"/>
    <xf numFmtId="0" fontId="79" fillId="0" borderId="1" xfId="28" applyFont="1" applyAlignment="1">
      <alignment horizontal="left" indent="3"/>
    </xf>
    <xf numFmtId="0" fontId="51" fillId="64" borderId="0" xfId="94" applyFont="1" applyFill="1"/>
    <xf numFmtId="0" fontId="51" fillId="93" borderId="0" xfId="94" applyFont="1" applyFill="1"/>
    <xf numFmtId="3" fontId="50" fillId="64" borderId="25" xfId="32" applyNumberFormat="1" applyFont="1" applyBorder="1" applyAlignment="1">
      <alignment horizontal="center" vertical="center"/>
    </xf>
    <xf numFmtId="3" fontId="50" fillId="64" borderId="1" xfId="32" applyNumberFormat="1" applyFont="1" applyAlignment="1">
      <alignment horizontal="center" vertical="center"/>
    </xf>
    <xf numFmtId="0" fontId="51" fillId="57" borderId="0" xfId="94" applyFont="1" applyFill="1"/>
    <xf numFmtId="10" fontId="50" fillId="66" borderId="1" xfId="29" applyNumberFormat="1" applyFont="1"/>
    <xf numFmtId="10" fontId="50" fillId="63" borderId="1" xfId="31" applyNumberFormat="1" applyFont="1"/>
    <xf numFmtId="9" fontId="6" fillId="64" borderId="1" xfId="93" applyFont="1" applyFill="1" applyBorder="1"/>
    <xf numFmtId="9" fontId="27" fillId="2" borderId="1" xfId="33" applyNumberFormat="1" applyAlignment="1">
      <alignment horizontal="left" vertical="top" wrapText="1"/>
      <protection locked="0"/>
    </xf>
    <xf numFmtId="166" fontId="8" fillId="63" borderId="1" xfId="31" applyNumberFormat="1" applyFont="1"/>
    <xf numFmtId="166" fontId="79" fillId="0" borderId="0" xfId="0" applyNumberFormat="1" applyFont="1"/>
    <xf numFmtId="9" fontId="0" fillId="2" borderId="26" xfId="33" applyNumberFormat="1" applyFont="1" applyBorder="1" applyAlignment="1">
      <alignment horizontal="center" vertical="center" wrapText="1"/>
      <protection locked="0"/>
    </xf>
    <xf numFmtId="0" fontId="94" fillId="34" borderId="15" xfId="77" applyFont="1" applyBorder="1" applyAlignment="1">
      <alignment vertical="top" wrapText="1"/>
    </xf>
    <xf numFmtId="0" fontId="94" fillId="34" borderId="24" xfId="77" applyFont="1" applyBorder="1" applyAlignment="1">
      <alignment vertical="top" wrapText="1"/>
    </xf>
    <xf numFmtId="9" fontId="0" fillId="2" borderId="38" xfId="33" applyNumberFormat="1" applyFont="1" applyBorder="1" applyAlignment="1">
      <alignment horizontal="center" vertical="center"/>
      <protection locked="0"/>
    </xf>
    <xf numFmtId="9" fontId="0" fillId="2" borderId="40" xfId="33" applyNumberFormat="1" applyFont="1" applyBorder="1" applyAlignment="1">
      <alignment horizontal="center" vertical="center" wrapText="1"/>
      <protection locked="0"/>
    </xf>
    <xf numFmtId="9" fontId="0" fillId="2" borderId="26" xfId="33" applyNumberFormat="1" applyFont="1" applyBorder="1" applyAlignment="1">
      <alignment horizontal="center" vertical="center"/>
      <protection locked="0"/>
    </xf>
    <xf numFmtId="0" fontId="94" fillId="34" borderId="24" xfId="77" applyFont="1" applyBorder="1" applyAlignment="1">
      <alignment horizontal="left" vertical="top" wrapText="1"/>
    </xf>
    <xf numFmtId="0" fontId="94" fillId="34" borderId="24" xfId="77" applyFont="1" applyBorder="1" applyAlignment="1">
      <alignment horizontal="left" vertical="top"/>
    </xf>
    <xf numFmtId="9" fontId="0" fillId="2" borderId="40" xfId="33" applyNumberFormat="1" applyFont="1" applyBorder="1" applyAlignment="1">
      <alignment horizontal="center" vertical="center"/>
      <protection locked="0"/>
    </xf>
    <xf numFmtId="9" fontId="0" fillId="2" borderId="91" xfId="33" applyNumberFormat="1" applyFont="1" applyBorder="1" applyAlignment="1">
      <alignment horizontal="center" vertical="center"/>
      <protection locked="0"/>
    </xf>
    <xf numFmtId="9" fontId="76" fillId="2" borderId="39" xfId="33" applyNumberFormat="1" applyFont="1" applyBorder="1" applyAlignment="1">
      <alignment horizontal="center" vertical="center"/>
      <protection locked="0"/>
    </xf>
    <xf numFmtId="9" fontId="76" fillId="2" borderId="40" xfId="33" applyNumberFormat="1" applyFont="1" applyBorder="1" applyAlignment="1">
      <alignment horizontal="center" vertical="center"/>
      <protection locked="0"/>
    </xf>
    <xf numFmtId="0" fontId="94" fillId="34" borderId="24" xfId="77" applyFont="1" applyBorder="1" applyAlignment="1">
      <alignment vertical="top"/>
    </xf>
    <xf numFmtId="0" fontId="94" fillId="75" borderId="24" xfId="77" applyFont="1" applyFill="1" applyBorder="1" applyAlignment="1">
      <alignment horizontal="left" vertical="top" wrapText="1"/>
    </xf>
    <xf numFmtId="9" fontId="0" fillId="2" borderId="38" xfId="33" applyNumberFormat="1" applyFont="1" applyBorder="1" applyAlignment="1">
      <alignment horizontal="center" vertical="center" wrapText="1"/>
      <protection locked="0"/>
    </xf>
    <xf numFmtId="0" fontId="28" fillId="48" borderId="24" xfId="9" applyBorder="1" applyAlignment="1">
      <alignment horizontal="left" vertical="top" wrapText="1"/>
    </xf>
    <xf numFmtId="0" fontId="0" fillId="0" borderId="24" xfId="40" applyFont="1" applyBorder="1" applyAlignment="1">
      <alignment horizontal="left" vertical="top" wrapText="1"/>
    </xf>
    <xf numFmtId="0" fontId="0" fillId="0" borderId="24" xfId="40" applyFont="1" applyBorder="1" applyAlignment="1">
      <alignment vertical="top" wrapText="1"/>
    </xf>
    <xf numFmtId="0" fontId="28" fillId="54" borderId="24" xfId="11" applyBorder="1" applyAlignment="1">
      <alignment horizontal="left" vertical="top" wrapText="1"/>
    </xf>
    <xf numFmtId="0" fontId="28" fillId="54" borderId="24" xfId="11" applyBorder="1" applyAlignment="1">
      <alignment vertical="top" wrapText="1"/>
    </xf>
    <xf numFmtId="9" fontId="76" fillId="2" borderId="40" xfId="33" applyNumberFormat="1" applyFont="1" applyBorder="1" applyAlignment="1">
      <alignment horizontal="center" vertical="center" wrapText="1"/>
      <protection locked="0"/>
    </xf>
    <xf numFmtId="0" fontId="80" fillId="64" borderId="1" xfId="28" applyFont="1" applyFill="1"/>
    <xf numFmtId="0" fontId="79" fillId="64" borderId="1" xfId="28" applyFont="1" applyFill="1" applyAlignment="1">
      <alignment horizontal="left" indent="2"/>
    </xf>
    <xf numFmtId="0" fontId="79" fillId="64" borderId="1" xfId="28" applyFont="1" applyFill="1" applyAlignment="1">
      <alignment horizontal="left" indent="3"/>
    </xf>
    <xf numFmtId="167" fontId="47" fillId="64" borderId="0" xfId="94" applyNumberFormat="1" applyFont="1" applyFill="1" applyAlignment="1">
      <alignment horizontal="center" vertical="center"/>
    </xf>
    <xf numFmtId="167" fontId="52" fillId="57" borderId="0" xfId="94" applyNumberFormat="1" applyFont="1" applyFill="1"/>
    <xf numFmtId="169" fontId="6" fillId="64" borderId="1" xfId="32" applyNumberFormat="1" applyAlignment="1">
      <alignment wrapText="1"/>
    </xf>
    <xf numFmtId="168" fontId="6" fillId="66" borderId="1" xfId="29" applyNumberFormat="1" applyAlignment="1">
      <alignment wrapText="1"/>
    </xf>
    <xf numFmtId="0" fontId="51" fillId="76" borderId="0" xfId="94" applyFont="1" applyFill="1" applyAlignment="1">
      <alignment vertical="center" textRotation="90" wrapText="1"/>
    </xf>
    <xf numFmtId="0" fontId="47" fillId="76" borderId="0" xfId="94" applyFont="1" applyFill="1" applyAlignment="1">
      <alignment vertical="center" wrapText="1"/>
    </xf>
    <xf numFmtId="0" fontId="51" fillId="89" borderId="0" xfId="94" applyFont="1" applyFill="1" applyAlignment="1">
      <alignment vertical="center" textRotation="90"/>
    </xf>
    <xf numFmtId="0" fontId="49" fillId="40" borderId="0" xfId="94" applyFont="1" applyFill="1" applyAlignment="1">
      <alignment vertical="center" textRotation="90" wrapText="1"/>
    </xf>
    <xf numFmtId="0" fontId="51" fillId="81" borderId="0" xfId="94" applyFont="1" applyFill="1" applyAlignment="1">
      <alignment vertical="center" textRotation="90"/>
    </xf>
    <xf numFmtId="0" fontId="51" fillId="73" borderId="0" xfId="94" applyFont="1" applyFill="1" applyAlignment="1">
      <alignment vertical="center" textRotation="90" wrapText="1"/>
    </xf>
    <xf numFmtId="0" fontId="47" fillId="73" borderId="0" xfId="94" applyFont="1" applyFill="1" applyAlignment="1">
      <alignment vertical="center" wrapText="1"/>
    </xf>
    <xf numFmtId="10" fontId="112" fillId="67" borderId="46" xfId="30" applyNumberFormat="1" applyFont="1" applyBorder="1" applyAlignment="1"/>
    <xf numFmtId="10" fontId="112" fillId="67" borderId="47" xfId="30" applyNumberFormat="1" applyFont="1" applyBorder="1" applyAlignment="1"/>
    <xf numFmtId="10" fontId="112" fillId="67" borderId="48" xfId="30" applyNumberFormat="1" applyFont="1" applyBorder="1" applyAlignment="1"/>
    <xf numFmtId="10" fontId="113" fillId="67" borderId="46" xfId="30" applyNumberFormat="1" applyFont="1" applyBorder="1" applyAlignment="1"/>
    <xf numFmtId="10" fontId="113" fillId="67" borderId="47" xfId="30" applyNumberFormat="1" applyFont="1" applyBorder="1" applyAlignment="1"/>
    <xf numFmtId="10" fontId="113" fillId="67" borderId="48" xfId="30" applyNumberFormat="1" applyFont="1" applyBorder="1" applyAlignment="1"/>
    <xf numFmtId="0" fontId="73" fillId="71" borderId="0" xfId="0" applyFont="1" applyFill="1" applyAlignment="1">
      <alignment vertical="top" wrapText="1"/>
    </xf>
    <xf numFmtId="0" fontId="73" fillId="71" borderId="37" xfId="0" applyFont="1" applyFill="1" applyBorder="1" applyAlignment="1">
      <alignment vertical="top" wrapText="1"/>
    </xf>
    <xf numFmtId="165" fontId="79" fillId="14" borderId="0" xfId="54" applyNumberFormat="1" applyFont="1"/>
    <xf numFmtId="166" fontId="111" fillId="119" borderId="76" xfId="93" applyNumberFormat="1" applyFont="1" applyFill="1" applyBorder="1" applyAlignment="1">
      <alignment horizontal="center" vertical="center" wrapText="1"/>
    </xf>
    <xf numFmtId="9" fontId="34" fillId="0" borderId="0" xfId="93" applyFont="1"/>
    <xf numFmtId="168" fontId="111" fillId="106" borderId="77" xfId="93" applyNumberFormat="1" applyFont="1" applyFill="1" applyBorder="1" applyAlignment="1">
      <alignment horizontal="center" vertical="center" wrapText="1"/>
    </xf>
    <xf numFmtId="166" fontId="111" fillId="106" borderId="77" xfId="93" applyNumberFormat="1" applyFont="1" applyFill="1" applyBorder="1" applyAlignment="1">
      <alignment horizontal="center" vertical="center" wrapText="1"/>
    </xf>
    <xf numFmtId="168" fontId="111" fillId="119" borderId="75" xfId="93" applyNumberFormat="1" applyFont="1" applyFill="1" applyBorder="1" applyAlignment="1">
      <alignment horizontal="center" vertical="center" wrapText="1"/>
    </xf>
    <xf numFmtId="166" fontId="111" fillId="119" borderId="75" xfId="93" applyNumberFormat="1" applyFont="1" applyFill="1" applyBorder="1" applyAlignment="1">
      <alignment horizontal="center" vertical="center" wrapText="1"/>
    </xf>
    <xf numFmtId="2" fontId="111" fillId="119" borderId="75" xfId="93" applyNumberFormat="1" applyFont="1" applyFill="1" applyBorder="1" applyAlignment="1">
      <alignment horizontal="center" vertical="center" wrapText="1"/>
    </xf>
    <xf numFmtId="1" fontId="111" fillId="119" borderId="75" xfId="93" applyNumberFormat="1" applyFont="1" applyFill="1" applyBorder="1" applyAlignment="1">
      <alignment horizontal="center" vertical="center" wrapText="1"/>
    </xf>
    <xf numFmtId="0" fontId="109" fillId="0" borderId="77" xfId="0" applyFont="1" applyBorder="1" applyAlignment="1">
      <alignment horizontal="center" vertical="center" wrapText="1"/>
    </xf>
    <xf numFmtId="168" fontId="109" fillId="0" borderId="77" xfId="0" applyNumberFormat="1" applyFont="1" applyBorder="1" applyAlignment="1">
      <alignment horizontal="center"/>
    </xf>
    <xf numFmtId="168" fontId="111" fillId="64" borderId="74" xfId="93" applyNumberFormat="1" applyFont="1" applyFill="1" applyBorder="1" applyAlignment="1">
      <alignment horizontal="center" vertical="center" wrapText="1"/>
    </xf>
    <xf numFmtId="10" fontId="111" fillId="64" borderId="74" xfId="93" applyNumberFormat="1" applyFont="1" applyFill="1" applyBorder="1" applyAlignment="1">
      <alignment horizontal="center" vertical="center" wrapText="1"/>
    </xf>
    <xf numFmtId="166" fontId="111" fillId="64" borderId="74" xfId="93" applyNumberFormat="1" applyFont="1" applyFill="1" applyBorder="1" applyAlignment="1">
      <alignment horizontal="center" vertical="center" wrapText="1"/>
    </xf>
    <xf numFmtId="168" fontId="111" fillId="120" borderId="74" xfId="93" applyNumberFormat="1" applyFont="1" applyFill="1" applyBorder="1" applyAlignment="1">
      <alignment horizontal="center" vertical="center" wrapText="1"/>
    </xf>
    <xf numFmtId="166" fontId="111" fillId="120" borderId="74" xfId="93" applyNumberFormat="1" applyFont="1" applyFill="1" applyBorder="1" applyAlignment="1">
      <alignment horizontal="center" vertical="center" wrapText="1"/>
    </xf>
    <xf numFmtId="1" fontId="111" fillId="120" borderId="74" xfId="93" applyNumberFormat="1" applyFont="1" applyFill="1" applyBorder="1" applyAlignment="1">
      <alignment horizontal="center" vertical="center" wrapText="1"/>
    </xf>
    <xf numFmtId="0" fontId="76" fillId="0" borderId="0" xfId="0" applyFont="1"/>
    <xf numFmtId="1" fontId="31" fillId="40" borderId="0" xfId="42" applyNumberFormat="1">
      <alignment wrapText="1"/>
    </xf>
    <xf numFmtId="1" fontId="27" fillId="0" borderId="0" xfId="0" applyNumberFormat="1" applyFont="1"/>
    <xf numFmtId="9" fontId="27" fillId="66" borderId="1" xfId="29" applyNumberFormat="1" applyFont="1"/>
    <xf numFmtId="1" fontId="27" fillId="67" borderId="1" xfId="30" applyNumberFormat="1" applyFont="1"/>
    <xf numFmtId="186" fontId="27" fillId="67" borderId="1" xfId="30" applyNumberFormat="1" applyFont="1" applyAlignment="1">
      <alignment horizontal="center" vertical="center"/>
    </xf>
    <xf numFmtId="1" fontId="27" fillId="63" borderId="1" xfId="31" applyNumberFormat="1" applyFont="1"/>
    <xf numFmtId="1" fontId="27" fillId="66" borderId="1" xfId="29" applyNumberFormat="1" applyFont="1" applyAlignment="1">
      <alignment horizontal="center" vertical="center"/>
    </xf>
    <xf numFmtId="1" fontId="27" fillId="67" borderId="1" xfId="30" applyNumberFormat="1" applyFont="1" applyAlignment="1">
      <alignment horizontal="center" vertical="center"/>
    </xf>
    <xf numFmtId="1" fontId="27" fillId="0" borderId="0" xfId="0" applyNumberFormat="1" applyFont="1" applyAlignment="1">
      <alignment wrapText="1"/>
    </xf>
    <xf numFmtId="180" fontId="27" fillId="0" borderId="0" xfId="0" applyNumberFormat="1" applyFont="1"/>
    <xf numFmtId="1" fontId="27" fillId="64" borderId="1" xfId="32" applyNumberFormat="1" applyFont="1" applyAlignment="1">
      <alignment horizontal="center" vertical="center"/>
    </xf>
    <xf numFmtId="1" fontId="27" fillId="63" borderId="1" xfId="31" applyNumberFormat="1" applyFont="1" applyAlignment="1">
      <alignment horizontal="center" vertical="center"/>
    </xf>
    <xf numFmtId="9" fontId="27" fillId="0" borderId="0" xfId="93" applyFont="1"/>
    <xf numFmtId="2" fontId="27" fillId="0" borderId="0" xfId="0" applyNumberFormat="1" applyFont="1"/>
    <xf numFmtId="9" fontId="28" fillId="66" borderId="1" xfId="29" applyNumberFormat="1" applyFont="1"/>
    <xf numFmtId="1" fontId="27" fillId="14" borderId="0" xfId="54" applyNumberFormat="1" applyFont="1"/>
    <xf numFmtId="168" fontId="27" fillId="63" borderId="1" xfId="31" applyNumberFormat="1" applyFont="1" applyAlignment="1">
      <alignment horizontal="center" vertical="center"/>
    </xf>
    <xf numFmtId="168" fontId="27" fillId="0" borderId="0" xfId="0" applyNumberFormat="1" applyFont="1"/>
    <xf numFmtId="168" fontId="27" fillId="14" borderId="0" xfId="54" applyNumberFormat="1" applyFont="1"/>
    <xf numFmtId="2" fontId="27" fillId="63" borderId="1" xfId="31" applyNumberFormat="1" applyFont="1" applyAlignment="1">
      <alignment horizontal="center" vertical="center"/>
    </xf>
    <xf numFmtId="0" fontId="27" fillId="0" borderId="0" xfId="93" applyNumberFormat="1" applyFont="1"/>
    <xf numFmtId="2" fontId="27" fillId="14" borderId="0" xfId="54" applyNumberFormat="1" applyFont="1"/>
    <xf numFmtId="180" fontId="27" fillId="14" borderId="0" xfId="54" applyNumberFormat="1" applyFont="1"/>
    <xf numFmtId="1" fontId="27" fillId="2" borderId="1" xfId="33" applyNumberFormat="1" applyAlignment="1">
      <alignment horizontal="center" vertical="center"/>
      <protection locked="0"/>
    </xf>
    <xf numFmtId="9" fontId="27" fillId="14" borderId="0" xfId="93" applyFont="1" applyFill="1" applyProtection="1">
      <protection locked="0"/>
    </xf>
    <xf numFmtId="9" fontId="27" fillId="14" borderId="0" xfId="93" applyFont="1" applyFill="1"/>
    <xf numFmtId="186" fontId="27" fillId="14" borderId="0" xfId="54" applyNumberFormat="1" applyFont="1" applyAlignment="1">
      <alignment horizontal="center" vertical="center"/>
    </xf>
    <xf numFmtId="1" fontId="27" fillId="14" borderId="0" xfId="54" applyNumberFormat="1" applyFont="1" applyProtection="1">
      <protection locked="0"/>
    </xf>
    <xf numFmtId="1" fontId="27" fillId="14" borderId="0" xfId="54" applyNumberFormat="1" applyFont="1" applyAlignment="1" applyProtection="1">
      <alignment horizontal="center" vertical="center"/>
      <protection locked="0"/>
    </xf>
    <xf numFmtId="166" fontId="27" fillId="2" borderId="1" xfId="93" applyNumberFormat="1" applyFont="1" applyFill="1" applyBorder="1" applyProtection="1">
      <protection locked="0"/>
    </xf>
    <xf numFmtId="2" fontId="27" fillId="67" borderId="1" xfId="30" applyNumberFormat="1" applyFont="1" applyAlignment="1">
      <alignment horizontal="center" vertical="center"/>
    </xf>
    <xf numFmtId="10" fontId="27" fillId="2" borderId="1" xfId="93" applyNumberFormat="1" applyFont="1" applyFill="1" applyBorder="1" applyProtection="1">
      <protection locked="0"/>
    </xf>
    <xf numFmtId="180" fontId="27" fillId="2" borderId="1" xfId="33" applyNumberFormat="1" applyAlignment="1">
      <alignment horizontal="center" vertical="center"/>
      <protection locked="0"/>
    </xf>
    <xf numFmtId="168" fontId="27" fillId="2" borderId="1" xfId="33" applyNumberFormat="1" applyAlignment="1">
      <alignment horizontal="center" vertical="center"/>
      <protection locked="0"/>
    </xf>
    <xf numFmtId="9" fontId="0" fillId="2" borderId="93" xfId="33" applyNumberFormat="1" applyFont="1" applyBorder="1" applyAlignment="1">
      <alignment horizontal="center" vertical="center"/>
      <protection locked="0"/>
    </xf>
    <xf numFmtId="0" fontId="0" fillId="0" borderId="17" xfId="40" applyFont="1" applyBorder="1" applyAlignment="1">
      <alignment vertical="top" wrapText="1"/>
    </xf>
    <xf numFmtId="9" fontId="76" fillId="2" borderId="94" xfId="33" applyNumberFormat="1" applyFont="1" applyBorder="1" applyAlignment="1">
      <alignment horizontal="center" vertical="center" wrapText="1"/>
      <protection locked="0"/>
    </xf>
    <xf numFmtId="9" fontId="0" fillId="2" borderId="95" xfId="33" applyNumberFormat="1" applyFont="1" applyBorder="1" applyAlignment="1">
      <alignment horizontal="center" vertical="center" wrapText="1"/>
      <protection locked="0"/>
    </xf>
    <xf numFmtId="9" fontId="0" fillId="2" borderId="96" xfId="33" applyNumberFormat="1" applyFont="1" applyBorder="1" applyAlignment="1">
      <alignment horizontal="center" vertical="center" wrapText="1"/>
      <protection locked="0"/>
    </xf>
    <xf numFmtId="0" fontId="0" fillId="0" borderId="17" xfId="40" applyFont="1" applyBorder="1" applyAlignment="1">
      <alignment vertical="top"/>
    </xf>
    <xf numFmtId="9" fontId="76" fillId="2" borderId="94" xfId="33" applyNumberFormat="1" applyFont="1" applyBorder="1" applyAlignment="1">
      <alignment horizontal="center" vertical="center"/>
      <protection locked="0"/>
    </xf>
    <xf numFmtId="9" fontId="0" fillId="2" borderId="95" xfId="33" applyNumberFormat="1" applyFont="1" applyBorder="1" applyAlignment="1">
      <alignment horizontal="center" vertical="center"/>
      <protection locked="0"/>
    </xf>
    <xf numFmtId="9" fontId="0" fillId="2" borderId="96" xfId="33" applyNumberFormat="1" applyFont="1" applyBorder="1" applyAlignment="1">
      <alignment horizontal="center" vertical="center"/>
      <protection locked="0"/>
    </xf>
    <xf numFmtId="9" fontId="0" fillId="2" borderId="93" xfId="33" applyNumberFormat="1" applyFont="1" applyBorder="1" applyAlignment="1">
      <alignment horizontal="center" vertical="center" wrapText="1"/>
      <protection locked="0"/>
    </xf>
    <xf numFmtId="9" fontId="76" fillId="2" borderId="97" xfId="33" applyNumberFormat="1" applyFont="1" applyBorder="1" applyAlignment="1">
      <alignment horizontal="center" vertical="center"/>
      <protection locked="0"/>
    </xf>
    <xf numFmtId="9" fontId="137" fillId="2" borderId="26" xfId="33" applyNumberFormat="1" applyFont="1" applyBorder="1" applyAlignment="1">
      <alignment horizontal="center" vertical="center"/>
      <protection locked="0"/>
    </xf>
    <xf numFmtId="9" fontId="137" fillId="2" borderId="40" xfId="33" applyNumberFormat="1" applyFont="1" applyBorder="1" applyAlignment="1">
      <alignment horizontal="center" vertical="center"/>
      <protection locked="0"/>
    </xf>
    <xf numFmtId="168" fontId="7" fillId="14" borderId="76" xfId="54" applyNumberFormat="1" applyBorder="1" applyAlignment="1"/>
    <xf numFmtId="168" fontId="7" fillId="14" borderId="77" xfId="54" applyNumberFormat="1" applyBorder="1" applyAlignment="1"/>
    <xf numFmtId="174" fontId="0" fillId="0" borderId="0" xfId="0" applyNumberFormat="1"/>
    <xf numFmtId="168" fontId="0" fillId="59" borderId="76" xfId="93" applyNumberFormat="1" applyFont="1" applyFill="1" applyBorder="1" applyAlignment="1">
      <alignment horizontal="center"/>
    </xf>
    <xf numFmtId="1" fontId="0" fillId="59" borderId="76" xfId="93" applyNumberFormat="1" applyFont="1" applyFill="1" applyBorder="1" applyAlignment="1">
      <alignment horizontal="center"/>
    </xf>
    <xf numFmtId="0" fontId="117" fillId="0" borderId="83" xfId="39" applyAlignment="1">
      <alignment horizontal="left" indent="2"/>
    </xf>
    <xf numFmtId="1" fontId="117" fillId="0" borderId="83" xfId="39" applyNumberFormat="1" applyAlignment="1">
      <alignment horizontal="center" vertical="center"/>
    </xf>
    <xf numFmtId="0" fontId="0" fillId="96" borderId="75" xfId="0" applyFill="1" applyBorder="1" applyAlignment="1">
      <alignment horizontal="left" indent="1"/>
    </xf>
    <xf numFmtId="168" fontId="0" fillId="96" borderId="76" xfId="0" applyNumberFormat="1" applyFill="1" applyBorder="1" applyAlignment="1">
      <alignment horizontal="center"/>
    </xf>
    <xf numFmtId="1" fontId="0" fillId="96" borderId="76" xfId="0" applyNumberFormat="1" applyFill="1" applyBorder="1" applyAlignment="1">
      <alignment horizontal="center"/>
    </xf>
    <xf numFmtId="1" fontId="0" fillId="96" borderId="77" xfId="0" applyNumberFormat="1" applyFill="1" applyBorder="1" applyAlignment="1">
      <alignment horizontal="center"/>
    </xf>
    <xf numFmtId="0" fontId="109" fillId="0" borderId="75" xfId="0" applyFont="1" applyBorder="1" applyAlignment="1">
      <alignment vertical="top" wrapText="1"/>
    </xf>
    <xf numFmtId="168" fontId="109" fillId="0" borderId="75" xfId="0" applyNumberFormat="1" applyFont="1" applyBorder="1" applyAlignment="1">
      <alignment vertical="top"/>
    </xf>
    <xf numFmtId="10" fontId="52" fillId="80" borderId="0" xfId="94" applyNumberFormat="1" applyFont="1" applyFill="1"/>
    <xf numFmtId="180" fontId="27" fillId="2" borderId="1" xfId="33" applyNumberFormat="1">
      <protection locked="0"/>
    </xf>
    <xf numFmtId="180" fontId="6" fillId="64" borderId="1" xfId="32" applyNumberFormat="1"/>
    <xf numFmtId="167" fontId="79" fillId="0" borderId="0" xfId="92" applyNumberFormat="1" applyFont="1"/>
    <xf numFmtId="187" fontId="27" fillId="2" borderId="1" xfId="33" applyNumberFormat="1">
      <protection locked="0"/>
    </xf>
    <xf numFmtId="164" fontId="79" fillId="0" borderId="0" xfId="0" applyNumberFormat="1" applyFont="1"/>
    <xf numFmtId="0" fontId="116" fillId="2" borderId="0" xfId="52" applyNumberFormat="1" applyFont="1" applyFill="1" applyBorder="1" applyAlignment="1">
      <alignment horizontal="left" vertical="top"/>
      <protection locked="0"/>
    </xf>
    <xf numFmtId="1" fontId="31" fillId="40" borderId="0" xfId="42" applyNumberFormat="1" applyAlignment="1">
      <alignment horizontal="center" wrapText="1"/>
    </xf>
    <xf numFmtId="167" fontId="6" fillId="63" borderId="1" xfId="92" applyNumberFormat="1" applyFont="1" applyFill="1" applyBorder="1"/>
    <xf numFmtId="3" fontId="6" fillId="66" borderId="1" xfId="29" applyNumberFormat="1"/>
    <xf numFmtId="3" fontId="6" fillId="67" borderId="1" xfId="30" applyNumberFormat="1"/>
    <xf numFmtId="175" fontId="79" fillId="0" borderId="0" xfId="0" applyNumberFormat="1" applyFont="1"/>
    <xf numFmtId="167" fontId="27" fillId="2" borderId="1" xfId="33" applyNumberFormat="1">
      <protection locked="0"/>
    </xf>
    <xf numFmtId="0" fontId="116" fillId="2" borderId="41" xfId="52" applyNumberFormat="1" applyFont="1" applyFill="1" applyBorder="1" applyAlignment="1">
      <alignment vertical="top"/>
      <protection locked="0"/>
    </xf>
    <xf numFmtId="0" fontId="116" fillId="2" borderId="0" xfId="52" applyNumberFormat="1" applyFont="1" applyFill="1" applyBorder="1" applyAlignment="1">
      <alignment vertical="top"/>
      <protection locked="0"/>
    </xf>
    <xf numFmtId="168" fontId="109" fillId="0" borderId="0" xfId="0" applyNumberFormat="1" applyFont="1" applyAlignment="1">
      <alignment vertical="top"/>
    </xf>
    <xf numFmtId="1" fontId="109" fillId="0" borderId="0" xfId="0" applyNumberFormat="1" applyFont="1" applyAlignment="1">
      <alignment horizontal="center"/>
    </xf>
    <xf numFmtId="168" fontId="109" fillId="0" borderId="0" xfId="0" applyNumberFormat="1" applyFont="1" applyAlignment="1">
      <alignment horizontal="center"/>
    </xf>
    <xf numFmtId="9" fontId="0" fillId="83" borderId="1" xfId="33" applyNumberFormat="1" applyFont="1" applyFill="1" applyAlignment="1">
      <alignment horizontal="center" vertical="center" wrapText="1"/>
      <protection locked="0"/>
    </xf>
    <xf numFmtId="9" fontId="0" fillId="83" borderId="38" xfId="33" applyNumberFormat="1" applyFont="1" applyFill="1" applyBorder="1" applyAlignment="1">
      <alignment horizontal="center" vertical="center" wrapText="1"/>
      <protection locked="0"/>
    </xf>
    <xf numFmtId="9" fontId="0" fillId="3" borderId="1" xfId="34" applyNumberFormat="1" applyFont="1" applyAlignment="1">
      <alignment horizontal="left" vertical="top" wrapText="1"/>
    </xf>
    <xf numFmtId="165" fontId="6" fillId="63" borderId="1" xfId="31" applyNumberFormat="1"/>
    <xf numFmtId="164" fontId="6" fillId="66" borderId="1" xfId="29" applyNumberFormat="1"/>
    <xf numFmtId="164" fontId="6" fillId="67" borderId="1" xfId="30" applyNumberFormat="1"/>
    <xf numFmtId="168" fontId="46" fillId="2" borderId="1" xfId="33" applyNumberFormat="1" applyFont="1">
      <protection locked="0"/>
    </xf>
    <xf numFmtId="1" fontId="46" fillId="2" borderId="1" xfId="33" applyNumberFormat="1" applyFont="1">
      <protection locked="0"/>
    </xf>
    <xf numFmtId="2" fontId="46" fillId="2" borderId="1" xfId="33" applyNumberFormat="1" applyFont="1">
      <protection locked="0"/>
    </xf>
    <xf numFmtId="10" fontId="111" fillId="106" borderId="77" xfId="93" applyNumberFormat="1" applyFont="1" applyFill="1" applyBorder="1" applyAlignment="1">
      <alignment horizontal="center" vertical="center" wrapText="1"/>
    </xf>
    <xf numFmtId="10" fontId="34" fillId="0" borderId="0" xfId="93" applyNumberFormat="1" applyFont="1"/>
    <xf numFmtId="9" fontId="76" fillId="2" borderId="39" xfId="33" applyNumberFormat="1" applyFont="1" applyBorder="1" applyAlignment="1">
      <alignment horizontal="center" vertical="center" wrapText="1"/>
      <protection locked="0"/>
    </xf>
    <xf numFmtId="0" fontId="0" fillId="108" borderId="0" xfId="0" applyFill="1"/>
    <xf numFmtId="0" fontId="27" fillId="2" borderId="1" xfId="33" applyNumberFormat="1" applyAlignment="1">
      <protection locked="0"/>
    </xf>
    <xf numFmtId="168" fontId="79" fillId="0" borderId="0" xfId="0" applyNumberFormat="1" applyFont="1"/>
    <xf numFmtId="0" fontId="0" fillId="106" borderId="2" xfId="40" applyFont="1" applyFill="1" applyAlignment="1">
      <alignment horizontal="left" vertical="top"/>
    </xf>
    <xf numFmtId="183" fontId="6" fillId="64" borderId="1" xfId="93" applyNumberFormat="1" applyFont="1" applyFill="1" applyBorder="1"/>
    <xf numFmtId="0" fontId="79" fillId="0" borderId="11" xfId="40" applyFont="1" applyBorder="1"/>
    <xf numFmtId="2" fontId="79" fillId="2" borderId="34" xfId="33" applyNumberFormat="1" applyFont="1" applyBorder="1">
      <protection locked="0"/>
    </xf>
    <xf numFmtId="0" fontId="0" fillId="0" borderId="11" xfId="40" applyFont="1" applyBorder="1" applyAlignment="1">
      <alignment horizontal="center"/>
    </xf>
    <xf numFmtId="9" fontId="27" fillId="2" borderId="1" xfId="93" applyFill="1" applyBorder="1" applyProtection="1">
      <protection locked="0"/>
    </xf>
    <xf numFmtId="10" fontId="79" fillId="67" borderId="1" xfId="93" applyNumberFormat="1" applyFont="1" applyFill="1" applyBorder="1" applyAlignment="1">
      <alignment wrapText="1"/>
    </xf>
    <xf numFmtId="10" fontId="6" fillId="66" borderId="1" xfId="93" applyNumberFormat="1" applyFont="1" applyFill="1" applyBorder="1"/>
    <xf numFmtId="168" fontId="109" fillId="64" borderId="76" xfId="0" applyNumberFormat="1" applyFont="1" applyFill="1" applyBorder="1" applyAlignment="1">
      <alignment horizontal="center" vertical="center"/>
    </xf>
    <xf numFmtId="9" fontId="109" fillId="120" borderId="76" xfId="93" applyFont="1" applyFill="1" applyBorder="1" applyAlignment="1">
      <alignment horizontal="center" vertical="center"/>
    </xf>
    <xf numFmtId="2" fontId="109" fillId="64" borderId="76" xfId="93" applyNumberFormat="1" applyFont="1" applyFill="1" applyBorder="1" applyAlignment="1">
      <alignment horizontal="center" vertical="center"/>
    </xf>
    <xf numFmtId="0" fontId="109" fillId="64" borderId="76" xfId="0" applyFont="1" applyFill="1" applyBorder="1" applyAlignment="1">
      <alignment horizontal="center" vertical="center"/>
    </xf>
    <xf numFmtId="3" fontId="27" fillId="2" borderId="1" xfId="33" applyNumberFormat="1">
      <protection locked="0"/>
    </xf>
    <xf numFmtId="9" fontId="79" fillId="67" borderId="34" xfId="93" applyFont="1" applyFill="1" applyBorder="1" applyAlignment="1">
      <alignment wrapText="1"/>
    </xf>
    <xf numFmtId="168" fontId="79" fillId="2" borderId="1" xfId="33" applyNumberFormat="1" applyFont="1" applyAlignment="1">
      <alignment horizontal="center" vertical="center"/>
      <protection locked="0"/>
    </xf>
    <xf numFmtId="9" fontId="6" fillId="86" borderId="1" xfId="30" applyNumberFormat="1" applyFill="1" applyAlignment="1">
      <alignment horizontal="left" vertical="top" wrapText="1"/>
    </xf>
    <xf numFmtId="0" fontId="79" fillId="0" borderId="2" xfId="40" applyFont="1" applyAlignment="1">
      <alignment horizontal="center"/>
    </xf>
    <xf numFmtId="0" fontId="142" fillId="0" borderId="2" xfId="40" applyFont="1"/>
    <xf numFmtId="184" fontId="0" fillId="2" borderId="1" xfId="33" applyNumberFormat="1" applyFont="1">
      <protection locked="0"/>
    </xf>
    <xf numFmtId="0" fontId="79" fillId="0" borderId="0" xfId="40" applyFont="1" applyBorder="1"/>
    <xf numFmtId="2" fontId="0" fillId="66" borderId="1" xfId="29" applyNumberFormat="1" applyFont="1"/>
    <xf numFmtId="166" fontId="6" fillId="64" borderId="1" xfId="93" applyNumberFormat="1" applyFont="1" applyFill="1" applyBorder="1"/>
    <xf numFmtId="0" fontId="143" fillId="40" borderId="0" xfId="42" applyFont="1">
      <alignment wrapText="1"/>
    </xf>
    <xf numFmtId="0" fontId="143" fillId="40" borderId="0" xfId="42" applyFont="1" applyAlignment="1">
      <alignment horizontal="center" wrapText="1"/>
    </xf>
    <xf numFmtId="0" fontId="109" fillId="0" borderId="0" xfId="0" applyFont="1"/>
    <xf numFmtId="165" fontId="111" fillId="106" borderId="76" xfId="92" applyFont="1" applyFill="1" applyBorder="1" applyAlignment="1">
      <alignment horizontal="center" vertical="center" wrapText="1"/>
    </xf>
    <xf numFmtId="167" fontId="111" fillId="106" borderId="76" xfId="92" applyNumberFormat="1" applyFont="1" applyFill="1" applyBorder="1" applyAlignment="1">
      <alignment horizontal="center" vertical="center" wrapText="1"/>
    </xf>
    <xf numFmtId="167" fontId="6" fillId="0" borderId="1" xfId="92" applyNumberFormat="1" applyFont="1" applyBorder="1"/>
    <xf numFmtId="167" fontId="52" fillId="80" borderId="0" xfId="94" applyNumberFormat="1" applyFont="1" applyFill="1"/>
    <xf numFmtId="0" fontId="0" fillId="106" borderId="0" xfId="0" applyFill="1"/>
    <xf numFmtId="0" fontId="27" fillId="106" borderId="0" xfId="0" applyFont="1" applyFill="1" applyAlignment="1">
      <alignment vertical="center"/>
    </xf>
    <xf numFmtId="0" fontId="105" fillId="106" borderId="82" xfId="0" applyFont="1" applyFill="1" applyBorder="1" applyAlignment="1">
      <alignment horizontal="center" vertical="center" wrapText="1"/>
    </xf>
    <xf numFmtId="0" fontId="105" fillId="106" borderId="80" xfId="0" applyFont="1" applyFill="1" applyBorder="1" applyAlignment="1">
      <alignment horizontal="center" vertical="center" wrapText="1"/>
    </xf>
    <xf numFmtId="0" fontId="105" fillId="106" borderId="81" xfId="0" applyFont="1" applyFill="1" applyBorder="1" applyAlignment="1">
      <alignment horizontal="center" vertical="center" wrapText="1"/>
    </xf>
    <xf numFmtId="0" fontId="144" fillId="106" borderId="81" xfId="0" applyFont="1" applyFill="1" applyBorder="1" applyAlignment="1">
      <alignment horizontal="center" vertical="center" wrapText="1"/>
    </xf>
    <xf numFmtId="10" fontId="0" fillId="106" borderId="0" xfId="0" applyNumberFormat="1" applyFill="1"/>
    <xf numFmtId="166" fontId="27" fillId="2" borderId="1" xfId="33" applyNumberFormat="1">
      <protection locked="0"/>
    </xf>
    <xf numFmtId="10" fontId="6" fillId="106" borderId="1" xfId="29" applyNumberFormat="1" applyFill="1"/>
    <xf numFmtId="10" fontId="6" fillId="106" borderId="1" xfId="30" applyNumberFormat="1" applyFill="1"/>
    <xf numFmtId="166" fontId="27" fillId="106" borderId="1" xfId="33" applyNumberFormat="1" applyFill="1">
      <protection locked="0"/>
    </xf>
    <xf numFmtId="10" fontId="6" fillId="106" borderId="1" xfId="31" applyNumberFormat="1" applyFill="1"/>
    <xf numFmtId="10" fontId="0" fillId="106" borderId="1" xfId="33" applyNumberFormat="1" applyFont="1" applyFill="1">
      <protection locked="0"/>
    </xf>
    <xf numFmtId="166" fontId="6" fillId="106" borderId="1" xfId="31" applyNumberFormat="1" applyFill="1"/>
    <xf numFmtId="0" fontId="6" fillId="0" borderId="1" xfId="28" applyAlignment="1">
      <alignment horizontal="left" wrapText="1"/>
    </xf>
    <xf numFmtId="10" fontId="8" fillId="106" borderId="1" xfId="30" applyNumberFormat="1" applyFont="1" applyFill="1" applyAlignment="1">
      <alignment vertical="center"/>
    </xf>
    <xf numFmtId="0" fontId="146" fillId="106" borderId="0" xfId="0" applyFont="1" applyFill="1" applyAlignment="1">
      <alignment horizontal="left" vertical="center"/>
    </xf>
    <xf numFmtId="0" fontId="6" fillId="106" borderId="1" xfId="28" applyFill="1" applyAlignment="1">
      <alignment vertical="center"/>
    </xf>
    <xf numFmtId="168" fontId="6" fillId="106" borderId="1" xfId="31" applyNumberFormat="1" applyFill="1"/>
    <xf numFmtId="168" fontId="6" fillId="106" borderId="1" xfId="32" applyNumberFormat="1" applyFill="1"/>
    <xf numFmtId="168" fontId="27" fillId="106" borderId="1" xfId="33" applyNumberFormat="1" applyFill="1">
      <protection locked="0"/>
    </xf>
    <xf numFmtId="0" fontId="132" fillId="106" borderId="0" xfId="38" applyFill="1" applyBorder="1"/>
    <xf numFmtId="0" fontId="147" fillId="106" borderId="0" xfId="0" applyFont="1" applyFill="1" applyAlignment="1">
      <alignment horizontal="left" vertical="center"/>
    </xf>
    <xf numFmtId="0" fontId="110" fillId="40" borderId="79" xfId="0" applyFont="1" applyFill="1" applyBorder="1" applyAlignment="1">
      <alignment horizontal="center" vertical="center" wrapText="1"/>
    </xf>
    <xf numFmtId="0" fontId="110" fillId="40" borderId="102" xfId="0" applyFont="1" applyFill="1" applyBorder="1" applyAlignment="1">
      <alignment horizontal="center" vertical="center" wrapText="1"/>
    </xf>
    <xf numFmtId="0" fontId="110" fillId="40" borderId="103" xfId="0" applyFont="1" applyFill="1" applyBorder="1" applyAlignment="1">
      <alignment horizontal="center" vertical="center" wrapText="1"/>
    </xf>
    <xf numFmtId="0" fontId="110" fillId="40" borderId="104" xfId="0" applyFont="1" applyFill="1" applyBorder="1" applyAlignment="1">
      <alignment horizontal="center" vertical="center" wrapText="1"/>
    </xf>
    <xf numFmtId="0" fontId="110" fillId="40" borderId="105" xfId="0" applyFont="1" applyFill="1" applyBorder="1" applyAlignment="1">
      <alignment horizontal="center" vertical="center" wrapText="1"/>
    </xf>
    <xf numFmtId="0" fontId="27" fillId="106" borderId="76" xfId="0" applyFont="1" applyFill="1" applyBorder="1" applyAlignment="1">
      <alignment horizontal="center" vertical="center" wrapText="1"/>
    </xf>
    <xf numFmtId="168" fontId="111" fillId="119" borderId="76" xfId="93" applyNumberFormat="1" applyFont="1" applyFill="1" applyBorder="1" applyAlignment="1">
      <alignment horizontal="center" vertical="center" wrapText="1"/>
    </xf>
    <xf numFmtId="2" fontId="111" fillId="119" borderId="76" xfId="93" applyNumberFormat="1" applyFont="1" applyFill="1" applyBorder="1" applyAlignment="1">
      <alignment horizontal="center" vertical="center" wrapText="1"/>
    </xf>
    <xf numFmtId="0" fontId="27" fillId="106" borderId="76" xfId="0" applyFont="1" applyFill="1" applyBorder="1" applyAlignment="1">
      <alignment horizontal="center" vertical="center"/>
    </xf>
    <xf numFmtId="1" fontId="111" fillId="119" borderId="76" xfId="93" applyNumberFormat="1" applyFont="1" applyFill="1" applyBorder="1" applyAlignment="1">
      <alignment horizontal="center" vertical="center" wrapText="1"/>
    </xf>
    <xf numFmtId="0" fontId="27" fillId="106" borderId="106" xfId="0" applyFont="1" applyFill="1" applyBorder="1" applyAlignment="1">
      <alignment vertical="center" wrapText="1"/>
    </xf>
    <xf numFmtId="0" fontId="27" fillId="106" borderId="107" xfId="0" applyFont="1" applyFill="1" applyBorder="1" applyAlignment="1">
      <alignment horizontal="center" vertical="center" wrapText="1"/>
    </xf>
    <xf numFmtId="0" fontId="105" fillId="106" borderId="108" xfId="0" applyFont="1" applyFill="1" applyBorder="1" applyAlignment="1">
      <alignment horizontal="center" vertical="center"/>
    </xf>
    <xf numFmtId="0" fontId="27" fillId="106" borderId="109" xfId="0" applyFont="1" applyFill="1" applyBorder="1" applyAlignment="1">
      <alignment vertical="center" wrapText="1"/>
    </xf>
    <xf numFmtId="0" fontId="105" fillId="106" borderId="110" xfId="0" applyFont="1" applyFill="1" applyBorder="1" applyAlignment="1">
      <alignment horizontal="center" vertical="center"/>
    </xf>
    <xf numFmtId="10" fontId="105" fillId="106" borderId="110" xfId="0" applyNumberFormat="1" applyFont="1" applyFill="1" applyBorder="1" applyAlignment="1">
      <alignment horizontal="center" vertical="center" wrapText="1"/>
    </xf>
    <xf numFmtId="0" fontId="27" fillId="106" borderId="109" xfId="0" applyFont="1" applyFill="1" applyBorder="1" applyAlignment="1">
      <alignment vertical="center"/>
    </xf>
    <xf numFmtId="0" fontId="27" fillId="106" borderId="111" xfId="0" applyFont="1" applyFill="1" applyBorder="1" applyAlignment="1">
      <alignment vertical="center"/>
    </xf>
    <xf numFmtId="0" fontId="27" fillId="106" borderId="112" xfId="0" applyFont="1" applyFill="1" applyBorder="1" applyAlignment="1">
      <alignment horizontal="center" vertical="center"/>
    </xf>
    <xf numFmtId="0" fontId="105" fillId="106" borderId="113" xfId="0" applyFont="1" applyFill="1" applyBorder="1" applyAlignment="1">
      <alignment horizontal="center" vertical="center"/>
    </xf>
    <xf numFmtId="0" fontId="27" fillId="106" borderId="108" xfId="0" applyFont="1" applyFill="1" applyBorder="1" applyAlignment="1">
      <alignment horizontal="center" vertical="center" wrapText="1"/>
    </xf>
    <xf numFmtId="0" fontId="27" fillId="106" borderId="110" xfId="0" applyFont="1" applyFill="1" applyBorder="1" applyAlignment="1">
      <alignment horizontal="center" vertical="center" wrapText="1"/>
    </xf>
    <xf numFmtId="0" fontId="27" fillId="106" borderId="110" xfId="0" applyFont="1" applyFill="1" applyBorder="1" applyAlignment="1">
      <alignment horizontal="center" vertical="center"/>
    </xf>
    <xf numFmtId="0" fontId="27" fillId="106" borderId="113" xfId="0" applyFont="1" applyFill="1" applyBorder="1" applyAlignment="1">
      <alignment horizontal="center" vertical="center"/>
    </xf>
    <xf numFmtId="0" fontId="105" fillId="106" borderId="114" xfId="0" applyFont="1" applyFill="1" applyBorder="1" applyAlignment="1">
      <alignment horizontal="center" vertical="center" wrapText="1"/>
    </xf>
    <xf numFmtId="0" fontId="105" fillId="106" borderId="115" xfId="0" applyFont="1" applyFill="1" applyBorder="1" applyAlignment="1">
      <alignment horizontal="center" vertical="center" wrapText="1"/>
    </xf>
    <xf numFmtId="10" fontId="105" fillId="106" borderId="115" xfId="0" applyNumberFormat="1" applyFont="1" applyFill="1" applyBorder="1" applyAlignment="1">
      <alignment horizontal="center" vertical="center" wrapText="1"/>
    </xf>
    <xf numFmtId="0" fontId="105" fillId="106" borderId="116" xfId="0" applyFont="1" applyFill="1" applyBorder="1" applyAlignment="1">
      <alignment horizontal="center" vertical="center" wrapText="1"/>
    </xf>
    <xf numFmtId="0" fontId="0" fillId="106" borderId="5" xfId="0" applyFill="1" applyBorder="1"/>
    <xf numFmtId="0" fontId="34" fillId="106" borderId="0" xfId="86" applyFill="1"/>
    <xf numFmtId="10" fontId="34" fillId="106" borderId="0" xfId="93" applyNumberFormat="1" applyFont="1" applyFill="1"/>
    <xf numFmtId="9" fontId="34" fillId="106" borderId="0" xfId="93" applyFont="1" applyFill="1"/>
    <xf numFmtId="9" fontId="0" fillId="106" borderId="0" xfId="0" applyNumberFormat="1" applyFill="1"/>
    <xf numFmtId="167" fontId="111" fillId="106" borderId="76" xfId="92" applyNumberFormat="1" applyFont="1" applyFill="1" applyBorder="1" applyAlignment="1">
      <alignment horizontal="right" vertical="center" wrapText="1"/>
    </xf>
    <xf numFmtId="167" fontId="111" fillId="119" borderId="76" xfId="92" applyNumberFormat="1" applyFont="1" applyFill="1" applyBorder="1" applyAlignment="1">
      <alignment horizontal="right" vertical="center" wrapText="1"/>
    </xf>
    <xf numFmtId="0" fontId="110" fillId="40" borderId="104" xfId="0" applyFont="1" applyFill="1" applyBorder="1" applyAlignment="1">
      <alignment horizontal="right" vertical="center" wrapText="1"/>
    </xf>
    <xf numFmtId="0" fontId="110" fillId="40" borderId="105" xfId="0" applyFont="1" applyFill="1" applyBorder="1" applyAlignment="1">
      <alignment horizontal="right" vertical="center" wrapText="1"/>
    </xf>
    <xf numFmtId="0" fontId="27" fillId="106" borderId="117" xfId="0" applyFont="1" applyFill="1" applyBorder="1" applyAlignment="1">
      <alignment vertical="center" wrapText="1"/>
    </xf>
    <xf numFmtId="0" fontId="27" fillId="106" borderId="118" xfId="0" applyFont="1" applyFill="1" applyBorder="1" applyAlignment="1">
      <alignment horizontal="center" vertical="center" wrapText="1"/>
    </xf>
    <xf numFmtId="165" fontId="111" fillId="119" borderId="118" xfId="92" applyFont="1" applyFill="1" applyBorder="1" applyAlignment="1">
      <alignment horizontal="center" vertical="center" wrapText="1"/>
    </xf>
    <xf numFmtId="165" fontId="111" fillId="106" borderId="118" xfId="92" applyFont="1" applyFill="1" applyBorder="1" applyAlignment="1">
      <alignment horizontal="center" vertical="center" wrapText="1"/>
    </xf>
    <xf numFmtId="165" fontId="111" fillId="106" borderId="119" xfId="92" applyFont="1" applyFill="1" applyBorder="1" applyAlignment="1">
      <alignment horizontal="center" vertical="center" wrapText="1"/>
    </xf>
    <xf numFmtId="167" fontId="111" fillId="119" borderId="118" xfId="92" applyNumberFormat="1" applyFont="1" applyFill="1" applyBorder="1" applyAlignment="1">
      <alignment horizontal="center" vertical="center" wrapText="1"/>
    </xf>
    <xf numFmtId="167" fontId="111" fillId="106" borderId="118" xfId="92" applyNumberFormat="1" applyFont="1" applyFill="1" applyBorder="1" applyAlignment="1">
      <alignment horizontal="center" vertical="center" wrapText="1"/>
    </xf>
    <xf numFmtId="167" fontId="111" fillId="106" borderId="119" xfId="92" applyNumberFormat="1" applyFont="1" applyFill="1" applyBorder="1" applyAlignment="1">
      <alignment horizontal="center" vertical="center" wrapText="1"/>
    </xf>
    <xf numFmtId="0" fontId="138" fillId="106" borderId="117" xfId="0" applyFont="1" applyFill="1" applyBorder="1" applyAlignment="1">
      <alignment horizontal="left" vertical="center" wrapText="1" indent="1"/>
    </xf>
    <xf numFmtId="0" fontId="138" fillId="106" borderId="118" xfId="0" applyFont="1" applyFill="1" applyBorder="1" applyAlignment="1">
      <alignment horizontal="center" vertical="center" wrapText="1"/>
    </xf>
    <xf numFmtId="167" fontId="139" fillId="119" borderId="118" xfId="92" applyNumberFormat="1" applyFont="1" applyFill="1" applyBorder="1" applyAlignment="1">
      <alignment horizontal="right" vertical="center" wrapText="1"/>
    </xf>
    <xf numFmtId="167" fontId="139" fillId="106" borderId="118" xfId="92" applyNumberFormat="1" applyFont="1" applyFill="1" applyBorder="1" applyAlignment="1">
      <alignment horizontal="right" vertical="center" wrapText="1"/>
    </xf>
    <xf numFmtId="167" fontId="139" fillId="106" borderId="119" xfId="92" applyNumberFormat="1" applyFont="1" applyFill="1" applyBorder="1" applyAlignment="1">
      <alignment horizontal="right" vertical="center" wrapText="1"/>
    </xf>
    <xf numFmtId="166" fontId="111" fillId="119" borderId="118" xfId="93" applyNumberFormat="1" applyFont="1" applyFill="1" applyBorder="1" applyAlignment="1">
      <alignment horizontal="right" vertical="center" wrapText="1"/>
    </xf>
    <xf numFmtId="166" fontId="111" fillId="106" borderId="118" xfId="93" applyNumberFormat="1" applyFont="1" applyFill="1" applyBorder="1" applyAlignment="1">
      <alignment horizontal="right" vertical="center" wrapText="1"/>
    </xf>
    <xf numFmtId="166" fontId="111" fillId="106" borderId="119" xfId="93" applyNumberFormat="1" applyFont="1" applyFill="1" applyBorder="1" applyAlignment="1">
      <alignment horizontal="right" vertical="center" wrapText="1"/>
    </xf>
    <xf numFmtId="10" fontId="111" fillId="119" borderId="118" xfId="93" applyNumberFormat="1" applyFont="1" applyFill="1" applyBorder="1" applyAlignment="1">
      <alignment horizontal="right" vertical="center" wrapText="1"/>
    </xf>
    <xf numFmtId="10" fontId="111" fillId="106" borderId="118" xfId="93" applyNumberFormat="1" applyFont="1" applyFill="1" applyBorder="1" applyAlignment="1">
      <alignment horizontal="right" vertical="center" wrapText="1"/>
    </xf>
    <xf numFmtId="10" fontId="111" fillId="106" borderId="119" xfId="93" applyNumberFormat="1" applyFont="1" applyFill="1" applyBorder="1" applyAlignment="1">
      <alignment horizontal="right" vertical="center" wrapText="1"/>
    </xf>
    <xf numFmtId="1" fontId="0" fillId="106" borderId="118" xfId="0" applyNumberFormat="1" applyFill="1" applyBorder="1" applyAlignment="1">
      <alignment horizontal="center" vertical="center" wrapText="1"/>
    </xf>
    <xf numFmtId="0" fontId="0" fillId="106" borderId="118" xfId="0" applyFill="1" applyBorder="1" applyAlignment="1">
      <alignment horizontal="center" vertical="center" wrapText="1"/>
    </xf>
    <xf numFmtId="168" fontId="6" fillId="106" borderId="1" xfId="28" applyNumberFormat="1" applyFill="1" applyAlignment="1">
      <alignment vertical="center"/>
    </xf>
    <xf numFmtId="165" fontId="105" fillId="106" borderId="118" xfId="0" applyNumberFormat="1" applyFont="1" applyFill="1" applyBorder="1" applyAlignment="1">
      <alignment vertical="center" wrapText="1"/>
    </xf>
    <xf numFmtId="165" fontId="105" fillId="106" borderId="119" xfId="0" applyNumberFormat="1" applyFont="1" applyFill="1" applyBorder="1" applyAlignment="1">
      <alignment vertical="center" wrapText="1"/>
    </xf>
    <xf numFmtId="167" fontId="105" fillId="106" borderId="118" xfId="0" applyNumberFormat="1" applyFont="1" applyFill="1" applyBorder="1" applyAlignment="1">
      <alignment vertical="center" wrapText="1"/>
    </xf>
    <xf numFmtId="167" fontId="105" fillId="106" borderId="119" xfId="0" applyNumberFormat="1" applyFont="1" applyFill="1" applyBorder="1" applyAlignment="1">
      <alignment vertical="center" wrapText="1"/>
    </xf>
    <xf numFmtId="9" fontId="105" fillId="106" borderId="118" xfId="93" applyFont="1" applyFill="1" applyBorder="1" applyAlignment="1">
      <alignment vertical="center" wrapText="1"/>
    </xf>
    <xf numFmtId="9" fontId="105" fillId="106" borderId="119" xfId="93" applyFont="1" applyFill="1" applyBorder="1" applyAlignment="1">
      <alignment vertical="center" wrapText="1"/>
    </xf>
    <xf numFmtId="165" fontId="105" fillId="106" borderId="118" xfId="0" applyNumberFormat="1" applyFont="1" applyFill="1" applyBorder="1" applyAlignment="1">
      <alignment horizontal="center" vertical="center" wrapText="1"/>
    </xf>
    <xf numFmtId="165" fontId="105" fillId="106" borderId="119" xfId="0" applyNumberFormat="1" applyFont="1" applyFill="1" applyBorder="1" applyAlignment="1">
      <alignment horizontal="center" vertical="center" wrapText="1"/>
    </xf>
    <xf numFmtId="0" fontId="145" fillId="40" borderId="104" xfId="0" applyFont="1" applyFill="1" applyBorder="1" applyAlignment="1">
      <alignment horizontal="center" vertical="center" wrapText="1"/>
    </xf>
    <xf numFmtId="0" fontId="145" fillId="40" borderId="105" xfId="0" applyFont="1" applyFill="1" applyBorder="1" applyAlignment="1">
      <alignment horizontal="center" vertical="center" wrapText="1"/>
    </xf>
    <xf numFmtId="1" fontId="6" fillId="106" borderId="1" xfId="30" applyNumberFormat="1" applyFill="1"/>
    <xf numFmtId="0" fontId="0" fillId="40" borderId="0" xfId="0" applyFill="1"/>
    <xf numFmtId="0" fontId="0" fillId="106" borderId="120" xfId="0" applyFill="1" applyBorder="1" applyAlignment="1">
      <alignment vertical="center" wrapText="1"/>
    </xf>
    <xf numFmtId="1" fontId="0" fillId="106" borderId="121" xfId="0" applyNumberFormat="1" applyFill="1" applyBorder="1" applyAlignment="1">
      <alignment horizontal="center" vertical="center" wrapText="1"/>
    </xf>
    <xf numFmtId="0" fontId="0" fillId="106" borderId="121" xfId="0" applyFill="1" applyBorder="1" applyAlignment="1">
      <alignment horizontal="center" vertical="center" wrapText="1"/>
    </xf>
    <xf numFmtId="167" fontId="111" fillId="119" borderId="107" xfId="92" applyNumberFormat="1" applyFont="1" applyFill="1" applyBorder="1" applyAlignment="1">
      <alignment horizontal="right" vertical="center" wrapText="1"/>
    </xf>
    <xf numFmtId="167" fontId="111" fillId="106" borderId="107" xfId="92" applyNumberFormat="1" applyFont="1" applyFill="1" applyBorder="1" applyAlignment="1">
      <alignment horizontal="right" vertical="center" wrapText="1"/>
    </xf>
    <xf numFmtId="167" fontId="111" fillId="106" borderId="108" xfId="92" applyNumberFormat="1" applyFont="1" applyFill="1" applyBorder="1" applyAlignment="1">
      <alignment horizontal="right" vertical="center" wrapText="1"/>
    </xf>
    <xf numFmtId="0" fontId="27" fillId="106" borderId="122" xfId="0" applyFont="1" applyFill="1" applyBorder="1" applyAlignment="1">
      <alignment vertical="center" wrapText="1"/>
    </xf>
    <xf numFmtId="167" fontId="111" fillId="106" borderId="110" xfId="92" applyNumberFormat="1" applyFont="1" applyFill="1" applyBorder="1" applyAlignment="1">
      <alignment horizontal="right" vertical="center" wrapText="1"/>
    </xf>
    <xf numFmtId="0" fontId="0" fillId="106" borderId="122" xfId="0" applyFill="1" applyBorder="1" applyAlignment="1">
      <alignment vertical="center" wrapText="1"/>
    </xf>
    <xf numFmtId="0" fontId="138" fillId="106" borderId="123" xfId="0" applyFont="1" applyFill="1" applyBorder="1" applyAlignment="1">
      <alignment horizontal="left" vertical="center" wrapText="1" indent="1"/>
    </xf>
    <xf numFmtId="0" fontId="27" fillId="106" borderId="124" xfId="0" applyFont="1" applyFill="1" applyBorder="1" applyAlignment="1">
      <alignment horizontal="center" vertical="center" wrapText="1"/>
    </xf>
    <xf numFmtId="167" fontId="111" fillId="119" borderId="124" xfId="92" applyNumberFormat="1" applyFont="1" applyFill="1" applyBorder="1" applyAlignment="1">
      <alignment horizontal="center" vertical="center" wrapText="1"/>
    </xf>
    <xf numFmtId="167" fontId="111" fillId="106" borderId="124" xfId="92" applyNumberFormat="1" applyFont="1" applyFill="1" applyBorder="1" applyAlignment="1">
      <alignment horizontal="center" vertical="center" wrapText="1"/>
    </xf>
    <xf numFmtId="167" fontId="111" fillId="106" borderId="125" xfId="92" applyNumberFormat="1" applyFont="1" applyFill="1" applyBorder="1" applyAlignment="1">
      <alignment horizontal="center" vertical="center" wrapText="1"/>
    </xf>
    <xf numFmtId="10" fontId="111" fillId="106" borderId="76" xfId="93" applyNumberFormat="1" applyFont="1" applyFill="1" applyBorder="1" applyAlignment="1">
      <alignment horizontal="center" vertical="center" wrapText="1"/>
    </xf>
    <xf numFmtId="165" fontId="111" fillId="106" borderId="76" xfId="92" applyFont="1" applyFill="1" applyBorder="1" applyAlignment="1">
      <alignment vertical="center" wrapText="1"/>
    </xf>
    <xf numFmtId="165" fontId="111" fillId="106" borderId="77" xfId="92" applyFont="1" applyFill="1" applyBorder="1" applyAlignment="1">
      <alignment vertical="center" wrapText="1"/>
    </xf>
    <xf numFmtId="168" fontId="111" fillId="64" borderId="126" xfId="93" applyNumberFormat="1" applyFont="1" applyFill="1" applyBorder="1" applyAlignment="1">
      <alignment horizontal="center" vertical="center" wrapText="1"/>
    </xf>
    <xf numFmtId="10" fontId="111" fillId="64" borderId="127" xfId="93" applyNumberFormat="1" applyFont="1" applyFill="1" applyBorder="1" applyAlignment="1">
      <alignment horizontal="center" vertical="center" wrapText="1"/>
    </xf>
    <xf numFmtId="168" fontId="109" fillId="64" borderId="20" xfId="0" applyNumberFormat="1" applyFont="1" applyFill="1" applyBorder="1" applyAlignment="1">
      <alignment horizontal="center" vertical="center"/>
    </xf>
    <xf numFmtId="0" fontId="79" fillId="64" borderId="1" xfId="32" applyFont="1" applyAlignment="1">
      <alignment horizontal="left"/>
    </xf>
    <xf numFmtId="1" fontId="80" fillId="67" borderId="1" xfId="93" applyNumberFormat="1" applyFont="1" applyFill="1" applyBorder="1"/>
    <xf numFmtId="0" fontId="101" fillId="116" borderId="103" xfId="0" applyFont="1" applyFill="1" applyBorder="1"/>
    <xf numFmtId="0" fontId="110" fillId="116" borderId="102" xfId="0" applyFont="1" applyFill="1" applyBorder="1" applyAlignment="1">
      <alignment horizontal="center" vertical="center" wrapText="1"/>
    </xf>
    <xf numFmtId="0" fontId="141" fillId="121" borderId="80" xfId="0" applyFont="1" applyFill="1" applyBorder="1" applyAlignment="1">
      <alignment vertical="center"/>
    </xf>
    <xf numFmtId="1" fontId="141" fillId="121" borderId="81" xfId="0" applyNumberFormat="1" applyFont="1" applyFill="1" applyBorder="1" applyAlignment="1">
      <alignment horizontal="center" vertical="center"/>
    </xf>
    <xf numFmtId="1" fontId="141" fillId="121" borderId="82" xfId="0" applyNumberFormat="1" applyFont="1" applyFill="1" applyBorder="1" applyAlignment="1">
      <alignment horizontal="center" vertical="center"/>
    </xf>
    <xf numFmtId="1" fontId="27" fillId="0" borderId="81" xfId="0" applyNumberFormat="1" applyFont="1" applyBorder="1" applyAlignment="1">
      <alignment horizontal="center" vertical="center"/>
    </xf>
    <xf numFmtId="1" fontId="27" fillId="0" borderId="82" xfId="0" applyNumberFormat="1" applyFont="1" applyBorder="1" applyAlignment="1">
      <alignment horizontal="center" vertical="center"/>
    </xf>
    <xf numFmtId="2" fontId="26" fillId="0" borderId="0" xfId="0" applyNumberFormat="1" applyFont="1"/>
    <xf numFmtId="1" fontId="26" fillId="0" borderId="0" xfId="0" applyNumberFormat="1" applyFont="1"/>
    <xf numFmtId="0" fontId="110" fillId="40" borderId="104" xfId="0" applyFont="1" applyFill="1" applyBorder="1" applyAlignment="1">
      <alignment horizontal="left" vertical="center" wrapText="1"/>
    </xf>
    <xf numFmtId="0" fontId="110" fillId="40" borderId="105" xfId="0" applyFont="1" applyFill="1" applyBorder="1" applyAlignment="1">
      <alignment horizontal="left" vertical="center" wrapText="1"/>
    </xf>
    <xf numFmtId="0" fontId="26" fillId="0" borderId="0" xfId="0" applyFont="1" applyAlignment="1">
      <alignment wrapText="1"/>
    </xf>
    <xf numFmtId="0" fontId="149" fillId="106" borderId="0" xfId="0" applyFont="1" applyFill="1"/>
    <xf numFmtId="0" fontId="145" fillId="116" borderId="75" xfId="0" applyFont="1" applyFill="1" applyBorder="1" applyAlignment="1">
      <alignment horizontal="center" vertical="center" wrapText="1"/>
    </xf>
    <xf numFmtId="0" fontId="145" fillId="116" borderId="74" xfId="0" applyFont="1" applyFill="1" applyBorder="1" applyAlignment="1">
      <alignment horizontal="center" vertical="center" wrapText="1"/>
    </xf>
    <xf numFmtId="168" fontId="111" fillId="64" borderId="128" xfId="93" applyNumberFormat="1" applyFont="1" applyFill="1" applyBorder="1" applyAlignment="1">
      <alignment horizontal="center" vertical="center" wrapText="1"/>
    </xf>
    <xf numFmtId="10" fontId="111" fillId="64" borderId="128" xfId="93" applyNumberFormat="1" applyFont="1" applyFill="1" applyBorder="1" applyAlignment="1">
      <alignment horizontal="center" vertical="center" wrapText="1"/>
    </xf>
    <xf numFmtId="10" fontId="111" fillId="119" borderId="75" xfId="93" applyNumberFormat="1" applyFont="1" applyFill="1" applyBorder="1" applyAlignment="1">
      <alignment horizontal="center" vertical="center" wrapText="1"/>
    </xf>
    <xf numFmtId="174" fontId="111" fillId="119" borderId="75" xfId="92" applyNumberFormat="1" applyFont="1" applyFill="1" applyBorder="1" applyAlignment="1">
      <alignment horizontal="center" vertical="center" wrapText="1"/>
    </xf>
    <xf numFmtId="174" fontId="111" fillId="106" borderId="76" xfId="92" applyNumberFormat="1" applyFont="1" applyFill="1" applyBorder="1" applyAlignment="1">
      <alignment horizontal="center" vertical="center" wrapText="1"/>
    </xf>
    <xf numFmtId="174" fontId="111" fillId="106" borderId="77" xfId="92" applyNumberFormat="1" applyFont="1" applyFill="1" applyBorder="1" applyAlignment="1">
      <alignment horizontal="center" vertical="center" wrapText="1"/>
    </xf>
    <xf numFmtId="167" fontId="111" fillId="119" borderId="75" xfId="92" applyNumberFormat="1" applyFont="1" applyFill="1" applyBorder="1" applyAlignment="1">
      <alignment horizontal="center" vertical="center" wrapText="1"/>
    </xf>
    <xf numFmtId="167" fontId="111" fillId="106" borderId="77" xfId="92" applyNumberFormat="1" applyFont="1" applyFill="1" applyBorder="1" applyAlignment="1">
      <alignment horizontal="center" vertical="center" wrapText="1"/>
    </xf>
    <xf numFmtId="165" fontId="111" fillId="119" borderId="75" xfId="92" applyFont="1" applyFill="1" applyBorder="1" applyAlignment="1">
      <alignment horizontal="center" vertical="center" wrapText="1"/>
    </xf>
    <xf numFmtId="165" fontId="111" fillId="106" borderId="77" xfId="92" applyFont="1" applyFill="1" applyBorder="1" applyAlignment="1">
      <alignment horizontal="center" vertical="center" wrapText="1"/>
    </xf>
    <xf numFmtId="0" fontId="0" fillId="0" borderId="12" xfId="40" applyFont="1" applyBorder="1" applyAlignment="1">
      <alignment horizontal="center"/>
    </xf>
    <xf numFmtId="0" fontId="0" fillId="106" borderId="12" xfId="40" applyFont="1" applyFill="1" applyBorder="1" applyAlignment="1">
      <alignment horizontal="left" vertical="top" wrapText="1"/>
    </xf>
    <xf numFmtId="0" fontId="0" fillId="0" borderId="12" xfId="40" applyFont="1" applyBorder="1" applyAlignment="1">
      <alignment horizontal="left" vertical="top"/>
    </xf>
    <xf numFmtId="0" fontId="0" fillId="0" borderId="130" xfId="40" applyFont="1" applyBorder="1" applyAlignment="1">
      <alignment horizontal="left" vertical="top" wrapText="1"/>
    </xf>
    <xf numFmtId="9" fontId="0" fillId="64" borderId="33" xfId="32" applyNumberFormat="1" applyFont="1" applyBorder="1" applyAlignment="1">
      <alignment horizontal="left" vertical="top" wrapText="1"/>
    </xf>
    <xf numFmtId="9" fontId="6" fillId="86" borderId="33" xfId="30" applyNumberFormat="1" applyFill="1" applyBorder="1" applyAlignment="1">
      <alignment horizontal="left" vertical="top" wrapText="1"/>
    </xf>
    <xf numFmtId="9" fontId="0" fillId="67" borderId="33" xfId="93" applyFont="1" applyFill="1" applyBorder="1" applyAlignment="1">
      <alignment horizontal="right" vertical="top" wrapText="1"/>
    </xf>
    <xf numFmtId="9" fontId="0" fillId="66" borderId="33" xfId="29" applyNumberFormat="1" applyFont="1" applyBorder="1" applyAlignment="1">
      <alignment horizontal="left" vertical="top" wrapText="1"/>
    </xf>
    <xf numFmtId="9" fontId="0" fillId="67" borderId="33" xfId="30" applyNumberFormat="1" applyFont="1" applyBorder="1" applyAlignment="1">
      <alignment horizontal="left" vertical="top" wrapText="1"/>
    </xf>
    <xf numFmtId="0" fontId="0" fillId="2" borderId="33" xfId="33" applyNumberFormat="1" applyFont="1" applyBorder="1" applyAlignment="1">
      <alignment horizontal="left" vertical="top" wrapText="1"/>
      <protection locked="0"/>
    </xf>
    <xf numFmtId="9" fontId="0" fillId="3" borderId="33" xfId="34" applyNumberFormat="1" applyFont="1" applyBorder="1" applyAlignment="1">
      <alignment horizontal="left" vertical="top" wrapText="1"/>
    </xf>
    <xf numFmtId="168" fontId="0" fillId="64" borderId="33" xfId="32" applyNumberFormat="1" applyFont="1" applyBorder="1"/>
    <xf numFmtId="168" fontId="6" fillId="64" borderId="33" xfId="32" applyNumberFormat="1" applyBorder="1"/>
    <xf numFmtId="168" fontId="0" fillId="63" borderId="33" xfId="31" applyNumberFormat="1" applyFont="1" applyBorder="1" applyAlignment="1"/>
    <xf numFmtId="168" fontId="0" fillId="66" borderId="33" xfId="29" applyNumberFormat="1" applyFont="1" applyBorder="1" applyAlignment="1"/>
    <xf numFmtId="1" fontId="0" fillId="102" borderId="33" xfId="32" applyNumberFormat="1" applyFont="1" applyFill="1" applyBorder="1" applyAlignment="1"/>
    <xf numFmtId="9" fontId="0" fillId="0" borderId="33" xfId="93" applyFont="1" applyBorder="1" applyProtection="1">
      <protection locked="0"/>
    </xf>
    <xf numFmtId="9" fontId="0" fillId="67" borderId="33" xfId="30" applyNumberFormat="1" applyFont="1" applyBorder="1"/>
    <xf numFmtId="1" fontId="0" fillId="0" borderId="33" xfId="36" applyNumberFormat="1" applyFont="1" applyBorder="1">
      <protection locked="0"/>
    </xf>
    <xf numFmtId="168" fontId="0" fillId="63" borderId="33" xfId="31" applyNumberFormat="1" applyFont="1" applyBorder="1"/>
    <xf numFmtId="168" fontId="0" fillId="67" borderId="33" xfId="30" applyNumberFormat="1" applyFont="1" applyBorder="1"/>
    <xf numFmtId="9" fontId="0" fillId="66" borderId="33" xfId="29" applyNumberFormat="1" applyFont="1" applyBorder="1"/>
    <xf numFmtId="9" fontId="0" fillId="63" borderId="33" xfId="31" applyNumberFormat="1" applyFont="1" applyBorder="1"/>
    <xf numFmtId="1" fontId="0" fillId="63" borderId="33" xfId="31" applyNumberFormat="1" applyFont="1" applyBorder="1"/>
    <xf numFmtId="1" fontId="6" fillId="64" borderId="33" xfId="32" applyNumberFormat="1" applyBorder="1"/>
    <xf numFmtId="2" fontId="0" fillId="66" borderId="33" xfId="29" applyNumberFormat="1" applyFont="1" applyBorder="1"/>
    <xf numFmtId="2" fontId="0" fillId="67" borderId="33" xfId="30" applyNumberFormat="1" applyFont="1" applyBorder="1"/>
    <xf numFmtId="1" fontId="0" fillId="85" borderId="34" xfId="29" applyNumberFormat="1" applyFont="1" applyFill="1" applyBorder="1"/>
    <xf numFmtId="0" fontId="0" fillId="2" borderId="33" xfId="33" applyNumberFormat="1" applyFont="1" applyBorder="1">
      <protection locked="0"/>
    </xf>
    <xf numFmtId="0" fontId="0" fillId="106" borderId="33" xfId="33" applyNumberFormat="1" applyFont="1" applyFill="1" applyBorder="1">
      <protection locked="0"/>
    </xf>
    <xf numFmtId="0" fontId="0" fillId="0" borderId="131" xfId="40" applyFont="1" applyBorder="1" applyAlignment="1">
      <alignment horizontal="center" vertical="top" wrapText="1"/>
    </xf>
    <xf numFmtId="9" fontId="0" fillId="2" borderId="33" xfId="33" applyNumberFormat="1" applyFont="1" applyBorder="1" applyAlignment="1">
      <alignment horizontal="center" vertical="top" wrapText="1"/>
      <protection locked="0"/>
    </xf>
    <xf numFmtId="0" fontId="0" fillId="2" borderId="38" xfId="33" applyNumberFormat="1" applyFont="1" applyBorder="1" applyAlignment="1">
      <alignment horizontal="left" vertical="top" wrapText="1"/>
      <protection locked="0"/>
    </xf>
    <xf numFmtId="9" fontId="0" fillId="2" borderId="38" xfId="33" applyNumberFormat="1" applyFont="1" applyBorder="1" applyAlignment="1">
      <alignment horizontal="left" vertical="top" wrapText="1"/>
      <protection locked="0"/>
    </xf>
    <xf numFmtId="9" fontId="6" fillId="86" borderId="38" xfId="30" applyNumberFormat="1" applyFill="1" applyBorder="1" applyAlignment="1">
      <alignment horizontal="left" vertical="top" wrapText="1"/>
    </xf>
    <xf numFmtId="9" fontId="0" fillId="63" borderId="38" xfId="31" applyNumberFormat="1" applyFont="1" applyBorder="1" applyAlignment="1">
      <alignment horizontal="right" vertical="top" wrapText="1"/>
    </xf>
    <xf numFmtId="9" fontId="0" fillId="64" borderId="38" xfId="32" applyNumberFormat="1" applyFont="1" applyBorder="1" applyAlignment="1">
      <alignment horizontal="left" vertical="top" wrapText="1"/>
    </xf>
    <xf numFmtId="9" fontId="0" fillId="66" borderId="38" xfId="29" applyNumberFormat="1" applyFont="1" applyBorder="1" applyAlignment="1">
      <alignment horizontal="left" vertical="top" wrapText="1"/>
    </xf>
    <xf numFmtId="9" fontId="0" fillId="67" borderId="38" xfId="30" applyNumberFormat="1" applyFont="1" applyBorder="1" applyAlignment="1">
      <alignment horizontal="left" vertical="top" wrapText="1"/>
    </xf>
    <xf numFmtId="9" fontId="27" fillId="2" borderId="38" xfId="33" applyNumberFormat="1" applyBorder="1" applyAlignment="1">
      <alignment horizontal="left" vertical="top" wrapText="1"/>
      <protection locked="0"/>
    </xf>
    <xf numFmtId="9" fontId="0" fillId="3" borderId="38" xfId="34" applyNumberFormat="1" applyFont="1" applyBorder="1" applyAlignment="1">
      <alignment horizontal="left" vertical="top" wrapText="1"/>
    </xf>
    <xf numFmtId="168" fontId="0" fillId="63" borderId="38" xfId="31" applyNumberFormat="1" applyFont="1" applyBorder="1"/>
    <xf numFmtId="168" fontId="6" fillId="64" borderId="38" xfId="32" applyNumberFormat="1" applyBorder="1"/>
    <xf numFmtId="168" fontId="6" fillId="67" borderId="38" xfId="30" applyNumberFormat="1" applyBorder="1" applyAlignment="1"/>
    <xf numFmtId="168" fontId="0" fillId="66" borderId="38" xfId="29" applyNumberFormat="1" applyFont="1" applyBorder="1" applyAlignment="1"/>
    <xf numFmtId="1" fontId="0" fillId="102" borderId="38" xfId="32" applyNumberFormat="1" applyFont="1" applyFill="1" applyBorder="1" applyAlignment="1"/>
    <xf numFmtId="168" fontId="0" fillId="64" borderId="38" xfId="32" applyNumberFormat="1" applyFont="1" applyBorder="1"/>
    <xf numFmtId="9" fontId="0" fillId="4" borderId="38" xfId="35" applyNumberFormat="1" applyFont="1" applyBorder="1">
      <protection locked="0"/>
    </xf>
    <xf numFmtId="9" fontId="0" fillId="67" borderId="38" xfId="30" applyNumberFormat="1" applyFont="1" applyBorder="1"/>
    <xf numFmtId="168" fontId="0" fillId="67" borderId="38" xfId="30" applyNumberFormat="1" applyFont="1" applyBorder="1"/>
    <xf numFmtId="9" fontId="0" fillId="2" borderId="38" xfId="33" applyNumberFormat="1" applyFont="1" applyBorder="1">
      <protection locked="0"/>
    </xf>
    <xf numFmtId="9" fontId="0" fillId="63" borderId="38" xfId="31" applyNumberFormat="1" applyFont="1" applyBorder="1"/>
    <xf numFmtId="1" fontId="0" fillId="63" borderId="38" xfId="31" applyNumberFormat="1" applyFont="1" applyBorder="1"/>
    <xf numFmtId="1" fontId="6" fillId="64" borderId="38" xfId="32" applyNumberFormat="1" applyBorder="1"/>
    <xf numFmtId="2" fontId="6" fillId="63" borderId="38" xfId="31" applyNumberFormat="1" applyBorder="1"/>
    <xf numFmtId="2" fontId="0" fillId="67" borderId="38" xfId="30" applyNumberFormat="1" applyFont="1" applyBorder="1"/>
    <xf numFmtId="2" fontId="6" fillId="64" borderId="38" xfId="32" applyNumberFormat="1" applyBorder="1"/>
    <xf numFmtId="2" fontId="6" fillId="67" borderId="38" xfId="30" applyNumberFormat="1" applyBorder="1"/>
    <xf numFmtId="168" fontId="6" fillId="66" borderId="38" xfId="29" applyNumberFormat="1" applyBorder="1"/>
    <xf numFmtId="0" fontId="0" fillId="0" borderId="38" xfId="28" applyNumberFormat="1" applyFont="1" applyBorder="1"/>
    <xf numFmtId="9" fontId="0" fillId="2" borderId="129" xfId="33" applyNumberFormat="1" applyFont="1" applyBorder="1" applyAlignment="1">
      <alignment horizontal="center" vertical="center" wrapText="1"/>
      <protection locked="0"/>
    </xf>
    <xf numFmtId="168" fontId="0" fillId="77" borderId="0" xfId="29" applyNumberFormat="1" applyFont="1" applyFill="1" applyBorder="1" applyAlignment="1"/>
    <xf numFmtId="0" fontId="31" fillId="77" borderId="0" xfId="40" applyFont="1" applyFill="1" applyBorder="1" applyAlignment="1">
      <alignment horizontal="center"/>
    </xf>
    <xf numFmtId="0" fontId="31" fillId="77" borderId="0" xfId="40" applyFont="1" applyFill="1" applyBorder="1" applyAlignment="1">
      <alignment horizontal="left" vertical="top" wrapText="1"/>
    </xf>
    <xf numFmtId="0" fontId="31" fillId="77" borderId="0" xfId="40" applyFont="1" applyFill="1" applyBorder="1" applyAlignment="1">
      <alignment horizontal="center" vertical="top"/>
    </xf>
    <xf numFmtId="0" fontId="31" fillId="77" borderId="0" xfId="40" applyFont="1" applyFill="1" applyBorder="1" applyAlignment="1">
      <alignment horizontal="left" vertical="top"/>
    </xf>
    <xf numFmtId="168" fontId="152" fillId="77" borderId="0" xfId="52" applyNumberFormat="1" applyFont="1" applyFill="1" applyBorder="1" applyAlignment="1" applyProtection="1">
      <alignment horizontal="center"/>
    </xf>
    <xf numFmtId="9" fontId="31" fillId="77" borderId="0" xfId="32" applyNumberFormat="1" applyFont="1" applyFill="1" applyBorder="1" applyAlignment="1">
      <alignment horizontal="left" vertical="top" wrapText="1"/>
    </xf>
    <xf numFmtId="9" fontId="153" fillId="77" borderId="0" xfId="30" applyNumberFormat="1" applyFont="1" applyFill="1" applyBorder="1" applyAlignment="1">
      <alignment horizontal="left" vertical="top" wrapText="1"/>
    </xf>
    <xf numFmtId="9" fontId="31" fillId="77" borderId="0" xfId="93" applyFont="1" applyFill="1" applyBorder="1" applyAlignment="1">
      <alignment horizontal="right" vertical="top" wrapText="1"/>
    </xf>
    <xf numFmtId="9" fontId="31" fillId="77" borderId="0" xfId="29" applyNumberFormat="1" applyFont="1" applyFill="1" applyBorder="1" applyAlignment="1">
      <alignment horizontal="left" vertical="top" wrapText="1"/>
    </xf>
    <xf numFmtId="9" fontId="31" fillId="77" borderId="0" xfId="30" applyNumberFormat="1" applyFont="1" applyFill="1" applyBorder="1" applyAlignment="1">
      <alignment horizontal="left" vertical="top" wrapText="1"/>
    </xf>
    <xf numFmtId="0" fontId="31" fillId="77" borderId="0" xfId="33" applyNumberFormat="1" applyFont="1" applyFill="1" applyBorder="1" applyAlignment="1">
      <alignment horizontal="left" vertical="top" wrapText="1"/>
      <protection locked="0"/>
    </xf>
    <xf numFmtId="9" fontId="31" fillId="77" borderId="0" xfId="34" applyNumberFormat="1" applyFont="1" applyFill="1" applyBorder="1" applyAlignment="1">
      <alignment horizontal="left" vertical="top" wrapText="1"/>
    </xf>
    <xf numFmtId="0" fontId="31" fillId="77" borderId="0" xfId="54" applyNumberFormat="1" applyFont="1" applyFill="1" applyProtection="1">
      <protection locked="0"/>
    </xf>
    <xf numFmtId="168" fontId="31" fillId="77" borderId="0" xfId="29" applyNumberFormat="1" applyFont="1" applyFill="1" applyBorder="1"/>
    <xf numFmtId="168" fontId="31" fillId="77" borderId="0" xfId="32" applyNumberFormat="1" applyFont="1" applyFill="1" applyBorder="1"/>
    <xf numFmtId="168" fontId="31" fillId="77" borderId="0" xfId="54" applyNumberFormat="1" applyFont="1" applyFill="1" applyProtection="1">
      <protection locked="0"/>
    </xf>
    <xf numFmtId="168" fontId="153" fillId="77" borderId="0" xfId="32" applyNumberFormat="1" applyFont="1" applyFill="1" applyBorder="1"/>
    <xf numFmtId="168" fontId="31" fillId="77" borderId="0" xfId="31" applyNumberFormat="1" applyFont="1" applyFill="1" applyBorder="1" applyAlignment="1"/>
    <xf numFmtId="168" fontId="31" fillId="77" borderId="0" xfId="29" applyNumberFormat="1" applyFont="1" applyFill="1" applyBorder="1" applyAlignment="1"/>
    <xf numFmtId="168" fontId="31" fillId="77" borderId="0" xfId="33" applyNumberFormat="1" applyFont="1" applyFill="1" applyBorder="1" applyAlignment="1">
      <protection locked="0"/>
    </xf>
    <xf numFmtId="1" fontId="31" fillId="77" borderId="0" xfId="32" applyNumberFormat="1" applyFont="1" applyFill="1" applyBorder="1" applyAlignment="1"/>
    <xf numFmtId="2" fontId="31" fillId="77" borderId="0" xfId="54" applyNumberFormat="1" applyFont="1" applyFill="1"/>
    <xf numFmtId="168" fontId="31" fillId="77" borderId="0" xfId="54" applyNumberFormat="1" applyFont="1" applyFill="1"/>
    <xf numFmtId="9" fontId="31" fillId="77" borderId="0" xfId="93" applyFont="1" applyFill="1" applyBorder="1" applyProtection="1">
      <protection locked="0"/>
    </xf>
    <xf numFmtId="9" fontId="31" fillId="77" borderId="0" xfId="30" applyNumberFormat="1" applyFont="1" applyFill="1" applyBorder="1"/>
    <xf numFmtId="0" fontId="31" fillId="77" borderId="0" xfId="0" applyFont="1" applyFill="1"/>
    <xf numFmtId="1" fontId="31" fillId="77" borderId="0" xfId="36" applyNumberFormat="1" applyFont="1" applyFill="1" applyBorder="1">
      <protection locked="0"/>
    </xf>
    <xf numFmtId="1" fontId="31" fillId="77" borderId="0" xfId="29" applyNumberFormat="1" applyFont="1" applyFill="1" applyBorder="1"/>
    <xf numFmtId="168" fontId="31" fillId="77" borderId="0" xfId="31" applyNumberFormat="1" applyFont="1" applyFill="1" applyBorder="1"/>
    <xf numFmtId="168" fontId="31" fillId="77" borderId="0" xfId="30" applyNumberFormat="1" applyFont="1" applyFill="1" applyBorder="1"/>
    <xf numFmtId="9" fontId="31" fillId="77" borderId="0" xfId="29" applyNumberFormat="1" applyFont="1" applyFill="1" applyBorder="1"/>
    <xf numFmtId="9" fontId="31" fillId="77" borderId="0" xfId="31" applyNumberFormat="1" applyFont="1" applyFill="1" applyBorder="1"/>
    <xf numFmtId="1" fontId="31" fillId="77" borderId="0" xfId="33" applyNumberFormat="1" applyFont="1" applyFill="1" applyBorder="1">
      <protection locked="0"/>
    </xf>
    <xf numFmtId="1" fontId="31" fillId="77" borderId="0" xfId="31" applyNumberFormat="1" applyFont="1" applyFill="1" applyBorder="1"/>
    <xf numFmtId="1" fontId="153" fillId="77" borderId="0" xfId="32" applyNumberFormat="1" applyFont="1" applyFill="1" applyBorder="1"/>
    <xf numFmtId="2" fontId="31" fillId="77" borderId="0" xfId="29" applyNumberFormat="1" applyFont="1" applyFill="1" applyBorder="1"/>
    <xf numFmtId="2" fontId="31" fillId="77" borderId="0" xfId="30" applyNumberFormat="1" applyFont="1" applyFill="1" applyBorder="1"/>
    <xf numFmtId="0" fontId="31" fillId="77" borderId="0" xfId="33" applyNumberFormat="1" applyFont="1" applyFill="1" applyBorder="1">
      <protection locked="0"/>
    </xf>
    <xf numFmtId="0" fontId="31" fillId="77" borderId="0" xfId="40" applyFont="1" applyFill="1" applyBorder="1" applyAlignment="1">
      <alignment horizontal="center" vertical="top" wrapText="1"/>
    </xf>
    <xf numFmtId="0" fontId="31" fillId="77" borderId="0" xfId="40" applyFont="1" applyFill="1" applyBorder="1"/>
    <xf numFmtId="9" fontId="31" fillId="77" borderId="0" xfId="33" applyNumberFormat="1" applyFont="1" applyFill="1" applyBorder="1" applyAlignment="1">
      <alignment horizontal="center" vertical="top" wrapText="1"/>
      <protection locked="0"/>
    </xf>
    <xf numFmtId="0" fontId="34" fillId="0" borderId="0" xfId="86" applyAlignment="1">
      <alignment horizontal="right"/>
    </xf>
    <xf numFmtId="0" fontId="27" fillId="73" borderId="0" xfId="40" applyFill="1" applyBorder="1" applyAlignment="1">
      <alignment horizontal="center" wrapText="1"/>
    </xf>
    <xf numFmtId="0" fontId="26" fillId="86" borderId="0" xfId="42" applyFont="1" applyFill="1" applyBorder="1">
      <alignment wrapText="1"/>
    </xf>
    <xf numFmtId="0" fontId="31" fillId="40" borderId="0" xfId="0" applyFont="1" applyFill="1"/>
    <xf numFmtId="0" fontId="27" fillId="86" borderId="135" xfId="40" applyFill="1" applyBorder="1" applyAlignment="1">
      <alignment horizontal="center" textRotation="90" wrapText="1"/>
    </xf>
    <xf numFmtId="0" fontId="27" fillId="86" borderId="136" xfId="40" applyFill="1" applyBorder="1" applyAlignment="1">
      <alignment horizontal="center" textRotation="90" wrapText="1"/>
    </xf>
    <xf numFmtId="0" fontId="27" fillId="86" borderId="137" xfId="40" applyFill="1" applyBorder="1" applyAlignment="1">
      <alignment horizontal="center" textRotation="90" wrapText="1"/>
    </xf>
    <xf numFmtId="0" fontId="27" fillId="86" borderId="135" xfId="40" applyFill="1" applyBorder="1" applyAlignment="1">
      <alignment textRotation="90" wrapText="1"/>
    </xf>
    <xf numFmtId="0" fontId="27" fillId="86" borderId="136" xfId="40" applyFill="1" applyBorder="1" applyAlignment="1">
      <alignment textRotation="90" wrapText="1"/>
    </xf>
    <xf numFmtId="0" fontId="27" fillId="86" borderId="137" xfId="40" applyFill="1" applyBorder="1" applyAlignment="1">
      <alignment textRotation="90" wrapText="1"/>
    </xf>
    <xf numFmtId="0" fontId="27" fillId="85" borderId="138" xfId="42" applyFont="1" applyFill="1" applyBorder="1" applyAlignment="1">
      <alignment horizontal="left" wrapText="1"/>
    </xf>
    <xf numFmtId="0" fontId="31" fillId="86" borderId="139" xfId="42" applyFill="1" applyBorder="1" applyAlignment="1">
      <alignment textRotation="90" wrapText="1"/>
    </xf>
    <xf numFmtId="0" fontId="26" fillId="82" borderId="138" xfId="42" applyFont="1" applyFill="1" applyBorder="1">
      <alignment wrapText="1"/>
    </xf>
    <xf numFmtId="0" fontId="26" fillId="75" borderId="139" xfId="42" applyFont="1" applyFill="1" applyBorder="1">
      <alignment wrapText="1"/>
    </xf>
    <xf numFmtId="0" fontId="26" fillId="75" borderId="135" xfId="42" applyFont="1" applyFill="1" applyBorder="1">
      <alignment wrapText="1"/>
    </xf>
    <xf numFmtId="0" fontId="26" fillId="75" borderId="136" xfId="42" applyFont="1" applyFill="1" applyBorder="1">
      <alignment wrapText="1"/>
    </xf>
    <xf numFmtId="0" fontId="26" fillId="75" borderId="137" xfId="42" applyFont="1" applyFill="1" applyBorder="1" applyAlignment="1">
      <alignment horizontal="center" wrapText="1"/>
    </xf>
    <xf numFmtId="0" fontId="26" fillId="75" borderId="137" xfId="42" applyFont="1" applyFill="1" applyBorder="1">
      <alignment wrapText="1"/>
    </xf>
    <xf numFmtId="0" fontId="31" fillId="40" borderId="0" xfId="0" applyFont="1" applyFill="1" applyAlignment="1">
      <alignment horizontal="right"/>
    </xf>
    <xf numFmtId="168" fontId="109" fillId="0" borderId="20" xfId="0" applyNumberFormat="1" applyFont="1" applyBorder="1" applyAlignment="1">
      <alignment horizontal="center" vertical="center"/>
    </xf>
    <xf numFmtId="2" fontId="109" fillId="0" borderId="20" xfId="0" applyNumberFormat="1" applyFont="1" applyBorder="1" applyAlignment="1">
      <alignment horizontal="center" vertical="center"/>
    </xf>
    <xf numFmtId="10" fontId="109" fillId="0" borderId="20" xfId="93" applyNumberFormat="1" applyFont="1" applyBorder="1" applyAlignment="1">
      <alignment horizontal="center" vertical="center"/>
    </xf>
    <xf numFmtId="185" fontId="109" fillId="0" borderId="20" xfId="92" applyNumberFormat="1" applyFont="1" applyBorder="1" applyAlignment="1">
      <alignment horizontal="center" vertical="center"/>
    </xf>
    <xf numFmtId="1" fontId="109" fillId="0" borderId="20" xfId="0" applyNumberFormat="1" applyFont="1" applyBorder="1" applyAlignment="1">
      <alignment horizontal="center" vertical="center"/>
    </xf>
    <xf numFmtId="0" fontId="110" fillId="116" borderId="52" xfId="0" applyFont="1" applyFill="1" applyBorder="1" applyAlignment="1">
      <alignment horizontal="center" vertical="center" wrapText="1"/>
    </xf>
    <xf numFmtId="0" fontId="110" fillId="116" borderId="53" xfId="0" applyFont="1" applyFill="1" applyBorder="1" applyAlignment="1">
      <alignment horizontal="center" vertical="center" wrapText="1"/>
    </xf>
    <xf numFmtId="168" fontId="109" fillId="0" borderId="67" xfId="0" applyNumberFormat="1" applyFont="1" applyBorder="1" applyAlignment="1">
      <alignment horizontal="center" vertical="center"/>
    </xf>
    <xf numFmtId="2" fontId="109" fillId="0" borderId="67" xfId="0" applyNumberFormat="1" applyFont="1" applyBorder="1" applyAlignment="1">
      <alignment horizontal="center" vertical="center"/>
    </xf>
    <xf numFmtId="10" fontId="109" fillId="0" borderId="67" xfId="93" applyNumberFormat="1" applyFont="1" applyBorder="1" applyAlignment="1">
      <alignment horizontal="center" vertical="center"/>
    </xf>
    <xf numFmtId="185" fontId="109" fillId="0" borderId="67" xfId="92" applyNumberFormat="1" applyFont="1" applyBorder="1" applyAlignment="1">
      <alignment horizontal="center" vertical="center"/>
    </xf>
    <xf numFmtId="1" fontId="109" fillId="0" borderId="67" xfId="0" applyNumberFormat="1" applyFont="1" applyBorder="1" applyAlignment="1">
      <alignment horizontal="center" vertical="center"/>
    </xf>
    <xf numFmtId="168" fontId="109" fillId="0" borderId="63" xfId="0" applyNumberFormat="1" applyFont="1" applyBorder="1" applyAlignment="1">
      <alignment horizontal="center" vertical="center"/>
    </xf>
    <xf numFmtId="168" fontId="109" fillId="0" borderId="66" xfId="0" applyNumberFormat="1" applyFont="1" applyBorder="1" applyAlignment="1">
      <alignment horizontal="center" vertical="center"/>
    </xf>
    <xf numFmtId="0" fontId="110" fillId="116" borderId="140" xfId="0" applyFont="1" applyFill="1" applyBorder="1" applyAlignment="1">
      <alignment horizontal="center" vertical="center" wrapText="1"/>
    </xf>
    <xf numFmtId="168" fontId="109" fillId="64" borderId="141" xfId="0" applyNumberFormat="1" applyFont="1" applyFill="1" applyBorder="1" applyAlignment="1">
      <alignment horizontal="center" vertical="center"/>
    </xf>
    <xf numFmtId="10" fontId="109" fillId="64" borderId="141" xfId="0" applyNumberFormat="1" applyFont="1" applyFill="1" applyBorder="1" applyAlignment="1">
      <alignment horizontal="center" vertical="center"/>
    </xf>
    <xf numFmtId="180" fontId="109" fillId="64" borderId="141" xfId="0" applyNumberFormat="1" applyFont="1" applyFill="1" applyBorder="1" applyAlignment="1">
      <alignment horizontal="center" vertical="center"/>
    </xf>
    <xf numFmtId="0" fontId="109" fillId="64" borderId="141" xfId="0" applyFont="1" applyFill="1" applyBorder="1" applyAlignment="1">
      <alignment horizontal="center" vertical="center"/>
    </xf>
    <xf numFmtId="0" fontId="109" fillId="64" borderId="142" xfId="0" applyFont="1" applyFill="1" applyBorder="1" applyAlignment="1">
      <alignment horizontal="center" vertical="center"/>
    </xf>
    <xf numFmtId="0" fontId="145" fillId="116" borderId="143" xfId="0" applyFont="1" applyFill="1" applyBorder="1" applyAlignment="1">
      <alignment horizontal="center" vertical="center" wrapText="1"/>
    </xf>
    <xf numFmtId="0" fontId="27" fillId="0" borderId="144" xfId="0" applyFont="1" applyBorder="1" applyAlignment="1">
      <alignment vertical="center" wrapText="1"/>
    </xf>
    <xf numFmtId="0" fontId="27" fillId="0" borderId="144" xfId="0" applyFont="1" applyBorder="1" applyAlignment="1">
      <alignment vertical="center"/>
    </xf>
    <xf numFmtId="0" fontId="27" fillId="0" borderId="145" xfId="0" applyFont="1" applyBorder="1" applyAlignment="1">
      <alignment vertical="center"/>
    </xf>
    <xf numFmtId="0" fontId="27" fillId="0" borderId="146" xfId="0" applyFont="1" applyBorder="1" applyAlignment="1">
      <alignment vertical="center" wrapText="1"/>
    </xf>
    <xf numFmtId="166" fontId="111" fillId="64" borderId="147" xfId="93" applyNumberFormat="1" applyFont="1" applyFill="1" applyBorder="1" applyAlignment="1">
      <alignment horizontal="center" vertical="center" wrapText="1"/>
    </xf>
    <xf numFmtId="10" fontId="109" fillId="0" borderId="44" xfId="93" applyNumberFormat="1" applyFont="1" applyBorder="1" applyAlignment="1">
      <alignment horizontal="center" vertical="center"/>
    </xf>
    <xf numFmtId="10" fontId="109" fillId="0" borderId="55" xfId="93" applyNumberFormat="1" applyFont="1" applyBorder="1" applyAlignment="1">
      <alignment horizontal="center" vertical="center"/>
    </xf>
    <xf numFmtId="0" fontId="0" fillId="0" borderId="144" xfId="0" applyBorder="1" applyAlignment="1">
      <alignment vertical="center" wrapText="1"/>
    </xf>
    <xf numFmtId="0" fontId="0" fillId="0" borderId="145" xfId="0" applyBorder="1" applyAlignment="1">
      <alignment vertical="center" wrapText="1"/>
    </xf>
    <xf numFmtId="166" fontId="111" fillId="64" borderId="142" xfId="93" applyNumberFormat="1" applyFont="1" applyFill="1" applyBorder="1" applyAlignment="1">
      <alignment horizontal="center" vertical="center" wrapText="1"/>
    </xf>
    <xf numFmtId="10" fontId="109" fillId="0" borderId="63" xfId="93" applyNumberFormat="1" applyFont="1" applyBorder="1" applyAlignment="1">
      <alignment horizontal="center" vertical="center"/>
    </xf>
    <xf numFmtId="10" fontId="109" fillId="0" borderId="66" xfId="93" applyNumberFormat="1" applyFont="1" applyBorder="1" applyAlignment="1">
      <alignment horizontal="center" vertical="center"/>
    </xf>
    <xf numFmtId="185" fontId="109" fillId="64" borderId="141" xfId="92" applyNumberFormat="1" applyFont="1" applyFill="1" applyBorder="1" applyAlignment="1">
      <alignment horizontal="center" vertical="center"/>
    </xf>
    <xf numFmtId="0" fontId="26" fillId="80" borderId="0" xfId="42" applyFont="1" applyFill="1" applyBorder="1">
      <alignment wrapText="1"/>
    </xf>
    <xf numFmtId="0" fontId="75" fillId="0" borderId="0" xfId="0" applyFont="1" applyAlignment="1">
      <alignment wrapText="1"/>
    </xf>
    <xf numFmtId="0" fontId="26" fillId="60" borderId="138" xfId="42" applyFont="1" applyFill="1" applyBorder="1" applyAlignment="1">
      <alignment horizontal="center" wrapText="1"/>
    </xf>
    <xf numFmtId="0" fontId="26" fillId="80" borderId="139" xfId="42" applyFont="1" applyFill="1" applyBorder="1">
      <alignment wrapText="1"/>
    </xf>
    <xf numFmtId="1" fontId="26" fillId="80" borderId="135" xfId="42" applyNumberFormat="1" applyFont="1" applyFill="1" applyBorder="1">
      <alignment wrapText="1"/>
    </xf>
    <xf numFmtId="1" fontId="26" fillId="80" borderId="136" xfId="42" applyNumberFormat="1" applyFont="1" applyFill="1" applyBorder="1">
      <alignment wrapText="1"/>
    </xf>
    <xf numFmtId="0" fontId="26" fillId="80" borderId="136" xfId="42" applyFont="1" applyFill="1" applyBorder="1">
      <alignment wrapText="1"/>
    </xf>
    <xf numFmtId="1" fontId="26" fillId="80" borderId="137" xfId="42" applyNumberFormat="1" applyFont="1" applyFill="1" applyBorder="1">
      <alignment wrapText="1"/>
    </xf>
    <xf numFmtId="0" fontId="26" fillId="60" borderId="138" xfId="42" applyFont="1" applyFill="1" applyBorder="1">
      <alignment wrapText="1"/>
    </xf>
    <xf numFmtId="0" fontId="26" fillId="98" borderId="135" xfId="42" applyFont="1" applyFill="1" applyBorder="1" applyAlignment="1">
      <alignment textRotation="90" wrapText="1"/>
    </xf>
    <xf numFmtId="0" fontId="26" fillId="98" borderId="136" xfId="42" applyFont="1" applyFill="1" applyBorder="1" applyAlignment="1">
      <alignment textRotation="90" wrapText="1"/>
    </xf>
    <xf numFmtId="0" fontId="26" fillId="98" borderId="137" xfId="42" applyFont="1" applyFill="1" applyBorder="1" applyAlignment="1">
      <alignment textRotation="90" wrapText="1"/>
    </xf>
    <xf numFmtId="0" fontId="31" fillId="97" borderId="138" xfId="42" applyFill="1" applyBorder="1" applyAlignment="1">
      <alignment horizontal="left" wrapText="1"/>
    </xf>
    <xf numFmtId="0" fontId="26" fillId="98" borderId="139" xfId="42" applyFont="1" applyFill="1" applyBorder="1" applyAlignment="1">
      <alignment horizontal="left" wrapText="1"/>
    </xf>
    <xf numFmtId="0" fontId="31" fillId="83" borderId="0" xfId="42" applyFill="1" applyBorder="1" applyAlignment="1">
      <alignment horizontal="left" wrapText="1"/>
    </xf>
    <xf numFmtId="0" fontId="26" fillId="85" borderId="0" xfId="42" applyFont="1" applyFill="1" applyBorder="1" applyAlignment="1">
      <alignment horizontal="left" wrapText="1"/>
    </xf>
    <xf numFmtId="0" fontId="26" fillId="85" borderId="135" xfId="42" applyFont="1" applyFill="1" applyBorder="1">
      <alignment wrapText="1"/>
    </xf>
    <xf numFmtId="0" fontId="26" fillId="85" borderId="136" xfId="42" applyFont="1" applyFill="1" applyBorder="1">
      <alignment wrapText="1"/>
    </xf>
    <xf numFmtId="0" fontId="26" fillId="85" borderId="137" xfId="42" applyFont="1" applyFill="1" applyBorder="1">
      <alignment wrapText="1"/>
    </xf>
    <xf numFmtId="0" fontId="31" fillId="40" borderId="0" xfId="40" applyFont="1" applyFill="1" applyBorder="1" applyAlignment="1">
      <alignment horizontal="left" vertical="top" wrapText="1"/>
    </xf>
    <xf numFmtId="0" fontId="28" fillId="40" borderId="0" xfId="9" applyFill="1" applyBorder="1" applyAlignment="1">
      <alignment horizontal="left" vertical="top" wrapText="1"/>
    </xf>
    <xf numFmtId="0" fontId="0" fillId="106" borderId="14" xfId="40" applyFont="1" applyFill="1" applyBorder="1" applyAlignment="1">
      <alignment horizontal="left" vertical="top" wrapText="1"/>
    </xf>
    <xf numFmtId="0" fontId="0" fillId="106" borderId="17" xfId="40" applyFont="1" applyFill="1" applyBorder="1" applyAlignment="1">
      <alignment horizontal="left" vertical="top" wrapText="1"/>
    </xf>
    <xf numFmtId="0" fontId="0" fillId="118" borderId="17" xfId="25" applyFont="1" applyFill="1" applyBorder="1" applyAlignment="1">
      <alignment horizontal="left" vertical="top" wrapText="1"/>
    </xf>
    <xf numFmtId="0" fontId="28" fillId="106" borderId="17" xfId="47" applyFont="1" applyFill="1" applyBorder="1" applyAlignment="1">
      <alignment horizontal="left" vertical="top" wrapText="1"/>
    </xf>
    <xf numFmtId="0" fontId="0" fillId="106" borderId="130" xfId="40" applyFont="1" applyFill="1" applyBorder="1" applyAlignment="1">
      <alignment horizontal="left" vertical="top" wrapText="1"/>
    </xf>
    <xf numFmtId="0" fontId="94" fillId="34" borderId="14" xfId="77" applyFont="1" applyBorder="1" applyAlignment="1">
      <alignment vertical="top" wrapText="1"/>
    </xf>
    <xf numFmtId="0" fontId="94" fillId="34" borderId="17" xfId="77" applyFont="1" applyBorder="1" applyAlignment="1">
      <alignment vertical="top" wrapText="1"/>
    </xf>
    <xf numFmtId="0" fontId="94" fillId="34" borderId="17" xfId="77" applyFont="1" applyBorder="1" applyAlignment="1">
      <alignment horizontal="left" vertical="top" wrapText="1"/>
    </xf>
    <xf numFmtId="0" fontId="94" fillId="75" borderId="17" xfId="77" applyFont="1" applyFill="1" applyBorder="1" applyAlignment="1">
      <alignment horizontal="left" vertical="top" wrapText="1"/>
    </xf>
    <xf numFmtId="0" fontId="28" fillId="48" borderId="17" xfId="9" applyBorder="1" applyAlignment="1">
      <alignment horizontal="left" vertical="top" wrapText="1"/>
    </xf>
    <xf numFmtId="0" fontId="28" fillId="54" borderId="17" xfId="11" applyBorder="1" applyAlignment="1">
      <alignment horizontal="left" vertical="top" wrapText="1"/>
    </xf>
    <xf numFmtId="0" fontId="28" fillId="54" borderId="17" xfId="11" applyBorder="1" applyAlignment="1">
      <alignment vertical="top" wrapText="1"/>
    </xf>
    <xf numFmtId="0" fontId="0" fillId="106" borderId="15" xfId="40" applyFont="1" applyFill="1" applyBorder="1" applyAlignment="1">
      <alignment horizontal="center" vertical="top"/>
    </xf>
    <xf numFmtId="0" fontId="0" fillId="118" borderId="24" xfId="25" applyFont="1" applyFill="1" applyBorder="1" applyAlignment="1">
      <alignment horizontal="center" vertical="top"/>
    </xf>
    <xf numFmtId="0" fontId="0" fillId="118" borderId="24" xfId="25" applyFont="1" applyFill="1" applyBorder="1" applyAlignment="1">
      <alignment wrapText="1"/>
    </xf>
    <xf numFmtId="0" fontId="0" fillId="106" borderId="24" xfId="40" applyFont="1" applyFill="1" applyBorder="1" applyAlignment="1">
      <alignment horizontal="center" vertical="top"/>
    </xf>
    <xf numFmtId="0" fontId="0" fillId="106" borderId="131" xfId="40" applyFont="1" applyFill="1" applyBorder="1" applyAlignment="1">
      <alignment horizontal="center" vertical="top"/>
    </xf>
    <xf numFmtId="0" fontId="0" fillId="0" borderId="15" xfId="40" applyFont="1" applyBorder="1" applyAlignment="1">
      <alignment horizontal="left" vertical="top" wrapText="1"/>
    </xf>
    <xf numFmtId="0" fontId="28" fillId="54" borderId="24" xfId="11" applyBorder="1" applyAlignment="1">
      <alignment horizontal="left" wrapText="1"/>
    </xf>
    <xf numFmtId="0" fontId="28" fillId="48" borderId="24" xfId="9" applyBorder="1" applyAlignment="1">
      <alignment horizontal="left" wrapText="1"/>
    </xf>
    <xf numFmtId="0" fontId="0" fillId="0" borderId="24" xfId="40" applyFont="1" applyBorder="1" applyAlignment="1">
      <alignment horizontal="left" wrapText="1"/>
    </xf>
    <xf numFmtId="0" fontId="0" fillId="0" borderId="24" xfId="40" applyFont="1" applyBorder="1" applyAlignment="1">
      <alignment horizontal="left"/>
    </xf>
    <xf numFmtId="0" fontId="0" fillId="0" borderId="24" xfId="40" applyFont="1" applyBorder="1" applyAlignment="1">
      <alignment wrapText="1"/>
    </xf>
    <xf numFmtId="0" fontId="0" fillId="40" borderId="0" xfId="40" applyFont="1" applyFill="1" applyBorder="1" applyAlignment="1">
      <alignment horizontal="left" vertical="top" wrapText="1"/>
    </xf>
    <xf numFmtId="0" fontId="0" fillId="123" borderId="0" xfId="25" applyFont="1" applyFill="1" applyBorder="1" applyAlignment="1">
      <alignment horizontal="left" vertical="top" wrapText="1"/>
    </xf>
    <xf numFmtId="0" fontId="0" fillId="40" borderId="0" xfId="0" applyFill="1" applyAlignment="1">
      <alignment horizontal="left" vertical="top" wrapText="1"/>
    </xf>
    <xf numFmtId="0" fontId="28" fillId="40" borderId="0" xfId="47" applyFont="1" applyFill="1" applyBorder="1" applyAlignment="1">
      <alignment horizontal="left" vertical="top" wrapText="1"/>
    </xf>
    <xf numFmtId="0" fontId="94" fillId="40" borderId="0" xfId="77" applyFont="1" applyFill="1" applyBorder="1" applyAlignment="1">
      <alignment vertical="top" wrapText="1"/>
    </xf>
    <xf numFmtId="0" fontId="94" fillId="40" borderId="0" xfId="77" applyFont="1" applyFill="1" applyBorder="1" applyAlignment="1">
      <alignment horizontal="left" vertical="top" wrapText="1"/>
    </xf>
    <xf numFmtId="0" fontId="94" fillId="40" borderId="0" xfId="77" applyFont="1" applyFill="1" applyBorder="1" applyAlignment="1">
      <alignment horizontal="left" vertical="top"/>
    </xf>
    <xf numFmtId="0" fontId="94" fillId="40" borderId="0" xfId="77" applyFont="1" applyFill="1" applyBorder="1" applyAlignment="1">
      <alignment vertical="top"/>
    </xf>
    <xf numFmtId="0" fontId="0" fillId="40" borderId="0" xfId="40" applyFont="1" applyFill="1" applyBorder="1" applyAlignment="1">
      <alignment horizontal="left" vertical="top"/>
    </xf>
    <xf numFmtId="0" fontId="0" fillId="40" borderId="0" xfId="40" applyFont="1" applyFill="1" applyBorder="1" applyAlignment="1">
      <alignment vertical="top" wrapText="1"/>
    </xf>
    <xf numFmtId="0" fontId="28" fillId="40" borderId="0" xfId="11" applyFill="1" applyBorder="1" applyAlignment="1">
      <alignment horizontal="left" vertical="top" wrapText="1"/>
    </xf>
    <xf numFmtId="0" fontId="28" fillId="40" borderId="0" xfId="11" applyFill="1" applyBorder="1" applyAlignment="1">
      <alignment vertical="top" wrapText="1"/>
    </xf>
    <xf numFmtId="168" fontId="152" fillId="83" borderId="0" xfId="52" applyNumberFormat="1" applyFont="1" applyFill="1" applyBorder="1" applyAlignment="1" applyProtection="1">
      <alignment horizontal="center"/>
    </xf>
    <xf numFmtId="168" fontId="0" fillId="106" borderId="26" xfId="29" applyNumberFormat="1" applyFont="1" applyFill="1" applyBorder="1" applyAlignment="1">
      <alignment horizontal="center"/>
    </xf>
    <xf numFmtId="168" fontId="93" fillId="106" borderId="26" xfId="52" applyNumberFormat="1" applyFont="1" applyFill="1" applyBorder="1" applyAlignment="1" applyProtection="1">
      <alignment horizontal="center"/>
    </xf>
    <xf numFmtId="168" fontId="108" fillId="106" borderId="26" xfId="52" applyNumberFormat="1" applyFont="1" applyFill="1" applyBorder="1" applyAlignment="1" applyProtection="1">
      <alignment horizontal="center"/>
    </xf>
    <xf numFmtId="168" fontId="93" fillId="106" borderId="149" xfId="52" applyNumberFormat="1" applyFont="1" applyFill="1" applyBorder="1" applyAlignment="1" applyProtection="1">
      <alignment horizontal="center"/>
    </xf>
    <xf numFmtId="0" fontId="0" fillId="2" borderId="25" xfId="33" applyNumberFormat="1" applyFont="1" applyBorder="1" applyAlignment="1">
      <alignment horizontal="left" vertical="top" wrapText="1"/>
      <protection locked="0"/>
    </xf>
    <xf numFmtId="9" fontId="0" fillId="2" borderId="25" xfId="33" applyNumberFormat="1" applyFont="1" applyBorder="1" applyAlignment="1">
      <alignment horizontal="left" vertical="top" wrapText="1"/>
      <protection locked="0"/>
    </xf>
    <xf numFmtId="9" fontId="0" fillId="66" borderId="25" xfId="29" applyNumberFormat="1" applyFont="1" applyBorder="1" applyAlignment="1">
      <alignment horizontal="left" vertical="top" wrapText="1"/>
    </xf>
    <xf numFmtId="9" fontId="0" fillId="63" borderId="25" xfId="31" applyNumberFormat="1" applyFont="1" applyBorder="1" applyAlignment="1">
      <alignment horizontal="left" vertical="top" wrapText="1"/>
    </xf>
    <xf numFmtId="9" fontId="0" fillId="64" borderId="25" xfId="32" applyNumberFormat="1" applyFont="1" applyBorder="1" applyAlignment="1">
      <alignment horizontal="left" vertical="top" wrapText="1"/>
    </xf>
    <xf numFmtId="9" fontId="0" fillId="67" borderId="25" xfId="30" applyNumberFormat="1" applyFont="1" applyBorder="1" applyAlignment="1">
      <alignment horizontal="left" vertical="top" wrapText="1"/>
    </xf>
    <xf numFmtId="9" fontId="0" fillId="64" borderId="35" xfId="32" applyNumberFormat="1" applyFont="1" applyBorder="1" applyAlignment="1">
      <alignment horizontal="left" vertical="top" wrapText="1"/>
    </xf>
    <xf numFmtId="0" fontId="0" fillId="2" borderId="150" xfId="33" applyNumberFormat="1" applyFont="1" applyBorder="1" applyAlignment="1">
      <alignment horizontal="left" vertical="top" wrapText="1"/>
      <protection locked="0"/>
    </xf>
    <xf numFmtId="0" fontId="0" fillId="2" borderId="25" xfId="33" applyNumberFormat="1" applyFont="1" applyBorder="1" applyAlignment="1">
      <alignment horizontal="left" vertical="top"/>
      <protection locked="0"/>
    </xf>
    <xf numFmtId="9" fontId="0" fillId="2" borderId="25" xfId="33" applyNumberFormat="1" applyFont="1" applyBorder="1" applyAlignment="1">
      <alignment horizontal="left" vertical="top"/>
      <protection locked="0"/>
    </xf>
    <xf numFmtId="0" fontId="93" fillId="83" borderId="0" xfId="52" applyFont="1" applyFill="1" applyBorder="1" applyAlignment="1" applyProtection="1">
      <alignment horizontal="center" vertical="center"/>
    </xf>
    <xf numFmtId="168" fontId="0" fillId="83" borderId="0" xfId="29" applyNumberFormat="1" applyFont="1" applyFill="1" applyBorder="1" applyAlignment="1">
      <alignment horizontal="center"/>
    </xf>
    <xf numFmtId="0" fontId="108" fillId="83" borderId="0" xfId="52" applyFont="1" applyFill="1" applyBorder="1" applyAlignment="1" applyProtection="1">
      <alignment horizontal="center" vertical="center"/>
    </xf>
    <xf numFmtId="168" fontId="93" fillId="83" borderId="0" xfId="52" applyNumberFormat="1" applyFont="1" applyFill="1" applyBorder="1" applyAlignment="1" applyProtection="1">
      <alignment horizontal="center"/>
    </xf>
    <xf numFmtId="168" fontId="108" fillId="83" borderId="0" xfId="52" applyNumberFormat="1" applyFont="1" applyFill="1" applyBorder="1" applyAlignment="1" applyProtection="1">
      <alignment horizontal="center"/>
    </xf>
    <xf numFmtId="0" fontId="93" fillId="83" borderId="0" xfId="52" applyFont="1" applyFill="1" applyBorder="1" applyAlignment="1" applyProtection="1">
      <alignment horizontal="center"/>
    </xf>
    <xf numFmtId="0" fontId="31" fillId="90" borderId="0" xfId="54" applyNumberFormat="1" applyFont="1" applyFill="1" applyProtection="1">
      <protection locked="0"/>
    </xf>
    <xf numFmtId="9" fontId="0" fillId="2" borderId="26" xfId="33" applyNumberFormat="1" applyFont="1" applyBorder="1">
      <protection locked="0"/>
    </xf>
    <xf numFmtId="9" fontId="0" fillId="64" borderId="26" xfId="32" applyNumberFormat="1" applyFont="1" applyBorder="1"/>
    <xf numFmtId="9" fontId="0" fillId="66" borderId="26" xfId="29" applyNumberFormat="1" applyFont="1" applyBorder="1"/>
    <xf numFmtId="168" fontId="0" fillId="63" borderId="151" xfId="40" applyNumberFormat="1" applyFont="1" applyFill="1" applyBorder="1"/>
    <xf numFmtId="168" fontId="0" fillId="66" borderId="152" xfId="29" applyNumberFormat="1" applyFont="1" applyBorder="1"/>
    <xf numFmtId="168" fontId="0" fillId="66" borderId="97" xfId="29" applyNumberFormat="1" applyFont="1" applyBorder="1"/>
    <xf numFmtId="168" fontId="0" fillId="2" borderId="153" xfId="33" applyNumberFormat="1" applyFont="1" applyBorder="1">
      <protection locked="0"/>
    </xf>
    <xf numFmtId="168" fontId="0" fillId="2" borderId="152" xfId="33" applyNumberFormat="1" applyFont="1" applyBorder="1">
      <protection locked="0"/>
    </xf>
    <xf numFmtId="0" fontId="0" fillId="2" borderId="152" xfId="33" applyNumberFormat="1" applyFont="1" applyBorder="1">
      <protection locked="0"/>
    </xf>
    <xf numFmtId="0" fontId="0" fillId="2" borderId="152" xfId="33" applyNumberFormat="1" applyFont="1" applyBorder="1" applyAlignment="1">
      <protection locked="0"/>
    </xf>
    <xf numFmtId="168" fontId="0" fillId="63" borderId="151" xfId="40" applyNumberFormat="1" applyFont="1" applyFill="1" applyBorder="1" applyAlignment="1"/>
    <xf numFmtId="0" fontId="0" fillId="83" borderId="151" xfId="40" applyFont="1" applyFill="1" applyBorder="1"/>
    <xf numFmtId="0" fontId="0" fillId="90" borderId="0" xfId="54" applyNumberFormat="1" applyFont="1" applyFill="1" applyProtection="1">
      <protection locked="0"/>
    </xf>
    <xf numFmtId="9" fontId="0" fillId="90" borderId="0" xfId="33" applyNumberFormat="1" applyFont="1" applyFill="1" applyBorder="1">
      <protection locked="0"/>
    </xf>
    <xf numFmtId="9" fontId="0" fillId="90" borderId="0" xfId="32" applyNumberFormat="1" applyFont="1" applyFill="1" applyBorder="1"/>
    <xf numFmtId="9" fontId="0" fillId="90" borderId="0" xfId="29" applyNumberFormat="1" applyFont="1" applyFill="1" applyBorder="1"/>
    <xf numFmtId="0" fontId="0" fillId="90" borderId="0" xfId="54" applyNumberFormat="1" applyFont="1" applyFill="1" applyAlignment="1" applyProtection="1">
      <protection locked="0"/>
    </xf>
    <xf numFmtId="168" fontId="0" fillId="66" borderId="26" xfId="29" applyNumberFormat="1" applyFont="1" applyBorder="1" applyAlignment="1"/>
    <xf numFmtId="168" fontId="0" fillId="66" borderId="149" xfId="29" applyNumberFormat="1" applyFont="1" applyBorder="1" applyAlignment="1"/>
    <xf numFmtId="168" fontId="0" fillId="66" borderId="93" xfId="29" applyNumberFormat="1" applyFont="1" applyBorder="1" applyAlignment="1"/>
    <xf numFmtId="168" fontId="0" fillId="63" borderId="25" xfId="31" applyNumberFormat="1" applyFont="1" applyBorder="1" applyAlignment="1"/>
    <xf numFmtId="168" fontId="0" fillId="2" borderId="25" xfId="33" applyNumberFormat="1" applyFont="1" applyBorder="1" applyAlignment="1">
      <protection locked="0"/>
    </xf>
    <xf numFmtId="168" fontId="76" fillId="2" borderId="35" xfId="33" applyNumberFormat="1" applyFont="1" applyBorder="1" applyAlignment="1">
      <protection locked="0"/>
    </xf>
    <xf numFmtId="168" fontId="0" fillId="2" borderId="150" xfId="33" applyNumberFormat="1" applyFont="1" applyBorder="1" applyAlignment="1">
      <protection locked="0"/>
    </xf>
    <xf numFmtId="168" fontId="0" fillId="66" borderId="25" xfId="29" applyNumberFormat="1" applyFont="1" applyBorder="1" applyAlignment="1"/>
    <xf numFmtId="168" fontId="0" fillId="2" borderId="25" xfId="33" applyNumberFormat="1" applyFont="1" applyBorder="1">
      <protection locked="0"/>
    </xf>
    <xf numFmtId="1" fontId="31" fillId="40" borderId="0" xfId="29" applyNumberFormat="1" applyFont="1" applyFill="1" applyBorder="1"/>
    <xf numFmtId="1" fontId="0" fillId="66" borderId="93" xfId="29" applyNumberFormat="1" applyFont="1" applyBorder="1"/>
    <xf numFmtId="1" fontId="0" fillId="66" borderId="26" xfId="29" applyNumberFormat="1" applyFont="1" applyBorder="1"/>
    <xf numFmtId="1" fontId="0" fillId="66" borderId="149" xfId="29" applyNumberFormat="1" applyFont="1" applyBorder="1"/>
    <xf numFmtId="1" fontId="0" fillId="66" borderId="26" xfId="29" applyNumberFormat="1" applyFont="1" applyBorder="1" applyAlignment="1"/>
    <xf numFmtId="168" fontId="0" fillId="63" borderId="25" xfId="31" applyNumberFormat="1" applyFont="1" applyBorder="1"/>
    <xf numFmtId="168" fontId="0" fillId="64" borderId="25" xfId="32" applyNumberFormat="1" applyFont="1" applyBorder="1"/>
    <xf numFmtId="168" fontId="0" fillId="66" borderId="25" xfId="29" applyNumberFormat="1" applyFont="1" applyBorder="1"/>
    <xf numFmtId="168" fontId="0" fillId="67" borderId="25" xfId="30" applyNumberFormat="1" applyFont="1" applyBorder="1"/>
    <xf numFmtId="168" fontId="0" fillId="63" borderId="35" xfId="31" applyNumberFormat="1" applyFont="1" applyBorder="1"/>
    <xf numFmtId="168" fontId="0" fillId="63" borderId="150" xfId="31" applyNumberFormat="1" applyFont="1" applyBorder="1"/>
    <xf numFmtId="168" fontId="0" fillId="64" borderId="25" xfId="32" applyNumberFormat="1" applyFont="1" applyBorder="1" applyAlignment="1"/>
    <xf numFmtId="1" fontId="0" fillId="40" borderId="0" xfId="29" applyNumberFormat="1" applyFont="1" applyFill="1" applyBorder="1"/>
    <xf numFmtId="1" fontId="0" fillId="40" borderId="0" xfId="29" applyNumberFormat="1" applyFont="1" applyFill="1" applyBorder="1" applyAlignment="1"/>
    <xf numFmtId="1" fontId="31" fillId="92" borderId="0" xfId="29" applyNumberFormat="1" applyFont="1" applyFill="1" applyBorder="1"/>
    <xf numFmtId="1" fontId="0" fillId="66" borderId="41" xfId="29" applyNumberFormat="1" applyFont="1" applyBorder="1"/>
    <xf numFmtId="1" fontId="0" fillId="66" borderId="93" xfId="29" applyNumberFormat="1" applyFont="1" applyBorder="1" applyAlignment="1"/>
    <xf numFmtId="1" fontId="27" fillId="2" borderId="25" xfId="33" applyNumberFormat="1" applyBorder="1">
      <protection locked="0"/>
    </xf>
    <xf numFmtId="1" fontId="27" fillId="2" borderId="35" xfId="33" applyNumberFormat="1" applyBorder="1">
      <protection locked="0"/>
    </xf>
    <xf numFmtId="1" fontId="27" fillId="2" borderId="150" xfId="33" applyNumberFormat="1" applyBorder="1">
      <protection locked="0"/>
    </xf>
    <xf numFmtId="1" fontId="27" fillId="2" borderId="25" xfId="33" applyNumberFormat="1" applyBorder="1" applyAlignment="1">
      <protection locked="0"/>
    </xf>
    <xf numFmtId="1" fontId="0" fillId="92" borderId="0" xfId="29" applyNumberFormat="1" applyFont="1" applyFill="1" applyBorder="1"/>
    <xf numFmtId="1" fontId="0" fillId="92" borderId="0" xfId="29" applyNumberFormat="1" applyFont="1" applyFill="1" applyBorder="1" applyAlignment="1"/>
    <xf numFmtId="2" fontId="0" fillId="67" borderId="26" xfId="30" applyNumberFormat="1" applyFont="1" applyBorder="1"/>
    <xf numFmtId="2" fontId="0" fillId="67" borderId="149" xfId="30" applyNumberFormat="1" applyFont="1" applyBorder="1"/>
    <xf numFmtId="2" fontId="0" fillId="67" borderId="93" xfId="30" applyNumberFormat="1" applyFont="1" applyBorder="1"/>
    <xf numFmtId="2" fontId="0" fillId="67" borderId="26" xfId="30" applyNumberFormat="1" applyFont="1" applyBorder="1" applyAlignment="1"/>
    <xf numFmtId="1" fontId="0" fillId="66" borderId="150" xfId="29" applyNumberFormat="1" applyFont="1" applyBorder="1"/>
    <xf numFmtId="1" fontId="0" fillId="63" borderId="25" xfId="31" applyNumberFormat="1" applyFont="1" applyBorder="1"/>
    <xf numFmtId="1" fontId="0" fillId="85" borderId="150" xfId="29" applyNumberFormat="1" applyFont="1" applyFill="1" applyBorder="1"/>
    <xf numFmtId="1" fontId="0" fillId="2" borderId="25" xfId="33" applyNumberFormat="1" applyFont="1" applyBorder="1">
      <protection locked="0"/>
    </xf>
    <xf numFmtId="1" fontId="0" fillId="85" borderId="37" xfId="29" applyNumberFormat="1" applyFont="1" applyFill="1" applyBorder="1"/>
    <xf numFmtId="1" fontId="0" fillId="63" borderId="25" xfId="31" applyNumberFormat="1" applyFont="1" applyBorder="1" applyAlignment="1"/>
    <xf numFmtId="1" fontId="76" fillId="2" borderId="25" xfId="33" applyNumberFormat="1" applyFont="1" applyBorder="1">
      <protection locked="0"/>
    </xf>
    <xf numFmtId="2" fontId="31" fillId="122" borderId="0" xfId="30" applyNumberFormat="1" applyFont="1" applyFill="1" applyBorder="1"/>
    <xf numFmtId="2" fontId="0" fillId="122" borderId="0" xfId="30" applyNumberFormat="1" applyFont="1" applyFill="1" applyBorder="1"/>
    <xf numFmtId="2" fontId="0" fillId="122" borderId="0" xfId="30" applyNumberFormat="1" applyFont="1" applyFill="1" applyBorder="1" applyAlignment="1"/>
    <xf numFmtId="0" fontId="26" fillId="96" borderId="0" xfId="42" applyFont="1" applyFill="1" applyBorder="1">
      <alignment wrapText="1"/>
    </xf>
    <xf numFmtId="1" fontId="0" fillId="63" borderId="26" xfId="31" applyNumberFormat="1" applyFont="1" applyBorder="1"/>
    <xf numFmtId="1" fontId="0" fillId="85" borderId="93" xfId="29" applyNumberFormat="1" applyFont="1" applyFill="1" applyBorder="1"/>
    <xf numFmtId="1" fontId="0" fillId="2" borderId="26" xfId="33" applyNumberFormat="1" applyFont="1" applyBorder="1">
      <protection locked="0"/>
    </xf>
    <xf numFmtId="1" fontId="0" fillId="85" borderId="41" xfId="29" applyNumberFormat="1" applyFont="1" applyFill="1" applyBorder="1"/>
    <xf numFmtId="1" fontId="0" fillId="63" borderId="26" xfId="31" applyNumberFormat="1" applyFont="1" applyBorder="1" applyAlignment="1"/>
    <xf numFmtId="1" fontId="6" fillId="63" borderId="26" xfId="31" applyNumberFormat="1" applyBorder="1"/>
    <xf numFmtId="1" fontId="6" fillId="66" borderId="26" xfId="29" applyNumberFormat="1" applyBorder="1"/>
    <xf numFmtId="1" fontId="76" fillId="2" borderId="26" xfId="33" applyNumberFormat="1" applyFont="1" applyBorder="1">
      <protection locked="0"/>
    </xf>
    <xf numFmtId="168" fontId="0" fillId="67" borderId="35" xfId="30" applyNumberFormat="1" applyFont="1" applyBorder="1"/>
    <xf numFmtId="168" fontId="0" fillId="67" borderId="150" xfId="30" applyNumberFormat="1" applyFont="1" applyBorder="1"/>
    <xf numFmtId="168" fontId="0" fillId="67" borderId="25" xfId="30" applyNumberFormat="1" applyFont="1" applyBorder="1" applyAlignment="1"/>
    <xf numFmtId="1" fontId="31" fillId="93" borderId="0" xfId="29" applyNumberFormat="1" applyFont="1" applyFill="1" applyBorder="1"/>
    <xf numFmtId="1" fontId="0" fillId="93" borderId="0" xfId="29" applyNumberFormat="1" applyFont="1" applyFill="1" applyBorder="1"/>
    <xf numFmtId="1" fontId="0" fillId="93" borderId="0" xfId="31" applyNumberFormat="1" applyFont="1" applyFill="1" applyBorder="1"/>
    <xf numFmtId="1" fontId="0" fillId="93" borderId="0" xfId="33" applyNumberFormat="1" applyFont="1" applyFill="1" applyBorder="1">
      <protection locked="0"/>
    </xf>
    <xf numFmtId="1" fontId="0" fillId="93" borderId="0" xfId="31" applyNumberFormat="1" applyFont="1" applyFill="1" applyBorder="1" applyAlignment="1"/>
    <xf numFmtId="1" fontId="6" fillId="93" borderId="0" xfId="31" applyNumberFormat="1" applyFill="1" applyBorder="1"/>
    <xf numFmtId="1" fontId="6" fillId="93" borderId="0" xfId="29" applyNumberFormat="1" applyFill="1" applyBorder="1"/>
    <xf numFmtId="1" fontId="76" fillId="93" borderId="0" xfId="33" applyNumberFormat="1" applyFont="1" applyFill="1" applyBorder="1">
      <protection locked="0"/>
    </xf>
    <xf numFmtId="0" fontId="75" fillId="85" borderId="0" xfId="0" applyFont="1" applyFill="1" applyAlignment="1">
      <alignment horizontal="center" wrapText="1"/>
    </xf>
    <xf numFmtId="0" fontId="26" fillId="86" borderId="0" xfId="42" applyFont="1" applyFill="1" applyBorder="1" applyAlignment="1">
      <alignment horizontal="center" wrapText="1"/>
    </xf>
    <xf numFmtId="0" fontId="26" fillId="63" borderId="0" xfId="42" applyFont="1" applyFill="1" applyBorder="1">
      <alignment wrapText="1"/>
    </xf>
    <xf numFmtId="0" fontId="26" fillId="63" borderId="88" xfId="42" applyFont="1" applyFill="1" applyBorder="1">
      <alignment wrapText="1"/>
    </xf>
    <xf numFmtId="168" fontId="31" fillId="85" borderId="0" xfId="30" applyNumberFormat="1" applyFont="1" applyFill="1" applyBorder="1"/>
    <xf numFmtId="168" fontId="0" fillId="67" borderId="26" xfId="30" applyNumberFormat="1" applyFont="1" applyBorder="1"/>
    <xf numFmtId="168" fontId="0" fillId="67" borderId="149" xfId="30" applyNumberFormat="1" applyFont="1" applyBorder="1"/>
    <xf numFmtId="168" fontId="0" fillId="67" borderId="93" xfId="30" applyNumberFormat="1" applyFont="1" applyBorder="1"/>
    <xf numFmtId="168" fontId="0" fillId="67" borderId="26" xfId="30" applyNumberFormat="1" applyFont="1" applyBorder="1" applyAlignment="1"/>
    <xf numFmtId="180" fontId="6" fillId="64" borderId="25" xfId="32" applyNumberFormat="1" applyBorder="1"/>
    <xf numFmtId="168" fontId="6" fillId="64" borderId="25" xfId="32" applyNumberFormat="1" applyBorder="1"/>
    <xf numFmtId="168" fontId="6" fillId="64" borderId="35" xfId="32" applyNumberFormat="1" applyBorder="1"/>
    <xf numFmtId="2" fontId="6" fillId="64" borderId="150" xfId="32" applyNumberFormat="1" applyBorder="1"/>
    <xf numFmtId="2" fontId="6" fillId="64" borderId="25" xfId="32" applyNumberFormat="1" applyBorder="1"/>
    <xf numFmtId="2" fontId="6" fillId="64" borderId="25" xfId="32" applyNumberFormat="1" applyBorder="1" applyAlignment="1"/>
    <xf numFmtId="168" fontId="6" fillId="64" borderId="25" xfId="32" applyNumberFormat="1" applyBorder="1" applyAlignment="1"/>
    <xf numFmtId="168" fontId="0" fillId="85" borderId="0" xfId="30" applyNumberFormat="1" applyFont="1" applyFill="1" applyBorder="1"/>
    <xf numFmtId="168" fontId="0" fillId="85" borderId="0" xfId="30" applyNumberFormat="1" applyFont="1" applyFill="1" applyBorder="1" applyAlignment="1"/>
    <xf numFmtId="168" fontId="31" fillId="57" borderId="0" xfId="30" applyNumberFormat="1" applyFont="1" applyFill="1" applyBorder="1"/>
    <xf numFmtId="10" fontId="0" fillId="67" borderId="26" xfId="93" applyNumberFormat="1" applyFont="1" applyFill="1" applyBorder="1"/>
    <xf numFmtId="10" fontId="0" fillId="63" borderId="26" xfId="31" applyNumberFormat="1" applyFont="1" applyBorder="1"/>
    <xf numFmtId="10" fontId="0" fillId="67" borderId="93" xfId="93" applyNumberFormat="1" applyFont="1" applyFill="1" applyBorder="1"/>
    <xf numFmtId="0" fontId="0" fillId="2" borderId="150" xfId="33" applyNumberFormat="1" applyFont="1" applyBorder="1">
      <protection locked="0"/>
    </xf>
    <xf numFmtId="0" fontId="0" fillId="2" borderId="25" xfId="33" applyNumberFormat="1" applyFont="1" applyBorder="1">
      <protection locked="0"/>
    </xf>
    <xf numFmtId="0" fontId="0" fillId="2" borderId="35" xfId="33" applyNumberFormat="1" applyFont="1" applyBorder="1">
      <protection locked="0"/>
    </xf>
    <xf numFmtId="0" fontId="0" fillId="2" borderId="150" xfId="33" applyNumberFormat="1" applyFont="1" applyBorder="1" applyAlignment="1">
      <alignment horizontal="center"/>
      <protection locked="0"/>
    </xf>
    <xf numFmtId="0" fontId="0" fillId="2" borderId="25" xfId="33" applyNumberFormat="1" applyFont="1" applyBorder="1" applyAlignment="1">
      <alignment horizontal="center"/>
      <protection locked="0"/>
    </xf>
    <xf numFmtId="10" fontId="0" fillId="57" borderId="0" xfId="93" applyNumberFormat="1" applyFont="1" applyFill="1" applyBorder="1"/>
    <xf numFmtId="10" fontId="0" fillId="57" borderId="0" xfId="31" applyNumberFormat="1" applyFont="1" applyFill="1" applyBorder="1"/>
    <xf numFmtId="168" fontId="0" fillId="57" borderId="0" xfId="30" applyNumberFormat="1" applyFont="1" applyFill="1" applyBorder="1"/>
    <xf numFmtId="168" fontId="0" fillId="57" borderId="0" xfId="30" applyNumberFormat="1" applyFont="1" applyFill="1" applyBorder="1" applyAlignment="1"/>
    <xf numFmtId="0" fontId="31" fillId="124" borderId="0" xfId="42" applyFill="1" applyBorder="1">
      <alignment wrapText="1"/>
    </xf>
    <xf numFmtId="0" fontId="30" fillId="124" borderId="0" xfId="40" applyFont="1" applyFill="1" applyBorder="1" applyAlignment="1">
      <alignment wrapText="1"/>
    </xf>
    <xf numFmtId="0" fontId="26" fillId="73" borderId="0" xfId="42" applyFont="1" applyFill="1" applyBorder="1">
      <alignment wrapText="1"/>
    </xf>
    <xf numFmtId="0" fontId="27" fillId="73" borderId="0" xfId="40" applyFill="1" applyBorder="1" applyAlignment="1">
      <alignment wrapText="1"/>
    </xf>
    <xf numFmtId="0" fontId="31" fillId="74" borderId="0" xfId="40" applyFont="1" applyFill="1" applyBorder="1"/>
    <xf numFmtId="0" fontId="0" fillId="74" borderId="0" xfId="40" applyFont="1" applyFill="1" applyBorder="1"/>
    <xf numFmtId="0" fontId="0" fillId="74" borderId="0" xfId="40" applyFont="1" applyFill="1" applyBorder="1" applyAlignment="1">
      <alignment vertical="top" wrapText="1"/>
    </xf>
    <xf numFmtId="0" fontId="0" fillId="0" borderId="14" xfId="40" applyFont="1" applyBorder="1"/>
    <xf numFmtId="0" fontId="0" fillId="0" borderId="17" xfId="40" applyFont="1" applyBorder="1"/>
    <xf numFmtId="0" fontId="0" fillId="0" borderId="17" xfId="40" applyFont="1" applyBorder="1" applyAlignment="1">
      <alignment wrapText="1"/>
    </xf>
    <xf numFmtId="0" fontId="0" fillId="0" borderId="130" xfId="40" applyFont="1" applyBorder="1"/>
    <xf numFmtId="0" fontId="0" fillId="0" borderId="14" xfId="40" applyFont="1" applyBorder="1" applyAlignment="1">
      <alignment vertical="top" wrapText="1"/>
    </xf>
    <xf numFmtId="9" fontId="0" fillId="2" borderId="25" xfId="33" applyNumberFormat="1" applyFont="1" applyBorder="1" applyAlignment="1">
      <alignment horizontal="center" vertical="top" wrapText="1"/>
      <protection locked="0"/>
    </xf>
    <xf numFmtId="9" fontId="0" fillId="2" borderId="35" xfId="33" applyNumberFormat="1" applyFont="1" applyBorder="1" applyAlignment="1">
      <alignment horizontal="center" vertical="top" wrapText="1"/>
      <protection locked="0"/>
    </xf>
    <xf numFmtId="9" fontId="0" fillId="2" borderId="150" xfId="33" applyNumberFormat="1" applyFont="1" applyBorder="1" applyAlignment="1">
      <alignment horizontal="center" vertical="center" wrapText="1"/>
      <protection locked="0"/>
    </xf>
    <xf numFmtId="9" fontId="0" fillId="2" borderId="25" xfId="33" applyNumberFormat="1" applyFont="1" applyBorder="1" applyAlignment="1">
      <alignment horizontal="center" vertical="center" wrapText="1"/>
      <protection locked="0"/>
    </xf>
    <xf numFmtId="9" fontId="0" fillId="2" borderId="154" xfId="33" applyNumberFormat="1" applyFont="1" applyBorder="1" applyAlignment="1">
      <alignment horizontal="center" vertical="center" wrapText="1"/>
      <protection locked="0"/>
    </xf>
    <xf numFmtId="9" fontId="0" fillId="2" borderId="154" xfId="33" applyNumberFormat="1" applyFont="1" applyBorder="1" applyAlignment="1">
      <alignment horizontal="center" vertical="center"/>
      <protection locked="0"/>
    </xf>
    <xf numFmtId="9" fontId="0" fillId="2" borderId="25" xfId="33" applyNumberFormat="1" applyFont="1" applyBorder="1" applyAlignment="1">
      <alignment horizontal="center" vertical="center"/>
      <protection locked="0"/>
    </xf>
    <xf numFmtId="0" fontId="0" fillId="74" borderId="0" xfId="40" applyFont="1" applyFill="1" applyBorder="1" applyAlignment="1">
      <alignment wrapText="1"/>
    </xf>
    <xf numFmtId="0" fontId="0" fillId="74" borderId="0" xfId="40" applyFont="1" applyFill="1" applyBorder="1" applyAlignment="1">
      <alignment vertical="top"/>
    </xf>
    <xf numFmtId="0" fontId="0" fillId="74" borderId="0" xfId="0" applyFill="1" applyAlignment="1">
      <alignment vertical="top"/>
    </xf>
    <xf numFmtId="0" fontId="112" fillId="0" borderId="0" xfId="0" applyFont="1" applyAlignment="1">
      <alignment horizontal="right" wrapText="1"/>
    </xf>
    <xf numFmtId="0" fontId="19" fillId="80" borderId="1" xfId="52" applyFill="1" applyBorder="1" applyAlignment="1" applyProtection="1">
      <alignment vertical="top"/>
    </xf>
    <xf numFmtId="0" fontId="6" fillId="80" borderId="1" xfId="28" applyFill="1" applyAlignment="1">
      <alignment vertical="top" wrapText="1"/>
    </xf>
    <xf numFmtId="0" fontId="6" fillId="80" borderId="1" xfId="28" applyFill="1" applyAlignment="1">
      <alignment horizontal="left" vertical="top" wrapText="1"/>
    </xf>
    <xf numFmtId="0" fontId="0" fillId="90" borderId="0" xfId="0" applyFill="1"/>
    <xf numFmtId="0" fontId="0" fillId="90" borderId="0" xfId="0" applyFill="1" applyAlignment="1">
      <alignment wrapText="1"/>
    </xf>
    <xf numFmtId="0" fontId="6" fillId="59" borderId="1" xfId="28" applyFill="1" applyAlignment="1">
      <alignment horizontal="left" vertical="top" wrapText="1"/>
    </xf>
    <xf numFmtId="0" fontId="6" fillId="75" borderId="1" xfId="28" applyFill="1" applyAlignment="1">
      <alignment horizontal="left" vertical="top" wrapText="1"/>
    </xf>
    <xf numFmtId="0" fontId="19" fillId="80" borderId="1" xfId="52" applyFill="1" applyBorder="1" applyAlignment="1" applyProtection="1">
      <alignment vertical="top" wrapText="1"/>
    </xf>
    <xf numFmtId="0" fontId="19" fillId="75" borderId="1" xfId="52" applyFill="1" applyBorder="1" applyAlignment="1" applyProtection="1">
      <alignment horizontal="left" vertical="top" wrapText="1"/>
    </xf>
    <xf numFmtId="0" fontId="19" fillId="59" borderId="1" xfId="52" applyFill="1" applyBorder="1" applyAlignment="1" applyProtection="1">
      <alignment horizontal="left" vertical="top" wrapText="1"/>
    </xf>
    <xf numFmtId="0" fontId="154" fillId="0" borderId="0" xfId="0" applyFont="1"/>
    <xf numFmtId="0" fontId="138" fillId="0" borderId="0" xfId="0" applyFont="1"/>
    <xf numFmtId="0" fontId="155" fillId="40" borderId="9" xfId="37" applyFont="1" applyFill="1"/>
    <xf numFmtId="0" fontId="81" fillId="40" borderId="9" xfId="37" applyFont="1" applyFill="1"/>
    <xf numFmtId="0" fontId="120" fillId="40" borderId="0" xfId="0" applyFont="1" applyFill="1"/>
    <xf numFmtId="0" fontId="31" fillId="77" borderId="0" xfId="40" applyFont="1" applyFill="1" applyBorder="1" applyAlignment="1">
      <alignment horizontal="left" vertical="center"/>
    </xf>
    <xf numFmtId="0" fontId="24" fillId="106" borderId="9" xfId="37" applyFill="1" applyAlignment="1">
      <alignment horizontal="left" vertical="center"/>
    </xf>
    <xf numFmtId="168" fontId="6" fillId="66" borderId="1" xfId="29" applyNumberFormat="1" applyAlignment="1">
      <alignment horizontal="center" vertical="center"/>
    </xf>
    <xf numFmtId="168" fontId="24" fillId="0" borderId="9" xfId="37" applyNumberFormat="1"/>
    <xf numFmtId="0" fontId="0" fillId="126" borderId="0" xfId="0" applyFill="1"/>
    <xf numFmtId="2" fontId="0" fillId="59" borderId="0" xfId="0" applyNumberFormat="1" applyFill="1"/>
    <xf numFmtId="0" fontId="110" fillId="116" borderId="76" xfId="0" applyFont="1" applyFill="1" applyBorder="1" applyAlignment="1">
      <alignment horizontal="center" vertical="center"/>
    </xf>
    <xf numFmtId="0" fontId="110" fillId="116" borderId="77" xfId="0" applyFont="1" applyFill="1" applyBorder="1" applyAlignment="1">
      <alignment horizontal="center" vertical="center"/>
    </xf>
    <xf numFmtId="166" fontId="111" fillId="119" borderId="76" xfId="93" applyNumberFormat="1" applyFont="1" applyFill="1" applyBorder="1" applyAlignment="1">
      <alignment horizontal="center" vertical="center"/>
    </xf>
    <xf numFmtId="166" fontId="111" fillId="106" borderId="76" xfId="93" applyNumberFormat="1" applyFont="1" applyFill="1" applyBorder="1" applyAlignment="1">
      <alignment horizontal="center" vertical="center"/>
    </xf>
    <xf numFmtId="1" fontId="111" fillId="106" borderId="76" xfId="93" applyNumberFormat="1" applyFont="1" applyFill="1" applyBorder="1" applyAlignment="1">
      <alignment horizontal="center" vertical="center"/>
    </xf>
    <xf numFmtId="168" fontId="140" fillId="0" borderId="75" xfId="0" applyNumberFormat="1" applyFont="1" applyBorder="1" applyAlignment="1">
      <alignment vertical="top"/>
    </xf>
    <xf numFmtId="0" fontId="110" fillId="116" borderId="76" xfId="0" applyFont="1" applyFill="1" applyBorder="1" applyAlignment="1">
      <alignment horizontal="right" vertical="center"/>
    </xf>
    <xf numFmtId="0" fontId="110" fillId="116" borderId="77" xfId="0" applyFont="1" applyFill="1" applyBorder="1" applyAlignment="1">
      <alignment horizontal="right" vertical="center"/>
    </xf>
    <xf numFmtId="0" fontId="109" fillId="0" borderId="75" xfId="0" applyFont="1" applyBorder="1" applyAlignment="1">
      <alignment vertical="center"/>
    </xf>
    <xf numFmtId="1" fontId="109" fillId="0" borderId="76" xfId="0" applyNumberFormat="1" applyFont="1" applyBorder="1" applyAlignment="1">
      <alignment horizontal="center" vertical="center"/>
    </xf>
    <xf numFmtId="0" fontId="109" fillId="0" borderId="76" xfId="0" applyFont="1" applyBorder="1" applyAlignment="1">
      <alignment horizontal="center" vertical="center"/>
    </xf>
    <xf numFmtId="165" fontId="111" fillId="119" borderId="76" xfId="92" applyFont="1" applyFill="1" applyBorder="1" applyAlignment="1">
      <alignment horizontal="center" vertical="center"/>
    </xf>
    <xf numFmtId="165" fontId="111" fillId="106" borderId="76" xfId="92" applyFont="1" applyFill="1" applyBorder="1" applyAlignment="1">
      <alignment horizontal="center" vertical="center"/>
    </xf>
    <xf numFmtId="167" fontId="111" fillId="119" borderId="76" xfId="92" applyNumberFormat="1" applyFont="1" applyFill="1" applyBorder="1" applyAlignment="1">
      <alignment horizontal="center" vertical="center"/>
    </xf>
    <xf numFmtId="167" fontId="111" fillId="106" borderId="76" xfId="92" applyNumberFormat="1" applyFont="1" applyFill="1" applyBorder="1" applyAlignment="1">
      <alignment horizontal="center" vertical="center"/>
    </xf>
    <xf numFmtId="0" fontId="138" fillId="0" borderId="75" xfId="0" applyFont="1" applyBorder="1" applyAlignment="1">
      <alignment horizontal="left" vertical="center"/>
    </xf>
    <xf numFmtId="1" fontId="138" fillId="0" borderId="76" xfId="0" applyNumberFormat="1" applyFont="1" applyBorder="1" applyAlignment="1">
      <alignment horizontal="center" vertical="center"/>
    </xf>
    <xf numFmtId="0" fontId="138" fillId="0" borderId="76" xfId="0" applyFont="1" applyBorder="1" applyAlignment="1">
      <alignment horizontal="center" vertical="center"/>
    </xf>
    <xf numFmtId="167" fontId="139" fillId="119" borderId="76" xfId="92" applyNumberFormat="1" applyFont="1" applyFill="1" applyBorder="1" applyAlignment="1">
      <alignment horizontal="right" vertical="center"/>
    </xf>
    <xf numFmtId="167" fontId="139" fillId="106" borderId="76" xfId="92" applyNumberFormat="1" applyFont="1" applyFill="1" applyBorder="1" applyAlignment="1">
      <alignment horizontal="right" vertical="center"/>
    </xf>
    <xf numFmtId="166" fontId="111" fillId="119" borderId="76" xfId="93" applyNumberFormat="1" applyFont="1" applyFill="1" applyBorder="1" applyAlignment="1">
      <alignment horizontal="right" vertical="center"/>
    </xf>
    <xf numFmtId="166" fontId="111" fillId="106" borderId="76" xfId="93" applyNumberFormat="1" applyFont="1" applyFill="1" applyBorder="1" applyAlignment="1">
      <alignment horizontal="right" vertical="center"/>
    </xf>
    <xf numFmtId="10" fontId="111" fillId="119" borderId="76" xfId="93" applyNumberFormat="1" applyFont="1" applyFill="1" applyBorder="1" applyAlignment="1">
      <alignment horizontal="right" vertical="center"/>
    </xf>
    <xf numFmtId="10" fontId="111" fillId="106" borderId="76" xfId="93" applyNumberFormat="1" applyFont="1" applyFill="1" applyBorder="1" applyAlignment="1">
      <alignment horizontal="right" vertical="center"/>
    </xf>
    <xf numFmtId="167" fontId="111" fillId="119" borderId="76" xfId="92" applyNumberFormat="1" applyFont="1" applyFill="1" applyBorder="1" applyAlignment="1">
      <alignment horizontal="right" vertical="center"/>
    </xf>
    <xf numFmtId="167" fontId="111" fillId="106" borderId="76" xfId="92" applyNumberFormat="1" applyFont="1" applyFill="1" applyBorder="1" applyAlignment="1">
      <alignment horizontal="right" vertical="center"/>
    </xf>
    <xf numFmtId="166" fontId="0" fillId="2" borderId="1" xfId="33" applyNumberFormat="1" applyFont="1">
      <protection locked="0"/>
    </xf>
    <xf numFmtId="0" fontId="31" fillId="44" borderId="0" xfId="14" applyFont="1" applyAlignment="1">
      <alignment horizontal="center"/>
    </xf>
    <xf numFmtId="0" fontId="31" fillId="45" borderId="0" xfId="8" applyFont="1" applyAlignment="1">
      <alignment horizontal="center"/>
    </xf>
    <xf numFmtId="2" fontId="6" fillId="0" borderId="1" xfId="28" applyNumberFormat="1" applyAlignment="1">
      <alignment wrapText="1"/>
    </xf>
    <xf numFmtId="0" fontId="31" fillId="44" borderId="0" xfId="14" applyFont="1" applyAlignment="1">
      <alignment horizontal="left"/>
    </xf>
    <xf numFmtId="168" fontId="6" fillId="76" borderId="1" xfId="32" applyNumberFormat="1" applyFill="1"/>
    <xf numFmtId="0" fontId="6" fillId="0" borderId="1" xfId="28" applyAlignment="1">
      <alignment horizontal="left" vertical="top"/>
    </xf>
    <xf numFmtId="0" fontId="6" fillId="0" borderId="1" xfId="28" applyAlignment="1">
      <alignment horizontal="left" vertical="top" wrapText="1"/>
    </xf>
    <xf numFmtId="0" fontId="101" fillId="116" borderId="78" xfId="0" applyFont="1" applyFill="1" applyBorder="1"/>
    <xf numFmtId="0" fontId="27" fillId="0" borderId="80" xfId="0" applyFont="1" applyBorder="1" applyAlignment="1">
      <alignment vertical="center" wrapText="1"/>
    </xf>
    <xf numFmtId="0" fontId="141" fillId="121" borderId="80" xfId="0" applyFont="1" applyFill="1" applyBorder="1" applyAlignment="1">
      <alignment vertical="center" wrapText="1"/>
    </xf>
    <xf numFmtId="188" fontId="141" fillId="121" borderId="81" xfId="92" applyNumberFormat="1" applyFont="1" applyFill="1" applyBorder="1" applyAlignment="1">
      <alignment horizontal="center" vertical="center"/>
    </xf>
    <xf numFmtId="188" fontId="141" fillId="121" borderId="82" xfId="92" applyNumberFormat="1" applyFont="1" applyFill="1" applyBorder="1" applyAlignment="1">
      <alignment horizontal="center" vertical="center"/>
    </xf>
    <xf numFmtId="188" fontId="27" fillId="0" borderId="81" xfId="92" applyNumberFormat="1" applyFont="1" applyBorder="1" applyAlignment="1">
      <alignment horizontal="center" vertical="center"/>
    </xf>
    <xf numFmtId="188" fontId="27" fillId="0" borderId="82" xfId="92" applyNumberFormat="1" applyFont="1" applyBorder="1" applyAlignment="1">
      <alignment horizontal="center" vertical="center"/>
    </xf>
    <xf numFmtId="0" fontId="0" fillId="0" borderId="0" xfId="0" applyAlignment="1">
      <alignment horizontal="right"/>
    </xf>
    <xf numFmtId="168" fontId="6" fillId="0" borderId="1" xfId="28" applyNumberFormat="1"/>
    <xf numFmtId="1" fontId="6" fillId="0" borderId="1" xfId="28" applyNumberFormat="1"/>
    <xf numFmtId="167" fontId="111" fillId="106" borderId="76" xfId="92" applyNumberFormat="1" applyFont="1" applyFill="1" applyBorder="1" applyAlignment="1">
      <alignment vertical="center" wrapText="1"/>
    </xf>
    <xf numFmtId="167" fontId="111" fillId="106" borderId="77" xfId="92" applyNumberFormat="1" applyFont="1" applyFill="1" applyBorder="1" applyAlignment="1">
      <alignment vertical="center" wrapText="1"/>
    </xf>
    <xf numFmtId="0" fontId="159" fillId="0" borderId="0" xfId="0" applyFont="1" applyAlignment="1">
      <alignment horizontal="left" vertical="center" indent="3"/>
    </xf>
    <xf numFmtId="0" fontId="159" fillId="0" borderId="0" xfId="0" applyFont="1" applyAlignment="1">
      <alignment horizontal="left" vertical="center" indent="1"/>
    </xf>
    <xf numFmtId="0" fontId="159" fillId="0" borderId="0" xfId="0" applyFont="1" applyAlignment="1">
      <alignment horizontal="left" vertical="center"/>
    </xf>
    <xf numFmtId="0" fontId="26" fillId="0" borderId="0" xfId="0" applyFont="1" applyAlignment="1">
      <alignment horizontal="left"/>
    </xf>
    <xf numFmtId="0" fontId="109" fillId="0" borderId="0" xfId="0" applyFont="1" applyAlignment="1">
      <alignment horizontal="left" vertical="center" indent="3"/>
    </xf>
    <xf numFmtId="0" fontId="19" fillId="0" borderId="0" xfId="52" applyAlignment="1" applyProtection="1">
      <alignment horizontal="center" vertical="center"/>
    </xf>
    <xf numFmtId="0" fontId="2" fillId="0" borderId="0" xfId="90" applyFont="1"/>
    <xf numFmtId="0" fontId="26" fillId="106" borderId="117" xfId="0" applyFont="1" applyFill="1" applyBorder="1" applyAlignment="1">
      <alignment horizontal="center" vertical="center" wrapText="1"/>
    </xf>
    <xf numFmtId="0" fontId="26" fillId="106" borderId="118" xfId="0" applyFont="1" applyFill="1" applyBorder="1" applyAlignment="1">
      <alignment horizontal="center" vertical="center" wrapText="1"/>
    </xf>
    <xf numFmtId="0" fontId="146" fillId="106" borderId="0" xfId="0" applyFont="1" applyFill="1" applyAlignment="1">
      <alignment horizontal="left" vertical="center" wrapText="1"/>
    </xf>
    <xf numFmtId="0" fontId="31" fillId="40" borderId="0" xfId="42" applyAlignment="1">
      <alignment horizontal="center" wrapText="1"/>
    </xf>
    <xf numFmtId="0" fontId="150" fillId="40" borderId="0" xfId="0" applyFont="1" applyFill="1" applyAlignment="1">
      <alignment horizontal="left"/>
    </xf>
    <xf numFmtId="0" fontId="132" fillId="0" borderId="8" xfId="38" applyAlignment="1">
      <alignment horizontal="left"/>
    </xf>
    <xf numFmtId="0" fontId="11" fillId="122" borderId="26" xfId="28" applyFont="1" applyFill="1" applyBorder="1" applyAlignment="1">
      <alignment horizontal="left"/>
    </xf>
    <xf numFmtId="0" fontId="11" fillId="122" borderId="25" xfId="28" applyFont="1" applyFill="1" applyBorder="1" applyAlignment="1">
      <alignment horizontal="left"/>
    </xf>
    <xf numFmtId="0" fontId="31" fillId="125" borderId="88" xfId="42" applyFill="1" applyBorder="1" applyAlignment="1">
      <alignment horizontal="left" wrapText="1"/>
    </xf>
    <xf numFmtId="0" fontId="30" fillId="57" borderId="0" xfId="0" applyFont="1" applyFill="1" applyAlignment="1">
      <alignment horizontal="left"/>
    </xf>
    <xf numFmtId="0" fontId="156" fillId="40" borderId="9" xfId="37" applyFont="1" applyFill="1" applyAlignment="1">
      <alignment horizontal="left"/>
    </xf>
    <xf numFmtId="0" fontId="0" fillId="2" borderId="1" xfId="33" applyNumberFormat="1" applyFont="1" applyAlignment="1">
      <alignment horizontal="center"/>
      <protection locked="0"/>
    </xf>
    <xf numFmtId="0" fontId="151" fillId="106" borderId="0" xfId="0" applyFont="1" applyFill="1" applyAlignment="1">
      <alignment horizontal="right"/>
    </xf>
    <xf numFmtId="0" fontId="151" fillId="106" borderId="37" xfId="0" applyFont="1" applyFill="1" applyBorder="1" applyAlignment="1">
      <alignment horizontal="right"/>
    </xf>
    <xf numFmtId="0" fontId="6" fillId="0" borderId="1" xfId="28" applyAlignment="1">
      <alignment horizontal="center" vertical="top" wrapText="1"/>
    </xf>
    <xf numFmtId="0" fontId="110" fillId="116" borderId="92" xfId="0" applyFont="1" applyFill="1" applyBorder="1" applyAlignment="1">
      <alignment horizontal="center" vertical="center" wrapText="1"/>
    </xf>
    <xf numFmtId="0" fontId="110" fillId="116" borderId="0" xfId="0" applyFont="1" applyFill="1" applyAlignment="1">
      <alignment horizontal="center" vertical="center" wrapText="1"/>
    </xf>
    <xf numFmtId="0" fontId="159" fillId="0" borderId="0" xfId="0" applyFont="1" applyAlignment="1">
      <alignment horizontal="left" vertical="center"/>
    </xf>
    <xf numFmtId="0" fontId="31" fillId="44" borderId="0" xfId="14" applyFont="1" applyAlignment="1">
      <alignment horizontal="center"/>
    </xf>
    <xf numFmtId="0" fontId="31" fillId="45" borderId="0" xfId="8" applyFont="1" applyAlignment="1">
      <alignment horizontal="center"/>
    </xf>
    <xf numFmtId="0" fontId="0" fillId="0" borderId="98" xfId="0" applyBorder="1" applyAlignment="1">
      <alignment horizontal="center" vertical="top" wrapText="1"/>
    </xf>
    <xf numFmtId="0" fontId="0" fillId="0" borderId="99" xfId="0" applyBorder="1" applyAlignment="1">
      <alignment horizontal="center" vertical="top" wrapText="1"/>
    </xf>
    <xf numFmtId="0" fontId="0" fillId="0" borderId="100" xfId="0" applyBorder="1" applyAlignment="1">
      <alignment horizontal="center" vertical="top" wrapText="1"/>
    </xf>
    <xf numFmtId="0" fontId="0" fillId="0" borderId="92" xfId="0" applyBorder="1" applyAlignment="1">
      <alignment horizontal="center" vertical="top" wrapText="1"/>
    </xf>
    <xf numFmtId="0" fontId="0" fillId="0" borderId="0" xfId="0" applyAlignment="1">
      <alignment horizontal="center" vertical="top" wrapText="1"/>
    </xf>
    <xf numFmtId="0" fontId="0" fillId="0" borderId="101" xfId="0" applyBorder="1" applyAlignment="1">
      <alignment horizontal="center" vertical="top" wrapText="1"/>
    </xf>
    <xf numFmtId="0" fontId="31" fillId="92" borderId="0" xfId="0" applyFont="1" applyFill="1" applyAlignment="1">
      <alignment horizontal="center"/>
    </xf>
    <xf numFmtId="0" fontId="31" fillId="122" borderId="0" xfId="0" applyFont="1" applyFill="1" applyAlignment="1">
      <alignment horizontal="center" textRotation="90"/>
    </xf>
    <xf numFmtId="0" fontId="31" fillId="122" borderId="0" xfId="0" applyFont="1" applyFill="1" applyAlignment="1">
      <alignment horizontal="center"/>
    </xf>
    <xf numFmtId="0" fontId="31" fillId="93" borderId="0" xfId="42" applyFill="1" applyBorder="1" applyAlignment="1">
      <alignment horizontal="center" textRotation="90" wrapText="1"/>
    </xf>
    <xf numFmtId="0" fontId="31" fillId="93" borderId="0" xfId="0" applyFont="1" applyFill="1" applyAlignment="1">
      <alignment horizontal="center" wrapText="1"/>
    </xf>
    <xf numFmtId="0" fontId="31" fillId="94" borderId="0" xfId="42" applyFill="1" applyBorder="1" applyAlignment="1">
      <alignment horizontal="center" wrapText="1"/>
    </xf>
    <xf numFmtId="0" fontId="157" fillId="40" borderId="0" xfId="0" applyFont="1" applyFill="1" applyAlignment="1">
      <alignment horizontal="left"/>
    </xf>
    <xf numFmtId="0" fontId="31" fillId="40" borderId="0" xfId="0" applyFont="1" applyFill="1" applyAlignment="1">
      <alignment horizontal="center"/>
    </xf>
    <xf numFmtId="0" fontId="31" fillId="40" borderId="0" xfId="0" applyFont="1" applyFill="1" applyAlignment="1">
      <alignment horizontal="center" textRotation="90"/>
    </xf>
    <xf numFmtId="0" fontId="31" fillId="40" borderId="136" xfId="0" applyFont="1" applyFill="1" applyBorder="1" applyAlignment="1">
      <alignment horizontal="center"/>
    </xf>
    <xf numFmtId="0" fontId="31" fillId="92" borderId="0" xfId="0" applyFont="1" applyFill="1" applyAlignment="1">
      <alignment horizontal="center" textRotation="90"/>
    </xf>
    <xf numFmtId="0" fontId="0" fillId="85" borderId="132" xfId="0" applyFill="1" applyBorder="1" applyAlignment="1">
      <alignment horizontal="left"/>
    </xf>
    <xf numFmtId="0" fontId="0" fillId="85" borderId="133" xfId="0" applyFill="1" applyBorder="1" applyAlignment="1">
      <alignment horizontal="left"/>
    </xf>
    <xf numFmtId="0" fontId="0" fillId="85" borderId="134" xfId="0" applyFill="1" applyBorder="1" applyAlignment="1">
      <alignment horizontal="left"/>
    </xf>
    <xf numFmtId="0" fontId="31" fillId="77" borderId="0" xfId="0" applyFont="1" applyFill="1" applyAlignment="1">
      <alignment horizontal="center" textRotation="90"/>
    </xf>
    <xf numFmtId="0" fontId="31" fillId="77" borderId="136" xfId="0" applyFont="1" applyFill="1" applyBorder="1" applyAlignment="1">
      <alignment horizontal="center"/>
    </xf>
    <xf numFmtId="0" fontId="26" fillId="90" borderId="136" xfId="0" applyFont="1" applyFill="1" applyBorder="1" applyAlignment="1">
      <alignment horizontal="center"/>
    </xf>
    <xf numFmtId="0" fontId="30" fillId="74" borderId="0" xfId="0" applyFont="1" applyFill="1" applyAlignment="1">
      <alignment horizontal="center"/>
    </xf>
    <xf numFmtId="0" fontId="26" fillId="82" borderId="132" xfId="42" applyFont="1" applyFill="1" applyBorder="1" applyAlignment="1">
      <alignment horizontal="left" wrapText="1"/>
    </xf>
    <xf numFmtId="0" fontId="26" fillId="82" borderId="133" xfId="42" applyFont="1" applyFill="1" applyBorder="1" applyAlignment="1">
      <alignment horizontal="left" wrapText="1"/>
    </xf>
    <xf numFmtId="0" fontId="26" fillId="82" borderId="134" xfId="42" applyFont="1" applyFill="1" applyBorder="1" applyAlignment="1">
      <alignment horizontal="left" wrapText="1"/>
    </xf>
    <xf numFmtId="0" fontId="26" fillId="60" borderId="132" xfId="42" applyFont="1" applyFill="1" applyBorder="1" applyAlignment="1">
      <alignment horizontal="center" wrapText="1"/>
    </xf>
    <xf numFmtId="0" fontId="26" fillId="60" borderId="133" xfId="42" applyFont="1" applyFill="1" applyBorder="1" applyAlignment="1">
      <alignment horizontal="center" wrapText="1"/>
    </xf>
    <xf numFmtId="0" fontId="26" fillId="60" borderId="134" xfId="42" applyFont="1" applyFill="1" applyBorder="1" applyAlignment="1">
      <alignment horizontal="center" wrapText="1"/>
    </xf>
    <xf numFmtId="0" fontId="31" fillId="97" borderId="132" xfId="42" applyFill="1" applyBorder="1" applyAlignment="1">
      <alignment horizontal="left" wrapText="1"/>
    </xf>
    <xf numFmtId="0" fontId="31" fillId="97" borderId="133" xfId="42" applyFill="1" applyBorder="1" applyAlignment="1">
      <alignment horizontal="left" wrapText="1"/>
    </xf>
    <xf numFmtId="0" fontId="31" fillId="97" borderId="134" xfId="42" applyFill="1" applyBorder="1" applyAlignment="1">
      <alignment horizontal="left" wrapText="1"/>
    </xf>
    <xf numFmtId="0" fontId="31" fillId="97" borderId="132" xfId="42" applyFill="1" applyBorder="1" applyAlignment="1">
      <alignment horizontal="center" wrapText="1"/>
    </xf>
    <xf numFmtId="0" fontId="31" fillId="97" borderId="133" xfId="42" applyFill="1" applyBorder="1" applyAlignment="1">
      <alignment horizontal="center" wrapText="1"/>
    </xf>
    <xf numFmtId="0" fontId="31" fillId="97" borderId="134" xfId="42" applyFill="1" applyBorder="1" applyAlignment="1">
      <alignment horizontal="center" wrapText="1"/>
    </xf>
    <xf numFmtId="0" fontId="31" fillId="83" borderId="132" xfId="42" applyFill="1" applyBorder="1" applyAlignment="1">
      <alignment horizontal="center" wrapText="1"/>
    </xf>
    <xf numFmtId="0" fontId="31" fillId="83" borderId="133" xfId="42" applyFill="1" applyBorder="1" applyAlignment="1">
      <alignment horizontal="center" wrapText="1"/>
    </xf>
    <xf numFmtId="0" fontId="31" fillId="83" borderId="134" xfId="42" applyFill="1" applyBorder="1" applyAlignment="1">
      <alignment horizontal="center" wrapText="1"/>
    </xf>
    <xf numFmtId="0" fontId="31" fillId="89" borderId="148" xfId="42" applyFill="1" applyBorder="1" applyAlignment="1">
      <alignment horizontal="center" wrapText="1"/>
    </xf>
    <xf numFmtId="0" fontId="31" fillId="89" borderId="0" xfId="42" applyFill="1" applyBorder="1" applyAlignment="1">
      <alignment horizontal="center" wrapText="1"/>
    </xf>
    <xf numFmtId="0" fontId="26" fillId="85" borderId="0" xfId="42" applyFont="1" applyFill="1" applyBorder="1" applyAlignment="1">
      <alignment horizontal="center" textRotation="90" wrapText="1"/>
    </xf>
    <xf numFmtId="0" fontId="26" fillId="86" borderId="0" xfId="42" applyFont="1" applyFill="1" applyBorder="1" applyAlignment="1">
      <alignment horizontal="center" wrapText="1"/>
    </xf>
    <xf numFmtId="0" fontId="31" fillId="57" borderId="0" xfId="42" applyFill="1" applyBorder="1" applyAlignment="1">
      <alignment horizontal="center" textRotation="90" wrapText="1"/>
    </xf>
    <xf numFmtId="0" fontId="31" fillId="57" borderId="0" xfId="0" applyFont="1" applyFill="1" applyAlignment="1">
      <alignment horizontal="center"/>
    </xf>
    <xf numFmtId="0" fontId="31" fillId="74" borderId="0" xfId="0" applyFont="1" applyFill="1" applyAlignment="1">
      <alignment horizontal="center" textRotation="90"/>
    </xf>
    <xf numFmtId="0" fontId="31" fillId="74" borderId="0" xfId="0" applyFont="1" applyFill="1" applyAlignment="1">
      <alignment horizontal="center"/>
    </xf>
    <xf numFmtId="0" fontId="0" fillId="0" borderId="12" xfId="40" applyFont="1" applyBorder="1" applyAlignment="1">
      <alignment horizontal="center" vertical="center"/>
    </xf>
    <xf numFmtId="0" fontId="0" fillId="0" borderId="11" xfId="40" applyFont="1" applyBorder="1" applyAlignment="1">
      <alignment horizontal="center" vertical="center"/>
    </xf>
    <xf numFmtId="0" fontId="27" fillId="85" borderId="132" xfId="40" applyFill="1" applyBorder="1" applyAlignment="1">
      <alignment horizontal="left" wrapText="1"/>
    </xf>
    <xf numFmtId="0" fontId="27" fillId="85" borderId="133" xfId="40" applyFill="1" applyBorder="1" applyAlignment="1">
      <alignment horizontal="left" wrapText="1"/>
    </xf>
    <xf numFmtId="0" fontId="27" fillId="85" borderId="134" xfId="40" applyFill="1" applyBorder="1" applyAlignment="1">
      <alignment horizontal="left" wrapText="1"/>
    </xf>
    <xf numFmtId="0" fontId="0" fillId="0" borderId="13" xfId="40" applyFont="1" applyBorder="1" applyAlignment="1">
      <alignment horizontal="center" vertical="center"/>
    </xf>
    <xf numFmtId="0" fontId="30" fillId="97" borderId="0" xfId="40" applyFont="1" applyFill="1" applyBorder="1" applyAlignment="1">
      <alignment horizontal="left" wrapText="1"/>
    </xf>
    <xf numFmtId="0" fontId="30" fillId="97" borderId="0" xfId="40" applyFont="1" applyFill="1" applyBorder="1" applyAlignment="1">
      <alignment horizontal="left"/>
    </xf>
    <xf numFmtId="0" fontId="31" fillId="7" borderId="0" xfId="21" applyFont="1" applyAlignment="1">
      <alignment horizontal="center" textRotation="90"/>
    </xf>
    <xf numFmtId="0" fontId="31" fillId="7" borderId="136" xfId="21" applyFont="1" applyBorder="1" applyAlignment="1">
      <alignment horizontal="center"/>
    </xf>
    <xf numFmtId="0" fontId="26" fillId="90" borderId="0" xfId="42" applyFont="1" applyFill="1" applyBorder="1" applyAlignment="1">
      <alignment horizontal="center" textRotation="90" wrapText="1"/>
    </xf>
    <xf numFmtId="0" fontId="73" fillId="71" borderId="0" xfId="0" applyFont="1" applyFill="1" applyAlignment="1">
      <alignment horizontal="center" wrapText="1"/>
    </xf>
    <xf numFmtId="0" fontId="49" fillId="40" borderId="0" xfId="94" applyFont="1" applyFill="1" applyAlignment="1">
      <alignment horizontal="center"/>
    </xf>
    <xf numFmtId="0" fontId="49" fillId="40" borderId="0" xfId="94" applyFont="1" applyFill="1" applyAlignment="1">
      <alignment horizontal="center" vertical="center" wrapText="1"/>
    </xf>
    <xf numFmtId="0" fontId="49" fillId="40" borderId="37" xfId="94" applyFont="1" applyFill="1" applyBorder="1" applyAlignment="1">
      <alignment horizontal="center" vertical="center" wrapText="1"/>
    </xf>
    <xf numFmtId="0" fontId="72" fillId="81" borderId="0" xfId="94" applyFont="1" applyFill="1" applyAlignment="1">
      <alignment horizontal="center" vertical="center" wrapText="1"/>
    </xf>
    <xf numFmtId="0" fontId="72" fillId="81" borderId="37" xfId="94" applyFont="1" applyFill="1" applyBorder="1" applyAlignment="1">
      <alignment horizontal="center" vertical="center" wrapText="1"/>
    </xf>
    <xf numFmtId="0" fontId="49" fillId="89" borderId="0" xfId="94" applyFont="1" applyFill="1" applyAlignment="1">
      <alignment horizontal="center" vertical="center" wrapText="1"/>
    </xf>
    <xf numFmtId="0" fontId="49" fillId="89" borderId="37" xfId="94" applyFont="1" applyFill="1" applyBorder="1" applyAlignment="1">
      <alignment horizontal="center" vertical="center" wrapText="1"/>
    </xf>
    <xf numFmtId="0" fontId="73" fillId="71" borderId="37" xfId="0" applyFont="1" applyFill="1" applyBorder="1" applyAlignment="1">
      <alignment horizontal="center" wrapText="1"/>
    </xf>
    <xf numFmtId="1" fontId="31" fillId="40" borderId="0" xfId="42" applyNumberFormat="1" applyAlignment="1">
      <alignment horizontal="center" wrapText="1"/>
    </xf>
    <xf numFmtId="1" fontId="27" fillId="0" borderId="0" xfId="0" applyNumberFormat="1" applyFont="1" applyAlignment="1">
      <alignment horizontal="left" wrapText="1"/>
    </xf>
    <xf numFmtId="0" fontId="31" fillId="93" borderId="75" xfId="40" applyFont="1" applyFill="1" applyBorder="1" applyAlignment="1">
      <alignment horizontal="left" wrapText="1"/>
    </xf>
    <xf numFmtId="0" fontId="31" fillId="93" borderId="76" xfId="40" applyFont="1" applyFill="1" applyBorder="1" applyAlignment="1">
      <alignment horizontal="left" wrapText="1"/>
    </xf>
    <xf numFmtId="0" fontId="31" fillId="93" borderId="77" xfId="40" applyFont="1" applyFill="1" applyBorder="1" applyAlignment="1">
      <alignment horizontal="left" wrapText="1"/>
    </xf>
    <xf numFmtId="0" fontId="124" fillId="0" borderId="73" xfId="94" applyFont="1" applyBorder="1" applyAlignment="1">
      <alignment horizontal="center" vertical="center"/>
    </xf>
    <xf numFmtId="0" fontId="124" fillId="0" borderId="51" xfId="94" applyFont="1" applyBorder="1" applyAlignment="1">
      <alignment horizontal="center" vertical="center"/>
    </xf>
    <xf numFmtId="0" fontId="124" fillId="0" borderId="54" xfId="94" applyFont="1" applyBorder="1" applyAlignment="1">
      <alignment horizontal="center" vertical="center"/>
    </xf>
    <xf numFmtId="0" fontId="124" fillId="0" borderId="60" xfId="94" applyFont="1" applyBorder="1" applyAlignment="1">
      <alignment horizontal="left" vertical="center"/>
    </xf>
    <xf numFmtId="0" fontId="124" fillId="0" borderId="62" xfId="94" applyFont="1" applyBorder="1" applyAlignment="1">
      <alignment horizontal="left" vertical="center"/>
    </xf>
    <xf numFmtId="0" fontId="124" fillId="0" borderId="71" xfId="94" applyFont="1" applyBorder="1" applyAlignment="1">
      <alignment horizontal="center" vertical="center"/>
    </xf>
    <xf numFmtId="0" fontId="99" fillId="110" borderId="20" xfId="90" applyFont="1" applyFill="1" applyBorder="1" applyAlignment="1">
      <alignment horizontal="center" vertical="center" wrapText="1"/>
    </xf>
    <xf numFmtId="0" fontId="96" fillId="110" borderId="20" xfId="90" applyFont="1" applyFill="1" applyBorder="1" applyAlignment="1">
      <alignment horizontal="center" vertical="center"/>
    </xf>
    <xf numFmtId="0" fontId="99" fillId="110" borderId="20" xfId="90" applyFont="1" applyFill="1" applyBorder="1" applyAlignment="1">
      <alignment horizontal="center" vertical="center"/>
    </xf>
    <xf numFmtId="0" fontId="79" fillId="2" borderId="1" xfId="33" applyNumberFormat="1" applyFont="1" applyAlignment="1">
      <alignment horizontal="left"/>
      <protection locked="0"/>
    </xf>
    <xf numFmtId="0" fontId="79" fillId="2" borderId="41" xfId="33" applyNumberFormat="1" applyFont="1" applyBorder="1" applyAlignment="1">
      <alignment horizontal="center"/>
      <protection locked="0"/>
    </xf>
    <xf numFmtId="0" fontId="79" fillId="2" borderId="0" xfId="33" applyNumberFormat="1" applyFont="1" applyBorder="1" applyAlignment="1">
      <alignment horizontal="center"/>
      <protection locked="0"/>
    </xf>
    <xf numFmtId="0" fontId="79" fillId="3" borderId="41" xfId="34" applyNumberFormat="1" applyFont="1" applyBorder="1" applyAlignment="1">
      <alignment horizontal="center" vertical="center"/>
    </xf>
    <xf numFmtId="0" fontId="79" fillId="3" borderId="0" xfId="34" applyNumberFormat="1" applyFont="1" applyBorder="1" applyAlignment="1">
      <alignment horizontal="center" vertical="center"/>
    </xf>
    <xf numFmtId="167" fontId="78" fillId="4" borderId="41" xfId="92" applyNumberFormat="1" applyFont="1" applyFill="1" applyBorder="1" applyAlignment="1" applyProtection="1">
      <alignment horizontal="center"/>
      <protection locked="0"/>
    </xf>
    <xf numFmtId="167" fontId="78" fillId="4" borderId="0" xfId="92" applyNumberFormat="1" applyFont="1" applyFill="1" applyBorder="1" applyAlignment="1" applyProtection="1">
      <alignment horizontal="center"/>
      <protection locked="0"/>
    </xf>
    <xf numFmtId="0" fontId="6" fillId="0" borderId="1" xfId="28" applyAlignment="1">
      <alignment horizontal="left"/>
    </xf>
    <xf numFmtId="0" fontId="81" fillId="40" borderId="0" xfId="42" applyFont="1" applyAlignment="1">
      <alignment horizontal="center" wrapText="1"/>
    </xf>
    <xf numFmtId="0" fontId="79" fillId="0" borderId="26" xfId="28" applyFont="1" applyBorder="1" applyAlignment="1">
      <alignment horizontal="center"/>
    </xf>
    <xf numFmtId="0" fontId="79" fillId="0" borderId="42" xfId="28" applyFont="1" applyBorder="1" applyAlignment="1">
      <alignment horizontal="center"/>
    </xf>
    <xf numFmtId="0" fontId="79" fillId="0" borderId="25" xfId="28" applyFont="1" applyBorder="1" applyAlignment="1">
      <alignment horizontal="center"/>
    </xf>
    <xf numFmtId="0" fontId="80" fillId="0" borderId="37" xfId="0" applyFont="1" applyBorder="1" applyAlignment="1">
      <alignment horizontal="center" vertical="center"/>
    </xf>
    <xf numFmtId="0" fontId="81" fillId="40" borderId="16" xfId="42" applyFont="1" applyBorder="1" applyAlignment="1">
      <alignment horizontal="center" wrapText="1"/>
    </xf>
    <xf numFmtId="0" fontId="19" fillId="2" borderId="41" xfId="52" applyNumberFormat="1" applyFill="1" applyBorder="1" applyAlignment="1">
      <alignment horizontal="left" vertical="top"/>
      <protection locked="0"/>
    </xf>
    <xf numFmtId="0" fontId="116" fillId="2" borderId="0" xfId="52" applyNumberFormat="1" applyFont="1" applyFill="1" applyBorder="1" applyAlignment="1">
      <alignment horizontal="left" vertical="top"/>
      <protection locked="0"/>
    </xf>
    <xf numFmtId="0" fontId="79" fillId="2" borderId="26" xfId="33" applyNumberFormat="1" applyFont="1" applyBorder="1" applyAlignment="1">
      <alignment horizontal="center"/>
      <protection locked="0"/>
    </xf>
    <xf numFmtId="0" fontId="79" fillId="2" borderId="42" xfId="33" applyNumberFormat="1" applyFont="1" applyBorder="1" applyAlignment="1">
      <alignment horizontal="center"/>
      <protection locked="0"/>
    </xf>
    <xf numFmtId="0" fontId="79" fillId="2" borderId="25" xfId="33" applyNumberFormat="1" applyFont="1" applyBorder="1" applyAlignment="1">
      <alignment horizontal="center"/>
      <protection locked="0"/>
    </xf>
    <xf numFmtId="0" fontId="79" fillId="2" borderId="84" xfId="33" applyNumberFormat="1" applyFont="1" applyBorder="1" applyAlignment="1">
      <alignment horizontal="center"/>
      <protection locked="0"/>
    </xf>
    <xf numFmtId="0" fontId="79" fillId="2" borderId="85" xfId="33" applyNumberFormat="1" applyFont="1" applyBorder="1" applyAlignment="1">
      <alignment horizontal="center"/>
      <protection locked="0"/>
    </xf>
    <xf numFmtId="0" fontId="79" fillId="2" borderId="89" xfId="33" applyNumberFormat="1" applyFont="1" applyBorder="1" applyAlignment="1">
      <alignment horizontal="left"/>
      <protection locked="0"/>
    </xf>
    <xf numFmtId="0" fontId="79" fillId="2" borderId="90" xfId="33" applyNumberFormat="1" applyFont="1" applyBorder="1" applyAlignment="1">
      <alignment horizontal="left"/>
      <protection locked="0"/>
    </xf>
    <xf numFmtId="0" fontId="108" fillId="2" borderId="1" xfId="33" applyNumberFormat="1" applyFont="1" applyAlignment="1">
      <alignment horizontal="left"/>
      <protection locked="0"/>
    </xf>
    <xf numFmtId="0" fontId="27" fillId="2" borderId="1" xfId="33" applyNumberFormat="1" applyAlignment="1">
      <alignment horizontal="left"/>
      <protection locked="0"/>
    </xf>
    <xf numFmtId="0" fontId="79" fillId="2" borderId="41" xfId="33" applyNumberFormat="1" applyFont="1" applyBorder="1" applyAlignment="1">
      <alignment horizontal="left" wrapText="1"/>
      <protection locked="0"/>
    </xf>
    <xf numFmtId="0" fontId="79" fillId="2" borderId="0" xfId="33" applyNumberFormat="1" applyFont="1" applyBorder="1" applyAlignment="1">
      <alignment horizontal="left" wrapText="1"/>
      <protection locked="0"/>
    </xf>
    <xf numFmtId="0" fontId="27" fillId="2" borderId="41" xfId="33" applyNumberFormat="1" applyBorder="1" applyAlignment="1">
      <alignment horizontal="left" wrapText="1"/>
      <protection locked="0"/>
    </xf>
    <xf numFmtId="0" fontId="27" fillId="2" borderId="0" xfId="33" applyNumberFormat="1" applyBorder="1" applyAlignment="1">
      <alignment horizontal="left" wrapText="1"/>
      <protection locked="0"/>
    </xf>
    <xf numFmtId="0" fontId="81" fillId="40" borderId="0" xfId="42" applyFont="1" applyAlignment="1">
      <alignment horizontal="left" wrapText="1"/>
    </xf>
    <xf numFmtId="0" fontId="118" fillId="0" borderId="0" xfId="99" applyBorder="1" applyAlignment="1">
      <alignment horizontal="left"/>
    </xf>
  </cellXfs>
  <cellStyles count="103">
    <cellStyle name="20% - Accent1" xfId="1" builtinId="30" customBuiltin="1"/>
    <cellStyle name="20% - Accent10" xfId="82" xr:uid="{00000000-0005-0000-0000-000001000000}"/>
    <cellStyle name="20% - Accent11" xfId="83" xr:uid="{00000000-0005-0000-0000-000002000000}"/>
    <cellStyle name="20% - Accent12" xfId="84" xr:uid="{00000000-0005-0000-0000-000003000000}"/>
    <cellStyle name="20% - Accent2" xfId="2" builtinId="34" customBuiltin="1"/>
    <cellStyle name="20% - Accent3" xfId="3" builtinId="38" customBuiltin="1"/>
    <cellStyle name="20% - Accent4" xfId="4" builtinId="42" customBuiltin="1"/>
    <cellStyle name="20% - Accent5" xfId="5" builtinId="46" customBuiltin="1"/>
    <cellStyle name="20% - Accent6" xfId="6" builtinId="50" customBuiltin="1"/>
    <cellStyle name="20% - Accent7" xfId="79" xr:uid="{00000000-0005-0000-0000-000009000000}"/>
    <cellStyle name="20% - Accent8" xfId="80" xr:uid="{00000000-0005-0000-0000-00000A000000}"/>
    <cellStyle name="20% - Accent9" xfId="81" xr:uid="{00000000-0005-0000-0000-00000B000000}"/>
    <cellStyle name="40% - Accent1" xfId="7" builtinId="31" customBuiltin="1"/>
    <cellStyle name="40% - Accent10" xfId="76" xr:uid="{00000000-0005-0000-0000-00000D000000}"/>
    <cellStyle name="40% - Accent11" xfId="77" xr:uid="{00000000-0005-0000-0000-00000E000000}"/>
    <cellStyle name="40% - Accent12" xfId="78" xr:uid="{00000000-0005-0000-0000-00000F000000}"/>
    <cellStyle name="40% - Accent2" xfId="8" builtinId="35" customBuiltin="1"/>
    <cellStyle name="40% - Accent3" xfId="9" builtinId="39" customBuiltin="1"/>
    <cellStyle name="40% - Accent4" xfId="10" builtinId="43" customBuiltin="1"/>
    <cellStyle name="40% - Accent5" xfId="11" builtinId="47" customBuiltin="1"/>
    <cellStyle name="40% - Accent6" xfId="12" builtinId="51" customBuiltin="1"/>
    <cellStyle name="40% - Accent7" xfId="73" xr:uid="{00000000-0005-0000-0000-000015000000}"/>
    <cellStyle name="40% - Accent8" xfId="74" xr:uid="{00000000-0005-0000-0000-000016000000}"/>
    <cellStyle name="40% - Accent9" xfId="75" xr:uid="{00000000-0005-0000-0000-000017000000}"/>
    <cellStyle name="60% - Accent1" xfId="13" builtinId="32" customBuiltin="1"/>
    <cellStyle name="60% - Accent10" xfId="70" xr:uid="{00000000-0005-0000-0000-000019000000}"/>
    <cellStyle name="60% - Accent11" xfId="71" xr:uid="{00000000-0005-0000-0000-00001A000000}"/>
    <cellStyle name="60% - Accent12" xfId="72" xr:uid="{00000000-0005-0000-0000-00001B000000}"/>
    <cellStyle name="60% - Accent2" xfId="14" builtinId="36" customBuiltin="1"/>
    <cellStyle name="60% - Accent3" xfId="15" builtinId="40" customBuiltin="1"/>
    <cellStyle name="60% - Accent4" xfId="16" builtinId="44" customBuiltin="1"/>
    <cellStyle name="60% - Accent5" xfId="17" builtinId="48" customBuiltin="1"/>
    <cellStyle name="60% - Accent6" xfId="18" builtinId="52" customBuiltin="1"/>
    <cellStyle name="60% - Accent7" xfId="67" xr:uid="{00000000-0005-0000-0000-000021000000}"/>
    <cellStyle name="60% - Accent8" xfId="68" xr:uid="{00000000-0005-0000-0000-000022000000}"/>
    <cellStyle name="60% - Accent9" xfId="69" xr:uid="{00000000-0005-0000-0000-000023000000}"/>
    <cellStyle name="Accent1" xfId="19" builtinId="29" customBuiltin="1"/>
    <cellStyle name="Accent10" xfId="64" xr:uid="{00000000-0005-0000-0000-000025000000}"/>
    <cellStyle name="Accent11" xfId="65" xr:uid="{00000000-0005-0000-0000-000026000000}"/>
    <cellStyle name="Accent12" xfId="66" xr:uid="{00000000-0005-0000-0000-000027000000}"/>
    <cellStyle name="Accent2" xfId="20" builtinId="33" customBuiltin="1"/>
    <cellStyle name="Accent3" xfId="21" builtinId="37" customBuiltin="1"/>
    <cellStyle name="Accent4" xfId="22" builtinId="41" customBuiltin="1"/>
    <cellStyle name="Accent5" xfId="23" builtinId="45" customBuiltin="1"/>
    <cellStyle name="Accent6" xfId="24" builtinId="49" customBuiltin="1"/>
    <cellStyle name="Accent7" xfId="61" xr:uid="{00000000-0005-0000-0000-00002D000000}"/>
    <cellStyle name="Accent8" xfId="62" xr:uid="{00000000-0005-0000-0000-00002E000000}"/>
    <cellStyle name="Accent9" xfId="63" xr:uid="{00000000-0005-0000-0000-00002F000000}"/>
    <cellStyle name="Bad" xfId="25" builtinId="27" customBuiltin="1"/>
    <cellStyle name="Bad 2" xfId="91" xr:uid="{459ABA6C-4787-451F-8412-EA1BE5484C3F}"/>
    <cellStyle name="Calculation" xfId="26" builtinId="22" customBuiltin="1"/>
    <cellStyle name="Check Cell" xfId="27" builtinId="23" customBuiltin="1"/>
    <cellStyle name="Comma" xfId="92" builtinId="3"/>
    <cellStyle name="Explanatory Text" xfId="45" builtinId="53" customBuiltin="1"/>
    <cellStyle name="Followed Hyperlink" xfId="46" builtinId="9" customBuiltin="1"/>
    <cellStyle name="Good" xfId="47" builtinId="26" customBuiltin="1"/>
    <cellStyle name="Heading 1" xfId="48" builtinId="16" hidden="1" customBuiltin="1"/>
    <cellStyle name="Heading 2" xfId="49" builtinId="17" hidden="1" customBuiltin="1"/>
    <cellStyle name="Heading 3" xfId="50" builtinId="18" hidden="1" customBuiltin="1"/>
    <cellStyle name="Heading 4" xfId="51" builtinId="19" hidden="1" customBuiltin="1"/>
    <cellStyle name="Hyperlink" xfId="52" builtinId="8" customBuiltin="1"/>
    <cellStyle name="Input" xfId="53" builtinId="20" customBuiltin="1"/>
    <cellStyle name="Linked Cell" xfId="54" builtinId="24" customBuiltin="1"/>
    <cellStyle name="Milliers 2" xfId="101" xr:uid="{1FAAB04B-1060-4C37-9040-B23A882BD7FC}"/>
    <cellStyle name="Neutral" xfId="55" builtinId="28" customBuiltin="1"/>
    <cellStyle name="Normaallaad 7" xfId="98" xr:uid="{2652F94F-26B7-41D2-953C-3B714D623E3D}"/>
    <cellStyle name="Normal" xfId="0" builtinId="0" customBuiltin="1"/>
    <cellStyle name="Normal 2" xfId="90" xr:uid="{84D34AD9-606F-4918-9559-1D334D0B784F}"/>
    <cellStyle name="Normal 3" xfId="94" xr:uid="{7D5A8270-2729-4B10-B654-3AA8BC35D64A}"/>
    <cellStyle name="Normal 4" xfId="96" xr:uid="{A2BC035C-9E7E-4B70-970D-594A7F5649BD}"/>
    <cellStyle name="Normal 5" xfId="100" xr:uid="{0DC0C571-8C56-44E5-88D6-BA26DEED611F}"/>
    <cellStyle name="Note" xfId="56" builtinId="10" customBuiltin="1"/>
    <cellStyle name="Output" xfId="57" builtinId="21" customBuiltin="1"/>
    <cellStyle name="Percent" xfId="93" builtinId="5"/>
    <cellStyle name="Percent 2" xfId="95" xr:uid="{60ACC550-2A53-4CE0-81D9-F948DEE2E750}"/>
    <cellStyle name="Percent 3" xfId="97" xr:uid="{34B0E7E2-7C54-4CED-B0E2-EE45CBC3B906}"/>
    <cellStyle name="Pourcentage 2" xfId="102" xr:uid="{0AD6E86C-EFFB-4F2B-8D7D-247FCC435E40}"/>
    <cellStyle name="Title" xfId="58" builtinId="15" hidden="1" customBuiltin="1"/>
    <cellStyle name="Title 3" xfId="99" xr:uid="{AB24E1CA-8AE6-429E-8E35-4982AF405727}"/>
    <cellStyle name="Total" xfId="59" builtinId="25" hidden="1" customBuiltin="1"/>
    <cellStyle name="Tri_Calculation0" xfId="28" xr:uid="{00000000-0005-0000-0000-000033000000}"/>
    <cellStyle name="Tri_Calculation1" xfId="29" xr:uid="{00000000-0005-0000-0000-000034000000}"/>
    <cellStyle name="Tri_Calculation2" xfId="30" xr:uid="{00000000-0005-0000-0000-000035000000}"/>
    <cellStyle name="Tri_Calculation3" xfId="31" xr:uid="{00000000-0005-0000-0000-000036000000}"/>
    <cellStyle name="Tri_Calculation4" xfId="32" xr:uid="{00000000-0005-0000-0000-000037000000}"/>
    <cellStyle name="Tri_CalculationSum" xfId="89" xr:uid="{750B31F8-46A4-4AD2-BE86-313343C8D8C3}"/>
    <cellStyle name="Tri_Check" xfId="86" xr:uid="{E9D505EA-3394-40F6-B0DB-93040479CEDB}"/>
    <cellStyle name="Tri_Comment" xfId="85" xr:uid="{66C6F4E0-BA32-4997-B7CE-4D3761AB5D51}"/>
    <cellStyle name="Tri_Input1" xfId="33" xr:uid="{00000000-0005-0000-0000-00003C000000}"/>
    <cellStyle name="Tri_InputFixed" xfId="34" xr:uid="{00000000-0005-0000-0000-00003E000000}"/>
    <cellStyle name="Tri_InputList" xfId="35" xr:uid="{00000000-0005-0000-0000-00003F000000}"/>
    <cellStyle name="Tri_InputWhite" xfId="36" xr:uid="{00000000-0005-0000-0000-000040000000}"/>
    <cellStyle name="Tri_RangeName" xfId="87" xr:uid="{86F102AE-F783-4578-9328-5C2214920078}"/>
    <cellStyle name="Tri_SecTitle1" xfId="37" xr:uid="{00000000-0005-0000-0000-00005B000000}"/>
    <cellStyle name="Tri_SecTitle2" xfId="38" xr:uid="{00000000-0005-0000-0000-00005C000000}"/>
    <cellStyle name="Tri_SecTitle3" xfId="39" xr:uid="{00000000-0005-0000-0000-00005D000000}"/>
    <cellStyle name="Tri_Source" xfId="88" xr:uid="{AE96B65E-7099-46EE-8B5C-AD24FADEC83A}"/>
    <cellStyle name="Tri_TableCell0" xfId="40" xr:uid="{00000000-0005-0000-0000-000043000000}"/>
    <cellStyle name="Tri_TableHeader0" xfId="41" xr:uid="{00000000-0005-0000-0000-000046000000}"/>
    <cellStyle name="Tri_TableHeader1" xfId="42" xr:uid="{00000000-0005-0000-0000-000047000000}"/>
    <cellStyle name="Tri_TableHeader2" xfId="43" xr:uid="{00000000-0005-0000-0000-000048000000}"/>
    <cellStyle name="Tri_Warning" xfId="44" xr:uid="{00000000-0005-0000-0000-00004A000000}"/>
    <cellStyle name="Warning Text" xfId="60" builtinId="11" customBuiltin="1"/>
  </cellStyles>
  <dxfs count="51">
    <dxf>
      <font>
        <color theme="0"/>
      </font>
      <fill>
        <patternFill>
          <bgColor theme="7" tint="-0.24994659260841701"/>
        </patternFill>
      </fill>
    </dxf>
    <dxf>
      <fill>
        <patternFill>
          <bgColor theme="7" tint="0.39994506668294322"/>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patternType="none">
          <bgColor auto="1"/>
        </patternFill>
      </fill>
    </dxf>
    <dxf>
      <fill>
        <patternFill>
          <bgColor theme="7" tint="0.59996337778862885"/>
        </patternFill>
      </fill>
    </dxf>
    <dxf>
      <font>
        <b val="0"/>
        <i val="0"/>
        <color rgb="FFFFFFFF"/>
      </font>
      <fill>
        <patternFill>
          <bgColor theme="5"/>
        </patternFill>
      </fill>
    </dxf>
    <dxf>
      <fill>
        <patternFill patternType="none">
          <bgColor auto="1"/>
        </patternFill>
      </fill>
    </dxf>
    <dxf>
      <font>
        <color theme="0"/>
      </font>
      <fill>
        <patternFill>
          <bgColor theme="6"/>
        </patternFill>
      </fill>
    </dxf>
    <dxf>
      <fill>
        <patternFill>
          <bgColor theme="7"/>
        </patternFill>
      </fill>
    </dxf>
    <dxf>
      <fill>
        <patternFill>
          <bgColor theme="8"/>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92D050"/>
        </patternFill>
      </fill>
    </dxf>
    <dxf>
      <fill>
        <patternFill>
          <bgColor rgb="FFE4F1CC"/>
        </patternFill>
      </fill>
    </dxf>
    <dxf>
      <fill>
        <patternFill>
          <bgColor rgb="FFE4F1CC"/>
        </patternFill>
      </fill>
    </dxf>
    <dxf>
      <font>
        <color theme="0"/>
      </font>
      <fill>
        <patternFill>
          <bgColor theme="2"/>
        </patternFill>
      </fill>
    </dxf>
    <dxf>
      <font>
        <color theme="0"/>
      </font>
      <fill>
        <patternFill>
          <bgColor theme="2"/>
        </patternFill>
      </fill>
    </dxf>
    <dxf>
      <font>
        <b/>
        <i val="0"/>
        <color theme="0"/>
      </font>
      <fill>
        <patternFill>
          <bgColor theme="2"/>
        </patternFill>
      </fill>
    </dxf>
    <dxf>
      <font>
        <b/>
        <i val="0"/>
        <color theme="2"/>
      </font>
      <fill>
        <patternFill patternType="none">
          <bgColor auto="1"/>
        </patternFill>
      </fill>
      <border>
        <bottom style="thin">
          <color theme="2"/>
        </bottom>
      </border>
    </dxf>
    <dxf>
      <border diagonalUp="0" diagonalDown="0">
        <left style="hair">
          <color theme="6"/>
        </left>
        <right style="hair">
          <color theme="6"/>
        </right>
        <top style="hair">
          <color theme="6"/>
        </top>
        <bottom style="hair">
          <color theme="6"/>
        </bottom>
        <vertical style="hair">
          <color theme="6"/>
        </vertical>
        <horizontal style="hair">
          <color theme="6"/>
        </horizontal>
      </border>
    </dxf>
    <dxf>
      <fill>
        <patternFill>
          <bgColor rgb="FFE4F1CC"/>
        </patternFill>
      </fill>
    </dxf>
    <dxf>
      <fill>
        <patternFill>
          <bgColor rgb="FFE4F1CC"/>
        </patternFill>
      </fill>
    </dxf>
    <dxf>
      <font>
        <color theme="0"/>
      </font>
      <fill>
        <patternFill>
          <bgColor theme="2"/>
        </patternFill>
      </fill>
    </dxf>
    <dxf>
      <font>
        <color theme="0"/>
      </font>
      <fill>
        <patternFill>
          <bgColor theme="2"/>
        </patternFill>
      </fill>
    </dxf>
    <dxf>
      <font>
        <b/>
        <i val="0"/>
        <color theme="0"/>
      </font>
      <fill>
        <patternFill>
          <bgColor theme="2"/>
        </patternFill>
      </fill>
    </dxf>
    <dxf>
      <font>
        <b/>
        <i val="0"/>
        <color theme="0"/>
      </font>
      <fill>
        <patternFill>
          <bgColor theme="2"/>
        </patternFill>
      </fill>
    </dxf>
    <dxf>
      <border diagonalUp="0" diagonalDown="0">
        <left style="hair">
          <color theme="2"/>
        </left>
        <right style="hair">
          <color theme="2"/>
        </right>
        <top style="hair">
          <color theme="2"/>
        </top>
        <bottom style="hair">
          <color theme="2"/>
        </bottom>
        <vertical style="hair">
          <color theme="2"/>
        </vertical>
        <horizontal style="hair">
          <color theme="2"/>
        </horizontal>
      </border>
    </dxf>
  </dxfs>
  <tableStyles count="2" defaultTableStyle="E_Table1_Green" defaultPivotStyle="PivotStyleLight16">
    <tableStyle name="E_Table1_Green" pivot="0" count="7" xr9:uid="{00000000-0011-0000-FFFF-FFFF00000000}">
      <tableStyleElement type="wholeTable" dxfId="50"/>
      <tableStyleElement type="headerRow" dxfId="49"/>
      <tableStyleElement type="totalRow" dxfId="48"/>
      <tableStyleElement type="firstColumn" dxfId="47"/>
      <tableStyleElement type="lastColumn" dxfId="46"/>
      <tableStyleElement type="secondRowStripe" dxfId="45"/>
      <tableStyleElement type="secondColumnStripe" dxfId="44"/>
    </tableStyle>
    <tableStyle name="E_Table2_Green" pivot="0" count="7" xr9:uid="{00000000-0011-0000-FFFF-FFFF01000000}">
      <tableStyleElement type="wholeTable" dxfId="43"/>
      <tableStyleElement type="headerRow" dxfId="42"/>
      <tableStyleElement type="totalRow" dxfId="41"/>
      <tableStyleElement type="firstColumn" dxfId="40"/>
      <tableStyleElement type="lastColumn" dxfId="39"/>
      <tableStyleElement type="secondRowStripe" dxfId="38"/>
      <tableStyleElement type="secondColumnStripe" dxfId="37"/>
    </tableStyle>
  </tableStyles>
  <colors>
    <indexedColors>
      <rgbColor rgb="00000000"/>
      <rgbColor rgb="00FFFFFF"/>
      <rgbColor rgb="00FF0000"/>
      <rgbColor rgb="0000FF00"/>
      <rgbColor rgb="000000FF"/>
      <rgbColor rgb="00FFFF00"/>
      <rgbColor rgb="00FF00FF"/>
      <rgbColor rgb="0000FFFF"/>
      <rgbColor rgb="00000000"/>
      <rgbColor rgb="0066B9C0"/>
      <rgbColor rgb="00CCD7ED"/>
      <rgbColor rgb="00E89EAC"/>
      <rgbColor rgb="00A7A2C7"/>
      <rgbColor rgb="00D1D1D2"/>
      <rgbColor rgb="0099B0DB"/>
      <rgbColor rgb="00FFC699"/>
      <rgbColor rgb="00FFFFFF"/>
      <rgbColor rgb="00E3D5ED"/>
      <rgbColor rgb="00F2F299"/>
      <rgbColor rgb="00C7ABDB"/>
      <rgbColor rgb="00CCE4DB"/>
      <rgbColor rgb="00D3D1E3"/>
      <rgbColor rgb="0099D1D5"/>
      <rgbColor rgb="00241773"/>
      <rgbColor rgb="003361B8"/>
      <rgbColor rgb="0095C633"/>
      <rgbColor rgb="00A2A4A4"/>
      <rgbColor rgb="00D13D5A"/>
      <rgbColor rgb="00FF8D33"/>
      <rgbColor rgb="00EEBC33"/>
      <rgbColor rgb="00339571"/>
      <rgbColor rgb="0033A2AA"/>
      <rgbColor rgb="000039A6"/>
      <rgbColor rgb="007AB800"/>
      <rgbColor rgb="008B8D8E"/>
      <rgbColor rgb="00BD0C30"/>
      <rgbColor rgb="00FF7000"/>
      <rgbColor rgb="00EAAB00"/>
      <rgbColor rgb="00007A4D"/>
      <rgbColor rgb="00008B95"/>
      <rgbColor rgb="00F7DD99"/>
      <rgbColor rgb="00FFA966"/>
      <rgbColor rgb="00DD6D83"/>
      <rgbColor rgb="00B9BBBB"/>
      <rgbColor rgb="00F3CD66"/>
      <rgbColor rgb="006688CA"/>
      <rgbColor rgb="0066AF94"/>
      <rgbColor rgb="00AFD466"/>
      <rgbColor rgb="00FBEECC"/>
      <rgbColor rgb="00FFE2CC"/>
      <rgbColor rgb="00E8E8E8"/>
      <rgbColor rgb="00CAE399"/>
      <rgbColor rgb="00E4F1CC"/>
      <rgbColor rgb="00722EA5"/>
      <rgbColor rgb="007C74AB"/>
      <rgbColor rgb="00CCE8EA"/>
      <rgbColor rgb="00F9F9CC"/>
      <rgbColor rgb="00F4CED6"/>
      <rgbColor rgb="00F4CCE7"/>
      <rgbColor rgb="00DC66B5"/>
      <rgbColor rgb="00C50084"/>
      <rgbColor rgb="0099CAB8"/>
      <rgbColor rgb="00ECEC66"/>
      <rgbColor rgb="00DFDF00"/>
    </indexedColors>
    <mruColors>
      <color rgb="FFB49553"/>
      <color rgb="FFD4ECBA"/>
      <color rgb="FF008000"/>
      <color rgb="FFE2CFF1"/>
      <color rgb="FF993366"/>
      <color rgb="FFC19AE2"/>
      <color rgb="FF8E6D2A"/>
      <color rgb="FFEFF5F5"/>
      <color rgb="FFFFECDD"/>
      <color rgb="FFD9BC7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microsoft.com/office/2017/10/relationships/person" Target="persons/perso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5" Type="http://schemas.openxmlformats.org/officeDocument/2006/relationships/customXml" Target="../customXml/item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eetMetadata" Target="metadata.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2.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ustomXml" Target="../customXml/item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charts/_rels/chart10.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12.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13.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14.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_rels/chart17.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8.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2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23.xml.rels><?xml version="1.0" encoding="UTF-8" standalone="yes"?>
<Relationships xmlns="http://schemas.openxmlformats.org/package/2006/relationships"><Relationship Id="rId2" Type="http://schemas.microsoft.com/office/2011/relationships/chartColorStyle" Target="colors13.xml"/><Relationship Id="rId1" Type="http://schemas.microsoft.com/office/2011/relationships/chartStyle" Target="style13.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25.xml.rels><?xml version="1.0" encoding="UTF-8" standalone="yes"?>
<Relationships xmlns="http://schemas.openxmlformats.org/package/2006/relationships"><Relationship Id="rId2" Type="http://schemas.microsoft.com/office/2011/relationships/chartColorStyle" Target="colors14.xml"/><Relationship Id="rId1" Type="http://schemas.microsoft.com/office/2011/relationships/chartStyle" Target="style14.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7.xml.rels><?xml version="1.0" encoding="UTF-8" standalone="yes"?>
<Relationships xmlns="http://schemas.openxmlformats.org/package/2006/relationships"><Relationship Id="rId2" Type="http://schemas.microsoft.com/office/2011/relationships/chartColorStyle" Target="colors15.xml"/><Relationship Id="rId1" Type="http://schemas.microsoft.com/office/2011/relationships/chartStyle" Target="style15.xml"/></Relationships>
</file>

<file path=xl/charts/_rels/chart28.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29.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3.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30.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31.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32.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33.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35.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36.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37.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38.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39.xml.rels><?xml version="1.0" encoding="UTF-8" standalone="yes"?>
<Relationships xmlns="http://schemas.openxmlformats.org/package/2006/relationships"><Relationship Id="rId2" Type="http://schemas.microsoft.com/office/2011/relationships/chartColorStyle" Target="colors26.xml"/><Relationship Id="rId1" Type="http://schemas.microsoft.com/office/2011/relationships/chartStyle" Target="style26.xml"/></Relationships>
</file>

<file path=xl/charts/_rels/chart4.xml.rels><?xml version="1.0" encoding="UTF-8" standalone="yes"?>
<Relationships xmlns="http://schemas.openxmlformats.org/package/2006/relationships"><Relationship Id="rId1" Type="http://schemas.openxmlformats.org/officeDocument/2006/relationships/chartUserShapes" Target="../drawings/drawing2.xml"/></Relationships>
</file>

<file path=xl/charts/_rels/chart40.xml.rels><?xml version="1.0" encoding="UTF-8" standalone="yes"?>
<Relationships xmlns="http://schemas.openxmlformats.org/package/2006/relationships"><Relationship Id="rId2" Type="http://schemas.microsoft.com/office/2011/relationships/chartColorStyle" Target="colors27.xml"/><Relationship Id="rId1" Type="http://schemas.microsoft.com/office/2011/relationships/chartStyle" Target="style27.xml"/></Relationships>
</file>

<file path=xl/charts/_rels/chart41.xml.rels><?xml version="1.0" encoding="UTF-8" standalone="yes"?>
<Relationships xmlns="http://schemas.openxmlformats.org/package/2006/relationships"><Relationship Id="rId2" Type="http://schemas.microsoft.com/office/2011/relationships/chartColorStyle" Target="colors28.xml"/><Relationship Id="rId1" Type="http://schemas.microsoft.com/office/2011/relationships/chartStyle" Target="style28.xml"/></Relationships>
</file>

<file path=xl/charts/_rels/chart42.xml.rels><?xml version="1.0" encoding="UTF-8" standalone="yes"?>
<Relationships xmlns="http://schemas.openxmlformats.org/package/2006/relationships"><Relationship Id="rId2" Type="http://schemas.microsoft.com/office/2011/relationships/chartColorStyle" Target="colors29.xml"/><Relationship Id="rId1" Type="http://schemas.microsoft.com/office/2011/relationships/chartStyle" Target="style29.xml"/></Relationships>
</file>

<file path=xl/charts/_rels/chart43.xml.rels><?xml version="1.0" encoding="UTF-8" standalone="yes"?>
<Relationships xmlns="http://schemas.openxmlformats.org/package/2006/relationships"><Relationship Id="rId2" Type="http://schemas.microsoft.com/office/2011/relationships/chartColorStyle" Target="colors30.xml"/><Relationship Id="rId1" Type="http://schemas.microsoft.com/office/2011/relationships/chartStyle" Target="style30.xml"/></Relationships>
</file>

<file path=xl/charts/_rels/chart44.xml.rels><?xml version="1.0" encoding="UTF-8" standalone="yes"?>
<Relationships xmlns="http://schemas.openxmlformats.org/package/2006/relationships"><Relationship Id="rId2" Type="http://schemas.microsoft.com/office/2011/relationships/chartColorStyle" Target="colors31.xml"/><Relationship Id="rId1" Type="http://schemas.microsoft.com/office/2011/relationships/chartStyle" Target="style31.xml"/></Relationships>
</file>

<file path=xl/charts/_rels/chart5.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7.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8.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9.xml.rels><?xml version="1.0" encoding="UTF-8" standalone="yes"?>
<Relationships xmlns="http://schemas.openxmlformats.org/package/2006/relationships"><Relationship Id="rId1" Type="http://schemas.openxmlformats.org/officeDocument/2006/relationships/chartUserShapes" Target="../drawings/drawing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'Exec. Sum'!$C$6</c:f>
              <c:strCache>
                <c:ptCount val="1"/>
                <c:pt idx="0">
                  <c:v>Baseline</c:v>
                </c:pt>
              </c:strCache>
            </c:strRef>
          </c:tx>
          <c:spPr>
            <a:ln w="28575" cap="rnd">
              <a:solidFill>
                <a:schemeClr val="bg1">
                  <a:lumMod val="50000"/>
                </a:schemeClr>
              </a:solidFill>
              <a:prstDash val="sysDot"/>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Sum'!$C$7:$C$16</c:f>
              <c:numCache>
                <c:formatCode>0.00%</c:formatCode>
                <c:ptCount val="10"/>
                <c:pt idx="0">
                  <c:v>2.947326249992656E-3</c:v>
                </c:pt>
                <c:pt idx="1">
                  <c:v>1.2148997818662547E-3</c:v>
                </c:pt>
                <c:pt idx="2">
                  <c:v>9.0605821142066955E-4</c:v>
                </c:pt>
                <c:pt idx="3">
                  <c:v>5.810109226686011E-3</c:v>
                </c:pt>
                <c:pt idx="4">
                  <c:v>4.7005525303616055E-3</c:v>
                </c:pt>
                <c:pt idx="5">
                  <c:v>2.0968694907554154E-3</c:v>
                </c:pt>
                <c:pt idx="6">
                  <c:v>1.8698158784367048E-3</c:v>
                </c:pt>
                <c:pt idx="7">
                  <c:v>5.7176197869410097E-4</c:v>
                </c:pt>
                <c:pt idx="8">
                  <c:v>5.721075836055508E-4</c:v>
                </c:pt>
                <c:pt idx="9">
                  <c:v>5.7239419582160627E-4</c:v>
                </c:pt>
              </c:numCache>
            </c:numRef>
          </c:val>
          <c:smooth val="0"/>
          <c:extLst>
            <c:ext xmlns:c16="http://schemas.microsoft.com/office/drawing/2014/chart" uri="{C3380CC4-5D6E-409C-BE32-E72D297353CC}">
              <c16:uniqueId val="{0000000C-6D05-43E8-A17E-F10948A85315}"/>
            </c:ext>
          </c:extLst>
        </c:ser>
        <c:ser>
          <c:idx val="8"/>
          <c:order val="1"/>
          <c:tx>
            <c:strRef>
              <c:f>'Exec. Sum'!$J$6</c:f>
              <c:strCache>
                <c:ptCount val="1"/>
                <c:pt idx="0">
                  <c:v>EED target (2018)</c:v>
                </c:pt>
              </c:strCache>
            </c:strRef>
          </c:tx>
          <c:spPr>
            <a:ln w="28575" cap="rnd">
              <a:solidFill>
                <a:schemeClr val="accent3">
                  <a:lumMod val="40000"/>
                  <a:lumOff val="60000"/>
                </a:schemeClr>
              </a:solidFill>
              <a:prstDash val="sysDash"/>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Sum'!$J$7:$J$16</c:f>
              <c:numCache>
                <c:formatCode>0.0%</c:formatCode>
                <c:ptCount val="10"/>
                <c:pt idx="0">
                  <c:v>8.0000000000000002E-3</c:v>
                </c:pt>
                <c:pt idx="1">
                  <c:v>8.0000000000000002E-3</c:v>
                </c:pt>
                <c:pt idx="2">
                  <c:v>8.0000000000000002E-3</c:v>
                </c:pt>
                <c:pt idx="3">
                  <c:v>8.0000000000000002E-3</c:v>
                </c:pt>
                <c:pt idx="4">
                  <c:v>8.0000000000000002E-3</c:v>
                </c:pt>
                <c:pt idx="5">
                  <c:v>8.0000000000000002E-3</c:v>
                </c:pt>
                <c:pt idx="6">
                  <c:v>8.0000000000000002E-3</c:v>
                </c:pt>
                <c:pt idx="7">
                  <c:v>8.0000000000000002E-3</c:v>
                </c:pt>
                <c:pt idx="8">
                  <c:v>8.0000000000000002E-3</c:v>
                </c:pt>
                <c:pt idx="9">
                  <c:v>8.0000000000000002E-3</c:v>
                </c:pt>
              </c:numCache>
            </c:numRef>
          </c:val>
          <c:smooth val="0"/>
          <c:extLst>
            <c:ext xmlns:c16="http://schemas.microsoft.com/office/drawing/2014/chart" uri="{C3380CC4-5D6E-409C-BE32-E72D297353CC}">
              <c16:uniqueId val="{0000000E-6D05-43E8-A17E-F10948A85315}"/>
            </c:ext>
          </c:extLst>
        </c:ser>
        <c:ser>
          <c:idx val="7"/>
          <c:order val="2"/>
          <c:tx>
            <c:strRef>
              <c:f>'Exec. Sum'!$K$6</c:f>
              <c:strCache>
                <c:ptCount val="1"/>
                <c:pt idx="0">
                  <c:v>EED recast target (2023)</c:v>
                </c:pt>
              </c:strCache>
            </c:strRef>
          </c:tx>
          <c:spPr>
            <a:ln w="28575" cap="rnd">
              <a:solidFill>
                <a:schemeClr val="accent3"/>
              </a:solidFill>
              <a:prstDash val="solid"/>
              <a:round/>
              <a:extLst>
                <a:ext uri="{C807C97D-BFC1-408E-A445-0C87EB9F89A2}">
                  <ask:lineSketchStyleProps xmlns:ask="http://schemas.microsoft.com/office/drawing/2018/sketchyshapes">
                    <ask:type>
                      <ask:lineSketchNone/>
                    </ask:type>
                  </ask:lineSketchStyleProps>
                </a:ext>
              </a:extLst>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Sum'!$K$7:$K$16</c:f>
              <c:numCache>
                <c:formatCode>0.00%</c:formatCode>
                <c:ptCount val="10"/>
                <c:pt idx="0">
                  <c:v>8.0000000000000002E-3</c:v>
                </c:pt>
                <c:pt idx="1">
                  <c:v>8.0000000000000002E-3</c:v>
                </c:pt>
                <c:pt idx="2">
                  <c:v>8.0000000000000002E-3</c:v>
                </c:pt>
                <c:pt idx="3">
                  <c:v>1.2999999999999999E-2</c:v>
                </c:pt>
                <c:pt idx="4">
                  <c:v>1.2999999999999999E-2</c:v>
                </c:pt>
                <c:pt idx="5">
                  <c:v>1.4999999999999999E-2</c:v>
                </c:pt>
                <c:pt idx="6">
                  <c:v>1.4999999999999999E-2</c:v>
                </c:pt>
                <c:pt idx="7">
                  <c:v>1.9E-2</c:v>
                </c:pt>
                <c:pt idx="8">
                  <c:v>1.9E-2</c:v>
                </c:pt>
                <c:pt idx="9">
                  <c:v>1.9E-2</c:v>
                </c:pt>
              </c:numCache>
            </c:numRef>
          </c:val>
          <c:smooth val="0"/>
          <c:extLst>
            <c:ext xmlns:c16="http://schemas.microsoft.com/office/drawing/2014/chart" uri="{C3380CC4-5D6E-409C-BE32-E72D297353CC}">
              <c16:uniqueId val="{00000010-6D05-43E8-A17E-F10948A85315}"/>
            </c:ext>
          </c:extLst>
        </c:ser>
        <c:dLbls>
          <c:showLegendKey val="0"/>
          <c:showVal val="0"/>
          <c:showCatName val="0"/>
          <c:showSerName val="0"/>
          <c:showPercent val="0"/>
          <c:showBubbleSize val="0"/>
        </c:dLbls>
        <c:smooth val="0"/>
        <c:axId val="1233154223"/>
        <c:axId val="1233155663"/>
        <c:extLst/>
      </c:lineChart>
      <c:catAx>
        <c:axId val="1233154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1233155663"/>
        <c:crosses val="autoZero"/>
        <c:auto val="1"/>
        <c:lblAlgn val="ctr"/>
        <c:lblOffset val="100"/>
        <c:noMultiLvlLbl val="0"/>
      </c:catAx>
      <c:valAx>
        <c:axId val="12331556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a:t>Annual energy savings (%)</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1233154223"/>
        <c:crosses val="autoZero"/>
        <c:crossBetween val="midCat"/>
      </c:valAx>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legend>
    <c:plotVisOnly val="1"/>
    <c:dispBlanksAs val="gap"/>
    <c:showDLblsOverMax val="0"/>
    <c:extLst/>
  </c:chart>
  <c:spPr>
    <a:solidFill>
      <a:schemeClr val="bg1"/>
    </a:solidFill>
    <a:ln w="9525" cap="flat" cmpd="sng" algn="ctr">
      <a:noFill/>
      <a:round/>
    </a:ln>
    <a:effectLst/>
  </c:spPr>
  <c:txPr>
    <a:bodyPr/>
    <a:lstStyle/>
    <a:p>
      <a:pPr>
        <a:defRPr sz="800">
          <a:solidFill>
            <a:sysClr val="windowText" lastClr="000000"/>
          </a:solidFill>
        </a:defRPr>
      </a:pPr>
      <a:endParaRPr lang="et-EE"/>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'Pathway Comparison'!$B$456</c:f>
              <c:strCache>
                <c:ptCount val="1"/>
                <c:pt idx="0">
                  <c:v>Fuel consumption in road transport</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Comparison'!$C$455:$J$455</c:f>
              <c:strCache>
                <c:ptCount val="8"/>
                <c:pt idx="0">
                  <c:v>w/o measures</c:v>
                </c:pt>
                <c:pt idx="1">
                  <c:v>Baseline</c:v>
                </c:pt>
                <c:pt idx="2">
                  <c:v>EEO</c:v>
                </c:pt>
                <c:pt idx="3">
                  <c:v>VA</c:v>
                </c:pt>
                <c:pt idx="4">
                  <c:v>Renowave</c:v>
                </c:pt>
                <c:pt idx="5">
                  <c:v>EET</c:v>
                </c:pt>
                <c:pt idx="6">
                  <c:v>CEER1</c:v>
                </c:pt>
                <c:pt idx="7">
                  <c:v>CEER2</c:v>
                </c:pt>
              </c:strCache>
            </c:strRef>
          </c:cat>
          <c:val>
            <c:numRef>
              <c:f>'Pathway Comparison'!$C$456:$J$456</c:f>
              <c:numCache>
                <c:formatCode>0.0</c:formatCode>
                <c:ptCount val="8"/>
                <c:pt idx="0">
                  <c:v>10.232250461677303</c:v>
                </c:pt>
                <c:pt idx="1">
                  <c:v>10.069707948393493</c:v>
                </c:pt>
                <c:pt idx="2">
                  <c:v>9.6153737941791189</c:v>
                </c:pt>
                <c:pt idx="3">
                  <c:v>9.6153737941791189</c:v>
                </c:pt>
                <c:pt idx="4">
                  <c:v>9.6153737941791189</c:v>
                </c:pt>
                <c:pt idx="5">
                  <c:v>8.2977672628790184</c:v>
                </c:pt>
                <c:pt idx="6">
                  <c:v>8.9837115086772066</c:v>
                </c:pt>
                <c:pt idx="7">
                  <c:v>8.6372117073234627</c:v>
                </c:pt>
              </c:numCache>
            </c:numRef>
          </c:val>
          <c:extLst>
            <c:ext xmlns:c16="http://schemas.microsoft.com/office/drawing/2014/chart" uri="{C3380CC4-5D6E-409C-BE32-E72D297353CC}">
              <c16:uniqueId val="{00000000-C182-41D6-B4C2-3A7FF5D83F13}"/>
            </c:ext>
          </c:extLst>
        </c:ser>
        <c:dLbls>
          <c:showLegendKey val="0"/>
          <c:showVal val="0"/>
          <c:showCatName val="0"/>
          <c:showSerName val="0"/>
          <c:showPercent val="0"/>
          <c:showBubbleSize val="0"/>
        </c:dLbls>
        <c:gapWidth val="219"/>
        <c:axId val="956539728"/>
        <c:axId val="956542128"/>
      </c:barChart>
      <c:lineChart>
        <c:grouping val="standard"/>
        <c:varyColors val="0"/>
        <c:ser>
          <c:idx val="1"/>
          <c:order val="1"/>
          <c:tx>
            <c:strRef>
              <c:f>'Pathway Comparison'!$B$457</c:f>
              <c:strCache>
                <c:ptCount val="1"/>
                <c:pt idx="0">
                  <c:v>NECP 2030 target</c:v>
                </c:pt>
              </c:strCache>
            </c:strRef>
          </c:tx>
          <c:spPr>
            <a:ln w="28575" cap="rnd">
              <a:solidFill>
                <a:schemeClr val="accent3"/>
              </a:solidFill>
              <a:prstDash val="sysDash"/>
              <a:round/>
            </a:ln>
            <a:effectLst/>
          </c:spPr>
          <c:marker>
            <c:symbol val="none"/>
          </c:marker>
          <c:cat>
            <c:strRef>
              <c:f>'Pathway Comparison'!$C$455:$J$455</c:f>
              <c:strCache>
                <c:ptCount val="8"/>
                <c:pt idx="0">
                  <c:v>w/o measures</c:v>
                </c:pt>
                <c:pt idx="1">
                  <c:v>Baseline</c:v>
                </c:pt>
                <c:pt idx="2">
                  <c:v>EEO</c:v>
                </c:pt>
                <c:pt idx="3">
                  <c:v>VA</c:v>
                </c:pt>
                <c:pt idx="4">
                  <c:v>Renowave</c:v>
                </c:pt>
                <c:pt idx="5">
                  <c:v>EET</c:v>
                </c:pt>
                <c:pt idx="6">
                  <c:v>CEER1</c:v>
                </c:pt>
                <c:pt idx="7">
                  <c:v>CEER2</c:v>
                </c:pt>
              </c:strCache>
            </c:strRef>
          </c:cat>
          <c:val>
            <c:numRef>
              <c:f>'Pathway Comparison'!$C$457:$J$457</c:f>
              <c:numCache>
                <c:formatCode>0.0</c:formatCode>
                <c:ptCount val="8"/>
                <c:pt idx="0">
                  <c:v>8.3000000000000007</c:v>
                </c:pt>
                <c:pt idx="1">
                  <c:v>8.3000000000000007</c:v>
                </c:pt>
                <c:pt idx="2">
                  <c:v>8.3000000000000007</c:v>
                </c:pt>
                <c:pt idx="3">
                  <c:v>8.3000000000000007</c:v>
                </c:pt>
                <c:pt idx="4">
                  <c:v>8.3000000000000007</c:v>
                </c:pt>
                <c:pt idx="5">
                  <c:v>8.3000000000000007</c:v>
                </c:pt>
                <c:pt idx="6">
                  <c:v>8.3000000000000007</c:v>
                </c:pt>
                <c:pt idx="7">
                  <c:v>8.3000000000000007</c:v>
                </c:pt>
              </c:numCache>
            </c:numRef>
          </c:val>
          <c:smooth val="0"/>
          <c:extLst>
            <c:ext xmlns:c16="http://schemas.microsoft.com/office/drawing/2014/chart" uri="{C3380CC4-5D6E-409C-BE32-E72D297353CC}">
              <c16:uniqueId val="{00000001-C182-41D6-B4C2-3A7FF5D83F13}"/>
            </c:ext>
          </c:extLst>
        </c:ser>
        <c:dLbls>
          <c:showLegendKey val="0"/>
          <c:showVal val="0"/>
          <c:showCatName val="0"/>
          <c:showSerName val="0"/>
          <c:showPercent val="0"/>
          <c:showBubbleSize val="0"/>
        </c:dLbls>
        <c:marker val="1"/>
        <c:smooth val="0"/>
        <c:axId val="956539728"/>
        <c:axId val="956542128"/>
      </c:lineChart>
      <c:catAx>
        <c:axId val="95653972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crossAx val="956542128"/>
        <c:crosses val="autoZero"/>
        <c:auto val="1"/>
        <c:lblAlgn val="ctr"/>
        <c:lblOffset val="100"/>
        <c:noMultiLvlLbl val="0"/>
      </c:catAx>
      <c:valAx>
        <c:axId val="956542128"/>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sz="800"/>
                  <a:t>Fuel consumption</a:t>
                </a:r>
                <a:r>
                  <a:rPr lang="en-GB" sz="800" baseline="0"/>
                  <a:t> in 2030 (TWh)</a:t>
                </a:r>
                <a:endParaRPr lang="en-GB" sz="800"/>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crossAx val="956539728"/>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7"/>
          <c:order val="7"/>
          <c:tx>
            <c:strRef>
              <c:f>'Pathway Comparison'!$J$428</c:f>
              <c:strCache>
                <c:ptCount val="1"/>
                <c:pt idx="0">
                  <c:v>NECP 2030 target</c:v>
                </c:pt>
              </c:strCache>
            </c:strRef>
          </c:tx>
          <c:spPr>
            <a:solidFill>
              <a:srgbClr val="FDE4DF">
                <a:alpha val="65000"/>
              </a:srgbClr>
            </a:solidFill>
            <a:ln w="6350" cap="rnd">
              <a:solidFill>
                <a:schemeClr val="accent3"/>
              </a:solidFill>
              <a:prstDash val="sysDash"/>
              <a:round/>
            </a:ln>
            <a:effectLst/>
          </c:spPr>
          <c:cat>
            <c:numRef>
              <c:f>'Pathway Comparison'!$B$430:$B$439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Comparison'!$J$430:$J$439</c:f>
              <c:numCache>
                <c:formatCode>General</c:formatCode>
                <c:ptCount val="10"/>
                <c:pt idx="0">
                  <c:v>460</c:v>
                </c:pt>
                <c:pt idx="1">
                  <c:v>460</c:v>
                </c:pt>
                <c:pt idx="2">
                  <c:v>460</c:v>
                </c:pt>
                <c:pt idx="3">
                  <c:v>460</c:v>
                </c:pt>
                <c:pt idx="4">
                  <c:v>460</c:v>
                </c:pt>
                <c:pt idx="5">
                  <c:v>460</c:v>
                </c:pt>
                <c:pt idx="6">
                  <c:v>460</c:v>
                </c:pt>
                <c:pt idx="7">
                  <c:v>460</c:v>
                </c:pt>
                <c:pt idx="8">
                  <c:v>460</c:v>
                </c:pt>
                <c:pt idx="9">
                  <c:v>460</c:v>
                </c:pt>
              </c:numCache>
            </c:numRef>
          </c:val>
          <c:extLst>
            <c:ext xmlns:c16="http://schemas.microsoft.com/office/drawing/2014/chart" uri="{C3380CC4-5D6E-409C-BE32-E72D297353CC}">
              <c16:uniqueId val="{00000000-DF44-4F3B-9FAB-57BA5008D063}"/>
            </c:ext>
          </c:extLst>
        </c:ser>
        <c:dLbls>
          <c:showLegendKey val="0"/>
          <c:showVal val="0"/>
          <c:showCatName val="0"/>
          <c:showSerName val="0"/>
          <c:showPercent val="0"/>
          <c:showBubbleSize val="0"/>
        </c:dLbls>
        <c:axId val="1233154223"/>
        <c:axId val="1233155663"/>
      </c:areaChart>
      <c:lineChart>
        <c:grouping val="standard"/>
        <c:varyColors val="0"/>
        <c:ser>
          <c:idx val="0"/>
          <c:order val="0"/>
          <c:tx>
            <c:strRef>
              <c:f>'Pathway Comparison'!$C$428</c:f>
              <c:strCache>
                <c:ptCount val="1"/>
                <c:pt idx="0">
                  <c:v>Baseline</c:v>
                </c:pt>
              </c:strCache>
            </c:strRef>
          </c:tx>
          <c:spPr>
            <a:ln w="28575" cap="rnd">
              <a:solidFill>
                <a:schemeClr val="bg1">
                  <a:lumMod val="50000"/>
                </a:schemeClr>
              </a:solidFill>
              <a:prstDash val="sysDot"/>
              <a:round/>
            </a:ln>
            <a:effectLst/>
          </c:spPr>
          <c:marker>
            <c:symbol val="none"/>
          </c:marker>
          <c:cat>
            <c:numRef>
              <c:f>'Pathway Comparison'!$B$430:$B$439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Comparison'!$C$430:$C$439</c:f>
              <c:numCache>
                <c:formatCode>0</c:formatCode>
                <c:ptCount val="10"/>
                <c:pt idx="0">
                  <c:v>105.78161697791808</c:v>
                </c:pt>
                <c:pt idx="1">
                  <c:v>111.10906558424406</c:v>
                </c:pt>
                <c:pt idx="2">
                  <c:v>113.18807653418617</c:v>
                </c:pt>
                <c:pt idx="3">
                  <c:v>144.28699612650331</c:v>
                </c:pt>
                <c:pt idx="4">
                  <c:v>210.28171567285588</c:v>
                </c:pt>
                <c:pt idx="5">
                  <c:v>261.94527582783059</c:v>
                </c:pt>
                <c:pt idx="6">
                  <c:v>306.57462925319226</c:v>
                </c:pt>
                <c:pt idx="7">
                  <c:v>308.82497514475244</c:v>
                </c:pt>
                <c:pt idx="8">
                  <c:v>311.11106420043689</c:v>
                </c:pt>
                <c:pt idx="9">
                  <c:v>313.43335631074785</c:v>
                </c:pt>
              </c:numCache>
            </c:numRef>
          </c:val>
          <c:smooth val="0"/>
          <c:extLst>
            <c:ext xmlns:c16="http://schemas.microsoft.com/office/drawing/2014/chart" uri="{C3380CC4-5D6E-409C-BE32-E72D297353CC}">
              <c16:uniqueId val="{00000001-DF44-4F3B-9FAB-57BA5008D063}"/>
            </c:ext>
          </c:extLst>
        </c:ser>
        <c:ser>
          <c:idx val="1"/>
          <c:order val="1"/>
          <c:tx>
            <c:strRef>
              <c:f>'Pathway Comparison'!$D$428</c:f>
              <c:strCache>
                <c:ptCount val="1"/>
                <c:pt idx="0">
                  <c:v>EEO</c:v>
                </c:pt>
              </c:strCache>
            </c:strRef>
          </c:tx>
          <c:spPr>
            <a:ln w="28575" cap="rnd">
              <a:solidFill>
                <a:schemeClr val="accent2"/>
              </a:solidFill>
              <a:round/>
            </a:ln>
            <a:effectLst/>
          </c:spPr>
          <c:marker>
            <c:symbol val="none"/>
          </c:marker>
          <c:cat>
            <c:numRef>
              <c:f>'Pathway Comparison'!$B$430:$B$439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Comparison'!$D$430:$D$439</c:f>
              <c:numCache>
                <c:formatCode>0</c:formatCode>
                <c:ptCount val="10"/>
                <c:pt idx="0">
                  <c:v>105.78161697791808</c:v>
                </c:pt>
                <c:pt idx="1">
                  <c:v>111.10906558424406</c:v>
                </c:pt>
                <c:pt idx="2">
                  <c:v>113.18807653418617</c:v>
                </c:pt>
                <c:pt idx="3">
                  <c:v>178.71019393327018</c:v>
                </c:pt>
                <c:pt idx="4">
                  <c:v>311.7174220138981</c:v>
                </c:pt>
                <c:pt idx="5">
                  <c:v>407.15783218358069</c:v>
                </c:pt>
                <c:pt idx="6">
                  <c:v>478.13114473436605</c:v>
                </c:pt>
                <c:pt idx="7">
                  <c:v>506.72544975135003</c:v>
                </c:pt>
                <c:pt idx="8">
                  <c:v>535.35549793245809</c:v>
                </c:pt>
                <c:pt idx="9">
                  <c:v>564.02174916819285</c:v>
                </c:pt>
              </c:numCache>
            </c:numRef>
          </c:val>
          <c:smooth val="0"/>
          <c:extLst>
            <c:ext xmlns:c16="http://schemas.microsoft.com/office/drawing/2014/chart" uri="{C3380CC4-5D6E-409C-BE32-E72D297353CC}">
              <c16:uniqueId val="{00000002-DF44-4F3B-9FAB-57BA5008D063}"/>
            </c:ext>
          </c:extLst>
        </c:ser>
        <c:ser>
          <c:idx val="2"/>
          <c:order val="2"/>
          <c:tx>
            <c:strRef>
              <c:f>'Pathway Comparison'!$E$428</c:f>
              <c:strCache>
                <c:ptCount val="1"/>
                <c:pt idx="0">
                  <c:v>VA</c:v>
                </c:pt>
              </c:strCache>
            </c:strRef>
          </c:tx>
          <c:spPr>
            <a:ln w="28575" cap="rnd">
              <a:solidFill>
                <a:schemeClr val="accent3">
                  <a:lumMod val="50000"/>
                </a:schemeClr>
              </a:solidFill>
              <a:round/>
            </a:ln>
            <a:effectLst/>
          </c:spPr>
          <c:marker>
            <c:symbol val="none"/>
          </c:marker>
          <c:cat>
            <c:numRef>
              <c:f>'Pathway Comparison'!$B$430:$B$439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Comparison'!$E$430:$E$439</c:f>
              <c:numCache>
                <c:formatCode>0</c:formatCode>
                <c:ptCount val="10"/>
                <c:pt idx="0">
                  <c:v>105.78161697791808</c:v>
                </c:pt>
                <c:pt idx="1">
                  <c:v>111.10906558424406</c:v>
                </c:pt>
                <c:pt idx="2">
                  <c:v>113.18807653418617</c:v>
                </c:pt>
                <c:pt idx="3">
                  <c:v>178.71019393327018</c:v>
                </c:pt>
                <c:pt idx="4">
                  <c:v>306.89892573173745</c:v>
                </c:pt>
                <c:pt idx="5">
                  <c:v>412.78334169463704</c:v>
                </c:pt>
                <c:pt idx="6">
                  <c:v>514.71225503102676</c:v>
                </c:pt>
                <c:pt idx="7">
                  <c:v>601.03321495884416</c:v>
                </c:pt>
                <c:pt idx="8">
                  <c:v>720.68832074977695</c:v>
                </c:pt>
                <c:pt idx="9">
                  <c:v>865.12609753782806</c:v>
                </c:pt>
              </c:numCache>
            </c:numRef>
          </c:val>
          <c:smooth val="0"/>
          <c:extLst>
            <c:ext xmlns:c16="http://schemas.microsoft.com/office/drawing/2014/chart" uri="{C3380CC4-5D6E-409C-BE32-E72D297353CC}">
              <c16:uniqueId val="{00000003-DF44-4F3B-9FAB-57BA5008D063}"/>
            </c:ext>
          </c:extLst>
        </c:ser>
        <c:ser>
          <c:idx val="3"/>
          <c:order val="3"/>
          <c:tx>
            <c:strRef>
              <c:f>'Pathway Comparison'!$F$428</c:f>
              <c:strCache>
                <c:ptCount val="1"/>
                <c:pt idx="0">
                  <c:v>Renowave</c:v>
                </c:pt>
              </c:strCache>
            </c:strRef>
          </c:tx>
          <c:spPr>
            <a:ln w="28575" cap="rnd">
              <a:solidFill>
                <a:schemeClr val="accent4"/>
              </a:solidFill>
              <a:round/>
            </a:ln>
            <a:effectLst/>
          </c:spPr>
          <c:marker>
            <c:symbol val="none"/>
          </c:marker>
          <c:cat>
            <c:numRef>
              <c:f>'Pathway Comparison'!$B$430:$B$439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Comparison'!$F$430:$F$439</c:f>
              <c:numCache>
                <c:formatCode>0</c:formatCode>
                <c:ptCount val="10"/>
                <c:pt idx="0">
                  <c:v>105.78161697791808</c:v>
                </c:pt>
                <c:pt idx="1">
                  <c:v>111.10906558424406</c:v>
                </c:pt>
                <c:pt idx="2">
                  <c:v>113.18807653418617</c:v>
                </c:pt>
                <c:pt idx="3">
                  <c:v>161.49859502988676</c:v>
                </c:pt>
                <c:pt idx="4">
                  <c:v>257.46504406857508</c:v>
                </c:pt>
                <c:pt idx="5">
                  <c:v>327.48250445610171</c:v>
                </c:pt>
                <c:pt idx="6">
                  <c:v>381.74931266937335</c:v>
                </c:pt>
                <c:pt idx="7">
                  <c:v>393.6371133488434</c:v>
                </c:pt>
                <c:pt idx="8">
                  <c:v>405.56065719243782</c:v>
                </c:pt>
                <c:pt idx="9">
                  <c:v>417.52040409065864</c:v>
                </c:pt>
              </c:numCache>
            </c:numRef>
          </c:val>
          <c:smooth val="0"/>
          <c:extLst>
            <c:ext xmlns:c16="http://schemas.microsoft.com/office/drawing/2014/chart" uri="{C3380CC4-5D6E-409C-BE32-E72D297353CC}">
              <c16:uniqueId val="{00000004-DF44-4F3B-9FAB-57BA5008D063}"/>
            </c:ext>
          </c:extLst>
        </c:ser>
        <c:ser>
          <c:idx val="4"/>
          <c:order val="4"/>
          <c:tx>
            <c:strRef>
              <c:f>'Pathway Comparison'!$G$428</c:f>
              <c:strCache>
                <c:ptCount val="1"/>
                <c:pt idx="0">
                  <c:v>EET</c:v>
                </c:pt>
              </c:strCache>
            </c:strRef>
          </c:tx>
          <c:spPr>
            <a:ln w="28575" cap="rnd">
              <a:solidFill>
                <a:schemeClr val="accent5"/>
              </a:solidFill>
              <a:round/>
            </a:ln>
            <a:effectLst/>
          </c:spPr>
          <c:marker>
            <c:symbol val="none"/>
          </c:marker>
          <c:cat>
            <c:numRef>
              <c:f>'Pathway Comparison'!$B$430:$B$439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Comparison'!$G$430:$G$439</c:f>
              <c:numCache>
                <c:formatCode>0</c:formatCode>
                <c:ptCount val="10"/>
                <c:pt idx="0">
                  <c:v>105.78161697791808</c:v>
                </c:pt>
                <c:pt idx="1">
                  <c:v>111.10906558424406</c:v>
                </c:pt>
                <c:pt idx="2">
                  <c:v>113.18807653418617</c:v>
                </c:pt>
                <c:pt idx="3">
                  <c:v>161.49859502988676</c:v>
                </c:pt>
                <c:pt idx="4">
                  <c:v>257.46504406857508</c:v>
                </c:pt>
                <c:pt idx="5">
                  <c:v>327.48250445610171</c:v>
                </c:pt>
                <c:pt idx="6">
                  <c:v>381.74931266937335</c:v>
                </c:pt>
                <c:pt idx="7">
                  <c:v>393.6371133488434</c:v>
                </c:pt>
                <c:pt idx="8">
                  <c:v>405.56065719243782</c:v>
                </c:pt>
                <c:pt idx="9">
                  <c:v>417.52040409065864</c:v>
                </c:pt>
              </c:numCache>
            </c:numRef>
          </c:val>
          <c:smooth val="0"/>
          <c:extLst>
            <c:ext xmlns:c16="http://schemas.microsoft.com/office/drawing/2014/chart" uri="{C3380CC4-5D6E-409C-BE32-E72D297353CC}">
              <c16:uniqueId val="{00000005-DF44-4F3B-9FAB-57BA5008D063}"/>
            </c:ext>
          </c:extLst>
        </c:ser>
        <c:ser>
          <c:idx val="5"/>
          <c:order val="5"/>
          <c:tx>
            <c:strRef>
              <c:f>'Pathway Comparison'!$H$428</c:f>
              <c:strCache>
                <c:ptCount val="1"/>
                <c:pt idx="0">
                  <c:v>CEER1</c:v>
                </c:pt>
              </c:strCache>
            </c:strRef>
          </c:tx>
          <c:spPr>
            <a:ln w="28575" cap="rnd">
              <a:solidFill>
                <a:schemeClr val="accent6"/>
              </a:solidFill>
              <a:round/>
            </a:ln>
            <a:effectLst/>
          </c:spPr>
          <c:marker>
            <c:symbol val="none"/>
          </c:marker>
          <c:cat>
            <c:numRef>
              <c:f>'Pathway Comparison'!$B$430:$B$439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Comparison'!$H$430:$H$439</c:f>
              <c:numCache>
                <c:formatCode>0</c:formatCode>
                <c:ptCount val="10"/>
                <c:pt idx="0">
                  <c:v>105.78161697791808</c:v>
                </c:pt>
                <c:pt idx="1">
                  <c:v>111.10906558424406</c:v>
                </c:pt>
                <c:pt idx="2">
                  <c:v>113.18807653418617</c:v>
                </c:pt>
                <c:pt idx="3">
                  <c:v>161.49859502988676</c:v>
                </c:pt>
                <c:pt idx="4">
                  <c:v>258.96541291353725</c:v>
                </c:pt>
                <c:pt idx="5">
                  <c:v>340.65824352961113</c:v>
                </c:pt>
                <c:pt idx="6">
                  <c:v>420.2748186330216</c:v>
                </c:pt>
                <c:pt idx="7">
                  <c:v>475.35975561944997</c:v>
                </c:pt>
                <c:pt idx="8">
                  <c:v>552.67937090266321</c:v>
                </c:pt>
                <c:pt idx="9">
                  <c:v>646.53283453549773</c:v>
                </c:pt>
              </c:numCache>
            </c:numRef>
          </c:val>
          <c:smooth val="0"/>
          <c:extLst>
            <c:ext xmlns:c16="http://schemas.microsoft.com/office/drawing/2014/chart" uri="{C3380CC4-5D6E-409C-BE32-E72D297353CC}">
              <c16:uniqueId val="{00000006-DF44-4F3B-9FAB-57BA5008D063}"/>
            </c:ext>
          </c:extLst>
        </c:ser>
        <c:ser>
          <c:idx val="6"/>
          <c:order val="6"/>
          <c:tx>
            <c:strRef>
              <c:f>'Pathway Comparison'!$I$428</c:f>
              <c:strCache>
                <c:ptCount val="1"/>
                <c:pt idx="0">
                  <c:v>CEER2</c:v>
                </c:pt>
              </c:strCache>
            </c:strRef>
          </c:tx>
          <c:marker>
            <c:symbol val="none"/>
          </c:marker>
          <c:cat>
            <c:numRef>
              <c:f>'Pathway Comparison'!$B$430:$B$439</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Comparison'!$I$430:$I$439</c:f>
              <c:numCache>
                <c:formatCode>0</c:formatCode>
                <c:ptCount val="10"/>
                <c:pt idx="0">
                  <c:v>105.78161697791808</c:v>
                </c:pt>
                <c:pt idx="1">
                  <c:v>111.10906558424406</c:v>
                </c:pt>
                <c:pt idx="2">
                  <c:v>113.18807653418617</c:v>
                </c:pt>
                <c:pt idx="3">
                  <c:v>161.49859502988676</c:v>
                </c:pt>
                <c:pt idx="4">
                  <c:v>287.63811917835403</c:v>
                </c:pt>
                <c:pt idx="5">
                  <c:v>391.4733274912536</c:v>
                </c:pt>
                <c:pt idx="6">
                  <c:v>491.35303317764334</c:v>
                </c:pt>
                <c:pt idx="7">
                  <c:v>575.62478545546071</c:v>
                </c:pt>
                <c:pt idx="8">
                  <c:v>693.23068359639342</c:v>
                </c:pt>
                <c:pt idx="9">
                  <c:v>835.61925273444467</c:v>
                </c:pt>
              </c:numCache>
            </c:numRef>
          </c:val>
          <c:smooth val="0"/>
          <c:extLst>
            <c:ext xmlns:c16="http://schemas.microsoft.com/office/drawing/2014/chart" uri="{C3380CC4-5D6E-409C-BE32-E72D297353CC}">
              <c16:uniqueId val="{00000007-DF44-4F3B-9FAB-57BA5008D063}"/>
            </c:ext>
          </c:extLst>
        </c:ser>
        <c:dLbls>
          <c:showLegendKey val="0"/>
          <c:showVal val="0"/>
          <c:showCatName val="0"/>
          <c:showSerName val="0"/>
          <c:showPercent val="0"/>
          <c:showBubbleSize val="0"/>
        </c:dLbls>
        <c:marker val="1"/>
        <c:smooth val="0"/>
        <c:axId val="1233154223"/>
        <c:axId val="1233155663"/>
      </c:lineChart>
      <c:catAx>
        <c:axId val="1233154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crossAx val="1233155663"/>
        <c:crosses val="autoZero"/>
        <c:auto val="1"/>
        <c:lblAlgn val="ctr"/>
        <c:lblOffset val="100"/>
        <c:noMultiLvlLbl val="0"/>
      </c:catAx>
      <c:valAx>
        <c:axId val="12331556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sz="800"/>
                  <a:t>Industrial energy savings</a:t>
                </a:r>
                <a:r>
                  <a:rPr lang="en-GB" sz="800" baseline="0"/>
                  <a:t> (GWh)</a:t>
                </a:r>
                <a:endParaRPr lang="en-GB" sz="800"/>
              </a:p>
            </c:rich>
          </c:tx>
          <c:overlay val="0"/>
          <c:spPr>
            <a:noFill/>
            <a:ln>
              <a:noFill/>
            </a:ln>
            <a:effectLst/>
          </c:sp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crossAx val="1233154223"/>
        <c:crosses val="autoZero"/>
        <c:crossBetween val="midCat"/>
      </c:valAx>
      <c:spPr>
        <a:solidFill>
          <a:srgbClr val="D4ECBA">
            <a:alpha val="28000"/>
          </a:srgbClr>
        </a:solidFill>
      </c:spPr>
    </c:plotArea>
    <c:legend>
      <c:legendPos val="b"/>
      <c:layout>
        <c:manualLayout>
          <c:xMode val="edge"/>
          <c:yMode val="edge"/>
          <c:x val="0.10004068241469816"/>
          <c:y val="0.84874433791635318"/>
          <c:w val="0.85488307591619572"/>
          <c:h val="0.13215845249233535"/>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r>
              <a:rPr lang="en-GB"/>
              <a:t>Yearly energy savings,</a:t>
            </a:r>
            <a:r>
              <a:rPr lang="en-GB" baseline="0"/>
              <a:t> GWh</a:t>
            </a:r>
            <a:r>
              <a:rPr lang="en-GB"/>
              <a:t> (annual</a:t>
            </a:r>
            <a:r>
              <a:rPr lang="en-GB" baseline="0"/>
              <a:t> savings rate, %)</a:t>
            </a:r>
            <a:endParaRPr lang="en-GB"/>
          </a:p>
        </c:rich>
      </c:tx>
      <c:overlay val="0"/>
      <c:spPr>
        <a:noFill/>
        <a:ln>
          <a:noFill/>
        </a:ln>
        <a:effectLst/>
      </c:spPr>
      <c:txPr>
        <a:bodyPr rot="0" spcFirstLastPara="1" vertOverflow="ellipsis" vert="horz" wrap="square" anchor="ctr" anchorCtr="1"/>
        <a:lstStyle/>
        <a:p>
          <a:pPr>
            <a:defRPr sz="1400" b="0" i="0" u="none" strike="noStrike" kern="1200" spc="0" baseline="0">
              <a:solidFill>
                <a:sysClr val="windowText" lastClr="000000"/>
              </a:solidFill>
              <a:latin typeface="+mn-lt"/>
              <a:ea typeface="+mn-ea"/>
              <a:cs typeface="+mn-cs"/>
            </a:defRPr>
          </a:pPr>
          <a:endParaRPr lang="et-EE"/>
        </a:p>
      </c:txPr>
    </c:title>
    <c:autoTitleDeleted val="0"/>
    <c:plotArea>
      <c:layout/>
      <c:barChart>
        <c:barDir val="col"/>
        <c:grouping val="stacked"/>
        <c:varyColors val="0"/>
        <c:ser>
          <c:idx val="0"/>
          <c:order val="0"/>
          <c:tx>
            <c:strRef>
              <c:f>'Pathway Comparison'!$B$973</c:f>
              <c:strCache>
                <c:ptCount val="1"/>
                <c:pt idx="0">
                  <c:v>Industry</c:v>
                </c:pt>
              </c:strCache>
            </c:strRef>
          </c:tx>
          <c:spPr>
            <a:solidFill>
              <a:schemeClr val="accent1"/>
            </a:solidFill>
            <a:ln>
              <a:noFill/>
            </a:ln>
            <a:effectLst/>
          </c:spPr>
          <c:invertIfNegative val="0"/>
          <c:cat>
            <c:numRef>
              <c:f>'Pathway Comparison'!$E$972:$M$972</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Comparison'!$E$973:$M$973</c:f>
              <c:numCache>
                <c:formatCode>0</c:formatCode>
                <c:ptCount val="9"/>
                <c:pt idx="0">
                  <c:v>-6.0079777863337984</c:v>
                </c:pt>
                <c:pt idx="1">
                  <c:v>-8.7858424125658257</c:v>
                </c:pt>
                <c:pt idx="2">
                  <c:v>-37.272972857533041</c:v>
                </c:pt>
                <c:pt idx="3">
                  <c:v>-102.82493881867367</c:v>
                </c:pt>
                <c:pt idx="4">
                  <c:v>-155.57066635998518</c:v>
                </c:pt>
                <c:pt idx="5">
                  <c:v>-201.30444827932592</c:v>
                </c:pt>
                <c:pt idx="6">
                  <c:v>-204.69001677953992</c:v>
                </c:pt>
                <c:pt idx="7">
                  <c:v>-208.14213143706422</c:v>
                </c:pt>
                <c:pt idx="8">
                  <c:v>-211.66125421198461</c:v>
                </c:pt>
              </c:numCache>
            </c:numRef>
          </c:val>
          <c:extLst>
            <c:ext xmlns:c16="http://schemas.microsoft.com/office/drawing/2014/chart" uri="{C3380CC4-5D6E-409C-BE32-E72D297353CC}">
              <c16:uniqueId val="{00000000-C8AB-4CA7-A656-7CC8D2A6C801}"/>
            </c:ext>
          </c:extLst>
        </c:ser>
        <c:ser>
          <c:idx val="1"/>
          <c:order val="1"/>
          <c:tx>
            <c:strRef>
              <c:f>'Pathway Comparison'!$B$974</c:f>
              <c:strCache>
                <c:ptCount val="1"/>
                <c:pt idx="0">
                  <c:v>Households</c:v>
                </c:pt>
              </c:strCache>
            </c:strRef>
          </c:tx>
          <c:spPr>
            <a:solidFill>
              <a:schemeClr val="accent2"/>
            </a:solidFill>
            <a:ln>
              <a:noFill/>
            </a:ln>
            <a:effectLst/>
          </c:spPr>
          <c:invertIfNegative val="0"/>
          <c:cat>
            <c:numRef>
              <c:f>'Pathway Comparison'!$E$972:$M$972</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Comparison'!$E$974:$M$974</c:f>
              <c:numCache>
                <c:formatCode>0</c:formatCode>
                <c:ptCount val="9"/>
                <c:pt idx="0">
                  <c:v>-9.5999444709687971</c:v>
                </c:pt>
                <c:pt idx="1">
                  <c:v>-19.937189014716964</c:v>
                </c:pt>
                <c:pt idx="2">
                  <c:v>-81.409644087335096</c:v>
                </c:pt>
                <c:pt idx="3">
                  <c:v>-114.97863198496619</c:v>
                </c:pt>
                <c:pt idx="4">
                  <c:v>-120.7906809983397</c:v>
                </c:pt>
                <c:pt idx="5">
                  <c:v>-126.64198870517582</c:v>
                </c:pt>
                <c:pt idx="6">
                  <c:v>-132.33331655504401</c:v>
                </c:pt>
                <c:pt idx="7">
                  <c:v>-138.03176994483607</c:v>
                </c:pt>
                <c:pt idx="8">
                  <c:v>-143.73747968949431</c:v>
                </c:pt>
              </c:numCache>
            </c:numRef>
          </c:val>
          <c:extLst>
            <c:ext xmlns:c16="http://schemas.microsoft.com/office/drawing/2014/chart" uri="{C3380CC4-5D6E-409C-BE32-E72D297353CC}">
              <c16:uniqueId val="{00000001-C8AB-4CA7-A656-7CC8D2A6C801}"/>
            </c:ext>
          </c:extLst>
        </c:ser>
        <c:ser>
          <c:idx val="2"/>
          <c:order val="2"/>
          <c:tx>
            <c:strRef>
              <c:f>'Pathway Comparison'!$B$975</c:f>
              <c:strCache>
                <c:ptCount val="1"/>
                <c:pt idx="0">
                  <c:v>Services</c:v>
                </c:pt>
              </c:strCache>
            </c:strRef>
          </c:tx>
          <c:spPr>
            <a:solidFill>
              <a:schemeClr val="accent3"/>
            </a:solidFill>
            <a:ln>
              <a:noFill/>
            </a:ln>
            <a:effectLst/>
          </c:spPr>
          <c:invertIfNegative val="0"/>
          <c:cat>
            <c:numRef>
              <c:f>'Pathway Comparison'!$E$972:$M$972</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Comparison'!$E$975:$M$975</c:f>
              <c:numCache>
                <c:formatCode>0</c:formatCode>
                <c:ptCount val="9"/>
                <c:pt idx="0">
                  <c:v>-8.0086865116585457</c:v>
                </c:pt>
                <c:pt idx="1">
                  <c:v>-11.62306272095598</c:v>
                </c:pt>
                <c:pt idx="2">
                  <c:v>-43.381110561101998</c:v>
                </c:pt>
                <c:pt idx="3">
                  <c:v>-60.794409316586233</c:v>
                </c:pt>
                <c:pt idx="4">
                  <c:v>-63.904308294953758</c:v>
                </c:pt>
                <c:pt idx="5">
                  <c:v>-67.033482837921596</c:v>
                </c:pt>
                <c:pt idx="6">
                  <c:v>-70.187455608211096</c:v>
                </c:pt>
                <c:pt idx="7">
                  <c:v>-73.366876471771576</c:v>
                </c:pt>
                <c:pt idx="8">
                  <c:v>-76.572409721238884</c:v>
                </c:pt>
              </c:numCache>
            </c:numRef>
          </c:val>
          <c:extLst>
            <c:ext xmlns:c16="http://schemas.microsoft.com/office/drawing/2014/chart" uri="{C3380CC4-5D6E-409C-BE32-E72D297353CC}">
              <c16:uniqueId val="{00000002-C8AB-4CA7-A656-7CC8D2A6C801}"/>
            </c:ext>
          </c:extLst>
        </c:ser>
        <c:ser>
          <c:idx val="3"/>
          <c:order val="3"/>
          <c:tx>
            <c:strRef>
              <c:f>'Pathway Comparison'!$B$976</c:f>
              <c:strCache>
                <c:ptCount val="1"/>
                <c:pt idx="0">
                  <c:v>Transport</c:v>
                </c:pt>
              </c:strCache>
            </c:strRef>
          </c:tx>
          <c:spPr>
            <a:solidFill>
              <a:schemeClr val="accent4"/>
            </a:solidFill>
            <a:ln>
              <a:noFill/>
            </a:ln>
            <a:effectLst/>
          </c:spPr>
          <c:invertIfNegative val="0"/>
          <c:cat>
            <c:numRef>
              <c:f>'Pathway Comparison'!$E$972:$M$972</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Comparison'!$E$976:$M$976</c:f>
              <c:numCache>
                <c:formatCode>0</c:formatCode>
                <c:ptCount val="9"/>
                <c:pt idx="0">
                  <c:v>-14.196579775630344</c:v>
                </c:pt>
                <c:pt idx="1">
                  <c:v>-25.726650850990964</c:v>
                </c:pt>
                <c:pt idx="2">
                  <c:v>-84.489549909497384</c:v>
                </c:pt>
                <c:pt idx="3">
                  <c:v>-116.64973806899692</c:v>
                </c:pt>
                <c:pt idx="4">
                  <c:v>-122.71696717885176</c:v>
                </c:pt>
                <c:pt idx="5">
                  <c:v>-128.83632740862041</c:v>
                </c:pt>
                <c:pt idx="6">
                  <c:v>-135.02449039483571</c:v>
                </c:pt>
                <c:pt idx="7">
                  <c:v>-141.280897753358</c:v>
                </c:pt>
                <c:pt idx="8">
                  <c:v>-147.60498846689856</c:v>
                </c:pt>
              </c:numCache>
            </c:numRef>
          </c:val>
          <c:extLst>
            <c:ext xmlns:c16="http://schemas.microsoft.com/office/drawing/2014/chart" uri="{C3380CC4-5D6E-409C-BE32-E72D297353CC}">
              <c16:uniqueId val="{00000003-C8AB-4CA7-A656-7CC8D2A6C801}"/>
            </c:ext>
          </c:extLst>
        </c:ser>
        <c:ser>
          <c:idx val="4"/>
          <c:order val="4"/>
          <c:tx>
            <c:strRef>
              <c:f>'Pathway Comparison'!$B$977</c:f>
              <c:strCache>
                <c:ptCount val="1"/>
                <c:pt idx="0">
                  <c:v>Agriculture, fishing and forestry</c:v>
                </c:pt>
              </c:strCache>
            </c:strRef>
          </c:tx>
          <c:spPr>
            <a:solidFill>
              <a:schemeClr val="accent5"/>
            </a:solidFill>
            <a:ln>
              <a:noFill/>
            </a:ln>
            <a:effectLst/>
          </c:spPr>
          <c:invertIfNegative val="0"/>
          <c:dLbls>
            <c:dLbl>
              <c:idx val="0"/>
              <c:tx>
                <c:rich>
                  <a:bodyPr/>
                  <a:lstStyle/>
                  <a:p>
                    <a:fld id="{E2B3C091-D45B-423A-A6F4-0FB120F1265A}"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C8AB-4CA7-A656-7CC8D2A6C801}"/>
                </c:ext>
              </c:extLst>
            </c:dLbl>
            <c:dLbl>
              <c:idx val="1"/>
              <c:layout>
                <c:manualLayout>
                  <c:x val="0"/>
                  <c:y val="-4.692157326137178E-2"/>
                </c:manualLayout>
              </c:layout>
              <c:tx>
                <c:rich>
                  <a:bodyPr/>
                  <a:lstStyle/>
                  <a:p>
                    <a:fld id="{418EFCB3-A70B-425F-8C98-F238DB4DE9F3}" type="CELLRANGE">
                      <a:rPr lang="en-US"/>
                      <a:pPr/>
                      <a:t>[CELLRANGE]</a:t>
                    </a:fld>
                    <a:endParaRPr lang="et-E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8AB-4CA7-A656-7CC8D2A6C801}"/>
                </c:ext>
              </c:extLst>
            </c:dLbl>
            <c:dLbl>
              <c:idx val="2"/>
              <c:layout>
                <c:manualLayout>
                  <c:x val="0"/>
                  <c:y val="-4.2276315524313587E-2"/>
                </c:manualLayout>
              </c:layout>
              <c:tx>
                <c:rich>
                  <a:bodyPr/>
                  <a:lstStyle/>
                  <a:p>
                    <a:fld id="{41CA571A-BFC5-4BEC-8123-9AF27B243596}" type="CELLRANGE">
                      <a:rPr lang="en-US"/>
                      <a:pPr/>
                      <a:t>[CELLRANGE]</a:t>
                    </a:fld>
                    <a:endParaRPr lang="et-E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C8AB-4CA7-A656-7CC8D2A6C801}"/>
                </c:ext>
              </c:extLst>
            </c:dLbl>
            <c:dLbl>
              <c:idx val="3"/>
              <c:layout>
                <c:manualLayout>
                  <c:x val="0"/>
                  <c:y val="-5.1597242450723411E-2"/>
                </c:manualLayout>
              </c:layout>
              <c:tx>
                <c:rich>
                  <a:bodyPr/>
                  <a:lstStyle/>
                  <a:p>
                    <a:fld id="{F78C17E0-60EE-4998-939C-263E1B5D6C91}" type="CELLRANGE">
                      <a:rPr lang="en-US"/>
                      <a:pPr/>
                      <a:t>[CELLRANGE]</a:t>
                    </a:fld>
                    <a:endParaRPr lang="et-E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C8AB-4CA7-A656-7CC8D2A6C801}"/>
                </c:ext>
              </c:extLst>
            </c:dLbl>
            <c:dLbl>
              <c:idx val="4"/>
              <c:layout>
                <c:manualLayout>
                  <c:x val="0"/>
                  <c:y val="-6.0924398228807707E-2"/>
                </c:manualLayout>
              </c:layout>
              <c:tx>
                <c:rich>
                  <a:bodyPr/>
                  <a:lstStyle/>
                  <a:p>
                    <a:fld id="{3DB9DAFB-3BF9-4762-B929-773969A809D4}" type="CELLRANGE">
                      <a:rPr lang="en-US"/>
                      <a:pPr/>
                      <a:t>[CELLRANGE]</a:t>
                    </a:fld>
                    <a:endParaRPr lang="et-E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C8AB-4CA7-A656-7CC8D2A6C801}"/>
                </c:ext>
              </c:extLst>
            </c:dLbl>
            <c:dLbl>
              <c:idx val="5"/>
              <c:layout>
                <c:manualLayout>
                  <c:x val="0"/>
                  <c:y val="-6.0952244859823403E-2"/>
                </c:manualLayout>
              </c:layout>
              <c:tx>
                <c:rich>
                  <a:bodyPr/>
                  <a:lstStyle/>
                  <a:p>
                    <a:fld id="{923A212B-4EE5-4C76-91AC-8A9BB402DB00}" type="CELLRANGE">
                      <a:rPr lang="en-US"/>
                      <a:pPr/>
                      <a:t>[CELLRANGE]</a:t>
                    </a:fld>
                    <a:endParaRPr lang="et-E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C8AB-4CA7-A656-7CC8D2A6C801}"/>
                </c:ext>
              </c:extLst>
            </c:dLbl>
            <c:dLbl>
              <c:idx val="6"/>
              <c:layout>
                <c:manualLayout>
                  <c:x val="0"/>
                  <c:y val="-6.0994381209386557E-2"/>
                </c:manualLayout>
              </c:layout>
              <c:tx>
                <c:rich>
                  <a:bodyPr/>
                  <a:lstStyle/>
                  <a:p>
                    <a:fld id="{8336EB13-9864-4409-9E9F-CC1FF5A910E1}" type="CELLRANGE">
                      <a:rPr lang="en-US"/>
                      <a:pPr/>
                      <a:t>[CELLRANGE]</a:t>
                    </a:fld>
                    <a:endParaRPr lang="et-E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C8AB-4CA7-A656-7CC8D2A6C801}"/>
                </c:ext>
              </c:extLst>
            </c:dLbl>
            <c:dLbl>
              <c:idx val="7"/>
              <c:layout>
                <c:manualLayout>
                  <c:x val="0"/>
                  <c:y val="-6.1036151155910032E-2"/>
                </c:manualLayout>
              </c:layout>
              <c:tx>
                <c:rich>
                  <a:bodyPr/>
                  <a:lstStyle/>
                  <a:p>
                    <a:fld id="{9EF8AE8E-5B3D-429F-902E-23CC2A8EB8C2}" type="CELLRANGE">
                      <a:rPr lang="en-US"/>
                      <a:pPr/>
                      <a:t>[CELLRANGE]</a:t>
                    </a:fld>
                    <a:endParaRPr lang="et-E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C8AB-4CA7-A656-7CC8D2A6C801}"/>
                </c:ext>
              </c:extLst>
            </c:dLbl>
            <c:dLbl>
              <c:idx val="8"/>
              <c:layout>
                <c:manualLayout>
                  <c:x val="0"/>
                  <c:y val="-6.1078287505473186E-2"/>
                </c:manualLayout>
              </c:layout>
              <c:tx>
                <c:rich>
                  <a:bodyPr/>
                  <a:lstStyle/>
                  <a:p>
                    <a:fld id="{4ABAF73A-706C-413A-9656-AF1AB6E4366A}" type="CELLRANGE">
                      <a:rPr lang="en-US"/>
                      <a:pPr/>
                      <a:t>[CELLRANGE]</a:t>
                    </a:fld>
                    <a:endParaRPr lang="et-EE"/>
                  </a:p>
                </c:rich>
              </c:tx>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C-C8AB-4CA7-A656-7CC8D2A6C801}"/>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0"/>
              </c:ext>
            </c:extLst>
          </c:dLbls>
          <c:cat>
            <c:numRef>
              <c:f>'Pathway Comparison'!$E$972:$M$972</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Comparison'!$E$977:$M$977</c:f>
              <c:numCache>
                <c:formatCode>0</c:formatCode>
                <c:ptCount val="9"/>
                <c:pt idx="0">
                  <c:v>-0.56341640698250117</c:v>
                </c:pt>
                <c:pt idx="1">
                  <c:v>-1.123714598459449</c:v>
                </c:pt>
                <c:pt idx="2">
                  <c:v>-6.8355770458988951</c:v>
                </c:pt>
                <c:pt idx="3">
                  <c:v>-9.9180405461482763</c:v>
                </c:pt>
                <c:pt idx="4">
                  <c:v>-10.408252927879586</c:v>
                </c:pt>
                <c:pt idx="5">
                  <c:v>-10.8927915848812</c:v>
                </c:pt>
                <c:pt idx="6">
                  <c:v>-11.373256238386841</c:v>
                </c:pt>
                <c:pt idx="7">
                  <c:v>-11.849562738389633</c:v>
                </c:pt>
                <c:pt idx="8">
                  <c:v>-12.321630437215722</c:v>
                </c:pt>
              </c:numCache>
            </c:numRef>
          </c:val>
          <c:extLst>
            <c:ext xmlns:c15="http://schemas.microsoft.com/office/drawing/2012/chart" uri="{02D57815-91ED-43cb-92C2-25804820EDAC}">
              <c15:datalabelsRange>
                <c15:f>'Pathway Comparison'!$E$985:$M$985</c15:f>
                <c15:dlblRangeCache>
                  <c:ptCount val="9"/>
                  <c:pt idx="0">
                    <c:v>-0,1%</c:v>
                  </c:pt>
                  <c:pt idx="1">
                    <c:v>-0,1%</c:v>
                  </c:pt>
                  <c:pt idx="2">
                    <c:v>-0,6%</c:v>
                  </c:pt>
                  <c:pt idx="3">
                    <c:v>-0,5%</c:v>
                  </c:pt>
                  <c:pt idx="4">
                    <c:v>-0,2%</c:v>
                  </c:pt>
                  <c:pt idx="5">
                    <c:v>-0,2%</c:v>
                  </c:pt>
                  <c:pt idx="6">
                    <c:v>-0,1%</c:v>
                  </c:pt>
                  <c:pt idx="7">
                    <c:v>-0,1%</c:v>
                  </c:pt>
                  <c:pt idx="8">
                    <c:v>-0,1%</c:v>
                  </c:pt>
                </c15:dlblRangeCache>
              </c15:datalabelsRange>
            </c:ext>
            <c:ext xmlns:c16="http://schemas.microsoft.com/office/drawing/2014/chart" uri="{C3380CC4-5D6E-409C-BE32-E72D297353CC}">
              <c16:uniqueId val="{0000000D-C8AB-4CA7-A656-7CC8D2A6C801}"/>
            </c:ext>
          </c:extLst>
        </c:ser>
        <c:dLbls>
          <c:showLegendKey val="0"/>
          <c:showVal val="0"/>
          <c:showCatName val="0"/>
          <c:showSerName val="0"/>
          <c:showPercent val="0"/>
          <c:showBubbleSize val="0"/>
        </c:dLbls>
        <c:gapWidth val="219"/>
        <c:overlap val="100"/>
        <c:axId val="718018047"/>
        <c:axId val="718018527"/>
      </c:barChart>
      <c:catAx>
        <c:axId val="718018047"/>
        <c:scaling>
          <c:orientation val="minMax"/>
        </c:scaling>
        <c:delete val="0"/>
        <c:axPos val="t"/>
        <c:numFmt formatCode="General" sourceLinked="1"/>
        <c:majorTickMark val="none"/>
        <c:minorTickMark val="none"/>
        <c:tickLblPos val="high"/>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718018527"/>
        <c:crosses val="autoZero"/>
        <c:auto val="1"/>
        <c:lblAlgn val="ctr"/>
        <c:lblOffset val="100"/>
        <c:noMultiLvlLbl val="0"/>
      </c:catAx>
      <c:valAx>
        <c:axId val="718018527"/>
        <c:scaling>
          <c:orientation val="maxMin"/>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Yearly energy savings (GWh)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718018047"/>
        <c:crosses val="autoZero"/>
        <c:crossBetween val="between"/>
      </c:valAx>
      <c:spPr>
        <a:noFill/>
        <a:ln>
          <a:noFill/>
        </a:ln>
        <a:effectLst/>
      </c:spPr>
    </c:plotArea>
    <c:legend>
      <c:legendPos val="r"/>
      <c:layout>
        <c:manualLayout>
          <c:xMode val="edge"/>
          <c:yMode val="edge"/>
          <c:x val="0.71015273266801138"/>
          <c:y val="0.26300874613549202"/>
          <c:w val="0.27486229403100426"/>
          <c:h val="0.48821449402158063"/>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a:t>Total investment costs per pathway 2021-2030 (Meur)</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lineChart>
        <c:grouping val="standard"/>
        <c:varyColors val="0"/>
        <c:ser>
          <c:idx val="0"/>
          <c:order val="0"/>
          <c:tx>
            <c:strRef>
              <c:f>'Pathway Comparison'!$C$527</c:f>
              <c:strCache>
                <c:ptCount val="1"/>
                <c:pt idx="0">
                  <c:v>Baseline</c:v>
                </c:pt>
              </c:strCache>
            </c:strRef>
          </c:tx>
          <c:spPr>
            <a:ln w="28575" cap="rnd">
              <a:solidFill>
                <a:schemeClr val="accent1"/>
              </a:solidFill>
              <a:round/>
            </a:ln>
            <a:effectLst/>
          </c:spPr>
          <c:marker>
            <c:symbol val="none"/>
          </c:marker>
          <c:cat>
            <c:numRef>
              <c:f>'Pathway Comparison'!$B$528:$B$537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Comparison'!$C$528:$C$537</c:f>
              <c:numCache>
                <c:formatCode>0</c:formatCode>
                <c:ptCount val="10"/>
                <c:pt idx="0">
                  <c:v>166.73424608362066</c:v>
                </c:pt>
                <c:pt idx="1">
                  <c:v>141.11435217805385</c:v>
                </c:pt>
                <c:pt idx="2">
                  <c:v>120.8848866328765</c:v>
                </c:pt>
                <c:pt idx="3">
                  <c:v>100.64309816325147</c:v>
                </c:pt>
                <c:pt idx="4">
                  <c:v>182.57406027011979</c:v>
                </c:pt>
                <c:pt idx="5">
                  <c:v>188.44514562045626</c:v>
                </c:pt>
                <c:pt idx="6">
                  <c:v>188.6802376244481</c:v>
                </c:pt>
                <c:pt idx="7">
                  <c:v>159.59158280022066</c:v>
                </c:pt>
                <c:pt idx="8">
                  <c:v>166.1986831292846</c:v>
                </c:pt>
                <c:pt idx="9">
                  <c:v>173.05245074507985</c:v>
                </c:pt>
              </c:numCache>
            </c:numRef>
          </c:val>
          <c:smooth val="0"/>
          <c:extLst>
            <c:ext xmlns:c16="http://schemas.microsoft.com/office/drawing/2014/chart" uri="{C3380CC4-5D6E-409C-BE32-E72D297353CC}">
              <c16:uniqueId val="{00000000-253F-429D-A334-02BC01ADA372}"/>
            </c:ext>
          </c:extLst>
        </c:ser>
        <c:ser>
          <c:idx val="1"/>
          <c:order val="1"/>
          <c:tx>
            <c:strRef>
              <c:f>'Pathway Comparison'!$D$527</c:f>
              <c:strCache>
                <c:ptCount val="1"/>
                <c:pt idx="0">
                  <c:v>EEO</c:v>
                </c:pt>
              </c:strCache>
            </c:strRef>
          </c:tx>
          <c:spPr>
            <a:ln w="28575" cap="rnd">
              <a:solidFill>
                <a:schemeClr val="accent2"/>
              </a:solidFill>
              <a:round/>
            </a:ln>
            <a:effectLst/>
          </c:spPr>
          <c:marker>
            <c:symbol val="none"/>
          </c:marker>
          <c:cat>
            <c:numRef>
              <c:f>'Pathway Comparison'!$B$528:$B$537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Comparison'!$D$528:$D$537</c:f>
              <c:numCache>
                <c:formatCode>0</c:formatCode>
                <c:ptCount val="10"/>
                <c:pt idx="0">
                  <c:v>280.06666720746978</c:v>
                </c:pt>
                <c:pt idx="1">
                  <c:v>210.06394151473643</c:v>
                </c:pt>
                <c:pt idx="2">
                  <c:v>173.89861988837592</c:v>
                </c:pt>
                <c:pt idx="3">
                  <c:v>325.22114029600851</c:v>
                </c:pt>
                <c:pt idx="4">
                  <c:v>1614.2952768808439</c:v>
                </c:pt>
                <c:pt idx="5">
                  <c:v>1515.3170264485473</c:v>
                </c:pt>
                <c:pt idx="6">
                  <c:v>1468.8893161308283</c:v>
                </c:pt>
                <c:pt idx="7">
                  <c:v>1453.1126851976962</c:v>
                </c:pt>
                <c:pt idx="8">
                  <c:v>1485.8542146242232</c:v>
                </c:pt>
                <c:pt idx="9">
                  <c:v>1515.2186857055833</c:v>
                </c:pt>
              </c:numCache>
            </c:numRef>
          </c:val>
          <c:smooth val="0"/>
          <c:extLst>
            <c:ext xmlns:c16="http://schemas.microsoft.com/office/drawing/2014/chart" uri="{C3380CC4-5D6E-409C-BE32-E72D297353CC}">
              <c16:uniqueId val="{00000001-253F-429D-A334-02BC01ADA372}"/>
            </c:ext>
          </c:extLst>
        </c:ser>
        <c:ser>
          <c:idx val="2"/>
          <c:order val="2"/>
          <c:tx>
            <c:strRef>
              <c:f>'Pathway Comparison'!$E$527</c:f>
              <c:strCache>
                <c:ptCount val="1"/>
                <c:pt idx="0">
                  <c:v>VA</c:v>
                </c:pt>
              </c:strCache>
            </c:strRef>
          </c:tx>
          <c:spPr>
            <a:ln w="28575" cap="rnd">
              <a:solidFill>
                <a:schemeClr val="accent3"/>
              </a:solidFill>
              <a:round/>
            </a:ln>
            <a:effectLst/>
          </c:spPr>
          <c:marker>
            <c:symbol val="none"/>
          </c:marker>
          <c:cat>
            <c:numRef>
              <c:f>'Pathway Comparison'!$B$528:$B$537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Comparison'!$E$528:$E$537</c:f>
              <c:numCache>
                <c:formatCode>0</c:formatCode>
                <c:ptCount val="10"/>
                <c:pt idx="0">
                  <c:v>280.06666720746978</c:v>
                </c:pt>
                <c:pt idx="1">
                  <c:v>210.06394151473643</c:v>
                </c:pt>
                <c:pt idx="2">
                  <c:v>173.89861988837592</c:v>
                </c:pt>
                <c:pt idx="3">
                  <c:v>325.22114029600851</c:v>
                </c:pt>
                <c:pt idx="4">
                  <c:v>1680.1498368674411</c:v>
                </c:pt>
                <c:pt idx="5">
                  <c:v>1586.965169004485</c:v>
                </c:pt>
                <c:pt idx="6">
                  <c:v>1548.4575860775326</c:v>
                </c:pt>
                <c:pt idx="7">
                  <c:v>1543.1383803187362</c:v>
                </c:pt>
                <c:pt idx="8">
                  <c:v>1588.9834152081128</c:v>
                </c:pt>
                <c:pt idx="9">
                  <c:v>1627.9645179060783</c:v>
                </c:pt>
              </c:numCache>
            </c:numRef>
          </c:val>
          <c:smooth val="0"/>
          <c:extLst>
            <c:ext xmlns:c16="http://schemas.microsoft.com/office/drawing/2014/chart" uri="{C3380CC4-5D6E-409C-BE32-E72D297353CC}">
              <c16:uniqueId val="{00000002-253F-429D-A334-02BC01ADA372}"/>
            </c:ext>
          </c:extLst>
        </c:ser>
        <c:ser>
          <c:idx val="3"/>
          <c:order val="3"/>
          <c:tx>
            <c:strRef>
              <c:f>'Pathway Comparison'!$F$527</c:f>
              <c:strCache>
                <c:ptCount val="1"/>
                <c:pt idx="0">
                  <c:v>Renowave</c:v>
                </c:pt>
              </c:strCache>
            </c:strRef>
          </c:tx>
          <c:spPr>
            <a:ln w="28575" cap="rnd">
              <a:solidFill>
                <a:schemeClr val="accent4"/>
              </a:solidFill>
              <a:round/>
            </a:ln>
            <a:effectLst/>
          </c:spPr>
          <c:marker>
            <c:symbol val="none"/>
          </c:marker>
          <c:cat>
            <c:numRef>
              <c:f>'Pathway Comparison'!$B$528:$B$537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Comparison'!$F$528:$F$537</c:f>
              <c:numCache>
                <c:formatCode>0</c:formatCode>
                <c:ptCount val="10"/>
                <c:pt idx="0">
                  <c:v>280.06666720746978</c:v>
                </c:pt>
                <c:pt idx="1">
                  <c:v>210.06394151473643</c:v>
                </c:pt>
                <c:pt idx="2">
                  <c:v>173.89861988837592</c:v>
                </c:pt>
                <c:pt idx="3">
                  <c:v>301.88780696267514</c:v>
                </c:pt>
                <c:pt idx="4">
                  <c:v>2853.3681504656465</c:v>
                </c:pt>
                <c:pt idx="5">
                  <c:v>2782.49342586181</c:v>
                </c:pt>
                <c:pt idx="6">
                  <c:v>2763.4568118891207</c:v>
                </c:pt>
                <c:pt idx="7">
                  <c:v>2772.0031992279187</c:v>
                </c:pt>
                <c:pt idx="8">
                  <c:v>2829.5542072918147</c:v>
                </c:pt>
                <c:pt idx="9">
                  <c:v>2884.2243465832894</c:v>
                </c:pt>
              </c:numCache>
            </c:numRef>
          </c:val>
          <c:smooth val="0"/>
          <c:extLst>
            <c:ext xmlns:c16="http://schemas.microsoft.com/office/drawing/2014/chart" uri="{C3380CC4-5D6E-409C-BE32-E72D297353CC}">
              <c16:uniqueId val="{00000003-253F-429D-A334-02BC01ADA372}"/>
            </c:ext>
          </c:extLst>
        </c:ser>
        <c:ser>
          <c:idx val="4"/>
          <c:order val="4"/>
          <c:tx>
            <c:strRef>
              <c:f>'Pathway Comparison'!$G$527</c:f>
              <c:strCache>
                <c:ptCount val="1"/>
                <c:pt idx="0">
                  <c:v>EET</c:v>
                </c:pt>
              </c:strCache>
            </c:strRef>
          </c:tx>
          <c:spPr>
            <a:ln w="28575" cap="rnd">
              <a:solidFill>
                <a:schemeClr val="accent5"/>
              </a:solidFill>
              <a:round/>
            </a:ln>
            <a:effectLst/>
          </c:spPr>
          <c:marker>
            <c:symbol val="none"/>
          </c:marker>
          <c:cat>
            <c:numRef>
              <c:f>'Pathway Comparison'!$B$528:$B$537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Comparison'!$G$528:$G$537</c:f>
              <c:numCache>
                <c:formatCode>0</c:formatCode>
                <c:ptCount val="10"/>
                <c:pt idx="0">
                  <c:v>533.06529889324338</c:v>
                </c:pt>
                <c:pt idx="1">
                  <c:v>454.48832551976034</c:v>
                </c:pt>
                <c:pt idx="2">
                  <c:v>353.41921977162508</c:v>
                </c:pt>
                <c:pt idx="3">
                  <c:v>988.7548701618108</c:v>
                </c:pt>
                <c:pt idx="4">
                  <c:v>2350.9635360201587</c:v>
                </c:pt>
                <c:pt idx="5">
                  <c:v>1845.8917168554328</c:v>
                </c:pt>
                <c:pt idx="6">
                  <c:v>1516.9738813750657</c:v>
                </c:pt>
                <c:pt idx="7">
                  <c:v>1484.9351787917349</c:v>
                </c:pt>
                <c:pt idx="8">
                  <c:v>1519.8908422278769</c:v>
                </c:pt>
                <c:pt idx="9">
                  <c:v>1545.2613086782733</c:v>
                </c:pt>
              </c:numCache>
            </c:numRef>
          </c:val>
          <c:smooth val="0"/>
          <c:extLst>
            <c:ext xmlns:c16="http://schemas.microsoft.com/office/drawing/2014/chart" uri="{C3380CC4-5D6E-409C-BE32-E72D297353CC}">
              <c16:uniqueId val="{00000004-253F-429D-A334-02BC01ADA372}"/>
            </c:ext>
          </c:extLst>
        </c:ser>
        <c:ser>
          <c:idx val="5"/>
          <c:order val="5"/>
          <c:tx>
            <c:strRef>
              <c:f>'Pathway Comparison'!$H$527</c:f>
              <c:strCache>
                <c:ptCount val="1"/>
                <c:pt idx="0">
                  <c:v>CEER1</c:v>
                </c:pt>
              </c:strCache>
            </c:strRef>
          </c:tx>
          <c:spPr>
            <a:ln w="28575" cap="rnd">
              <a:solidFill>
                <a:schemeClr val="accent6"/>
              </a:solidFill>
              <a:round/>
            </a:ln>
            <a:effectLst/>
          </c:spPr>
          <c:marker>
            <c:symbol val="none"/>
          </c:marker>
          <c:cat>
            <c:numRef>
              <c:f>'Pathway Comparison'!$B$528:$B$537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Comparison'!$H$528:$H$537</c:f>
              <c:numCache>
                <c:formatCode>0</c:formatCode>
                <c:ptCount val="10"/>
                <c:pt idx="0">
                  <c:v>450.06529889324349</c:v>
                </c:pt>
                <c:pt idx="1">
                  <c:v>313.48832551976022</c:v>
                </c:pt>
                <c:pt idx="2">
                  <c:v>253.41921977162505</c:v>
                </c:pt>
                <c:pt idx="3">
                  <c:v>568.7548701618108</c:v>
                </c:pt>
                <c:pt idx="4">
                  <c:v>2114.3600849576173</c:v>
                </c:pt>
                <c:pt idx="5">
                  <c:v>1848.0055081880462</c:v>
                </c:pt>
                <c:pt idx="6">
                  <c:v>1713.373308730763</c:v>
                </c:pt>
                <c:pt idx="7">
                  <c:v>1690.3438850481475</c:v>
                </c:pt>
                <c:pt idx="8">
                  <c:v>1736.146434153037</c:v>
                </c:pt>
                <c:pt idx="9">
                  <c:v>1770.1142280152217</c:v>
                </c:pt>
              </c:numCache>
            </c:numRef>
          </c:val>
          <c:smooth val="0"/>
          <c:extLst>
            <c:ext xmlns:c16="http://schemas.microsoft.com/office/drawing/2014/chart" uri="{C3380CC4-5D6E-409C-BE32-E72D297353CC}">
              <c16:uniqueId val="{00000005-253F-429D-A334-02BC01ADA372}"/>
            </c:ext>
          </c:extLst>
        </c:ser>
        <c:ser>
          <c:idx val="6"/>
          <c:order val="6"/>
          <c:tx>
            <c:strRef>
              <c:f>'Pathway Comparison'!$I$527</c:f>
              <c:strCache>
                <c:ptCount val="1"/>
                <c:pt idx="0">
                  <c:v>CEER2</c:v>
                </c:pt>
              </c:strCache>
            </c:strRef>
          </c:tx>
          <c:spPr>
            <a:ln w="28575" cap="rnd">
              <a:solidFill>
                <a:schemeClr val="accent1">
                  <a:lumMod val="60000"/>
                </a:schemeClr>
              </a:solidFill>
              <a:round/>
            </a:ln>
            <a:effectLst/>
          </c:spPr>
          <c:marker>
            <c:symbol val="none"/>
          </c:marker>
          <c:cat>
            <c:numRef>
              <c:f>'Pathway Comparison'!$B$528:$B$537</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Comparison'!$I$528:$I$537</c:f>
              <c:numCache>
                <c:formatCode>0</c:formatCode>
                <c:ptCount val="10"/>
                <c:pt idx="0">
                  <c:v>450.06529889324349</c:v>
                </c:pt>
                <c:pt idx="1">
                  <c:v>313.48832551976022</c:v>
                </c:pt>
                <c:pt idx="2">
                  <c:v>253.41921977162505</c:v>
                </c:pt>
                <c:pt idx="3">
                  <c:v>568.7548701618108</c:v>
                </c:pt>
                <c:pt idx="4">
                  <c:v>2879.6544459092902</c:v>
                </c:pt>
                <c:pt idx="5">
                  <c:v>2625.2475363119552</c:v>
                </c:pt>
                <c:pt idx="6">
                  <c:v>2504.7138817603659</c:v>
                </c:pt>
                <c:pt idx="7">
                  <c:v>2500.441038960143</c:v>
                </c:pt>
                <c:pt idx="8">
                  <c:v>2566.1548111600828</c:v>
                </c:pt>
                <c:pt idx="9">
                  <c:v>2619.1496045940503</c:v>
                </c:pt>
              </c:numCache>
            </c:numRef>
          </c:val>
          <c:smooth val="0"/>
          <c:extLst>
            <c:ext xmlns:c16="http://schemas.microsoft.com/office/drawing/2014/chart" uri="{C3380CC4-5D6E-409C-BE32-E72D297353CC}">
              <c16:uniqueId val="{00000006-253F-429D-A334-02BC01ADA372}"/>
            </c:ext>
          </c:extLst>
        </c:ser>
        <c:dLbls>
          <c:showLegendKey val="0"/>
          <c:showVal val="0"/>
          <c:showCatName val="0"/>
          <c:showSerName val="0"/>
          <c:showPercent val="0"/>
          <c:showBubbleSize val="0"/>
        </c:dLbls>
        <c:smooth val="0"/>
        <c:axId val="539793856"/>
        <c:axId val="539794336"/>
      </c:lineChart>
      <c:catAx>
        <c:axId val="539793856"/>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539794336"/>
        <c:crosses val="autoZero"/>
        <c:auto val="1"/>
        <c:lblAlgn val="ctr"/>
        <c:lblOffset val="100"/>
        <c:noMultiLvlLbl val="0"/>
      </c:catAx>
      <c:valAx>
        <c:axId val="539794336"/>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539793856"/>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'Pathway Comparison'!$B$27</c:f>
              <c:strCache>
                <c:ptCount val="1"/>
                <c:pt idx="0">
                  <c:v>Public sector cost (MEUR)</c:v>
                </c:pt>
              </c:strCache>
            </c:strRef>
          </c:tx>
          <c:spPr>
            <a:solidFill>
              <a:schemeClr val="accent4"/>
            </a:solidFill>
            <a:ln>
              <a:noFill/>
            </a:ln>
            <a:effectLst/>
          </c:spPr>
          <c:invertIfNegative val="0"/>
          <c:cat>
            <c:strRef>
              <c:f>'Pathway Comparison'!$C$26:$I$26</c:f>
              <c:strCache>
                <c:ptCount val="7"/>
                <c:pt idx="0">
                  <c:v>Baseline</c:v>
                </c:pt>
                <c:pt idx="1">
                  <c:v>EEO</c:v>
                </c:pt>
                <c:pt idx="2">
                  <c:v>VA</c:v>
                </c:pt>
                <c:pt idx="3">
                  <c:v>Renowave</c:v>
                </c:pt>
                <c:pt idx="4">
                  <c:v>EET</c:v>
                </c:pt>
                <c:pt idx="5">
                  <c:v>CEER1</c:v>
                </c:pt>
                <c:pt idx="6">
                  <c:v>CEER2</c:v>
                </c:pt>
              </c:strCache>
            </c:strRef>
          </c:cat>
          <c:val>
            <c:numRef>
              <c:f>'Pathway Comparison'!$C$27:$I$27</c:f>
              <c:numCache>
                <c:formatCode>0</c:formatCode>
                <c:ptCount val="7"/>
                <c:pt idx="0">
                  <c:v>330.79024391786061</c:v>
                </c:pt>
                <c:pt idx="1">
                  <c:v>2887.7470318077631</c:v>
                </c:pt>
                <c:pt idx="2">
                  <c:v>3210.4099267101628</c:v>
                </c:pt>
                <c:pt idx="3">
                  <c:v>4286.9620220185643</c:v>
                </c:pt>
                <c:pt idx="4">
                  <c:v>5950.6189461737695</c:v>
                </c:pt>
                <c:pt idx="5">
                  <c:v>4394.5010065043252</c:v>
                </c:pt>
                <c:pt idx="6">
                  <c:v>5748.80906657377</c:v>
                </c:pt>
              </c:numCache>
            </c:numRef>
          </c:val>
          <c:extLst>
            <c:ext xmlns:c16="http://schemas.microsoft.com/office/drawing/2014/chart" uri="{C3380CC4-5D6E-409C-BE32-E72D297353CC}">
              <c16:uniqueId val="{00000000-3365-4970-99D5-0328072A3280}"/>
            </c:ext>
          </c:extLst>
        </c:ser>
        <c:ser>
          <c:idx val="2"/>
          <c:order val="1"/>
          <c:tx>
            <c:strRef>
              <c:f>'Pathway Comparison'!$B$28</c:f>
              <c:strCache>
                <c:ptCount val="1"/>
                <c:pt idx="0">
                  <c:v>Private sector cost (MEUR)</c:v>
                </c:pt>
              </c:strCache>
            </c:strRef>
          </c:tx>
          <c:spPr>
            <a:solidFill>
              <a:schemeClr val="accent5"/>
            </a:solidFill>
            <a:ln>
              <a:noFill/>
            </a:ln>
            <a:effectLst/>
          </c:spPr>
          <c:invertIfNegative val="0"/>
          <c:cat>
            <c:strRef>
              <c:f>'Pathway Comparison'!$C$26:$I$26</c:f>
              <c:strCache>
                <c:ptCount val="7"/>
                <c:pt idx="0">
                  <c:v>Baseline</c:v>
                </c:pt>
                <c:pt idx="1">
                  <c:v>EEO</c:v>
                </c:pt>
                <c:pt idx="2">
                  <c:v>VA</c:v>
                </c:pt>
                <c:pt idx="3">
                  <c:v>Renowave</c:v>
                </c:pt>
                <c:pt idx="4">
                  <c:v>EET</c:v>
                </c:pt>
                <c:pt idx="5">
                  <c:v>CEER1</c:v>
                </c:pt>
                <c:pt idx="6">
                  <c:v>CEER2</c:v>
                </c:pt>
              </c:strCache>
            </c:strRef>
          </c:cat>
          <c:val>
            <c:numRef>
              <c:f>'Pathway Comparison'!$C$28:$I$28</c:f>
              <c:numCache>
                <c:formatCode>0</c:formatCode>
                <c:ptCount val="7"/>
                <c:pt idx="0">
                  <c:v>1257.1284993295512</c:v>
                </c:pt>
                <c:pt idx="1">
                  <c:v>7154.1905420865496</c:v>
                </c:pt>
                <c:pt idx="2">
                  <c:v>7354.4993475788142</c:v>
                </c:pt>
                <c:pt idx="3">
                  <c:v>13564.055154874291</c:v>
                </c:pt>
                <c:pt idx="4">
                  <c:v>6643.025232121211</c:v>
                </c:pt>
                <c:pt idx="5">
                  <c:v>8063.5701569349467</c:v>
                </c:pt>
                <c:pt idx="6">
                  <c:v>11532.279966468559</c:v>
                </c:pt>
              </c:numCache>
            </c:numRef>
          </c:val>
          <c:extLst>
            <c:ext xmlns:c16="http://schemas.microsoft.com/office/drawing/2014/chart" uri="{C3380CC4-5D6E-409C-BE32-E72D297353CC}">
              <c16:uniqueId val="{00000001-3365-4970-99D5-0328072A3280}"/>
            </c:ext>
          </c:extLst>
        </c:ser>
        <c:dLbls>
          <c:showLegendKey val="0"/>
          <c:showVal val="0"/>
          <c:showCatName val="0"/>
          <c:showSerName val="0"/>
          <c:showPercent val="0"/>
          <c:showBubbleSize val="0"/>
        </c:dLbls>
        <c:gapWidth val="219"/>
        <c:overlap val="100"/>
        <c:axId val="645747392"/>
        <c:axId val="645748352"/>
      </c:barChart>
      <c:lineChart>
        <c:grouping val="standard"/>
        <c:varyColors val="0"/>
        <c:ser>
          <c:idx val="1"/>
          <c:order val="2"/>
          <c:tx>
            <c:strRef>
              <c:f>'Pathway Comparison'!$B$29</c:f>
              <c:strCache>
                <c:ptCount val="1"/>
                <c:pt idx="0">
                  <c:v>Total energy savings (TWh)</c:v>
                </c:pt>
              </c:strCache>
            </c:strRef>
          </c:tx>
          <c:spPr>
            <a:ln w="28575" cap="rnd">
              <a:noFill/>
              <a:round/>
            </a:ln>
            <a:effectLst/>
          </c:spPr>
          <c:marker>
            <c:symbol val="square"/>
            <c:size val="7"/>
            <c:spPr>
              <a:solidFill>
                <a:schemeClr val="accent2"/>
              </a:solidFill>
              <a:ln w="9525">
                <a:noFill/>
              </a:ln>
              <a:effectLst/>
            </c:spPr>
          </c:marker>
          <c:cat>
            <c:strRef>
              <c:f>'Pathway Comparison'!$C$26:$H$26</c:f>
              <c:strCache>
                <c:ptCount val="6"/>
                <c:pt idx="0">
                  <c:v>Baseline</c:v>
                </c:pt>
                <c:pt idx="1">
                  <c:v>EEO</c:v>
                </c:pt>
                <c:pt idx="2">
                  <c:v>VA</c:v>
                </c:pt>
                <c:pt idx="3">
                  <c:v>Renowave</c:v>
                </c:pt>
                <c:pt idx="4">
                  <c:v>EET</c:v>
                </c:pt>
                <c:pt idx="5">
                  <c:v>CEER1</c:v>
                </c:pt>
              </c:strCache>
            </c:strRef>
          </c:cat>
          <c:val>
            <c:numRef>
              <c:f>'Pathway Comparison'!$C$29:$I$29</c:f>
              <c:numCache>
                <c:formatCode>0</c:formatCode>
                <c:ptCount val="7"/>
                <c:pt idx="0">
                  <c:v>5.4616173611366765</c:v>
                </c:pt>
                <c:pt idx="1">
                  <c:v>14.527378974475564</c:v>
                </c:pt>
                <c:pt idx="2">
                  <c:v>13.687783241666946</c:v>
                </c:pt>
                <c:pt idx="3">
                  <c:v>17.37128871838868</c:v>
                </c:pt>
                <c:pt idx="4">
                  <c:v>17.402733830709998</c:v>
                </c:pt>
                <c:pt idx="5">
                  <c:v>16.381110880025769</c:v>
                </c:pt>
                <c:pt idx="6">
                  <c:v>20.730439979513005</c:v>
                </c:pt>
              </c:numCache>
            </c:numRef>
          </c:val>
          <c:smooth val="0"/>
          <c:extLst>
            <c:ext xmlns:c16="http://schemas.microsoft.com/office/drawing/2014/chart" uri="{C3380CC4-5D6E-409C-BE32-E72D297353CC}">
              <c16:uniqueId val="{00000002-3365-4970-99D5-0328072A3280}"/>
            </c:ext>
          </c:extLst>
        </c:ser>
        <c:dLbls>
          <c:showLegendKey val="0"/>
          <c:showVal val="0"/>
          <c:showCatName val="0"/>
          <c:showSerName val="0"/>
          <c:showPercent val="0"/>
          <c:showBubbleSize val="0"/>
        </c:dLbls>
        <c:marker val="1"/>
        <c:smooth val="0"/>
        <c:axId val="677296224"/>
        <c:axId val="677294784"/>
      </c:lineChart>
      <c:catAx>
        <c:axId val="64574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645748352"/>
        <c:crosses val="autoZero"/>
        <c:auto val="1"/>
        <c:lblAlgn val="ctr"/>
        <c:lblOffset val="100"/>
        <c:noMultiLvlLbl val="0"/>
      </c:catAx>
      <c:valAx>
        <c:axId val="645748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Cost split public vs private (MEUR)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645747392"/>
        <c:crosses val="autoZero"/>
        <c:crossBetween val="between"/>
      </c:valAx>
      <c:valAx>
        <c:axId val="677294784"/>
        <c:scaling>
          <c:orientation val="minMax"/>
          <c:max val="30"/>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Total energy savings (TWh)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677296224"/>
        <c:crosses val="max"/>
        <c:crossBetween val="between"/>
      </c:valAx>
      <c:catAx>
        <c:axId val="677296224"/>
        <c:scaling>
          <c:orientation val="minMax"/>
        </c:scaling>
        <c:delete val="1"/>
        <c:axPos val="b"/>
        <c:numFmt formatCode="General" sourceLinked="1"/>
        <c:majorTickMark val="out"/>
        <c:minorTickMark val="none"/>
        <c:tickLblPos val="nextTo"/>
        <c:crossAx val="677294784"/>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3"/>
          <c:order val="0"/>
          <c:tx>
            <c:strRef>
              <c:f>'Pathway Comparison'!$B$602</c:f>
              <c:strCache>
                <c:ptCount val="1"/>
                <c:pt idx="0">
                  <c:v>Net public cost per MWh</c:v>
                </c:pt>
              </c:strCache>
            </c:strRef>
          </c:tx>
          <c:spPr>
            <a:solidFill>
              <a:schemeClr val="accent4"/>
            </a:solidFill>
          </c:spPr>
          <c:invertIfNegative val="0"/>
          <c:cat>
            <c:strRef>
              <c:f>'Pathway Comparison'!$C$600:$I$600</c:f>
              <c:strCache>
                <c:ptCount val="7"/>
                <c:pt idx="0">
                  <c:v>Baseline</c:v>
                </c:pt>
                <c:pt idx="1">
                  <c:v>EEO</c:v>
                </c:pt>
                <c:pt idx="2">
                  <c:v>VA</c:v>
                </c:pt>
                <c:pt idx="3">
                  <c:v>Renowave</c:v>
                </c:pt>
                <c:pt idx="4">
                  <c:v>EET</c:v>
                </c:pt>
                <c:pt idx="5">
                  <c:v>CEER1</c:v>
                </c:pt>
                <c:pt idx="6">
                  <c:v>CEER2</c:v>
                </c:pt>
              </c:strCache>
            </c:strRef>
          </c:cat>
          <c:val>
            <c:numRef>
              <c:f>'Pathway Comparison'!$C$602:$I$602</c:f>
              <c:numCache>
                <c:formatCode>0.0</c:formatCode>
                <c:ptCount val="7"/>
                <c:pt idx="0">
                  <c:v>52.809675727814131</c:v>
                </c:pt>
                <c:pt idx="1">
                  <c:v>191.27110844865351</c:v>
                </c:pt>
                <c:pt idx="2">
                  <c:v>227.12564545834337</c:v>
                </c:pt>
                <c:pt idx="3">
                  <c:v>240.76452339038502</c:v>
                </c:pt>
                <c:pt idx="4">
                  <c:v>332.5885434883906</c:v>
                </c:pt>
                <c:pt idx="5">
                  <c:v>259.50929333396147</c:v>
                </c:pt>
                <c:pt idx="6">
                  <c:v>269.46557928305037</c:v>
                </c:pt>
              </c:numCache>
            </c:numRef>
          </c:val>
          <c:extLst>
            <c:ext xmlns:c16="http://schemas.microsoft.com/office/drawing/2014/chart" uri="{C3380CC4-5D6E-409C-BE32-E72D297353CC}">
              <c16:uniqueId val="{00000000-6AA6-441C-8BB4-0ECBEC121D2F}"/>
            </c:ext>
          </c:extLst>
        </c:ser>
        <c:ser>
          <c:idx val="0"/>
          <c:order val="2"/>
          <c:tx>
            <c:strRef>
              <c:f>'Pathway Comparison'!$B$603</c:f>
              <c:strCache>
                <c:ptCount val="1"/>
                <c:pt idx="0">
                  <c:v>Net private cost per MWh</c:v>
                </c:pt>
              </c:strCache>
            </c:strRef>
          </c:tx>
          <c:spPr>
            <a:solidFill>
              <a:schemeClr val="accent5"/>
            </a:solidFill>
            <a:ln w="28575">
              <a:noFill/>
            </a:ln>
          </c:spPr>
          <c:invertIfNegative val="0"/>
          <c:cat>
            <c:strRef>
              <c:f>'Pathway Comparison'!$C$600:$I$600</c:f>
              <c:strCache>
                <c:ptCount val="7"/>
                <c:pt idx="0">
                  <c:v>Baseline</c:v>
                </c:pt>
                <c:pt idx="1">
                  <c:v>EEO</c:v>
                </c:pt>
                <c:pt idx="2">
                  <c:v>VA</c:v>
                </c:pt>
                <c:pt idx="3">
                  <c:v>Renowave</c:v>
                </c:pt>
                <c:pt idx="4">
                  <c:v>EET</c:v>
                </c:pt>
                <c:pt idx="5">
                  <c:v>CEER1</c:v>
                </c:pt>
                <c:pt idx="6">
                  <c:v>CEER2</c:v>
                </c:pt>
              </c:strCache>
            </c:strRef>
          </c:cat>
          <c:val>
            <c:numRef>
              <c:f>'Pathway Comparison'!$C$603:$I$603</c:f>
              <c:numCache>
                <c:formatCode>0.0</c:formatCode>
                <c:ptCount val="7"/>
                <c:pt idx="0">
                  <c:v>148.41787655376294</c:v>
                </c:pt>
                <c:pt idx="1">
                  <c:v>403.05521018478856</c:v>
                </c:pt>
                <c:pt idx="2">
                  <c:v>448.75362296504699</c:v>
                </c:pt>
                <c:pt idx="3">
                  <c:v>688.32160441089457</c:v>
                </c:pt>
                <c:pt idx="4">
                  <c:v>290.41238874490045</c:v>
                </c:pt>
                <c:pt idx="5">
                  <c:v>401.66456383441687</c:v>
                </c:pt>
                <c:pt idx="6">
                  <c:v>464.62451915284333</c:v>
                </c:pt>
              </c:numCache>
            </c:numRef>
          </c:val>
          <c:extLst>
            <c:ext xmlns:c16="http://schemas.microsoft.com/office/drawing/2014/chart" uri="{C3380CC4-5D6E-409C-BE32-E72D297353CC}">
              <c16:uniqueId val="{00000000-9983-40AE-A724-2251B21376FE}"/>
            </c:ext>
          </c:extLst>
        </c:ser>
        <c:dLbls>
          <c:showLegendKey val="0"/>
          <c:showVal val="0"/>
          <c:showCatName val="0"/>
          <c:showSerName val="0"/>
          <c:showPercent val="0"/>
          <c:showBubbleSize val="0"/>
        </c:dLbls>
        <c:gapWidth val="150"/>
        <c:overlap val="100"/>
        <c:axId val="645747392"/>
        <c:axId val="645748352"/>
      </c:barChart>
      <c:lineChart>
        <c:grouping val="standard"/>
        <c:varyColors val="0"/>
        <c:ser>
          <c:idx val="1"/>
          <c:order val="1"/>
          <c:tx>
            <c:strRef>
              <c:f>'Pathway Comparison'!$B$29</c:f>
              <c:strCache>
                <c:ptCount val="1"/>
                <c:pt idx="0">
                  <c:v>Total energy savings (TWh)</c:v>
                </c:pt>
              </c:strCache>
            </c:strRef>
          </c:tx>
          <c:spPr>
            <a:ln w="28575" cap="rnd">
              <a:noFill/>
              <a:round/>
            </a:ln>
            <a:effectLst/>
          </c:spPr>
          <c:marker>
            <c:symbol val="square"/>
            <c:size val="7"/>
            <c:spPr>
              <a:solidFill>
                <a:schemeClr val="accent2"/>
              </a:solidFill>
              <a:ln w="9525">
                <a:noFill/>
              </a:ln>
              <a:effectLst/>
            </c:spPr>
          </c:marker>
          <c:cat>
            <c:strRef>
              <c:f>'Pathway Comparison'!$C$600:$I$600</c:f>
              <c:strCache>
                <c:ptCount val="7"/>
                <c:pt idx="0">
                  <c:v>Baseline</c:v>
                </c:pt>
                <c:pt idx="1">
                  <c:v>EEO</c:v>
                </c:pt>
                <c:pt idx="2">
                  <c:v>VA</c:v>
                </c:pt>
                <c:pt idx="3">
                  <c:v>Renowave</c:v>
                </c:pt>
                <c:pt idx="4">
                  <c:v>EET</c:v>
                </c:pt>
                <c:pt idx="5">
                  <c:v>CEER1</c:v>
                </c:pt>
                <c:pt idx="6">
                  <c:v>CEER2</c:v>
                </c:pt>
              </c:strCache>
            </c:strRef>
          </c:cat>
          <c:val>
            <c:numRef>
              <c:f>'Pathway Comparison'!$C$29:$I$29</c:f>
              <c:numCache>
                <c:formatCode>0</c:formatCode>
                <c:ptCount val="7"/>
                <c:pt idx="0">
                  <c:v>5.4616173611366765</c:v>
                </c:pt>
                <c:pt idx="1">
                  <c:v>14.527378974475564</c:v>
                </c:pt>
                <c:pt idx="2">
                  <c:v>13.687783241666946</c:v>
                </c:pt>
                <c:pt idx="3">
                  <c:v>17.37128871838868</c:v>
                </c:pt>
                <c:pt idx="4">
                  <c:v>17.402733830709998</c:v>
                </c:pt>
                <c:pt idx="5">
                  <c:v>16.381110880025769</c:v>
                </c:pt>
                <c:pt idx="6">
                  <c:v>20.730439979513005</c:v>
                </c:pt>
              </c:numCache>
            </c:numRef>
          </c:val>
          <c:smooth val="0"/>
          <c:extLst>
            <c:ext xmlns:c16="http://schemas.microsoft.com/office/drawing/2014/chart" uri="{C3380CC4-5D6E-409C-BE32-E72D297353CC}">
              <c16:uniqueId val="{00000001-6AA6-441C-8BB4-0ECBEC121D2F}"/>
            </c:ext>
          </c:extLst>
        </c:ser>
        <c:dLbls>
          <c:showLegendKey val="0"/>
          <c:showVal val="0"/>
          <c:showCatName val="0"/>
          <c:showSerName val="0"/>
          <c:showPercent val="0"/>
          <c:showBubbleSize val="0"/>
        </c:dLbls>
        <c:marker val="1"/>
        <c:smooth val="0"/>
        <c:axId val="677296224"/>
        <c:axId val="677294784"/>
      </c:lineChart>
      <c:catAx>
        <c:axId val="64574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t-EE"/>
          </a:p>
        </c:txPr>
        <c:crossAx val="645748352"/>
        <c:crosses val="autoZero"/>
        <c:auto val="1"/>
        <c:lblAlgn val="ctr"/>
        <c:lblOffset val="100"/>
        <c:noMultiLvlLbl val="0"/>
      </c:catAx>
      <c:valAx>
        <c:axId val="645748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en-GB" b="0"/>
                  <a:t>Net cost per savings (EUR/MWh)</a:t>
                </a:r>
              </a:p>
            </c:rich>
          </c:tx>
          <c:overlay val="0"/>
          <c:spPr>
            <a:noFill/>
            <a:ln>
              <a:noFill/>
            </a:ln>
            <a:effectLst/>
          </c:spPr>
        </c:title>
        <c:numFmt formatCode="0.0" sourceLinked="1"/>
        <c:majorTickMark val="none"/>
        <c:minorTickMark val="none"/>
        <c:tickLblPos val="nextTo"/>
        <c:spPr>
          <a:noFill/>
          <a:ln>
            <a:noFill/>
          </a:ln>
          <a:effectLst/>
        </c:spPr>
        <c:txPr>
          <a:bodyPr rot="-60000000" vert="horz"/>
          <a:lstStyle/>
          <a:p>
            <a:pPr>
              <a:defRPr/>
            </a:pPr>
            <a:endParaRPr lang="et-EE"/>
          </a:p>
        </c:txPr>
        <c:crossAx val="645747392"/>
        <c:crosses val="autoZero"/>
        <c:crossBetween val="between"/>
        <c:majorUnit val="200"/>
      </c:valAx>
      <c:valAx>
        <c:axId val="677294784"/>
        <c:scaling>
          <c:orientation val="minMax"/>
          <c:min val="0"/>
        </c:scaling>
        <c:delete val="0"/>
        <c:axPos val="r"/>
        <c:title>
          <c:tx>
            <c:rich>
              <a:bodyPr rot="-5400000" vert="horz"/>
              <a:lstStyle/>
              <a:p>
                <a:pPr>
                  <a:defRPr b="0"/>
                </a:pPr>
                <a:r>
                  <a:rPr lang="en-GB" b="0"/>
                  <a:t>Total energy savings (TWh)</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et-EE"/>
          </a:p>
        </c:txPr>
        <c:crossAx val="677296224"/>
        <c:crosses val="max"/>
        <c:crossBetween val="between"/>
        <c:majorUnit val="4"/>
      </c:valAx>
      <c:catAx>
        <c:axId val="677296224"/>
        <c:scaling>
          <c:orientation val="minMax"/>
        </c:scaling>
        <c:delete val="1"/>
        <c:axPos val="b"/>
        <c:numFmt formatCode="General" sourceLinked="1"/>
        <c:majorTickMark val="out"/>
        <c:minorTickMark val="none"/>
        <c:tickLblPos val="nextTo"/>
        <c:crossAx val="677294784"/>
        <c:crosses val="autoZero"/>
        <c:auto val="1"/>
        <c:lblAlgn val="ctr"/>
        <c:lblOffset val="100"/>
        <c:noMultiLvlLbl val="0"/>
      </c:catAx>
    </c:plotArea>
    <c:legend>
      <c:legendPos val="b"/>
      <c:overlay val="0"/>
      <c:spPr>
        <a:noFill/>
        <a:ln>
          <a:noFill/>
        </a:ln>
        <a:effectLst/>
      </c:spPr>
      <c:txPr>
        <a:bodyPr rot="0" vert="horz"/>
        <a:lstStyle/>
        <a:p>
          <a:pPr>
            <a:defRPr/>
          </a:pPr>
          <a:endParaRPr lang="et-EE"/>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0"/>
          <c:tx>
            <c:strRef>
              <c:f>'Pathway Comparison'!$B$602</c:f>
              <c:strCache>
                <c:ptCount val="1"/>
                <c:pt idx="0">
                  <c:v>Net public cost per MWh</c:v>
                </c:pt>
              </c:strCache>
            </c:strRef>
          </c:tx>
          <c:spPr>
            <a:solidFill>
              <a:schemeClr val="accent4"/>
            </a:solidFill>
            <a:ln w="28575" cap="rnd">
              <a:noFill/>
              <a:round/>
            </a:ln>
            <a:effectLst/>
          </c:spPr>
          <c:invertIfNegative val="0"/>
          <c:cat>
            <c:strRef>
              <c:f>'Pathway Comparison'!$C$600:$H$600</c:f>
              <c:strCache>
                <c:ptCount val="6"/>
                <c:pt idx="0">
                  <c:v>Baseline</c:v>
                </c:pt>
                <c:pt idx="1">
                  <c:v>EEO</c:v>
                </c:pt>
                <c:pt idx="2">
                  <c:v>VA</c:v>
                </c:pt>
                <c:pt idx="3">
                  <c:v>Renowave</c:v>
                </c:pt>
                <c:pt idx="4">
                  <c:v>EET</c:v>
                </c:pt>
                <c:pt idx="5">
                  <c:v>CEER1</c:v>
                </c:pt>
              </c:strCache>
            </c:strRef>
          </c:cat>
          <c:val>
            <c:numRef>
              <c:f>'Pathway Comparison'!$C$602:$H$602</c:f>
              <c:numCache>
                <c:formatCode>0.0</c:formatCode>
                <c:ptCount val="6"/>
                <c:pt idx="0">
                  <c:v>52.809675727814131</c:v>
                </c:pt>
                <c:pt idx="1">
                  <c:v>191.27110844865351</c:v>
                </c:pt>
                <c:pt idx="2">
                  <c:v>227.12564545834337</c:v>
                </c:pt>
                <c:pt idx="3">
                  <c:v>240.76452339038502</c:v>
                </c:pt>
                <c:pt idx="4">
                  <c:v>332.5885434883906</c:v>
                </c:pt>
                <c:pt idx="5">
                  <c:v>259.50929333396147</c:v>
                </c:pt>
              </c:numCache>
            </c:numRef>
          </c:val>
          <c:extLst>
            <c:ext xmlns:c16="http://schemas.microsoft.com/office/drawing/2014/chart" uri="{C3380CC4-5D6E-409C-BE32-E72D297353CC}">
              <c16:uniqueId val="{00000000-2ABE-47FE-8056-70E9FCD8AF25}"/>
            </c:ext>
          </c:extLst>
        </c:ser>
        <c:ser>
          <c:idx val="0"/>
          <c:order val="1"/>
          <c:tx>
            <c:strRef>
              <c:f>'Pathway Comparison'!$B$603</c:f>
              <c:strCache>
                <c:ptCount val="1"/>
                <c:pt idx="0">
                  <c:v>Net private cost per MWh</c:v>
                </c:pt>
              </c:strCache>
            </c:strRef>
          </c:tx>
          <c:spPr>
            <a:solidFill>
              <a:schemeClr val="accent5"/>
            </a:solidFill>
            <a:ln w="28575">
              <a:noFill/>
            </a:ln>
          </c:spPr>
          <c:invertIfNegative val="0"/>
          <c:cat>
            <c:strRef>
              <c:f>'Pathway Comparison'!$C$600:$H$600</c:f>
              <c:strCache>
                <c:ptCount val="6"/>
                <c:pt idx="0">
                  <c:v>Baseline</c:v>
                </c:pt>
                <c:pt idx="1">
                  <c:v>EEO</c:v>
                </c:pt>
                <c:pt idx="2">
                  <c:v>VA</c:v>
                </c:pt>
                <c:pt idx="3">
                  <c:v>Renowave</c:v>
                </c:pt>
                <c:pt idx="4">
                  <c:v>EET</c:v>
                </c:pt>
                <c:pt idx="5">
                  <c:v>CEER1</c:v>
                </c:pt>
              </c:strCache>
            </c:strRef>
          </c:cat>
          <c:val>
            <c:numRef>
              <c:f>'Pathway Comparison'!$C$603:$H$603</c:f>
              <c:numCache>
                <c:formatCode>0.0</c:formatCode>
                <c:ptCount val="6"/>
                <c:pt idx="0">
                  <c:v>148.41787655376294</c:v>
                </c:pt>
                <c:pt idx="1">
                  <c:v>403.05521018478856</c:v>
                </c:pt>
                <c:pt idx="2">
                  <c:v>448.75362296504699</c:v>
                </c:pt>
                <c:pt idx="3">
                  <c:v>688.32160441089457</c:v>
                </c:pt>
                <c:pt idx="4">
                  <c:v>290.41238874490045</c:v>
                </c:pt>
                <c:pt idx="5">
                  <c:v>401.66456383441687</c:v>
                </c:pt>
              </c:numCache>
            </c:numRef>
          </c:val>
          <c:extLst>
            <c:ext xmlns:c16="http://schemas.microsoft.com/office/drawing/2014/chart" uri="{C3380CC4-5D6E-409C-BE32-E72D297353CC}">
              <c16:uniqueId val="{00000001-2ABE-47FE-8056-70E9FCD8AF25}"/>
            </c:ext>
          </c:extLst>
        </c:ser>
        <c:dLbls>
          <c:showLegendKey val="0"/>
          <c:showVal val="0"/>
          <c:showCatName val="0"/>
          <c:showSerName val="0"/>
          <c:showPercent val="0"/>
          <c:showBubbleSize val="0"/>
        </c:dLbls>
        <c:gapWidth val="150"/>
        <c:overlap val="100"/>
        <c:axId val="645747392"/>
        <c:axId val="645748352"/>
      </c:barChart>
      <c:catAx>
        <c:axId val="64574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vert="horz"/>
          <a:lstStyle/>
          <a:p>
            <a:pPr>
              <a:defRPr/>
            </a:pPr>
            <a:endParaRPr lang="et-EE"/>
          </a:p>
        </c:txPr>
        <c:crossAx val="645748352"/>
        <c:crosses val="autoZero"/>
        <c:auto val="1"/>
        <c:lblAlgn val="ctr"/>
        <c:lblOffset val="100"/>
        <c:noMultiLvlLbl val="0"/>
      </c:catAx>
      <c:valAx>
        <c:axId val="6457483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vert="horz"/>
              <a:lstStyle/>
              <a:p>
                <a:pPr>
                  <a:defRPr b="0"/>
                </a:pPr>
                <a:r>
                  <a:rPr lang="en-GB" b="0"/>
                  <a:t>Cost per savings (EUR/MWh)</a:t>
                </a:r>
              </a:p>
            </c:rich>
          </c:tx>
          <c:overlay val="0"/>
          <c:spPr>
            <a:noFill/>
            <a:ln>
              <a:noFill/>
            </a:ln>
            <a:effectLst/>
          </c:spPr>
        </c:title>
        <c:numFmt formatCode="0.0" sourceLinked="1"/>
        <c:majorTickMark val="none"/>
        <c:minorTickMark val="none"/>
        <c:tickLblPos val="nextTo"/>
        <c:spPr>
          <a:noFill/>
          <a:ln>
            <a:noFill/>
          </a:ln>
          <a:effectLst/>
        </c:spPr>
        <c:txPr>
          <a:bodyPr rot="-60000000" vert="horz"/>
          <a:lstStyle/>
          <a:p>
            <a:pPr>
              <a:defRPr/>
            </a:pPr>
            <a:endParaRPr lang="et-EE"/>
          </a:p>
        </c:txPr>
        <c:crossAx val="645747392"/>
        <c:crosses val="autoZero"/>
        <c:crossBetween val="between"/>
        <c:majorUnit val="200"/>
      </c:valAx>
    </c:plotArea>
    <c:legend>
      <c:legendPos val="b"/>
      <c:overlay val="0"/>
      <c:spPr>
        <a:noFill/>
        <a:ln>
          <a:noFill/>
        </a:ln>
        <a:effectLst/>
      </c:spPr>
      <c:txPr>
        <a:bodyPr rot="0" vert="horz"/>
        <a:lstStyle/>
        <a:p>
          <a:pPr>
            <a:defRPr/>
          </a:pPr>
          <a:endParaRPr lang="et-EE"/>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'Pathway Comparison'!$C$368</c:f>
              <c:strCache>
                <c:ptCount val="1"/>
                <c:pt idx="0">
                  <c:v>Baseline</c:v>
                </c:pt>
              </c:strCache>
            </c:strRef>
          </c:tx>
          <c:spPr>
            <a:ln w="28575" cap="rnd">
              <a:solidFill>
                <a:schemeClr val="bg1">
                  <a:lumMod val="50000"/>
                </a:schemeClr>
              </a:solidFill>
              <a:prstDash val="sysDot"/>
              <a:round/>
            </a:ln>
            <a:effectLst/>
          </c:spPr>
          <c:marker>
            <c:symbol val="none"/>
          </c:marker>
          <c:cat>
            <c:numRef>
              <c:f>'Pathway Comparison'!$B$370:$B$378</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Comparison'!$C$370:$C$378</c:f>
              <c:numCache>
                <c:formatCode>0.0%</c:formatCode>
                <c:ptCount val="9"/>
                <c:pt idx="0">
                  <c:v>1.2148997818662547E-3</c:v>
                </c:pt>
                <c:pt idx="1">
                  <c:v>9.0605821142066955E-4</c:v>
                </c:pt>
                <c:pt idx="2">
                  <c:v>5.810109226686011E-3</c:v>
                </c:pt>
                <c:pt idx="3">
                  <c:v>4.7005525303616055E-3</c:v>
                </c:pt>
                <c:pt idx="4">
                  <c:v>2.0968694907554154E-3</c:v>
                </c:pt>
                <c:pt idx="5">
                  <c:v>1.8698158784367048E-3</c:v>
                </c:pt>
                <c:pt idx="6">
                  <c:v>5.7176197869410097E-4</c:v>
                </c:pt>
                <c:pt idx="7">
                  <c:v>5.721075836055508E-4</c:v>
                </c:pt>
                <c:pt idx="8">
                  <c:v>5.7239419582160627E-4</c:v>
                </c:pt>
              </c:numCache>
            </c:numRef>
          </c:val>
          <c:smooth val="0"/>
          <c:extLst>
            <c:ext xmlns:c16="http://schemas.microsoft.com/office/drawing/2014/chart" uri="{C3380CC4-5D6E-409C-BE32-E72D297353CC}">
              <c16:uniqueId val="{00000000-5DF4-41F9-8C1D-A652949A85D1}"/>
            </c:ext>
          </c:extLst>
        </c:ser>
        <c:ser>
          <c:idx val="8"/>
          <c:order val="7"/>
          <c:tx>
            <c:strRef>
              <c:f>'Pathway Comparison'!$J$368</c:f>
              <c:strCache>
                <c:ptCount val="1"/>
                <c:pt idx="0">
                  <c:v>EED target (2018)</c:v>
                </c:pt>
              </c:strCache>
            </c:strRef>
          </c:tx>
          <c:spPr>
            <a:ln w="28575" cap="rnd">
              <a:solidFill>
                <a:schemeClr val="accent3">
                  <a:lumMod val="40000"/>
                  <a:lumOff val="60000"/>
                </a:schemeClr>
              </a:solidFill>
              <a:prstDash val="sysDash"/>
              <a:round/>
            </a:ln>
            <a:effectLst/>
          </c:spPr>
          <c:marker>
            <c:symbol val="none"/>
          </c:marker>
          <c:val>
            <c:numRef>
              <c:f>'Pathway Comparison'!$J$370:$J$378</c:f>
              <c:numCache>
                <c:formatCode>0.0%</c:formatCode>
                <c:ptCount val="9"/>
                <c:pt idx="0">
                  <c:v>8.0000000000000002E-3</c:v>
                </c:pt>
                <c:pt idx="1">
                  <c:v>8.0000000000000002E-3</c:v>
                </c:pt>
                <c:pt idx="2">
                  <c:v>8.0000000000000002E-3</c:v>
                </c:pt>
                <c:pt idx="3">
                  <c:v>8.0000000000000002E-3</c:v>
                </c:pt>
                <c:pt idx="4">
                  <c:v>8.0000000000000002E-3</c:v>
                </c:pt>
                <c:pt idx="5">
                  <c:v>8.0000000000000002E-3</c:v>
                </c:pt>
                <c:pt idx="6">
                  <c:v>8.0000000000000002E-3</c:v>
                </c:pt>
                <c:pt idx="7">
                  <c:v>8.0000000000000002E-3</c:v>
                </c:pt>
                <c:pt idx="8">
                  <c:v>8.0000000000000002E-3</c:v>
                </c:pt>
              </c:numCache>
            </c:numRef>
          </c:val>
          <c:smooth val="0"/>
          <c:extLst>
            <c:ext xmlns:c16="http://schemas.microsoft.com/office/drawing/2014/chart" uri="{C3380CC4-5D6E-409C-BE32-E72D297353CC}">
              <c16:uniqueId val="{00000001-5DF4-41F9-8C1D-A652949A85D1}"/>
            </c:ext>
          </c:extLst>
        </c:ser>
        <c:ser>
          <c:idx val="7"/>
          <c:order val="8"/>
          <c:tx>
            <c:strRef>
              <c:f>'Pathway Comparison'!$K$368</c:f>
              <c:strCache>
                <c:ptCount val="1"/>
                <c:pt idx="0">
                  <c:v>EED recast target (2023)</c:v>
                </c:pt>
              </c:strCache>
            </c:strRef>
          </c:tx>
          <c:spPr>
            <a:ln w="28575" cap="rnd">
              <a:solidFill>
                <a:schemeClr val="accent3"/>
              </a:solidFill>
              <a:prstDash val="solid"/>
              <a:round/>
              <a:extLst>
                <a:ext uri="{C807C97D-BFC1-408E-A445-0C87EB9F89A2}">
                  <ask:lineSketchStyleProps xmlns:ask="http://schemas.microsoft.com/office/drawing/2018/sketchyshapes">
                    <ask:type>
                      <ask:lineSketchNone/>
                    </ask:type>
                  </ask:lineSketchStyleProps>
                </a:ext>
              </a:extLst>
            </a:ln>
            <a:effectLst/>
          </c:spPr>
          <c:marker>
            <c:symbol val="none"/>
          </c:marker>
          <c:cat>
            <c:numRef>
              <c:f>'Pathway Comparison'!$B$370:$B$378</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Comparison'!$K$370:$K$378</c:f>
              <c:numCache>
                <c:formatCode>0.0%</c:formatCode>
                <c:ptCount val="9"/>
                <c:pt idx="0">
                  <c:v>8.0000000000000002E-3</c:v>
                </c:pt>
                <c:pt idx="1">
                  <c:v>8.0000000000000002E-3</c:v>
                </c:pt>
                <c:pt idx="2">
                  <c:v>1.2999999999999999E-2</c:v>
                </c:pt>
                <c:pt idx="3">
                  <c:v>1.2999999999999999E-2</c:v>
                </c:pt>
                <c:pt idx="4">
                  <c:v>1.4999999999999999E-2</c:v>
                </c:pt>
                <c:pt idx="5">
                  <c:v>1.4999999999999999E-2</c:v>
                </c:pt>
                <c:pt idx="6">
                  <c:v>1.9E-2</c:v>
                </c:pt>
                <c:pt idx="7">
                  <c:v>1.9E-2</c:v>
                </c:pt>
                <c:pt idx="8">
                  <c:v>1.9E-2</c:v>
                </c:pt>
              </c:numCache>
            </c:numRef>
          </c:val>
          <c:smooth val="0"/>
          <c:extLst>
            <c:ext xmlns:c16="http://schemas.microsoft.com/office/drawing/2014/chart" uri="{C3380CC4-5D6E-409C-BE32-E72D297353CC}">
              <c16:uniqueId val="{00000002-5DF4-41F9-8C1D-A652949A85D1}"/>
            </c:ext>
          </c:extLst>
        </c:ser>
        <c:dLbls>
          <c:showLegendKey val="0"/>
          <c:showVal val="0"/>
          <c:showCatName val="0"/>
          <c:showSerName val="0"/>
          <c:showPercent val="0"/>
          <c:showBubbleSize val="0"/>
        </c:dLbls>
        <c:smooth val="0"/>
        <c:axId val="1233154223"/>
        <c:axId val="1233155663"/>
        <c:extLst>
          <c:ext xmlns:c15="http://schemas.microsoft.com/office/drawing/2012/chart" uri="{02D57815-91ED-43cb-92C2-25804820EDAC}">
            <c15:filteredLineSeries>
              <c15:ser>
                <c:idx val="1"/>
                <c:order val="1"/>
                <c:tx>
                  <c:strRef>
                    <c:extLst>
                      <c:ext uri="{02D57815-91ED-43cb-92C2-25804820EDAC}">
                        <c15:formulaRef>
                          <c15:sqref>'Pathway Comparison'!$D$368</c15:sqref>
                        </c15:formulaRef>
                      </c:ext>
                    </c:extLst>
                    <c:strCache>
                      <c:ptCount val="1"/>
                      <c:pt idx="0">
                        <c:v>EEO</c:v>
                      </c:pt>
                    </c:strCache>
                  </c:strRef>
                </c:tx>
                <c:spPr>
                  <a:ln w="28575" cap="rnd">
                    <a:solidFill>
                      <a:schemeClr val="accent2"/>
                    </a:solidFill>
                    <a:round/>
                  </a:ln>
                  <a:effectLst/>
                </c:spPr>
                <c:marker>
                  <c:symbol val="none"/>
                </c:marker>
                <c:cat>
                  <c:numRef>
                    <c:extLst>
                      <c:ext uri="{02D57815-91ED-43cb-92C2-25804820EDAC}">
                        <c15:formulaRef>
                          <c15:sqref>'Pathway Comparison'!$B$370:$B$378</c15:sqref>
                        </c15:formulaRef>
                      </c:ext>
                    </c:extLst>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extLst>
                      <c:ext uri="{02D57815-91ED-43cb-92C2-25804820EDAC}">
                        <c15:formulaRef>
                          <c15:sqref>'Pathway Comparison'!$D$370:$D$378</c15:sqref>
                        </c15:formulaRef>
                      </c:ext>
                    </c:extLst>
                    <c:numCache>
                      <c:formatCode>0.0%</c:formatCode>
                      <c:ptCount val="9"/>
                      <c:pt idx="0">
                        <c:v>1.3852573990583532E-3</c:v>
                      </c:pt>
                      <c:pt idx="1">
                        <c:v>1.0786401583195641E-3</c:v>
                      </c:pt>
                      <c:pt idx="2">
                        <c:v>7.0330170044556484E-3</c:v>
                      </c:pt>
                      <c:pt idx="3">
                        <c:v>1.7996230726165539E-2</c:v>
                      </c:pt>
                      <c:pt idx="4">
                        <c:v>1.3388915359993524E-2</c:v>
                      </c:pt>
                      <c:pt idx="5">
                        <c:v>1.6925595178451134E-2</c:v>
                      </c:pt>
                      <c:pt idx="6">
                        <c:v>1.1298652310592631E-2</c:v>
                      </c:pt>
                      <c:pt idx="7">
                        <c:v>1.119875728276248E-2</c:v>
                      </c:pt>
                      <c:pt idx="8">
                        <c:v>1.1070831875549018E-2</c:v>
                      </c:pt>
                    </c:numCache>
                  </c:numRef>
                </c:val>
                <c:smooth val="0"/>
                <c:extLst>
                  <c:ext xmlns:c16="http://schemas.microsoft.com/office/drawing/2014/chart" uri="{C3380CC4-5D6E-409C-BE32-E72D297353CC}">
                    <c16:uniqueId val="{00000003-5DF4-41F9-8C1D-A652949A85D1}"/>
                  </c:ext>
                </c:extLst>
              </c15:ser>
            </c15:filteredLineSeries>
            <c15:filteredLineSeries>
              <c15:ser>
                <c:idx val="2"/>
                <c:order val="2"/>
                <c:tx>
                  <c:strRef>
                    <c:extLst xmlns:c15="http://schemas.microsoft.com/office/drawing/2012/chart">
                      <c:ext xmlns:c15="http://schemas.microsoft.com/office/drawing/2012/chart" uri="{02D57815-91ED-43cb-92C2-25804820EDAC}">
                        <c15:formulaRef>
                          <c15:sqref>'Pathway Comparison'!$E$368</c15:sqref>
                        </c15:formulaRef>
                      </c:ext>
                    </c:extLst>
                    <c:strCache>
                      <c:ptCount val="1"/>
                      <c:pt idx="0">
                        <c:v>VA</c:v>
                      </c:pt>
                    </c:strCache>
                  </c:strRef>
                </c:tx>
                <c:spPr>
                  <a:ln w="28575" cap="rnd">
                    <a:solidFill>
                      <a:schemeClr val="accent3">
                        <a:lumMod val="50000"/>
                      </a:schemeClr>
                    </a:solidFill>
                    <a:round/>
                  </a:ln>
                  <a:effectLst/>
                </c:spPr>
                <c:marker>
                  <c:symbol val="none"/>
                </c:marker>
                <c:cat>
                  <c:numRef>
                    <c:extLst xmlns:c15="http://schemas.microsoft.com/office/drawing/2012/chart">
                      <c:ext xmlns:c15="http://schemas.microsoft.com/office/drawing/2012/chart" uri="{02D57815-91ED-43cb-92C2-25804820EDAC}">
                        <c15:formulaRef>
                          <c15:sqref>'Pathway Comparison'!$B$370:$B$378</c15:sqref>
                        </c15:formulaRef>
                      </c:ext>
                    </c:extLst>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extLst xmlns:c15="http://schemas.microsoft.com/office/drawing/2012/chart">
                      <c:ext xmlns:c15="http://schemas.microsoft.com/office/drawing/2012/chart" uri="{02D57815-91ED-43cb-92C2-25804820EDAC}">
                        <c15:formulaRef>
                          <c15:sqref>'Pathway Comparison'!$E$370:$E$378</c15:sqref>
                        </c15:formulaRef>
                      </c:ext>
                    </c:extLst>
                    <c:numCache>
                      <c:formatCode>0.0%</c:formatCode>
                      <c:ptCount val="9"/>
                      <c:pt idx="0">
                        <c:v>1.3852573990583532E-3</c:v>
                      </c:pt>
                      <c:pt idx="1">
                        <c:v>1.0786401583195641E-3</c:v>
                      </c:pt>
                      <c:pt idx="2">
                        <c:v>7.0330170044556484E-3</c:v>
                      </c:pt>
                      <c:pt idx="3">
                        <c:v>1.5799255304943437E-2</c:v>
                      </c:pt>
                      <c:pt idx="4">
                        <c:v>1.1615762384214044E-2</c:v>
                      </c:pt>
                      <c:pt idx="5">
                        <c:v>1.5731530062482221E-2</c:v>
                      </c:pt>
                      <c:pt idx="6">
                        <c:v>1.0865284029014119E-2</c:v>
                      </c:pt>
                      <c:pt idx="7">
                        <c:v>1.1711159782388124E-2</c:v>
                      </c:pt>
                      <c:pt idx="8">
                        <c:v>1.22603910046093E-2</c:v>
                      </c:pt>
                    </c:numCache>
                  </c:numRef>
                </c:val>
                <c:smooth val="0"/>
                <c:extLst xmlns:c15="http://schemas.microsoft.com/office/drawing/2012/chart">
                  <c:ext xmlns:c16="http://schemas.microsoft.com/office/drawing/2014/chart" uri="{C3380CC4-5D6E-409C-BE32-E72D297353CC}">
                    <c16:uniqueId val="{00000004-5DF4-41F9-8C1D-A652949A85D1}"/>
                  </c:ext>
                </c:extLst>
              </c15:ser>
            </c15:filteredLineSeries>
            <c15:filteredLineSeries>
              <c15:ser>
                <c:idx val="3"/>
                <c:order val="3"/>
                <c:tx>
                  <c:strRef>
                    <c:extLst xmlns:c15="http://schemas.microsoft.com/office/drawing/2012/chart">
                      <c:ext xmlns:c15="http://schemas.microsoft.com/office/drawing/2012/chart" uri="{02D57815-91ED-43cb-92C2-25804820EDAC}">
                        <c15:formulaRef>
                          <c15:sqref>'Pathway Comparison'!$F$368</c15:sqref>
                        </c15:formulaRef>
                      </c:ext>
                    </c:extLst>
                    <c:strCache>
                      <c:ptCount val="1"/>
                      <c:pt idx="0">
                        <c:v>Renowave</c:v>
                      </c:pt>
                    </c:strCache>
                  </c:strRef>
                </c:tx>
                <c:spPr>
                  <a:ln w="28575" cap="rnd">
                    <a:solidFill>
                      <a:schemeClr val="accent4"/>
                    </a:solidFill>
                    <a:round/>
                  </a:ln>
                  <a:effectLst/>
                </c:spPr>
                <c:marker>
                  <c:symbol val="none"/>
                </c:marker>
                <c:cat>
                  <c:numRef>
                    <c:extLst xmlns:c15="http://schemas.microsoft.com/office/drawing/2012/chart">
                      <c:ext xmlns:c15="http://schemas.microsoft.com/office/drawing/2012/chart" uri="{02D57815-91ED-43cb-92C2-25804820EDAC}">
                        <c15:formulaRef>
                          <c15:sqref>'Pathway Comparison'!$B$370:$B$378</c15:sqref>
                        </c15:formulaRef>
                      </c:ext>
                    </c:extLst>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extLst xmlns:c15="http://schemas.microsoft.com/office/drawing/2012/chart">
                      <c:ext xmlns:c15="http://schemas.microsoft.com/office/drawing/2012/chart" uri="{02D57815-91ED-43cb-92C2-25804820EDAC}">
                        <c15:formulaRef>
                          <c15:sqref>'Pathway Comparison'!$F$370:$F$378</c15:sqref>
                        </c15:formulaRef>
                      </c:ext>
                    </c:extLst>
                    <c:numCache>
                      <c:formatCode>0.0%</c:formatCode>
                      <c:ptCount val="9"/>
                      <c:pt idx="0">
                        <c:v>1.3852573990583532E-3</c:v>
                      </c:pt>
                      <c:pt idx="1">
                        <c:v>1.0786401583195641E-3</c:v>
                      </c:pt>
                      <c:pt idx="2">
                        <c:v>6.4959313212955422E-3</c:v>
                      </c:pt>
                      <c:pt idx="3">
                        <c:v>2.2179061301365734E-2</c:v>
                      </c:pt>
                      <c:pt idx="4">
                        <c:v>1.7777627358929484E-2</c:v>
                      </c:pt>
                      <c:pt idx="5">
                        <c:v>2.1429592165918457E-2</c:v>
                      </c:pt>
                      <c:pt idx="6">
                        <c:v>1.5654129719762298E-2</c:v>
                      </c:pt>
                      <c:pt idx="7">
                        <c:v>1.5409714603306642E-2</c:v>
                      </c:pt>
                      <c:pt idx="8">
                        <c:v>1.5141178089776513E-2</c:v>
                      </c:pt>
                    </c:numCache>
                  </c:numRef>
                </c:val>
                <c:smooth val="0"/>
                <c:extLst xmlns:c15="http://schemas.microsoft.com/office/drawing/2012/chart">
                  <c:ext xmlns:c16="http://schemas.microsoft.com/office/drawing/2014/chart" uri="{C3380CC4-5D6E-409C-BE32-E72D297353CC}">
                    <c16:uniqueId val="{00000005-5DF4-41F9-8C1D-A652949A85D1}"/>
                  </c:ext>
                </c:extLst>
              </c15:ser>
            </c15:filteredLineSeries>
            <c15:filteredLineSeries>
              <c15:ser>
                <c:idx val="4"/>
                <c:order val="4"/>
                <c:tx>
                  <c:strRef>
                    <c:extLst xmlns:c15="http://schemas.microsoft.com/office/drawing/2012/chart">
                      <c:ext xmlns:c15="http://schemas.microsoft.com/office/drawing/2012/chart" uri="{02D57815-91ED-43cb-92C2-25804820EDAC}">
                        <c15:formulaRef>
                          <c15:sqref>'Pathway Comparison'!$G$368</c15:sqref>
                        </c15:formulaRef>
                      </c:ext>
                    </c:extLst>
                    <c:strCache>
                      <c:ptCount val="1"/>
                      <c:pt idx="0">
                        <c:v>EET</c:v>
                      </c:pt>
                    </c:strCache>
                  </c:strRef>
                </c:tx>
                <c:spPr>
                  <a:ln w="28575" cap="rnd">
                    <a:solidFill>
                      <a:schemeClr val="accent5"/>
                    </a:solidFill>
                    <a:round/>
                  </a:ln>
                  <a:effectLst/>
                </c:spPr>
                <c:marker>
                  <c:symbol val="none"/>
                </c:marker>
                <c:cat>
                  <c:numRef>
                    <c:extLst xmlns:c15="http://schemas.microsoft.com/office/drawing/2012/chart">
                      <c:ext xmlns:c15="http://schemas.microsoft.com/office/drawing/2012/chart" uri="{02D57815-91ED-43cb-92C2-25804820EDAC}">
                        <c15:formulaRef>
                          <c15:sqref>'Pathway Comparison'!$B$370:$B$378</c15:sqref>
                        </c15:formulaRef>
                      </c:ext>
                    </c:extLst>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extLst xmlns:c15="http://schemas.microsoft.com/office/drawing/2012/chart">
                      <c:ext xmlns:c15="http://schemas.microsoft.com/office/drawing/2012/chart" uri="{02D57815-91ED-43cb-92C2-25804820EDAC}">
                        <c15:formulaRef>
                          <c15:sqref>'Pathway Comparison'!$G$370:$G$378</c15:sqref>
                        </c15:formulaRef>
                      </c:ext>
                    </c:extLst>
                    <c:numCache>
                      <c:formatCode>0.0%</c:formatCode>
                      <c:ptCount val="9"/>
                      <c:pt idx="0">
                        <c:v>1.640793824846731E-3</c:v>
                      </c:pt>
                      <c:pt idx="1">
                        <c:v>1.3375130786675627E-3</c:v>
                      </c:pt>
                      <c:pt idx="2">
                        <c:v>6.7190359384701913E-3</c:v>
                      </c:pt>
                      <c:pt idx="3">
                        <c:v>1.9938112879147166E-2</c:v>
                      </c:pt>
                      <c:pt idx="4">
                        <c:v>1.3225976018348143E-2</c:v>
                      </c:pt>
                      <c:pt idx="5">
                        <c:v>3.3626616130063916E-2</c:v>
                      </c:pt>
                      <c:pt idx="6">
                        <c:v>1.1265460181214165E-2</c:v>
                      </c:pt>
                      <c:pt idx="7">
                        <c:v>1.1125861163135676E-2</c:v>
                      </c:pt>
                      <c:pt idx="8">
                        <c:v>1.0916867432062839E-2</c:v>
                      </c:pt>
                    </c:numCache>
                  </c:numRef>
                </c:val>
                <c:smooth val="0"/>
                <c:extLst xmlns:c15="http://schemas.microsoft.com/office/drawing/2012/chart">
                  <c:ext xmlns:c16="http://schemas.microsoft.com/office/drawing/2014/chart" uri="{C3380CC4-5D6E-409C-BE32-E72D297353CC}">
                    <c16:uniqueId val="{00000006-5DF4-41F9-8C1D-A652949A85D1}"/>
                  </c:ext>
                </c:extLst>
              </c15:ser>
            </c15:filteredLineSeries>
            <c15:filteredLineSeries>
              <c15:ser>
                <c:idx val="5"/>
                <c:order val="5"/>
                <c:tx>
                  <c:strRef>
                    <c:extLst xmlns:c15="http://schemas.microsoft.com/office/drawing/2012/chart">
                      <c:ext xmlns:c15="http://schemas.microsoft.com/office/drawing/2012/chart" uri="{02D57815-91ED-43cb-92C2-25804820EDAC}">
                        <c15:formulaRef>
                          <c15:sqref>'Pathway Comparison'!$H$368</c15:sqref>
                        </c15:formulaRef>
                      </c:ext>
                    </c:extLst>
                    <c:strCache>
                      <c:ptCount val="1"/>
                      <c:pt idx="0">
                        <c:v>CEER1</c:v>
                      </c:pt>
                    </c:strCache>
                  </c:strRef>
                </c:tx>
                <c:spPr>
                  <a:ln w="28575" cap="rnd">
                    <a:solidFill>
                      <a:schemeClr val="accent6"/>
                    </a:solidFill>
                    <a:round/>
                  </a:ln>
                  <a:effectLst/>
                </c:spPr>
                <c:marker>
                  <c:symbol val="none"/>
                </c:marker>
                <c:cat>
                  <c:numRef>
                    <c:extLst xmlns:c15="http://schemas.microsoft.com/office/drawing/2012/chart">
                      <c:ext xmlns:c15="http://schemas.microsoft.com/office/drawing/2012/chart" uri="{02D57815-91ED-43cb-92C2-25804820EDAC}">
                        <c15:formulaRef>
                          <c15:sqref>'Pathway Comparison'!$B$370:$B$378</c15:sqref>
                        </c15:formulaRef>
                      </c:ext>
                    </c:extLst>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extLst xmlns:c15="http://schemas.microsoft.com/office/drawing/2012/chart">
                      <c:ext xmlns:c15="http://schemas.microsoft.com/office/drawing/2012/chart" uri="{02D57815-91ED-43cb-92C2-25804820EDAC}">
                        <c15:formulaRef>
                          <c15:sqref>'Pathway Comparison'!$H$370:$H$378</c15:sqref>
                        </c15:formulaRef>
                      </c:ext>
                    </c:extLst>
                    <c:numCache>
                      <c:formatCode>0.0%</c:formatCode>
                      <c:ptCount val="9"/>
                      <c:pt idx="0">
                        <c:v>1.640793824846731E-3</c:v>
                      </c:pt>
                      <c:pt idx="1">
                        <c:v>1.3375130786675627E-3</c:v>
                      </c:pt>
                      <c:pt idx="2">
                        <c:v>6.7190359384701913E-3</c:v>
                      </c:pt>
                      <c:pt idx="3">
                        <c:v>1.9299920652553291E-2</c:v>
                      </c:pt>
                      <c:pt idx="4">
                        <c:v>1.3527756892357657E-2</c:v>
                      </c:pt>
                      <c:pt idx="5">
                        <c:v>2.3969808339110877E-2</c:v>
                      </c:pt>
                      <c:pt idx="6">
                        <c:v>1.2472319396810989E-2</c:v>
                      </c:pt>
                      <c:pt idx="7">
                        <c:v>1.2968248677639642E-2</c:v>
                      </c:pt>
                      <c:pt idx="8">
                        <c:v>1.3215109740493398E-2</c:v>
                      </c:pt>
                    </c:numCache>
                  </c:numRef>
                </c:val>
                <c:smooth val="0"/>
                <c:extLst xmlns:c15="http://schemas.microsoft.com/office/drawing/2012/chart">
                  <c:ext xmlns:c16="http://schemas.microsoft.com/office/drawing/2014/chart" uri="{C3380CC4-5D6E-409C-BE32-E72D297353CC}">
                    <c16:uniqueId val="{00000007-5DF4-41F9-8C1D-A652949A85D1}"/>
                  </c:ext>
                </c:extLst>
              </c15:ser>
            </c15:filteredLineSeries>
            <c15:filteredLineSeries>
              <c15:ser>
                <c:idx val="6"/>
                <c:order val="6"/>
                <c:tx>
                  <c:strRef>
                    <c:extLst xmlns:c15="http://schemas.microsoft.com/office/drawing/2012/chart">
                      <c:ext xmlns:c15="http://schemas.microsoft.com/office/drawing/2012/chart" uri="{02D57815-91ED-43cb-92C2-25804820EDAC}">
                        <c15:formulaRef>
                          <c15:sqref>'Pathway Comparison'!$I$368</c15:sqref>
                        </c15:formulaRef>
                      </c:ext>
                    </c:extLst>
                    <c:strCache>
                      <c:ptCount val="1"/>
                      <c:pt idx="0">
                        <c:v>CEER2</c:v>
                      </c:pt>
                    </c:strCache>
                  </c:strRef>
                </c:tx>
                <c:spPr>
                  <a:ln w="28575" cap="rnd">
                    <a:solidFill>
                      <a:schemeClr val="accent1">
                        <a:lumMod val="60000"/>
                      </a:schemeClr>
                    </a:solidFill>
                    <a:round/>
                  </a:ln>
                  <a:effectLst/>
                </c:spPr>
                <c:marker>
                  <c:symbol val="none"/>
                </c:marker>
                <c:cat>
                  <c:numRef>
                    <c:extLst xmlns:c15="http://schemas.microsoft.com/office/drawing/2012/chart">
                      <c:ext xmlns:c15="http://schemas.microsoft.com/office/drawing/2012/chart" uri="{02D57815-91ED-43cb-92C2-25804820EDAC}">
                        <c15:formulaRef>
                          <c15:sqref>'Pathway Comparison'!$B$370:$B$378</c15:sqref>
                        </c15:formulaRef>
                      </c:ext>
                    </c:extLst>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extLst xmlns:c15="http://schemas.microsoft.com/office/drawing/2012/chart">
                      <c:ext xmlns:c15="http://schemas.microsoft.com/office/drawing/2012/chart" uri="{02D57815-91ED-43cb-92C2-25804820EDAC}">
                        <c15:formulaRef>
                          <c15:sqref>'Pathway Comparison'!$I$370:$I$378</c15:sqref>
                        </c15:formulaRef>
                      </c:ext>
                    </c:extLst>
                    <c:numCache>
                      <c:formatCode>0.0%</c:formatCode>
                      <c:ptCount val="9"/>
                      <c:pt idx="0">
                        <c:v>1.640793824846731E-3</c:v>
                      </c:pt>
                      <c:pt idx="1">
                        <c:v>1.3375130786675627E-3</c:v>
                      </c:pt>
                      <c:pt idx="2">
                        <c:v>6.7190359384701913E-3</c:v>
                      </c:pt>
                      <c:pt idx="3">
                        <c:v>2.6313412189133811E-2</c:v>
                      </c:pt>
                      <c:pt idx="4">
                        <c:v>1.9579441044698415E-2</c:v>
                      </c:pt>
                      <c:pt idx="5">
                        <c:v>2.9856024921172963E-2</c:v>
                      </c:pt>
                      <c:pt idx="6">
                        <c:v>1.8522931019847092E-2</c:v>
                      </c:pt>
                      <c:pt idx="7">
                        <c:v>1.9246350722587423E-2</c:v>
                      </c:pt>
                      <c:pt idx="8">
                        <c:v>1.9632542681103211E-2</c:v>
                      </c:pt>
                    </c:numCache>
                  </c:numRef>
                </c:val>
                <c:smooth val="0"/>
                <c:extLst xmlns:c15="http://schemas.microsoft.com/office/drawing/2012/chart">
                  <c:ext xmlns:c16="http://schemas.microsoft.com/office/drawing/2014/chart" uri="{C3380CC4-5D6E-409C-BE32-E72D297353CC}">
                    <c16:uniqueId val="{00000008-5DF4-41F9-8C1D-A652949A85D1}"/>
                  </c:ext>
                </c:extLst>
              </c15:ser>
            </c15:filteredLineSeries>
          </c:ext>
        </c:extLst>
      </c:lineChart>
      <c:catAx>
        <c:axId val="1233154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1233155663"/>
        <c:crosses val="autoZero"/>
        <c:auto val="1"/>
        <c:lblAlgn val="ctr"/>
        <c:lblOffset val="100"/>
        <c:noMultiLvlLbl val="0"/>
      </c:catAx>
      <c:valAx>
        <c:axId val="12331556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a:t>Annual energy savings (%)</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12331542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defRPr>
      </a:pPr>
      <a:endParaRPr lang="et-EE"/>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a:t>Energy consumption</a:t>
            </a:r>
            <a:r>
              <a:rPr lang="fr-BE" baseline="0"/>
              <a:t> forecast without Energy Efficiency measures [GWh]</a:t>
            </a:r>
            <a:endParaRPr lang="fr-BE"/>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areaChart>
        <c:grouping val="stacked"/>
        <c:varyColors val="0"/>
        <c:ser>
          <c:idx val="0"/>
          <c:order val="0"/>
          <c:tx>
            <c:strRef>
              <c:f>'Pathway Comparison'!$B$966</c:f>
              <c:strCache>
                <c:ptCount val="1"/>
                <c:pt idx="0">
                  <c:v>Industry</c:v>
                </c:pt>
              </c:strCache>
            </c:strRef>
          </c:tx>
          <c:spPr>
            <a:solidFill>
              <a:schemeClr val="accent1"/>
            </a:solidFill>
            <a:ln>
              <a:noFill/>
            </a:ln>
            <a:effectLst/>
          </c:spPr>
          <c:cat>
            <c:numRef>
              <c:f>'Pathway Comparison'!$E$965:$M$965</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Comparison'!$E$966:$M$966</c:f>
              <c:numCache>
                <c:formatCode>0</c:formatCode>
                <c:ptCount val="9"/>
                <c:pt idx="0">
                  <c:v>4796.938888888888</c:v>
                </c:pt>
                <c:pt idx="1">
                  <c:v>4854.5021555555568</c:v>
                </c:pt>
                <c:pt idx="2">
                  <c:v>4927.3196878888884</c:v>
                </c:pt>
                <c:pt idx="3">
                  <c:v>5001.2294832072203</c:v>
                </c:pt>
                <c:pt idx="4">
                  <c:v>5076.2479254553282</c:v>
                </c:pt>
                <c:pt idx="5">
                  <c:v>5152.3916443371581</c:v>
                </c:pt>
                <c:pt idx="6">
                  <c:v>5229.6775190022154</c:v>
                </c:pt>
                <c:pt idx="7">
                  <c:v>5308.1226817872484</c:v>
                </c:pt>
                <c:pt idx="8">
                  <c:v>5387.7445220140553</c:v>
                </c:pt>
              </c:numCache>
            </c:numRef>
          </c:val>
          <c:extLst>
            <c:ext xmlns:c16="http://schemas.microsoft.com/office/drawing/2014/chart" uri="{C3380CC4-5D6E-409C-BE32-E72D297353CC}">
              <c16:uniqueId val="{00000000-54C6-4ED7-934F-174962269A4C}"/>
            </c:ext>
          </c:extLst>
        </c:ser>
        <c:ser>
          <c:idx val="1"/>
          <c:order val="1"/>
          <c:tx>
            <c:strRef>
              <c:f>'Pathway Comparison'!$B$967</c:f>
              <c:strCache>
                <c:ptCount val="1"/>
                <c:pt idx="0">
                  <c:v>Households</c:v>
                </c:pt>
              </c:strCache>
            </c:strRef>
          </c:tx>
          <c:spPr>
            <a:solidFill>
              <a:schemeClr val="accent2"/>
            </a:solidFill>
            <a:ln>
              <a:noFill/>
            </a:ln>
            <a:effectLst/>
          </c:spPr>
          <c:cat>
            <c:numRef>
              <c:f>'Pathway Comparison'!$E$965:$M$965</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Comparison'!$E$967:$M$967</c:f>
              <c:numCache>
                <c:formatCode>0</c:formatCode>
                <c:ptCount val="9"/>
                <c:pt idx="0">
                  <c:v>10565.232398437502</c:v>
                </c:pt>
                <c:pt idx="1">
                  <c:v>10596.024181042589</c:v>
                </c:pt>
                <c:pt idx="2">
                  <c:v>10628.275414227639</c:v>
                </c:pt>
                <c:pt idx="3">
                  <c:v>10662.005057906583</c:v>
                </c:pt>
                <c:pt idx="4">
                  <c:v>10697.232472134878</c:v>
                </c:pt>
                <c:pt idx="5">
                  <c:v>10738.450455025293</c:v>
                </c:pt>
                <c:pt idx="6">
                  <c:v>10780.629357659825</c:v>
                </c:pt>
                <c:pt idx="7">
                  <c:v>10823.781475688736</c:v>
                </c:pt>
                <c:pt idx="8">
                  <c:v>10867.919286368789</c:v>
                </c:pt>
              </c:numCache>
            </c:numRef>
          </c:val>
          <c:extLst>
            <c:ext xmlns:c16="http://schemas.microsoft.com/office/drawing/2014/chart" uri="{C3380CC4-5D6E-409C-BE32-E72D297353CC}">
              <c16:uniqueId val="{00000001-54C6-4ED7-934F-174962269A4C}"/>
            </c:ext>
          </c:extLst>
        </c:ser>
        <c:ser>
          <c:idx val="2"/>
          <c:order val="2"/>
          <c:tx>
            <c:strRef>
              <c:f>'Pathway Comparison'!$B$968</c:f>
              <c:strCache>
                <c:ptCount val="1"/>
                <c:pt idx="0">
                  <c:v>Services</c:v>
                </c:pt>
              </c:strCache>
            </c:strRef>
          </c:tx>
          <c:spPr>
            <a:solidFill>
              <a:schemeClr val="accent3"/>
            </a:solidFill>
            <a:ln>
              <a:noFill/>
            </a:ln>
            <a:effectLst/>
          </c:spPr>
          <c:cat>
            <c:numRef>
              <c:f>'Pathway Comparison'!$E$965:$M$965</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Comparison'!$E$968:$M$968</c:f>
              <c:numCache>
                <c:formatCode>0</c:formatCode>
                <c:ptCount val="9"/>
                <c:pt idx="0">
                  <c:v>5417.2423307032623</c:v>
                </c:pt>
                <c:pt idx="1">
                  <c:v>5450.3686442362277</c:v>
                </c:pt>
                <c:pt idx="2">
                  <c:v>5484.4685950765415</c:v>
                </c:pt>
                <c:pt idx="3">
                  <c:v>5519.5564318341085</c:v>
                </c:pt>
                <c:pt idx="4">
                  <c:v>5555.6467026143164</c:v>
                </c:pt>
                <c:pt idx="5">
                  <c:v>5593.1545212250676</c:v>
                </c:pt>
                <c:pt idx="6">
                  <c:v>5631.6437889430599</c:v>
                </c:pt>
                <c:pt idx="7">
                  <c:v>5671.129434132431</c:v>
                </c:pt>
                <c:pt idx="8">
                  <c:v>5711.6266861403783</c:v>
                </c:pt>
              </c:numCache>
            </c:numRef>
          </c:val>
          <c:extLst>
            <c:ext xmlns:c16="http://schemas.microsoft.com/office/drawing/2014/chart" uri="{C3380CC4-5D6E-409C-BE32-E72D297353CC}">
              <c16:uniqueId val="{00000002-54C6-4ED7-934F-174962269A4C}"/>
            </c:ext>
          </c:extLst>
        </c:ser>
        <c:ser>
          <c:idx val="3"/>
          <c:order val="3"/>
          <c:tx>
            <c:strRef>
              <c:f>'Pathway Comparison'!$B$969</c:f>
              <c:strCache>
                <c:ptCount val="1"/>
                <c:pt idx="0">
                  <c:v>Transport</c:v>
                </c:pt>
              </c:strCache>
            </c:strRef>
          </c:tx>
          <c:spPr>
            <a:solidFill>
              <a:schemeClr val="accent4"/>
            </a:solidFill>
            <a:ln>
              <a:noFill/>
            </a:ln>
            <a:effectLst/>
          </c:spPr>
          <c:cat>
            <c:numRef>
              <c:f>'Pathway Comparison'!$E$965:$M$965</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Comparison'!$E$969:$M$969</c:f>
              <c:numCache>
                <c:formatCode>0</c:formatCode>
                <c:ptCount val="9"/>
                <c:pt idx="0">
                  <c:v>9818.0416666666679</c:v>
                </c:pt>
                <c:pt idx="1">
                  <c:v>9916.222083333334</c:v>
                </c:pt>
                <c:pt idx="2">
                  <c:v>10015.384304166668</c:v>
                </c:pt>
                <c:pt idx="3">
                  <c:v>10115.538147208335</c:v>
                </c:pt>
                <c:pt idx="4">
                  <c:v>10216.693528680418</c:v>
                </c:pt>
                <c:pt idx="5">
                  <c:v>10318.860463967223</c:v>
                </c:pt>
                <c:pt idx="6">
                  <c:v>10422.049068606895</c:v>
                </c:pt>
                <c:pt idx="7">
                  <c:v>10526.269559292965</c:v>
                </c:pt>
                <c:pt idx="8">
                  <c:v>10631.532254885895</c:v>
                </c:pt>
              </c:numCache>
            </c:numRef>
          </c:val>
          <c:extLst>
            <c:ext xmlns:c16="http://schemas.microsoft.com/office/drawing/2014/chart" uri="{C3380CC4-5D6E-409C-BE32-E72D297353CC}">
              <c16:uniqueId val="{00000003-54C6-4ED7-934F-174962269A4C}"/>
            </c:ext>
          </c:extLst>
        </c:ser>
        <c:ser>
          <c:idx val="4"/>
          <c:order val="4"/>
          <c:tx>
            <c:strRef>
              <c:f>'Pathway Comparison'!$B$970</c:f>
              <c:strCache>
                <c:ptCount val="1"/>
                <c:pt idx="0">
                  <c:v>Agriculture, fishing and forestry</c:v>
                </c:pt>
              </c:strCache>
            </c:strRef>
          </c:tx>
          <c:spPr>
            <a:solidFill>
              <a:schemeClr val="accent5"/>
            </a:solidFill>
            <a:ln>
              <a:noFill/>
            </a:ln>
            <a:effectLst/>
          </c:spPr>
          <c:cat>
            <c:numRef>
              <c:f>'Pathway Comparison'!$E$965:$M$965</c:f>
              <c:numCache>
                <c:formatCode>General</c:formatCode>
                <c:ptCount val="9"/>
                <c:pt idx="0">
                  <c:v>2022</c:v>
                </c:pt>
                <c:pt idx="1">
                  <c:v>2023</c:v>
                </c:pt>
                <c:pt idx="2">
                  <c:v>2024</c:v>
                </c:pt>
                <c:pt idx="3">
                  <c:v>2025</c:v>
                </c:pt>
                <c:pt idx="4">
                  <c:v>2026</c:v>
                </c:pt>
                <c:pt idx="5">
                  <c:v>2027</c:v>
                </c:pt>
                <c:pt idx="6">
                  <c:v>2028</c:v>
                </c:pt>
                <c:pt idx="7">
                  <c:v>2029</c:v>
                </c:pt>
                <c:pt idx="8">
                  <c:v>2030</c:v>
                </c:pt>
              </c:numCache>
            </c:numRef>
          </c:cat>
          <c:val>
            <c:numRef>
              <c:f>'Pathway Comparison'!$E$970:$M$970</c:f>
              <c:numCache>
                <c:formatCode>0</c:formatCode>
                <c:ptCount val="9"/>
                <c:pt idx="0">
                  <c:v>990.83333333333337</c:v>
                </c:pt>
                <c:pt idx="1">
                  <c:v>990.83333333333337</c:v>
                </c:pt>
                <c:pt idx="2">
                  <c:v>990.83333333333337</c:v>
                </c:pt>
                <c:pt idx="3">
                  <c:v>990.83333333333337</c:v>
                </c:pt>
                <c:pt idx="4">
                  <c:v>990.83333333333337</c:v>
                </c:pt>
                <c:pt idx="5">
                  <c:v>990.83333333333337</c:v>
                </c:pt>
                <c:pt idx="6">
                  <c:v>990.83333333333337</c:v>
                </c:pt>
                <c:pt idx="7">
                  <c:v>990.83333333333337</c:v>
                </c:pt>
                <c:pt idx="8">
                  <c:v>990.83333333333337</c:v>
                </c:pt>
              </c:numCache>
            </c:numRef>
          </c:val>
          <c:extLst>
            <c:ext xmlns:c16="http://schemas.microsoft.com/office/drawing/2014/chart" uri="{C3380CC4-5D6E-409C-BE32-E72D297353CC}">
              <c16:uniqueId val="{00000004-54C6-4ED7-934F-174962269A4C}"/>
            </c:ext>
          </c:extLst>
        </c:ser>
        <c:dLbls>
          <c:showLegendKey val="0"/>
          <c:showVal val="0"/>
          <c:showCatName val="0"/>
          <c:showSerName val="0"/>
          <c:showPercent val="0"/>
          <c:showBubbleSize val="0"/>
        </c:dLbls>
        <c:axId val="1059882079"/>
        <c:axId val="1059884479"/>
      </c:areaChart>
      <c:catAx>
        <c:axId val="1059882079"/>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059884479"/>
        <c:crosses val="autoZero"/>
        <c:auto val="1"/>
        <c:lblAlgn val="ctr"/>
        <c:lblOffset val="100"/>
        <c:noMultiLvlLbl val="0"/>
      </c:catAx>
      <c:valAx>
        <c:axId val="1059884479"/>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1059882079"/>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1"/>
    <c:dispBlanksAs val="zero"/>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1455048161452918E-2"/>
          <c:y val="5.0925865778060291E-2"/>
          <c:w val="0.75929301510448743"/>
          <c:h val="0.84452209098862641"/>
        </c:manualLayout>
      </c:layout>
      <c:barChart>
        <c:barDir val="col"/>
        <c:grouping val="stacked"/>
        <c:varyColors val="0"/>
        <c:ser>
          <c:idx val="0"/>
          <c:order val="0"/>
          <c:tx>
            <c:strRef>
              <c:f>'Pathway Comparison'!$C$111</c:f>
              <c:strCache>
                <c:ptCount val="1"/>
                <c:pt idx="0">
                  <c:v>Industry</c:v>
                </c:pt>
              </c:strCache>
            </c:strRef>
          </c:tx>
          <c:spPr>
            <a:solidFill>
              <a:schemeClr val="accent3"/>
            </a:solidFill>
            <a:ln>
              <a:noFill/>
            </a:ln>
            <a:effectLst/>
          </c:spPr>
          <c:invertIfNegative val="0"/>
          <c:dLbls>
            <c:spPr>
              <a:noFill/>
              <a:ln>
                <a:noFill/>
              </a:ln>
              <a:effectLst/>
            </c:spPr>
            <c:txPr>
              <a:bodyPr wrap="square" lIns="38100" tIns="19050" rIns="38100" bIns="19050" anchor="ctr">
                <a:spAutoFit/>
              </a:bodyPr>
              <a:lstStyle/>
              <a:p>
                <a:pPr>
                  <a:defRPr sz="800">
                    <a:solidFill>
                      <a:schemeClr val="bg1"/>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'Pathway Comparison'!$B$112:$B$126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Comparison'!$C$112:$C$126</c:f>
              <c:numCache>
                <c:formatCode>0.0</c:formatCode>
                <c:ptCount val="15"/>
                <c:pt idx="0">
                  <c:v>4.2928294941331924</c:v>
                </c:pt>
                <c:pt idx="1">
                  <c:v>4.6858298233046431</c:v>
                </c:pt>
                <c:pt idx="2">
                  <c:v>4.7413140790213708</c:v>
                </c:pt>
                <c:pt idx="3">
                  <c:v>4.7658210928590012</c:v>
                </c:pt>
                <c:pt idx="4">
                  <c:v>4.7422640702936834</c:v>
                </c:pt>
                <c:pt idx="5">
                  <c:v>4.7355896819257168</c:v>
                </c:pt>
                <c:pt idx="6">
                  <c:v>4.7321168257041366</c:v>
                </c:pt>
                <c:pt idx="7">
                  <c:v>4.7543177633827653</c:v>
                </c:pt>
                <c:pt idx="8">
                  <c:v>4.7554433108845853</c:v>
                </c:pt>
                <c:pt idx="9">
                  <c:v>4.7412116874785575</c:v>
                </c:pt>
                <c:pt idx="10">
                  <c:v>4.7269026389430362</c:v>
                </c:pt>
                <c:pt idx="11">
                  <c:v>4.7125222904912043</c:v>
                </c:pt>
                <c:pt idx="12">
                  <c:v>4.6980731462110317</c:v>
                </c:pt>
                <c:pt idx="13">
                  <c:v>4.6835579763318247</c:v>
                </c:pt>
                <c:pt idx="14">
                  <c:v>4.668964621285931</c:v>
                </c:pt>
              </c:numCache>
            </c:numRef>
          </c:val>
          <c:extLst>
            <c:ext xmlns:c16="http://schemas.microsoft.com/office/drawing/2014/chart" uri="{C3380CC4-5D6E-409C-BE32-E72D297353CC}">
              <c16:uniqueId val="{00000000-AEF2-4DA6-8FBC-319622221F2D}"/>
            </c:ext>
          </c:extLst>
        </c:ser>
        <c:ser>
          <c:idx val="1"/>
          <c:order val="1"/>
          <c:tx>
            <c:strRef>
              <c:f>'Pathway Comparison'!$D$111</c:f>
              <c:strCache>
                <c:ptCount val="1"/>
                <c:pt idx="0">
                  <c:v>Households</c:v>
                </c:pt>
              </c:strCache>
            </c:strRef>
          </c:tx>
          <c:spPr>
            <a:solidFill>
              <a:schemeClr val="accent2"/>
            </a:solidFill>
            <a:ln>
              <a:noFill/>
            </a:ln>
            <a:effectLst/>
          </c:spPr>
          <c:invertIfNegative val="0"/>
          <c:dLbls>
            <c:spPr>
              <a:noFill/>
              <a:ln>
                <a:noFill/>
              </a:ln>
              <a:effectLst/>
            </c:spPr>
            <c:txPr>
              <a:bodyPr wrap="square" lIns="38100" tIns="19050" rIns="38100" bIns="19050" anchor="ctr">
                <a:spAutoFit/>
              </a:bodyPr>
              <a:lstStyle/>
              <a:p>
                <a:pPr>
                  <a:defRPr sz="800">
                    <a:solidFill>
                      <a:schemeClr val="bg1"/>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'Pathway Comparison'!$B$112:$B$126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Comparison'!$D$112:$D$126</c:f>
              <c:numCache>
                <c:formatCode>0.0</c:formatCode>
                <c:ptCount val="15"/>
                <c:pt idx="0">
                  <c:v>10.505541297169238</c:v>
                </c:pt>
                <c:pt idx="1">
                  <c:v>10.518620321098373</c:v>
                </c:pt>
                <c:pt idx="2">
                  <c:v>10.532318330770774</c:v>
                </c:pt>
                <c:pt idx="3">
                  <c:v>10.525771482686839</c:v>
                </c:pt>
                <c:pt idx="4">
                  <c:v>10.344196883640956</c:v>
                </c:pt>
                <c:pt idx="5">
                  <c:v>10.180327425224124</c:v>
                </c:pt>
                <c:pt idx="6">
                  <c:v>10.024916528270257</c:v>
                </c:pt>
                <c:pt idx="7">
                  <c:v>9.8730514243401899</c:v>
                </c:pt>
                <c:pt idx="8">
                  <c:v>9.7245282484374069</c:v>
                </c:pt>
                <c:pt idx="9">
                  <c:v>9.5793112561452691</c:v>
                </c:pt>
                <c:pt idx="10">
                  <c:v>9.4373658067058894</c:v>
                </c:pt>
                <c:pt idx="11">
                  <c:v>9.298658346533637</c:v>
                </c:pt>
                <c:pt idx="12">
                  <c:v>9.1631563931556261</c:v>
                </c:pt>
                <c:pt idx="13">
                  <c:v>9.0308285195717151</c:v>
                </c:pt>
                <c:pt idx="14">
                  <c:v>8.9021570012751852</c:v>
                </c:pt>
              </c:numCache>
            </c:numRef>
          </c:val>
          <c:extLst>
            <c:ext xmlns:c16="http://schemas.microsoft.com/office/drawing/2014/chart" uri="{C3380CC4-5D6E-409C-BE32-E72D297353CC}">
              <c16:uniqueId val="{00000001-AEF2-4DA6-8FBC-319622221F2D}"/>
            </c:ext>
          </c:extLst>
        </c:ser>
        <c:ser>
          <c:idx val="2"/>
          <c:order val="2"/>
          <c:tx>
            <c:strRef>
              <c:f>'Pathway Comparison'!$E$111</c:f>
              <c:strCache>
                <c:ptCount val="1"/>
                <c:pt idx="0">
                  <c:v>Services</c:v>
                </c:pt>
              </c:strCache>
            </c:strRef>
          </c:tx>
          <c:spPr>
            <a:solidFill>
              <a:schemeClr val="accent4"/>
            </a:solidFill>
            <a:ln>
              <a:noFill/>
            </a:ln>
            <a:effectLst/>
          </c:spPr>
          <c:invertIfNegative val="0"/>
          <c:dLbls>
            <c:spPr>
              <a:noFill/>
              <a:ln>
                <a:noFill/>
              </a:ln>
              <a:effectLst/>
            </c:spPr>
            <c:txPr>
              <a:bodyPr wrap="square" lIns="38100" tIns="19050" rIns="38100" bIns="19050" anchor="ctr">
                <a:spAutoFit/>
              </a:bodyPr>
              <a:lstStyle/>
              <a:p>
                <a:pPr>
                  <a:defRPr sz="800"/>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'Pathway Comparison'!$B$112:$B$126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Comparison'!$E$112:$E$126</c:f>
              <c:numCache>
                <c:formatCode>0.0</c:formatCode>
                <c:ptCount val="15"/>
                <c:pt idx="0">
                  <c:v>5.337364028055867</c:v>
                </c:pt>
                <c:pt idx="1">
                  <c:v>5.3616428499941726</c:v>
                </c:pt>
                <c:pt idx="2">
                  <c:v>5.3912699254265437</c:v>
                </c:pt>
                <c:pt idx="3">
                  <c:v>5.4084641743286257</c:v>
                </c:pt>
                <c:pt idx="4">
                  <c:v>5.3718968908204774</c:v>
                </c:pt>
                <c:pt idx="5">
                  <c:v>5.3438233219729261</c:v>
                </c:pt>
                <c:pt idx="6">
                  <c:v>5.3175536969801298</c:v>
                </c:pt>
                <c:pt idx="7">
                  <c:v>5.2926436934639174</c:v>
                </c:pt>
                <c:pt idx="8">
                  <c:v>5.2691001693181763</c:v>
                </c:pt>
                <c:pt idx="9">
                  <c:v>5.2469304332957316</c:v>
                </c:pt>
                <c:pt idx="10">
                  <c:v>5.2261422473359715</c:v>
                </c:pt>
                <c:pt idx="11">
                  <c:v>5.206743829068861</c:v>
                </c:pt>
                <c:pt idx="12">
                  <c:v>5.1887438544961588</c:v>
                </c:pt>
                <c:pt idx="13">
                  <c:v>5.1721514608507633</c:v>
                </c:pt>
                <c:pt idx="14">
                  <c:v>5.1566218591695661</c:v>
                </c:pt>
              </c:numCache>
            </c:numRef>
          </c:val>
          <c:extLst>
            <c:ext xmlns:c16="http://schemas.microsoft.com/office/drawing/2014/chart" uri="{C3380CC4-5D6E-409C-BE32-E72D297353CC}">
              <c16:uniqueId val="{00000002-AEF2-4DA6-8FBC-319622221F2D}"/>
            </c:ext>
          </c:extLst>
        </c:ser>
        <c:ser>
          <c:idx val="3"/>
          <c:order val="3"/>
          <c:tx>
            <c:strRef>
              <c:f>'Pathway Comparison'!$F$111</c:f>
              <c:strCache>
                <c:ptCount val="1"/>
                <c:pt idx="0">
                  <c:v>Transport</c:v>
                </c:pt>
              </c:strCache>
            </c:strRef>
          </c:tx>
          <c:spPr>
            <a:solidFill>
              <a:schemeClr val="accent5"/>
            </a:solidFill>
            <a:ln>
              <a:noFill/>
            </a:ln>
            <a:effectLst/>
          </c:spPr>
          <c:invertIfNegative val="0"/>
          <c:dLbls>
            <c:spPr>
              <a:noFill/>
              <a:ln>
                <a:noFill/>
              </a:ln>
              <a:effectLst/>
            </c:spPr>
            <c:txPr>
              <a:bodyPr wrap="square" lIns="38100" tIns="19050" rIns="38100" bIns="19050" anchor="ctr">
                <a:spAutoFit/>
              </a:bodyPr>
              <a:lstStyle/>
              <a:p>
                <a:pPr>
                  <a:defRPr sz="800"/>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'Pathway Comparison'!$B$112:$B$126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Comparison'!$F$112:$F$126</c:f>
              <c:numCache>
                <c:formatCode>0.0</c:formatCode>
                <c:ptCount val="15"/>
                <c:pt idx="0">
                  <c:v>9.6632257318755794</c:v>
                </c:pt>
                <c:pt idx="1">
                  <c:v>9.7381741193571365</c:v>
                </c:pt>
                <c:pt idx="2">
                  <c:v>9.8165670330763817</c:v>
                </c:pt>
                <c:pt idx="3">
                  <c:v>9.8128155561982666</c:v>
                </c:pt>
                <c:pt idx="4">
                  <c:v>9.6784137566290998</c:v>
                </c:pt>
                <c:pt idx="5">
                  <c:v>9.6844626613432414</c:v>
                </c:pt>
                <c:pt idx="6">
                  <c:v>9.347483281379299</c:v>
                </c:pt>
                <c:pt idx="7">
                  <c:v>9.3578202736881373</c:v>
                </c:pt>
                <c:pt idx="8">
                  <c:v>9.3688529972698724</c:v>
                </c:pt>
                <c:pt idx="9">
                  <c:v>9.3829933018857972</c:v>
                </c:pt>
                <c:pt idx="10">
                  <c:v>9.4438844433469828</c:v>
                </c:pt>
                <c:pt idx="11">
                  <c:v>9.505833797962536</c:v>
                </c:pt>
                <c:pt idx="12">
                  <c:v>9.5688519122272115</c:v>
                </c:pt>
                <c:pt idx="13">
                  <c:v>9.632949438083541</c:v>
                </c:pt>
                <c:pt idx="14">
                  <c:v>9.698137133988368</c:v>
                </c:pt>
              </c:numCache>
            </c:numRef>
          </c:val>
          <c:extLst>
            <c:ext xmlns:c16="http://schemas.microsoft.com/office/drawing/2014/chart" uri="{C3380CC4-5D6E-409C-BE32-E72D297353CC}">
              <c16:uniqueId val="{00000003-AEF2-4DA6-8FBC-319622221F2D}"/>
            </c:ext>
          </c:extLst>
        </c:ser>
        <c:ser>
          <c:idx val="4"/>
          <c:order val="4"/>
          <c:tx>
            <c:strRef>
              <c:f>'Pathway Comparison'!$G$111</c:f>
              <c:strCache>
                <c:ptCount val="1"/>
                <c:pt idx="0">
                  <c:v>Agriculture, fishing and forestry</c:v>
                </c:pt>
              </c:strCache>
            </c:strRef>
          </c:tx>
          <c:spPr>
            <a:solidFill>
              <a:srgbClr val="993366"/>
            </a:solidFill>
            <a:ln>
              <a:noFill/>
            </a:ln>
            <a:effectLst/>
          </c:spPr>
          <c:invertIfNegative val="0"/>
          <c:dLbls>
            <c:dLbl>
              <c:idx val="0"/>
              <c:tx>
                <c:rich>
                  <a:bodyPr/>
                  <a:lstStyle/>
                  <a:p>
                    <a:fld id="{0E7F1962-FF72-4358-9C11-9F636BDA9520}"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AEF2-4DA6-8FBC-319622221F2D}"/>
                </c:ext>
              </c:extLst>
            </c:dLbl>
            <c:dLbl>
              <c:idx val="1"/>
              <c:tx>
                <c:rich>
                  <a:bodyPr/>
                  <a:lstStyle/>
                  <a:p>
                    <a:fld id="{159C7806-DD19-4A1D-AA37-5DCC75420972}"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5-AEF2-4DA6-8FBC-319622221F2D}"/>
                </c:ext>
              </c:extLst>
            </c:dLbl>
            <c:dLbl>
              <c:idx val="2"/>
              <c:tx>
                <c:rich>
                  <a:bodyPr/>
                  <a:lstStyle/>
                  <a:p>
                    <a:fld id="{EEDB96EE-8C8A-44D8-A8F3-30FD73B95683}"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AEF2-4DA6-8FBC-319622221F2D}"/>
                </c:ext>
              </c:extLst>
            </c:dLbl>
            <c:dLbl>
              <c:idx val="3"/>
              <c:tx>
                <c:rich>
                  <a:bodyPr/>
                  <a:lstStyle/>
                  <a:p>
                    <a:fld id="{9DAEF3D7-E099-4AF2-8E77-58E76590D11D}"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AEF2-4DA6-8FBC-319622221F2D}"/>
                </c:ext>
              </c:extLst>
            </c:dLbl>
            <c:dLbl>
              <c:idx val="4"/>
              <c:tx>
                <c:rich>
                  <a:bodyPr/>
                  <a:lstStyle/>
                  <a:p>
                    <a:fld id="{A86D60C3-D7E3-4A27-9A8A-595AA46AE6DD}"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AEF2-4DA6-8FBC-319622221F2D}"/>
                </c:ext>
              </c:extLst>
            </c:dLbl>
            <c:dLbl>
              <c:idx val="5"/>
              <c:tx>
                <c:rich>
                  <a:bodyPr/>
                  <a:lstStyle/>
                  <a:p>
                    <a:fld id="{E1B16C4F-423E-4743-AEAC-696EB61DBF0B}"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AEF2-4DA6-8FBC-319622221F2D}"/>
                </c:ext>
              </c:extLst>
            </c:dLbl>
            <c:dLbl>
              <c:idx val="6"/>
              <c:tx>
                <c:rich>
                  <a:bodyPr/>
                  <a:lstStyle/>
                  <a:p>
                    <a:fld id="{8C4D2076-A5F9-4B51-83B9-B9E1438E580F}"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AEF2-4DA6-8FBC-319622221F2D}"/>
                </c:ext>
              </c:extLst>
            </c:dLbl>
            <c:dLbl>
              <c:idx val="7"/>
              <c:tx>
                <c:rich>
                  <a:bodyPr/>
                  <a:lstStyle/>
                  <a:p>
                    <a:fld id="{1E5F7BA4-D414-47EF-BDA2-B82F0B5D2389}"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AEF2-4DA6-8FBC-319622221F2D}"/>
                </c:ext>
              </c:extLst>
            </c:dLbl>
            <c:dLbl>
              <c:idx val="8"/>
              <c:tx>
                <c:rich>
                  <a:bodyPr/>
                  <a:lstStyle/>
                  <a:p>
                    <a:fld id="{A319E3DD-A48F-4C68-8191-4211F8AA86A2}"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AEF2-4DA6-8FBC-319622221F2D}"/>
                </c:ext>
              </c:extLst>
            </c:dLbl>
            <c:dLbl>
              <c:idx val="9"/>
              <c:tx>
                <c:rich>
                  <a:bodyPr/>
                  <a:lstStyle/>
                  <a:p>
                    <a:fld id="{15235D3A-3241-4767-885B-09DEEECF0A38}"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AEF2-4DA6-8FBC-319622221F2D}"/>
                </c:ext>
              </c:extLst>
            </c:dLbl>
            <c:dLbl>
              <c:idx val="10"/>
              <c:tx>
                <c:rich>
                  <a:bodyPr/>
                  <a:lstStyle/>
                  <a:p>
                    <a:fld id="{BA88C715-7C79-4A5C-9EE1-79FAF3A96B38}"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AEF2-4DA6-8FBC-319622221F2D}"/>
                </c:ext>
              </c:extLst>
            </c:dLbl>
            <c:dLbl>
              <c:idx val="11"/>
              <c:tx>
                <c:rich>
                  <a:bodyPr/>
                  <a:lstStyle/>
                  <a:p>
                    <a:fld id="{D1F0B900-BD71-4EB1-AFDB-A22ACDB366A3}"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AEF2-4DA6-8FBC-319622221F2D}"/>
                </c:ext>
              </c:extLst>
            </c:dLbl>
            <c:dLbl>
              <c:idx val="12"/>
              <c:tx>
                <c:rich>
                  <a:bodyPr/>
                  <a:lstStyle/>
                  <a:p>
                    <a:fld id="{0987014A-D857-4D68-A547-8D6071F57172}"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AEF2-4DA6-8FBC-319622221F2D}"/>
                </c:ext>
              </c:extLst>
            </c:dLbl>
            <c:dLbl>
              <c:idx val="13"/>
              <c:tx>
                <c:rich>
                  <a:bodyPr/>
                  <a:lstStyle/>
                  <a:p>
                    <a:fld id="{EA13E47A-14B1-44E5-A085-FB1B54EA2AE9}"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AEF2-4DA6-8FBC-319622221F2D}"/>
                </c:ext>
              </c:extLst>
            </c:dLbl>
            <c:dLbl>
              <c:idx val="14"/>
              <c:tx>
                <c:rich>
                  <a:bodyPr/>
                  <a:lstStyle/>
                  <a:p>
                    <a:fld id="{06D9157C-189A-4EA2-A38E-BF794B54D419}"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AEF2-4DA6-8FBC-319622221F2D}"/>
                </c:ext>
              </c:extLst>
            </c:dLbl>
            <c:spPr>
              <a:noFill/>
              <a:ln>
                <a:noFill/>
              </a:ln>
              <a:effectLst/>
            </c:spPr>
            <c:txPr>
              <a:bodyPr wrap="square" lIns="38100" tIns="19050" rIns="38100" bIns="19050" anchor="ctr">
                <a:spAutoFit/>
              </a:bodyPr>
              <a:lstStyle/>
              <a:p>
                <a:pPr>
                  <a:defRPr sz="800" b="1"/>
                </a:pPr>
                <a:endParaRPr lang="et-EE"/>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numRef>
              <c:f>'Pathway Comparison'!$B$112:$B$126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Comparison'!$G$112:$G$126</c:f>
              <c:numCache>
                <c:formatCode>0.0</c:formatCode>
                <c:ptCount val="15"/>
                <c:pt idx="0">
                  <c:v>0.98846632075930985</c:v>
                </c:pt>
                <c:pt idx="1">
                  <c:v>0.98838351498080257</c:v>
                </c:pt>
                <c:pt idx="2">
                  <c:v>0.98829947534863016</c:v>
                </c:pt>
                <c:pt idx="3">
                  <c:v>0.97990554667046292</c:v>
                </c:pt>
                <c:pt idx="4">
                  <c:v>0.97570819291926925</c:v>
                </c:pt>
                <c:pt idx="5">
                  <c:v>0.97562025185425838</c:v>
                </c:pt>
                <c:pt idx="6">
                  <c:v>0.96873097548195086</c:v>
                </c:pt>
                <c:pt idx="7">
                  <c:v>0.96184035054063721</c:v>
                </c:pt>
                <c:pt idx="8">
                  <c:v>0.95494836355836432</c:v>
                </c:pt>
                <c:pt idx="9">
                  <c:v>0.94805500085004601</c:v>
                </c:pt>
                <c:pt idx="10">
                  <c:v>0.94796024851467919</c:v>
                </c:pt>
                <c:pt idx="11">
                  <c:v>0.94786409243265179</c:v>
                </c:pt>
                <c:pt idx="12">
                  <c:v>0.94776651826313396</c:v>
                </c:pt>
                <c:pt idx="13">
                  <c:v>0.94766751144153982</c:v>
                </c:pt>
                <c:pt idx="14">
                  <c:v>0.94756705717704737</c:v>
                </c:pt>
              </c:numCache>
            </c:numRef>
          </c:val>
          <c:extLst>
            <c:ext xmlns:c15="http://schemas.microsoft.com/office/drawing/2012/chart" uri="{02D57815-91ED-43cb-92C2-25804820EDAC}">
              <c15:datalabelsRange>
                <c15:f>'Pathway Comparison'!$H$112:$H$126</c15:f>
                <c15:dlblRangeCache>
                  <c:ptCount val="15"/>
                  <c:pt idx="0">
                    <c:v>30,8</c:v>
                  </c:pt>
                  <c:pt idx="1">
                    <c:v>31,3</c:v>
                  </c:pt>
                  <c:pt idx="2">
                    <c:v>31,5</c:v>
                  </c:pt>
                  <c:pt idx="3">
                    <c:v>31,5</c:v>
                  </c:pt>
                  <c:pt idx="4">
                    <c:v>31,1</c:v>
                  </c:pt>
                  <c:pt idx="5">
                    <c:v>30,9</c:v>
                  </c:pt>
                  <c:pt idx="6">
                    <c:v>30,4</c:v>
                  </c:pt>
                  <c:pt idx="7">
                    <c:v>30,2</c:v>
                  </c:pt>
                  <c:pt idx="8">
                    <c:v>30,1</c:v>
                  </c:pt>
                  <c:pt idx="9">
                    <c:v>29,9</c:v>
                  </c:pt>
                  <c:pt idx="10">
                    <c:v>29,8</c:v>
                  </c:pt>
                  <c:pt idx="11">
                    <c:v>29,7</c:v>
                  </c:pt>
                  <c:pt idx="12">
                    <c:v>29,6</c:v>
                  </c:pt>
                  <c:pt idx="13">
                    <c:v>29,5</c:v>
                  </c:pt>
                  <c:pt idx="14">
                    <c:v>29,4</c:v>
                  </c:pt>
                </c15:dlblRangeCache>
              </c15:datalabelsRange>
            </c:ext>
            <c:ext xmlns:c16="http://schemas.microsoft.com/office/drawing/2014/chart" uri="{C3380CC4-5D6E-409C-BE32-E72D297353CC}">
              <c16:uniqueId val="{00000013-AEF2-4DA6-8FBC-319622221F2D}"/>
            </c:ext>
          </c:extLst>
        </c:ser>
        <c:dLbls>
          <c:showLegendKey val="0"/>
          <c:showVal val="0"/>
          <c:showCatName val="0"/>
          <c:showSerName val="0"/>
          <c:showPercent val="0"/>
          <c:showBubbleSize val="0"/>
        </c:dLbls>
        <c:gapWidth val="83"/>
        <c:overlap val="100"/>
        <c:axId val="1233160943"/>
        <c:axId val="1550616095"/>
      </c:barChart>
      <c:catAx>
        <c:axId val="123316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50616095"/>
        <c:crosses val="autoZero"/>
        <c:auto val="1"/>
        <c:lblAlgn val="ctr"/>
        <c:lblOffset val="100"/>
        <c:noMultiLvlLbl val="0"/>
      </c:catAx>
      <c:valAx>
        <c:axId val="155061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GB" sz="900"/>
                  <a:t>Final energy consumption (TWh)</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33160943"/>
        <c:crosses val="autoZero"/>
        <c:crossBetween val="between"/>
        <c:majorUnit val="5"/>
      </c:valAx>
    </c:plotArea>
    <c:legend>
      <c:legendPos val="r"/>
      <c:layout>
        <c:manualLayout>
          <c:xMode val="edge"/>
          <c:yMode val="edge"/>
          <c:x val="0.86291468330075149"/>
          <c:y val="0.18838279829254231"/>
          <c:w val="0.11290333411879722"/>
          <c:h val="0.66283755047799986"/>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'Exec. Sum'!$C$6</c:f>
              <c:strCache>
                <c:ptCount val="1"/>
                <c:pt idx="0">
                  <c:v>Baseline</c:v>
                </c:pt>
              </c:strCache>
            </c:strRef>
          </c:tx>
          <c:spPr>
            <a:ln w="28575" cap="rnd">
              <a:solidFill>
                <a:schemeClr val="accent2"/>
              </a:solidFill>
              <a:prstDash val="dash"/>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Sum'!$C$7:$C$16</c:f>
              <c:numCache>
                <c:formatCode>0.00%</c:formatCode>
                <c:ptCount val="10"/>
                <c:pt idx="0">
                  <c:v>2.947326249992656E-3</c:v>
                </c:pt>
                <c:pt idx="1">
                  <c:v>1.2148997818662547E-3</c:v>
                </c:pt>
                <c:pt idx="2">
                  <c:v>9.0605821142066955E-4</c:v>
                </c:pt>
                <c:pt idx="3">
                  <c:v>5.810109226686011E-3</c:v>
                </c:pt>
                <c:pt idx="4">
                  <c:v>4.7005525303616055E-3</c:v>
                </c:pt>
                <c:pt idx="5">
                  <c:v>2.0968694907554154E-3</c:v>
                </c:pt>
                <c:pt idx="6">
                  <c:v>1.8698158784367048E-3</c:v>
                </c:pt>
                <c:pt idx="7">
                  <c:v>5.7176197869410097E-4</c:v>
                </c:pt>
                <c:pt idx="8">
                  <c:v>5.721075836055508E-4</c:v>
                </c:pt>
                <c:pt idx="9">
                  <c:v>5.7239419582160627E-4</c:v>
                </c:pt>
              </c:numCache>
            </c:numRef>
          </c:val>
          <c:smooth val="0"/>
          <c:extLst>
            <c:ext xmlns:c16="http://schemas.microsoft.com/office/drawing/2014/chart" uri="{C3380CC4-5D6E-409C-BE32-E72D297353CC}">
              <c16:uniqueId val="{0000000B-7928-434F-A58D-F0F0C8ACB70C}"/>
            </c:ext>
          </c:extLst>
        </c:ser>
        <c:ser>
          <c:idx val="2"/>
          <c:order val="1"/>
          <c:tx>
            <c:strRef>
              <c:f>'Exec. Sum'!$D$6</c:f>
              <c:strCache>
                <c:ptCount val="1"/>
                <c:pt idx="0">
                  <c:v>EEO</c:v>
                </c:pt>
              </c:strCache>
            </c:strRef>
          </c:tx>
          <c:spPr>
            <a:ln w="28575" cap="rnd">
              <a:solidFill>
                <a:schemeClr val="accent3">
                  <a:lumMod val="50000"/>
                </a:schemeClr>
              </a:solidFill>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Sum'!$D$7:$D$16</c:f>
              <c:numCache>
                <c:formatCode>0.00%</c:formatCode>
                <c:ptCount val="10"/>
                <c:pt idx="0">
                  <c:v>3.5491552501608738E-3</c:v>
                </c:pt>
                <c:pt idx="1">
                  <c:v>1.3852573990583532E-3</c:v>
                </c:pt>
                <c:pt idx="2">
                  <c:v>1.0786401583195641E-3</c:v>
                </c:pt>
                <c:pt idx="3">
                  <c:v>7.0330170044556484E-3</c:v>
                </c:pt>
                <c:pt idx="4">
                  <c:v>1.7996230726165539E-2</c:v>
                </c:pt>
                <c:pt idx="5">
                  <c:v>1.3388915359993524E-2</c:v>
                </c:pt>
                <c:pt idx="6">
                  <c:v>1.6925595178451134E-2</c:v>
                </c:pt>
                <c:pt idx="7">
                  <c:v>1.1298652310592631E-2</c:v>
                </c:pt>
                <c:pt idx="8">
                  <c:v>1.119875728276248E-2</c:v>
                </c:pt>
                <c:pt idx="9">
                  <c:v>1.1070831875549018E-2</c:v>
                </c:pt>
              </c:numCache>
            </c:numRef>
          </c:val>
          <c:smooth val="0"/>
          <c:extLst>
            <c:ext xmlns:c16="http://schemas.microsoft.com/office/drawing/2014/chart" uri="{C3380CC4-5D6E-409C-BE32-E72D297353CC}">
              <c16:uniqueId val="{0000000D-7928-434F-A58D-F0F0C8ACB70C}"/>
            </c:ext>
          </c:extLst>
        </c:ser>
        <c:ser>
          <c:idx val="3"/>
          <c:order val="2"/>
          <c:tx>
            <c:strRef>
              <c:f>'Exec. Sum'!$E$6</c:f>
              <c:strCache>
                <c:ptCount val="1"/>
                <c:pt idx="0">
                  <c:v>VA</c:v>
                </c:pt>
              </c:strCache>
            </c:strRef>
          </c:tx>
          <c:spPr>
            <a:ln w="28575" cap="rnd">
              <a:solidFill>
                <a:schemeClr val="accent4"/>
              </a:solidFill>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Sum'!$E$7:$E$16</c:f>
              <c:numCache>
                <c:formatCode>0.00%</c:formatCode>
                <c:ptCount val="10"/>
                <c:pt idx="0">
                  <c:v>3.5491552501608738E-3</c:v>
                </c:pt>
                <c:pt idx="1">
                  <c:v>1.3852573990583532E-3</c:v>
                </c:pt>
                <c:pt idx="2">
                  <c:v>1.0786401583195641E-3</c:v>
                </c:pt>
                <c:pt idx="3">
                  <c:v>7.0330170044556484E-3</c:v>
                </c:pt>
                <c:pt idx="4">
                  <c:v>1.5799255304943437E-2</c:v>
                </c:pt>
                <c:pt idx="5">
                  <c:v>1.1615762384214044E-2</c:v>
                </c:pt>
                <c:pt idx="6">
                  <c:v>1.5731530062482221E-2</c:v>
                </c:pt>
                <c:pt idx="7">
                  <c:v>1.0865284029014119E-2</c:v>
                </c:pt>
                <c:pt idx="8">
                  <c:v>1.1711159782388124E-2</c:v>
                </c:pt>
                <c:pt idx="9">
                  <c:v>1.22603910046093E-2</c:v>
                </c:pt>
              </c:numCache>
            </c:numRef>
          </c:val>
          <c:smooth val="0"/>
          <c:extLst>
            <c:ext xmlns:c16="http://schemas.microsoft.com/office/drawing/2014/chart" uri="{C3380CC4-5D6E-409C-BE32-E72D297353CC}">
              <c16:uniqueId val="{0000000F-7928-434F-A58D-F0F0C8ACB70C}"/>
            </c:ext>
          </c:extLst>
        </c:ser>
        <c:ser>
          <c:idx val="4"/>
          <c:order val="3"/>
          <c:tx>
            <c:strRef>
              <c:f>'Exec. Sum'!$F$6</c:f>
              <c:strCache>
                <c:ptCount val="1"/>
                <c:pt idx="0">
                  <c:v>Reno wave</c:v>
                </c:pt>
              </c:strCache>
            </c:strRef>
          </c:tx>
          <c:spPr>
            <a:ln w="28575" cap="rnd">
              <a:solidFill>
                <a:schemeClr val="accent5"/>
              </a:solidFill>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Sum'!$F$7:$F$16</c:f>
              <c:numCache>
                <c:formatCode>0.00%</c:formatCode>
                <c:ptCount val="10"/>
                <c:pt idx="0">
                  <c:v>3.5491552501608738E-3</c:v>
                </c:pt>
                <c:pt idx="1">
                  <c:v>1.3852573990583532E-3</c:v>
                </c:pt>
                <c:pt idx="2">
                  <c:v>1.0786401583195641E-3</c:v>
                </c:pt>
                <c:pt idx="3">
                  <c:v>6.4959313212955422E-3</c:v>
                </c:pt>
                <c:pt idx="4">
                  <c:v>2.2179061301365734E-2</c:v>
                </c:pt>
                <c:pt idx="5">
                  <c:v>1.7777627358929484E-2</c:v>
                </c:pt>
                <c:pt idx="6">
                  <c:v>2.1429592165918457E-2</c:v>
                </c:pt>
                <c:pt idx="7">
                  <c:v>1.5654129719762298E-2</c:v>
                </c:pt>
                <c:pt idx="8">
                  <c:v>1.5409714603306642E-2</c:v>
                </c:pt>
                <c:pt idx="9">
                  <c:v>1.5141178089776513E-2</c:v>
                </c:pt>
              </c:numCache>
            </c:numRef>
          </c:val>
          <c:smooth val="0"/>
          <c:extLst>
            <c:ext xmlns:c16="http://schemas.microsoft.com/office/drawing/2014/chart" uri="{C3380CC4-5D6E-409C-BE32-E72D297353CC}">
              <c16:uniqueId val="{00000011-7928-434F-A58D-F0F0C8ACB70C}"/>
            </c:ext>
          </c:extLst>
        </c:ser>
        <c:ser>
          <c:idx val="5"/>
          <c:order val="4"/>
          <c:tx>
            <c:strRef>
              <c:f>'Exec. Sum'!$G$6</c:f>
              <c:strCache>
                <c:ptCount val="1"/>
                <c:pt idx="0">
                  <c:v>EET</c:v>
                </c:pt>
              </c:strCache>
            </c:strRef>
          </c:tx>
          <c:spPr>
            <a:ln w="28575" cap="rnd">
              <a:solidFill>
                <a:schemeClr val="accent6"/>
              </a:solidFill>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Sum'!$G$7:$G$16</c:f>
              <c:numCache>
                <c:formatCode>0.00%</c:formatCode>
                <c:ptCount val="10"/>
                <c:pt idx="0">
                  <c:v>4.4518987504133176E-3</c:v>
                </c:pt>
                <c:pt idx="1">
                  <c:v>1.640793824846731E-3</c:v>
                </c:pt>
                <c:pt idx="2">
                  <c:v>1.3375130786675627E-3</c:v>
                </c:pt>
                <c:pt idx="3">
                  <c:v>6.7190359384701913E-3</c:v>
                </c:pt>
                <c:pt idx="4">
                  <c:v>1.9938112879147166E-2</c:v>
                </c:pt>
                <c:pt idx="5">
                  <c:v>1.3225976018348143E-2</c:v>
                </c:pt>
                <c:pt idx="6">
                  <c:v>3.3626616130063916E-2</c:v>
                </c:pt>
                <c:pt idx="7">
                  <c:v>1.1265460181214165E-2</c:v>
                </c:pt>
                <c:pt idx="8">
                  <c:v>1.1125861163135676E-2</c:v>
                </c:pt>
                <c:pt idx="9">
                  <c:v>1.0916867432062839E-2</c:v>
                </c:pt>
              </c:numCache>
            </c:numRef>
          </c:val>
          <c:smooth val="0"/>
          <c:extLst>
            <c:ext xmlns:c16="http://schemas.microsoft.com/office/drawing/2014/chart" uri="{C3380CC4-5D6E-409C-BE32-E72D297353CC}">
              <c16:uniqueId val="{00000013-7928-434F-A58D-F0F0C8ACB70C}"/>
            </c:ext>
          </c:extLst>
        </c:ser>
        <c:ser>
          <c:idx val="7"/>
          <c:order val="5"/>
          <c:tx>
            <c:strRef>
              <c:f>'Exec. Sum'!$H$6</c:f>
              <c:strCache>
                <c:ptCount val="1"/>
                <c:pt idx="0">
                  <c:v>CEER1</c:v>
                </c:pt>
              </c:strCache>
            </c:strRef>
          </c:tx>
          <c:spPr>
            <a:ln w="28575" cap="rnd">
              <a:solidFill>
                <a:schemeClr val="bg1">
                  <a:lumMod val="65000"/>
                </a:schemeClr>
              </a:solidFill>
              <a:prstDash val="solid"/>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Sum'!$H$7:$H$16</c:f>
              <c:numCache>
                <c:formatCode>0.00%</c:formatCode>
                <c:ptCount val="10"/>
                <c:pt idx="0">
                  <c:v>4.4518987504133176E-3</c:v>
                </c:pt>
                <c:pt idx="1">
                  <c:v>1.640793824846731E-3</c:v>
                </c:pt>
                <c:pt idx="2">
                  <c:v>1.3375130786675627E-3</c:v>
                </c:pt>
                <c:pt idx="3">
                  <c:v>6.7190359384701913E-3</c:v>
                </c:pt>
                <c:pt idx="4">
                  <c:v>1.9299920652553291E-2</c:v>
                </c:pt>
                <c:pt idx="5">
                  <c:v>1.3527756892357657E-2</c:v>
                </c:pt>
                <c:pt idx="6">
                  <c:v>2.3969808339110877E-2</c:v>
                </c:pt>
                <c:pt idx="7">
                  <c:v>1.2472319396810989E-2</c:v>
                </c:pt>
                <c:pt idx="8">
                  <c:v>1.2968248677639642E-2</c:v>
                </c:pt>
                <c:pt idx="9">
                  <c:v>1.3215109740493398E-2</c:v>
                </c:pt>
              </c:numCache>
            </c:numRef>
          </c:val>
          <c:smooth val="0"/>
          <c:extLst>
            <c:ext xmlns:c16="http://schemas.microsoft.com/office/drawing/2014/chart" uri="{C3380CC4-5D6E-409C-BE32-E72D297353CC}">
              <c16:uniqueId val="{00000015-7928-434F-A58D-F0F0C8ACB70C}"/>
            </c:ext>
          </c:extLst>
        </c:ser>
        <c:ser>
          <c:idx val="6"/>
          <c:order val="6"/>
          <c:tx>
            <c:strRef>
              <c:f>'Exec. Sum'!$I$6</c:f>
              <c:strCache>
                <c:ptCount val="1"/>
                <c:pt idx="0">
                  <c:v>CEER2</c:v>
                </c:pt>
              </c:strCache>
            </c:strRef>
          </c:tx>
          <c:spPr>
            <a:ln w="28575" cap="rnd">
              <a:solidFill>
                <a:schemeClr val="accent3"/>
              </a:solidFill>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Sum'!$I$7:$I$16</c:f>
              <c:numCache>
                <c:formatCode>0.00%</c:formatCode>
                <c:ptCount val="10"/>
                <c:pt idx="0">
                  <c:v>4.4518987504133176E-3</c:v>
                </c:pt>
                <c:pt idx="1">
                  <c:v>1.640793824846731E-3</c:v>
                </c:pt>
                <c:pt idx="2">
                  <c:v>1.3375130786675627E-3</c:v>
                </c:pt>
                <c:pt idx="3">
                  <c:v>6.7190359384701913E-3</c:v>
                </c:pt>
                <c:pt idx="4">
                  <c:v>2.6313412189133811E-2</c:v>
                </c:pt>
                <c:pt idx="5">
                  <c:v>1.9579441044698415E-2</c:v>
                </c:pt>
                <c:pt idx="6">
                  <c:v>2.9856024921172963E-2</c:v>
                </c:pt>
                <c:pt idx="7">
                  <c:v>1.8522931019847092E-2</c:v>
                </c:pt>
                <c:pt idx="8">
                  <c:v>1.9246350722587423E-2</c:v>
                </c:pt>
                <c:pt idx="9">
                  <c:v>1.9632542681103211E-2</c:v>
                </c:pt>
              </c:numCache>
            </c:numRef>
          </c:val>
          <c:smooth val="0"/>
          <c:extLst>
            <c:ext xmlns:c16="http://schemas.microsoft.com/office/drawing/2014/chart" uri="{C3380CC4-5D6E-409C-BE32-E72D297353CC}">
              <c16:uniqueId val="{00000017-7928-434F-A58D-F0F0C8ACB70C}"/>
            </c:ext>
          </c:extLst>
        </c:ser>
        <c:ser>
          <c:idx val="9"/>
          <c:order val="7"/>
          <c:tx>
            <c:strRef>
              <c:f>'Exec. Sum'!$K$6</c:f>
              <c:strCache>
                <c:ptCount val="1"/>
                <c:pt idx="0">
                  <c:v>EED recast target (2023)</c:v>
                </c:pt>
              </c:strCache>
            </c:strRef>
          </c:tx>
          <c:spPr>
            <a:ln w="28575" cap="rnd">
              <a:solidFill>
                <a:schemeClr val="accent3"/>
              </a:solidFill>
              <a:prstDash val="sysDot"/>
              <a:round/>
            </a:ln>
            <a:effectLst/>
          </c:spPr>
          <c:marker>
            <c:symbol val="none"/>
          </c:marker>
          <c:cat>
            <c:numRef>
              <c:f>'Exec. Sum'!$B$7:$B$16</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'Exec. Sum'!$K$7:$K$16</c:f>
              <c:numCache>
                <c:formatCode>0.00%</c:formatCode>
                <c:ptCount val="10"/>
                <c:pt idx="0">
                  <c:v>8.0000000000000002E-3</c:v>
                </c:pt>
                <c:pt idx="1">
                  <c:v>8.0000000000000002E-3</c:v>
                </c:pt>
                <c:pt idx="2">
                  <c:v>8.0000000000000002E-3</c:v>
                </c:pt>
                <c:pt idx="3">
                  <c:v>1.2999999999999999E-2</c:v>
                </c:pt>
                <c:pt idx="4">
                  <c:v>1.2999999999999999E-2</c:v>
                </c:pt>
                <c:pt idx="5">
                  <c:v>1.4999999999999999E-2</c:v>
                </c:pt>
                <c:pt idx="6">
                  <c:v>1.4999999999999999E-2</c:v>
                </c:pt>
                <c:pt idx="7">
                  <c:v>1.9E-2</c:v>
                </c:pt>
                <c:pt idx="8">
                  <c:v>1.9E-2</c:v>
                </c:pt>
                <c:pt idx="9">
                  <c:v>1.9E-2</c:v>
                </c:pt>
              </c:numCache>
            </c:numRef>
          </c:val>
          <c:smooth val="0"/>
          <c:extLst>
            <c:ext xmlns:c16="http://schemas.microsoft.com/office/drawing/2014/chart" uri="{C3380CC4-5D6E-409C-BE32-E72D297353CC}">
              <c16:uniqueId val="{00000019-7928-434F-A58D-F0F0C8ACB70C}"/>
            </c:ext>
          </c:extLst>
        </c:ser>
        <c:dLbls>
          <c:showLegendKey val="0"/>
          <c:showVal val="0"/>
          <c:showCatName val="0"/>
          <c:showSerName val="0"/>
          <c:showPercent val="0"/>
          <c:showBubbleSize val="0"/>
        </c:dLbls>
        <c:smooth val="0"/>
        <c:axId val="1233154223"/>
        <c:axId val="1233155663"/>
      </c:lineChart>
      <c:catAx>
        <c:axId val="1233154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1233155663"/>
        <c:crosses val="autoZero"/>
        <c:auto val="1"/>
        <c:lblAlgn val="ctr"/>
        <c:lblOffset val="100"/>
        <c:noMultiLvlLbl val="0"/>
      </c:catAx>
      <c:valAx>
        <c:axId val="12331556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a:t>Annual energy savings (%)</a:t>
                </a:r>
              </a:p>
            </c:rich>
          </c:tx>
          <c:overlay val="0"/>
          <c:spPr>
            <a:noFill/>
            <a:ln>
              <a:noFill/>
            </a:ln>
            <a:effectLst/>
          </c:sp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1233154223"/>
        <c:crosses val="autoZero"/>
        <c:crossBetween val="midCat"/>
      </c:valAx>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legend>
    <c:plotVisOnly val="1"/>
    <c:dispBlanksAs val="gap"/>
    <c:showDLblsOverMax val="0"/>
    <c:extLst/>
  </c:chart>
  <c:spPr>
    <a:solidFill>
      <a:schemeClr val="bg1"/>
    </a:solidFill>
    <a:ln w="9525" cap="flat" cmpd="sng" algn="ctr">
      <a:noFill/>
      <a:round/>
    </a:ln>
    <a:effectLst/>
  </c:spPr>
  <c:txPr>
    <a:bodyPr/>
    <a:lstStyle/>
    <a:p>
      <a:pPr>
        <a:defRPr sz="800">
          <a:solidFill>
            <a:sysClr val="windowText" lastClr="000000"/>
          </a:solidFill>
        </a:defRPr>
      </a:pPr>
      <a:endParaRPr lang="et-EE"/>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34823814444009"/>
          <c:y val="5.0925925925925923E-2"/>
          <c:w val="0.73484508984177699"/>
          <c:h val="0.84452209098862641"/>
        </c:manualLayout>
      </c:layout>
      <c:barChart>
        <c:barDir val="col"/>
        <c:grouping val="stacked"/>
        <c:varyColors val="0"/>
        <c:ser>
          <c:idx val="4"/>
          <c:order val="0"/>
          <c:tx>
            <c:strRef>
              <c:f>'Pathway Comparison'!$G$131</c:f>
              <c:strCache>
                <c:ptCount val="1"/>
                <c:pt idx="0">
                  <c:v>Heat final</c:v>
                </c:pt>
              </c:strCache>
            </c:strRef>
          </c:tx>
          <c:spPr>
            <a:solidFill>
              <a:schemeClr val="accent3"/>
            </a:solidFill>
            <a:ln>
              <a:noFill/>
            </a:ln>
            <a:effectLst/>
          </c:spPr>
          <c:invertIfNegative val="0"/>
          <c:dLbls>
            <c:spPr>
              <a:noFill/>
              <a:ln>
                <a:noFill/>
              </a:ln>
              <a:effectLst/>
            </c:spPr>
            <c:txPr>
              <a:bodyPr wrap="square" lIns="38100" tIns="19050" rIns="38100" bIns="19050" anchor="ctr">
                <a:spAutoFit/>
              </a:bodyPr>
              <a:lstStyle/>
              <a:p>
                <a:pPr>
                  <a:defRPr sz="800">
                    <a:solidFill>
                      <a:schemeClr val="bg1"/>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numRef>
              <c:f>'Pathway Comparison'!$B$132:$B$146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Comparison'!$G$132:$G$146</c:f>
              <c:numCache>
                <c:formatCode>0.0</c:formatCode>
                <c:ptCount val="15"/>
                <c:pt idx="0">
                  <c:v>11.750287656771043</c:v>
                </c:pt>
                <c:pt idx="1">
                  <c:v>11.749437771200757</c:v>
                </c:pt>
                <c:pt idx="2">
                  <c:v>11.757792796958078</c:v>
                </c:pt>
                <c:pt idx="3">
                  <c:v>11.743631694802325</c:v>
                </c:pt>
                <c:pt idx="4">
                  <c:v>11.519472256305116</c:v>
                </c:pt>
                <c:pt idx="5">
                  <c:v>11.314648427315129</c:v>
                </c:pt>
                <c:pt idx="6">
                  <c:v>11.120075551893958</c:v>
                </c:pt>
                <c:pt idx="7">
                  <c:v>10.931638732098939</c:v>
                </c:pt>
                <c:pt idx="8">
                  <c:v>10.744625752537637</c:v>
                </c:pt>
                <c:pt idx="9">
                  <c:v>10.559554556300641</c:v>
                </c:pt>
                <c:pt idx="10">
                  <c:v>10.378005837031003</c:v>
                </c:pt>
                <c:pt idx="11">
                  <c:v>10.199811948029014</c:v>
                </c:pt>
                <c:pt idx="12">
                  <c:v>10.024939476129939</c:v>
                </c:pt>
                <c:pt idx="13">
                  <c:v>9.8533561583774425</c:v>
                </c:pt>
                <c:pt idx="14">
                  <c:v>9.6853232524196997</c:v>
                </c:pt>
              </c:numCache>
            </c:numRef>
          </c:val>
          <c:extLst>
            <c:ext xmlns:c16="http://schemas.microsoft.com/office/drawing/2014/chart" uri="{C3380CC4-5D6E-409C-BE32-E72D297353CC}">
              <c16:uniqueId val="{00000000-CE8B-4144-B059-9F6FD17D5DB7}"/>
            </c:ext>
          </c:extLst>
        </c:ser>
        <c:ser>
          <c:idx val="0"/>
          <c:order val="1"/>
          <c:tx>
            <c:strRef>
              <c:f>'Pathway Comparison'!$C$131</c:f>
              <c:strCache>
                <c:ptCount val="1"/>
                <c:pt idx="0">
                  <c:v>Oil products</c:v>
                </c:pt>
              </c:strCache>
            </c:strRef>
          </c:tx>
          <c:spPr>
            <a:solidFill>
              <a:schemeClr val="accent3">
                <a:lumMod val="60000"/>
                <a:lumOff val="40000"/>
              </a:schemeClr>
            </a:solidFill>
            <a:ln>
              <a:noFill/>
            </a:ln>
            <a:effectLst/>
          </c:spPr>
          <c:invertIfNegative val="0"/>
          <c:dLbls>
            <c:spPr>
              <a:noFill/>
              <a:ln>
                <a:noFill/>
              </a:ln>
              <a:effectLst/>
            </c:spPr>
            <c:txPr>
              <a:bodyPr wrap="square" lIns="38100" tIns="19050" rIns="38100" bIns="19050" anchor="ctr">
                <a:spAutoFit/>
              </a:bodyPr>
              <a:lstStyle/>
              <a:p>
                <a:pPr>
                  <a:defRPr sz="800"/>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'Pathway Comparison'!$B$132:$B$146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Comparison'!$C$132:$C$146</c:f>
              <c:numCache>
                <c:formatCode>0.0</c:formatCode>
                <c:ptCount val="15"/>
                <c:pt idx="0">
                  <c:v>9.9925181844488158</c:v>
                </c:pt>
                <c:pt idx="1">
                  <c:v>10.367301701849321</c:v>
                </c:pt>
                <c:pt idx="2">
                  <c:v>10.41057813854057</c:v>
                </c:pt>
                <c:pt idx="3">
                  <c:v>10.364867979603671</c:v>
                </c:pt>
                <c:pt idx="4">
                  <c:v>10.206126152124773</c:v>
                </c:pt>
                <c:pt idx="5">
                  <c:v>10.184244865376066</c:v>
                </c:pt>
                <c:pt idx="6">
                  <c:v>9.8512123465390431</c:v>
                </c:pt>
                <c:pt idx="7">
                  <c:v>9.8341793585634694</c:v>
                </c:pt>
                <c:pt idx="8">
                  <c:v>9.8171704194488942</c:v>
                </c:pt>
                <c:pt idx="9">
                  <c:v>9.8029387693803933</c:v>
                </c:pt>
                <c:pt idx="10">
                  <c:v>9.8373725741305353</c:v>
                </c:pt>
                <c:pt idx="11">
                  <c:v>9.8743194614959897</c:v>
                </c:pt>
                <c:pt idx="12">
                  <c:v>9.9137892756240831</c:v>
                </c:pt>
                <c:pt idx="13">
                  <c:v>9.9557926049567111</c:v>
                </c:pt>
                <c:pt idx="14">
                  <c:v>10.000339213752023</c:v>
                </c:pt>
              </c:numCache>
            </c:numRef>
          </c:val>
          <c:extLst>
            <c:ext xmlns:c16="http://schemas.microsoft.com/office/drawing/2014/chart" uri="{C3380CC4-5D6E-409C-BE32-E72D297353CC}">
              <c16:uniqueId val="{00000001-CE8B-4144-B059-9F6FD17D5DB7}"/>
            </c:ext>
          </c:extLst>
        </c:ser>
        <c:ser>
          <c:idx val="5"/>
          <c:order val="2"/>
          <c:tx>
            <c:strRef>
              <c:f>'Pathway Comparison'!$H$131</c:f>
              <c:strCache>
                <c:ptCount val="1"/>
                <c:pt idx="0">
                  <c:v>Electricity final</c:v>
                </c:pt>
              </c:strCache>
            </c:strRef>
          </c:tx>
          <c:spPr>
            <a:solidFill>
              <a:schemeClr val="accent2"/>
            </a:solidFill>
          </c:spPr>
          <c:invertIfNegative val="0"/>
          <c:dLbls>
            <c:spPr>
              <a:noFill/>
              <a:ln>
                <a:noFill/>
              </a:ln>
              <a:effectLst/>
            </c:spPr>
            <c:txPr>
              <a:bodyPr wrap="square" lIns="38100" tIns="19050" rIns="38100" bIns="19050" anchor="ctr">
                <a:spAutoFit/>
              </a:bodyPr>
              <a:lstStyle/>
              <a:p>
                <a:pPr>
                  <a:defRPr sz="800">
                    <a:solidFill>
                      <a:schemeClr val="bg1"/>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'Pathway Comparison'!$B$132:$B$146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Comparison'!$H$132:$H$146</c:f>
              <c:numCache>
                <c:formatCode>0.0</c:formatCode>
                <c:ptCount val="15"/>
                <c:pt idx="0">
                  <c:v>6.901256647467485</c:v>
                </c:pt>
                <c:pt idx="1">
                  <c:v>6.8744749572653046</c:v>
                </c:pt>
                <c:pt idx="2">
                  <c:v>6.9778847527287988</c:v>
                </c:pt>
                <c:pt idx="3">
                  <c:v>7.0585896582721457</c:v>
                </c:pt>
                <c:pt idx="4">
                  <c:v>7.0819459546865291</c:v>
                </c:pt>
                <c:pt idx="5">
                  <c:v>7.1179387021271117</c:v>
                </c:pt>
                <c:pt idx="6">
                  <c:v>7.1472210357446038</c:v>
                </c:pt>
                <c:pt idx="7">
                  <c:v>7.1950710522459236</c:v>
                </c:pt>
                <c:pt idx="8">
                  <c:v>7.2316689019792149</c:v>
                </c:pt>
                <c:pt idx="9">
                  <c:v>7.2599945603962084</c:v>
                </c:pt>
                <c:pt idx="10">
                  <c:v>7.2896944456694559</c:v>
                </c:pt>
                <c:pt idx="11">
                  <c:v>7.318939026966599</c:v>
                </c:pt>
                <c:pt idx="12">
                  <c:v>7.3477368258436053</c:v>
                </c:pt>
                <c:pt idx="13">
                  <c:v>7.3760962199213234</c:v>
                </c:pt>
                <c:pt idx="14">
                  <c:v>7.4038820677371513</c:v>
                </c:pt>
              </c:numCache>
            </c:numRef>
          </c:val>
          <c:extLst>
            <c:ext xmlns:c16="http://schemas.microsoft.com/office/drawing/2014/chart" uri="{C3380CC4-5D6E-409C-BE32-E72D297353CC}">
              <c16:uniqueId val="{00000002-CE8B-4144-B059-9F6FD17D5DB7}"/>
            </c:ext>
          </c:extLst>
        </c:ser>
        <c:ser>
          <c:idx val="1"/>
          <c:order val="3"/>
          <c:tx>
            <c:strRef>
              <c:f>'Pathway Comparison'!$D$131</c:f>
              <c:strCache>
                <c:ptCount val="1"/>
                <c:pt idx="0">
                  <c:v>Gas</c:v>
                </c:pt>
              </c:strCache>
            </c:strRef>
          </c:tx>
          <c:spPr>
            <a:solidFill>
              <a:schemeClr val="accent4"/>
            </a:solidFill>
            <a:ln>
              <a:noFill/>
            </a:ln>
            <a:effectLst/>
          </c:spPr>
          <c:invertIfNegative val="0"/>
          <c:dLbls>
            <c:spPr>
              <a:noFill/>
              <a:ln>
                <a:noFill/>
              </a:ln>
              <a:effectLst/>
            </c:spPr>
            <c:txPr>
              <a:bodyPr wrap="square" lIns="38100" tIns="19050" rIns="38100" bIns="19050" anchor="ctr">
                <a:spAutoFit/>
              </a:bodyPr>
              <a:lstStyle/>
              <a:p>
                <a:pPr>
                  <a:defRPr sz="700"/>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numRef>
              <c:f>'Pathway Comparison'!$B$132:$B$146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Comparison'!$D$132:$D$146</c:f>
              <c:numCache>
                <c:formatCode>0.0</c:formatCode>
                <c:ptCount val="15"/>
                <c:pt idx="0">
                  <c:v>1.3631916744793882</c:v>
                </c:pt>
                <c:pt idx="1">
                  <c:v>1.3112231690929941</c:v>
                </c:pt>
                <c:pt idx="2">
                  <c:v>1.325855763496032</c:v>
                </c:pt>
                <c:pt idx="3">
                  <c:v>1.3201215596313229</c:v>
                </c:pt>
                <c:pt idx="4">
                  <c:v>1.305802561691386</c:v>
                </c:pt>
                <c:pt idx="5">
                  <c:v>1.3038119569670081</c:v>
                </c:pt>
                <c:pt idx="6">
                  <c:v>1.2952831032641143</c:v>
                </c:pt>
                <c:pt idx="7">
                  <c:v>1.3000204399059365</c:v>
                </c:pt>
                <c:pt idx="8">
                  <c:v>1.2997319384824599</c:v>
                </c:pt>
                <c:pt idx="9">
                  <c:v>1.2958321861478306</c:v>
                </c:pt>
                <c:pt idx="10">
                  <c:v>1.2931030818245333</c:v>
                </c:pt>
                <c:pt idx="11">
                  <c:v>1.2903694578217695</c:v>
                </c:pt>
                <c:pt idx="12">
                  <c:v>1.2876319830076668</c:v>
                </c:pt>
                <c:pt idx="13">
                  <c:v>1.2848913899696597</c:v>
                </c:pt>
                <c:pt idx="14">
                  <c:v>1.2821448472645107</c:v>
                </c:pt>
              </c:numCache>
            </c:numRef>
          </c:val>
          <c:extLst>
            <c:ext xmlns:c16="http://schemas.microsoft.com/office/drawing/2014/chart" uri="{C3380CC4-5D6E-409C-BE32-E72D297353CC}">
              <c16:uniqueId val="{00000003-CE8B-4144-B059-9F6FD17D5DB7}"/>
            </c:ext>
          </c:extLst>
        </c:ser>
        <c:ser>
          <c:idx val="3"/>
          <c:order val="4"/>
          <c:tx>
            <c:strRef>
              <c:f>'Pathway Comparison'!$F$131</c:f>
              <c:strCache>
                <c:ptCount val="1"/>
                <c:pt idx="0">
                  <c:v>Renewable energy</c:v>
                </c:pt>
              </c:strCache>
            </c:strRef>
          </c:tx>
          <c:spPr>
            <a:solidFill>
              <a:schemeClr val="accent5"/>
            </a:solidFill>
            <a:ln>
              <a:noFill/>
            </a:ln>
            <a:effectLst/>
          </c:spPr>
          <c:invertIfNegative val="0"/>
          <c:cat>
            <c:numRef>
              <c:f>'Pathway Comparison'!$B$132:$B$146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Comparison'!$F$132:$F$146</c:f>
              <c:numCache>
                <c:formatCode>0.0</c:formatCode>
                <c:ptCount val="15"/>
                <c:pt idx="0">
                  <c:v>0.77456660441162262</c:v>
                </c:pt>
                <c:pt idx="1">
                  <c:v>0.8656367416514088</c:v>
                </c:pt>
                <c:pt idx="2">
                  <c:v>0.87162335247875422</c:v>
                </c:pt>
                <c:pt idx="3">
                  <c:v>0.87774500462638017</c:v>
                </c:pt>
                <c:pt idx="4">
                  <c:v>0.86969570194721713</c:v>
                </c:pt>
                <c:pt idx="5">
                  <c:v>0.86809349128932167</c:v>
                </c:pt>
                <c:pt idx="6">
                  <c:v>0.84426235304018771</c:v>
                </c:pt>
                <c:pt idx="7">
                  <c:v>0.8442494917252058</c:v>
                </c:pt>
                <c:pt idx="8">
                  <c:v>0.84343486848375548</c:v>
                </c:pt>
                <c:pt idx="9">
                  <c:v>0.84223591467260006</c:v>
                </c:pt>
                <c:pt idx="10">
                  <c:v>0.84438004711116732</c:v>
                </c:pt>
                <c:pt idx="11">
                  <c:v>0.84670259308459117</c:v>
                </c:pt>
                <c:pt idx="12">
                  <c:v>0.84920674845844579</c:v>
                </c:pt>
                <c:pt idx="13">
                  <c:v>0.85189577597300958</c:v>
                </c:pt>
                <c:pt idx="14">
                  <c:v>0.85477231883407856</c:v>
                </c:pt>
              </c:numCache>
            </c:numRef>
          </c:val>
          <c:extLst>
            <c:ext xmlns:c16="http://schemas.microsoft.com/office/drawing/2014/chart" uri="{C3380CC4-5D6E-409C-BE32-E72D297353CC}">
              <c16:uniqueId val="{00000004-CE8B-4144-B059-9F6FD17D5DB7}"/>
            </c:ext>
          </c:extLst>
        </c:ser>
        <c:ser>
          <c:idx val="2"/>
          <c:order val="5"/>
          <c:tx>
            <c:strRef>
              <c:f>'Pathway Comparison'!$E$131</c:f>
              <c:strCache>
                <c:ptCount val="1"/>
                <c:pt idx="0">
                  <c:v>Coal</c:v>
                </c:pt>
              </c:strCache>
            </c:strRef>
          </c:tx>
          <c:spPr>
            <a:solidFill>
              <a:schemeClr val="accent6"/>
            </a:solidFill>
            <a:ln>
              <a:noFill/>
            </a:ln>
            <a:effectLst/>
          </c:spPr>
          <c:invertIfNegative val="0"/>
          <c:dLbls>
            <c:dLbl>
              <c:idx val="0"/>
              <c:tx>
                <c:rich>
                  <a:bodyPr/>
                  <a:lstStyle/>
                  <a:p>
                    <a:fld id="{E58146F2-4074-4B07-BFC7-86588FACCC37}"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CE8B-4144-B059-9F6FD17D5DB7}"/>
                </c:ext>
              </c:extLst>
            </c:dLbl>
            <c:dLbl>
              <c:idx val="1"/>
              <c:tx>
                <c:rich>
                  <a:bodyPr/>
                  <a:lstStyle/>
                  <a:p>
                    <a:fld id="{E96E8EF5-7154-4905-9E9D-70E1885D63BE}"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6-CE8B-4144-B059-9F6FD17D5DB7}"/>
                </c:ext>
              </c:extLst>
            </c:dLbl>
            <c:dLbl>
              <c:idx val="2"/>
              <c:tx>
                <c:rich>
                  <a:bodyPr/>
                  <a:lstStyle/>
                  <a:p>
                    <a:fld id="{8269AF26-6261-465E-955E-D54B72944F51}"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7-CE8B-4144-B059-9F6FD17D5DB7}"/>
                </c:ext>
              </c:extLst>
            </c:dLbl>
            <c:dLbl>
              <c:idx val="3"/>
              <c:tx>
                <c:rich>
                  <a:bodyPr/>
                  <a:lstStyle/>
                  <a:p>
                    <a:fld id="{1E5E0AC7-5991-4353-AA63-12560266BEB4}"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8-CE8B-4144-B059-9F6FD17D5DB7}"/>
                </c:ext>
              </c:extLst>
            </c:dLbl>
            <c:dLbl>
              <c:idx val="4"/>
              <c:tx>
                <c:rich>
                  <a:bodyPr/>
                  <a:lstStyle/>
                  <a:p>
                    <a:fld id="{0F1CF571-2450-43FB-8092-BA03919786C8}"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9-CE8B-4144-B059-9F6FD17D5DB7}"/>
                </c:ext>
              </c:extLst>
            </c:dLbl>
            <c:dLbl>
              <c:idx val="5"/>
              <c:tx>
                <c:rich>
                  <a:bodyPr/>
                  <a:lstStyle/>
                  <a:p>
                    <a:fld id="{94251907-BCBE-410D-A66F-0FFA1B2B3060}"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A-CE8B-4144-B059-9F6FD17D5DB7}"/>
                </c:ext>
              </c:extLst>
            </c:dLbl>
            <c:dLbl>
              <c:idx val="6"/>
              <c:tx>
                <c:rich>
                  <a:bodyPr/>
                  <a:lstStyle/>
                  <a:p>
                    <a:fld id="{BE806F6E-B389-4789-85D1-E132E42CEA24}"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B-CE8B-4144-B059-9F6FD17D5DB7}"/>
                </c:ext>
              </c:extLst>
            </c:dLbl>
            <c:dLbl>
              <c:idx val="7"/>
              <c:tx>
                <c:rich>
                  <a:bodyPr/>
                  <a:lstStyle/>
                  <a:p>
                    <a:fld id="{B74EE4BE-320F-441B-A6D1-52E6821B4F23}"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C-CE8B-4144-B059-9F6FD17D5DB7}"/>
                </c:ext>
              </c:extLst>
            </c:dLbl>
            <c:dLbl>
              <c:idx val="8"/>
              <c:tx>
                <c:rich>
                  <a:bodyPr/>
                  <a:lstStyle/>
                  <a:p>
                    <a:fld id="{157DB0C3-9E94-4515-9E95-E92943104870}"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D-CE8B-4144-B059-9F6FD17D5DB7}"/>
                </c:ext>
              </c:extLst>
            </c:dLbl>
            <c:dLbl>
              <c:idx val="9"/>
              <c:tx>
                <c:rich>
                  <a:bodyPr/>
                  <a:lstStyle/>
                  <a:p>
                    <a:fld id="{20DB1766-26F5-459A-BDA0-730D8D0E5E55}"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E-CE8B-4144-B059-9F6FD17D5DB7}"/>
                </c:ext>
              </c:extLst>
            </c:dLbl>
            <c:dLbl>
              <c:idx val="10"/>
              <c:tx>
                <c:rich>
                  <a:bodyPr/>
                  <a:lstStyle/>
                  <a:p>
                    <a:fld id="{256A6F3D-B681-42E8-90B7-E0D81450C6A9}"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0F-CE8B-4144-B059-9F6FD17D5DB7}"/>
                </c:ext>
              </c:extLst>
            </c:dLbl>
            <c:dLbl>
              <c:idx val="11"/>
              <c:tx>
                <c:rich>
                  <a:bodyPr/>
                  <a:lstStyle/>
                  <a:p>
                    <a:fld id="{B1110763-53F6-41B3-B12E-20806EA362E7}"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0-CE8B-4144-B059-9F6FD17D5DB7}"/>
                </c:ext>
              </c:extLst>
            </c:dLbl>
            <c:dLbl>
              <c:idx val="12"/>
              <c:tx>
                <c:rich>
                  <a:bodyPr/>
                  <a:lstStyle/>
                  <a:p>
                    <a:fld id="{7385D8EA-A32B-4B7A-A52D-3BFAF35BB707}"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1-CE8B-4144-B059-9F6FD17D5DB7}"/>
                </c:ext>
              </c:extLst>
            </c:dLbl>
            <c:dLbl>
              <c:idx val="13"/>
              <c:tx>
                <c:rich>
                  <a:bodyPr/>
                  <a:lstStyle/>
                  <a:p>
                    <a:fld id="{E07FD7DB-7E70-4152-9274-E81CA8E1E07F}"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2-CE8B-4144-B059-9F6FD17D5DB7}"/>
                </c:ext>
              </c:extLst>
            </c:dLbl>
            <c:dLbl>
              <c:idx val="14"/>
              <c:tx>
                <c:rich>
                  <a:bodyPr/>
                  <a:lstStyle/>
                  <a:p>
                    <a:fld id="{CFEE2DFD-BED3-48CB-9003-34875E5B93CA}" type="CELLRANGE">
                      <a:rPr lang="et-EE"/>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xForSave val="1"/>
                  <c15:showDataLabelsRange val="1"/>
                </c:ext>
                <c:ext xmlns:c16="http://schemas.microsoft.com/office/drawing/2014/chart" uri="{C3380CC4-5D6E-409C-BE32-E72D297353CC}">
                  <c16:uniqueId val="{00000013-CE8B-4144-B059-9F6FD17D5DB7}"/>
                </c:ext>
              </c:extLst>
            </c:dLbl>
            <c:spPr>
              <a:noFill/>
              <a:ln>
                <a:noFill/>
              </a:ln>
              <a:effectLst/>
            </c:spPr>
            <c:txPr>
              <a:bodyPr wrap="square" lIns="38100" tIns="19050" rIns="38100" bIns="19050" anchor="ctr">
                <a:spAutoFit/>
              </a:bodyPr>
              <a:lstStyle/>
              <a:p>
                <a:pPr>
                  <a:defRPr sz="700" b="1"/>
                </a:pPr>
                <a:endParaRPr lang="et-EE"/>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numRef>
              <c:f>'Pathway Comparison'!$B$132:$B$146</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Comparison'!$E$132:$E$146</c:f>
              <c:numCache>
                <c:formatCode>0.0</c:formatCode>
                <c:ptCount val="15"/>
                <c:pt idx="0">
                  <c:v>5.600601753607444E-3</c:v>
                </c:pt>
                <c:pt idx="1">
                  <c:v>0.12457047388607956</c:v>
                </c:pt>
                <c:pt idx="2">
                  <c:v>0.12602824055274622</c:v>
                </c:pt>
                <c:pt idx="3">
                  <c:v>0.12781625990547496</c:v>
                </c:pt>
                <c:pt idx="4">
                  <c:v>0.12942433666190151</c:v>
                </c:pt>
                <c:pt idx="5">
                  <c:v>0.13106518852197011</c:v>
                </c:pt>
                <c:pt idx="6">
                  <c:v>0.132718536711736</c:v>
                </c:pt>
                <c:pt idx="7">
                  <c:v>0.13448082017364676</c:v>
                </c:pt>
                <c:pt idx="8">
                  <c:v>0.13620016368955093</c:v>
                </c:pt>
                <c:pt idx="9">
                  <c:v>0.13789557584467665</c:v>
                </c:pt>
                <c:pt idx="10">
                  <c:v>0.13964008776190753</c:v>
                </c:pt>
                <c:pt idx="11">
                  <c:v>0.14141123990573856</c:v>
                </c:pt>
                <c:pt idx="12">
                  <c:v>0.14320944326549306</c:v>
                </c:pt>
                <c:pt idx="13">
                  <c:v>0.14503511573789424</c:v>
                </c:pt>
                <c:pt idx="14">
                  <c:v>0.14688863272665836</c:v>
                </c:pt>
              </c:numCache>
            </c:numRef>
          </c:val>
          <c:extLst>
            <c:ext xmlns:c15="http://schemas.microsoft.com/office/drawing/2012/chart" uri="{02D57815-91ED-43cb-92C2-25804820EDAC}">
              <c15:datalabelsRange>
                <c15:f>'Pathway Comparison'!$H$112:$H$126</c15:f>
                <c15:dlblRangeCache>
                  <c:ptCount val="15"/>
                  <c:pt idx="0">
                    <c:v>30,8</c:v>
                  </c:pt>
                  <c:pt idx="1">
                    <c:v>31,3</c:v>
                  </c:pt>
                  <c:pt idx="2">
                    <c:v>31,5</c:v>
                  </c:pt>
                  <c:pt idx="3">
                    <c:v>31,5</c:v>
                  </c:pt>
                  <c:pt idx="4">
                    <c:v>31,1</c:v>
                  </c:pt>
                  <c:pt idx="5">
                    <c:v>30,9</c:v>
                  </c:pt>
                  <c:pt idx="6">
                    <c:v>30,4</c:v>
                  </c:pt>
                  <c:pt idx="7">
                    <c:v>30,2</c:v>
                  </c:pt>
                  <c:pt idx="8">
                    <c:v>30,1</c:v>
                  </c:pt>
                  <c:pt idx="9">
                    <c:v>29,9</c:v>
                  </c:pt>
                  <c:pt idx="10">
                    <c:v>29,8</c:v>
                  </c:pt>
                  <c:pt idx="11">
                    <c:v>29,7</c:v>
                  </c:pt>
                  <c:pt idx="12">
                    <c:v>29,6</c:v>
                  </c:pt>
                  <c:pt idx="13">
                    <c:v>29,5</c:v>
                  </c:pt>
                  <c:pt idx="14">
                    <c:v>29,4</c:v>
                  </c:pt>
                </c15:dlblRangeCache>
              </c15:datalabelsRange>
            </c:ext>
            <c:ext xmlns:c16="http://schemas.microsoft.com/office/drawing/2014/chart" uri="{C3380CC4-5D6E-409C-BE32-E72D297353CC}">
              <c16:uniqueId val="{00000014-CE8B-4144-B059-9F6FD17D5DB7}"/>
            </c:ext>
          </c:extLst>
        </c:ser>
        <c:dLbls>
          <c:showLegendKey val="0"/>
          <c:showVal val="0"/>
          <c:showCatName val="0"/>
          <c:showSerName val="0"/>
          <c:showPercent val="0"/>
          <c:showBubbleSize val="0"/>
        </c:dLbls>
        <c:gapWidth val="42"/>
        <c:overlap val="100"/>
        <c:axId val="1233160943"/>
        <c:axId val="1550616095"/>
      </c:barChart>
      <c:catAx>
        <c:axId val="123316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550616095"/>
        <c:crosses val="autoZero"/>
        <c:auto val="1"/>
        <c:lblAlgn val="ctr"/>
        <c:lblOffset val="100"/>
        <c:noMultiLvlLbl val="0"/>
      </c:catAx>
      <c:valAx>
        <c:axId val="155061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r>
                  <a:rPr lang="en-GB" sz="900"/>
                  <a:t>Final energy consumption (TWh)</a:t>
                </a:r>
              </a:p>
            </c:rich>
          </c:tx>
          <c:overlay val="0"/>
          <c:spPr>
            <a:noFill/>
            <a:ln>
              <a:noFill/>
            </a:ln>
            <a:effectLst/>
          </c:sp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233160943"/>
        <c:crosses val="autoZero"/>
        <c:crossBetween val="between"/>
        <c:majorUnit val="5"/>
      </c:valAx>
    </c:plotArea>
    <c:legend>
      <c:legendPos val="r"/>
      <c:layout>
        <c:manualLayout>
          <c:xMode val="edge"/>
          <c:yMode val="edge"/>
          <c:x val="0.8647668564494454"/>
          <c:y val="0.10310497534136276"/>
          <c:w val="0.13491735081445766"/>
          <c:h val="0.83463867547891424"/>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fr-BE"/>
              <a:t>Energy consumption 2022 [TWh]</a:t>
            </a:r>
          </a:p>
        </c:rich>
      </c:tx>
      <c:overlay val="0"/>
      <c:spPr>
        <a:noFill/>
        <a:ln>
          <a:noFill/>
        </a:ln>
        <a:effectLst/>
      </c:spPr>
    </c:title>
    <c:autoTitleDeleted val="0"/>
    <c:plotArea>
      <c:layout/>
      <c:pieChart>
        <c:varyColors val="1"/>
        <c:ser>
          <c:idx val="0"/>
          <c:order val="0"/>
          <c:dPt>
            <c:idx val="0"/>
            <c:bubble3D val="0"/>
            <c:spPr>
              <a:solidFill>
                <a:schemeClr val="accent1"/>
              </a:solidFill>
              <a:ln w="19050">
                <a:solidFill>
                  <a:schemeClr val="lt1"/>
                </a:solidFill>
              </a:ln>
              <a:effectLst/>
            </c:spPr>
            <c:extLst>
              <c:ext xmlns:c16="http://schemas.microsoft.com/office/drawing/2014/chart" uri="{C3380CC4-5D6E-409C-BE32-E72D297353CC}">
                <c16:uniqueId val="{00000001-D28A-48A7-8932-AFD134D5B7DB}"/>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3-D28A-48A7-8932-AFD134D5B7DB}"/>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5-D28A-48A7-8932-AFD134D5B7DB}"/>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07-D28A-48A7-8932-AFD134D5B7DB}"/>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09-D28A-48A7-8932-AFD134D5B7DB}"/>
              </c:ext>
            </c:extLst>
          </c:dPt>
          <c:dLbls>
            <c:dLbl>
              <c:idx val="0"/>
              <c:layout>
                <c:manualLayout>
                  <c:x val="2.4798993875765528E-2"/>
                  <c:y val="6.4339457567804029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1-D28A-48A7-8932-AFD134D5B7DB}"/>
                </c:ext>
              </c:extLst>
            </c:dLbl>
            <c:dLbl>
              <c:idx val="1"/>
              <c:layout>
                <c:manualLayout>
                  <c:x val="5.0167322834645672E-3"/>
                  <c:y val="-9.7149314668999703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3-D28A-48A7-8932-AFD134D5B7DB}"/>
                </c:ext>
              </c:extLst>
            </c:dLbl>
            <c:dLbl>
              <c:idx val="2"/>
              <c:layout>
                <c:manualLayout>
                  <c:x val="3.0069991251093615E-3"/>
                  <c:y val="-3.313939924176144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5-D28A-48A7-8932-AFD134D5B7DB}"/>
                </c:ext>
              </c:extLst>
            </c:dLbl>
            <c:dLbl>
              <c:idx val="3"/>
              <c:layout>
                <c:manualLayout>
                  <c:x val="2.4740813648293964E-2"/>
                  <c:y val="-1.2676436278798484E-2"/>
                </c:manualLayout>
              </c:layout>
              <c:showLegendKey val="0"/>
              <c:showVal val="1"/>
              <c:showCatName val="1"/>
              <c:showSerName val="0"/>
              <c:showPercent val="1"/>
              <c:showBubbleSize val="0"/>
              <c:extLst>
                <c:ext xmlns:c15="http://schemas.microsoft.com/office/drawing/2012/chart" uri="{CE6537A1-D6FC-4f65-9D91-7224C49458BB}"/>
                <c:ext xmlns:c16="http://schemas.microsoft.com/office/drawing/2014/chart" uri="{C3380CC4-5D6E-409C-BE32-E72D297353CC}">
                  <c16:uniqueId val="{00000007-D28A-48A7-8932-AFD134D5B7DB}"/>
                </c:ext>
              </c:extLst>
            </c:dLbl>
            <c:dLbl>
              <c:idx val="4"/>
              <c:layout>
                <c:manualLayout>
                  <c:x val="-8.5389326334208229E-4"/>
                  <c:y val="3.8935002916302128E-2"/>
                </c:manualLayout>
              </c:layout>
              <c:spPr>
                <a:noFill/>
                <a:ln>
                  <a:noFill/>
                </a:ln>
                <a:effectLst/>
              </c:spPr>
              <c:txPr>
                <a:bodyPr rot="0" spcFirstLastPara="1" vertOverflow="ellipsis" vert="horz" wrap="square" lIns="38100" tIns="19050" rIns="38100" bIns="19050" anchor="ctr" anchorCtr="1">
                  <a:no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1"/>
              <c:showSerName val="0"/>
              <c:showPercent val="1"/>
              <c:showBubbleSize val="0"/>
              <c:extLst>
                <c:ext xmlns:c15="http://schemas.microsoft.com/office/drawing/2012/chart" uri="{CE6537A1-D6FC-4f65-9D91-7224C49458BB}">
                  <c15:layout>
                    <c:manualLayout>
                      <c:w val="0.26884711286089241"/>
                      <c:h val="0.15185185185185182"/>
                    </c:manualLayout>
                  </c15:layout>
                </c:ext>
                <c:ext xmlns:c16="http://schemas.microsoft.com/office/drawing/2014/chart" uri="{C3380CC4-5D6E-409C-BE32-E72D297353CC}">
                  <c16:uniqueId val="{00000009-D28A-48A7-8932-AFD134D5B7DB}"/>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1"/>
            <c:showSerName val="0"/>
            <c:showPercent val="1"/>
            <c:showBubbleSize val="0"/>
            <c:showLeaderLines val="0"/>
            <c:extLst>
              <c:ext xmlns:c15="http://schemas.microsoft.com/office/drawing/2012/chart" uri="{CE6537A1-D6FC-4f65-9D91-7224C49458BB}"/>
            </c:extLst>
          </c:dLbls>
          <c:val>
            <c:numRef>
              <c:f>'Pathway Comparison'!$C$117:$G$117</c:f>
              <c:numCache>
                <c:formatCode>0.0</c:formatCode>
                <c:ptCount val="5"/>
                <c:pt idx="0">
                  <c:v>4.7355896819257168</c:v>
                </c:pt>
                <c:pt idx="1">
                  <c:v>10.180327425224124</c:v>
                </c:pt>
                <c:pt idx="2">
                  <c:v>5.3438233219729261</c:v>
                </c:pt>
                <c:pt idx="3">
                  <c:v>9.6844626613432414</c:v>
                </c:pt>
                <c:pt idx="4">
                  <c:v>0.97562025185425838</c:v>
                </c:pt>
              </c:numCache>
            </c:numRef>
          </c:val>
          <c:extLst>
            <c:ext xmlns:c16="http://schemas.microsoft.com/office/drawing/2014/chart" uri="{C3380CC4-5D6E-409C-BE32-E72D297353CC}">
              <c16:uniqueId val="{0000000A-D28A-48A7-8932-AFD134D5B7DB}"/>
            </c:ext>
          </c:extLst>
        </c:ser>
        <c:ser>
          <c:idx val="1"/>
          <c:order val="1"/>
          <c:dPt>
            <c:idx val="0"/>
            <c:bubble3D val="0"/>
            <c:spPr>
              <a:solidFill>
                <a:schemeClr val="accent1"/>
              </a:solidFill>
              <a:ln w="19050">
                <a:solidFill>
                  <a:schemeClr val="lt1"/>
                </a:solidFill>
              </a:ln>
              <a:effectLst/>
            </c:spPr>
            <c:extLst>
              <c:ext xmlns:c16="http://schemas.microsoft.com/office/drawing/2014/chart" uri="{C3380CC4-5D6E-409C-BE32-E72D297353CC}">
                <c16:uniqueId val="{0000000B-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0D-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0F-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1-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3-50C6-4C41-AFB5-FF41F2578BBA}"/>
              </c:ext>
            </c:extLst>
          </c:dPt>
          <c:val>
            <c:numRef>
              <c:f>'Pathway Comparison'!$C$118:$G$118</c:f>
              <c:numCache>
                <c:formatCode>0.0</c:formatCode>
                <c:ptCount val="5"/>
                <c:pt idx="0">
                  <c:v>4.7321168257041366</c:v>
                </c:pt>
                <c:pt idx="1">
                  <c:v>10.024916528270257</c:v>
                </c:pt>
                <c:pt idx="2">
                  <c:v>5.3175536969801298</c:v>
                </c:pt>
                <c:pt idx="3">
                  <c:v>9.347483281379299</c:v>
                </c:pt>
                <c:pt idx="4">
                  <c:v>0.96873097548195086</c:v>
                </c:pt>
              </c:numCache>
            </c:numRef>
          </c:val>
          <c:extLst>
            <c:ext xmlns:c16="http://schemas.microsoft.com/office/drawing/2014/chart" uri="{C3380CC4-5D6E-409C-BE32-E72D297353CC}">
              <c16:uniqueId val="{0000000A-2409-48EC-AF0C-6039E87A139D}"/>
            </c:ext>
          </c:extLst>
        </c:ser>
        <c:ser>
          <c:idx val="2"/>
          <c:order val="2"/>
          <c:dPt>
            <c:idx val="0"/>
            <c:bubble3D val="0"/>
            <c:spPr>
              <a:solidFill>
                <a:schemeClr val="accent1"/>
              </a:solidFill>
              <a:ln w="19050">
                <a:solidFill>
                  <a:schemeClr val="lt1"/>
                </a:solidFill>
              </a:ln>
              <a:effectLst/>
            </c:spPr>
            <c:extLst>
              <c:ext xmlns:c16="http://schemas.microsoft.com/office/drawing/2014/chart" uri="{C3380CC4-5D6E-409C-BE32-E72D297353CC}">
                <c16:uniqueId val="{00000015-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17-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19-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1B-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1D-50C6-4C41-AFB5-FF41F2578BBA}"/>
              </c:ext>
            </c:extLst>
          </c:dPt>
          <c:val>
            <c:numRef>
              <c:f>'Pathway Comparison'!$C$119:$G$119</c:f>
              <c:numCache>
                <c:formatCode>0.0</c:formatCode>
                <c:ptCount val="5"/>
                <c:pt idx="0">
                  <c:v>4.7543177633827653</c:v>
                </c:pt>
                <c:pt idx="1">
                  <c:v>9.8730514243401899</c:v>
                </c:pt>
                <c:pt idx="2">
                  <c:v>5.2926436934639174</c:v>
                </c:pt>
                <c:pt idx="3">
                  <c:v>9.3578202736881373</c:v>
                </c:pt>
                <c:pt idx="4">
                  <c:v>0.96184035054063721</c:v>
                </c:pt>
              </c:numCache>
            </c:numRef>
          </c:val>
          <c:extLst>
            <c:ext xmlns:c16="http://schemas.microsoft.com/office/drawing/2014/chart" uri="{C3380CC4-5D6E-409C-BE32-E72D297353CC}">
              <c16:uniqueId val="{0000000B-2409-48EC-AF0C-6039E87A139D}"/>
            </c:ext>
          </c:extLst>
        </c:ser>
        <c:ser>
          <c:idx val="3"/>
          <c:order val="3"/>
          <c:dPt>
            <c:idx val="0"/>
            <c:bubble3D val="0"/>
            <c:spPr>
              <a:solidFill>
                <a:schemeClr val="accent1"/>
              </a:solidFill>
              <a:ln w="19050">
                <a:solidFill>
                  <a:schemeClr val="lt1"/>
                </a:solidFill>
              </a:ln>
              <a:effectLst/>
            </c:spPr>
            <c:extLst>
              <c:ext xmlns:c16="http://schemas.microsoft.com/office/drawing/2014/chart" uri="{C3380CC4-5D6E-409C-BE32-E72D297353CC}">
                <c16:uniqueId val="{0000001F-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1-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3-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5-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27-50C6-4C41-AFB5-FF41F2578BBA}"/>
              </c:ext>
            </c:extLst>
          </c:dPt>
          <c:val>
            <c:numRef>
              <c:f>'Pathway Comparison'!$C$120:$G$120</c:f>
              <c:numCache>
                <c:formatCode>0.0</c:formatCode>
                <c:ptCount val="5"/>
                <c:pt idx="0">
                  <c:v>4.7554433108845853</c:v>
                </c:pt>
                <c:pt idx="1">
                  <c:v>9.7245282484374069</c:v>
                </c:pt>
                <c:pt idx="2">
                  <c:v>5.2691001693181763</c:v>
                </c:pt>
                <c:pt idx="3">
                  <c:v>9.3688529972698724</c:v>
                </c:pt>
                <c:pt idx="4">
                  <c:v>0.95494836355836432</c:v>
                </c:pt>
              </c:numCache>
            </c:numRef>
          </c:val>
          <c:extLst>
            <c:ext xmlns:c16="http://schemas.microsoft.com/office/drawing/2014/chart" uri="{C3380CC4-5D6E-409C-BE32-E72D297353CC}">
              <c16:uniqueId val="{00000013-2409-48EC-AF0C-6039E87A139D}"/>
            </c:ext>
          </c:extLst>
        </c:ser>
        <c:ser>
          <c:idx val="4"/>
          <c:order val="4"/>
          <c:dPt>
            <c:idx val="0"/>
            <c:bubble3D val="0"/>
            <c:spPr>
              <a:solidFill>
                <a:schemeClr val="accent1"/>
              </a:solidFill>
              <a:ln w="19050">
                <a:solidFill>
                  <a:schemeClr val="lt1"/>
                </a:solidFill>
              </a:ln>
              <a:effectLst/>
            </c:spPr>
            <c:extLst>
              <c:ext xmlns:c16="http://schemas.microsoft.com/office/drawing/2014/chart" uri="{C3380CC4-5D6E-409C-BE32-E72D297353CC}">
                <c16:uniqueId val="{00000029-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2B-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2D-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2F-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31-50C6-4C41-AFB5-FF41F2578BBA}"/>
              </c:ext>
            </c:extLst>
          </c:dPt>
          <c:val>
            <c:numRef>
              <c:f>'Pathway Comparison'!$C$121:$G$121</c:f>
              <c:numCache>
                <c:formatCode>0.0</c:formatCode>
                <c:ptCount val="5"/>
                <c:pt idx="0">
                  <c:v>4.7412116874785575</c:v>
                </c:pt>
                <c:pt idx="1">
                  <c:v>9.5793112561452691</c:v>
                </c:pt>
                <c:pt idx="2">
                  <c:v>5.2469304332957316</c:v>
                </c:pt>
                <c:pt idx="3">
                  <c:v>9.3829933018857972</c:v>
                </c:pt>
                <c:pt idx="4">
                  <c:v>0.94805500085004601</c:v>
                </c:pt>
              </c:numCache>
            </c:numRef>
          </c:val>
          <c:extLst>
            <c:ext xmlns:c16="http://schemas.microsoft.com/office/drawing/2014/chart" uri="{C3380CC4-5D6E-409C-BE32-E72D297353CC}">
              <c16:uniqueId val="{00000014-2409-48EC-AF0C-6039E87A139D}"/>
            </c:ext>
          </c:extLst>
        </c:ser>
        <c:ser>
          <c:idx val="5"/>
          <c:order val="5"/>
          <c:dPt>
            <c:idx val="0"/>
            <c:bubble3D val="0"/>
            <c:spPr>
              <a:solidFill>
                <a:schemeClr val="accent1"/>
              </a:solidFill>
              <a:ln w="19050">
                <a:solidFill>
                  <a:schemeClr val="lt1"/>
                </a:solidFill>
              </a:ln>
              <a:effectLst/>
            </c:spPr>
            <c:extLst>
              <c:ext xmlns:c16="http://schemas.microsoft.com/office/drawing/2014/chart" uri="{C3380CC4-5D6E-409C-BE32-E72D297353CC}">
                <c16:uniqueId val="{00000033-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35-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37-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39-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3B-50C6-4C41-AFB5-FF41F2578BBA}"/>
              </c:ext>
            </c:extLst>
          </c:dPt>
          <c:val>
            <c:numRef>
              <c:f>'Pathway Comparison'!$C$122:$G$122</c:f>
              <c:numCache>
                <c:formatCode>0.0</c:formatCode>
                <c:ptCount val="5"/>
                <c:pt idx="0">
                  <c:v>4.7269026389430362</c:v>
                </c:pt>
                <c:pt idx="1">
                  <c:v>9.4373658067058894</c:v>
                </c:pt>
                <c:pt idx="2">
                  <c:v>5.2261422473359715</c:v>
                </c:pt>
                <c:pt idx="3">
                  <c:v>9.4438844433469828</c:v>
                </c:pt>
                <c:pt idx="4">
                  <c:v>0.94796024851467919</c:v>
                </c:pt>
              </c:numCache>
            </c:numRef>
          </c:val>
          <c:extLst>
            <c:ext xmlns:c16="http://schemas.microsoft.com/office/drawing/2014/chart" uri="{C3380CC4-5D6E-409C-BE32-E72D297353CC}">
              <c16:uniqueId val="{00000015-2409-48EC-AF0C-6039E87A139D}"/>
            </c:ext>
          </c:extLst>
        </c:ser>
        <c:ser>
          <c:idx val="6"/>
          <c:order val="6"/>
          <c:dPt>
            <c:idx val="0"/>
            <c:bubble3D val="0"/>
            <c:spPr>
              <a:solidFill>
                <a:schemeClr val="accent1"/>
              </a:solidFill>
              <a:ln w="19050">
                <a:solidFill>
                  <a:schemeClr val="lt1"/>
                </a:solidFill>
              </a:ln>
              <a:effectLst/>
            </c:spPr>
            <c:extLst>
              <c:ext xmlns:c16="http://schemas.microsoft.com/office/drawing/2014/chart" uri="{C3380CC4-5D6E-409C-BE32-E72D297353CC}">
                <c16:uniqueId val="{0000003D-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3F-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41-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43-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45-50C6-4C41-AFB5-FF41F2578BBA}"/>
              </c:ext>
            </c:extLst>
          </c:dPt>
          <c:val>
            <c:numRef>
              <c:f>'Pathway Comparison'!$C$123:$G$123</c:f>
              <c:numCache>
                <c:formatCode>0.0</c:formatCode>
                <c:ptCount val="5"/>
                <c:pt idx="0">
                  <c:v>4.7125222904912043</c:v>
                </c:pt>
                <c:pt idx="1">
                  <c:v>9.298658346533637</c:v>
                </c:pt>
                <c:pt idx="2">
                  <c:v>5.206743829068861</c:v>
                </c:pt>
                <c:pt idx="3">
                  <c:v>9.505833797962536</c:v>
                </c:pt>
                <c:pt idx="4">
                  <c:v>0.94786409243265179</c:v>
                </c:pt>
              </c:numCache>
            </c:numRef>
          </c:val>
          <c:extLst>
            <c:ext xmlns:c16="http://schemas.microsoft.com/office/drawing/2014/chart" uri="{C3380CC4-5D6E-409C-BE32-E72D297353CC}">
              <c16:uniqueId val="{00000016-2409-48EC-AF0C-6039E87A139D}"/>
            </c:ext>
          </c:extLst>
        </c:ser>
        <c:ser>
          <c:idx val="7"/>
          <c:order val="7"/>
          <c:dPt>
            <c:idx val="0"/>
            <c:bubble3D val="0"/>
            <c:spPr>
              <a:solidFill>
                <a:schemeClr val="accent1"/>
              </a:solidFill>
              <a:ln w="19050">
                <a:solidFill>
                  <a:schemeClr val="lt1"/>
                </a:solidFill>
              </a:ln>
              <a:effectLst/>
            </c:spPr>
            <c:extLst>
              <c:ext xmlns:c16="http://schemas.microsoft.com/office/drawing/2014/chart" uri="{C3380CC4-5D6E-409C-BE32-E72D297353CC}">
                <c16:uniqueId val="{00000047-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49-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4B-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4D-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4F-50C6-4C41-AFB5-FF41F2578BBA}"/>
              </c:ext>
            </c:extLst>
          </c:dPt>
          <c:val>
            <c:numRef>
              <c:f>'Pathway Comparison'!$C$124:$G$124</c:f>
              <c:numCache>
                <c:formatCode>0.0</c:formatCode>
                <c:ptCount val="5"/>
                <c:pt idx="0">
                  <c:v>4.6980731462110317</c:v>
                </c:pt>
                <c:pt idx="1">
                  <c:v>9.1631563931556261</c:v>
                </c:pt>
                <c:pt idx="2">
                  <c:v>5.1887438544961588</c:v>
                </c:pt>
                <c:pt idx="3">
                  <c:v>9.5688519122272115</c:v>
                </c:pt>
                <c:pt idx="4">
                  <c:v>0.94776651826313396</c:v>
                </c:pt>
              </c:numCache>
            </c:numRef>
          </c:val>
          <c:extLst>
            <c:ext xmlns:c16="http://schemas.microsoft.com/office/drawing/2014/chart" uri="{C3380CC4-5D6E-409C-BE32-E72D297353CC}">
              <c16:uniqueId val="{00000017-2409-48EC-AF0C-6039E87A139D}"/>
            </c:ext>
          </c:extLst>
        </c:ser>
        <c:ser>
          <c:idx val="8"/>
          <c:order val="8"/>
          <c:dPt>
            <c:idx val="0"/>
            <c:bubble3D val="0"/>
            <c:spPr>
              <a:solidFill>
                <a:schemeClr val="accent1"/>
              </a:solidFill>
              <a:ln w="19050">
                <a:solidFill>
                  <a:schemeClr val="lt1"/>
                </a:solidFill>
              </a:ln>
              <a:effectLst/>
            </c:spPr>
            <c:extLst>
              <c:ext xmlns:c16="http://schemas.microsoft.com/office/drawing/2014/chart" uri="{C3380CC4-5D6E-409C-BE32-E72D297353CC}">
                <c16:uniqueId val="{00000051-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53-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55-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57-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59-50C6-4C41-AFB5-FF41F2578BBA}"/>
              </c:ext>
            </c:extLst>
          </c:dPt>
          <c:val>
            <c:numRef>
              <c:f>'Pathway Comparison'!$C$125:$G$125</c:f>
              <c:numCache>
                <c:formatCode>0.0</c:formatCode>
                <c:ptCount val="5"/>
                <c:pt idx="0">
                  <c:v>4.6835579763318247</c:v>
                </c:pt>
                <c:pt idx="1">
                  <c:v>9.0308285195717151</c:v>
                </c:pt>
                <c:pt idx="2">
                  <c:v>5.1721514608507633</c:v>
                </c:pt>
                <c:pt idx="3">
                  <c:v>9.632949438083541</c:v>
                </c:pt>
                <c:pt idx="4">
                  <c:v>0.94766751144153982</c:v>
                </c:pt>
              </c:numCache>
            </c:numRef>
          </c:val>
          <c:extLst>
            <c:ext xmlns:c16="http://schemas.microsoft.com/office/drawing/2014/chart" uri="{C3380CC4-5D6E-409C-BE32-E72D297353CC}">
              <c16:uniqueId val="{00000018-2409-48EC-AF0C-6039E87A139D}"/>
            </c:ext>
          </c:extLst>
        </c:ser>
        <c:ser>
          <c:idx val="9"/>
          <c:order val="9"/>
          <c:dPt>
            <c:idx val="0"/>
            <c:bubble3D val="0"/>
            <c:spPr>
              <a:solidFill>
                <a:schemeClr val="accent1"/>
              </a:solidFill>
              <a:ln w="19050">
                <a:solidFill>
                  <a:schemeClr val="lt1"/>
                </a:solidFill>
              </a:ln>
              <a:effectLst/>
            </c:spPr>
            <c:extLst>
              <c:ext xmlns:c16="http://schemas.microsoft.com/office/drawing/2014/chart" uri="{C3380CC4-5D6E-409C-BE32-E72D297353CC}">
                <c16:uniqueId val="{0000005B-50C6-4C41-AFB5-FF41F2578BBA}"/>
              </c:ext>
            </c:extLst>
          </c:dPt>
          <c:dPt>
            <c:idx val="1"/>
            <c:bubble3D val="0"/>
            <c:spPr>
              <a:solidFill>
                <a:schemeClr val="accent2"/>
              </a:solidFill>
              <a:ln w="19050">
                <a:solidFill>
                  <a:schemeClr val="lt1"/>
                </a:solidFill>
              </a:ln>
              <a:effectLst/>
            </c:spPr>
            <c:extLst>
              <c:ext xmlns:c16="http://schemas.microsoft.com/office/drawing/2014/chart" uri="{C3380CC4-5D6E-409C-BE32-E72D297353CC}">
                <c16:uniqueId val="{0000005D-50C6-4C41-AFB5-FF41F2578BBA}"/>
              </c:ext>
            </c:extLst>
          </c:dPt>
          <c:dPt>
            <c:idx val="2"/>
            <c:bubble3D val="0"/>
            <c:spPr>
              <a:solidFill>
                <a:schemeClr val="accent3"/>
              </a:solidFill>
              <a:ln w="19050">
                <a:solidFill>
                  <a:schemeClr val="lt1"/>
                </a:solidFill>
              </a:ln>
              <a:effectLst/>
            </c:spPr>
            <c:extLst>
              <c:ext xmlns:c16="http://schemas.microsoft.com/office/drawing/2014/chart" uri="{C3380CC4-5D6E-409C-BE32-E72D297353CC}">
                <c16:uniqueId val="{0000005F-50C6-4C41-AFB5-FF41F2578BBA}"/>
              </c:ext>
            </c:extLst>
          </c:dPt>
          <c:dPt>
            <c:idx val="3"/>
            <c:bubble3D val="0"/>
            <c:spPr>
              <a:solidFill>
                <a:schemeClr val="accent4"/>
              </a:solidFill>
              <a:ln w="19050">
                <a:solidFill>
                  <a:schemeClr val="lt1"/>
                </a:solidFill>
              </a:ln>
              <a:effectLst/>
            </c:spPr>
            <c:extLst>
              <c:ext xmlns:c16="http://schemas.microsoft.com/office/drawing/2014/chart" uri="{C3380CC4-5D6E-409C-BE32-E72D297353CC}">
                <c16:uniqueId val="{00000061-50C6-4C41-AFB5-FF41F2578BBA}"/>
              </c:ext>
            </c:extLst>
          </c:dPt>
          <c:dPt>
            <c:idx val="4"/>
            <c:bubble3D val="0"/>
            <c:spPr>
              <a:solidFill>
                <a:schemeClr val="accent5"/>
              </a:solidFill>
              <a:ln w="19050">
                <a:solidFill>
                  <a:schemeClr val="lt1"/>
                </a:solidFill>
              </a:ln>
              <a:effectLst/>
            </c:spPr>
            <c:extLst>
              <c:ext xmlns:c16="http://schemas.microsoft.com/office/drawing/2014/chart" uri="{C3380CC4-5D6E-409C-BE32-E72D297353CC}">
                <c16:uniqueId val="{00000063-50C6-4C41-AFB5-FF41F2578BBA}"/>
              </c:ext>
            </c:extLst>
          </c:dPt>
          <c:val>
            <c:numRef>
              <c:f>'Pathway Comparison'!$C$126:$G$126</c:f>
              <c:numCache>
                <c:formatCode>0.0</c:formatCode>
                <c:ptCount val="5"/>
                <c:pt idx="0">
                  <c:v>4.668964621285931</c:v>
                </c:pt>
                <c:pt idx="1">
                  <c:v>8.9021570012751852</c:v>
                </c:pt>
                <c:pt idx="2">
                  <c:v>5.1566218591695661</c:v>
                </c:pt>
                <c:pt idx="3">
                  <c:v>9.698137133988368</c:v>
                </c:pt>
                <c:pt idx="4">
                  <c:v>0.94756705717704737</c:v>
                </c:pt>
              </c:numCache>
            </c:numRef>
          </c:val>
          <c:extLst>
            <c:ext xmlns:c16="http://schemas.microsoft.com/office/drawing/2014/chart" uri="{C3380CC4-5D6E-409C-BE32-E72D297353CC}">
              <c16:uniqueId val="{00000019-2409-48EC-AF0C-6039E87A139D}"/>
            </c:ext>
          </c:extLst>
        </c:ser>
        <c:dLbls>
          <c:showLegendKey val="0"/>
          <c:showVal val="0"/>
          <c:showCatName val="0"/>
          <c:showSerName val="0"/>
          <c:showPercent val="0"/>
          <c:showBubbleSize val="0"/>
          <c:showLeaderLines val="0"/>
        </c:dLbls>
        <c:firstSliceAng val="0"/>
      </c:pieChart>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0"/>
          <c:order val="0"/>
          <c:tx>
            <c:strRef>
              <c:f>'Pathway Comparison'!$H$183</c:f>
              <c:strCache>
                <c:ptCount val="1"/>
                <c:pt idx="0">
                  <c:v>Residential</c:v>
                </c:pt>
              </c:strCache>
            </c:strRef>
          </c:tx>
          <c:spPr>
            <a:solidFill>
              <a:schemeClr val="accent1"/>
            </a:solidFill>
            <a:ln>
              <a:noFill/>
            </a:ln>
            <a:effectLst/>
          </c:spPr>
          <c:cat>
            <c:numRef>
              <c:f>'Pathway Comparison'!$I$182:$W$182</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Comparison'!$I$183:$W$183</c:f>
              <c:numCache>
                <c:formatCode>_(* #\ ##0_);_(* \(#\ ##0\);_(* "-"??_);_(@_)</c:formatCode>
                <c:ptCount val="15"/>
                <c:pt idx="0">
                  <c:v>410085.33501896332</c:v>
                </c:pt>
                <c:pt idx="1">
                  <c:v>827910.60011411551</c:v>
                </c:pt>
                <c:pt idx="2">
                  <c:v>1253873.8909258074</c:v>
                </c:pt>
                <c:pt idx="3">
                  <c:v>1629474.444325384</c:v>
                </c:pt>
                <c:pt idx="4">
                  <c:v>4462094.95756632</c:v>
                </c:pt>
                <c:pt idx="5">
                  <c:v>7269820.5206134692</c:v>
                </c:pt>
                <c:pt idx="6">
                  <c:v>9884615.0046669841</c:v>
                </c:pt>
                <c:pt idx="7">
                  <c:v>12473429.055771725</c:v>
                </c:pt>
                <c:pt idx="8">
                  <c:v>15036861.682458386</c:v>
                </c:pt>
                <c:pt idx="9">
                  <c:v>17575501.468803119</c:v>
                </c:pt>
                <c:pt idx="10">
                  <c:v>20089926.797594454</c:v>
                </c:pt>
                <c:pt idx="11">
                  <c:v>22580706.069394004</c:v>
                </c:pt>
                <c:pt idx="12">
                  <c:v>25048397.917575352</c:v>
                </c:pt>
                <c:pt idx="13">
                  <c:v>27493551.41942386</c:v>
                </c:pt>
                <c:pt idx="14">
                  <c:v>29910876.060366731</c:v>
                </c:pt>
              </c:numCache>
            </c:numRef>
          </c:val>
          <c:extLst>
            <c:ext xmlns:c16="http://schemas.microsoft.com/office/drawing/2014/chart" uri="{C3380CC4-5D6E-409C-BE32-E72D297353CC}">
              <c16:uniqueId val="{00000000-ED96-4B60-9634-E50A651DFB38}"/>
            </c:ext>
          </c:extLst>
        </c:ser>
        <c:ser>
          <c:idx val="1"/>
          <c:order val="1"/>
          <c:tx>
            <c:strRef>
              <c:f>'Pathway Comparison'!$H$184</c:f>
              <c:strCache>
                <c:ptCount val="1"/>
                <c:pt idx="0">
                  <c:v>Commercial</c:v>
                </c:pt>
              </c:strCache>
            </c:strRef>
          </c:tx>
          <c:spPr>
            <a:solidFill>
              <a:schemeClr val="accent5"/>
            </a:solidFill>
            <a:ln>
              <a:noFill/>
            </a:ln>
            <a:effectLst/>
          </c:spPr>
          <c:cat>
            <c:numRef>
              <c:f>'Pathway Comparison'!$I$182:$W$182</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Comparison'!$I$184:$W$184</c:f>
              <c:numCache>
                <c:formatCode>_(* #\ ##0_);_(* \(#\ ##0\);_(* "-"??_);_(@_)</c:formatCode>
                <c:ptCount val="15"/>
                <c:pt idx="0">
                  <c:v>127514.15590821297</c:v>
                </c:pt>
                <c:pt idx="1">
                  <c:v>258035.47989287903</c:v>
                </c:pt>
                <c:pt idx="2">
                  <c:v>380174.94475342287</c:v>
                </c:pt>
                <c:pt idx="3">
                  <c:v>500865.96190534328</c:v>
                </c:pt>
                <c:pt idx="4">
                  <c:v>1309940.5428838774</c:v>
                </c:pt>
                <c:pt idx="5">
                  <c:v>2115017.7478648461</c:v>
                </c:pt>
                <c:pt idx="6">
                  <c:v>2913184.5987375472</c:v>
                </c:pt>
                <c:pt idx="7">
                  <c:v>3707608.8725372963</c:v>
                </c:pt>
                <c:pt idx="8">
                  <c:v>4498432.7760496791</c:v>
                </c:pt>
                <c:pt idx="9">
                  <c:v>5285797.0977096958</c:v>
                </c:pt>
                <c:pt idx="10">
                  <c:v>6069841.2617006171</c:v>
                </c:pt>
                <c:pt idx="11">
                  <c:v>6850703.381514864</c:v>
                </c:pt>
                <c:pt idx="12">
                  <c:v>7628520.3129978124</c:v>
                </c:pt>
                <c:pt idx="13">
                  <c:v>8403427.7068952657</c:v>
                </c:pt>
                <c:pt idx="14">
                  <c:v>9180268.165634403</c:v>
                </c:pt>
              </c:numCache>
            </c:numRef>
          </c:val>
          <c:extLst>
            <c:ext xmlns:c16="http://schemas.microsoft.com/office/drawing/2014/chart" uri="{C3380CC4-5D6E-409C-BE32-E72D297353CC}">
              <c16:uniqueId val="{00000001-ED96-4B60-9634-E50A651DFB38}"/>
            </c:ext>
          </c:extLst>
        </c:ser>
        <c:ser>
          <c:idx val="2"/>
          <c:order val="2"/>
          <c:tx>
            <c:strRef>
              <c:f>'Pathway Comparison'!$H$185</c:f>
              <c:strCache>
                <c:ptCount val="1"/>
                <c:pt idx="0">
                  <c:v>Municipalities</c:v>
                </c:pt>
              </c:strCache>
            </c:strRef>
          </c:tx>
          <c:spPr>
            <a:solidFill>
              <a:schemeClr val="accent3"/>
            </a:solidFill>
            <a:ln>
              <a:noFill/>
            </a:ln>
            <a:effectLst/>
          </c:spPr>
          <c:cat>
            <c:numRef>
              <c:f>'Pathway Comparison'!$I$182:$W$182</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Comparison'!$I$185:$W$185</c:f>
              <c:numCache>
                <c:formatCode>_(* #\ ##0_);_(* \(#\ ##0\);_(* "-"??_);_(@_)</c:formatCode>
                <c:ptCount val="15"/>
                <c:pt idx="0">
                  <c:v>51272.325563402934</c:v>
                </c:pt>
                <c:pt idx="1">
                  <c:v>107449.27820049031</c:v>
                </c:pt>
                <c:pt idx="2">
                  <c:v>158496.9158454313</c:v>
                </c:pt>
                <c:pt idx="3">
                  <c:v>205150.83085108135</c:v>
                </c:pt>
                <c:pt idx="4">
                  <c:v>550777.29107973631</c:v>
                </c:pt>
                <c:pt idx="5">
                  <c:v>895212.01401816215</c:v>
                </c:pt>
                <c:pt idx="6">
                  <c:v>1229892.0291380933</c:v>
                </c:pt>
                <c:pt idx="7">
                  <c:v>1563370.1917367997</c:v>
                </c:pt>
                <c:pt idx="8">
                  <c:v>1895688.655907426</c:v>
                </c:pt>
                <c:pt idx="9">
                  <c:v>2226889.0942824455</c:v>
                </c:pt>
                <c:pt idx="10">
                  <c:v>2557012.7134945886</c:v>
                </c:pt>
                <c:pt idx="11">
                  <c:v>2886100.2694452112</c:v>
                </c:pt>
                <c:pt idx="12">
                  <c:v>3214192.0823859032</c:v>
                </c:pt>
                <c:pt idx="13">
                  <c:v>3541328.0518190665</c:v>
                </c:pt>
                <c:pt idx="14">
                  <c:v>3868993.6825003806</c:v>
                </c:pt>
              </c:numCache>
            </c:numRef>
          </c:val>
          <c:extLst>
            <c:ext xmlns:c16="http://schemas.microsoft.com/office/drawing/2014/chart" uri="{C3380CC4-5D6E-409C-BE32-E72D297353CC}">
              <c16:uniqueId val="{00000002-ED96-4B60-9634-E50A651DFB38}"/>
            </c:ext>
          </c:extLst>
        </c:ser>
        <c:ser>
          <c:idx val="3"/>
          <c:order val="3"/>
          <c:tx>
            <c:strRef>
              <c:f>'Pathway Comparison'!$H$186</c:f>
              <c:strCache>
                <c:ptCount val="1"/>
                <c:pt idx="0">
                  <c:v>Central gov.</c:v>
                </c:pt>
              </c:strCache>
            </c:strRef>
          </c:tx>
          <c:spPr>
            <a:solidFill>
              <a:schemeClr val="accent4"/>
            </a:solidFill>
            <a:ln>
              <a:noFill/>
            </a:ln>
            <a:effectLst/>
          </c:spPr>
          <c:cat>
            <c:numRef>
              <c:f>'Pathway Comparison'!$I$182:$W$182</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Comparison'!$I$186:$W$186</c:f>
              <c:numCache>
                <c:formatCode>_(* #\ ##0_);_(* \(#\ ##0\);_(* "-"??_);_(@_)</c:formatCode>
                <c:ptCount val="15"/>
                <c:pt idx="0">
                  <c:v>11921.188528384109</c:v>
                </c:pt>
                <c:pt idx="1">
                  <c:v>24525.081906630687</c:v>
                </c:pt>
                <c:pt idx="2">
                  <c:v>36726.232997502208</c:v>
                </c:pt>
                <c:pt idx="3">
                  <c:v>48386.576395058502</c:v>
                </c:pt>
                <c:pt idx="4">
                  <c:v>139830.237806994</c:v>
                </c:pt>
                <c:pt idx="5">
                  <c:v>230934.18422403769</c:v>
                </c:pt>
                <c:pt idx="6">
                  <c:v>320429.79964374547</c:v>
                </c:pt>
                <c:pt idx="7">
                  <c:v>409596.28014336922</c:v>
                </c:pt>
                <c:pt idx="8">
                  <c:v>498445.85696971533</c:v>
                </c:pt>
                <c:pt idx="9">
                  <c:v>586990.63498247345</c:v>
                </c:pt>
                <c:pt idx="10">
                  <c:v>675242.59726814949</c:v>
                </c:pt>
                <c:pt idx="11">
                  <c:v>763213.60970546422</c:v>
                </c:pt>
                <c:pt idx="12">
                  <c:v>850915.42548399419</c:v>
                </c:pt>
                <c:pt idx="13">
                  <c:v>938359.68957781198</c:v>
                </c:pt>
                <c:pt idx="14">
                  <c:v>1025966.6135883168</c:v>
                </c:pt>
              </c:numCache>
            </c:numRef>
          </c:val>
          <c:extLst>
            <c:ext xmlns:c16="http://schemas.microsoft.com/office/drawing/2014/chart" uri="{C3380CC4-5D6E-409C-BE32-E72D297353CC}">
              <c16:uniqueId val="{00000003-ED96-4B60-9634-E50A651DFB38}"/>
            </c:ext>
          </c:extLst>
        </c:ser>
        <c:dLbls>
          <c:showLegendKey val="0"/>
          <c:showVal val="0"/>
          <c:showCatName val="0"/>
          <c:showSerName val="0"/>
          <c:showPercent val="0"/>
          <c:showBubbleSize val="0"/>
        </c:dLbls>
        <c:axId val="117422464"/>
        <c:axId val="117416224"/>
      </c:areaChart>
      <c:catAx>
        <c:axId val="117422464"/>
        <c:scaling>
          <c:orientation val="minMax"/>
        </c:scaling>
        <c:delete val="0"/>
        <c:axPos val="b"/>
        <c:numFmt formatCode="General"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t-EE"/>
          </a:p>
        </c:txPr>
        <c:crossAx val="117416224"/>
        <c:crosses val="autoZero"/>
        <c:auto val="1"/>
        <c:lblAlgn val="ctr"/>
        <c:lblOffset val="100"/>
        <c:noMultiLvlLbl val="0"/>
      </c:catAx>
      <c:valAx>
        <c:axId val="117416224"/>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r>
                  <a:rPr lang="en-GB"/>
                  <a:t>Building stock renovated (m2)</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solidFill>
                  <a:latin typeface="+mn-lt"/>
                  <a:ea typeface="+mn-ea"/>
                  <a:cs typeface="+mn-cs"/>
                </a:defRPr>
              </a:pPr>
              <a:endParaRPr lang="et-EE"/>
            </a:p>
          </c:txPr>
        </c:title>
        <c:numFmt formatCode="_(* #\ ##0_);_(* \(#\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t-EE"/>
          </a:p>
        </c:txPr>
        <c:crossAx val="117422464"/>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n-lt"/>
              <a:ea typeface="+mn-ea"/>
              <a:cs typeface="+mn-cs"/>
            </a:defRPr>
          </a:pPr>
          <a:endParaRPr lang="et-EE"/>
        </a:p>
      </c:txPr>
    </c:legend>
    <c:plotVisOnly val="1"/>
    <c:dispBlanksAs val="zero"/>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chemeClr val="tx1"/>
          </a:solidFill>
        </a:defRPr>
      </a:pPr>
      <a:endParaRPr lang="et-EE"/>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'Pathway Comparison'!$H$189</c:f>
              <c:strCache>
                <c:ptCount val="1"/>
                <c:pt idx="0">
                  <c:v>Baseline</c:v>
                </c:pt>
              </c:strCache>
            </c:strRef>
          </c:tx>
          <c:spPr>
            <a:solidFill>
              <a:schemeClr val="accent4"/>
            </a:solidFill>
            <a:ln>
              <a:noFill/>
            </a:ln>
            <a:effectLst/>
          </c:spPr>
          <c:invertIfNegative val="0"/>
          <c:cat>
            <c:numRef>
              <c:f>'Pathway Comparison'!$I$188:$W$188</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Comparison'!$I$189:$W$189</c:f>
              <c:numCache>
                <c:formatCode>_(* #\ ##0_);_(* \(#\ ##0\);_(* "-"??_);_(@_)</c:formatCode>
                <c:ptCount val="15"/>
                <c:pt idx="0">
                  <c:v>600793.00501896336</c:v>
                </c:pt>
                <c:pt idx="1">
                  <c:v>1217920.4401141158</c:v>
                </c:pt>
                <c:pt idx="2">
                  <c:v>1829271.9845221643</c:v>
                </c:pt>
                <c:pt idx="3">
                  <c:v>2383877.8134768675</c:v>
                </c:pt>
                <c:pt idx="4">
                  <c:v>2943068.9552628538</c:v>
                </c:pt>
                <c:pt idx="5">
                  <c:v>3509381.7070981478</c:v>
                </c:pt>
                <c:pt idx="6">
                  <c:v>3901299.19145275</c:v>
                </c:pt>
                <c:pt idx="7">
                  <c:v>4298050.1336747482</c:v>
                </c:pt>
                <c:pt idx="8">
                  <c:v>4699722.5372570325</c:v>
                </c:pt>
                <c:pt idx="9">
                  <c:v>5106405.8294937573</c:v>
                </c:pt>
                <c:pt idx="10">
                  <c:v>5518190.8867728636</c:v>
                </c:pt>
                <c:pt idx="11">
                  <c:v>5935170.0603175862</c:v>
                </c:pt>
                <c:pt idx="12">
                  <c:v>6357437.2023852225</c:v>
                </c:pt>
                <c:pt idx="13">
                  <c:v>6785087.6929316306</c:v>
                </c:pt>
                <c:pt idx="14">
                  <c:v>7218218.4667500379</c:v>
                </c:pt>
              </c:numCache>
            </c:numRef>
          </c:val>
          <c:extLst>
            <c:ext xmlns:c16="http://schemas.microsoft.com/office/drawing/2014/chart" uri="{C3380CC4-5D6E-409C-BE32-E72D297353CC}">
              <c16:uniqueId val="{00000000-F99C-4975-9FB5-CD3796114908}"/>
            </c:ext>
          </c:extLst>
        </c:ser>
        <c:ser>
          <c:idx val="1"/>
          <c:order val="1"/>
          <c:tx>
            <c:strRef>
              <c:f>'Pathway Comparison'!$H$190</c:f>
              <c:strCache>
                <c:ptCount val="1"/>
                <c:pt idx="0">
                  <c:v>CEER1</c:v>
                </c:pt>
              </c:strCache>
            </c:strRef>
          </c:tx>
          <c:spPr>
            <a:solidFill>
              <a:schemeClr val="accent2"/>
            </a:solidFill>
            <a:ln>
              <a:noFill/>
            </a:ln>
            <a:effectLst/>
          </c:spPr>
          <c:invertIfNegative val="0"/>
          <c:cat>
            <c:numRef>
              <c:f>'Pathway Comparison'!$I$188:$W$188</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Comparison'!$I$190:$W$190</c:f>
              <c:numCache>
                <c:formatCode>_(* #\ ##0_);_(* \(#\ ##0\);_(* "-"??_);_(@_)</c:formatCode>
                <c:ptCount val="15"/>
                <c:pt idx="0">
                  <c:v>600793.00501896336</c:v>
                </c:pt>
                <c:pt idx="1">
                  <c:v>1217920.4401141158</c:v>
                </c:pt>
                <c:pt idx="2">
                  <c:v>1829271.9845221643</c:v>
                </c:pt>
                <c:pt idx="3">
                  <c:v>2383877.8134768675</c:v>
                </c:pt>
                <c:pt idx="4">
                  <c:v>6462643.0293369275</c:v>
                </c:pt>
                <c:pt idx="5">
                  <c:v>10510984.466720516</c:v>
                </c:pt>
                <c:pt idx="6">
                  <c:v>14348121.432186371</c:v>
                </c:pt>
                <c:pt idx="7">
                  <c:v>18154004.400189191</c:v>
                </c:pt>
                <c:pt idx="8">
                  <c:v>21929428.971385207</c:v>
                </c:pt>
                <c:pt idx="9">
                  <c:v>25675178.295777734</c:v>
                </c:pt>
                <c:pt idx="10">
                  <c:v>29392023.37005781</c:v>
                </c:pt>
                <c:pt idx="11">
                  <c:v>33080723.330059543</c:v>
                </c:pt>
                <c:pt idx="12">
                  <c:v>36742025.738443062</c:v>
                </c:pt>
                <c:pt idx="13">
                  <c:v>40376666.867716007</c:v>
                </c:pt>
                <c:pt idx="14">
                  <c:v>43986104.522089839</c:v>
                </c:pt>
              </c:numCache>
            </c:numRef>
          </c:val>
          <c:extLst>
            <c:ext xmlns:c16="http://schemas.microsoft.com/office/drawing/2014/chart" uri="{C3380CC4-5D6E-409C-BE32-E72D297353CC}">
              <c16:uniqueId val="{00000001-F99C-4975-9FB5-CD3796114908}"/>
            </c:ext>
          </c:extLst>
        </c:ser>
        <c:dLbls>
          <c:showLegendKey val="0"/>
          <c:showVal val="0"/>
          <c:showCatName val="0"/>
          <c:showSerName val="0"/>
          <c:showPercent val="0"/>
          <c:showBubbleSize val="0"/>
        </c:dLbls>
        <c:gapWidth val="99"/>
        <c:overlap val="-27"/>
        <c:axId val="597407472"/>
        <c:axId val="597415152"/>
      </c:barChart>
      <c:catAx>
        <c:axId val="5974074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597415152"/>
        <c:crosses val="autoZero"/>
        <c:auto val="1"/>
        <c:lblAlgn val="ctr"/>
        <c:lblOffset val="100"/>
        <c:noMultiLvlLbl val="0"/>
      </c:catAx>
      <c:valAx>
        <c:axId val="5974151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Building stock renovated (m2)</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_(* #\ ##0_);_(* \(#\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5974074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774522017315428E-2"/>
          <c:y val="3.8734299033993731E-2"/>
          <c:w val="0.79873031511477421"/>
          <c:h val="0.85266105948433102"/>
        </c:manualLayout>
      </c:layout>
      <c:barChart>
        <c:barDir val="col"/>
        <c:grouping val="stacked"/>
        <c:varyColors val="0"/>
        <c:ser>
          <c:idx val="0"/>
          <c:order val="0"/>
          <c:tx>
            <c:strRef>
              <c:f>'Pathway Comparison'!$B$338</c:f>
              <c:strCache>
                <c:ptCount val="1"/>
                <c:pt idx="0">
                  <c:v>Industry</c:v>
                </c:pt>
              </c:strCache>
            </c:strRef>
          </c:tx>
          <c:spPr>
            <a:solidFill>
              <a:schemeClr val="accent3"/>
            </a:solidFill>
            <a:ln>
              <a:noFill/>
            </a:ln>
            <a:effectLst/>
          </c:spPr>
          <c:invertIfNegative val="0"/>
          <c:dLbls>
            <c:spPr>
              <a:noFill/>
              <a:ln>
                <a:noFill/>
              </a:ln>
              <a:effectLst/>
            </c:spPr>
            <c:txPr>
              <a:bodyPr wrap="square" lIns="38100" tIns="19050" rIns="38100" bIns="19050" anchor="ctr">
                <a:spAutoFit/>
              </a:bodyPr>
              <a:lstStyle/>
              <a:p>
                <a:pPr>
                  <a:defRPr sz="700" i="1">
                    <a:solidFill>
                      <a:schemeClr val="bg1"/>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Comparison'!$C$337:$J$337</c:f>
              <c:strCache>
                <c:ptCount val="8"/>
                <c:pt idx="0">
                  <c:v>W/o EE measures</c:v>
                </c:pt>
                <c:pt idx="1">
                  <c:v>Baseline</c:v>
                </c:pt>
                <c:pt idx="2">
                  <c:v>EEO</c:v>
                </c:pt>
                <c:pt idx="3">
                  <c:v>VA</c:v>
                </c:pt>
                <c:pt idx="4">
                  <c:v>Renowave</c:v>
                </c:pt>
                <c:pt idx="5">
                  <c:v>EET</c:v>
                </c:pt>
                <c:pt idx="6">
                  <c:v>CEER1</c:v>
                </c:pt>
                <c:pt idx="7">
                  <c:v>CEER2</c:v>
                </c:pt>
              </c:strCache>
            </c:strRef>
          </c:cat>
          <c:val>
            <c:numRef>
              <c:f>'Pathway Comparison'!$C$338:$J$338</c:f>
              <c:numCache>
                <c:formatCode>0.0</c:formatCode>
                <c:ptCount val="8"/>
                <c:pt idx="0">
                  <c:v>10.731012170399106</c:v>
                </c:pt>
                <c:pt idx="1">
                  <c:v>10.106732910787454</c:v>
                </c:pt>
                <c:pt idx="2">
                  <c:v>9.6076247807477664</c:v>
                </c:pt>
                <c:pt idx="3">
                  <c:v>9.0079017586719576</c:v>
                </c:pt>
                <c:pt idx="4">
                  <c:v>9.8994180739492741</c:v>
                </c:pt>
                <c:pt idx="5">
                  <c:v>9.8994180739492741</c:v>
                </c:pt>
                <c:pt idx="6">
                  <c:v>9.4432837549898512</c:v>
                </c:pt>
                <c:pt idx="7">
                  <c:v>9.066671863564908</c:v>
                </c:pt>
              </c:numCache>
            </c:numRef>
          </c:val>
          <c:extLst>
            <c:ext xmlns:c16="http://schemas.microsoft.com/office/drawing/2014/chart" uri="{C3380CC4-5D6E-409C-BE32-E72D297353CC}">
              <c16:uniqueId val="{00000000-297C-4720-920B-F8101312E6E1}"/>
            </c:ext>
          </c:extLst>
        </c:ser>
        <c:ser>
          <c:idx val="1"/>
          <c:order val="1"/>
          <c:tx>
            <c:strRef>
              <c:f>'Pathway Comparison'!$B$339</c:f>
              <c:strCache>
                <c:ptCount val="1"/>
                <c:pt idx="0">
                  <c:v>Households</c:v>
                </c:pt>
              </c:strCache>
            </c:strRef>
          </c:tx>
          <c:spPr>
            <a:solidFill>
              <a:schemeClr val="accent2"/>
            </a:solidFill>
            <a:ln>
              <a:noFill/>
            </a:ln>
            <a:effectLst/>
          </c:spPr>
          <c:invertIfNegative val="0"/>
          <c:dLbls>
            <c:spPr>
              <a:noFill/>
              <a:ln>
                <a:noFill/>
              </a:ln>
              <a:effectLst/>
            </c:spPr>
            <c:txPr>
              <a:bodyPr wrap="square" lIns="38100" tIns="19050" rIns="38100" bIns="19050" anchor="ctr">
                <a:spAutoFit/>
              </a:bodyPr>
              <a:lstStyle/>
              <a:p>
                <a:pPr>
                  <a:defRPr sz="700" i="1">
                    <a:solidFill>
                      <a:schemeClr val="bg1"/>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Comparison'!$C$337:$J$337</c:f>
              <c:strCache>
                <c:ptCount val="8"/>
                <c:pt idx="0">
                  <c:v>W/o EE measures</c:v>
                </c:pt>
                <c:pt idx="1">
                  <c:v>Baseline</c:v>
                </c:pt>
                <c:pt idx="2">
                  <c:v>EEO</c:v>
                </c:pt>
                <c:pt idx="3">
                  <c:v>VA</c:v>
                </c:pt>
                <c:pt idx="4">
                  <c:v>Renowave</c:v>
                </c:pt>
                <c:pt idx="5">
                  <c:v>EET</c:v>
                </c:pt>
                <c:pt idx="6">
                  <c:v>CEER1</c:v>
                </c:pt>
                <c:pt idx="7">
                  <c:v>CEER2</c:v>
                </c:pt>
              </c:strCache>
            </c:strRef>
          </c:cat>
          <c:val>
            <c:numRef>
              <c:f>'Pathway Comparison'!$C$339:$J$339</c:f>
              <c:numCache>
                <c:formatCode>0.0</c:formatCode>
                <c:ptCount val="8"/>
                <c:pt idx="0">
                  <c:v>17.166957486029265</c:v>
                </c:pt>
                <c:pt idx="1">
                  <c:v>16.857829553480165</c:v>
                </c:pt>
                <c:pt idx="2">
                  <c:v>15.228342300515733</c:v>
                </c:pt>
                <c:pt idx="3">
                  <c:v>15.362512567700195</c:v>
                </c:pt>
                <c:pt idx="4">
                  <c:v>13.432693756201111</c:v>
                </c:pt>
                <c:pt idx="5">
                  <c:v>15.54301209828405</c:v>
                </c:pt>
                <c:pt idx="6">
                  <c:v>15.131473168552855</c:v>
                </c:pt>
                <c:pt idx="7">
                  <c:v>14.391425093159038</c:v>
                </c:pt>
              </c:numCache>
            </c:numRef>
          </c:val>
          <c:extLst>
            <c:ext xmlns:c16="http://schemas.microsoft.com/office/drawing/2014/chart" uri="{C3380CC4-5D6E-409C-BE32-E72D297353CC}">
              <c16:uniqueId val="{00000001-297C-4720-920B-F8101312E6E1}"/>
            </c:ext>
          </c:extLst>
        </c:ser>
        <c:ser>
          <c:idx val="2"/>
          <c:order val="2"/>
          <c:tx>
            <c:strRef>
              <c:f>'Pathway Comparison'!$B$340</c:f>
              <c:strCache>
                <c:ptCount val="1"/>
                <c:pt idx="0">
                  <c:v>Services</c:v>
                </c:pt>
              </c:strCache>
            </c:strRef>
          </c:tx>
          <c:spPr>
            <a:solidFill>
              <a:schemeClr val="accent4"/>
            </a:solidFill>
            <a:ln>
              <a:noFill/>
            </a:ln>
            <a:effectLst/>
          </c:spPr>
          <c:invertIfNegative val="0"/>
          <c:dLbls>
            <c:spPr>
              <a:noFill/>
              <a:ln>
                <a:noFill/>
              </a:ln>
              <a:effectLst/>
            </c:spPr>
            <c:txPr>
              <a:bodyPr wrap="square" lIns="38100" tIns="19050" rIns="38100" bIns="19050" anchor="ctr">
                <a:spAutoFit/>
              </a:bodyPr>
              <a:lstStyle/>
              <a:p>
                <a:pPr>
                  <a:defRPr sz="700" i="1">
                    <a:solidFill>
                      <a:schemeClr val="bg1"/>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Comparison'!$C$337:$J$337</c:f>
              <c:strCache>
                <c:ptCount val="8"/>
                <c:pt idx="0">
                  <c:v>W/o EE measures</c:v>
                </c:pt>
                <c:pt idx="1">
                  <c:v>Baseline</c:v>
                </c:pt>
                <c:pt idx="2">
                  <c:v>EEO</c:v>
                </c:pt>
                <c:pt idx="3">
                  <c:v>VA</c:v>
                </c:pt>
                <c:pt idx="4">
                  <c:v>Renowave</c:v>
                </c:pt>
                <c:pt idx="5">
                  <c:v>EET</c:v>
                </c:pt>
                <c:pt idx="6">
                  <c:v>CEER1</c:v>
                </c:pt>
                <c:pt idx="7">
                  <c:v>CEER2</c:v>
                </c:pt>
              </c:strCache>
            </c:strRef>
          </c:cat>
          <c:val>
            <c:numRef>
              <c:f>'Pathway Comparison'!$C$340:$J$340</c:f>
              <c:numCache>
                <c:formatCode>0.0</c:formatCode>
                <c:ptCount val="8"/>
                <c:pt idx="0">
                  <c:v>11.418350588080951</c:v>
                </c:pt>
                <c:pt idx="1">
                  <c:v>11.214906887331072</c:v>
                </c:pt>
                <c:pt idx="2">
                  <c:v>9.9019249114861019</c:v>
                </c:pt>
                <c:pt idx="3">
                  <c:v>10.584128770801527</c:v>
                </c:pt>
                <c:pt idx="4">
                  <c:v>10.223641612920622</c:v>
                </c:pt>
                <c:pt idx="5">
                  <c:v>10.584128770801527</c:v>
                </c:pt>
                <c:pt idx="6">
                  <c:v>10.489356971459756</c:v>
                </c:pt>
                <c:pt idx="7">
                  <c:v>10.015459001874675</c:v>
                </c:pt>
              </c:numCache>
            </c:numRef>
          </c:val>
          <c:extLst>
            <c:ext xmlns:c16="http://schemas.microsoft.com/office/drawing/2014/chart" uri="{C3380CC4-5D6E-409C-BE32-E72D297353CC}">
              <c16:uniqueId val="{00000002-297C-4720-920B-F8101312E6E1}"/>
            </c:ext>
          </c:extLst>
        </c:ser>
        <c:ser>
          <c:idx val="3"/>
          <c:order val="3"/>
          <c:tx>
            <c:strRef>
              <c:f>'Pathway Comparison'!$B$341</c:f>
              <c:strCache>
                <c:ptCount val="1"/>
                <c:pt idx="0">
                  <c:v>Transport</c:v>
                </c:pt>
              </c:strCache>
            </c:strRef>
          </c:tx>
          <c:spPr>
            <a:solidFill>
              <a:schemeClr val="accent5"/>
            </a:solidFill>
            <a:effectLst/>
          </c:spPr>
          <c:invertIfNegative val="0"/>
          <c:dLbls>
            <c:spPr>
              <a:noFill/>
              <a:ln>
                <a:noFill/>
              </a:ln>
              <a:effectLst/>
            </c:spPr>
            <c:txPr>
              <a:bodyPr wrap="square" lIns="38100" tIns="19050" rIns="38100" bIns="19050" anchor="ctr">
                <a:spAutoFit/>
              </a:bodyPr>
              <a:lstStyle/>
              <a:p>
                <a:pPr>
                  <a:defRPr sz="700" i="1"/>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Comparison'!$C$337:$J$337</c:f>
              <c:strCache>
                <c:ptCount val="8"/>
                <c:pt idx="0">
                  <c:v>W/o EE measures</c:v>
                </c:pt>
                <c:pt idx="1">
                  <c:v>Baseline</c:v>
                </c:pt>
                <c:pt idx="2">
                  <c:v>EEO</c:v>
                </c:pt>
                <c:pt idx="3">
                  <c:v>VA</c:v>
                </c:pt>
                <c:pt idx="4">
                  <c:v>Renowave</c:v>
                </c:pt>
                <c:pt idx="5">
                  <c:v>EET</c:v>
                </c:pt>
                <c:pt idx="6">
                  <c:v>CEER1</c:v>
                </c:pt>
                <c:pt idx="7">
                  <c:v>CEER2</c:v>
                </c:pt>
              </c:strCache>
            </c:strRef>
          </c:cat>
          <c:val>
            <c:numRef>
              <c:f>'Pathway Comparison'!$C$341:$J$341</c:f>
              <c:numCache>
                <c:formatCode>0.0</c:formatCode>
                <c:ptCount val="8"/>
                <c:pt idx="0">
                  <c:v>12.159012867281358</c:v>
                </c:pt>
                <c:pt idx="1">
                  <c:v>11.973117131547703</c:v>
                </c:pt>
                <c:pt idx="2">
                  <c:v>11.453506722182748</c:v>
                </c:pt>
                <c:pt idx="3">
                  <c:v>11.453506722182748</c:v>
                </c:pt>
                <c:pt idx="4">
                  <c:v>11.453506722182748</c:v>
                </c:pt>
                <c:pt idx="5">
                  <c:v>9.9465936654378719</c:v>
                </c:pt>
                <c:pt idx="6">
                  <c:v>10.731090642067445</c:v>
                </c:pt>
                <c:pt idx="7">
                  <c:v>10.334807637683534</c:v>
                </c:pt>
              </c:numCache>
            </c:numRef>
          </c:val>
          <c:extLst>
            <c:ext xmlns:c16="http://schemas.microsoft.com/office/drawing/2014/chart" uri="{C3380CC4-5D6E-409C-BE32-E72D297353CC}">
              <c16:uniqueId val="{00000003-297C-4720-920B-F8101312E6E1}"/>
            </c:ext>
          </c:extLst>
        </c:ser>
        <c:ser>
          <c:idx val="4"/>
          <c:order val="4"/>
          <c:tx>
            <c:strRef>
              <c:f>'Pathway Comparison'!$B$342</c:f>
              <c:strCache>
                <c:ptCount val="1"/>
                <c:pt idx="0">
                  <c:v>Agriculture, fishing and forestry</c:v>
                </c:pt>
              </c:strCache>
            </c:strRef>
          </c:tx>
          <c:spPr>
            <a:solidFill>
              <a:srgbClr val="993366"/>
            </a:solidFill>
            <a:effectLst/>
          </c:spPr>
          <c:invertIfNegative val="0"/>
          <c:dLbls>
            <c:dLbl>
              <c:idx val="0"/>
              <c:tx>
                <c:rich>
                  <a:bodyPr/>
                  <a:lstStyle/>
                  <a:p>
                    <a:fld id="{264C0918-A220-46EB-835F-FF24AE45C335}"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97C-4720-920B-F8101312E6E1}"/>
                </c:ext>
              </c:extLst>
            </c:dLbl>
            <c:dLbl>
              <c:idx val="1"/>
              <c:tx>
                <c:rich>
                  <a:bodyPr/>
                  <a:lstStyle/>
                  <a:p>
                    <a:fld id="{5014C964-C0DF-4864-8E87-82343DEA920C}"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97C-4720-920B-F8101312E6E1}"/>
                </c:ext>
              </c:extLst>
            </c:dLbl>
            <c:dLbl>
              <c:idx val="2"/>
              <c:tx>
                <c:rich>
                  <a:bodyPr/>
                  <a:lstStyle/>
                  <a:p>
                    <a:fld id="{48ABD6AD-2BB7-4587-AA62-85906D81CFAD}"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97C-4720-920B-F8101312E6E1}"/>
                </c:ext>
              </c:extLst>
            </c:dLbl>
            <c:dLbl>
              <c:idx val="3"/>
              <c:tx>
                <c:rich>
                  <a:bodyPr/>
                  <a:lstStyle/>
                  <a:p>
                    <a:fld id="{897969F1-79AA-499E-AFB7-59CA6EF97D95}"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97C-4720-920B-F8101312E6E1}"/>
                </c:ext>
              </c:extLst>
            </c:dLbl>
            <c:dLbl>
              <c:idx val="4"/>
              <c:layout>
                <c:manualLayout>
                  <c:x val="-6.4199018241059748E-17"/>
                  <c:y val="-6.9948144766405082E-2"/>
                </c:manualLayout>
              </c:layout>
              <c:tx>
                <c:rich>
                  <a:bodyPr wrap="square" lIns="38100" tIns="19050" rIns="38100" bIns="19050" anchor="ctr">
                    <a:spAutoFit/>
                  </a:bodyPr>
                  <a:lstStyle/>
                  <a:p>
                    <a:pPr>
                      <a:defRPr sz="900" b="1">
                        <a:solidFill>
                          <a:srgbClr val="008000"/>
                        </a:solidFill>
                      </a:defRPr>
                    </a:pPr>
                    <a:fld id="{BB8597E0-6838-4965-A425-4A4C4EB5A0D3}" type="CELLRANGE">
                      <a:rPr lang="en-US"/>
                      <a:pPr>
                        <a:defRPr sz="900" b="1">
                          <a:solidFill>
                            <a:srgbClr val="008000"/>
                          </a:solidFill>
                        </a:defRPr>
                      </a:pPr>
                      <a:t>[CELLRANGE]</a:t>
                    </a:fld>
                    <a:endParaRPr lang="et-E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97C-4720-920B-F8101312E6E1}"/>
                </c:ext>
              </c:extLst>
            </c:dLbl>
            <c:dLbl>
              <c:idx val="5"/>
              <c:tx>
                <c:rich>
                  <a:bodyPr/>
                  <a:lstStyle/>
                  <a:p>
                    <a:fld id="{B5F0F563-6384-4A5B-B87E-F77F117CD6FC}"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97C-4720-920B-F8101312E6E1}"/>
                </c:ext>
              </c:extLst>
            </c:dLbl>
            <c:dLbl>
              <c:idx val="6"/>
              <c:layout>
                <c:manualLayout>
                  <c:x val="0"/>
                  <c:y val="-6.2222630464622772E-2"/>
                </c:manualLayout>
              </c:layout>
              <c:tx>
                <c:rich>
                  <a:bodyPr wrap="square" lIns="38100" tIns="19050" rIns="38100" bIns="19050" anchor="ctr">
                    <a:spAutoFit/>
                  </a:bodyPr>
                  <a:lstStyle/>
                  <a:p>
                    <a:pPr>
                      <a:defRPr sz="900" b="1">
                        <a:solidFill>
                          <a:schemeClr val="tx1"/>
                        </a:solidFill>
                      </a:defRPr>
                    </a:pPr>
                    <a:fld id="{E1C62881-7E6B-4C4A-A412-591A2F90A520}" type="CELLRANGE">
                      <a:rPr lang="en-US">
                        <a:solidFill>
                          <a:schemeClr val="tx1"/>
                        </a:solidFill>
                      </a:rPr>
                      <a:pPr>
                        <a:defRPr sz="900" b="1">
                          <a:solidFill>
                            <a:schemeClr val="tx1"/>
                          </a:solidFill>
                        </a:defRPr>
                      </a:pPr>
                      <a:t>[CELLRANGE]</a:t>
                    </a:fld>
                    <a:endParaRPr lang="et-E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97C-4720-920B-F8101312E6E1}"/>
                </c:ext>
              </c:extLst>
            </c:dLbl>
            <c:dLbl>
              <c:idx val="7"/>
              <c:layout>
                <c:manualLayout>
                  <c:x val="0"/>
                  <c:y val="-7.3810901917296279E-2"/>
                </c:manualLayout>
              </c:layout>
              <c:tx>
                <c:rich>
                  <a:bodyPr wrap="square" lIns="38100" tIns="19050" rIns="38100" bIns="19050" anchor="ctr">
                    <a:spAutoFit/>
                  </a:bodyPr>
                  <a:lstStyle/>
                  <a:p>
                    <a:pPr>
                      <a:defRPr sz="900" b="1">
                        <a:solidFill>
                          <a:srgbClr val="008000"/>
                        </a:solidFill>
                      </a:defRPr>
                    </a:pPr>
                    <a:fld id="{0E02FE50-32F1-430F-9B7E-288B4B5C1A6D}" type="CELLRANGE">
                      <a:rPr lang="en-US"/>
                      <a:pPr>
                        <a:defRPr sz="900" b="1">
                          <a:solidFill>
                            <a:srgbClr val="008000"/>
                          </a:solidFill>
                        </a:defRPr>
                      </a:pPr>
                      <a:t>[CELLRANGE]</a:t>
                    </a:fld>
                    <a:endParaRPr lang="et-E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97C-4720-920B-F8101312E6E1}"/>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t-EE"/>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'Pathway Comparison'!$C$337:$J$337</c:f>
              <c:strCache>
                <c:ptCount val="8"/>
                <c:pt idx="0">
                  <c:v>W/o EE measures</c:v>
                </c:pt>
                <c:pt idx="1">
                  <c:v>Baseline</c:v>
                </c:pt>
                <c:pt idx="2">
                  <c:v>EEO</c:v>
                </c:pt>
                <c:pt idx="3">
                  <c:v>VA</c:v>
                </c:pt>
                <c:pt idx="4">
                  <c:v>Renowave</c:v>
                </c:pt>
                <c:pt idx="5">
                  <c:v>EET</c:v>
                </c:pt>
                <c:pt idx="6">
                  <c:v>CEER1</c:v>
                </c:pt>
                <c:pt idx="7">
                  <c:v>CEER2</c:v>
                </c:pt>
              </c:strCache>
            </c:strRef>
          </c:cat>
          <c:val>
            <c:numRef>
              <c:f>'Pathway Comparison'!$C$342:$J$342</c:f>
              <c:numCache>
                <c:formatCode>0.0</c:formatCode>
                <c:ptCount val="8"/>
                <c:pt idx="0">
                  <c:v>1.3557253086419756</c:v>
                </c:pt>
                <c:pt idx="1">
                  <c:v>1.3344099785016572</c:v>
                </c:pt>
                <c:pt idx="2">
                  <c:v>1.2971930953443198</c:v>
                </c:pt>
                <c:pt idx="3">
                  <c:v>1.2971930953443198</c:v>
                </c:pt>
                <c:pt idx="4">
                  <c:v>1.2971930953443198</c:v>
                </c:pt>
                <c:pt idx="5">
                  <c:v>1.2971930953443198</c:v>
                </c:pt>
                <c:pt idx="6">
                  <c:v>1.2971930953443198</c:v>
                </c:pt>
                <c:pt idx="7">
                  <c:v>1.2971930953443198</c:v>
                </c:pt>
              </c:numCache>
            </c:numRef>
          </c:val>
          <c:extLst>
            <c:ext xmlns:c15="http://schemas.microsoft.com/office/drawing/2012/chart" uri="{02D57815-91ED-43cb-92C2-25804820EDAC}">
              <c15:datalabelsRange>
                <c15:f>'Pathway Comparison'!$C$344:$J$344</c15:f>
                <c15:dlblRangeCache>
                  <c:ptCount val="8"/>
                  <c:pt idx="0">
                    <c:v>52,8</c:v>
                  </c:pt>
                  <c:pt idx="1">
                    <c:v>51,5</c:v>
                  </c:pt>
                  <c:pt idx="2">
                    <c:v>47,5</c:v>
                  </c:pt>
                  <c:pt idx="3">
                    <c:v>47,7</c:v>
                  </c:pt>
                  <c:pt idx="4">
                    <c:v>46,3</c:v>
                  </c:pt>
                  <c:pt idx="5">
                    <c:v>47,3</c:v>
                  </c:pt>
                  <c:pt idx="6">
                    <c:v>47,1</c:v>
                  </c:pt>
                  <c:pt idx="7">
                    <c:v>45,1</c:v>
                  </c:pt>
                </c15:dlblRangeCache>
              </c15:datalabelsRange>
            </c:ext>
            <c:ext xmlns:c16="http://schemas.microsoft.com/office/drawing/2014/chart" uri="{C3380CC4-5D6E-409C-BE32-E72D297353CC}">
              <c16:uniqueId val="{0000000C-297C-4720-920B-F8101312E6E1}"/>
            </c:ext>
          </c:extLst>
        </c:ser>
        <c:dLbls>
          <c:showLegendKey val="0"/>
          <c:showVal val="0"/>
          <c:showCatName val="0"/>
          <c:showSerName val="0"/>
          <c:showPercent val="0"/>
          <c:showBubbleSize val="0"/>
        </c:dLbls>
        <c:gapWidth val="150"/>
        <c:overlap val="100"/>
        <c:axId val="1233160943"/>
        <c:axId val="1550616095"/>
      </c:barChart>
      <c:lineChart>
        <c:grouping val="standard"/>
        <c:varyColors val="0"/>
        <c:ser>
          <c:idx val="5"/>
          <c:order val="5"/>
          <c:tx>
            <c:strRef>
              <c:f>'Pathway Comparison'!$B$343</c:f>
              <c:strCache>
                <c:ptCount val="1"/>
                <c:pt idx="0">
                  <c:v>EED target</c:v>
                </c:pt>
              </c:strCache>
            </c:strRef>
          </c:tx>
          <c:spPr>
            <a:ln>
              <a:solidFill>
                <a:schemeClr val="accent3"/>
              </a:solidFill>
              <a:prstDash val="sysDot"/>
            </a:ln>
          </c:spPr>
          <c:marker>
            <c:symbol val="none"/>
          </c:marker>
          <c:cat>
            <c:strRef>
              <c:f>'Pathway Comparison'!$C$337:$J$337</c:f>
              <c:strCache>
                <c:ptCount val="8"/>
                <c:pt idx="0">
                  <c:v>W/o EE measures</c:v>
                </c:pt>
                <c:pt idx="1">
                  <c:v>Baseline</c:v>
                </c:pt>
                <c:pt idx="2">
                  <c:v>EEO</c:v>
                </c:pt>
                <c:pt idx="3">
                  <c:v>VA</c:v>
                </c:pt>
                <c:pt idx="4">
                  <c:v>Renowave</c:v>
                </c:pt>
                <c:pt idx="5">
                  <c:v>EET</c:v>
                </c:pt>
                <c:pt idx="6">
                  <c:v>CEER1</c:v>
                </c:pt>
                <c:pt idx="7">
                  <c:v>CEER2</c:v>
                </c:pt>
              </c:strCache>
            </c:strRef>
          </c:cat>
          <c:val>
            <c:numRef>
              <c:f>'Pathway Comparison'!$C$343:$J$343</c:f>
              <c:numCache>
                <c:formatCode>0.0</c:formatCode>
                <c:ptCount val="8"/>
                <c:pt idx="0">
                  <c:v>45.7</c:v>
                </c:pt>
                <c:pt idx="1">
                  <c:v>45.7</c:v>
                </c:pt>
                <c:pt idx="2">
                  <c:v>45.7</c:v>
                </c:pt>
                <c:pt idx="3">
                  <c:v>45.7</c:v>
                </c:pt>
                <c:pt idx="4">
                  <c:v>45.7</c:v>
                </c:pt>
                <c:pt idx="5">
                  <c:v>45.7</c:v>
                </c:pt>
                <c:pt idx="6">
                  <c:v>45.7</c:v>
                </c:pt>
                <c:pt idx="7">
                  <c:v>45.7</c:v>
                </c:pt>
              </c:numCache>
            </c:numRef>
          </c:val>
          <c:smooth val="0"/>
          <c:extLst>
            <c:ext xmlns:c16="http://schemas.microsoft.com/office/drawing/2014/chart" uri="{C3380CC4-5D6E-409C-BE32-E72D297353CC}">
              <c16:uniqueId val="{0000000D-297C-4720-920B-F8101312E6E1}"/>
            </c:ext>
          </c:extLst>
        </c:ser>
        <c:dLbls>
          <c:showLegendKey val="0"/>
          <c:showVal val="0"/>
          <c:showCatName val="0"/>
          <c:showSerName val="0"/>
          <c:showPercent val="0"/>
          <c:showBubbleSize val="0"/>
        </c:dLbls>
        <c:marker val="1"/>
        <c:smooth val="0"/>
        <c:axId val="1233160943"/>
        <c:axId val="1550616095"/>
      </c:lineChart>
      <c:catAx>
        <c:axId val="123316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crossAx val="1550616095"/>
        <c:crosses val="autoZero"/>
        <c:auto val="1"/>
        <c:lblAlgn val="ctr"/>
        <c:lblOffset val="100"/>
        <c:noMultiLvlLbl val="0"/>
      </c:catAx>
      <c:valAx>
        <c:axId val="155061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sz="800"/>
                  <a:t>Final energy consumption, 2030 (TWh)</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crossAx val="1233160943"/>
        <c:crosses val="autoZero"/>
        <c:crossBetween val="between"/>
      </c:valAx>
    </c:plotArea>
    <c:legend>
      <c:legendPos val="r"/>
      <c:layout>
        <c:manualLayout>
          <c:xMode val="edge"/>
          <c:yMode val="edge"/>
          <c:x val="0.84788383479574414"/>
          <c:y val="0.10543471681884004"/>
          <c:w val="0.15211616520425583"/>
          <c:h val="0.79737232572301131"/>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'Pathway Comparison'!$B$55</c:f>
              <c:strCache>
                <c:ptCount val="1"/>
                <c:pt idx="0">
                  <c:v>Industry</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Comparison'!$C$54:$I$54</c:f>
              <c:strCache>
                <c:ptCount val="7"/>
                <c:pt idx="0">
                  <c:v>Baseline</c:v>
                </c:pt>
                <c:pt idx="1">
                  <c:v>EEO</c:v>
                </c:pt>
                <c:pt idx="2">
                  <c:v>VA</c:v>
                </c:pt>
                <c:pt idx="3">
                  <c:v>Renowave</c:v>
                </c:pt>
                <c:pt idx="4">
                  <c:v>EET</c:v>
                </c:pt>
                <c:pt idx="5">
                  <c:v>CEER1</c:v>
                </c:pt>
                <c:pt idx="6">
                  <c:v>CEER2</c:v>
                </c:pt>
              </c:strCache>
            </c:strRef>
          </c:cat>
          <c:val>
            <c:numRef>
              <c:f>'Pathway Comparison'!$C$55:$I$55</c:f>
              <c:numCache>
                <c:formatCode>0.0</c:formatCode>
                <c:ptCount val="7"/>
                <c:pt idx="0">
                  <c:v>2.1865367716326678</c:v>
                </c:pt>
                <c:pt idx="1">
                  <c:v>3.3118980488134642</c:v>
                </c:pt>
                <c:pt idx="2">
                  <c:v>3.9300311087334685</c:v>
                </c:pt>
                <c:pt idx="3">
                  <c:v>2.6749923899522252</c:v>
                </c:pt>
                <c:pt idx="4">
                  <c:v>2.6749923899522252</c:v>
                </c:pt>
                <c:pt idx="5">
                  <c:v>3.1860477902600159</c:v>
                </c:pt>
                <c:pt idx="6">
                  <c:v>3.7665165557597846</c:v>
                </c:pt>
              </c:numCache>
            </c:numRef>
          </c:val>
          <c:extLst>
            <c:ext xmlns:c16="http://schemas.microsoft.com/office/drawing/2014/chart" uri="{C3380CC4-5D6E-409C-BE32-E72D297353CC}">
              <c16:uniqueId val="{00000000-4800-4A8E-B51D-168D21CE10AA}"/>
            </c:ext>
          </c:extLst>
        </c:ser>
        <c:ser>
          <c:idx val="1"/>
          <c:order val="1"/>
          <c:tx>
            <c:strRef>
              <c:f>'Pathway Comparison'!$B$56</c:f>
              <c:strCache>
                <c:ptCount val="1"/>
                <c:pt idx="0">
                  <c:v>Households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Comparison'!$C$54:$I$54</c:f>
              <c:strCache>
                <c:ptCount val="7"/>
                <c:pt idx="0">
                  <c:v>Baseline</c:v>
                </c:pt>
                <c:pt idx="1">
                  <c:v>EEO</c:v>
                </c:pt>
                <c:pt idx="2">
                  <c:v>VA</c:v>
                </c:pt>
                <c:pt idx="3">
                  <c:v>Renowave</c:v>
                </c:pt>
                <c:pt idx="4">
                  <c:v>EET</c:v>
                </c:pt>
                <c:pt idx="5">
                  <c:v>CEER1</c:v>
                </c:pt>
                <c:pt idx="6">
                  <c:v>CEER2</c:v>
                </c:pt>
              </c:strCache>
            </c:strRef>
          </c:cat>
          <c:val>
            <c:numRef>
              <c:f>'Pathway Comparison'!$C$56:$I$56</c:f>
              <c:numCache>
                <c:formatCode>0.0</c:formatCode>
                <c:ptCount val="7"/>
                <c:pt idx="0">
                  <c:v>1.2177262273464082</c:v>
                </c:pt>
                <c:pt idx="1">
                  <c:v>4.8309049239447255</c:v>
                </c:pt>
                <c:pt idx="2">
                  <c:v>4.5664765715937845</c:v>
                </c:pt>
                <c:pt idx="3">
                  <c:v>8.8692653420667131</c:v>
                </c:pt>
                <c:pt idx="4">
                  <c:v>4.1599360800979905</c:v>
                </c:pt>
                <c:pt idx="5">
                  <c:v>5.0868484007084023</c:v>
                </c:pt>
                <c:pt idx="6">
                  <c:v>6.7536644158411621</c:v>
                </c:pt>
              </c:numCache>
            </c:numRef>
          </c:val>
          <c:extLst>
            <c:ext xmlns:c16="http://schemas.microsoft.com/office/drawing/2014/chart" uri="{C3380CC4-5D6E-409C-BE32-E72D297353CC}">
              <c16:uniqueId val="{00000001-4800-4A8E-B51D-168D21CE10AA}"/>
            </c:ext>
          </c:extLst>
        </c:ser>
        <c:ser>
          <c:idx val="2"/>
          <c:order val="2"/>
          <c:tx>
            <c:strRef>
              <c:f>'Pathway Comparison'!$B$57</c:f>
              <c:strCache>
                <c:ptCount val="1"/>
                <c:pt idx="0">
                  <c:v>Services</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Comparison'!$C$54:$I$54</c:f>
              <c:strCache>
                <c:ptCount val="7"/>
                <c:pt idx="0">
                  <c:v>Baseline</c:v>
                </c:pt>
                <c:pt idx="1">
                  <c:v>EEO</c:v>
                </c:pt>
                <c:pt idx="2">
                  <c:v>VA</c:v>
                </c:pt>
                <c:pt idx="3">
                  <c:v>Renowave</c:v>
                </c:pt>
                <c:pt idx="4">
                  <c:v>EET</c:v>
                </c:pt>
                <c:pt idx="5">
                  <c:v>CEER1</c:v>
                </c:pt>
                <c:pt idx="6">
                  <c:v>CEER2</c:v>
                </c:pt>
              </c:strCache>
            </c:strRef>
          </c:cat>
          <c:val>
            <c:numRef>
              <c:f>'Pathway Comparison'!$C$57:$I$57</c:f>
              <c:numCache>
                <c:formatCode>0.0</c:formatCode>
                <c:ptCount val="7"/>
                <c:pt idx="0">
                  <c:v>0.80183992043336738</c:v>
                </c:pt>
                <c:pt idx="1">
                  <c:v>3.1090963974119177</c:v>
                </c:pt>
                <c:pt idx="2">
                  <c:v>1.9157959570342364</c:v>
                </c:pt>
                <c:pt idx="3">
                  <c:v>2.5515513820642841</c:v>
                </c:pt>
                <c:pt idx="4">
                  <c:v>1.9157959570342364</c:v>
                </c:pt>
                <c:pt idx="5">
                  <c:v>2.0792236512488258</c:v>
                </c:pt>
                <c:pt idx="6">
                  <c:v>2.9160273820642848</c:v>
                </c:pt>
              </c:numCache>
            </c:numRef>
          </c:val>
          <c:extLst>
            <c:ext xmlns:c16="http://schemas.microsoft.com/office/drawing/2014/chart" uri="{C3380CC4-5D6E-409C-BE32-E72D297353CC}">
              <c16:uniqueId val="{00000002-4800-4A8E-B51D-168D21CE10AA}"/>
            </c:ext>
          </c:extLst>
        </c:ser>
        <c:ser>
          <c:idx val="3"/>
          <c:order val="3"/>
          <c:tx>
            <c:strRef>
              <c:f>'Pathway Comparison'!$B$58</c:f>
              <c:strCache>
                <c:ptCount val="1"/>
                <c:pt idx="0">
                  <c:v>Transport</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Comparison'!$C$54:$I$54</c:f>
              <c:strCache>
                <c:ptCount val="7"/>
                <c:pt idx="0">
                  <c:v>Baseline</c:v>
                </c:pt>
                <c:pt idx="1">
                  <c:v>EEO</c:v>
                </c:pt>
                <c:pt idx="2">
                  <c:v>VA</c:v>
                </c:pt>
                <c:pt idx="3">
                  <c:v>Renowave</c:v>
                </c:pt>
                <c:pt idx="4">
                  <c:v>EET</c:v>
                </c:pt>
                <c:pt idx="5">
                  <c:v>CEER1</c:v>
                </c:pt>
                <c:pt idx="6">
                  <c:v>CEER2</c:v>
                </c:pt>
              </c:strCache>
            </c:strRef>
          </c:cat>
          <c:val>
            <c:numRef>
              <c:f>'Pathway Comparison'!$C$58:$I$58</c:f>
              <c:numCache>
                <c:formatCode>0.0</c:formatCode>
                <c:ptCount val="7"/>
                <c:pt idx="0">
                  <c:v>1.1451391013546304</c:v>
                </c:pt>
                <c:pt idx="1">
                  <c:v>3.0971042639358553</c:v>
                </c:pt>
                <c:pt idx="2">
                  <c:v>3.0971042639358553</c:v>
                </c:pt>
                <c:pt idx="3">
                  <c:v>3.0971042639358553</c:v>
                </c:pt>
                <c:pt idx="4">
                  <c:v>8.473634063255945</c:v>
                </c:pt>
                <c:pt idx="5">
                  <c:v>5.8506156974389256</c:v>
                </c:pt>
                <c:pt idx="6">
                  <c:v>7.1158562854781682</c:v>
                </c:pt>
              </c:numCache>
            </c:numRef>
          </c:val>
          <c:extLst>
            <c:ext xmlns:c16="http://schemas.microsoft.com/office/drawing/2014/chart" uri="{C3380CC4-5D6E-409C-BE32-E72D297353CC}">
              <c16:uniqueId val="{00000003-4800-4A8E-B51D-168D21CE10AA}"/>
            </c:ext>
          </c:extLst>
        </c:ser>
        <c:ser>
          <c:idx val="4"/>
          <c:order val="4"/>
          <c:tx>
            <c:strRef>
              <c:f>'Pathway Comparison'!$B$59</c:f>
              <c:strCache>
                <c:ptCount val="1"/>
                <c:pt idx="0">
                  <c:v>Agriculture, fishing and forestry</c:v>
                </c:pt>
              </c:strCache>
            </c:strRef>
          </c:tx>
          <c:spPr>
            <a:solidFill>
              <a:srgbClr val="993366"/>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Comparison'!$C$54:$I$54</c:f>
              <c:strCache>
                <c:ptCount val="7"/>
                <c:pt idx="0">
                  <c:v>Baseline</c:v>
                </c:pt>
                <c:pt idx="1">
                  <c:v>EEO</c:v>
                </c:pt>
                <c:pt idx="2">
                  <c:v>VA</c:v>
                </c:pt>
                <c:pt idx="3">
                  <c:v>Renowave</c:v>
                </c:pt>
                <c:pt idx="4">
                  <c:v>EET</c:v>
                </c:pt>
                <c:pt idx="5">
                  <c:v>CEER1</c:v>
                </c:pt>
                <c:pt idx="6">
                  <c:v>CEER2</c:v>
                </c:pt>
              </c:strCache>
            </c:strRef>
          </c:cat>
          <c:val>
            <c:numRef>
              <c:f>'Pathway Comparison'!$C$59:$I$59</c:f>
              <c:numCache>
                <c:formatCode>0.0</c:formatCode>
                <c:ptCount val="7"/>
                <c:pt idx="0">
                  <c:v>0.11037534036960216</c:v>
                </c:pt>
                <c:pt idx="1">
                  <c:v>0.17837534036960215</c:v>
                </c:pt>
                <c:pt idx="2">
                  <c:v>0.17837534036960215</c:v>
                </c:pt>
                <c:pt idx="3">
                  <c:v>0.17837534036960215</c:v>
                </c:pt>
                <c:pt idx="4">
                  <c:v>0.17837534036960215</c:v>
                </c:pt>
                <c:pt idx="5">
                  <c:v>0.17837534036960215</c:v>
                </c:pt>
                <c:pt idx="6">
                  <c:v>0.17837534036960215</c:v>
                </c:pt>
              </c:numCache>
            </c:numRef>
          </c:val>
          <c:extLst>
            <c:ext xmlns:c16="http://schemas.microsoft.com/office/drawing/2014/chart" uri="{C3380CC4-5D6E-409C-BE32-E72D297353CC}">
              <c16:uniqueId val="{00000004-4800-4A8E-B51D-168D21CE10AA}"/>
            </c:ext>
          </c:extLst>
        </c:ser>
        <c:dLbls>
          <c:showLegendKey val="0"/>
          <c:showVal val="0"/>
          <c:showCatName val="0"/>
          <c:showSerName val="0"/>
          <c:showPercent val="0"/>
          <c:showBubbleSize val="0"/>
        </c:dLbls>
        <c:gapWidth val="150"/>
        <c:overlap val="100"/>
        <c:axId val="1089024272"/>
        <c:axId val="1089024752"/>
      </c:barChart>
      <c:catAx>
        <c:axId val="108902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t-EE"/>
          </a:p>
        </c:txPr>
        <c:crossAx val="1089024752"/>
        <c:crosses val="autoZero"/>
        <c:auto val="1"/>
        <c:lblAlgn val="ctr"/>
        <c:lblOffset val="100"/>
        <c:noMultiLvlLbl val="0"/>
      </c:catAx>
      <c:valAx>
        <c:axId val="1089024752"/>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r>
                  <a:rPr lang="fr-BE" sz="800" b="0" i="0" u="none" strike="noStrike" kern="1200" spc="0" baseline="0">
                    <a:solidFill>
                      <a:srgbClr val="000000">
                        <a:lumMod val="65000"/>
                        <a:lumOff val="35000"/>
                      </a:srgbClr>
                    </a:solidFill>
                  </a:rPr>
                  <a:t>Cumulative energy savings 2021-2030 (TWh)</a:t>
                </a:r>
              </a:p>
            </c:rich>
          </c:tx>
          <c:overlay val="0"/>
          <c:spPr>
            <a:noFill/>
            <a:ln>
              <a:noFill/>
            </a:ln>
            <a:effectLst/>
          </c:spPr>
          <c:txPr>
            <a:bodyPr rot="-54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t-E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t-EE"/>
          </a:p>
        </c:txPr>
        <c:crossAx val="108902427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600"/>
      </a:pPr>
      <a:endParaRPr lang="et-EE"/>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774522017315428E-2"/>
          <c:y val="3.8734299033993731E-2"/>
          <c:w val="0.79873031511477421"/>
          <c:h val="0.85266105948433102"/>
        </c:manualLayout>
      </c:layout>
      <c:barChart>
        <c:barDir val="col"/>
        <c:grouping val="stacked"/>
        <c:varyColors val="0"/>
        <c:ser>
          <c:idx val="0"/>
          <c:order val="0"/>
          <c:tx>
            <c:strRef>
              <c:f>'Pathway Comparison'!$B$707</c:f>
              <c:strCache>
                <c:ptCount val="1"/>
                <c:pt idx="0">
                  <c:v>Industry</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9FEB-431C-892F-E5EB874C55AD}"/>
                </c:ext>
              </c:extLst>
            </c:dLbl>
            <c:spPr>
              <a:noFill/>
              <a:ln>
                <a:noFill/>
              </a:ln>
              <a:effectLst/>
            </c:spPr>
            <c:txPr>
              <a:bodyPr wrap="square" lIns="38100" tIns="19050" rIns="38100" bIns="19050" anchor="ctr">
                <a:spAutoFit/>
              </a:bodyPr>
              <a:lstStyle/>
              <a:p>
                <a:pPr>
                  <a:defRPr sz="700" i="1">
                    <a:solidFill>
                      <a:schemeClr val="bg1"/>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Comparison'!$C$706:$I$706</c:f>
              <c:strCache>
                <c:ptCount val="7"/>
                <c:pt idx="0">
                  <c:v>Baseline</c:v>
                </c:pt>
                <c:pt idx="1">
                  <c:v>EEO</c:v>
                </c:pt>
                <c:pt idx="2">
                  <c:v>VA</c:v>
                </c:pt>
                <c:pt idx="3">
                  <c:v>Renowave</c:v>
                </c:pt>
                <c:pt idx="4">
                  <c:v>EET</c:v>
                </c:pt>
                <c:pt idx="5">
                  <c:v>CEER1</c:v>
                </c:pt>
                <c:pt idx="6">
                  <c:v>CEER2</c:v>
                </c:pt>
              </c:strCache>
            </c:strRef>
          </c:cat>
          <c:val>
            <c:numRef>
              <c:f>'Pathway Comparison'!$C$707:$I$707</c:f>
              <c:numCache>
                <c:formatCode>0.00</c:formatCode>
                <c:ptCount val="7"/>
                <c:pt idx="0">
                  <c:v>0.56323398937814184</c:v>
                </c:pt>
                <c:pt idx="1">
                  <c:v>1.0441255892441093</c:v>
                </c:pt>
                <c:pt idx="2">
                  <c:v>1.2922789127425081</c:v>
                </c:pt>
                <c:pt idx="3">
                  <c:v>0.77260348316126082</c:v>
                </c:pt>
                <c:pt idx="4">
                  <c:v>0.76290020505392897</c:v>
                </c:pt>
                <c:pt idx="5">
                  <c:v>0.96409193761456036</c:v>
                </c:pt>
                <c:pt idx="6">
                  <c:v>1.2024839656207866</c:v>
                </c:pt>
              </c:numCache>
            </c:numRef>
          </c:val>
          <c:extLst>
            <c:ext xmlns:c16="http://schemas.microsoft.com/office/drawing/2014/chart" uri="{C3380CC4-5D6E-409C-BE32-E72D297353CC}">
              <c16:uniqueId val="{00000001-9FEB-431C-892F-E5EB874C55AD}"/>
            </c:ext>
          </c:extLst>
        </c:ser>
        <c:ser>
          <c:idx val="1"/>
          <c:order val="1"/>
          <c:tx>
            <c:strRef>
              <c:f>'Pathway Comparison'!$B$708</c:f>
              <c:strCache>
                <c:ptCount val="1"/>
                <c:pt idx="0">
                  <c:v>Households</c:v>
                </c:pt>
              </c:strCache>
            </c:strRef>
          </c:tx>
          <c:spPr>
            <a:solidFill>
              <a:schemeClr val="accent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9FEB-431C-892F-E5EB874C55AD}"/>
                </c:ext>
              </c:extLst>
            </c:dLbl>
            <c:spPr>
              <a:noFill/>
              <a:ln>
                <a:noFill/>
              </a:ln>
              <a:effectLst/>
            </c:spPr>
            <c:txPr>
              <a:bodyPr wrap="square" lIns="38100" tIns="19050" rIns="38100" bIns="19050" anchor="ctr">
                <a:spAutoFit/>
              </a:bodyPr>
              <a:lstStyle/>
              <a:p>
                <a:pPr>
                  <a:defRPr sz="700" i="1">
                    <a:solidFill>
                      <a:schemeClr val="bg1"/>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Comparison'!$C$706:$I$706</c:f>
              <c:strCache>
                <c:ptCount val="7"/>
                <c:pt idx="0">
                  <c:v>Baseline</c:v>
                </c:pt>
                <c:pt idx="1">
                  <c:v>EEO</c:v>
                </c:pt>
                <c:pt idx="2">
                  <c:v>VA</c:v>
                </c:pt>
                <c:pt idx="3">
                  <c:v>Renowave</c:v>
                </c:pt>
                <c:pt idx="4">
                  <c:v>EET</c:v>
                </c:pt>
                <c:pt idx="5">
                  <c:v>CEER1</c:v>
                </c:pt>
                <c:pt idx="6">
                  <c:v>CEER2</c:v>
                </c:pt>
              </c:strCache>
            </c:strRef>
          </c:cat>
          <c:val>
            <c:numRef>
              <c:f>'Pathway Comparison'!$C$708:$I$708</c:f>
              <c:numCache>
                <c:formatCode>0.00</c:formatCode>
                <c:ptCount val="7"/>
                <c:pt idx="0">
                  <c:v>0.37320263056070679</c:v>
                </c:pt>
                <c:pt idx="1">
                  <c:v>1.051738208493366</c:v>
                </c:pt>
                <c:pt idx="2">
                  <c:v>1.002521122345108</c:v>
                </c:pt>
                <c:pt idx="3">
                  <c:v>1.8108773665215192</c:v>
                </c:pt>
                <c:pt idx="4">
                  <c:v>0.92055429134478717</c:v>
                </c:pt>
                <c:pt idx="5">
                  <c:v>1.0763326408560197</c:v>
                </c:pt>
                <c:pt idx="6">
                  <c:v>1.39105206746083</c:v>
                </c:pt>
              </c:numCache>
            </c:numRef>
          </c:val>
          <c:extLst>
            <c:ext xmlns:c16="http://schemas.microsoft.com/office/drawing/2014/chart" uri="{C3380CC4-5D6E-409C-BE32-E72D297353CC}">
              <c16:uniqueId val="{00000003-9FEB-431C-892F-E5EB874C55AD}"/>
            </c:ext>
          </c:extLst>
        </c:ser>
        <c:ser>
          <c:idx val="2"/>
          <c:order val="2"/>
          <c:tx>
            <c:strRef>
              <c:f>'Pathway Comparison'!$B$709</c:f>
              <c:strCache>
                <c:ptCount val="1"/>
                <c:pt idx="0">
                  <c:v>Services</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9FEB-431C-892F-E5EB874C55AD}"/>
                </c:ext>
              </c:extLst>
            </c:dLbl>
            <c:spPr>
              <a:noFill/>
              <a:ln>
                <a:noFill/>
              </a:ln>
              <a:effectLst/>
            </c:spPr>
            <c:txPr>
              <a:bodyPr wrap="square" lIns="38100" tIns="19050" rIns="38100" bIns="19050" anchor="ctr">
                <a:spAutoFit/>
              </a:bodyPr>
              <a:lstStyle/>
              <a:p>
                <a:pPr>
                  <a:defRPr sz="700" i="1">
                    <a:solidFill>
                      <a:schemeClr val="bg1"/>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Comparison'!$C$706:$I$706</c:f>
              <c:strCache>
                <c:ptCount val="7"/>
                <c:pt idx="0">
                  <c:v>Baseline</c:v>
                </c:pt>
                <c:pt idx="1">
                  <c:v>EEO</c:v>
                </c:pt>
                <c:pt idx="2">
                  <c:v>VA</c:v>
                </c:pt>
                <c:pt idx="3">
                  <c:v>Renowave</c:v>
                </c:pt>
                <c:pt idx="4">
                  <c:v>EET</c:v>
                </c:pt>
                <c:pt idx="5">
                  <c:v>CEER1</c:v>
                </c:pt>
                <c:pt idx="6">
                  <c:v>CEER2</c:v>
                </c:pt>
              </c:strCache>
            </c:strRef>
          </c:cat>
          <c:val>
            <c:numRef>
              <c:f>'Pathway Comparison'!$C$709:$I$709</c:f>
              <c:numCache>
                <c:formatCode>0.00</c:formatCode>
                <c:ptCount val="7"/>
                <c:pt idx="0">
                  <c:v>0.12878676665079647</c:v>
                </c:pt>
                <c:pt idx="1">
                  <c:v>1.0529909967540054</c:v>
                </c:pt>
                <c:pt idx="2">
                  <c:v>0.57514214084471327</c:v>
                </c:pt>
                <c:pt idx="3">
                  <c:v>0.8298628608496047</c:v>
                </c:pt>
                <c:pt idx="4">
                  <c:v>0.57176724932086587</c:v>
                </c:pt>
                <c:pt idx="5">
                  <c:v>0.6253471895224999</c:v>
                </c:pt>
                <c:pt idx="6">
                  <c:v>0.96675096238807012</c:v>
                </c:pt>
              </c:numCache>
            </c:numRef>
          </c:val>
          <c:extLst>
            <c:ext xmlns:c16="http://schemas.microsoft.com/office/drawing/2014/chart" uri="{C3380CC4-5D6E-409C-BE32-E72D297353CC}">
              <c16:uniqueId val="{00000005-9FEB-431C-892F-E5EB874C55AD}"/>
            </c:ext>
          </c:extLst>
        </c:ser>
        <c:ser>
          <c:idx val="3"/>
          <c:order val="3"/>
          <c:tx>
            <c:strRef>
              <c:f>'Pathway Comparison'!$B$710</c:f>
              <c:strCache>
                <c:ptCount val="1"/>
                <c:pt idx="0">
                  <c:v>Transport</c:v>
                </c:pt>
              </c:strCache>
            </c:strRef>
          </c:tx>
          <c:spPr>
            <a:solidFill>
              <a:schemeClr val="accent5"/>
            </a:solidFill>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9FEB-431C-892F-E5EB874C55AD}"/>
                </c:ext>
              </c:extLst>
            </c:dLbl>
            <c:spPr>
              <a:noFill/>
              <a:ln>
                <a:noFill/>
              </a:ln>
              <a:effectLst/>
            </c:spPr>
            <c:txPr>
              <a:bodyPr wrap="square" lIns="38100" tIns="19050" rIns="38100" bIns="19050" anchor="ctr">
                <a:spAutoFit/>
              </a:bodyPr>
              <a:lstStyle/>
              <a:p>
                <a:pPr>
                  <a:defRPr sz="700" i="1"/>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Comparison'!$C$706:$I$706</c:f>
              <c:strCache>
                <c:ptCount val="7"/>
                <c:pt idx="0">
                  <c:v>Baseline</c:v>
                </c:pt>
                <c:pt idx="1">
                  <c:v>EEO</c:v>
                </c:pt>
                <c:pt idx="2">
                  <c:v>VA</c:v>
                </c:pt>
                <c:pt idx="3">
                  <c:v>Renowave</c:v>
                </c:pt>
                <c:pt idx="4">
                  <c:v>EET</c:v>
                </c:pt>
                <c:pt idx="5">
                  <c:v>CEER1</c:v>
                </c:pt>
                <c:pt idx="6">
                  <c:v>CEER2</c:v>
                </c:pt>
              </c:strCache>
            </c:strRef>
          </c:cat>
          <c:val>
            <c:numRef>
              <c:f>'Pathway Comparison'!$C$710:$I$710</c:f>
              <c:numCache>
                <c:formatCode>0.00</c:formatCode>
                <c:ptCount val="7"/>
                <c:pt idx="0">
                  <c:v>5.5501018356972111E-2</c:v>
                </c:pt>
                <c:pt idx="1">
                  <c:v>0.59743932994224247</c:v>
                </c:pt>
                <c:pt idx="2">
                  <c:v>0.59743932994224247</c:v>
                </c:pt>
                <c:pt idx="3">
                  <c:v>0.59743932994224247</c:v>
                </c:pt>
                <c:pt idx="4">
                  <c:v>2.085234294019517</c:v>
                </c:pt>
                <c:pt idx="5">
                  <c:v>1.3468003928971315</c:v>
                </c:pt>
                <c:pt idx="6">
                  <c:v>1.6982489954687685</c:v>
                </c:pt>
              </c:numCache>
            </c:numRef>
          </c:val>
          <c:extLst>
            <c:ext xmlns:c16="http://schemas.microsoft.com/office/drawing/2014/chart" uri="{C3380CC4-5D6E-409C-BE32-E72D297353CC}">
              <c16:uniqueId val="{00000007-9FEB-431C-892F-E5EB874C55AD}"/>
            </c:ext>
          </c:extLst>
        </c:ser>
        <c:ser>
          <c:idx val="4"/>
          <c:order val="4"/>
          <c:tx>
            <c:strRef>
              <c:f>'Pathway Comparison'!$B$711</c:f>
              <c:strCache>
                <c:ptCount val="1"/>
                <c:pt idx="0">
                  <c:v>Agriculture, fishing and forestry</c:v>
                </c:pt>
              </c:strCache>
            </c:strRef>
          </c:tx>
          <c:spPr>
            <a:solidFill>
              <a:srgbClr val="993366"/>
            </a:solidFill>
            <a:effectLst/>
          </c:spPr>
          <c:invertIfNegative val="0"/>
          <c:cat>
            <c:strRef>
              <c:f>'Pathway Comparison'!$C$706:$I$706</c:f>
              <c:strCache>
                <c:ptCount val="7"/>
                <c:pt idx="0">
                  <c:v>Baseline</c:v>
                </c:pt>
                <c:pt idx="1">
                  <c:v>EEO</c:v>
                </c:pt>
                <c:pt idx="2">
                  <c:v>VA</c:v>
                </c:pt>
                <c:pt idx="3">
                  <c:v>Renowave</c:v>
                </c:pt>
                <c:pt idx="4">
                  <c:v>EET</c:v>
                </c:pt>
                <c:pt idx="5">
                  <c:v>CEER1</c:v>
                </c:pt>
                <c:pt idx="6">
                  <c:v>CEER2</c:v>
                </c:pt>
              </c:strCache>
            </c:strRef>
          </c:cat>
          <c:val>
            <c:numRef>
              <c:f>'Pathway Comparison'!$C$711:$I$711</c:f>
              <c:numCache>
                <c:formatCode>0.00</c:formatCode>
                <c:ptCount val="7"/>
                <c:pt idx="0">
                  <c:v>0.13843363736739966</c:v>
                </c:pt>
                <c:pt idx="1">
                  <c:v>0.15951352012024331</c:v>
                </c:pt>
                <c:pt idx="2">
                  <c:v>0.15951352012024331</c:v>
                </c:pt>
                <c:pt idx="3">
                  <c:v>0.15951352012024331</c:v>
                </c:pt>
                <c:pt idx="4">
                  <c:v>0.15899649852036332</c:v>
                </c:pt>
                <c:pt idx="5">
                  <c:v>0.1586454277276064</c:v>
                </c:pt>
                <c:pt idx="6">
                  <c:v>0.1586454277276064</c:v>
                </c:pt>
              </c:numCache>
            </c:numRef>
          </c:val>
          <c:extLst>
            <c:ext xmlns:c16="http://schemas.microsoft.com/office/drawing/2014/chart" uri="{C3380CC4-5D6E-409C-BE32-E72D297353CC}">
              <c16:uniqueId val="{00000008-9FEB-431C-892F-E5EB874C55AD}"/>
            </c:ext>
          </c:extLst>
        </c:ser>
        <c:dLbls>
          <c:showLegendKey val="0"/>
          <c:showVal val="0"/>
          <c:showCatName val="0"/>
          <c:showSerName val="0"/>
          <c:showPercent val="0"/>
          <c:showBubbleSize val="0"/>
        </c:dLbls>
        <c:gapWidth val="150"/>
        <c:overlap val="100"/>
        <c:axId val="1233160943"/>
        <c:axId val="1550616095"/>
      </c:barChart>
      <c:catAx>
        <c:axId val="123316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crossAx val="1550616095"/>
        <c:crosses val="autoZero"/>
        <c:auto val="1"/>
        <c:lblAlgn val="ctr"/>
        <c:lblOffset val="100"/>
        <c:noMultiLvlLbl val="0"/>
      </c:catAx>
      <c:valAx>
        <c:axId val="155061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GB"/>
                  <a:t>GHG emissions reduction (MtCO2)</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crossAx val="1233160943"/>
        <c:crosses val="autoZero"/>
        <c:crossBetween val="between"/>
      </c:valAx>
      <c:spPr>
        <a:noFill/>
        <a:ln w="25400">
          <a:noFill/>
        </a:ln>
      </c:spPr>
    </c:plotArea>
    <c:legend>
      <c:legendPos val="r"/>
      <c:layout>
        <c:manualLayout>
          <c:xMode val="edge"/>
          <c:yMode val="edge"/>
          <c:x val="0.84788383479574414"/>
          <c:y val="0.10543471681884004"/>
          <c:w val="0.15211616520425583"/>
          <c:h val="0.7973723257230113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'Pathway Comparison'!$B$746</c:f>
              <c:strCache>
                <c:ptCount val="1"/>
                <c:pt idx="0">
                  <c:v>Baseline</c:v>
                </c:pt>
              </c:strCache>
            </c:strRef>
          </c:tx>
          <c:spPr>
            <a:solidFill>
              <a:schemeClr val="bg1">
                <a:lumMod val="6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Comparison'!$C$745:$E$745</c:f>
              <c:strCache>
                <c:ptCount val="3"/>
                <c:pt idx="0">
                  <c:v>SOx</c:v>
                </c:pt>
                <c:pt idx="1">
                  <c:v>NOx</c:v>
                </c:pt>
                <c:pt idx="2">
                  <c:v>PM2.5</c:v>
                </c:pt>
              </c:strCache>
            </c:strRef>
          </c:cat>
          <c:val>
            <c:numRef>
              <c:f>'Pathway Comparison'!$C$746:$E$746</c:f>
              <c:numCache>
                <c:formatCode>0.00</c:formatCode>
                <c:ptCount val="3"/>
                <c:pt idx="0">
                  <c:v>0.68554936221490259</c:v>
                </c:pt>
                <c:pt idx="1">
                  <c:v>0.72192297147606932</c:v>
                </c:pt>
                <c:pt idx="2">
                  <c:v>0.63854076473075672</c:v>
                </c:pt>
              </c:numCache>
            </c:numRef>
          </c:val>
          <c:extLst>
            <c:ext xmlns:c16="http://schemas.microsoft.com/office/drawing/2014/chart" uri="{C3380CC4-5D6E-409C-BE32-E72D297353CC}">
              <c16:uniqueId val="{00000000-B435-4150-AEB0-819D946B7AE6}"/>
            </c:ext>
          </c:extLst>
        </c:ser>
        <c:ser>
          <c:idx val="1"/>
          <c:order val="1"/>
          <c:tx>
            <c:strRef>
              <c:f>'Pathway Comparison'!$B$747</c:f>
              <c:strCache>
                <c:ptCount val="1"/>
                <c:pt idx="0">
                  <c:v>EEO</c:v>
                </c:pt>
              </c:strCache>
            </c:strRef>
          </c:tx>
          <c:spPr>
            <a:solidFill>
              <a:schemeClr val="accent3">
                <a:lumMod val="5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Comparison'!$C$745:$E$745</c:f>
              <c:strCache>
                <c:ptCount val="3"/>
                <c:pt idx="0">
                  <c:v>SOx</c:v>
                </c:pt>
                <c:pt idx="1">
                  <c:v>NOx</c:v>
                </c:pt>
                <c:pt idx="2">
                  <c:v>PM2.5</c:v>
                </c:pt>
              </c:strCache>
            </c:strRef>
          </c:cat>
          <c:val>
            <c:numRef>
              <c:f>'Pathway Comparison'!$C$747:$E$747</c:f>
              <c:numCache>
                <c:formatCode>0.00</c:formatCode>
                <c:ptCount val="3"/>
                <c:pt idx="0">
                  <c:v>1.5667560863140937</c:v>
                </c:pt>
                <c:pt idx="1">
                  <c:v>2.0494450608393864</c:v>
                </c:pt>
                <c:pt idx="2">
                  <c:v>2.0935494503139442</c:v>
                </c:pt>
              </c:numCache>
            </c:numRef>
          </c:val>
          <c:extLst>
            <c:ext xmlns:c16="http://schemas.microsoft.com/office/drawing/2014/chart" uri="{C3380CC4-5D6E-409C-BE32-E72D297353CC}">
              <c16:uniqueId val="{00000001-B435-4150-AEB0-819D946B7AE6}"/>
            </c:ext>
          </c:extLst>
        </c:ser>
        <c:ser>
          <c:idx val="2"/>
          <c:order val="2"/>
          <c:tx>
            <c:strRef>
              <c:f>'Pathway Comparison'!$B$748</c:f>
              <c:strCache>
                <c:ptCount val="1"/>
                <c:pt idx="0">
                  <c:v>VA</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Comparison'!$C$745:$E$745</c:f>
              <c:strCache>
                <c:ptCount val="3"/>
                <c:pt idx="0">
                  <c:v>SOx</c:v>
                </c:pt>
                <c:pt idx="1">
                  <c:v>NOx</c:v>
                </c:pt>
                <c:pt idx="2">
                  <c:v>PM2.5</c:v>
                </c:pt>
              </c:strCache>
            </c:strRef>
          </c:cat>
          <c:val>
            <c:numRef>
              <c:f>'Pathway Comparison'!$C$748:$E$748</c:f>
              <c:numCache>
                <c:formatCode>0.00</c:formatCode>
                <c:ptCount val="3"/>
                <c:pt idx="0">
                  <c:v>1.6086418670673872</c:v>
                </c:pt>
                <c:pt idx="1">
                  <c:v>1.9593630101336283</c:v>
                </c:pt>
                <c:pt idx="2">
                  <c:v>1.9226421039756698</c:v>
                </c:pt>
              </c:numCache>
            </c:numRef>
          </c:val>
          <c:extLst>
            <c:ext xmlns:c16="http://schemas.microsoft.com/office/drawing/2014/chart" uri="{C3380CC4-5D6E-409C-BE32-E72D297353CC}">
              <c16:uniqueId val="{00000002-B435-4150-AEB0-819D946B7AE6}"/>
            </c:ext>
          </c:extLst>
        </c:ser>
        <c:ser>
          <c:idx val="3"/>
          <c:order val="3"/>
          <c:tx>
            <c:strRef>
              <c:f>'Pathway Comparison'!$B$749</c:f>
              <c:strCache>
                <c:ptCount val="1"/>
                <c:pt idx="0">
                  <c:v>Renowave</c:v>
                </c:pt>
              </c:strCache>
            </c:strRef>
          </c:tx>
          <c:spPr>
            <a:solidFill>
              <a:schemeClr val="accent5"/>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Comparison'!$C$745:$E$745</c:f>
              <c:strCache>
                <c:ptCount val="3"/>
                <c:pt idx="0">
                  <c:v>SOx</c:v>
                </c:pt>
                <c:pt idx="1">
                  <c:v>NOx</c:v>
                </c:pt>
                <c:pt idx="2">
                  <c:v>PM2.5</c:v>
                </c:pt>
              </c:strCache>
            </c:strRef>
          </c:cat>
          <c:val>
            <c:numRef>
              <c:f>'Pathway Comparison'!$C$749:$E$749</c:f>
              <c:numCache>
                <c:formatCode>0.00</c:formatCode>
                <c:ptCount val="3"/>
                <c:pt idx="0">
                  <c:v>1.6362986150153995</c:v>
                </c:pt>
                <c:pt idx="1">
                  <c:v>2.8881203760643341</c:v>
                </c:pt>
                <c:pt idx="2">
                  <c:v>3.1231835566734785</c:v>
                </c:pt>
              </c:numCache>
            </c:numRef>
          </c:val>
          <c:extLst>
            <c:ext xmlns:c16="http://schemas.microsoft.com/office/drawing/2014/chart" uri="{C3380CC4-5D6E-409C-BE32-E72D297353CC}">
              <c16:uniqueId val="{00000003-B435-4150-AEB0-819D946B7AE6}"/>
            </c:ext>
          </c:extLst>
        </c:ser>
        <c:ser>
          <c:idx val="4"/>
          <c:order val="4"/>
          <c:tx>
            <c:strRef>
              <c:f>'Pathway Comparison'!$B$750</c:f>
              <c:strCache>
                <c:ptCount val="1"/>
                <c:pt idx="0">
                  <c:v>EET</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Comparison'!$C$745:$E$745</c:f>
              <c:strCache>
                <c:ptCount val="3"/>
                <c:pt idx="0">
                  <c:v>SOx</c:v>
                </c:pt>
                <c:pt idx="1">
                  <c:v>NOx</c:v>
                </c:pt>
                <c:pt idx="2">
                  <c:v>PM2.5</c:v>
                </c:pt>
              </c:strCache>
            </c:strRef>
          </c:cat>
          <c:val>
            <c:numRef>
              <c:f>'Pathway Comparison'!$C$750:$E$750</c:f>
              <c:numCache>
                <c:formatCode>0.00</c:formatCode>
                <c:ptCount val="3"/>
                <c:pt idx="0">
                  <c:v>2.8211642729326938</c:v>
                </c:pt>
                <c:pt idx="1">
                  <c:v>1.9087547417359074</c:v>
                </c:pt>
                <c:pt idx="2">
                  <c:v>2.0034801200959138</c:v>
                </c:pt>
              </c:numCache>
            </c:numRef>
          </c:val>
          <c:extLst>
            <c:ext xmlns:c16="http://schemas.microsoft.com/office/drawing/2014/chart" uri="{C3380CC4-5D6E-409C-BE32-E72D297353CC}">
              <c16:uniqueId val="{00000004-B435-4150-AEB0-819D946B7AE6}"/>
            </c:ext>
          </c:extLst>
        </c:ser>
        <c:ser>
          <c:idx val="5"/>
          <c:order val="5"/>
          <c:tx>
            <c:strRef>
              <c:f>'Pathway Comparison'!$B$751</c:f>
              <c:strCache>
                <c:ptCount val="1"/>
                <c:pt idx="0">
                  <c:v>CEER1</c:v>
                </c:pt>
              </c:strCache>
            </c:strRef>
          </c:tx>
          <c:spPr>
            <a:solidFill>
              <a:schemeClr val="accent1">
                <a:lumMod val="75000"/>
                <a:lumOff val="2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Comparison'!$C$745:$E$745</c:f>
              <c:strCache>
                <c:ptCount val="3"/>
                <c:pt idx="0">
                  <c:v>SOx</c:v>
                </c:pt>
                <c:pt idx="1">
                  <c:v>NOx</c:v>
                </c:pt>
                <c:pt idx="2">
                  <c:v>PM2.5</c:v>
                </c:pt>
              </c:strCache>
            </c:strRef>
          </c:cat>
          <c:val>
            <c:numRef>
              <c:f>'Pathway Comparison'!$C$751:$E$751</c:f>
              <c:numCache>
                <c:formatCode>0.00</c:formatCode>
                <c:ptCount val="3"/>
                <c:pt idx="0">
                  <c:v>2.2505571474499524</c:v>
                </c:pt>
                <c:pt idx="1">
                  <c:v>2.1111980733213862</c:v>
                </c:pt>
                <c:pt idx="2">
                  <c:v>2.1809039448679624</c:v>
                </c:pt>
              </c:numCache>
            </c:numRef>
          </c:val>
          <c:extLst>
            <c:ext xmlns:c16="http://schemas.microsoft.com/office/drawing/2014/chart" uri="{C3380CC4-5D6E-409C-BE32-E72D297353CC}">
              <c16:uniqueId val="{00000005-B435-4150-AEB0-819D946B7AE6}"/>
            </c:ext>
          </c:extLst>
        </c:ser>
        <c:ser>
          <c:idx val="6"/>
          <c:order val="6"/>
          <c:tx>
            <c:strRef>
              <c:f>'Pathway Comparison'!$B$752</c:f>
              <c:strCache>
                <c:ptCount val="1"/>
                <c:pt idx="0">
                  <c:v>CEER2</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Comparison'!$C$745:$E$745</c:f>
              <c:strCache>
                <c:ptCount val="3"/>
                <c:pt idx="0">
                  <c:v>SOx</c:v>
                </c:pt>
                <c:pt idx="1">
                  <c:v>NOx</c:v>
                </c:pt>
                <c:pt idx="2">
                  <c:v>PM2.5</c:v>
                </c:pt>
              </c:strCache>
            </c:strRef>
          </c:cat>
          <c:val>
            <c:numRef>
              <c:f>'Pathway Comparison'!$C$752:$E$752</c:f>
              <c:numCache>
                <c:formatCode>0.00</c:formatCode>
                <c:ptCount val="3"/>
                <c:pt idx="0">
                  <c:v>2.7472829660406362</c:v>
                </c:pt>
                <c:pt idx="1">
                  <c:v>2.7244590295831443</c:v>
                </c:pt>
                <c:pt idx="2">
                  <c:v>2.8475189947075519</c:v>
                </c:pt>
              </c:numCache>
            </c:numRef>
          </c:val>
          <c:extLst>
            <c:ext xmlns:c16="http://schemas.microsoft.com/office/drawing/2014/chart" uri="{C3380CC4-5D6E-409C-BE32-E72D297353CC}">
              <c16:uniqueId val="{00000006-B435-4150-AEB0-819D946B7AE6}"/>
            </c:ext>
          </c:extLst>
        </c:ser>
        <c:dLbls>
          <c:showLegendKey val="0"/>
          <c:showVal val="0"/>
          <c:showCatName val="0"/>
          <c:showSerName val="0"/>
          <c:showPercent val="0"/>
          <c:showBubbleSize val="0"/>
        </c:dLbls>
        <c:gapWidth val="133"/>
        <c:overlap val="-27"/>
        <c:axId val="2135934879"/>
        <c:axId val="2135751695"/>
      </c:barChart>
      <c:catAx>
        <c:axId val="2135934879"/>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2135751695"/>
        <c:crosses val="autoZero"/>
        <c:auto val="1"/>
        <c:lblAlgn val="ctr"/>
        <c:lblOffset val="100"/>
        <c:noMultiLvlLbl val="0"/>
      </c:catAx>
      <c:valAx>
        <c:axId val="21357516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Air</a:t>
                </a:r>
                <a:r>
                  <a:rPr lang="en-GB" baseline="0"/>
                  <a:t> pollutant reduction (kt)</a:t>
                </a:r>
                <a:endParaRPr lang="en-GB"/>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2135934879"/>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133056044882947"/>
          <c:y val="5.0925925925925923E-2"/>
          <c:w val="0.67824586277744003"/>
          <c:h val="0.84452209098862641"/>
        </c:manualLayout>
      </c:layout>
      <c:barChart>
        <c:barDir val="col"/>
        <c:grouping val="stacked"/>
        <c:varyColors val="0"/>
        <c:ser>
          <c:idx val="0"/>
          <c:order val="0"/>
          <c:tx>
            <c:strRef>
              <c:f>'Pathway Comparison'!$C$791</c:f>
              <c:strCache>
                <c:ptCount val="1"/>
                <c:pt idx="0">
                  <c:v>Energy savings (incl. avoided taxes) (+)</c:v>
                </c:pt>
              </c:strCache>
            </c:strRef>
          </c:tx>
          <c:spPr>
            <a:solidFill>
              <a:schemeClr val="accent4"/>
            </a:solidFill>
            <a:ln>
              <a:noFill/>
            </a:ln>
            <a:effectLst/>
          </c:spPr>
          <c:invertIfNegative val="0"/>
          <c:cat>
            <c:strRef>
              <c:f>'Pathway Comparison'!$B$792:$B$798</c:f>
              <c:strCache>
                <c:ptCount val="7"/>
                <c:pt idx="0">
                  <c:v>Baseline</c:v>
                </c:pt>
                <c:pt idx="1">
                  <c:v>EEO</c:v>
                </c:pt>
                <c:pt idx="2">
                  <c:v>VA</c:v>
                </c:pt>
                <c:pt idx="3">
                  <c:v>Renowave</c:v>
                </c:pt>
                <c:pt idx="4">
                  <c:v>EET</c:v>
                </c:pt>
                <c:pt idx="5">
                  <c:v>CEER1</c:v>
                </c:pt>
                <c:pt idx="6">
                  <c:v>CEER2</c:v>
                </c:pt>
              </c:strCache>
            </c:strRef>
          </c:cat>
          <c:val>
            <c:numRef>
              <c:f>'Pathway Comparison'!$C$792:$C$798</c:f>
              <c:numCache>
                <c:formatCode>0</c:formatCode>
                <c:ptCount val="7"/>
                <c:pt idx="0">
                  <c:v>118.40043368670489</c:v>
                </c:pt>
                <c:pt idx="1">
                  <c:v>617.93043341519206</c:v>
                </c:pt>
                <c:pt idx="2">
                  <c:v>581.83220822802127</c:v>
                </c:pt>
                <c:pt idx="3">
                  <c:v>1031.8577106931041</c:v>
                </c:pt>
                <c:pt idx="4">
                  <c:v>824.62000636586754</c:v>
                </c:pt>
                <c:pt idx="5">
                  <c:v>811.60018614969658</c:v>
                </c:pt>
                <c:pt idx="6">
                  <c:v>1101.9524645561678</c:v>
                </c:pt>
              </c:numCache>
            </c:numRef>
          </c:val>
          <c:extLst>
            <c:ext xmlns:c16="http://schemas.microsoft.com/office/drawing/2014/chart" uri="{C3380CC4-5D6E-409C-BE32-E72D297353CC}">
              <c16:uniqueId val="{00000000-5E11-4B0C-88AE-B3EF02898476}"/>
            </c:ext>
          </c:extLst>
        </c:ser>
        <c:ser>
          <c:idx val="1"/>
          <c:order val="1"/>
          <c:tx>
            <c:strRef>
              <c:f>'Pathway Comparison'!$D$791</c:f>
              <c:strCache>
                <c:ptCount val="1"/>
                <c:pt idx="0">
                  <c:v>Increase in employment (+)</c:v>
                </c:pt>
              </c:strCache>
            </c:strRef>
          </c:tx>
          <c:spPr>
            <a:solidFill>
              <a:schemeClr val="accent2"/>
            </a:solidFill>
            <a:ln>
              <a:noFill/>
            </a:ln>
            <a:effectLst/>
          </c:spPr>
          <c:invertIfNegative val="0"/>
          <c:cat>
            <c:strRef>
              <c:f>'Pathway Comparison'!$B$792:$B$798</c:f>
              <c:strCache>
                <c:ptCount val="7"/>
                <c:pt idx="0">
                  <c:v>Baseline</c:v>
                </c:pt>
                <c:pt idx="1">
                  <c:v>EEO</c:v>
                </c:pt>
                <c:pt idx="2">
                  <c:v>VA</c:v>
                </c:pt>
                <c:pt idx="3">
                  <c:v>Renowave</c:v>
                </c:pt>
                <c:pt idx="4">
                  <c:v>EET</c:v>
                </c:pt>
                <c:pt idx="5">
                  <c:v>CEER1</c:v>
                </c:pt>
                <c:pt idx="6">
                  <c:v>CEER2</c:v>
                </c:pt>
              </c:strCache>
            </c:strRef>
          </c:cat>
          <c:val>
            <c:numRef>
              <c:f>'Pathway Comparison'!$D$792:$D$798</c:f>
              <c:numCache>
                <c:formatCode>0</c:formatCode>
                <c:ptCount val="7"/>
                <c:pt idx="0">
                  <c:v>1219.4303211653532</c:v>
                </c:pt>
                <c:pt idx="1">
                  <c:v>6722.9660838790824</c:v>
                </c:pt>
                <c:pt idx="2">
                  <c:v>6974.659227956201</c:v>
                </c:pt>
                <c:pt idx="3">
                  <c:v>11486.484398995499</c:v>
                </c:pt>
                <c:pt idx="4">
                  <c:v>8423.1014386256593</c:v>
                </c:pt>
                <c:pt idx="5">
                  <c:v>8270.4450069720715</c:v>
                </c:pt>
                <c:pt idx="6">
                  <c:v>11358.221893809057</c:v>
                </c:pt>
              </c:numCache>
            </c:numRef>
          </c:val>
          <c:extLst>
            <c:ext xmlns:c16="http://schemas.microsoft.com/office/drawing/2014/chart" uri="{C3380CC4-5D6E-409C-BE32-E72D297353CC}">
              <c16:uniqueId val="{00000001-5E11-4B0C-88AE-B3EF02898476}"/>
            </c:ext>
          </c:extLst>
        </c:ser>
        <c:ser>
          <c:idx val="2"/>
          <c:order val="2"/>
          <c:tx>
            <c:strRef>
              <c:f>'Pathway Comparison'!$E$791</c:f>
              <c:strCache>
                <c:ptCount val="1"/>
                <c:pt idx="0">
                  <c:v>Increase in taxes (-)</c:v>
                </c:pt>
              </c:strCache>
            </c:strRef>
          </c:tx>
          <c:spPr>
            <a:solidFill>
              <a:schemeClr val="accent3"/>
            </a:solidFill>
            <a:ln>
              <a:noFill/>
            </a:ln>
            <a:effectLst/>
          </c:spPr>
          <c:invertIfNegative val="0"/>
          <c:cat>
            <c:strRef>
              <c:f>'Pathway Comparison'!$B$792:$B$798</c:f>
              <c:strCache>
                <c:ptCount val="7"/>
                <c:pt idx="0">
                  <c:v>Baseline</c:v>
                </c:pt>
                <c:pt idx="1">
                  <c:v>EEO</c:v>
                </c:pt>
                <c:pt idx="2">
                  <c:v>VA</c:v>
                </c:pt>
                <c:pt idx="3">
                  <c:v>Renowave</c:v>
                </c:pt>
                <c:pt idx="4">
                  <c:v>EET</c:v>
                </c:pt>
                <c:pt idx="5">
                  <c:v>CEER1</c:v>
                </c:pt>
                <c:pt idx="6">
                  <c:v>CEER2</c:v>
                </c:pt>
              </c:strCache>
            </c:strRef>
          </c:cat>
          <c:val>
            <c:numRef>
              <c:f>'Pathway Comparison'!$E$792:$E$798</c:f>
              <c:numCache>
                <c:formatCode>0</c:formatCode>
                <c:ptCount val="7"/>
                <c:pt idx="0">
                  <c:v>-322.05271252661595</c:v>
                </c:pt>
                <c:pt idx="1">
                  <c:v>-1805.732921698622</c:v>
                </c:pt>
                <c:pt idx="2">
                  <c:v>-1551.504109230061</c:v>
                </c:pt>
                <c:pt idx="3">
                  <c:v>-3431.429912868362</c:v>
                </c:pt>
                <c:pt idx="4">
                  <c:v>-1413.5803904898935</c:v>
                </c:pt>
                <c:pt idx="5">
                  <c:v>-1639.4103760086844</c:v>
                </c:pt>
                <c:pt idx="6">
                  <c:v>-2100.4790281258238</c:v>
                </c:pt>
              </c:numCache>
            </c:numRef>
          </c:val>
          <c:extLst>
            <c:ext xmlns:c16="http://schemas.microsoft.com/office/drawing/2014/chart" uri="{C3380CC4-5D6E-409C-BE32-E72D297353CC}">
              <c16:uniqueId val="{00000002-5E11-4B0C-88AE-B3EF02898476}"/>
            </c:ext>
          </c:extLst>
        </c:ser>
        <c:ser>
          <c:idx val="3"/>
          <c:order val="3"/>
          <c:tx>
            <c:strRef>
              <c:f>'Pathway Comparison'!$F$791</c:f>
              <c:strCache>
                <c:ptCount val="1"/>
                <c:pt idx="0">
                  <c:v>Personal transport costs (-)</c:v>
                </c:pt>
              </c:strCache>
            </c:strRef>
          </c:tx>
          <c:spPr>
            <a:solidFill>
              <a:schemeClr val="accent3">
                <a:lumMod val="50000"/>
              </a:schemeClr>
            </a:solidFill>
            <a:ln>
              <a:noFill/>
            </a:ln>
            <a:effectLst/>
          </c:spPr>
          <c:invertIfNegative val="0"/>
          <c:cat>
            <c:strRef>
              <c:f>'Pathway Comparison'!$B$792:$B$798</c:f>
              <c:strCache>
                <c:ptCount val="7"/>
                <c:pt idx="0">
                  <c:v>Baseline</c:v>
                </c:pt>
                <c:pt idx="1">
                  <c:v>EEO</c:v>
                </c:pt>
                <c:pt idx="2">
                  <c:v>VA</c:v>
                </c:pt>
                <c:pt idx="3">
                  <c:v>Renowave</c:v>
                </c:pt>
                <c:pt idx="4">
                  <c:v>EET</c:v>
                </c:pt>
                <c:pt idx="5">
                  <c:v>CEER1</c:v>
                </c:pt>
                <c:pt idx="6">
                  <c:v>CEER2</c:v>
                </c:pt>
              </c:strCache>
            </c:strRef>
          </c:cat>
          <c:val>
            <c:numRef>
              <c:f>'Pathway Comparison'!$F$792:$F$798</c:f>
              <c:numCache>
                <c:formatCode>0</c:formatCode>
                <c:ptCount val="7"/>
                <c:pt idx="0">
                  <c:v>0</c:v>
                </c:pt>
                <c:pt idx="1">
                  <c:v>-15.767327723968378</c:v>
                </c:pt>
                <c:pt idx="2">
                  <c:v>-15.767327723968378</c:v>
                </c:pt>
                <c:pt idx="3">
                  <c:v>-15.767327723968378</c:v>
                </c:pt>
                <c:pt idx="4">
                  <c:v>-39.418319309920939</c:v>
                </c:pt>
                <c:pt idx="5">
                  <c:v>-39.418319309920939</c:v>
                </c:pt>
                <c:pt idx="6">
                  <c:v>-39.418319309920939</c:v>
                </c:pt>
              </c:numCache>
            </c:numRef>
          </c:val>
          <c:extLst>
            <c:ext xmlns:c16="http://schemas.microsoft.com/office/drawing/2014/chart" uri="{C3380CC4-5D6E-409C-BE32-E72D297353CC}">
              <c16:uniqueId val="{00000003-5E11-4B0C-88AE-B3EF02898476}"/>
            </c:ext>
          </c:extLst>
        </c:ser>
        <c:ser>
          <c:idx val="4"/>
          <c:order val="4"/>
          <c:tx>
            <c:strRef>
              <c:f>'Pathway Comparison'!$G$791</c:f>
              <c:strCache>
                <c:ptCount val="1"/>
                <c:pt idx="0">
                  <c:v>Renovation costs (-)</c:v>
                </c:pt>
              </c:strCache>
            </c:strRef>
          </c:tx>
          <c:spPr>
            <a:solidFill>
              <a:schemeClr val="accent5"/>
            </a:solidFill>
            <a:ln>
              <a:noFill/>
            </a:ln>
            <a:effectLst/>
          </c:spPr>
          <c:invertIfNegative val="0"/>
          <c:cat>
            <c:strRef>
              <c:f>'Pathway Comparison'!$B$792:$B$798</c:f>
              <c:strCache>
                <c:ptCount val="7"/>
                <c:pt idx="0">
                  <c:v>Baseline</c:v>
                </c:pt>
                <c:pt idx="1">
                  <c:v>EEO</c:v>
                </c:pt>
                <c:pt idx="2">
                  <c:v>VA</c:v>
                </c:pt>
                <c:pt idx="3">
                  <c:v>Renowave</c:v>
                </c:pt>
                <c:pt idx="4">
                  <c:v>EET</c:v>
                </c:pt>
                <c:pt idx="5">
                  <c:v>CEER1</c:v>
                </c:pt>
                <c:pt idx="6">
                  <c:v>CEER2</c:v>
                </c:pt>
              </c:strCache>
            </c:strRef>
          </c:cat>
          <c:val>
            <c:numRef>
              <c:f>'Pathway Comparison'!$G$792:$G$798</c:f>
              <c:numCache>
                <c:formatCode>0</c:formatCode>
                <c:ptCount val="7"/>
                <c:pt idx="0">
                  <c:v>-119.13999999999999</c:v>
                </c:pt>
                <c:pt idx="1">
                  <c:v>-4793.5162020683329</c:v>
                </c:pt>
                <c:pt idx="2">
                  <c:v>-4280.8656754213334</c:v>
                </c:pt>
                <c:pt idx="3">
                  <c:v>-10694.308985236667</c:v>
                </c:pt>
                <c:pt idx="4">
                  <c:v>-3912.8919525680003</c:v>
                </c:pt>
                <c:pt idx="5">
                  <c:v>-4788.7319114960001</c:v>
                </c:pt>
                <c:pt idx="6">
                  <c:v>-6313.6005257626666</c:v>
                </c:pt>
              </c:numCache>
            </c:numRef>
          </c:val>
          <c:extLst>
            <c:ext xmlns:c16="http://schemas.microsoft.com/office/drawing/2014/chart" uri="{C3380CC4-5D6E-409C-BE32-E72D297353CC}">
              <c16:uniqueId val="{00000004-5E11-4B0C-88AE-B3EF02898476}"/>
            </c:ext>
          </c:extLst>
        </c:ser>
        <c:dLbls>
          <c:showLegendKey val="0"/>
          <c:showVal val="0"/>
          <c:showCatName val="0"/>
          <c:showSerName val="0"/>
          <c:showPercent val="0"/>
          <c:showBubbleSize val="0"/>
        </c:dLbls>
        <c:gapWidth val="150"/>
        <c:overlap val="100"/>
        <c:axId val="318117103"/>
        <c:axId val="1195648815"/>
      </c:barChart>
      <c:lineChart>
        <c:grouping val="standard"/>
        <c:varyColors val="0"/>
        <c:ser>
          <c:idx val="5"/>
          <c:order val="5"/>
          <c:tx>
            <c:strRef>
              <c:f>'Pathway Comparison'!$H$791</c:f>
              <c:strCache>
                <c:ptCount val="1"/>
                <c:pt idx="0">
                  <c:v>Total impact on disposable income (MEUR)</c:v>
                </c:pt>
              </c:strCache>
            </c:strRef>
          </c:tx>
          <c:spPr>
            <a:ln w="28575" cap="rnd">
              <a:noFill/>
              <a:round/>
            </a:ln>
            <a:effectLst/>
          </c:spPr>
          <c:marker>
            <c:symbol val="square"/>
            <c:size val="5"/>
            <c:spPr>
              <a:solidFill>
                <a:schemeClr val="accent6"/>
              </a:solidFill>
              <a:ln w="9525">
                <a:solidFill>
                  <a:schemeClr val="accent6"/>
                </a:solidFill>
              </a:ln>
              <a:effectLst/>
            </c:spPr>
          </c:marker>
          <c:cat>
            <c:strRef>
              <c:f>'Pathway Comparison'!$B$792:$B$798</c:f>
              <c:strCache>
                <c:ptCount val="7"/>
                <c:pt idx="0">
                  <c:v>Baseline</c:v>
                </c:pt>
                <c:pt idx="1">
                  <c:v>EEO</c:v>
                </c:pt>
                <c:pt idx="2">
                  <c:v>VA</c:v>
                </c:pt>
                <c:pt idx="3">
                  <c:v>Renowave</c:v>
                </c:pt>
                <c:pt idx="4">
                  <c:v>EET</c:v>
                </c:pt>
                <c:pt idx="5">
                  <c:v>CEER1</c:v>
                </c:pt>
                <c:pt idx="6">
                  <c:v>CEER2</c:v>
                </c:pt>
              </c:strCache>
            </c:strRef>
          </c:cat>
          <c:val>
            <c:numRef>
              <c:f>'Pathway Comparison'!$H$792:$H$798</c:f>
              <c:numCache>
                <c:formatCode>0</c:formatCode>
                <c:ptCount val="7"/>
                <c:pt idx="0">
                  <c:v>978.27169062210351</c:v>
                </c:pt>
                <c:pt idx="1">
                  <c:v>2291.1939232720179</c:v>
                </c:pt>
                <c:pt idx="2">
                  <c:v>3019.4393688089658</c:v>
                </c:pt>
                <c:pt idx="3">
                  <c:v>1567.8467324980131</c:v>
                </c:pt>
                <c:pt idx="4">
                  <c:v>5054.9921088836509</c:v>
                </c:pt>
                <c:pt idx="5">
                  <c:v>4013.4758980858924</c:v>
                </c:pt>
                <c:pt idx="6">
                  <c:v>5866.7364490626824</c:v>
                </c:pt>
              </c:numCache>
            </c:numRef>
          </c:val>
          <c:smooth val="0"/>
          <c:extLst>
            <c:ext xmlns:c16="http://schemas.microsoft.com/office/drawing/2014/chart" uri="{C3380CC4-5D6E-409C-BE32-E72D297353CC}">
              <c16:uniqueId val="{00000005-5E11-4B0C-88AE-B3EF02898476}"/>
            </c:ext>
          </c:extLst>
        </c:ser>
        <c:dLbls>
          <c:showLegendKey val="0"/>
          <c:showVal val="0"/>
          <c:showCatName val="0"/>
          <c:showSerName val="0"/>
          <c:showPercent val="0"/>
          <c:showBubbleSize val="0"/>
        </c:dLbls>
        <c:marker val="1"/>
        <c:smooth val="0"/>
        <c:axId val="318117103"/>
        <c:axId val="1195648815"/>
      </c:lineChart>
      <c:catAx>
        <c:axId val="318117103"/>
        <c:scaling>
          <c:orientation val="minMax"/>
        </c:scaling>
        <c:delete val="0"/>
        <c:axPos val="b"/>
        <c:numFmt formatCode="General" sourceLinked="1"/>
        <c:majorTickMark val="none"/>
        <c:minorTickMark val="none"/>
        <c:tickLblPos val="low"/>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195648815"/>
        <c:crosses val="autoZero"/>
        <c:auto val="1"/>
        <c:lblAlgn val="ctr"/>
        <c:lblOffset val="100"/>
        <c:noMultiLvlLbl val="0"/>
      </c:catAx>
      <c:valAx>
        <c:axId val="119564881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MEUR</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318117103"/>
        <c:crosses val="autoZero"/>
        <c:crossBetween val="between"/>
      </c:valAx>
      <c:spPr>
        <a:noFill/>
        <a:ln>
          <a:noFill/>
        </a:ln>
        <a:effectLst/>
      </c:spPr>
    </c:plotArea>
    <c:legend>
      <c:legendPos val="r"/>
      <c:layout>
        <c:manualLayout>
          <c:xMode val="edge"/>
          <c:yMode val="edge"/>
          <c:x val="0.80355178363365121"/>
          <c:y val="8.7794911052785085E-2"/>
          <c:w val="0.18706193504471602"/>
          <c:h val="0.85218795567220751"/>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'Pathway Comparison'!$B$817</c:f>
              <c:strCache>
                <c:ptCount val="1"/>
                <c:pt idx="0">
                  <c:v>Baseline</c:v>
                </c:pt>
              </c:strCache>
            </c:strRef>
          </c:tx>
          <c:spPr>
            <a:ln w="28575" cap="rnd">
              <a:solidFill>
                <a:schemeClr val="bg1">
                  <a:lumMod val="65000"/>
                </a:schemeClr>
              </a:solidFill>
              <a:prstDash val="sysDot"/>
              <a:round/>
            </a:ln>
            <a:effectLst/>
          </c:spPr>
          <c:marker>
            <c:symbol val="none"/>
          </c:marker>
          <c:cat>
            <c:numRef>
              <c:f>'Pathway Comparison'!$C$815:$Q$815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Comparison'!$C$817:$Q$817</c:f>
              <c:numCache>
                <c:formatCode>0.0%</c:formatCode>
                <c:ptCount val="15"/>
                <c:pt idx="0">
                  <c:v>9.749025637603255E-2</c:v>
                </c:pt>
                <c:pt idx="1">
                  <c:v>8.4050454574671224E-2</c:v>
                </c:pt>
                <c:pt idx="2">
                  <c:v>8.2293834359138673E-2</c:v>
                </c:pt>
                <c:pt idx="3">
                  <c:v>8.1496967515123128E-2</c:v>
                </c:pt>
                <c:pt idx="4">
                  <c:v>8.0699838209752295E-2</c:v>
                </c:pt>
                <c:pt idx="5">
                  <c:v>8.0030665528768044E-2</c:v>
                </c:pt>
                <c:pt idx="6">
                  <c:v>7.9544915129257432E-2</c:v>
                </c:pt>
                <c:pt idx="7">
                  <c:v>7.8023896660600611E-2</c:v>
                </c:pt>
                <c:pt idx="8">
                  <c:v>7.6511399313910475E-2</c:v>
                </c:pt>
                <c:pt idx="9">
                  <c:v>7.5115354069050469E-2</c:v>
                </c:pt>
                <c:pt idx="10">
                  <c:v>7.3739406100159235E-2</c:v>
                </c:pt>
                <c:pt idx="11">
                  <c:v>7.243469054094144E-2</c:v>
                </c:pt>
                <c:pt idx="12">
                  <c:v>7.1195655240084435E-2</c:v>
                </c:pt>
                <c:pt idx="13">
                  <c:v>7.0068168476153242E-2</c:v>
                </c:pt>
                <c:pt idx="14">
                  <c:v>6.9133352115008651E-2</c:v>
                </c:pt>
              </c:numCache>
            </c:numRef>
          </c:val>
          <c:smooth val="0"/>
          <c:extLst>
            <c:ext xmlns:c16="http://schemas.microsoft.com/office/drawing/2014/chart" uri="{C3380CC4-5D6E-409C-BE32-E72D297353CC}">
              <c16:uniqueId val="{00000000-FF8B-45DA-8C1B-BD5A46C8772F}"/>
            </c:ext>
          </c:extLst>
        </c:ser>
        <c:ser>
          <c:idx val="1"/>
          <c:order val="1"/>
          <c:tx>
            <c:strRef>
              <c:f>'Pathway Comparison'!$B$818</c:f>
              <c:strCache>
                <c:ptCount val="1"/>
                <c:pt idx="0">
                  <c:v>EEO</c:v>
                </c:pt>
              </c:strCache>
            </c:strRef>
          </c:tx>
          <c:spPr>
            <a:ln w="28575" cap="rnd">
              <a:solidFill>
                <a:schemeClr val="accent3">
                  <a:lumMod val="50000"/>
                </a:schemeClr>
              </a:solidFill>
              <a:round/>
            </a:ln>
            <a:effectLst/>
          </c:spPr>
          <c:marker>
            <c:symbol val="none"/>
          </c:marker>
          <c:cat>
            <c:numRef>
              <c:f>'Pathway Comparison'!$C$815:$Q$815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Comparison'!$C$818:$Q$818</c:f>
              <c:numCache>
                <c:formatCode>0.0%</c:formatCode>
                <c:ptCount val="15"/>
                <c:pt idx="0">
                  <c:v>9.6743307745435728E-2</c:v>
                </c:pt>
                <c:pt idx="1">
                  <c:v>8.3713302258396016E-2</c:v>
                </c:pt>
                <c:pt idx="2">
                  <c:v>8.2044456861066553E-2</c:v>
                </c:pt>
                <c:pt idx="3">
                  <c:v>8.0550962632492257E-2</c:v>
                </c:pt>
                <c:pt idx="4">
                  <c:v>7.8411839616602363E-2</c:v>
                </c:pt>
                <c:pt idx="5">
                  <c:v>7.6714397934499426E-2</c:v>
                </c:pt>
                <c:pt idx="6">
                  <c:v>7.4939716965217604E-2</c:v>
                </c:pt>
                <c:pt idx="7">
                  <c:v>7.2096586758210832E-2</c:v>
                </c:pt>
                <c:pt idx="8">
                  <c:v>6.9303373274945526E-2</c:v>
                </c:pt>
                <c:pt idx="9">
                  <c:v>6.6703294683522305E-2</c:v>
                </c:pt>
                <c:pt idx="10">
                  <c:v>6.4225309952168311E-2</c:v>
                </c:pt>
                <c:pt idx="11">
                  <c:v>6.1848142535423326E-2</c:v>
                </c:pt>
                <c:pt idx="12">
                  <c:v>5.958943356855291E-2</c:v>
                </c:pt>
                <c:pt idx="13">
                  <c:v>5.7480913120981046E-2</c:v>
                </c:pt>
                <c:pt idx="14">
                  <c:v>5.5579069938421877E-2</c:v>
                </c:pt>
              </c:numCache>
            </c:numRef>
          </c:val>
          <c:smooth val="0"/>
          <c:extLst>
            <c:ext xmlns:c16="http://schemas.microsoft.com/office/drawing/2014/chart" uri="{C3380CC4-5D6E-409C-BE32-E72D297353CC}">
              <c16:uniqueId val="{00000001-FF8B-45DA-8C1B-BD5A46C8772F}"/>
            </c:ext>
          </c:extLst>
        </c:ser>
        <c:ser>
          <c:idx val="2"/>
          <c:order val="2"/>
          <c:tx>
            <c:strRef>
              <c:f>'Pathway Comparison'!$B$819</c:f>
              <c:strCache>
                <c:ptCount val="1"/>
                <c:pt idx="0">
                  <c:v>VA</c:v>
                </c:pt>
              </c:strCache>
            </c:strRef>
          </c:tx>
          <c:spPr>
            <a:ln w="28575" cap="rnd">
              <a:solidFill>
                <a:schemeClr val="accent4"/>
              </a:solidFill>
              <a:round/>
            </a:ln>
            <a:effectLst/>
          </c:spPr>
          <c:marker>
            <c:symbol val="none"/>
          </c:marker>
          <c:cat>
            <c:numRef>
              <c:f>'Pathway Comparison'!$C$815:$Q$815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Comparison'!$C$819:$Q$819</c:f>
              <c:numCache>
                <c:formatCode>0.0%</c:formatCode>
                <c:ptCount val="15"/>
                <c:pt idx="0">
                  <c:v>9.6743307745435728E-2</c:v>
                </c:pt>
                <c:pt idx="1">
                  <c:v>8.3712973926733422E-2</c:v>
                </c:pt>
                <c:pt idx="2">
                  <c:v>8.2044028279348646E-2</c:v>
                </c:pt>
                <c:pt idx="3">
                  <c:v>8.0545575437931075E-2</c:v>
                </c:pt>
                <c:pt idx="4">
                  <c:v>7.7743255803853703E-2</c:v>
                </c:pt>
                <c:pt idx="5">
                  <c:v>7.61752926247284E-2</c:v>
                </c:pt>
                <c:pt idx="6">
                  <c:v>7.4532687653073484E-2</c:v>
                </c:pt>
                <c:pt idx="7">
                  <c:v>7.1833498767292461E-2</c:v>
                </c:pt>
                <c:pt idx="8">
                  <c:v>6.9177697384782882E-2</c:v>
                </c:pt>
                <c:pt idx="9">
                  <c:v>6.6726295353373211E-2</c:v>
                </c:pt>
                <c:pt idx="10">
                  <c:v>6.4424691014898755E-2</c:v>
                </c:pt>
                <c:pt idx="11">
                  <c:v>6.2225890261163971E-2</c:v>
                </c:pt>
                <c:pt idx="12">
                  <c:v>6.0147113058707395E-2</c:v>
                </c:pt>
                <c:pt idx="13">
                  <c:v>5.8220156662434332E-2</c:v>
                </c:pt>
                <c:pt idx="14">
                  <c:v>5.6505028459837549E-2</c:v>
                </c:pt>
              </c:numCache>
            </c:numRef>
          </c:val>
          <c:smooth val="0"/>
          <c:extLst>
            <c:ext xmlns:c16="http://schemas.microsoft.com/office/drawing/2014/chart" uri="{C3380CC4-5D6E-409C-BE32-E72D297353CC}">
              <c16:uniqueId val="{00000002-FF8B-45DA-8C1B-BD5A46C8772F}"/>
            </c:ext>
          </c:extLst>
        </c:ser>
        <c:ser>
          <c:idx val="3"/>
          <c:order val="3"/>
          <c:tx>
            <c:strRef>
              <c:f>'Pathway Comparison'!$B$820</c:f>
              <c:strCache>
                <c:ptCount val="1"/>
                <c:pt idx="0">
                  <c:v>Renowave</c:v>
                </c:pt>
              </c:strCache>
            </c:strRef>
          </c:tx>
          <c:spPr>
            <a:ln w="28575" cap="rnd">
              <a:solidFill>
                <a:schemeClr val="accent5"/>
              </a:solidFill>
              <a:round/>
            </a:ln>
            <a:effectLst/>
          </c:spPr>
          <c:marker>
            <c:symbol val="none"/>
          </c:marker>
          <c:cat>
            <c:numRef>
              <c:f>'Pathway Comparison'!$C$815:$Q$815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Comparison'!$C$820:$Q$820</c:f>
              <c:numCache>
                <c:formatCode>0.0%</c:formatCode>
                <c:ptCount val="15"/>
                <c:pt idx="0">
                  <c:v>9.6743307745435728E-2</c:v>
                </c:pt>
                <c:pt idx="1">
                  <c:v>8.3712973926733422E-2</c:v>
                </c:pt>
                <c:pt idx="2">
                  <c:v>8.2044028279348646E-2</c:v>
                </c:pt>
                <c:pt idx="3">
                  <c:v>8.0645222647612438E-2</c:v>
                </c:pt>
                <c:pt idx="4">
                  <c:v>7.8052381046382319E-2</c:v>
                </c:pt>
                <c:pt idx="5">
                  <c:v>7.4674449329166462E-2</c:v>
                </c:pt>
                <c:pt idx="6">
                  <c:v>7.1297286537139917E-2</c:v>
                </c:pt>
                <c:pt idx="7">
                  <c:v>6.7005430996397539E-2</c:v>
                </c:pt>
                <c:pt idx="8">
                  <c:v>6.2883473982284541E-2</c:v>
                </c:pt>
                <c:pt idx="9">
                  <c:v>5.9053967543475923E-2</c:v>
                </c:pt>
                <c:pt idx="10">
                  <c:v>5.5441286225135708E-2</c:v>
                </c:pt>
                <c:pt idx="11">
                  <c:v>5.2017843962150964E-2</c:v>
                </c:pt>
                <c:pt idx="12">
                  <c:v>4.8790531440053679E-2</c:v>
                </c:pt>
                <c:pt idx="13">
                  <c:v>4.5775944402969698E-2</c:v>
                </c:pt>
                <c:pt idx="14">
                  <c:v>4.3011511212614408E-2</c:v>
                </c:pt>
              </c:numCache>
            </c:numRef>
          </c:val>
          <c:smooth val="0"/>
          <c:extLst>
            <c:ext xmlns:c16="http://schemas.microsoft.com/office/drawing/2014/chart" uri="{C3380CC4-5D6E-409C-BE32-E72D297353CC}">
              <c16:uniqueId val="{00000003-FF8B-45DA-8C1B-BD5A46C8772F}"/>
            </c:ext>
          </c:extLst>
        </c:ser>
        <c:ser>
          <c:idx val="4"/>
          <c:order val="4"/>
          <c:tx>
            <c:strRef>
              <c:f>'Pathway Comparison'!$B$821</c:f>
              <c:strCache>
                <c:ptCount val="1"/>
                <c:pt idx="0">
                  <c:v>EET</c:v>
                </c:pt>
              </c:strCache>
            </c:strRef>
          </c:tx>
          <c:spPr>
            <a:ln w="28575" cap="rnd">
              <a:solidFill>
                <a:schemeClr val="accent2"/>
              </a:solidFill>
              <a:round/>
            </a:ln>
            <a:effectLst/>
          </c:spPr>
          <c:marker>
            <c:symbol val="none"/>
          </c:marker>
          <c:cat>
            <c:numRef>
              <c:f>'Pathway Comparison'!$C$815:$Q$815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Comparison'!$C$821:$Q$821</c:f>
              <c:numCache>
                <c:formatCode>0.0%</c:formatCode>
                <c:ptCount val="15"/>
                <c:pt idx="0">
                  <c:v>9.5124096058611537E-2</c:v>
                </c:pt>
                <c:pt idx="1">
                  <c:v>8.2564884609969399E-2</c:v>
                </c:pt>
                <c:pt idx="2">
                  <c:v>8.1242507791473198E-2</c:v>
                </c:pt>
                <c:pt idx="3">
                  <c:v>7.7926295987201993E-2</c:v>
                </c:pt>
                <c:pt idx="4">
                  <c:v>7.5001388642319061E-2</c:v>
                </c:pt>
                <c:pt idx="5">
                  <c:v>7.501438152904237E-2</c:v>
                </c:pt>
                <c:pt idx="6">
                  <c:v>7.4262361290275386E-2</c:v>
                </c:pt>
                <c:pt idx="7">
                  <c:v>7.1760966163704573E-2</c:v>
                </c:pt>
                <c:pt idx="8">
                  <c:v>6.9250527083863297E-2</c:v>
                </c:pt>
                <c:pt idx="9">
                  <c:v>6.6946293541392574E-2</c:v>
                </c:pt>
                <c:pt idx="10">
                  <c:v>6.4857951113428833E-2</c:v>
                </c:pt>
                <c:pt idx="11">
                  <c:v>6.2801955448920338E-2</c:v>
                </c:pt>
                <c:pt idx="12">
                  <c:v>6.0855711308294994E-2</c:v>
                </c:pt>
                <c:pt idx="13">
                  <c:v>5.9052247620770756E-2</c:v>
                </c:pt>
                <c:pt idx="14">
                  <c:v>5.7452975722319909E-2</c:v>
                </c:pt>
              </c:numCache>
            </c:numRef>
          </c:val>
          <c:smooth val="0"/>
          <c:extLst>
            <c:ext xmlns:c16="http://schemas.microsoft.com/office/drawing/2014/chart" uri="{C3380CC4-5D6E-409C-BE32-E72D297353CC}">
              <c16:uniqueId val="{00000004-FF8B-45DA-8C1B-BD5A46C8772F}"/>
            </c:ext>
          </c:extLst>
        </c:ser>
        <c:ser>
          <c:idx val="5"/>
          <c:order val="5"/>
          <c:tx>
            <c:strRef>
              <c:f>'Pathway Comparison'!$B$822</c:f>
              <c:strCache>
                <c:ptCount val="1"/>
                <c:pt idx="0">
                  <c:v>CEER1</c:v>
                </c:pt>
              </c:strCache>
            </c:strRef>
          </c:tx>
          <c:spPr>
            <a:ln w="28575" cap="rnd">
              <a:solidFill>
                <a:schemeClr val="accent1">
                  <a:lumMod val="75000"/>
                  <a:lumOff val="25000"/>
                </a:schemeClr>
              </a:solidFill>
              <a:round/>
            </a:ln>
            <a:effectLst/>
          </c:spPr>
          <c:marker>
            <c:symbol val="none"/>
          </c:marker>
          <c:cat>
            <c:numRef>
              <c:f>'Pathway Comparison'!$C$815:$Q$815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Comparison'!$C$822:$Q$822</c:f>
              <c:numCache>
                <c:formatCode>0.0%</c:formatCode>
                <c:ptCount val="15"/>
                <c:pt idx="0">
                  <c:v>9.5644102034602704E-2</c:v>
                </c:pt>
                <c:pt idx="1">
                  <c:v>8.3211803998416586E-2</c:v>
                </c:pt>
                <c:pt idx="2">
                  <c:v>8.1672149880162359E-2</c:v>
                </c:pt>
                <c:pt idx="3">
                  <c:v>7.9545808922553932E-2</c:v>
                </c:pt>
                <c:pt idx="4">
                  <c:v>7.6331925615161736E-2</c:v>
                </c:pt>
                <c:pt idx="5">
                  <c:v>7.5173733702779286E-2</c:v>
                </c:pt>
                <c:pt idx="6">
                  <c:v>7.3568089485292018E-2</c:v>
                </c:pt>
                <c:pt idx="7">
                  <c:v>7.0741085327399783E-2</c:v>
                </c:pt>
                <c:pt idx="8">
                  <c:v>6.7921006058234437E-2</c:v>
                </c:pt>
                <c:pt idx="9">
                  <c:v>6.5332106238153081E-2</c:v>
                </c:pt>
                <c:pt idx="10">
                  <c:v>6.2931740268998199E-2</c:v>
                </c:pt>
                <c:pt idx="11">
                  <c:v>6.061466330469073E-2</c:v>
                </c:pt>
                <c:pt idx="12">
                  <c:v>5.8426496875612625E-2</c:v>
                </c:pt>
                <c:pt idx="13">
                  <c:v>5.6396763234746863E-2</c:v>
                </c:pt>
                <c:pt idx="14">
                  <c:v>5.4582479979592764E-2</c:v>
                </c:pt>
              </c:numCache>
            </c:numRef>
          </c:val>
          <c:smooth val="0"/>
          <c:extLst>
            <c:ext xmlns:c16="http://schemas.microsoft.com/office/drawing/2014/chart" uri="{C3380CC4-5D6E-409C-BE32-E72D297353CC}">
              <c16:uniqueId val="{00000005-FF8B-45DA-8C1B-BD5A46C8772F}"/>
            </c:ext>
          </c:extLst>
        </c:ser>
        <c:ser>
          <c:idx val="6"/>
          <c:order val="6"/>
          <c:tx>
            <c:strRef>
              <c:f>'Pathway Comparison'!$B$823</c:f>
              <c:strCache>
                <c:ptCount val="1"/>
                <c:pt idx="0">
                  <c:v>CEER2</c:v>
                </c:pt>
              </c:strCache>
            </c:strRef>
          </c:tx>
          <c:spPr>
            <a:ln w="28575" cap="rnd">
              <a:solidFill>
                <a:schemeClr val="accent1"/>
              </a:solidFill>
              <a:round/>
            </a:ln>
            <a:effectLst/>
          </c:spPr>
          <c:marker>
            <c:symbol val="none"/>
          </c:marker>
          <c:cat>
            <c:numRef>
              <c:f>'Pathway Comparison'!$C$815:$Q$815</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Comparison'!$C$823:$Q$823</c:f>
              <c:numCache>
                <c:formatCode>0.0%</c:formatCode>
                <c:ptCount val="15"/>
                <c:pt idx="0">
                  <c:v>9.5644102034602704E-2</c:v>
                </c:pt>
                <c:pt idx="1">
                  <c:v>8.3211803998416586E-2</c:v>
                </c:pt>
                <c:pt idx="2">
                  <c:v>8.1672149880162359E-2</c:v>
                </c:pt>
                <c:pt idx="3">
                  <c:v>7.9545808922553932E-2</c:v>
                </c:pt>
                <c:pt idx="4">
                  <c:v>7.4339884064694203E-2</c:v>
                </c:pt>
                <c:pt idx="5">
                  <c:v>7.2512122494241257E-2</c:v>
                </c:pt>
                <c:pt idx="6">
                  <c:v>7.0281088152139765E-2</c:v>
                </c:pt>
                <c:pt idx="7">
                  <c:v>6.6935721484971025E-2</c:v>
                </c:pt>
                <c:pt idx="8">
                  <c:v>6.3648514037690021E-2</c:v>
                </c:pt>
                <c:pt idx="9">
                  <c:v>6.0627989852778119E-2</c:v>
                </c:pt>
                <c:pt idx="10">
                  <c:v>5.7886504011915758E-2</c:v>
                </c:pt>
                <c:pt idx="11">
                  <c:v>5.5234506149354143E-2</c:v>
                </c:pt>
                <c:pt idx="12">
                  <c:v>5.2735517595879515E-2</c:v>
                </c:pt>
                <c:pt idx="13">
                  <c:v>5.0412086304451396E-2</c:v>
                </c:pt>
                <c:pt idx="14">
                  <c:v>4.8311766540814573E-2</c:v>
                </c:pt>
              </c:numCache>
            </c:numRef>
          </c:val>
          <c:smooth val="0"/>
          <c:extLst>
            <c:ext xmlns:c16="http://schemas.microsoft.com/office/drawing/2014/chart" uri="{C3380CC4-5D6E-409C-BE32-E72D297353CC}">
              <c16:uniqueId val="{00000006-FF8B-45DA-8C1B-BD5A46C8772F}"/>
            </c:ext>
          </c:extLst>
        </c:ser>
        <c:dLbls>
          <c:showLegendKey val="0"/>
          <c:showVal val="0"/>
          <c:showCatName val="0"/>
          <c:showSerName val="0"/>
          <c:showPercent val="0"/>
          <c:showBubbleSize val="0"/>
        </c:dLbls>
        <c:smooth val="0"/>
        <c:axId val="510811695"/>
        <c:axId val="1948635039"/>
      </c:lineChart>
      <c:catAx>
        <c:axId val="51081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948635039"/>
        <c:crosses val="autoZero"/>
        <c:auto val="1"/>
        <c:lblAlgn val="ctr"/>
        <c:lblOffset val="100"/>
        <c:noMultiLvlLbl val="0"/>
      </c:catAx>
      <c:valAx>
        <c:axId val="1948635039"/>
        <c:scaling>
          <c:orientation val="minMax"/>
          <c:max val="0.1"/>
          <c:min val="4.0000000000000008E-2"/>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51081169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'Exec. Sum'!$B$44</c:f>
              <c:strCache>
                <c:ptCount val="1"/>
                <c:pt idx="0">
                  <c:v>Industry</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Sum'!$C$43:$I$43</c:f>
              <c:strCache>
                <c:ptCount val="7"/>
                <c:pt idx="0">
                  <c:v>Baseline</c:v>
                </c:pt>
                <c:pt idx="1">
                  <c:v>EEO</c:v>
                </c:pt>
                <c:pt idx="2">
                  <c:v>VA</c:v>
                </c:pt>
                <c:pt idx="3">
                  <c:v>Reno wave</c:v>
                </c:pt>
                <c:pt idx="4">
                  <c:v>EET</c:v>
                </c:pt>
                <c:pt idx="5">
                  <c:v>CEER1</c:v>
                </c:pt>
                <c:pt idx="6">
                  <c:v>CEER2</c:v>
                </c:pt>
              </c:strCache>
            </c:strRef>
          </c:cat>
          <c:val>
            <c:numRef>
              <c:f>'Exec. Sum'!$C$44:$I$44</c:f>
              <c:numCache>
                <c:formatCode>0.0</c:formatCode>
                <c:ptCount val="7"/>
                <c:pt idx="0">
                  <c:v>2.1865367716326678</c:v>
                </c:pt>
                <c:pt idx="1">
                  <c:v>3.3118980488134642</c:v>
                </c:pt>
                <c:pt idx="2">
                  <c:v>3.9300311087334685</c:v>
                </c:pt>
                <c:pt idx="3">
                  <c:v>2.6749923899522252</c:v>
                </c:pt>
                <c:pt idx="4">
                  <c:v>2.6749923899522252</c:v>
                </c:pt>
                <c:pt idx="5">
                  <c:v>3.1860477902600159</c:v>
                </c:pt>
                <c:pt idx="6">
                  <c:v>3.7665165557597846</c:v>
                </c:pt>
              </c:numCache>
            </c:numRef>
          </c:val>
          <c:extLst>
            <c:ext xmlns:c16="http://schemas.microsoft.com/office/drawing/2014/chart" uri="{C3380CC4-5D6E-409C-BE32-E72D297353CC}">
              <c16:uniqueId val="{00000000-A819-422E-877C-664B267828AD}"/>
            </c:ext>
          </c:extLst>
        </c:ser>
        <c:ser>
          <c:idx val="1"/>
          <c:order val="1"/>
          <c:tx>
            <c:strRef>
              <c:f>'Exec. Sum'!$B$45</c:f>
              <c:strCache>
                <c:ptCount val="1"/>
                <c:pt idx="0">
                  <c:v>Households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bg1"/>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Sum'!$C$43:$I$43</c:f>
              <c:strCache>
                <c:ptCount val="7"/>
                <c:pt idx="0">
                  <c:v>Baseline</c:v>
                </c:pt>
                <c:pt idx="1">
                  <c:v>EEO</c:v>
                </c:pt>
                <c:pt idx="2">
                  <c:v>VA</c:v>
                </c:pt>
                <c:pt idx="3">
                  <c:v>Reno wave</c:v>
                </c:pt>
                <c:pt idx="4">
                  <c:v>EET</c:v>
                </c:pt>
                <c:pt idx="5">
                  <c:v>CEER1</c:v>
                </c:pt>
                <c:pt idx="6">
                  <c:v>CEER2</c:v>
                </c:pt>
              </c:strCache>
            </c:strRef>
          </c:cat>
          <c:val>
            <c:numRef>
              <c:f>'Exec. Sum'!$C$45:$I$45</c:f>
              <c:numCache>
                <c:formatCode>0.0</c:formatCode>
                <c:ptCount val="7"/>
                <c:pt idx="0">
                  <c:v>1.2177262273464082</c:v>
                </c:pt>
                <c:pt idx="1">
                  <c:v>4.8309049239447255</c:v>
                </c:pt>
                <c:pt idx="2">
                  <c:v>4.5664765715937845</c:v>
                </c:pt>
                <c:pt idx="3">
                  <c:v>8.8692653420667131</c:v>
                </c:pt>
                <c:pt idx="4">
                  <c:v>4.1599360800979905</c:v>
                </c:pt>
                <c:pt idx="5">
                  <c:v>5.0868484007084023</c:v>
                </c:pt>
                <c:pt idx="6">
                  <c:v>6.7536644158411621</c:v>
                </c:pt>
              </c:numCache>
            </c:numRef>
          </c:val>
          <c:extLst>
            <c:ext xmlns:c16="http://schemas.microsoft.com/office/drawing/2014/chart" uri="{C3380CC4-5D6E-409C-BE32-E72D297353CC}">
              <c16:uniqueId val="{00000001-A819-422E-877C-664B267828AD}"/>
            </c:ext>
          </c:extLst>
        </c:ser>
        <c:ser>
          <c:idx val="2"/>
          <c:order val="2"/>
          <c:tx>
            <c:strRef>
              <c:f>'Exec. Sum'!$B$46</c:f>
              <c:strCache>
                <c:ptCount val="1"/>
                <c:pt idx="0">
                  <c:v>Services</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Sum'!$C$43:$I$43</c:f>
              <c:strCache>
                <c:ptCount val="7"/>
                <c:pt idx="0">
                  <c:v>Baseline</c:v>
                </c:pt>
                <c:pt idx="1">
                  <c:v>EEO</c:v>
                </c:pt>
                <c:pt idx="2">
                  <c:v>VA</c:v>
                </c:pt>
                <c:pt idx="3">
                  <c:v>Reno wave</c:v>
                </c:pt>
                <c:pt idx="4">
                  <c:v>EET</c:v>
                </c:pt>
                <c:pt idx="5">
                  <c:v>CEER1</c:v>
                </c:pt>
                <c:pt idx="6">
                  <c:v>CEER2</c:v>
                </c:pt>
              </c:strCache>
            </c:strRef>
          </c:cat>
          <c:val>
            <c:numRef>
              <c:f>'Exec. Sum'!$C$46:$I$46</c:f>
              <c:numCache>
                <c:formatCode>0.0</c:formatCode>
                <c:ptCount val="7"/>
                <c:pt idx="0">
                  <c:v>0.80183992043336738</c:v>
                </c:pt>
                <c:pt idx="1">
                  <c:v>3.1090963974119177</c:v>
                </c:pt>
                <c:pt idx="2">
                  <c:v>1.9157959570342364</c:v>
                </c:pt>
                <c:pt idx="3">
                  <c:v>2.5515513820642841</c:v>
                </c:pt>
                <c:pt idx="4">
                  <c:v>1.9157959570342364</c:v>
                </c:pt>
                <c:pt idx="5">
                  <c:v>2.0792236512488258</c:v>
                </c:pt>
                <c:pt idx="6">
                  <c:v>2.9160273820642848</c:v>
                </c:pt>
              </c:numCache>
            </c:numRef>
          </c:val>
          <c:extLst>
            <c:ext xmlns:c16="http://schemas.microsoft.com/office/drawing/2014/chart" uri="{C3380CC4-5D6E-409C-BE32-E72D297353CC}">
              <c16:uniqueId val="{00000002-A819-422E-877C-664B267828AD}"/>
            </c:ext>
          </c:extLst>
        </c:ser>
        <c:ser>
          <c:idx val="3"/>
          <c:order val="3"/>
          <c:tx>
            <c:strRef>
              <c:f>'Exec. Sum'!$B$47</c:f>
              <c:strCache>
                <c:ptCount val="1"/>
                <c:pt idx="0">
                  <c:v>Transport</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Sum'!$C$43:$I$43</c:f>
              <c:strCache>
                <c:ptCount val="7"/>
                <c:pt idx="0">
                  <c:v>Baseline</c:v>
                </c:pt>
                <c:pt idx="1">
                  <c:v>EEO</c:v>
                </c:pt>
                <c:pt idx="2">
                  <c:v>VA</c:v>
                </c:pt>
                <c:pt idx="3">
                  <c:v>Reno wave</c:v>
                </c:pt>
                <c:pt idx="4">
                  <c:v>EET</c:v>
                </c:pt>
                <c:pt idx="5">
                  <c:v>CEER1</c:v>
                </c:pt>
                <c:pt idx="6">
                  <c:v>CEER2</c:v>
                </c:pt>
              </c:strCache>
            </c:strRef>
          </c:cat>
          <c:val>
            <c:numRef>
              <c:f>'Exec. Sum'!$C$47:$I$47</c:f>
              <c:numCache>
                <c:formatCode>0.0</c:formatCode>
                <c:ptCount val="7"/>
                <c:pt idx="0">
                  <c:v>1.1451391013546304</c:v>
                </c:pt>
                <c:pt idx="1">
                  <c:v>3.0971042639358553</c:v>
                </c:pt>
                <c:pt idx="2">
                  <c:v>3.0971042639358553</c:v>
                </c:pt>
                <c:pt idx="3">
                  <c:v>3.0971042639358553</c:v>
                </c:pt>
                <c:pt idx="4">
                  <c:v>8.473634063255945</c:v>
                </c:pt>
                <c:pt idx="5">
                  <c:v>5.8506156974389256</c:v>
                </c:pt>
                <c:pt idx="6">
                  <c:v>7.1158562854781682</c:v>
                </c:pt>
              </c:numCache>
            </c:numRef>
          </c:val>
          <c:extLst>
            <c:ext xmlns:c16="http://schemas.microsoft.com/office/drawing/2014/chart" uri="{C3380CC4-5D6E-409C-BE32-E72D297353CC}">
              <c16:uniqueId val="{00000003-A819-422E-877C-664B267828AD}"/>
            </c:ext>
          </c:extLst>
        </c:ser>
        <c:ser>
          <c:idx val="4"/>
          <c:order val="4"/>
          <c:tx>
            <c:strRef>
              <c:f>'Exec. Sum'!$B$48</c:f>
              <c:strCache>
                <c:ptCount val="1"/>
                <c:pt idx="0">
                  <c:v>Agriculture, fishing and forestry</c:v>
                </c:pt>
              </c:strCache>
            </c:strRef>
          </c:tx>
          <c:spPr>
            <a:solidFill>
              <a:srgbClr val="993366"/>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chemeClr val="tx1">
                        <a:lumMod val="75000"/>
                        <a:lumOff val="25000"/>
                      </a:schemeClr>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Sum'!$C$43:$I$43</c:f>
              <c:strCache>
                <c:ptCount val="7"/>
                <c:pt idx="0">
                  <c:v>Baseline</c:v>
                </c:pt>
                <c:pt idx="1">
                  <c:v>EEO</c:v>
                </c:pt>
                <c:pt idx="2">
                  <c:v>VA</c:v>
                </c:pt>
                <c:pt idx="3">
                  <c:v>Reno wave</c:v>
                </c:pt>
                <c:pt idx="4">
                  <c:v>EET</c:v>
                </c:pt>
                <c:pt idx="5">
                  <c:v>CEER1</c:v>
                </c:pt>
                <c:pt idx="6">
                  <c:v>CEER2</c:v>
                </c:pt>
              </c:strCache>
            </c:strRef>
          </c:cat>
          <c:val>
            <c:numRef>
              <c:f>'Exec. Sum'!$C$48:$I$48</c:f>
              <c:numCache>
                <c:formatCode>0.0</c:formatCode>
                <c:ptCount val="7"/>
                <c:pt idx="0">
                  <c:v>0.11037534036960216</c:v>
                </c:pt>
                <c:pt idx="1">
                  <c:v>0.17837534036960215</c:v>
                </c:pt>
                <c:pt idx="2">
                  <c:v>0.17837534036960215</c:v>
                </c:pt>
                <c:pt idx="3">
                  <c:v>0.17837534036960215</c:v>
                </c:pt>
                <c:pt idx="4">
                  <c:v>0.17837534036960215</c:v>
                </c:pt>
                <c:pt idx="5">
                  <c:v>0.17837534036960215</c:v>
                </c:pt>
                <c:pt idx="6">
                  <c:v>0.17837534036960215</c:v>
                </c:pt>
              </c:numCache>
            </c:numRef>
          </c:val>
          <c:extLst>
            <c:ext xmlns:c16="http://schemas.microsoft.com/office/drawing/2014/chart" uri="{C3380CC4-5D6E-409C-BE32-E72D297353CC}">
              <c16:uniqueId val="{00000004-A819-422E-877C-664B267828AD}"/>
            </c:ext>
          </c:extLst>
        </c:ser>
        <c:dLbls>
          <c:showLegendKey val="0"/>
          <c:showVal val="0"/>
          <c:showCatName val="0"/>
          <c:showSerName val="0"/>
          <c:showPercent val="0"/>
          <c:showBubbleSize val="0"/>
        </c:dLbls>
        <c:gapWidth val="150"/>
        <c:overlap val="100"/>
        <c:axId val="1089024272"/>
        <c:axId val="1089024752"/>
      </c:barChart>
      <c:lineChart>
        <c:grouping val="standard"/>
        <c:varyColors val="0"/>
        <c:ser>
          <c:idx val="5"/>
          <c:order val="5"/>
          <c:tx>
            <c:strRef>
              <c:f>'Exec. Sum'!$B$49</c:f>
              <c:strCache>
                <c:ptCount val="1"/>
                <c:pt idx="0">
                  <c:v>EED recast target (2023)</c:v>
                </c:pt>
              </c:strCache>
            </c:strRef>
          </c:tx>
          <c:spPr>
            <a:ln w="28575" cap="rnd">
              <a:solidFill>
                <a:schemeClr val="accent3"/>
              </a:solidFill>
              <a:round/>
            </a:ln>
            <a:effectLst/>
          </c:spPr>
          <c:marker>
            <c:symbol val="none"/>
          </c:marker>
          <c:cat>
            <c:strRef>
              <c:f>'Exec. Sum'!$C$43:$I$43</c:f>
              <c:strCache>
                <c:ptCount val="7"/>
                <c:pt idx="0">
                  <c:v>Baseline</c:v>
                </c:pt>
                <c:pt idx="1">
                  <c:v>EEO</c:v>
                </c:pt>
                <c:pt idx="2">
                  <c:v>VA</c:v>
                </c:pt>
                <c:pt idx="3">
                  <c:v>Reno wave</c:v>
                </c:pt>
                <c:pt idx="4">
                  <c:v>EET</c:v>
                </c:pt>
                <c:pt idx="5">
                  <c:v>CEER1</c:v>
                </c:pt>
                <c:pt idx="6">
                  <c:v>CEER2</c:v>
                </c:pt>
              </c:strCache>
            </c:strRef>
          </c:cat>
          <c:val>
            <c:numRef>
              <c:f>'Exec. Sum'!$C$49:$I$49</c:f>
              <c:numCache>
                <c:formatCode>0.0</c:formatCode>
                <c:ptCount val="7"/>
                <c:pt idx="0">
                  <c:v>21.279</c:v>
                </c:pt>
                <c:pt idx="1">
                  <c:v>21.279</c:v>
                </c:pt>
                <c:pt idx="2">
                  <c:v>21.279</c:v>
                </c:pt>
                <c:pt idx="3">
                  <c:v>21.279</c:v>
                </c:pt>
                <c:pt idx="4">
                  <c:v>21.279</c:v>
                </c:pt>
                <c:pt idx="5">
                  <c:v>21.279</c:v>
                </c:pt>
                <c:pt idx="6">
                  <c:v>21.279</c:v>
                </c:pt>
              </c:numCache>
            </c:numRef>
          </c:val>
          <c:smooth val="0"/>
          <c:extLst>
            <c:ext xmlns:c16="http://schemas.microsoft.com/office/drawing/2014/chart" uri="{C3380CC4-5D6E-409C-BE32-E72D297353CC}">
              <c16:uniqueId val="{00000005-A819-422E-877C-664B267828AD}"/>
            </c:ext>
          </c:extLst>
        </c:ser>
        <c:dLbls>
          <c:showLegendKey val="0"/>
          <c:showVal val="0"/>
          <c:showCatName val="0"/>
          <c:showSerName val="0"/>
          <c:showPercent val="0"/>
          <c:showBubbleSize val="0"/>
        </c:dLbls>
        <c:marker val="1"/>
        <c:smooth val="0"/>
        <c:axId val="500246048"/>
        <c:axId val="347029263"/>
      </c:lineChart>
      <c:catAx>
        <c:axId val="108902427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t-EE"/>
          </a:p>
        </c:txPr>
        <c:crossAx val="1089024752"/>
        <c:crosses val="autoZero"/>
        <c:auto val="1"/>
        <c:lblAlgn val="ctr"/>
        <c:lblOffset val="100"/>
        <c:noMultiLvlLbl val="0"/>
      </c:catAx>
      <c:valAx>
        <c:axId val="1089024752"/>
        <c:scaling>
          <c:orientation val="minMax"/>
        </c:scaling>
        <c:delete val="0"/>
        <c:axPos val="l"/>
        <c:majorGridlines>
          <c:spPr>
            <a:ln w="9525" cap="flat" cmpd="sng" algn="ctr">
              <a:solidFill>
                <a:schemeClr val="tx1">
                  <a:lumMod val="15000"/>
                  <a:lumOff val="85000"/>
                </a:schemeClr>
              </a:solidFill>
              <a:round/>
            </a:ln>
            <a:effectLst/>
          </c:spPr>
        </c:majorGridlines>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t-EE"/>
          </a:p>
        </c:txPr>
        <c:crossAx val="1089024272"/>
        <c:crosses val="autoZero"/>
        <c:crossBetween val="between"/>
      </c:valAx>
      <c:valAx>
        <c:axId val="347029263"/>
        <c:scaling>
          <c:orientation val="minMax"/>
        </c:scaling>
        <c:delete val="0"/>
        <c:axPos val="r"/>
        <c:numFmt formatCode="0.0" sourceLinked="1"/>
        <c:majorTickMark val="out"/>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t-EE"/>
          </a:p>
        </c:txPr>
        <c:crossAx val="500246048"/>
        <c:crosses val="max"/>
        <c:crossBetween val="between"/>
      </c:valAx>
      <c:catAx>
        <c:axId val="500246048"/>
        <c:scaling>
          <c:orientation val="minMax"/>
        </c:scaling>
        <c:delete val="1"/>
        <c:axPos val="b"/>
        <c:numFmt formatCode="General" sourceLinked="1"/>
        <c:majorTickMark val="out"/>
        <c:minorTickMark val="none"/>
        <c:tickLblPos val="nextTo"/>
        <c:crossAx val="347029263"/>
        <c:crosses val="autoZero"/>
        <c:auto val="1"/>
        <c:lblAlgn val="ctr"/>
        <c:lblOffset val="100"/>
        <c:noMultiLvlLbl val="0"/>
      </c:catAx>
      <c:spPr>
        <a:no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chemeClr val="tx1">
                  <a:lumMod val="65000"/>
                  <a:lumOff val="35000"/>
                </a:schemeClr>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600"/>
      </a:pPr>
      <a:endParaRPr lang="et-EE"/>
    </a:p>
  </c:txPr>
  <c:printSettings>
    <c:headerFooter/>
    <c:pageMargins b="0.75" l="0.7" r="0.7" t="0.75" header="0.3" footer="0.3"/>
    <c:pageSetup/>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0"/>
          <c:order val="0"/>
          <c:tx>
            <c:strRef>
              <c:f>'Pathway Comparison'!$B$851</c:f>
              <c:strCache>
                <c:ptCount val="1"/>
                <c:pt idx="0">
                  <c:v>Baseline</c:v>
                </c:pt>
              </c:strCache>
            </c:strRef>
          </c:tx>
          <c:spPr>
            <a:ln w="28575" cap="rnd">
              <a:solidFill>
                <a:schemeClr val="bg1">
                  <a:lumMod val="65000"/>
                </a:schemeClr>
              </a:solidFill>
              <a:prstDash val="sysDot"/>
              <a:round/>
            </a:ln>
            <a:effectLst/>
          </c:spPr>
          <c:marker>
            <c:symbol val="none"/>
          </c:marker>
          <c:cat>
            <c:numRef>
              <c:f>'Pathway Comparison'!$C$849:$Q$849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Comparison'!$C$851:$Q$851</c:f>
              <c:numCache>
                <c:formatCode>0</c:formatCode>
                <c:ptCount val="15"/>
                <c:pt idx="0">
                  <c:v>653.09919543081423</c:v>
                </c:pt>
                <c:pt idx="1">
                  <c:v>679.64963069437954</c:v>
                </c:pt>
                <c:pt idx="2">
                  <c:v>680.89773751346058</c:v>
                </c:pt>
                <c:pt idx="3">
                  <c:v>683.41759069068166</c:v>
                </c:pt>
                <c:pt idx="4">
                  <c:v>685.99368042191122</c:v>
                </c:pt>
                <c:pt idx="5">
                  <c:v>686.27104032651994</c:v>
                </c:pt>
                <c:pt idx="6">
                  <c:v>686.18881406090043</c:v>
                </c:pt>
                <c:pt idx="7">
                  <c:v>670.39615973311163</c:v>
                </c:pt>
                <c:pt idx="8">
                  <c:v>667.85243983264911</c:v>
                </c:pt>
                <c:pt idx="9">
                  <c:v>665.1683508208273</c:v>
                </c:pt>
                <c:pt idx="10">
                  <c:v>662.70773263943715</c:v>
                </c:pt>
                <c:pt idx="11">
                  <c:v>660.29948918643674</c:v>
                </c:pt>
                <c:pt idx="12">
                  <c:v>657.9477421581264</c:v>
                </c:pt>
                <c:pt idx="13">
                  <c:v>655.34233709484681</c:v>
                </c:pt>
                <c:pt idx="14">
                  <c:v>651.92538219160826</c:v>
                </c:pt>
              </c:numCache>
            </c:numRef>
          </c:val>
          <c:smooth val="0"/>
          <c:extLst>
            <c:ext xmlns:c16="http://schemas.microsoft.com/office/drawing/2014/chart" uri="{C3380CC4-5D6E-409C-BE32-E72D297353CC}">
              <c16:uniqueId val="{00000000-C1DA-4F33-99D9-F02FE192BD46}"/>
            </c:ext>
          </c:extLst>
        </c:ser>
        <c:ser>
          <c:idx val="1"/>
          <c:order val="1"/>
          <c:tx>
            <c:strRef>
              <c:f>'Pathway Comparison'!$B$852</c:f>
              <c:strCache>
                <c:ptCount val="1"/>
                <c:pt idx="0">
                  <c:v>EEO</c:v>
                </c:pt>
              </c:strCache>
            </c:strRef>
          </c:tx>
          <c:spPr>
            <a:ln w="28575" cap="rnd">
              <a:solidFill>
                <a:schemeClr val="accent3">
                  <a:lumMod val="50000"/>
                </a:schemeClr>
              </a:solidFill>
              <a:round/>
            </a:ln>
            <a:effectLst/>
          </c:spPr>
          <c:marker>
            <c:symbol val="none"/>
          </c:marker>
          <c:cat>
            <c:numRef>
              <c:f>'Pathway Comparison'!$C$849:$Q$849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Comparison'!$C$852:$Q$852</c:f>
              <c:numCache>
                <c:formatCode>0</c:formatCode>
                <c:ptCount val="15"/>
                <c:pt idx="0">
                  <c:v>653.09919543081423</c:v>
                </c:pt>
                <c:pt idx="1">
                  <c:v>679.64963069437954</c:v>
                </c:pt>
                <c:pt idx="2">
                  <c:v>680.89773751346058</c:v>
                </c:pt>
                <c:pt idx="3">
                  <c:v>684.07092402401497</c:v>
                </c:pt>
                <c:pt idx="4">
                  <c:v>713.99278049329473</c:v>
                </c:pt>
                <c:pt idx="5">
                  <c:v>709.38919099706004</c:v>
                </c:pt>
                <c:pt idx="6">
                  <c:v>706.69905145907626</c:v>
                </c:pt>
                <c:pt idx="7">
                  <c:v>690.63177622686317</c:v>
                </c:pt>
                <c:pt idx="8">
                  <c:v>688.31914487840982</c:v>
                </c:pt>
                <c:pt idx="9">
                  <c:v>685.70801939113881</c:v>
                </c:pt>
                <c:pt idx="10">
                  <c:v>684.7117058586183</c:v>
                </c:pt>
                <c:pt idx="11">
                  <c:v>682.73820525980193</c:v>
                </c:pt>
                <c:pt idx="12">
                  <c:v>680.82989648919227</c:v>
                </c:pt>
                <c:pt idx="13">
                  <c:v>678.67679892166871</c:v>
                </c:pt>
                <c:pt idx="14">
                  <c:v>675.72119803529984</c:v>
                </c:pt>
              </c:numCache>
            </c:numRef>
          </c:val>
          <c:smooth val="0"/>
          <c:extLst>
            <c:ext xmlns:c16="http://schemas.microsoft.com/office/drawing/2014/chart" uri="{C3380CC4-5D6E-409C-BE32-E72D297353CC}">
              <c16:uniqueId val="{00000001-C1DA-4F33-99D9-F02FE192BD46}"/>
            </c:ext>
          </c:extLst>
        </c:ser>
        <c:ser>
          <c:idx val="2"/>
          <c:order val="2"/>
          <c:tx>
            <c:strRef>
              <c:f>'Pathway Comparison'!$B$853</c:f>
              <c:strCache>
                <c:ptCount val="1"/>
                <c:pt idx="0">
                  <c:v>VA</c:v>
                </c:pt>
              </c:strCache>
            </c:strRef>
          </c:tx>
          <c:spPr>
            <a:ln w="28575" cap="rnd">
              <a:solidFill>
                <a:schemeClr val="accent4"/>
              </a:solidFill>
              <a:round/>
            </a:ln>
            <a:effectLst/>
          </c:spPr>
          <c:marker>
            <c:symbol val="none"/>
          </c:marker>
          <c:cat>
            <c:numRef>
              <c:f>'Pathway Comparison'!$C$849:$Q$849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Comparison'!$C$853:$Q$853</c:f>
              <c:numCache>
                <c:formatCode>0</c:formatCode>
                <c:ptCount val="15"/>
                <c:pt idx="0">
                  <c:v>653.09919543081423</c:v>
                </c:pt>
                <c:pt idx="1">
                  <c:v>679.64963069437954</c:v>
                </c:pt>
                <c:pt idx="2">
                  <c:v>680.89773751346058</c:v>
                </c:pt>
                <c:pt idx="3">
                  <c:v>684.07092402401497</c:v>
                </c:pt>
                <c:pt idx="4">
                  <c:v>713.00905900441387</c:v>
                </c:pt>
                <c:pt idx="5">
                  <c:v>708.59059629159594</c:v>
                </c:pt>
                <c:pt idx="6">
                  <c:v>706.00008440258694</c:v>
                </c:pt>
                <c:pt idx="7">
                  <c:v>690.06774930906374</c:v>
                </c:pt>
                <c:pt idx="8">
                  <c:v>687.92687331933939</c:v>
                </c:pt>
                <c:pt idx="9">
                  <c:v>685.43845206756464</c:v>
                </c:pt>
                <c:pt idx="10">
                  <c:v>684.43387416082658</c:v>
                </c:pt>
                <c:pt idx="11">
                  <c:v>682.45208238633973</c:v>
                </c:pt>
                <c:pt idx="12">
                  <c:v>680.53523298567654</c:v>
                </c:pt>
                <c:pt idx="13">
                  <c:v>678.37333782177166</c:v>
                </c:pt>
                <c:pt idx="14">
                  <c:v>675.40880455811362</c:v>
                </c:pt>
              </c:numCache>
            </c:numRef>
          </c:val>
          <c:smooth val="0"/>
          <c:extLst>
            <c:ext xmlns:c16="http://schemas.microsoft.com/office/drawing/2014/chart" uri="{C3380CC4-5D6E-409C-BE32-E72D297353CC}">
              <c16:uniqueId val="{00000002-C1DA-4F33-99D9-F02FE192BD46}"/>
            </c:ext>
          </c:extLst>
        </c:ser>
        <c:ser>
          <c:idx val="3"/>
          <c:order val="3"/>
          <c:tx>
            <c:strRef>
              <c:f>'Pathway Comparison'!$B$854</c:f>
              <c:strCache>
                <c:ptCount val="1"/>
                <c:pt idx="0">
                  <c:v>Renowave</c:v>
                </c:pt>
              </c:strCache>
            </c:strRef>
          </c:tx>
          <c:spPr>
            <a:ln w="28575" cap="rnd">
              <a:solidFill>
                <a:schemeClr val="accent5"/>
              </a:solidFill>
              <a:round/>
            </a:ln>
            <a:effectLst/>
          </c:spPr>
          <c:marker>
            <c:symbol val="none"/>
          </c:marker>
          <c:cat>
            <c:numRef>
              <c:f>'Pathway Comparison'!$C$849:$Q$849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Comparison'!$C$854:$Q$854</c:f>
              <c:numCache>
                <c:formatCode>0</c:formatCode>
                <c:ptCount val="15"/>
                <c:pt idx="0">
                  <c:v>653.09919543081423</c:v>
                </c:pt>
                <c:pt idx="1">
                  <c:v>679.64963069437954</c:v>
                </c:pt>
                <c:pt idx="2">
                  <c:v>680.89773751346058</c:v>
                </c:pt>
                <c:pt idx="3">
                  <c:v>683.74425735734837</c:v>
                </c:pt>
                <c:pt idx="4">
                  <c:v>733.02395150589996</c:v>
                </c:pt>
                <c:pt idx="5">
                  <c:v>728.98920472093175</c:v>
                </c:pt>
                <c:pt idx="6">
                  <c:v>726.74409065394912</c:v>
                </c:pt>
                <c:pt idx="7">
                  <c:v>711.08013420559223</c:v>
                </c:pt>
                <c:pt idx="8">
                  <c:v>709.17888738894715</c:v>
                </c:pt>
                <c:pt idx="9">
                  <c:v>706.9873731090903</c:v>
                </c:pt>
                <c:pt idx="10">
                  <c:v>706.41881211886073</c:v>
                </c:pt>
                <c:pt idx="11">
                  <c:v>704.88187191658778</c:v>
                </c:pt>
                <c:pt idx="12">
                  <c:v>703.41885420401957</c:v>
                </c:pt>
                <c:pt idx="13">
                  <c:v>701.71995304279687</c:v>
                </c:pt>
                <c:pt idx="14">
                  <c:v>699.22763211965639</c:v>
                </c:pt>
              </c:numCache>
            </c:numRef>
          </c:val>
          <c:smooth val="0"/>
          <c:extLst>
            <c:ext xmlns:c16="http://schemas.microsoft.com/office/drawing/2014/chart" uri="{C3380CC4-5D6E-409C-BE32-E72D297353CC}">
              <c16:uniqueId val="{00000003-C1DA-4F33-99D9-F02FE192BD46}"/>
            </c:ext>
          </c:extLst>
        </c:ser>
        <c:ser>
          <c:idx val="4"/>
          <c:order val="4"/>
          <c:tx>
            <c:strRef>
              <c:f>'Pathway Comparison'!$B$855</c:f>
              <c:strCache>
                <c:ptCount val="1"/>
                <c:pt idx="0">
                  <c:v>EET</c:v>
                </c:pt>
              </c:strCache>
            </c:strRef>
          </c:tx>
          <c:spPr>
            <a:ln w="28575" cap="rnd">
              <a:solidFill>
                <a:schemeClr val="accent2"/>
              </a:solidFill>
              <a:round/>
            </a:ln>
            <a:effectLst/>
          </c:spPr>
          <c:marker>
            <c:symbol val="none"/>
          </c:marker>
          <c:cat>
            <c:numRef>
              <c:f>'Pathway Comparison'!$C$849:$Q$849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Comparison'!$C$855:$Q$855</c:f>
              <c:numCache>
                <c:formatCode>0</c:formatCode>
                <c:ptCount val="15"/>
                <c:pt idx="0">
                  <c:v>653.09919543081423</c:v>
                </c:pt>
                <c:pt idx="1">
                  <c:v>679.64963069437954</c:v>
                </c:pt>
                <c:pt idx="2">
                  <c:v>680.89773751346058</c:v>
                </c:pt>
                <c:pt idx="3">
                  <c:v>683.74425735734837</c:v>
                </c:pt>
                <c:pt idx="4">
                  <c:v>740.70373106257057</c:v>
                </c:pt>
                <c:pt idx="5">
                  <c:v>719.37294728953361</c:v>
                </c:pt>
                <c:pt idx="6">
                  <c:v>704.85184976772837</c:v>
                </c:pt>
                <c:pt idx="7">
                  <c:v>687.78940325068606</c:v>
                </c:pt>
                <c:pt idx="8">
                  <c:v>685.22717495417703</c:v>
                </c:pt>
                <c:pt idx="9">
                  <c:v>682.11601436456579</c:v>
                </c:pt>
                <c:pt idx="10">
                  <c:v>682.16314510522125</c:v>
                </c:pt>
                <c:pt idx="11">
                  <c:v>680.1388002020667</c:v>
                </c:pt>
                <c:pt idx="12">
                  <c:v>678.17862969459918</c:v>
                </c:pt>
                <c:pt idx="13">
                  <c:v>675.97263268257927</c:v>
                </c:pt>
                <c:pt idx="14">
                  <c:v>672.96307399162549</c:v>
                </c:pt>
              </c:numCache>
            </c:numRef>
          </c:val>
          <c:smooth val="0"/>
          <c:extLst>
            <c:ext xmlns:c16="http://schemas.microsoft.com/office/drawing/2014/chart" uri="{C3380CC4-5D6E-409C-BE32-E72D297353CC}">
              <c16:uniqueId val="{00000004-C1DA-4F33-99D9-F02FE192BD46}"/>
            </c:ext>
          </c:extLst>
        </c:ser>
        <c:ser>
          <c:idx val="5"/>
          <c:order val="5"/>
          <c:tx>
            <c:strRef>
              <c:f>'Pathway Comparison'!$B$856</c:f>
              <c:strCache>
                <c:ptCount val="1"/>
                <c:pt idx="0">
                  <c:v>CEER1</c:v>
                </c:pt>
              </c:strCache>
            </c:strRef>
          </c:tx>
          <c:spPr>
            <a:ln w="28575" cap="rnd">
              <a:solidFill>
                <a:schemeClr val="accent1">
                  <a:lumMod val="75000"/>
                  <a:lumOff val="25000"/>
                </a:schemeClr>
              </a:solidFill>
              <a:round/>
            </a:ln>
            <a:effectLst/>
          </c:spPr>
          <c:marker>
            <c:symbol val="none"/>
          </c:marker>
          <c:cat>
            <c:numRef>
              <c:f>'Pathway Comparison'!$C$849:$Q$849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Comparison'!$C$856:$Q$856</c:f>
              <c:numCache>
                <c:formatCode>0</c:formatCode>
                <c:ptCount val="15"/>
                <c:pt idx="0">
                  <c:v>653.09919543081423</c:v>
                </c:pt>
                <c:pt idx="1">
                  <c:v>679.64963069437954</c:v>
                </c:pt>
                <c:pt idx="2">
                  <c:v>680.89773751346058</c:v>
                </c:pt>
                <c:pt idx="3">
                  <c:v>683.74425735734837</c:v>
                </c:pt>
                <c:pt idx="4">
                  <c:v>727.14406948733108</c:v>
                </c:pt>
                <c:pt idx="5">
                  <c:v>715.2755167500485</c:v>
                </c:pt>
                <c:pt idx="6">
                  <c:v>708.38511392763314</c:v>
                </c:pt>
                <c:pt idx="7">
                  <c:v>691.43149722616886</c:v>
                </c:pt>
                <c:pt idx="8">
                  <c:v>689.00434351820968</c:v>
                </c:pt>
                <c:pt idx="9">
                  <c:v>685.99729234533459</c:v>
                </c:pt>
                <c:pt idx="10">
                  <c:v>686.59254896762604</c:v>
                </c:pt>
                <c:pt idx="11">
                  <c:v>684.65473389215663</c:v>
                </c:pt>
                <c:pt idx="12">
                  <c:v>682.78276841930358</c:v>
                </c:pt>
                <c:pt idx="13">
                  <c:v>680.66668342204014</c:v>
                </c:pt>
                <c:pt idx="14">
                  <c:v>677.7488626809502</c:v>
                </c:pt>
              </c:numCache>
            </c:numRef>
          </c:val>
          <c:smooth val="0"/>
          <c:extLst>
            <c:ext xmlns:c16="http://schemas.microsoft.com/office/drawing/2014/chart" uri="{C3380CC4-5D6E-409C-BE32-E72D297353CC}">
              <c16:uniqueId val="{00000005-C1DA-4F33-99D9-F02FE192BD46}"/>
            </c:ext>
          </c:extLst>
        </c:ser>
        <c:ser>
          <c:idx val="6"/>
          <c:order val="6"/>
          <c:tx>
            <c:strRef>
              <c:f>'Pathway Comparison'!$B$857</c:f>
              <c:strCache>
                <c:ptCount val="1"/>
                <c:pt idx="0">
                  <c:v>CEER2</c:v>
                </c:pt>
              </c:strCache>
            </c:strRef>
          </c:tx>
          <c:spPr>
            <a:ln w="28575" cap="rnd">
              <a:solidFill>
                <a:schemeClr val="accent1"/>
              </a:solidFill>
              <a:round/>
            </a:ln>
            <a:effectLst/>
          </c:spPr>
          <c:marker>
            <c:symbol val="none"/>
          </c:marker>
          <c:cat>
            <c:numRef>
              <c:f>'Pathway Comparison'!$C$849:$Q$849</c:f>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cat>
          <c:val>
            <c:numRef>
              <c:f>'Pathway Comparison'!$C$857:$Q$857</c:f>
              <c:numCache>
                <c:formatCode>0</c:formatCode>
                <c:ptCount val="15"/>
                <c:pt idx="0">
                  <c:v>653.09919543081423</c:v>
                </c:pt>
                <c:pt idx="1">
                  <c:v>679.64963069437954</c:v>
                </c:pt>
                <c:pt idx="2">
                  <c:v>680.89773751346058</c:v>
                </c:pt>
                <c:pt idx="3">
                  <c:v>683.74425735734837</c:v>
                </c:pt>
                <c:pt idx="4">
                  <c:v>737.06279561388396</c:v>
                </c:pt>
                <c:pt idx="5">
                  <c:v>725.41488441104764</c:v>
                </c:pt>
                <c:pt idx="6">
                  <c:v>718.77543861522781</c:v>
                </c:pt>
                <c:pt idx="7">
                  <c:v>702.13819871199121</c:v>
                </c:pt>
                <c:pt idx="8">
                  <c:v>700.04379820655424</c:v>
                </c:pt>
                <c:pt idx="9">
                  <c:v>697.35733674845949</c:v>
                </c:pt>
                <c:pt idx="10">
                  <c:v>697.70448879810954</c:v>
                </c:pt>
                <c:pt idx="11">
                  <c:v>695.98605131275417</c:v>
                </c:pt>
                <c:pt idx="12">
                  <c:v>694.33782328700511</c:v>
                </c:pt>
                <c:pt idx="13">
                  <c:v>692.44992192551263</c:v>
                </c:pt>
                <c:pt idx="14">
                  <c:v>689.76486234031529</c:v>
                </c:pt>
              </c:numCache>
            </c:numRef>
          </c:val>
          <c:smooth val="0"/>
          <c:extLst>
            <c:ext xmlns:c16="http://schemas.microsoft.com/office/drawing/2014/chart" uri="{C3380CC4-5D6E-409C-BE32-E72D297353CC}">
              <c16:uniqueId val="{00000006-C1DA-4F33-99D9-F02FE192BD46}"/>
            </c:ext>
          </c:extLst>
        </c:ser>
        <c:dLbls>
          <c:showLegendKey val="0"/>
          <c:showVal val="0"/>
          <c:showCatName val="0"/>
          <c:showSerName val="0"/>
          <c:showPercent val="0"/>
          <c:showBubbleSize val="0"/>
        </c:dLbls>
        <c:smooth val="0"/>
        <c:axId val="510811695"/>
        <c:axId val="1948635039"/>
      </c:lineChart>
      <c:catAx>
        <c:axId val="51081169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948635039"/>
        <c:crosses val="autoZero"/>
        <c:auto val="1"/>
        <c:lblAlgn val="ctr"/>
        <c:lblOffset val="100"/>
        <c:noMultiLvlLbl val="0"/>
      </c:catAx>
      <c:valAx>
        <c:axId val="1948635039"/>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Thousand employees</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510811695"/>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5"/>
    </mc:Choice>
    <mc:Fallback>
      <c:style val="5"/>
    </mc:Fallback>
  </mc:AlternateContent>
  <c:chart>
    <c:autoTitleDeleted val="1"/>
    <c:plotArea>
      <c:layout/>
      <c:barChart>
        <c:barDir val="col"/>
        <c:grouping val="stacked"/>
        <c:varyColors val="0"/>
        <c:ser>
          <c:idx val="3"/>
          <c:order val="0"/>
          <c:tx>
            <c:strRef>
              <c:f>'Pathway Comparison'!$I$640</c:f>
              <c:strCache>
                <c:ptCount val="1"/>
                <c:pt idx="0">
                  <c:v>Net cost per MWh (over life time)</c:v>
                </c:pt>
              </c:strCache>
            </c:strRef>
          </c:tx>
          <c:spPr>
            <a:solidFill>
              <a:schemeClr val="accent3">
                <a:tint val="58000"/>
              </a:schemeClr>
            </a:solidFill>
            <a:ln>
              <a:noFill/>
            </a:ln>
            <a:effectLst/>
          </c:spPr>
          <c:invertIfNegative val="0"/>
          <c:cat>
            <c:strRef>
              <c:f>'Pathway Comparison'!$C$600:$I$600</c:f>
              <c:strCache>
                <c:ptCount val="7"/>
                <c:pt idx="0">
                  <c:v>Baseline</c:v>
                </c:pt>
                <c:pt idx="1">
                  <c:v>EEO</c:v>
                </c:pt>
                <c:pt idx="2">
                  <c:v>VA</c:v>
                </c:pt>
                <c:pt idx="3">
                  <c:v>Renowave</c:v>
                </c:pt>
                <c:pt idx="4">
                  <c:v>EET</c:v>
                </c:pt>
                <c:pt idx="5">
                  <c:v>CEER1</c:v>
                </c:pt>
                <c:pt idx="6">
                  <c:v>CEER2</c:v>
                </c:pt>
              </c:strCache>
            </c:strRef>
          </c:cat>
          <c:val>
            <c:numRef>
              <c:f>'Pathway Comparison'!$B$640:$H$640</c:f>
              <c:numCache>
                <c:formatCode>0</c:formatCode>
                <c:ptCount val="7"/>
                <c:pt idx="0">
                  <c:v>-19.484172720858592</c:v>
                </c:pt>
                <c:pt idx="1">
                  <c:v>25.027400089568108</c:v>
                </c:pt>
                <c:pt idx="2">
                  <c:v>39.572515431971482</c:v>
                </c:pt>
                <c:pt idx="3">
                  <c:v>78.292838560596081</c:v>
                </c:pt>
                <c:pt idx="4">
                  <c:v>28.031555633952344</c:v>
                </c:pt>
                <c:pt idx="5">
                  <c:v>34.212206728727871</c:v>
                </c:pt>
                <c:pt idx="6">
                  <c:v>40.969016984178765</c:v>
                </c:pt>
              </c:numCache>
            </c:numRef>
          </c:val>
          <c:extLst>
            <c:ext xmlns:c16="http://schemas.microsoft.com/office/drawing/2014/chart" uri="{C3380CC4-5D6E-409C-BE32-E72D297353CC}">
              <c16:uniqueId val="{00000000-2000-474A-B246-AB32FE576F3B}"/>
            </c:ext>
          </c:extLst>
        </c:ser>
        <c:dLbls>
          <c:showLegendKey val="0"/>
          <c:showVal val="0"/>
          <c:showCatName val="0"/>
          <c:showSerName val="0"/>
          <c:showPercent val="0"/>
          <c:showBubbleSize val="0"/>
        </c:dLbls>
        <c:gapWidth val="219"/>
        <c:overlap val="100"/>
        <c:axId val="645747392"/>
        <c:axId val="645748352"/>
      </c:barChart>
      <c:lineChart>
        <c:grouping val="standard"/>
        <c:varyColors val="0"/>
        <c:ser>
          <c:idx val="1"/>
          <c:order val="1"/>
          <c:tx>
            <c:strRef>
              <c:f>'Pathway Comparison'!$B$29</c:f>
              <c:strCache>
                <c:ptCount val="1"/>
                <c:pt idx="0">
                  <c:v>Total energy savings (TWh)</c:v>
                </c:pt>
              </c:strCache>
            </c:strRef>
          </c:tx>
          <c:spPr>
            <a:ln w="28575" cap="rnd" cmpd="sng" algn="ctr">
              <a:noFill/>
              <a:prstDash val="solid"/>
              <a:round/>
            </a:ln>
            <a:effectLst/>
          </c:spPr>
          <c:marker>
            <c:symbol val="square"/>
            <c:size val="7"/>
            <c:spPr>
              <a:solidFill>
                <a:schemeClr val="accent3">
                  <a:shade val="86000"/>
                </a:schemeClr>
              </a:solidFill>
              <a:ln w="9525" cap="flat" cmpd="sng" algn="ctr">
                <a:solidFill>
                  <a:schemeClr val="accent3">
                    <a:shade val="86000"/>
                    <a:shade val="95000"/>
                    <a:satMod val="105000"/>
                  </a:schemeClr>
                </a:solidFill>
                <a:prstDash val="solid"/>
                <a:round/>
              </a:ln>
              <a:effectLst/>
            </c:spPr>
          </c:marker>
          <c:cat>
            <c:strRef>
              <c:f>'Pathway Comparison'!$C$26:$I$26</c:f>
              <c:strCache>
                <c:ptCount val="7"/>
                <c:pt idx="0">
                  <c:v>Baseline</c:v>
                </c:pt>
                <c:pt idx="1">
                  <c:v>EEO</c:v>
                </c:pt>
                <c:pt idx="2">
                  <c:v>VA</c:v>
                </c:pt>
                <c:pt idx="3">
                  <c:v>Renowave</c:v>
                </c:pt>
                <c:pt idx="4">
                  <c:v>EET</c:v>
                </c:pt>
                <c:pt idx="5">
                  <c:v>CEER1</c:v>
                </c:pt>
                <c:pt idx="6">
                  <c:v>CEER2</c:v>
                </c:pt>
              </c:strCache>
            </c:strRef>
          </c:cat>
          <c:val>
            <c:numRef>
              <c:f>'Pathway Comparison'!$C$29:$I$29</c:f>
              <c:numCache>
                <c:formatCode>0</c:formatCode>
                <c:ptCount val="7"/>
                <c:pt idx="0">
                  <c:v>5.4616173611366765</c:v>
                </c:pt>
                <c:pt idx="1">
                  <c:v>14.527378974475564</c:v>
                </c:pt>
                <c:pt idx="2">
                  <c:v>13.687783241666946</c:v>
                </c:pt>
                <c:pt idx="3">
                  <c:v>17.37128871838868</c:v>
                </c:pt>
                <c:pt idx="4">
                  <c:v>17.402733830709998</c:v>
                </c:pt>
                <c:pt idx="5">
                  <c:v>16.381110880025769</c:v>
                </c:pt>
                <c:pt idx="6">
                  <c:v>20.730439979513005</c:v>
                </c:pt>
              </c:numCache>
            </c:numRef>
          </c:val>
          <c:smooth val="0"/>
          <c:extLst>
            <c:ext xmlns:c16="http://schemas.microsoft.com/office/drawing/2014/chart" uri="{C3380CC4-5D6E-409C-BE32-E72D297353CC}">
              <c16:uniqueId val="{00000001-2000-474A-B246-AB32FE576F3B}"/>
            </c:ext>
          </c:extLst>
        </c:ser>
        <c:dLbls>
          <c:showLegendKey val="0"/>
          <c:showVal val="0"/>
          <c:showCatName val="0"/>
          <c:showSerName val="0"/>
          <c:showPercent val="0"/>
          <c:showBubbleSize val="0"/>
        </c:dLbls>
        <c:marker val="1"/>
        <c:smooth val="0"/>
        <c:axId val="677296224"/>
        <c:axId val="677294784"/>
      </c:lineChart>
      <c:catAx>
        <c:axId val="64574739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crossAx val="645748352"/>
        <c:crosses val="autoZero"/>
        <c:auto val="1"/>
        <c:lblAlgn val="ctr"/>
        <c:lblOffset val="100"/>
        <c:noMultiLvlLbl val="0"/>
      </c:catAx>
      <c:valAx>
        <c:axId val="645748352"/>
        <c:scaling>
          <c:orientation val="minMax"/>
          <c:max val="100"/>
        </c:scaling>
        <c:delete val="0"/>
        <c:axPos val="l"/>
        <c:majorGridlines>
          <c:spPr>
            <a:ln w="9525" cap="flat" cmpd="sng" algn="ctr">
              <a:solidFill>
                <a:schemeClr val="tx1">
                  <a:lumMod val="15000"/>
                  <a:lumOff val="85000"/>
                </a:schemeClr>
              </a:solidFill>
              <a:prstDash val="solid"/>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b="0"/>
                  <a:t>Net cost per savings (EUR/MWh)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1"/>
        <c:majorTickMark val="none"/>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crossAx val="645747392"/>
        <c:crosses val="autoZero"/>
        <c:crossBetween val="between"/>
        <c:majorUnit val="20"/>
      </c:valAx>
      <c:valAx>
        <c:axId val="677294784"/>
        <c:scaling>
          <c:orientation val="minMax"/>
          <c:min val="0"/>
        </c:scaling>
        <c:delete val="0"/>
        <c:axPos val="r"/>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b="0"/>
                  <a:t>Total energy savings (TWh)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1"/>
        <c:majorTickMark val="out"/>
        <c:minorTickMark val="none"/>
        <c:tickLblPos val="nextTo"/>
        <c:spPr>
          <a:noFill/>
          <a:ln w="9525" cap="flat" cmpd="sng" algn="ctr">
            <a:noFill/>
            <a:prstDash val="solid"/>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crossAx val="677296224"/>
        <c:crosses val="max"/>
        <c:crossBetween val="between"/>
        <c:majorUnit val="4"/>
      </c:valAx>
      <c:catAx>
        <c:axId val="677296224"/>
        <c:scaling>
          <c:orientation val="minMax"/>
        </c:scaling>
        <c:delete val="1"/>
        <c:axPos val="b"/>
        <c:numFmt formatCode="General" sourceLinked="1"/>
        <c:majorTickMark val="out"/>
        <c:minorTickMark val="none"/>
        <c:tickLblPos val="nextTo"/>
        <c:crossAx val="677294784"/>
        <c:crosses val="autoZero"/>
        <c:auto val="1"/>
        <c:lblAlgn val="ctr"/>
        <c:lblOffset val="100"/>
        <c:noMultiLvlLbl val="0"/>
      </c:catAx>
      <c:spPr>
        <a:solidFill>
          <a:schemeClr val="bg1"/>
        </a:solidFill>
        <a:ln>
          <a:noFill/>
        </a:ln>
        <a:effectLst/>
      </c:spPr>
    </c:plotArea>
    <c:legend>
      <c:legendPos val="b"/>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legend>
    <c:plotVisOnly val="1"/>
    <c:dispBlanksAs val="gap"/>
    <c:showDLblsOverMax val="0"/>
    <c:extLst/>
  </c:chart>
  <c:spPr>
    <a:solidFill>
      <a:schemeClr val="bg1"/>
    </a:solidFill>
    <a:ln w="9525" cap="flat" cmpd="sng" algn="ctr">
      <a:noFill/>
      <a:prstDash val="solid"/>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0"/>
          <c:order val="0"/>
          <c:tx>
            <c:strRef>
              <c:f>'EE Measures'!$IV$49</c:f>
              <c:strCache>
                <c:ptCount val="1"/>
                <c:pt idx="0">
                  <c:v>residential</c:v>
                </c:pt>
              </c:strCache>
            </c:strRef>
          </c:tx>
          <c:spPr>
            <a:solidFill>
              <a:schemeClr val="accent1"/>
            </a:solidFill>
            <a:ln>
              <a:noFill/>
            </a:ln>
            <a:effectLst/>
          </c:spPr>
          <c:invertIfNegative val="0"/>
          <c:val>
            <c:numRef>
              <c:f>'EE Measures'!$IO$49:$IU$49</c:f>
              <c:numCache>
                <c:formatCode>0%</c:formatCode>
                <c:ptCount val="7"/>
                <c:pt idx="0">
                  <c:v>0</c:v>
                </c:pt>
                <c:pt idx="1">
                  <c:v>0.375</c:v>
                </c:pt>
                <c:pt idx="2">
                  <c:v>0.4375</c:v>
                </c:pt>
                <c:pt idx="3">
                  <c:v>0.66250000000000009</c:v>
                </c:pt>
                <c:pt idx="4">
                  <c:v>0.375</c:v>
                </c:pt>
                <c:pt idx="5">
                  <c:v>0.58125000000000004</c:v>
                </c:pt>
                <c:pt idx="6">
                  <c:v>0.75</c:v>
                </c:pt>
              </c:numCache>
            </c:numRef>
          </c:val>
          <c:extLst>
            <c:ext xmlns:c15="http://schemas.microsoft.com/office/drawing/2012/chart" uri="{02D57815-91ED-43cb-92C2-25804820EDAC}">
              <c15:filteredCategoryTitle>
                <c15:cat>
                  <c:strRef>
                    <c:extLst>
                      <c:ext uri="{02D57815-91ED-43cb-92C2-25804820EDAC}">
                        <c15:formulaRef>
                          <c15:sqref>'EE Measures'!#REF!</c15:sqref>
                        </c15:formulaRef>
                      </c:ext>
                    </c:extLst>
                    <c:strCache>
                      <c:ptCount val="1"/>
                      <c:pt idx="0">
                        <c:v>#REF!</c:v>
                      </c:pt>
                    </c:strCache>
                  </c:strRef>
                </c15:cat>
              </c15:filteredCategoryTitle>
            </c:ext>
            <c:ext xmlns:c16="http://schemas.microsoft.com/office/drawing/2014/chart" uri="{C3380CC4-5D6E-409C-BE32-E72D297353CC}">
              <c16:uniqueId val="{00000000-111E-4A65-96F7-90618EF42130}"/>
            </c:ext>
          </c:extLst>
        </c:ser>
        <c:ser>
          <c:idx val="1"/>
          <c:order val="1"/>
          <c:tx>
            <c:strRef>
              <c:f>'EE Measures'!$IV$57</c:f>
              <c:strCache>
                <c:ptCount val="1"/>
                <c:pt idx="0">
                  <c:v>service</c:v>
                </c:pt>
              </c:strCache>
            </c:strRef>
          </c:tx>
          <c:spPr>
            <a:solidFill>
              <a:schemeClr val="accent2"/>
            </a:solidFill>
            <a:ln>
              <a:noFill/>
            </a:ln>
            <a:effectLst/>
          </c:spPr>
          <c:invertIfNegative val="0"/>
          <c:val>
            <c:numRef>
              <c:f>'EE Measures'!$IO$57:$IU$57</c:f>
              <c:numCache>
                <c:formatCode>0%</c:formatCode>
                <c:ptCount val="7"/>
                <c:pt idx="0">
                  <c:v>0</c:v>
                </c:pt>
                <c:pt idx="1">
                  <c:v>0.65</c:v>
                </c:pt>
                <c:pt idx="2">
                  <c:v>0.53125</c:v>
                </c:pt>
                <c:pt idx="3">
                  <c:v>0.65</c:v>
                </c:pt>
                <c:pt idx="4">
                  <c:v>0.53125</c:v>
                </c:pt>
                <c:pt idx="5">
                  <c:v>0.5</c:v>
                </c:pt>
                <c:pt idx="6">
                  <c:v>0.65</c:v>
                </c:pt>
              </c:numCache>
            </c:numRef>
          </c:val>
          <c:extLst>
            <c:ext xmlns:c15="http://schemas.microsoft.com/office/drawing/2012/chart" uri="{02D57815-91ED-43cb-92C2-25804820EDAC}">
              <c15:filteredCategoryTitle>
                <c15:cat>
                  <c:strRef>
                    <c:extLst>
                      <c:ext uri="{02D57815-91ED-43cb-92C2-25804820EDAC}">
                        <c15:formulaRef>
                          <c15:sqref>'EE Measures'!#REF!</c15:sqref>
                        </c15:formulaRef>
                      </c:ext>
                    </c:extLst>
                    <c:strCache>
                      <c:ptCount val="1"/>
                      <c:pt idx="0">
                        <c:v>#REF!</c:v>
                      </c:pt>
                    </c:strCache>
                  </c:strRef>
                </c15:cat>
              </c15:filteredCategoryTitle>
            </c:ext>
            <c:ext xmlns:c16="http://schemas.microsoft.com/office/drawing/2014/chart" uri="{C3380CC4-5D6E-409C-BE32-E72D297353CC}">
              <c16:uniqueId val="{00000001-111E-4A65-96F7-90618EF42130}"/>
            </c:ext>
          </c:extLst>
        </c:ser>
        <c:ser>
          <c:idx val="2"/>
          <c:order val="2"/>
          <c:tx>
            <c:strRef>
              <c:f>'EE Measures'!$IV$63</c:f>
              <c:strCache>
                <c:ptCount val="1"/>
                <c:pt idx="0">
                  <c:v>industry</c:v>
                </c:pt>
              </c:strCache>
            </c:strRef>
          </c:tx>
          <c:spPr>
            <a:solidFill>
              <a:schemeClr val="accent3"/>
            </a:solidFill>
            <a:ln>
              <a:noFill/>
            </a:ln>
            <a:effectLst/>
          </c:spPr>
          <c:invertIfNegative val="0"/>
          <c:val>
            <c:numRef>
              <c:f>'EE Measures'!$IO$63:$IU$63</c:f>
              <c:numCache>
                <c:formatCode>0%</c:formatCode>
                <c:ptCount val="7"/>
                <c:pt idx="0">
                  <c:v>0</c:v>
                </c:pt>
                <c:pt idx="1">
                  <c:v>0.91666666666666663</c:v>
                </c:pt>
                <c:pt idx="2">
                  <c:v>1.0833333333333333</c:v>
                </c:pt>
                <c:pt idx="3">
                  <c:v>0.41666666666666669</c:v>
                </c:pt>
                <c:pt idx="4">
                  <c:v>0.41666666666666669</c:v>
                </c:pt>
                <c:pt idx="5">
                  <c:v>0.58333333333333337</c:v>
                </c:pt>
                <c:pt idx="6">
                  <c:v>0.91666666666666663</c:v>
                </c:pt>
              </c:numCache>
            </c:numRef>
          </c:val>
          <c:extLst>
            <c:ext xmlns:c15="http://schemas.microsoft.com/office/drawing/2012/chart" uri="{02D57815-91ED-43cb-92C2-25804820EDAC}">
              <c15:filteredCategoryTitle>
                <c15:cat>
                  <c:strRef>
                    <c:extLst>
                      <c:ext uri="{02D57815-91ED-43cb-92C2-25804820EDAC}">
                        <c15:formulaRef>
                          <c15:sqref>'EE Measures'!#REF!</c15:sqref>
                        </c15:formulaRef>
                      </c:ext>
                    </c:extLst>
                    <c:strCache>
                      <c:ptCount val="1"/>
                      <c:pt idx="0">
                        <c:v>#REF!</c:v>
                      </c:pt>
                    </c:strCache>
                  </c:strRef>
                </c15:cat>
              </c15:filteredCategoryTitle>
            </c:ext>
            <c:ext xmlns:c16="http://schemas.microsoft.com/office/drawing/2014/chart" uri="{C3380CC4-5D6E-409C-BE32-E72D297353CC}">
              <c16:uniqueId val="{00000002-111E-4A65-96F7-90618EF42130}"/>
            </c:ext>
          </c:extLst>
        </c:ser>
        <c:ser>
          <c:idx val="3"/>
          <c:order val="3"/>
          <c:tx>
            <c:strRef>
              <c:f>'EE Measures'!$IV$83</c:f>
              <c:strCache>
                <c:ptCount val="1"/>
                <c:pt idx="0">
                  <c:v>transport</c:v>
                </c:pt>
              </c:strCache>
            </c:strRef>
          </c:tx>
          <c:spPr>
            <a:solidFill>
              <a:schemeClr val="accent4"/>
            </a:solidFill>
            <a:ln>
              <a:noFill/>
            </a:ln>
            <a:effectLst/>
          </c:spPr>
          <c:invertIfNegative val="0"/>
          <c:val>
            <c:numRef>
              <c:f>'EE Measures'!$IO$83:$IU$83</c:f>
              <c:numCache>
                <c:formatCode>0%</c:formatCode>
                <c:ptCount val="7"/>
                <c:pt idx="0">
                  <c:v>0</c:v>
                </c:pt>
                <c:pt idx="1">
                  <c:v>0.28000000000000003</c:v>
                </c:pt>
                <c:pt idx="2">
                  <c:v>0.28000000000000003</c:v>
                </c:pt>
                <c:pt idx="3">
                  <c:v>0.28000000000000003</c:v>
                </c:pt>
                <c:pt idx="4">
                  <c:v>0.85</c:v>
                </c:pt>
                <c:pt idx="5">
                  <c:v>0.67</c:v>
                </c:pt>
                <c:pt idx="6">
                  <c:v>0.8</c:v>
                </c:pt>
              </c:numCache>
            </c:numRef>
          </c:val>
          <c:extLst>
            <c:ext xmlns:c15="http://schemas.microsoft.com/office/drawing/2012/chart" uri="{02D57815-91ED-43cb-92C2-25804820EDAC}">
              <c15:filteredCategoryTitle>
                <c15:cat>
                  <c:strRef>
                    <c:extLst>
                      <c:ext uri="{02D57815-91ED-43cb-92C2-25804820EDAC}">
                        <c15:formulaRef>
                          <c15:sqref>'EE Measures'!#REF!</c15:sqref>
                        </c15:formulaRef>
                      </c:ext>
                    </c:extLst>
                    <c:strCache>
                      <c:ptCount val="1"/>
                      <c:pt idx="0">
                        <c:v>#REF!</c:v>
                      </c:pt>
                    </c:strCache>
                  </c:strRef>
                </c15:cat>
              </c15:filteredCategoryTitle>
            </c:ext>
            <c:ext xmlns:c16="http://schemas.microsoft.com/office/drawing/2014/chart" uri="{C3380CC4-5D6E-409C-BE32-E72D297353CC}">
              <c16:uniqueId val="{00000003-111E-4A65-96F7-90618EF42130}"/>
            </c:ext>
          </c:extLst>
        </c:ser>
        <c:dLbls>
          <c:showLegendKey val="0"/>
          <c:showVal val="0"/>
          <c:showCatName val="0"/>
          <c:showSerName val="0"/>
          <c:showPercent val="0"/>
          <c:showBubbleSize val="0"/>
        </c:dLbls>
        <c:gapWidth val="150"/>
        <c:overlap val="100"/>
        <c:axId val="941634832"/>
        <c:axId val="941635312"/>
      </c:barChart>
      <c:catAx>
        <c:axId val="941634832"/>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tx1">
                    <a:lumMod val="65000"/>
                    <a:lumOff val="35000"/>
                  </a:schemeClr>
                </a:solidFill>
                <a:latin typeface="+mn-lt"/>
                <a:ea typeface="+mn-ea"/>
                <a:cs typeface="+mn-cs"/>
              </a:defRPr>
            </a:pPr>
            <a:endParaRPr lang="et-EE"/>
          </a:p>
        </c:txPr>
        <c:crossAx val="941635312"/>
        <c:crosses val="autoZero"/>
        <c:auto val="1"/>
        <c:lblAlgn val="ctr"/>
        <c:lblOffset val="100"/>
        <c:noMultiLvlLbl val="0"/>
      </c:catAx>
      <c:valAx>
        <c:axId val="941635312"/>
        <c:scaling>
          <c:orientation val="minMax"/>
        </c:scaling>
        <c:delete val="0"/>
        <c:axPos val="l"/>
        <c:majorGridlines>
          <c:spPr>
            <a:ln w="9525" cap="flat" cmpd="sng" algn="ctr">
              <a:solidFill>
                <a:schemeClr val="tx1">
                  <a:lumMod val="15000"/>
                  <a:lumOff val="85000"/>
                </a:schemeClr>
              </a:solidFill>
              <a:round/>
            </a:ln>
            <a:effectLst/>
          </c:spPr>
        </c:majorGridlines>
        <c:minorGridlines>
          <c:spPr>
            <a:ln w="9525" cap="flat" cmpd="sng" algn="ctr">
              <a:solidFill>
                <a:schemeClr val="tx1">
                  <a:lumMod val="5000"/>
                  <a:lumOff val="95000"/>
                </a:schemeClr>
              </a:solidFill>
              <a:round/>
            </a:ln>
            <a:effectLst/>
          </c:spPr>
        </c:min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941634832"/>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'Pathway Comparison'!$K$285</c:f>
              <c:strCache>
                <c:ptCount val="1"/>
                <c:pt idx="0">
                  <c:v>Baseline</c:v>
                </c:pt>
              </c:strCache>
            </c:strRef>
          </c:tx>
          <c:spPr>
            <a:solidFill>
              <a:schemeClr val="bg1">
                <a:lumMod val="65000"/>
              </a:schemeClr>
            </a:solidFill>
            <a:ln>
              <a:noFill/>
            </a:ln>
            <a:effectLst/>
          </c:spPr>
          <c:invertIfNegative val="0"/>
          <c:cat>
            <c:strRef>
              <c:f>'Pathway Comparison'!$L$263:$P$263</c:f>
              <c:strCache>
                <c:ptCount val="5"/>
                <c:pt idx="0">
                  <c:v>Põhja-Eesti </c:v>
                </c:pt>
                <c:pt idx="1">
                  <c:v>Lääne-Eesti</c:v>
                </c:pt>
                <c:pt idx="2">
                  <c:v>Kirde-Eesti</c:v>
                </c:pt>
                <c:pt idx="3">
                  <c:v>Lõuna-Eesti </c:v>
                </c:pt>
                <c:pt idx="4">
                  <c:v>Kesk-Eesti</c:v>
                </c:pt>
              </c:strCache>
            </c:strRef>
          </c:cat>
          <c:val>
            <c:numRef>
              <c:f>'Pathway Comparison'!$L$285:$P$285</c:f>
              <c:numCache>
                <c:formatCode>0</c:formatCode>
                <c:ptCount val="5"/>
                <c:pt idx="0">
                  <c:v>276.76486297584631</c:v>
                </c:pt>
                <c:pt idx="1">
                  <c:v>231.5668271976979</c:v>
                </c:pt>
                <c:pt idx="2">
                  <c:v>188.29077226755714</c:v>
                </c:pt>
                <c:pt idx="3">
                  <c:v>218.07080079413149</c:v>
                </c:pt>
                <c:pt idx="4">
                  <c:v>218.90497746409517</c:v>
                </c:pt>
              </c:numCache>
            </c:numRef>
          </c:val>
          <c:extLst>
            <c:ext xmlns:c16="http://schemas.microsoft.com/office/drawing/2014/chart" uri="{C3380CC4-5D6E-409C-BE32-E72D297353CC}">
              <c16:uniqueId val="{00000000-69A5-41B9-860A-76DBBE41D124}"/>
            </c:ext>
          </c:extLst>
        </c:ser>
        <c:ser>
          <c:idx val="1"/>
          <c:order val="1"/>
          <c:tx>
            <c:strRef>
              <c:f>'Pathway Comparison'!$K$286</c:f>
              <c:strCache>
                <c:ptCount val="1"/>
                <c:pt idx="0">
                  <c:v>EEO</c:v>
                </c:pt>
              </c:strCache>
            </c:strRef>
          </c:tx>
          <c:spPr>
            <a:solidFill>
              <a:schemeClr val="accent3">
                <a:lumMod val="50000"/>
              </a:schemeClr>
            </a:solidFill>
            <a:ln>
              <a:noFill/>
            </a:ln>
            <a:effectLst/>
          </c:spPr>
          <c:invertIfNegative val="0"/>
          <c:cat>
            <c:strRef>
              <c:f>'Pathway Comparison'!$L$263:$P$263</c:f>
              <c:strCache>
                <c:ptCount val="5"/>
                <c:pt idx="0">
                  <c:v>Põhja-Eesti </c:v>
                </c:pt>
                <c:pt idx="1">
                  <c:v>Lääne-Eesti</c:v>
                </c:pt>
                <c:pt idx="2">
                  <c:v>Kirde-Eesti</c:v>
                </c:pt>
                <c:pt idx="3">
                  <c:v>Lõuna-Eesti </c:v>
                </c:pt>
                <c:pt idx="4">
                  <c:v>Kesk-Eesti</c:v>
                </c:pt>
              </c:strCache>
            </c:strRef>
          </c:cat>
          <c:val>
            <c:numRef>
              <c:f>'Pathway Comparison'!$L$286:$P$286</c:f>
              <c:numCache>
                <c:formatCode>0</c:formatCode>
                <c:ptCount val="5"/>
                <c:pt idx="0">
                  <c:v>494.03829068597707</c:v>
                </c:pt>
                <c:pt idx="1">
                  <c:v>735.28362531595496</c:v>
                </c:pt>
                <c:pt idx="2">
                  <c:v>586.07101112622252</c:v>
                </c:pt>
                <c:pt idx="3">
                  <c:v>664.53478422053365</c:v>
                </c:pt>
                <c:pt idx="4">
                  <c:v>681.87238791499465</c:v>
                </c:pt>
              </c:numCache>
            </c:numRef>
          </c:val>
          <c:extLst>
            <c:ext xmlns:c16="http://schemas.microsoft.com/office/drawing/2014/chart" uri="{C3380CC4-5D6E-409C-BE32-E72D297353CC}">
              <c16:uniqueId val="{00000001-69A5-41B9-860A-76DBBE41D124}"/>
            </c:ext>
          </c:extLst>
        </c:ser>
        <c:ser>
          <c:idx val="2"/>
          <c:order val="2"/>
          <c:tx>
            <c:strRef>
              <c:f>'Pathway Comparison'!$K$287</c:f>
              <c:strCache>
                <c:ptCount val="1"/>
                <c:pt idx="0">
                  <c:v>VA</c:v>
                </c:pt>
              </c:strCache>
            </c:strRef>
          </c:tx>
          <c:spPr>
            <a:solidFill>
              <a:schemeClr val="accent4"/>
            </a:solidFill>
            <a:ln>
              <a:noFill/>
            </a:ln>
            <a:effectLst/>
          </c:spPr>
          <c:invertIfNegative val="0"/>
          <c:cat>
            <c:strRef>
              <c:f>'Pathway Comparison'!$L$263:$P$263</c:f>
              <c:strCache>
                <c:ptCount val="5"/>
                <c:pt idx="0">
                  <c:v>Põhja-Eesti </c:v>
                </c:pt>
                <c:pt idx="1">
                  <c:v>Lääne-Eesti</c:v>
                </c:pt>
                <c:pt idx="2">
                  <c:v>Kirde-Eesti</c:v>
                </c:pt>
                <c:pt idx="3">
                  <c:v>Lõuna-Eesti </c:v>
                </c:pt>
                <c:pt idx="4">
                  <c:v>Kesk-Eesti</c:v>
                </c:pt>
              </c:strCache>
            </c:strRef>
          </c:cat>
          <c:val>
            <c:numRef>
              <c:f>'Pathway Comparison'!$L$287:$P$287</c:f>
              <c:numCache>
                <c:formatCode>0</c:formatCode>
                <c:ptCount val="5"/>
                <c:pt idx="0">
                  <c:v>551.04910873996846</c:v>
                </c:pt>
                <c:pt idx="1">
                  <c:v>877.90703234736816</c:v>
                </c:pt>
                <c:pt idx="2">
                  <c:v>663.73230598617567</c:v>
                </c:pt>
                <c:pt idx="3">
                  <c:v>774.26447752133674</c:v>
                </c:pt>
                <c:pt idx="4">
                  <c:v>808.61882507518169</c:v>
                </c:pt>
              </c:numCache>
            </c:numRef>
          </c:val>
          <c:extLst>
            <c:ext xmlns:c16="http://schemas.microsoft.com/office/drawing/2014/chart" uri="{C3380CC4-5D6E-409C-BE32-E72D297353CC}">
              <c16:uniqueId val="{00000002-69A5-41B9-860A-76DBBE41D124}"/>
            </c:ext>
          </c:extLst>
        </c:ser>
        <c:ser>
          <c:idx val="3"/>
          <c:order val="3"/>
          <c:tx>
            <c:strRef>
              <c:f>'Pathway Comparison'!$K$288</c:f>
              <c:strCache>
                <c:ptCount val="1"/>
                <c:pt idx="0">
                  <c:v>RenoWave</c:v>
                </c:pt>
              </c:strCache>
            </c:strRef>
          </c:tx>
          <c:spPr>
            <a:solidFill>
              <a:schemeClr val="accent5"/>
            </a:solidFill>
            <a:ln>
              <a:noFill/>
            </a:ln>
            <a:effectLst/>
          </c:spPr>
          <c:invertIfNegative val="0"/>
          <c:cat>
            <c:strRef>
              <c:f>'Pathway Comparison'!$L$263:$P$263</c:f>
              <c:strCache>
                <c:ptCount val="5"/>
                <c:pt idx="0">
                  <c:v>Põhja-Eesti </c:v>
                </c:pt>
                <c:pt idx="1">
                  <c:v>Lääne-Eesti</c:v>
                </c:pt>
                <c:pt idx="2">
                  <c:v>Kirde-Eesti</c:v>
                </c:pt>
                <c:pt idx="3">
                  <c:v>Lõuna-Eesti </c:v>
                </c:pt>
                <c:pt idx="4">
                  <c:v>Kesk-Eesti</c:v>
                </c:pt>
              </c:strCache>
            </c:strRef>
          </c:cat>
          <c:val>
            <c:numRef>
              <c:f>'Pathway Comparison'!$L$288:$P$288</c:f>
              <c:numCache>
                <c:formatCode>0</c:formatCode>
                <c:ptCount val="5"/>
                <c:pt idx="0">
                  <c:v>799.89308333440363</c:v>
                </c:pt>
                <c:pt idx="1">
                  <c:v>1062.3996049429752</c:v>
                </c:pt>
                <c:pt idx="2">
                  <c:v>967.23258519516844</c:v>
                </c:pt>
                <c:pt idx="3">
                  <c:v>1023.8731289881474</c:v>
                </c:pt>
                <c:pt idx="4">
                  <c:v>1052.5014524458472</c:v>
                </c:pt>
              </c:numCache>
            </c:numRef>
          </c:val>
          <c:extLst>
            <c:ext xmlns:c16="http://schemas.microsoft.com/office/drawing/2014/chart" uri="{C3380CC4-5D6E-409C-BE32-E72D297353CC}">
              <c16:uniqueId val="{00000003-69A5-41B9-860A-76DBBE41D124}"/>
            </c:ext>
          </c:extLst>
        </c:ser>
        <c:ser>
          <c:idx val="4"/>
          <c:order val="4"/>
          <c:tx>
            <c:strRef>
              <c:f>'Pathway Comparison'!$K$289</c:f>
              <c:strCache>
                <c:ptCount val="1"/>
                <c:pt idx="0">
                  <c:v>EET</c:v>
                </c:pt>
              </c:strCache>
            </c:strRef>
          </c:tx>
          <c:spPr>
            <a:solidFill>
              <a:schemeClr val="accent2"/>
            </a:solidFill>
            <a:ln>
              <a:noFill/>
            </a:ln>
            <a:effectLst/>
          </c:spPr>
          <c:invertIfNegative val="0"/>
          <c:cat>
            <c:strRef>
              <c:f>'Pathway Comparison'!$L$263:$P$263</c:f>
              <c:strCache>
                <c:ptCount val="5"/>
                <c:pt idx="0">
                  <c:v>Põhja-Eesti </c:v>
                </c:pt>
                <c:pt idx="1">
                  <c:v>Lääne-Eesti</c:v>
                </c:pt>
                <c:pt idx="2">
                  <c:v>Kirde-Eesti</c:v>
                </c:pt>
                <c:pt idx="3">
                  <c:v>Lõuna-Eesti </c:v>
                </c:pt>
                <c:pt idx="4">
                  <c:v>Kesk-Eesti</c:v>
                </c:pt>
              </c:strCache>
            </c:strRef>
          </c:cat>
          <c:val>
            <c:numRef>
              <c:f>'Pathway Comparison'!$L$289:$P$289</c:f>
              <c:numCache>
                <c:formatCode>0</c:formatCode>
                <c:ptCount val="5"/>
                <c:pt idx="0">
                  <c:v>484.09735705843678</c:v>
                </c:pt>
                <c:pt idx="1">
                  <c:v>856.39250556146783</c:v>
                </c:pt>
                <c:pt idx="2">
                  <c:v>665.99062907206826</c:v>
                </c:pt>
                <c:pt idx="3">
                  <c:v>725.84018538539033</c:v>
                </c:pt>
                <c:pt idx="4">
                  <c:v>800.5953766293502</c:v>
                </c:pt>
              </c:numCache>
            </c:numRef>
          </c:val>
          <c:extLst>
            <c:ext xmlns:c16="http://schemas.microsoft.com/office/drawing/2014/chart" uri="{C3380CC4-5D6E-409C-BE32-E72D297353CC}">
              <c16:uniqueId val="{00000004-69A5-41B9-860A-76DBBE41D124}"/>
            </c:ext>
          </c:extLst>
        </c:ser>
        <c:ser>
          <c:idx val="5"/>
          <c:order val="5"/>
          <c:tx>
            <c:strRef>
              <c:f>'Pathway Comparison'!$K$290</c:f>
              <c:strCache>
                <c:ptCount val="1"/>
                <c:pt idx="0">
                  <c:v>CEER1</c:v>
                </c:pt>
              </c:strCache>
            </c:strRef>
          </c:tx>
          <c:spPr>
            <a:solidFill>
              <a:schemeClr val="accent1">
                <a:lumMod val="75000"/>
                <a:lumOff val="25000"/>
              </a:schemeClr>
            </a:solidFill>
            <a:ln>
              <a:noFill/>
            </a:ln>
            <a:effectLst/>
          </c:spPr>
          <c:invertIfNegative val="0"/>
          <c:cat>
            <c:strRef>
              <c:f>'Pathway Comparison'!$L$263:$P$263</c:f>
              <c:strCache>
                <c:ptCount val="5"/>
                <c:pt idx="0">
                  <c:v>Põhja-Eesti </c:v>
                </c:pt>
                <c:pt idx="1">
                  <c:v>Lääne-Eesti</c:v>
                </c:pt>
                <c:pt idx="2">
                  <c:v>Kirde-Eesti</c:v>
                </c:pt>
                <c:pt idx="3">
                  <c:v>Lõuna-Eesti </c:v>
                </c:pt>
                <c:pt idx="4">
                  <c:v>Kesk-Eesti</c:v>
                </c:pt>
              </c:strCache>
            </c:strRef>
          </c:cat>
          <c:val>
            <c:numRef>
              <c:f>'Pathway Comparison'!$L$290:$P$290</c:f>
              <c:numCache>
                <c:formatCode>0</c:formatCode>
                <c:ptCount val="5"/>
                <c:pt idx="0">
                  <c:v>528.70627722368681</c:v>
                </c:pt>
                <c:pt idx="1">
                  <c:v>863.22188971568642</c:v>
                </c:pt>
                <c:pt idx="2">
                  <c:v>688.71784134738118</c:v>
                </c:pt>
                <c:pt idx="3">
                  <c:v>762.62292324996463</c:v>
                </c:pt>
                <c:pt idx="4">
                  <c:v>811.99703065452252</c:v>
                </c:pt>
              </c:numCache>
            </c:numRef>
          </c:val>
          <c:extLst>
            <c:ext xmlns:c16="http://schemas.microsoft.com/office/drawing/2014/chart" uri="{C3380CC4-5D6E-409C-BE32-E72D297353CC}">
              <c16:uniqueId val="{00000005-69A5-41B9-860A-76DBBE41D124}"/>
            </c:ext>
          </c:extLst>
        </c:ser>
        <c:ser>
          <c:idx val="6"/>
          <c:order val="6"/>
          <c:tx>
            <c:strRef>
              <c:f>'Pathway Comparison'!$K$291</c:f>
              <c:strCache>
                <c:ptCount val="1"/>
                <c:pt idx="0">
                  <c:v>CEER2</c:v>
                </c:pt>
              </c:strCache>
            </c:strRef>
          </c:tx>
          <c:spPr>
            <a:solidFill>
              <a:schemeClr val="accent1"/>
            </a:solidFill>
            <a:ln>
              <a:noFill/>
            </a:ln>
            <a:effectLst/>
          </c:spPr>
          <c:invertIfNegative val="0"/>
          <c:cat>
            <c:strRef>
              <c:f>'Pathway Comparison'!$L$263:$P$263</c:f>
              <c:strCache>
                <c:ptCount val="5"/>
                <c:pt idx="0">
                  <c:v>Põhja-Eesti </c:v>
                </c:pt>
                <c:pt idx="1">
                  <c:v>Lääne-Eesti</c:v>
                </c:pt>
                <c:pt idx="2">
                  <c:v>Kirde-Eesti</c:v>
                </c:pt>
                <c:pt idx="3">
                  <c:v>Lõuna-Eesti </c:v>
                </c:pt>
                <c:pt idx="4">
                  <c:v>Kesk-Eesti</c:v>
                </c:pt>
              </c:strCache>
            </c:strRef>
          </c:cat>
          <c:val>
            <c:numRef>
              <c:f>'Pathway Comparison'!$L$291:$P$291</c:f>
              <c:numCache>
                <c:formatCode>0</c:formatCode>
                <c:ptCount val="5"/>
                <c:pt idx="0">
                  <c:v>563.00655142874302</c:v>
                </c:pt>
                <c:pt idx="1">
                  <c:v>968.21838746465596</c:v>
                </c:pt>
                <c:pt idx="2">
                  <c:v>782.23154921705975</c:v>
                </c:pt>
                <c:pt idx="3">
                  <c:v>879.88119809100237</c:v>
                </c:pt>
                <c:pt idx="4">
                  <c:v>951.58499835959901</c:v>
                </c:pt>
              </c:numCache>
            </c:numRef>
          </c:val>
          <c:extLst>
            <c:ext xmlns:c16="http://schemas.microsoft.com/office/drawing/2014/chart" uri="{C3380CC4-5D6E-409C-BE32-E72D297353CC}">
              <c16:uniqueId val="{00000006-69A5-41B9-860A-76DBBE41D124}"/>
            </c:ext>
          </c:extLst>
        </c:ser>
        <c:dLbls>
          <c:showLegendKey val="0"/>
          <c:showVal val="0"/>
          <c:showCatName val="0"/>
          <c:showSerName val="0"/>
          <c:showPercent val="0"/>
          <c:showBubbleSize val="0"/>
        </c:dLbls>
        <c:gapWidth val="219"/>
        <c:overlap val="-27"/>
        <c:axId val="1879290767"/>
        <c:axId val="1881401727"/>
      </c:barChart>
      <c:catAx>
        <c:axId val="187929076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881401727"/>
        <c:crosses val="autoZero"/>
        <c:auto val="1"/>
        <c:lblAlgn val="ctr"/>
        <c:lblOffset val="100"/>
        <c:noMultiLvlLbl val="0"/>
      </c:catAx>
      <c:valAx>
        <c:axId val="1881401727"/>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r>
                  <a:rPr lang="en-GB"/>
                  <a:t>Net cost per energy savings (EUR/MWh)</a:t>
                </a:r>
              </a:p>
            </c:rich>
          </c:tx>
          <c:overlay val="0"/>
          <c:spPr>
            <a:noFill/>
            <a:ln>
              <a:noFill/>
            </a:ln>
            <a:effectLst/>
          </c:spPr>
          <c:txPr>
            <a:bodyPr rot="-540000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879290767"/>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stacked"/>
        <c:varyColors val="0"/>
        <c:ser>
          <c:idx val="1"/>
          <c:order val="1"/>
          <c:tx>
            <c:strRef>
              <c:f>'Pathway Comparison'!$B$307</c:f>
              <c:strCache>
                <c:ptCount val="1"/>
                <c:pt idx="0">
                  <c:v>Households</c:v>
                </c:pt>
              </c:strCache>
            </c:strRef>
          </c:tx>
          <c:spPr>
            <a:solidFill>
              <a:schemeClr val="accent2"/>
            </a:solidFill>
            <a:ln>
              <a:noFill/>
            </a:ln>
            <a:effectLst/>
          </c:spPr>
          <c:invertIfNegative val="0"/>
          <c:dLbls>
            <c:spPr>
              <a:noFill/>
              <a:ln>
                <a:noFill/>
              </a:ln>
              <a:effectLst/>
            </c:spPr>
            <c:txPr>
              <a:bodyPr wrap="square" lIns="38100" tIns="19050" rIns="38100" bIns="19050" anchor="ctr">
                <a:spAutoFit/>
              </a:bodyPr>
              <a:lstStyle/>
              <a:p>
                <a:pPr>
                  <a:defRPr sz="900" b="1" i="1">
                    <a:solidFill>
                      <a:schemeClr val="bg1"/>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'Pathway Comparison'!$C$305:$J$305</c15:sqref>
                  </c15:fullRef>
                </c:ext>
              </c:extLst>
              <c:f>'Pathway Comparison'!$D$305:$J$305</c:f>
              <c:strCache>
                <c:ptCount val="7"/>
                <c:pt idx="0">
                  <c:v>Baseline</c:v>
                </c:pt>
                <c:pt idx="1">
                  <c:v>EEO</c:v>
                </c:pt>
                <c:pt idx="2">
                  <c:v>VA</c:v>
                </c:pt>
                <c:pt idx="3">
                  <c:v>Renowave</c:v>
                </c:pt>
                <c:pt idx="4">
                  <c:v>EET</c:v>
                </c:pt>
                <c:pt idx="5">
                  <c:v>CEER1</c:v>
                </c:pt>
                <c:pt idx="6">
                  <c:v>CEER2</c:v>
                </c:pt>
              </c:strCache>
            </c:strRef>
          </c:cat>
          <c:val>
            <c:numRef>
              <c:extLst>
                <c:ext xmlns:c15="http://schemas.microsoft.com/office/drawing/2012/chart" uri="{02D57815-91ED-43cb-92C2-25804820EDAC}">
                  <c15:fullRef>
                    <c15:sqref>'Pathway Comparison'!$C$307:$J$307</c15:sqref>
                  </c15:fullRef>
                </c:ext>
              </c:extLst>
              <c:f>'Pathway Comparison'!$D$307:$J$307</c:f>
              <c:numCache>
                <c:formatCode>0.0</c:formatCode>
                <c:ptCount val="7"/>
                <c:pt idx="0">
                  <c:v>10.67221906267803</c:v>
                </c:pt>
                <c:pt idx="1">
                  <c:v>9.6406363866099962</c:v>
                </c:pt>
                <c:pt idx="2">
                  <c:v>9.7255758195629767</c:v>
                </c:pt>
                <c:pt idx="3">
                  <c:v>8.5038616574724362</c:v>
                </c:pt>
                <c:pt idx="4">
                  <c:v>9.839845009733061</c:v>
                </c:pt>
                <c:pt idx="5">
                  <c:v>9.5793112561452691</c:v>
                </c:pt>
                <c:pt idx="6">
                  <c:v>9.1108075764479253</c:v>
                </c:pt>
              </c:numCache>
            </c:numRef>
          </c:val>
          <c:extLst>
            <c:ext xmlns:c16="http://schemas.microsoft.com/office/drawing/2014/chart" uri="{C3380CC4-5D6E-409C-BE32-E72D297353CC}">
              <c16:uniqueId val="{00000000-8945-4EDC-BDD5-CD966EFF40E5}"/>
            </c:ext>
          </c:extLst>
        </c:ser>
        <c:ser>
          <c:idx val="2"/>
          <c:order val="2"/>
          <c:tx>
            <c:strRef>
              <c:f>'Pathway Comparison'!$B$308</c:f>
              <c:strCache>
                <c:ptCount val="1"/>
                <c:pt idx="0">
                  <c:v>Services</c:v>
                </c:pt>
              </c:strCache>
            </c:strRef>
          </c:tx>
          <c:spPr>
            <a:solidFill>
              <a:schemeClr val="accent4"/>
            </a:solidFill>
            <a:ln>
              <a:noFill/>
            </a:ln>
            <a:effectLst/>
          </c:spPr>
          <c:invertIfNegative val="0"/>
          <c:dLbls>
            <c:spPr>
              <a:noFill/>
              <a:ln>
                <a:noFill/>
              </a:ln>
              <a:effectLst/>
            </c:spPr>
            <c:txPr>
              <a:bodyPr wrap="square" lIns="38100" tIns="19050" rIns="38100" bIns="19050" anchor="ctr">
                <a:spAutoFit/>
              </a:bodyPr>
              <a:lstStyle/>
              <a:p>
                <a:pPr>
                  <a:defRPr sz="900" b="1" i="1">
                    <a:solidFill>
                      <a:sysClr val="windowText" lastClr="000000"/>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extLst>
                <c:ext xmlns:c15="http://schemas.microsoft.com/office/drawing/2012/chart" uri="{02D57815-91ED-43cb-92C2-25804820EDAC}">
                  <c15:fullRef>
                    <c15:sqref>'Pathway Comparison'!$C$305:$J$305</c15:sqref>
                  </c15:fullRef>
                </c:ext>
              </c:extLst>
              <c:f>'Pathway Comparison'!$D$305:$J$305</c:f>
              <c:strCache>
                <c:ptCount val="7"/>
                <c:pt idx="0">
                  <c:v>Baseline</c:v>
                </c:pt>
                <c:pt idx="1">
                  <c:v>EEO</c:v>
                </c:pt>
                <c:pt idx="2">
                  <c:v>VA</c:v>
                </c:pt>
                <c:pt idx="3">
                  <c:v>Renowave</c:v>
                </c:pt>
                <c:pt idx="4">
                  <c:v>EET</c:v>
                </c:pt>
                <c:pt idx="5">
                  <c:v>CEER1</c:v>
                </c:pt>
                <c:pt idx="6">
                  <c:v>CEER2</c:v>
                </c:pt>
              </c:strCache>
            </c:strRef>
          </c:cat>
          <c:val>
            <c:numRef>
              <c:extLst>
                <c:ext xmlns:c15="http://schemas.microsoft.com/office/drawing/2012/chart" uri="{02D57815-91ED-43cb-92C2-25804820EDAC}">
                  <c15:fullRef>
                    <c15:sqref>'Pathway Comparison'!$C$308:$J$308</c15:sqref>
                  </c15:fullRef>
                </c:ext>
              </c:extLst>
              <c:f>'Pathway Comparison'!$D$308:$J$308</c:f>
              <c:numCache>
                <c:formatCode>0.0</c:formatCode>
                <c:ptCount val="7"/>
                <c:pt idx="0">
                  <c:v>5.609861158679422</c:v>
                </c:pt>
                <c:pt idx="1">
                  <c:v>4.9530882882189937</c:v>
                </c:pt>
                <c:pt idx="2">
                  <c:v>5.2943366794114404</c:v>
                </c:pt>
                <c:pt idx="3">
                  <c:v>5.1140157079120412</c:v>
                </c:pt>
                <c:pt idx="4">
                  <c:v>5.2943366794114404</c:v>
                </c:pt>
                <c:pt idx="5">
                  <c:v>5.2469304332957316</c:v>
                </c:pt>
                <c:pt idx="6">
                  <c:v>5.0098797079120407</c:v>
                </c:pt>
              </c:numCache>
            </c:numRef>
          </c:val>
          <c:extLst>
            <c:ext xmlns:c16="http://schemas.microsoft.com/office/drawing/2014/chart" uri="{C3380CC4-5D6E-409C-BE32-E72D297353CC}">
              <c16:uniqueId val="{00000001-8945-4EDC-BDD5-CD966EFF40E5}"/>
            </c:ext>
          </c:extLst>
        </c:ser>
        <c:dLbls>
          <c:showLegendKey val="0"/>
          <c:showVal val="0"/>
          <c:showCatName val="0"/>
          <c:showSerName val="0"/>
          <c:showPercent val="0"/>
          <c:showBubbleSize val="0"/>
        </c:dLbls>
        <c:gapWidth val="150"/>
        <c:overlap val="100"/>
        <c:axId val="1233160943"/>
        <c:axId val="1550616095"/>
        <c:extLst>
          <c:ext xmlns:c15="http://schemas.microsoft.com/office/drawing/2012/chart" uri="{02D57815-91ED-43cb-92C2-25804820EDAC}">
            <c15:filteredBarSeries>
              <c15:ser>
                <c:idx val="0"/>
                <c:order val="0"/>
                <c:tx>
                  <c:strRef>
                    <c:extLst>
                      <c:ext uri="{02D57815-91ED-43cb-92C2-25804820EDAC}">
                        <c15:formulaRef>
                          <c15:sqref>'Pathway Comparison'!$B$306</c15:sqref>
                        </c15:formulaRef>
                      </c:ext>
                    </c:extLst>
                    <c:strCache>
                      <c:ptCount val="1"/>
                      <c:pt idx="0">
                        <c:v>Industry</c:v>
                      </c:pt>
                    </c:strCache>
                  </c:strRef>
                </c:tx>
                <c:spPr>
                  <a:solidFill>
                    <a:schemeClr val="accent3"/>
                  </a:solidFill>
                  <a:ln>
                    <a:noFill/>
                  </a:ln>
                  <a:effectLst/>
                </c:spPr>
                <c:invertIfNegative val="0"/>
                <c:dLbls>
                  <c:spPr>
                    <a:noFill/>
                    <a:ln>
                      <a:noFill/>
                    </a:ln>
                    <a:effectLst/>
                  </c:spPr>
                  <c:txPr>
                    <a:bodyPr wrap="square" lIns="38100" tIns="19050" rIns="38100" bIns="19050" anchor="ctr">
                      <a:spAutoFit/>
                    </a:bodyPr>
                    <a:lstStyle/>
                    <a:p>
                      <a:pPr>
                        <a:defRPr sz="700" i="1">
                          <a:solidFill>
                            <a:schemeClr val="bg1"/>
                          </a:solidFill>
                        </a:defRPr>
                      </a:pPr>
                      <a:endParaRPr lang="et-EE"/>
                    </a:p>
                  </c:txPr>
                  <c:showLegendKey val="0"/>
                  <c:showVal val="1"/>
                  <c:showCatName val="0"/>
                  <c:showSerName val="0"/>
                  <c:showPercent val="0"/>
                  <c:showBubbleSize val="0"/>
                  <c:showLeaderLines val="0"/>
                  <c:extLst>
                    <c:ext uri="{CE6537A1-D6FC-4f65-9D91-7224C49458BB}">
                      <c15:showLeaderLines val="1"/>
                    </c:ext>
                  </c:extLst>
                </c:dLbls>
                <c:cat>
                  <c:strRef>
                    <c:extLst>
                      <c:ext uri="{02D57815-91ED-43cb-92C2-25804820EDAC}">
                        <c15:fullRef>
                          <c15:sqref>'Pathway Comparison'!$C$305:$J$305</c15:sqref>
                        </c15:fullRef>
                        <c15:formulaRef>
                          <c15:sqref>'Pathway Comparison'!$D$305:$J$305</c15:sqref>
                        </c15:formulaRef>
                      </c:ext>
                    </c:extLst>
                    <c:strCache>
                      <c:ptCount val="7"/>
                      <c:pt idx="0">
                        <c:v>Baseline</c:v>
                      </c:pt>
                      <c:pt idx="1">
                        <c:v>EEO</c:v>
                      </c:pt>
                      <c:pt idx="2">
                        <c:v>VA</c:v>
                      </c:pt>
                      <c:pt idx="3">
                        <c:v>Renowave</c:v>
                      </c:pt>
                      <c:pt idx="4">
                        <c:v>EET</c:v>
                      </c:pt>
                      <c:pt idx="5">
                        <c:v>CEER1</c:v>
                      </c:pt>
                      <c:pt idx="6">
                        <c:v>CEER2</c:v>
                      </c:pt>
                    </c:strCache>
                  </c:strRef>
                </c:cat>
                <c:val>
                  <c:numRef>
                    <c:extLst>
                      <c:ext uri="{02D57815-91ED-43cb-92C2-25804820EDAC}">
                        <c15:fullRef>
                          <c15:sqref>'Pathway Comparison'!$C$306:$I$306</c15:sqref>
                        </c15:fullRef>
                        <c15:formulaRef>
                          <c15:sqref>'Pathway Comparison'!$D$306:$I$306</c15:sqref>
                        </c15:formulaRef>
                      </c:ext>
                    </c:extLst>
                    <c:numCache>
                      <c:formatCode>0.0</c:formatCode>
                      <c:ptCount val="6"/>
                      <c:pt idx="0">
                        <c:v>5.0743111657033078</c:v>
                      </c:pt>
                      <c:pt idx="1">
                        <c:v>4.823722772845862</c:v>
                      </c:pt>
                      <c:pt idx="2">
                        <c:v>4.5226184244762271</c:v>
                      </c:pt>
                      <c:pt idx="3">
                        <c:v>4.9702241179233972</c:v>
                      </c:pt>
                      <c:pt idx="4">
                        <c:v>4.9702241179233972</c:v>
                      </c:pt>
                      <c:pt idx="5">
                        <c:v>4.7412116874785575</c:v>
                      </c:pt>
                    </c:numCache>
                  </c:numRef>
                </c:val>
                <c:extLst>
                  <c:ext xmlns:c16="http://schemas.microsoft.com/office/drawing/2014/chart" uri="{C3380CC4-5D6E-409C-BE32-E72D297353CC}">
                    <c16:uniqueId val="{00000002-8945-4EDC-BDD5-CD966EFF40E5}"/>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'Pathway Comparison'!$B$309</c15:sqref>
                        </c15:formulaRef>
                      </c:ext>
                    </c:extLst>
                    <c:strCache>
                      <c:ptCount val="1"/>
                      <c:pt idx="0">
                        <c:v>Transport</c:v>
                      </c:pt>
                    </c:strCache>
                  </c:strRef>
                </c:tx>
                <c:spPr>
                  <a:solidFill>
                    <a:schemeClr val="accent5"/>
                  </a:solidFill>
                  <a:ln>
                    <a:noFill/>
                  </a:ln>
                  <a:effectLst/>
                </c:spPr>
                <c:invertIfNegative val="0"/>
                <c:dLbls>
                  <c:spPr>
                    <a:noFill/>
                    <a:ln>
                      <a:noFill/>
                    </a:ln>
                    <a:effectLst/>
                  </c:spPr>
                  <c:txPr>
                    <a:bodyPr wrap="square" lIns="38100" tIns="19050" rIns="38100" bIns="19050" anchor="ctr">
                      <a:spAutoFit/>
                    </a:bodyPr>
                    <a:lstStyle/>
                    <a:p>
                      <a:pPr>
                        <a:defRPr sz="700" i="1"/>
                      </a:pPr>
                      <a:endParaRPr lang="et-EE"/>
                    </a:p>
                  </c:txP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ext>
                  </c:extLst>
                </c:dLbls>
                <c:cat>
                  <c:strRef>
                    <c:extLst>
                      <c:ext xmlns:c15="http://schemas.microsoft.com/office/drawing/2012/chart" uri="{02D57815-91ED-43cb-92C2-25804820EDAC}">
                        <c15:fullRef>
                          <c15:sqref>'Pathway Comparison'!$C$305:$J$305</c15:sqref>
                        </c15:fullRef>
                        <c15:formulaRef>
                          <c15:sqref>'Pathway Comparison'!$D$305:$J$305</c15:sqref>
                        </c15:formulaRef>
                      </c:ext>
                    </c:extLst>
                    <c:strCache>
                      <c:ptCount val="7"/>
                      <c:pt idx="0">
                        <c:v>Baseline</c:v>
                      </c:pt>
                      <c:pt idx="1">
                        <c:v>EEO</c:v>
                      </c:pt>
                      <c:pt idx="2">
                        <c:v>VA</c:v>
                      </c:pt>
                      <c:pt idx="3">
                        <c:v>Renowave</c:v>
                      </c:pt>
                      <c:pt idx="4">
                        <c:v>EET</c:v>
                      </c:pt>
                      <c:pt idx="5">
                        <c:v>CEER1</c:v>
                      </c:pt>
                      <c:pt idx="6">
                        <c:v>CEER2</c:v>
                      </c:pt>
                    </c:strCache>
                  </c:strRef>
                </c:cat>
                <c:val>
                  <c:numRef>
                    <c:extLst>
                      <c:ext xmlns:c15="http://schemas.microsoft.com/office/drawing/2012/chart" uri="{02D57815-91ED-43cb-92C2-25804820EDAC}">
                        <c15:fullRef>
                          <c15:sqref>'Pathway Comparison'!$C$309:$I$309</c15:sqref>
                        </c15:fullRef>
                        <c15:formulaRef>
                          <c15:sqref>'Pathway Comparison'!$D$309:$I$309</c15:sqref>
                        </c15:formulaRef>
                      </c:ext>
                    </c:extLst>
                    <c:numCache>
                      <c:formatCode>0.0</c:formatCode>
                      <c:ptCount val="6"/>
                      <c:pt idx="0">
                        <c:v>10.468989741602083</c:v>
                      </c:pt>
                      <c:pt idx="1">
                        <c:v>10.014655587387709</c:v>
                      </c:pt>
                      <c:pt idx="2">
                        <c:v>10.014655587387709</c:v>
                      </c:pt>
                      <c:pt idx="3">
                        <c:v>10.014655587387709</c:v>
                      </c:pt>
                      <c:pt idx="4">
                        <c:v>8.697049056087609</c:v>
                      </c:pt>
                      <c:pt idx="5">
                        <c:v>9.3829933018857972</c:v>
                      </c:pt>
                    </c:numCache>
                  </c:numRef>
                </c:val>
                <c:extLst xmlns:c15="http://schemas.microsoft.com/office/drawing/2012/chart">
                  <c:ext xmlns:c16="http://schemas.microsoft.com/office/drawing/2014/chart" uri="{C3380CC4-5D6E-409C-BE32-E72D297353CC}">
                    <c16:uniqueId val="{00000003-8945-4EDC-BDD5-CD966EFF40E5}"/>
                  </c:ext>
                </c:extLst>
              </c15:ser>
            </c15:filteredBarSeries>
            <c15:filteredBarSeries>
              <c15:ser>
                <c:idx val="4"/>
                <c:order val="4"/>
                <c:tx>
                  <c:strRef>
                    <c:extLst xmlns:c15="http://schemas.microsoft.com/office/drawing/2012/chart">
                      <c:ext xmlns:c15="http://schemas.microsoft.com/office/drawing/2012/chart" uri="{02D57815-91ED-43cb-92C2-25804820EDAC}">
                        <c15:formulaRef>
                          <c15:sqref>'Pathway Comparison'!$B$310</c15:sqref>
                        </c15:formulaRef>
                      </c:ext>
                    </c:extLst>
                    <c:strCache>
                      <c:ptCount val="1"/>
                      <c:pt idx="0">
                        <c:v>Agriculture, fishing and forestry</c:v>
                      </c:pt>
                    </c:strCache>
                  </c:strRef>
                </c:tx>
                <c:spPr>
                  <a:solidFill>
                    <a:srgbClr val="993366"/>
                  </a:solidFill>
                  <a:ln>
                    <a:noFill/>
                  </a:ln>
                  <a:effectLst/>
                </c:spPr>
                <c:invertIfNegative val="0"/>
                <c:dLbls>
                  <c:dLbl>
                    <c:idx val="0"/>
                    <c:tx>
                      <c:rich>
                        <a:bodyPr/>
                        <a:lstStyle/>
                        <a:p>
                          <a:fld id="{9B0629A1-0C46-431F-83D6-E9DB27FC4CEB}" type="CELLRANGE">
                            <a:rPr lang="en-US"/>
                            <a:pPr/>
                            <a:t>[CELLRANGE]</a:t>
                          </a:fld>
                          <a:endParaRPr lang="et-EE"/>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4-8945-4EDC-BDD5-CD966EFF40E5}"/>
                      </c:ext>
                    </c:extLst>
                  </c:dLbl>
                  <c:dLbl>
                    <c:idx val="1"/>
                    <c:tx>
                      <c:rich>
                        <a:bodyPr/>
                        <a:lstStyle/>
                        <a:p>
                          <a:fld id="{0F51E754-B0DF-4F26-85DF-2ACEE3929F1A}" type="CELLRANGE">
                            <a:rPr lang="en-US"/>
                            <a:pPr/>
                            <a:t>[CELLRANGE]</a:t>
                          </a:fld>
                          <a:endParaRPr lang="et-EE"/>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5-8945-4EDC-BDD5-CD966EFF40E5}"/>
                      </c:ext>
                    </c:extLst>
                  </c:dLbl>
                  <c:dLbl>
                    <c:idx val="2"/>
                    <c:tx>
                      <c:rich>
                        <a:bodyPr/>
                        <a:lstStyle/>
                        <a:p>
                          <a:fld id="{1EA39048-5E3B-4461-87B9-21AFE9BFF795}" type="CELLRANGE">
                            <a:rPr lang="en-US"/>
                            <a:pPr/>
                            <a:t>[CELLRANGE]</a:t>
                          </a:fld>
                          <a:endParaRPr lang="et-EE"/>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6-8945-4EDC-BDD5-CD966EFF40E5}"/>
                      </c:ext>
                    </c:extLst>
                  </c:dLbl>
                  <c:dLbl>
                    <c:idx val="3"/>
                    <c:tx>
                      <c:rich>
                        <a:bodyPr/>
                        <a:lstStyle/>
                        <a:p>
                          <a:fld id="{BBBD34CE-6DD2-4493-AA12-A9FE3097A427}" type="CELLRANGE">
                            <a:rPr lang="en-US"/>
                            <a:pPr/>
                            <a:t>[CELLRANGE]</a:t>
                          </a:fld>
                          <a:endParaRPr lang="et-EE"/>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7-8945-4EDC-BDD5-CD966EFF40E5}"/>
                      </c:ext>
                    </c:extLst>
                  </c:dLbl>
                  <c:dLbl>
                    <c:idx val="4"/>
                    <c:tx>
                      <c:rich>
                        <a:bodyPr/>
                        <a:lstStyle/>
                        <a:p>
                          <a:fld id="{07AE90A8-8BED-4E0E-A97C-FAC6E9A6E18D}" type="CELLRANGE">
                            <a:rPr lang="en-US"/>
                            <a:pPr/>
                            <a:t>[CELLRANGE]</a:t>
                          </a:fld>
                          <a:endParaRPr lang="et-EE"/>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8-8945-4EDC-BDD5-CD966EFF40E5}"/>
                      </c:ext>
                    </c:extLst>
                  </c:dLbl>
                  <c:dLbl>
                    <c:idx val="5"/>
                    <c:tx>
                      <c:rich>
                        <a:bodyPr/>
                        <a:lstStyle/>
                        <a:p>
                          <a:fld id="{8B69949C-FBD9-4BFA-BBFC-BCADA3E89467}" type="CELLRANGE">
                            <a:rPr lang="en-US"/>
                            <a:pPr/>
                            <a:t>[CELLRANGE]</a:t>
                          </a:fld>
                          <a:endParaRPr lang="et-EE"/>
                        </a:p>
                      </c:rich>
                    </c:tx>
                    <c:dLblPos val="inBase"/>
                    <c:showLegendKey val="0"/>
                    <c:showVal val="0"/>
                    <c:showCatName val="0"/>
                    <c:showSerName val="0"/>
                    <c:showPercent val="0"/>
                    <c:showBubbleSize val="0"/>
                    <c:extLst xmlns:c15="http://schemas.microsoft.com/office/drawing/2012/chart">
                      <c:ext xmlns:c15="http://schemas.microsoft.com/office/drawing/2012/chart" uri="{CE6537A1-D6FC-4f65-9D91-7224C49458BB}">
                        <c15:dlblFieldTable/>
                        <c15:showDataLabelsRange val="1"/>
                      </c:ext>
                      <c:ext xmlns:c16="http://schemas.microsoft.com/office/drawing/2014/chart" uri="{C3380CC4-5D6E-409C-BE32-E72D297353CC}">
                        <c16:uniqueId val="{00000009-8945-4EDC-BDD5-CD966EFF40E5}"/>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t-EE"/>
                    </a:p>
                  </c:txPr>
                  <c:dLblPos val="inBase"/>
                  <c:showLegendKey val="0"/>
                  <c:showVal val="0"/>
                  <c:showCatName val="0"/>
                  <c:showSerName val="0"/>
                  <c:showPercent val="0"/>
                  <c:showBubbleSize val="0"/>
                  <c:showLeaderLines val="0"/>
                  <c:extLst xmlns:c15="http://schemas.microsoft.com/office/drawing/2012/chart">
                    <c:ext xmlns:c15="http://schemas.microsoft.com/office/drawing/2012/chart" uri="{CE6537A1-D6FC-4f65-9D91-7224C49458BB}">
                      <c15:showDataLabelsRange val="1"/>
                      <c15:showLeaderLines val="1"/>
                    </c:ext>
                  </c:extLst>
                </c:dLbls>
                <c:cat>
                  <c:strRef>
                    <c:extLst>
                      <c:ext xmlns:c15="http://schemas.microsoft.com/office/drawing/2012/chart" uri="{02D57815-91ED-43cb-92C2-25804820EDAC}">
                        <c15:fullRef>
                          <c15:sqref>'Pathway Comparison'!$C$305:$J$305</c15:sqref>
                        </c15:fullRef>
                        <c15:formulaRef>
                          <c15:sqref>'Pathway Comparison'!$D$305:$J$305</c15:sqref>
                        </c15:formulaRef>
                      </c:ext>
                    </c:extLst>
                    <c:strCache>
                      <c:ptCount val="7"/>
                      <c:pt idx="0">
                        <c:v>Baseline</c:v>
                      </c:pt>
                      <c:pt idx="1">
                        <c:v>EEO</c:v>
                      </c:pt>
                      <c:pt idx="2">
                        <c:v>VA</c:v>
                      </c:pt>
                      <c:pt idx="3">
                        <c:v>Renowave</c:v>
                      </c:pt>
                      <c:pt idx="4">
                        <c:v>EET</c:v>
                      </c:pt>
                      <c:pt idx="5">
                        <c:v>CEER1</c:v>
                      </c:pt>
                      <c:pt idx="6">
                        <c:v>CEER2</c:v>
                      </c:pt>
                    </c:strCache>
                  </c:strRef>
                </c:cat>
                <c:val>
                  <c:numRef>
                    <c:extLst>
                      <c:ext xmlns:c15="http://schemas.microsoft.com/office/drawing/2012/chart" uri="{02D57815-91ED-43cb-92C2-25804820EDAC}">
                        <c15:fullRef>
                          <c15:sqref>'Pathway Comparison'!$C$310:$I$310</c15:sqref>
                        </c15:fullRef>
                        <c15:formulaRef>
                          <c15:sqref>'Pathway Comparison'!$D$310:$I$310</c15:sqref>
                        </c15:formulaRef>
                      </c:ext>
                    </c:extLst>
                    <c:numCache>
                      <c:formatCode>0.0</c:formatCode>
                      <c:ptCount val="6"/>
                      <c:pt idx="0">
                        <c:v>0.97525500085004602</c:v>
                      </c:pt>
                      <c:pt idx="1">
                        <c:v>0.94805500085004601</c:v>
                      </c:pt>
                      <c:pt idx="2">
                        <c:v>0.94805500085004601</c:v>
                      </c:pt>
                      <c:pt idx="3">
                        <c:v>0.94805500085004601</c:v>
                      </c:pt>
                      <c:pt idx="4">
                        <c:v>0.94805500085004601</c:v>
                      </c:pt>
                      <c:pt idx="5">
                        <c:v>0.94805500085004601</c:v>
                      </c:pt>
                    </c:numCache>
                  </c:numRef>
                </c:val>
                <c:extLst xmlns:c15="http://schemas.microsoft.com/office/drawing/2012/chart">
                  <c:ext xmlns:c15="http://schemas.microsoft.com/office/drawing/2012/chart" uri="{02D57815-91ED-43cb-92C2-25804820EDAC}">
                    <c15:datalabelsRange>
                      <c15:f>'Pathway Comparison'!$C$312:$J$312</c15:f>
                      <c15:dlblRangeCache>
                        <c:ptCount val="8"/>
                        <c:pt idx="0">
                          <c:v>33,6</c:v>
                        </c:pt>
                        <c:pt idx="1">
                          <c:v>32,8</c:v>
                        </c:pt>
                        <c:pt idx="2">
                          <c:v>30,4</c:v>
                        </c:pt>
                        <c:pt idx="3">
                          <c:v>30,5</c:v>
                        </c:pt>
                        <c:pt idx="4">
                          <c:v>29,6</c:v>
                        </c:pt>
                        <c:pt idx="5">
                          <c:v>29,7</c:v>
                        </c:pt>
                        <c:pt idx="6">
                          <c:v>29,9</c:v>
                        </c:pt>
                        <c:pt idx="7">
                          <c:v>28,7</c:v>
                        </c:pt>
                      </c15:dlblRangeCache>
                    </c15:datalabelsRange>
                  </c:ext>
                  <c:ext xmlns:c16="http://schemas.microsoft.com/office/drawing/2014/chart" uri="{C3380CC4-5D6E-409C-BE32-E72D297353CC}">
                    <c16:uniqueId val="{0000000A-8945-4EDC-BDD5-CD966EFF40E5}"/>
                  </c:ext>
                </c:extLst>
              </c15:ser>
            </c15:filteredBarSeries>
          </c:ext>
        </c:extLst>
      </c:barChart>
      <c:catAx>
        <c:axId val="123316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crossAx val="1550616095"/>
        <c:crosses val="autoZero"/>
        <c:auto val="1"/>
        <c:lblAlgn val="ctr"/>
        <c:lblOffset val="100"/>
        <c:noMultiLvlLbl val="0"/>
      </c:catAx>
      <c:valAx>
        <c:axId val="155061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sz="800"/>
                  <a:t>Final energy consumption, 2030 (TWh)</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crossAx val="1233160943"/>
        <c:crosses val="autoZero"/>
        <c:crossBetween val="between"/>
      </c:valAx>
    </c:plotArea>
    <c:legend>
      <c:legendPos val="b"/>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ysClr val="windowText" lastClr="000000"/>
                </a:solidFill>
                <a:latin typeface="+mj-lt"/>
                <a:ea typeface="+mj-ea"/>
                <a:cs typeface="+mj-cs"/>
              </a:defRPr>
            </a:pPr>
            <a:r>
              <a:rPr lang="fr-BE"/>
              <a:t>Forecast GDP (based on value added, Meur)</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ysClr val="windowText" lastClr="000000"/>
              </a:solidFill>
              <a:latin typeface="+mj-lt"/>
              <a:ea typeface="+mj-ea"/>
              <a:cs typeface="+mj-cs"/>
            </a:defRPr>
          </a:pPr>
          <a:endParaRPr lang="et-EE"/>
        </a:p>
      </c:txPr>
    </c:title>
    <c:autoTitleDeleted val="0"/>
    <c:plotArea>
      <c:layout/>
      <c:lineChart>
        <c:grouping val="standard"/>
        <c:varyColors val="0"/>
        <c:ser>
          <c:idx val="0"/>
          <c:order val="0"/>
          <c:tx>
            <c:strRef>
              <c:f>'Pathway Analysis'!$E$802</c:f>
              <c:strCache>
                <c:ptCount val="1"/>
                <c:pt idx="0">
                  <c:v>W/o EE measures</c:v>
                </c:pt>
              </c:strCache>
            </c:strRef>
          </c:tx>
          <c:spPr>
            <a:ln w="22225" cap="rnd">
              <a:solidFill>
                <a:schemeClr val="bg1">
                  <a:lumMod val="75000"/>
                </a:schemeClr>
              </a:solidFill>
              <a:round/>
            </a:ln>
            <a:effectLst/>
          </c:spPr>
          <c:marker>
            <c:symbol val="none"/>
          </c:marker>
          <c:val>
            <c:numRef>
              <c:f>'Pathway Analysis'!$G$802:$U$802</c:f>
              <c:numCache>
                <c:formatCode>_(* #\ ##0_);_(* \(#\ ##0\);_(* "-"??_);_(@_)</c:formatCode>
                <c:ptCount val="15"/>
                <c:pt idx="0">
                  <c:v>33868.828934926511</c:v>
                </c:pt>
                <c:pt idx="1">
                  <c:v>39116.948109696277</c:v>
                </c:pt>
                <c:pt idx="2">
                  <c:v>41693.555133133246</c:v>
                </c:pt>
                <c:pt idx="3">
                  <c:v>44121.475847399794</c:v>
                </c:pt>
                <c:pt idx="4">
                  <c:v>44246.414248402863</c:v>
                </c:pt>
                <c:pt idx="5">
                  <c:v>44406.753013675872</c:v>
                </c:pt>
                <c:pt idx="6">
                  <c:v>44362.371872855481</c:v>
                </c:pt>
                <c:pt idx="7">
                  <c:v>44218.256048375508</c:v>
                </c:pt>
                <c:pt idx="8">
                  <c:v>44734.585334121402</c:v>
                </c:pt>
                <c:pt idx="9">
                  <c:v>44908.805220587405</c:v>
                </c:pt>
                <c:pt idx="10">
                  <c:v>45114.298453252188</c:v>
                </c:pt>
                <c:pt idx="11">
                  <c:v>45312.151048899366</c:v>
                </c:pt>
                <c:pt idx="12">
                  <c:v>45515.07799519605</c:v>
                </c:pt>
                <c:pt idx="13">
                  <c:v>45701.680380483282</c:v>
                </c:pt>
                <c:pt idx="14">
                  <c:v>45856.290436499294</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0-867A-493B-9248-F15E17A7E01F}"/>
            </c:ext>
          </c:extLst>
        </c:ser>
        <c:ser>
          <c:idx val="1"/>
          <c:order val="1"/>
          <c:tx>
            <c:strRef>
              <c:f>'Pathway Analysis'!$E$809</c:f>
              <c:strCache>
                <c:ptCount val="1"/>
                <c:pt idx="0">
                  <c:v>Baseline</c:v>
                </c:pt>
              </c:strCache>
            </c:strRef>
          </c:tx>
          <c:spPr>
            <a:ln w="22225" cap="rnd">
              <a:solidFill>
                <a:schemeClr val="accent2"/>
              </a:solidFill>
              <a:round/>
            </a:ln>
            <a:effectLst/>
          </c:spPr>
          <c:marker>
            <c:symbol val="none"/>
          </c:marker>
          <c:val>
            <c:numRef>
              <c:f>'Pathway Analysis'!$G$809:$U$809</c:f>
              <c:numCache>
                <c:formatCode>_(* #\ ##0_);_(* \(#\ ##0\);_(* "-"??_);_(@_)</c:formatCode>
                <c:ptCount val="15"/>
                <c:pt idx="0">
                  <c:v>34091.456117683781</c:v>
                </c:pt>
                <c:pt idx="1">
                  <c:v>39311.990172771795</c:v>
                </c:pt>
                <c:pt idx="2">
                  <c:v>41866.861566374428</c:v>
                </c:pt>
                <c:pt idx="3">
                  <c:v>44292.397370362989</c:v>
                </c:pt>
                <c:pt idx="4">
                  <c:v>44536.706984122342</c:v>
                </c:pt>
                <c:pt idx="5">
                  <c:v>44712.319977032988</c:v>
                </c:pt>
                <c:pt idx="6">
                  <c:v>44675.961868087943</c:v>
                </c:pt>
                <c:pt idx="7">
                  <c:v>44499.6979169857</c:v>
                </c:pt>
                <c:pt idx="8">
                  <c:v>45027.88049763719</c:v>
                </c:pt>
                <c:pt idx="9">
                  <c:v>45214.364567204881</c:v>
                </c:pt>
                <c:pt idx="10">
                  <c:v>45432.592609132291</c:v>
                </c:pt>
                <c:pt idx="11">
                  <c:v>45643.657537533087</c:v>
                </c:pt>
                <c:pt idx="12">
                  <c:v>45860.292672366151</c:v>
                </c:pt>
                <c:pt idx="13">
                  <c:v>46061.118192214344</c:v>
                </c:pt>
                <c:pt idx="14">
                  <c:v>46230.486208432019</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1-867A-493B-9248-F15E17A7E01F}"/>
            </c:ext>
          </c:extLst>
        </c:ser>
        <c:ser>
          <c:idx val="2"/>
          <c:order val="2"/>
          <c:tx>
            <c:strRef>
              <c:f>'Pathway Analysis'!$E$816</c:f>
              <c:strCache>
                <c:ptCount val="1"/>
                <c:pt idx="0">
                  <c:v>EEO</c:v>
                </c:pt>
              </c:strCache>
            </c:strRef>
          </c:tx>
          <c:spPr>
            <a:ln w="22225" cap="rnd">
              <a:solidFill>
                <a:schemeClr val="accent3">
                  <a:lumMod val="40000"/>
                  <a:lumOff val="60000"/>
                </a:schemeClr>
              </a:solidFill>
              <a:round/>
            </a:ln>
            <a:effectLst/>
          </c:spPr>
          <c:marker>
            <c:symbol val="none"/>
          </c:marker>
          <c:val>
            <c:numRef>
              <c:f>'Pathway Analysis'!$G$816:$U$816</c:f>
              <c:numCache>
                <c:formatCode>_(* #\ ##0_);_(* \(#\ ##0\);_(* "-"??_);_(@_)</c:formatCode>
                <c:ptCount val="15"/>
                <c:pt idx="0">
                  <c:v>34232.758786020822</c:v>
                </c:pt>
                <c:pt idx="1">
                  <c:v>39399.352032929819</c:v>
                </c:pt>
                <c:pt idx="2">
                  <c:v>41935.293647925813</c:v>
                </c:pt>
                <c:pt idx="3">
                  <c:v>44574.803619317856</c:v>
                </c:pt>
                <c:pt idx="4">
                  <c:v>46352.386993896958</c:v>
                </c:pt>
                <c:pt idx="5">
                  <c:v>46443.388531365468</c:v>
                </c:pt>
                <c:pt idx="6">
                  <c:v>46413.501827368324</c:v>
                </c:pt>
                <c:pt idx="7">
                  <c:v>46301.7409753424</c:v>
                </c:pt>
                <c:pt idx="8">
                  <c:v>46912.659138292685</c:v>
                </c:pt>
                <c:pt idx="9">
                  <c:v>47179.833851808762</c:v>
                </c:pt>
                <c:pt idx="10">
                  <c:v>47468.630132800747</c:v>
                </c:pt>
                <c:pt idx="11">
                  <c:v>47766.99012377084</c:v>
                </c:pt>
                <c:pt idx="12">
                  <c:v>48074.321224624742</c:v>
                </c:pt>
                <c:pt idx="13">
                  <c:v>48369.373447060367</c:v>
                </c:pt>
                <c:pt idx="14">
                  <c:v>48636.654545117955</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2-867A-493B-9248-F15E17A7E01F}"/>
            </c:ext>
          </c:extLst>
        </c:ser>
        <c:ser>
          <c:idx val="3"/>
          <c:order val="3"/>
          <c:tx>
            <c:strRef>
              <c:f>'Pathway Analysis'!$E$823</c:f>
              <c:strCache>
                <c:ptCount val="1"/>
                <c:pt idx="0">
                  <c:v>VA</c:v>
                </c:pt>
              </c:strCache>
            </c:strRef>
          </c:tx>
          <c:spPr>
            <a:ln w="22225" cap="rnd">
              <a:solidFill>
                <a:schemeClr val="accent4"/>
              </a:solidFill>
              <a:round/>
            </a:ln>
            <a:effectLst/>
          </c:spPr>
          <c:marker>
            <c:symbol val="none"/>
          </c:marker>
          <c:val>
            <c:numRef>
              <c:f>'Pathway Analysis'!$G$823:$U$823</c:f>
              <c:numCache>
                <c:formatCode>_(* #\ ##0_);_(* \(#\ ##0\);_(* "-"??_);_(@_)</c:formatCode>
                <c:ptCount val="15"/>
                <c:pt idx="0">
                  <c:v>34232.758786020822</c:v>
                </c:pt>
                <c:pt idx="1">
                  <c:v>39399.401281653852</c:v>
                </c:pt>
                <c:pt idx="2">
                  <c:v>41935.366911010577</c:v>
                </c:pt>
                <c:pt idx="3">
                  <c:v>44575.742168264784</c:v>
                </c:pt>
                <c:pt idx="4">
                  <c:v>46426.559967046916</c:v>
                </c:pt>
                <c:pt idx="5">
                  <c:v>46516.938287262958</c:v>
                </c:pt>
                <c:pt idx="6">
                  <c:v>46490.47696597311</c:v>
                </c:pt>
                <c:pt idx="7">
                  <c:v>46387.492046740779</c:v>
                </c:pt>
                <c:pt idx="8">
                  <c:v>47013.583329041641</c:v>
                </c:pt>
                <c:pt idx="9">
                  <c:v>47294.064536911799</c:v>
                </c:pt>
                <c:pt idx="10">
                  <c:v>47584.719522868501</c:v>
                </c:pt>
                <c:pt idx="11">
                  <c:v>47884.958281695668</c:v>
                </c:pt>
                <c:pt idx="12">
                  <c:v>48194.19814661397</c:v>
                </c:pt>
                <c:pt idx="13">
                  <c:v>48491.196845805018</c:v>
                </c:pt>
                <c:pt idx="14">
                  <c:v>48760.454192058744</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3-867A-493B-9248-F15E17A7E01F}"/>
            </c:ext>
          </c:extLst>
        </c:ser>
        <c:ser>
          <c:idx val="4"/>
          <c:order val="4"/>
          <c:tx>
            <c:strRef>
              <c:f>'Pathway Analysis'!$E$830</c:f>
              <c:strCache>
                <c:ptCount val="1"/>
                <c:pt idx="0">
                  <c:v>Renowave</c:v>
                </c:pt>
              </c:strCache>
            </c:strRef>
          </c:tx>
          <c:spPr>
            <a:ln w="22225" cap="rnd">
              <a:solidFill>
                <a:srgbClr val="FFFF00"/>
              </a:solidFill>
              <a:round/>
            </a:ln>
            <a:effectLst/>
          </c:spPr>
          <c:marker>
            <c:symbol val="none"/>
          </c:marker>
          <c:val>
            <c:numRef>
              <c:f>'Pathway Analysis'!$G$830:$U$830</c:f>
              <c:numCache>
                <c:formatCode>_(* #\ ##0_);_(* \(#\ ##0\);_(* "-"??_);_(@_)</c:formatCode>
                <c:ptCount val="15"/>
                <c:pt idx="0">
                  <c:v>34232.758786020822</c:v>
                </c:pt>
                <c:pt idx="1">
                  <c:v>39399.401281653852</c:v>
                </c:pt>
                <c:pt idx="2">
                  <c:v>41935.366911010577</c:v>
                </c:pt>
                <c:pt idx="3">
                  <c:v>44545.465440575164</c:v>
                </c:pt>
                <c:pt idx="4">
                  <c:v>47891.858563615169</c:v>
                </c:pt>
                <c:pt idx="5">
                  <c:v>48034.103438557409</c:v>
                </c:pt>
                <c:pt idx="6">
                  <c:v>48056.006969273636</c:v>
                </c:pt>
                <c:pt idx="7">
                  <c:v>47992.867532599907</c:v>
                </c:pt>
                <c:pt idx="8">
                  <c:v>48653.614244152763</c:v>
                </c:pt>
                <c:pt idx="9">
                  <c:v>48971.88099746334</c:v>
                </c:pt>
                <c:pt idx="10">
                  <c:v>49312.953730361784</c:v>
                </c:pt>
                <c:pt idx="11">
                  <c:v>49664.870063018723</c:v>
                </c:pt>
                <c:pt idx="12">
                  <c:v>50027.06803885672</c:v>
                </c:pt>
                <c:pt idx="13">
                  <c:v>50378.328979652528</c:v>
                </c:pt>
                <c:pt idx="14">
                  <c:v>50703.124121620072</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4-867A-493B-9248-F15E17A7E01F}"/>
            </c:ext>
          </c:extLst>
        </c:ser>
        <c:ser>
          <c:idx val="5"/>
          <c:order val="5"/>
          <c:tx>
            <c:strRef>
              <c:f>'Pathway Analysis'!$E$837</c:f>
              <c:strCache>
                <c:ptCount val="1"/>
                <c:pt idx="0">
                  <c:v>EET</c:v>
                </c:pt>
              </c:strCache>
            </c:strRef>
          </c:tx>
          <c:spPr>
            <a:ln w="22225" cap="rnd">
              <a:solidFill>
                <a:srgbClr val="B49553"/>
              </a:solidFill>
              <a:round/>
            </a:ln>
            <a:effectLst/>
          </c:spPr>
          <c:marker>
            <c:symbol val="none"/>
          </c:marker>
          <c:val>
            <c:numRef>
              <c:f>'Pathway Analysis'!$G$837:$U$837</c:f>
              <c:numCache>
                <c:formatCode>_(* #\ ##0_);_(* \(#\ ##0\);_(* "-"??_);_(@_)</c:formatCode>
                <c:ptCount val="15"/>
                <c:pt idx="0">
                  <c:v>34546.689586256893</c:v>
                </c:pt>
                <c:pt idx="1">
                  <c:v>39703.755637507078</c:v>
                </c:pt>
                <c:pt idx="2">
                  <c:v>42160.988539688296</c:v>
                </c:pt>
                <c:pt idx="3">
                  <c:v>45395.679623597774</c:v>
                </c:pt>
                <c:pt idx="4">
                  <c:v>47273.964635588869</c:v>
                </c:pt>
                <c:pt idx="5">
                  <c:v>46866.727811059412</c:v>
                </c:pt>
                <c:pt idx="6">
                  <c:v>46563.042488010484</c:v>
                </c:pt>
                <c:pt idx="7">
                  <c:v>46433.08633950277</c:v>
                </c:pt>
                <c:pt idx="8">
                  <c:v>47048.114637704275</c:v>
                </c:pt>
                <c:pt idx="9">
                  <c:v>47311.18287946182</c:v>
                </c:pt>
                <c:pt idx="10">
                  <c:v>47559.467778053666</c:v>
                </c:pt>
                <c:pt idx="11">
                  <c:v>47845.594497740356</c:v>
                </c:pt>
                <c:pt idx="12">
                  <c:v>48139.741879396541</c:v>
                </c:pt>
                <c:pt idx="13">
                  <c:v>48420.614130236536</c:v>
                </c:pt>
                <c:pt idx="14">
                  <c:v>48672.652290855985</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5-867A-493B-9248-F15E17A7E01F}"/>
            </c:ext>
          </c:extLst>
        </c:ser>
        <c:ser>
          <c:idx val="6"/>
          <c:order val="6"/>
          <c:tx>
            <c:strRef>
              <c:f>'Pathway Analysis'!$E$844</c:f>
              <c:strCache>
                <c:ptCount val="1"/>
                <c:pt idx="0">
                  <c:v>CEER1</c:v>
                </c:pt>
              </c:strCache>
            </c:strRef>
          </c:tx>
          <c:spPr>
            <a:ln w="22225" cap="rnd">
              <a:solidFill>
                <a:schemeClr val="accent2">
                  <a:lumMod val="50000"/>
                  <a:lumOff val="50000"/>
                </a:schemeClr>
              </a:solidFill>
              <a:round/>
            </a:ln>
            <a:effectLst/>
          </c:spPr>
          <c:marker>
            <c:symbol val="none"/>
          </c:marker>
          <c:val>
            <c:numRef>
              <c:f>'Pathway Analysis'!$G$837:$U$837</c:f>
              <c:numCache>
                <c:formatCode>_(* #\ ##0_);_(* \(#\ ##0\);_(* "-"??_);_(@_)</c:formatCode>
                <c:ptCount val="15"/>
                <c:pt idx="0">
                  <c:v>34546.689586256893</c:v>
                </c:pt>
                <c:pt idx="1">
                  <c:v>39703.755637507078</c:v>
                </c:pt>
                <c:pt idx="2">
                  <c:v>42160.988539688296</c:v>
                </c:pt>
                <c:pt idx="3">
                  <c:v>45395.679623597774</c:v>
                </c:pt>
                <c:pt idx="4">
                  <c:v>47273.964635588869</c:v>
                </c:pt>
                <c:pt idx="5">
                  <c:v>46866.727811059412</c:v>
                </c:pt>
                <c:pt idx="6">
                  <c:v>46563.042488010484</c:v>
                </c:pt>
                <c:pt idx="7">
                  <c:v>46433.08633950277</c:v>
                </c:pt>
                <c:pt idx="8">
                  <c:v>47048.114637704275</c:v>
                </c:pt>
                <c:pt idx="9">
                  <c:v>47311.18287946182</c:v>
                </c:pt>
                <c:pt idx="10">
                  <c:v>47559.467778053666</c:v>
                </c:pt>
                <c:pt idx="11">
                  <c:v>47845.594497740356</c:v>
                </c:pt>
                <c:pt idx="12">
                  <c:v>48139.741879396541</c:v>
                </c:pt>
                <c:pt idx="13">
                  <c:v>48420.614130236536</c:v>
                </c:pt>
                <c:pt idx="14">
                  <c:v>48672.652290855985</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6-867A-493B-9248-F15E17A7E01F}"/>
            </c:ext>
          </c:extLst>
        </c:ser>
        <c:ser>
          <c:idx val="7"/>
          <c:order val="7"/>
          <c:tx>
            <c:strRef>
              <c:f>'Pathway Analysis'!$E$851</c:f>
              <c:strCache>
                <c:ptCount val="1"/>
                <c:pt idx="0">
                  <c:v>CEER2</c:v>
                </c:pt>
              </c:strCache>
            </c:strRef>
          </c:tx>
          <c:spPr>
            <a:ln w="22225" cap="rnd">
              <a:solidFill>
                <a:srgbClr val="FF0000"/>
              </a:solidFill>
              <a:round/>
            </a:ln>
            <a:effectLst/>
          </c:spPr>
          <c:marker>
            <c:symbol val="none"/>
          </c:marker>
          <c:val>
            <c:numRef>
              <c:f>'Pathway Analysis'!$G$851:$U$851</c:f>
              <c:numCache>
                <c:formatCode>_(* #\ ##0_);_(* \(#\ ##0\);_(* "-"??_);_(@_)</c:formatCode>
                <c:ptCount val="15"/>
                <c:pt idx="0">
                  <c:v>34444.712788526384</c:v>
                </c:pt>
                <c:pt idx="1">
                  <c:v>39530.517944976928</c:v>
                </c:pt>
                <c:pt idx="2">
                  <c:v>42038.124927964782</c:v>
                </c:pt>
                <c:pt idx="3">
                  <c:v>44879.652454359028</c:v>
                </c:pt>
                <c:pt idx="4">
                  <c:v>47947.791293952774</c:v>
                </c:pt>
                <c:pt idx="5">
                  <c:v>47872.270990177014</c:v>
                </c:pt>
                <c:pt idx="6">
                  <c:v>47805.727698957497</c:v>
                </c:pt>
                <c:pt idx="7">
                  <c:v>47739.026085353013</c:v>
                </c:pt>
                <c:pt idx="8">
                  <c:v>48425.901787224007</c:v>
                </c:pt>
                <c:pt idx="9">
                  <c:v>48761.21044455815</c:v>
                </c:pt>
                <c:pt idx="10">
                  <c:v>49072.648622373599</c:v>
                </c:pt>
                <c:pt idx="11">
                  <c:v>49424.40561328084</c:v>
                </c:pt>
                <c:pt idx="12">
                  <c:v>49786.764378703185</c:v>
                </c:pt>
                <c:pt idx="13">
                  <c:v>50138.534501555769</c:v>
                </c:pt>
                <c:pt idx="14">
                  <c:v>50464.247562980439</c:v>
                </c:pt>
              </c:numCache>
            </c:numRef>
          </c:val>
          <c:smooth val="0"/>
          <c:extLst>
            <c:ext xmlns:c15="http://schemas.microsoft.com/office/drawing/2012/chart" uri="{02D57815-91ED-43cb-92C2-25804820EDAC}">
              <c15:filteredCategoryTitle>
                <c15:cat>
                  <c:numRef>
                    <c:extLst>
                      <c:ext uri="{02D57815-91ED-43cb-92C2-25804820EDAC}">
                        <c15:formulaRef>
                          <c15:sqref>'Pathway Analysis'!$G$801:$U$801</c15:sqref>
                        </c15:formulaRef>
                      </c:ext>
                    </c:extLst>
                    <c:numCache>
                      <c:formatCode>General</c:formatCode>
                      <c:ptCount val="15"/>
                      <c:pt idx="0">
                        <c:v>2021</c:v>
                      </c:pt>
                      <c:pt idx="1">
                        <c:v>2022</c:v>
                      </c:pt>
                      <c:pt idx="2">
                        <c:v>2023</c:v>
                      </c:pt>
                      <c:pt idx="3">
                        <c:v>2024</c:v>
                      </c:pt>
                      <c:pt idx="4">
                        <c:v>2025</c:v>
                      </c:pt>
                      <c:pt idx="5">
                        <c:v>2026</c:v>
                      </c:pt>
                      <c:pt idx="6">
                        <c:v>2027</c:v>
                      </c:pt>
                      <c:pt idx="7">
                        <c:v>2028</c:v>
                      </c:pt>
                      <c:pt idx="8">
                        <c:v>2029</c:v>
                      </c:pt>
                      <c:pt idx="9">
                        <c:v>2030</c:v>
                      </c:pt>
                      <c:pt idx="10">
                        <c:v>2031</c:v>
                      </c:pt>
                      <c:pt idx="11">
                        <c:v>2032</c:v>
                      </c:pt>
                      <c:pt idx="12">
                        <c:v>2033</c:v>
                      </c:pt>
                      <c:pt idx="13">
                        <c:v>2034</c:v>
                      </c:pt>
                      <c:pt idx="14">
                        <c:v>2035</c:v>
                      </c:pt>
                    </c:numCache>
                  </c:numRef>
                </c15:cat>
              </c15:filteredCategoryTitle>
            </c:ext>
            <c:ext xmlns:c16="http://schemas.microsoft.com/office/drawing/2014/chart" uri="{C3380CC4-5D6E-409C-BE32-E72D297353CC}">
              <c16:uniqueId val="{00000007-867A-493B-9248-F15E17A7E01F}"/>
            </c:ext>
          </c:extLst>
        </c:ser>
        <c:dLbls>
          <c:showLegendKey val="0"/>
          <c:showVal val="0"/>
          <c:showCatName val="0"/>
          <c:showSerName val="0"/>
          <c:showPercent val="0"/>
          <c:showBubbleSize val="0"/>
        </c:dLbls>
        <c:smooth val="0"/>
        <c:axId val="1106492272"/>
        <c:axId val="1060756416"/>
      </c:lineChart>
      <c:catAx>
        <c:axId val="1106492272"/>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ysClr val="windowText" lastClr="000000"/>
                </a:solidFill>
                <a:latin typeface="+mn-lt"/>
                <a:ea typeface="+mn-ea"/>
                <a:cs typeface="+mn-cs"/>
              </a:defRPr>
            </a:pPr>
            <a:endParaRPr lang="et-EE"/>
          </a:p>
        </c:txPr>
        <c:crossAx val="1060756416"/>
        <c:crosses val="autoZero"/>
        <c:auto val="1"/>
        <c:lblAlgn val="ctr"/>
        <c:lblOffset val="100"/>
        <c:noMultiLvlLbl val="0"/>
      </c:catAx>
      <c:valAx>
        <c:axId val="1060756416"/>
        <c:scaling>
          <c:orientation val="minMax"/>
          <c:min val="34000"/>
        </c:scaling>
        <c:delete val="0"/>
        <c:axPos val="l"/>
        <c:majorGridlines>
          <c:spPr>
            <a:ln w="9525" cap="flat" cmpd="sng" algn="ctr">
              <a:solidFill>
                <a:schemeClr val="dk1">
                  <a:lumMod val="15000"/>
                  <a:lumOff val="85000"/>
                  <a:alpha val="54000"/>
                </a:schemeClr>
              </a:solidFill>
              <a:round/>
            </a:ln>
            <a:effectLst/>
          </c:spPr>
        </c:majorGridlines>
        <c:numFmt formatCode="_(* #\ ##0_);_(* \(#\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10649227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0"/>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lineChart>
        <c:grouping val="standard"/>
        <c:varyColors val="0"/>
        <c:ser>
          <c:idx val="1"/>
          <c:order val="0"/>
          <c:tx>
            <c:strRef>
              <c:f>'Pathway Analysis'!$E$809</c:f>
              <c:strCache>
                <c:ptCount val="1"/>
                <c:pt idx="0">
                  <c:v>Baseline</c:v>
                </c:pt>
              </c:strCache>
            </c:strRef>
          </c:tx>
          <c:spPr>
            <a:ln w="28575" cap="rnd">
              <a:solidFill>
                <a:schemeClr val="accent2"/>
              </a:solidFill>
              <a:round/>
            </a:ln>
            <a:effectLst/>
          </c:spPr>
          <c:marker>
            <c:symbol val="none"/>
          </c:marker>
          <c:val>
            <c:numRef>
              <c:f>'Pathway Analysis'!$G$809:$P$809</c:f>
            </c:numRef>
          </c:val>
          <c:smooth val="0"/>
          <c:extLst>
            <c:ext xmlns:c15="http://schemas.microsoft.com/office/drawing/2012/chart" uri="{02D57815-91ED-43cb-92C2-25804820EDAC}">
              <c15:filteredCategoryTitle>
                <c15:cat>
                  <c:multiLvlStrRef>
                    <c:extLst>
                      <c:ext uri="{02D57815-91ED-43cb-92C2-25804820EDAC}">
                        <c15:formulaRef>
                          <c15:sqref>'Pathway Analysis'!$G$801:$P$801</c15:sqref>
                        </c15:formulaRef>
                      </c:ext>
                    </c:extLst>
                  </c:multiLvlStrRef>
                </c15:cat>
              </c15:filteredCategoryTitle>
            </c:ext>
            <c:ext xmlns:c16="http://schemas.microsoft.com/office/drawing/2014/chart" uri="{C3380CC4-5D6E-409C-BE32-E72D297353CC}">
              <c16:uniqueId val="{00000000-C0EE-4FA9-8F53-D1D1494688C1}"/>
            </c:ext>
          </c:extLst>
        </c:ser>
        <c:ser>
          <c:idx val="2"/>
          <c:order val="1"/>
          <c:tx>
            <c:strRef>
              <c:f>'Pathway Analysis'!$E$816</c:f>
              <c:strCache>
                <c:ptCount val="1"/>
                <c:pt idx="0">
                  <c:v>EEO</c:v>
                </c:pt>
              </c:strCache>
            </c:strRef>
          </c:tx>
          <c:spPr>
            <a:ln w="28575" cap="rnd">
              <a:solidFill>
                <a:schemeClr val="accent3">
                  <a:lumMod val="50000"/>
                </a:schemeClr>
              </a:solidFill>
              <a:round/>
            </a:ln>
            <a:effectLst/>
          </c:spPr>
          <c:marker>
            <c:symbol val="none"/>
          </c:marker>
          <c:val>
            <c:numRef>
              <c:f>'Pathway Analysis'!$G$816:$P$816</c:f>
            </c:numRef>
          </c:val>
          <c:smooth val="0"/>
          <c:extLst>
            <c:ext xmlns:c15="http://schemas.microsoft.com/office/drawing/2012/chart" uri="{02D57815-91ED-43cb-92C2-25804820EDAC}">
              <c15:filteredCategoryTitle>
                <c15:cat>
                  <c:multiLvlStrRef>
                    <c:extLst>
                      <c:ext uri="{02D57815-91ED-43cb-92C2-25804820EDAC}">
                        <c15:formulaRef>
                          <c15:sqref>'Pathway Analysis'!$G$801:$P$801</c15:sqref>
                        </c15:formulaRef>
                      </c:ext>
                    </c:extLst>
                  </c:multiLvlStrRef>
                </c15:cat>
              </c15:filteredCategoryTitle>
            </c:ext>
            <c:ext xmlns:c16="http://schemas.microsoft.com/office/drawing/2014/chart" uri="{C3380CC4-5D6E-409C-BE32-E72D297353CC}">
              <c16:uniqueId val="{00000001-C0EE-4FA9-8F53-D1D1494688C1}"/>
            </c:ext>
          </c:extLst>
        </c:ser>
        <c:ser>
          <c:idx val="3"/>
          <c:order val="2"/>
          <c:tx>
            <c:strRef>
              <c:f>'Pathway Analysis'!$E$823</c:f>
              <c:strCache>
                <c:ptCount val="1"/>
                <c:pt idx="0">
                  <c:v>VA</c:v>
                </c:pt>
              </c:strCache>
            </c:strRef>
          </c:tx>
          <c:spPr>
            <a:ln w="28575" cap="rnd">
              <a:solidFill>
                <a:schemeClr val="accent4"/>
              </a:solidFill>
              <a:round/>
            </a:ln>
            <a:effectLst/>
          </c:spPr>
          <c:marker>
            <c:symbol val="none"/>
          </c:marker>
          <c:val>
            <c:numRef>
              <c:f>'Pathway Analysis'!$G$823:$P$823</c:f>
            </c:numRef>
          </c:val>
          <c:smooth val="0"/>
          <c:extLst>
            <c:ext xmlns:c15="http://schemas.microsoft.com/office/drawing/2012/chart" uri="{02D57815-91ED-43cb-92C2-25804820EDAC}">
              <c15:filteredCategoryTitle>
                <c15:cat>
                  <c:multiLvlStrRef>
                    <c:extLst>
                      <c:ext uri="{02D57815-91ED-43cb-92C2-25804820EDAC}">
                        <c15:formulaRef>
                          <c15:sqref>'Pathway Analysis'!$G$801:$P$801</c15:sqref>
                        </c15:formulaRef>
                      </c:ext>
                    </c:extLst>
                  </c:multiLvlStrRef>
                </c15:cat>
              </c15:filteredCategoryTitle>
            </c:ext>
            <c:ext xmlns:c16="http://schemas.microsoft.com/office/drawing/2014/chart" uri="{C3380CC4-5D6E-409C-BE32-E72D297353CC}">
              <c16:uniqueId val="{00000002-C0EE-4FA9-8F53-D1D1494688C1}"/>
            </c:ext>
          </c:extLst>
        </c:ser>
        <c:ser>
          <c:idx val="4"/>
          <c:order val="3"/>
          <c:tx>
            <c:strRef>
              <c:f>'Pathway Analysis'!$E$830</c:f>
              <c:strCache>
                <c:ptCount val="1"/>
                <c:pt idx="0">
                  <c:v>Renowave</c:v>
                </c:pt>
              </c:strCache>
            </c:strRef>
          </c:tx>
          <c:spPr>
            <a:ln w="28575" cap="rnd">
              <a:solidFill>
                <a:schemeClr val="accent5"/>
              </a:solidFill>
              <a:round/>
            </a:ln>
            <a:effectLst/>
          </c:spPr>
          <c:marker>
            <c:symbol val="none"/>
          </c:marker>
          <c:val>
            <c:numRef>
              <c:f>'Pathway Analysis'!$G$830:$P$830</c:f>
            </c:numRef>
          </c:val>
          <c:smooth val="0"/>
          <c:extLst>
            <c:ext xmlns:c15="http://schemas.microsoft.com/office/drawing/2012/chart" uri="{02D57815-91ED-43cb-92C2-25804820EDAC}">
              <c15:filteredCategoryTitle>
                <c15:cat>
                  <c:multiLvlStrRef>
                    <c:extLst>
                      <c:ext uri="{02D57815-91ED-43cb-92C2-25804820EDAC}">
                        <c15:formulaRef>
                          <c15:sqref>'Pathway Analysis'!$G$801:$P$801</c15:sqref>
                        </c15:formulaRef>
                      </c:ext>
                    </c:extLst>
                  </c:multiLvlStrRef>
                </c15:cat>
              </c15:filteredCategoryTitle>
            </c:ext>
            <c:ext xmlns:c16="http://schemas.microsoft.com/office/drawing/2014/chart" uri="{C3380CC4-5D6E-409C-BE32-E72D297353CC}">
              <c16:uniqueId val="{00000003-C0EE-4FA9-8F53-D1D1494688C1}"/>
            </c:ext>
          </c:extLst>
        </c:ser>
        <c:ser>
          <c:idx val="5"/>
          <c:order val="4"/>
          <c:tx>
            <c:strRef>
              <c:f>'Pathway Analysis'!$E$837</c:f>
              <c:strCache>
                <c:ptCount val="1"/>
                <c:pt idx="0">
                  <c:v>EET</c:v>
                </c:pt>
              </c:strCache>
            </c:strRef>
          </c:tx>
          <c:spPr>
            <a:ln w="28575" cap="rnd">
              <a:solidFill>
                <a:schemeClr val="accent6"/>
              </a:solidFill>
              <a:round/>
            </a:ln>
            <a:effectLst/>
          </c:spPr>
          <c:marker>
            <c:symbol val="none"/>
          </c:marker>
          <c:val>
            <c:numRef>
              <c:f>'Pathway Analysis'!$G$837:$P$837</c:f>
            </c:numRef>
          </c:val>
          <c:smooth val="0"/>
          <c:extLst>
            <c:ext xmlns:c15="http://schemas.microsoft.com/office/drawing/2012/chart" uri="{02D57815-91ED-43cb-92C2-25804820EDAC}">
              <c15:filteredCategoryTitle>
                <c15:cat>
                  <c:multiLvlStrRef>
                    <c:extLst>
                      <c:ext uri="{02D57815-91ED-43cb-92C2-25804820EDAC}">
                        <c15:formulaRef>
                          <c15:sqref>'Pathway Analysis'!$G$801:$P$801</c15:sqref>
                        </c15:formulaRef>
                      </c:ext>
                    </c:extLst>
                  </c:multiLvlStrRef>
                </c15:cat>
              </c15:filteredCategoryTitle>
            </c:ext>
            <c:ext xmlns:c16="http://schemas.microsoft.com/office/drawing/2014/chart" uri="{C3380CC4-5D6E-409C-BE32-E72D297353CC}">
              <c16:uniqueId val="{00000004-C0EE-4FA9-8F53-D1D1494688C1}"/>
            </c:ext>
          </c:extLst>
        </c:ser>
        <c:ser>
          <c:idx val="6"/>
          <c:order val="5"/>
          <c:tx>
            <c:strRef>
              <c:f>'Pathway Analysis'!$E$844</c:f>
              <c:strCache>
                <c:ptCount val="1"/>
                <c:pt idx="0">
                  <c:v>CEER1</c:v>
                </c:pt>
              </c:strCache>
            </c:strRef>
          </c:tx>
          <c:spPr>
            <a:ln w="28575" cap="rnd">
              <a:solidFill>
                <a:schemeClr val="accent3"/>
              </a:solidFill>
              <a:round/>
            </a:ln>
            <a:effectLst/>
          </c:spPr>
          <c:marker>
            <c:symbol val="none"/>
          </c:marker>
          <c:val>
            <c:numRef>
              <c:f>'Pathway Analysis'!$G$844:$P$844</c:f>
            </c:numRef>
          </c:val>
          <c:smooth val="0"/>
          <c:extLst>
            <c:ext xmlns:c15="http://schemas.microsoft.com/office/drawing/2012/chart" uri="{02D57815-91ED-43cb-92C2-25804820EDAC}">
              <c15:filteredCategoryTitle>
                <c15:cat>
                  <c:multiLvlStrRef>
                    <c:extLst>
                      <c:ext uri="{02D57815-91ED-43cb-92C2-25804820EDAC}">
                        <c15:formulaRef>
                          <c15:sqref>'Pathway Analysis'!$G$801:$P$801</c15:sqref>
                        </c15:formulaRef>
                      </c:ext>
                    </c:extLst>
                  </c:multiLvlStrRef>
                </c15:cat>
              </c15:filteredCategoryTitle>
            </c:ext>
            <c:ext xmlns:c16="http://schemas.microsoft.com/office/drawing/2014/chart" uri="{C3380CC4-5D6E-409C-BE32-E72D297353CC}">
              <c16:uniqueId val="{00000006-C0EE-4FA9-8F53-D1D1494688C1}"/>
            </c:ext>
          </c:extLst>
        </c:ser>
        <c:ser>
          <c:idx val="0"/>
          <c:order val="6"/>
          <c:tx>
            <c:strRef>
              <c:f>'Pathway Analysis'!$E$851</c:f>
              <c:strCache>
                <c:ptCount val="1"/>
                <c:pt idx="0">
                  <c:v>CEER2</c:v>
                </c:pt>
              </c:strCache>
            </c:strRef>
          </c:tx>
          <c:spPr>
            <a:ln w="28575" cap="rnd">
              <a:solidFill>
                <a:schemeClr val="accent1"/>
              </a:solidFill>
              <a:round/>
            </a:ln>
            <a:effectLst/>
          </c:spPr>
          <c:marker>
            <c:symbol val="none"/>
          </c:marker>
          <c:val>
            <c:numRef>
              <c:f>'Pathway Analysis'!$G$851:$P$851</c:f>
            </c:numRef>
          </c:val>
          <c:smooth val="0"/>
          <c:extLst>
            <c:ext xmlns:c15="http://schemas.microsoft.com/office/drawing/2012/chart" uri="{02D57815-91ED-43cb-92C2-25804820EDAC}">
              <c15:filteredCategoryTitle>
                <c15:cat>
                  <c:multiLvlStrRef>
                    <c:extLst>
                      <c:ext uri="{02D57815-91ED-43cb-92C2-25804820EDAC}">
                        <c15:formulaRef>
                          <c15:sqref>'Pathway Analysis'!$G$801:$P$801</c15:sqref>
                        </c15:formulaRef>
                      </c:ext>
                    </c:extLst>
                  </c:multiLvlStrRef>
                </c15:cat>
              </c15:filteredCategoryTitle>
            </c:ext>
            <c:ext xmlns:c16="http://schemas.microsoft.com/office/drawing/2014/chart" uri="{C3380CC4-5D6E-409C-BE32-E72D297353CC}">
              <c16:uniqueId val="{00000008-C0EE-4FA9-8F53-D1D1494688C1}"/>
            </c:ext>
          </c:extLst>
        </c:ser>
        <c:dLbls>
          <c:showLegendKey val="0"/>
          <c:showVal val="0"/>
          <c:showCatName val="0"/>
          <c:showSerName val="0"/>
          <c:showPercent val="0"/>
          <c:showBubbleSize val="0"/>
        </c:dLbls>
        <c:marker val="1"/>
        <c:smooth val="0"/>
        <c:axId val="1233154223"/>
        <c:axId val="1233155663"/>
      </c:lineChart>
      <c:catAx>
        <c:axId val="1233154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1233155663"/>
        <c:crosses val="autoZero"/>
        <c:auto val="1"/>
        <c:lblAlgn val="ctr"/>
        <c:lblOffset val="100"/>
        <c:noMultiLvlLbl val="0"/>
      </c:catAx>
      <c:valAx>
        <c:axId val="12331556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a:t>Annual energy savings (%)</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title>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1233154223"/>
        <c:crosses val="autoZero"/>
        <c:crossBetween val="midCat"/>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defRPr>
      </a:pPr>
      <a:endParaRPr lang="et-EE"/>
    </a:p>
  </c:txPr>
  <c:printSettings>
    <c:headerFooter/>
    <c:pageMargins b="0.75" l="0.7" r="0.7" t="0.75" header="0.3" footer="0.3"/>
    <c:pageSetup/>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fr-BE"/>
              <a:t>Forecast government revenues (incl. taxes)</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t-EE"/>
        </a:p>
      </c:txPr>
    </c:title>
    <c:autoTitleDeleted val="0"/>
    <c:plotArea>
      <c:layout/>
      <c:lineChart>
        <c:grouping val="standard"/>
        <c:varyColors val="0"/>
        <c:ser>
          <c:idx val="0"/>
          <c:order val="0"/>
          <c:tx>
            <c:strRef>
              <c:f>'Pathway Analysis'!$E$767</c:f>
              <c:strCache>
                <c:ptCount val="1"/>
                <c:pt idx="0">
                  <c:v>W/o EE measures</c:v>
                </c:pt>
              </c:strCache>
            </c:strRef>
          </c:tx>
          <c:spPr>
            <a:ln w="22225" cap="rnd">
              <a:solidFill>
                <a:schemeClr val="bg1">
                  <a:lumMod val="75000"/>
                </a:schemeClr>
              </a:solidFill>
              <a:round/>
            </a:ln>
            <a:effectLst/>
          </c:spPr>
          <c:marker>
            <c:symbol val="none"/>
          </c:marker>
          <c:val>
            <c:numRef>
              <c:f>'Pathway Analysis'!$G$767:$U$767</c:f>
            </c:numRef>
          </c:val>
          <c:smooth val="0"/>
          <c:extLst>
            <c:ext xmlns:c15="http://schemas.microsoft.com/office/drawing/2012/chart" uri="{02D57815-91ED-43cb-92C2-25804820EDAC}">
              <c15:filteredCategoryTitle>
                <c15:cat>
                  <c:multiLvlStrRef>
                    <c:extLst>
                      <c:ext uri="{02D57815-91ED-43cb-92C2-25804820EDAC}">
                        <c15:formulaRef>
                          <c15:sqref>'Pathway Analysis'!$G$766:$U$766</c15:sqref>
                        </c15:formulaRef>
                      </c:ext>
                    </c:extLst>
                  </c:multiLvlStrRef>
                </c15:cat>
              </c15:filteredCategoryTitle>
            </c:ext>
            <c:ext xmlns:c16="http://schemas.microsoft.com/office/drawing/2014/chart" uri="{C3380CC4-5D6E-409C-BE32-E72D297353CC}">
              <c16:uniqueId val="{00000000-EE5F-4C4B-A9CB-298F57993E6B}"/>
            </c:ext>
          </c:extLst>
        </c:ser>
        <c:ser>
          <c:idx val="1"/>
          <c:order val="1"/>
          <c:tx>
            <c:strRef>
              <c:f>'Pathway Analysis'!$E$768</c:f>
              <c:strCache>
                <c:ptCount val="1"/>
                <c:pt idx="0">
                  <c:v>Baseline</c:v>
                </c:pt>
              </c:strCache>
            </c:strRef>
          </c:tx>
          <c:spPr>
            <a:ln w="22225" cap="rnd">
              <a:solidFill>
                <a:schemeClr val="accent2"/>
              </a:solidFill>
              <a:round/>
            </a:ln>
            <a:effectLst/>
          </c:spPr>
          <c:marker>
            <c:symbol val="none"/>
          </c:marker>
          <c:val>
            <c:numRef>
              <c:f>'Pathway Analysis'!$G$768:$U$768</c:f>
            </c:numRef>
          </c:val>
          <c:smooth val="0"/>
          <c:extLst>
            <c:ext xmlns:c15="http://schemas.microsoft.com/office/drawing/2012/chart" uri="{02D57815-91ED-43cb-92C2-25804820EDAC}">
              <c15:filteredCategoryTitle>
                <c15:cat>
                  <c:multiLvlStrRef>
                    <c:extLst>
                      <c:ext uri="{02D57815-91ED-43cb-92C2-25804820EDAC}">
                        <c15:formulaRef>
                          <c15:sqref>'Pathway Analysis'!$G$766:$U$766</c15:sqref>
                        </c15:formulaRef>
                      </c:ext>
                    </c:extLst>
                  </c:multiLvlStrRef>
                </c15:cat>
              </c15:filteredCategoryTitle>
            </c:ext>
            <c:ext xmlns:c16="http://schemas.microsoft.com/office/drawing/2014/chart" uri="{C3380CC4-5D6E-409C-BE32-E72D297353CC}">
              <c16:uniqueId val="{00000001-EE5F-4C4B-A9CB-298F57993E6B}"/>
            </c:ext>
          </c:extLst>
        </c:ser>
        <c:ser>
          <c:idx val="2"/>
          <c:order val="2"/>
          <c:tx>
            <c:strRef>
              <c:f>'Pathway Analysis'!$E$772</c:f>
              <c:strCache>
                <c:ptCount val="1"/>
                <c:pt idx="0">
                  <c:v>EEO</c:v>
                </c:pt>
              </c:strCache>
            </c:strRef>
          </c:tx>
          <c:spPr>
            <a:ln w="22225" cap="rnd">
              <a:solidFill>
                <a:schemeClr val="accent3">
                  <a:lumMod val="40000"/>
                  <a:lumOff val="60000"/>
                </a:schemeClr>
              </a:solidFill>
              <a:round/>
            </a:ln>
            <a:effectLst/>
          </c:spPr>
          <c:marker>
            <c:symbol val="none"/>
          </c:marker>
          <c:val>
            <c:numRef>
              <c:f>'Pathway Analysis'!$G$772:$U$772</c:f>
            </c:numRef>
          </c:val>
          <c:smooth val="0"/>
          <c:extLst>
            <c:ext xmlns:c15="http://schemas.microsoft.com/office/drawing/2012/chart" uri="{02D57815-91ED-43cb-92C2-25804820EDAC}">
              <c15:filteredCategoryTitle>
                <c15:cat>
                  <c:multiLvlStrRef>
                    <c:extLst>
                      <c:ext uri="{02D57815-91ED-43cb-92C2-25804820EDAC}">
                        <c15:formulaRef>
                          <c15:sqref>'Pathway Analysis'!$G$766:$U$766</c15:sqref>
                        </c15:formulaRef>
                      </c:ext>
                    </c:extLst>
                  </c:multiLvlStrRef>
                </c15:cat>
              </c15:filteredCategoryTitle>
            </c:ext>
            <c:ext xmlns:c16="http://schemas.microsoft.com/office/drawing/2014/chart" uri="{C3380CC4-5D6E-409C-BE32-E72D297353CC}">
              <c16:uniqueId val="{00000002-EE5F-4C4B-A9CB-298F57993E6B}"/>
            </c:ext>
          </c:extLst>
        </c:ser>
        <c:ser>
          <c:idx val="3"/>
          <c:order val="3"/>
          <c:tx>
            <c:strRef>
              <c:f>'Pathway Analysis'!$E$776</c:f>
              <c:strCache>
                <c:ptCount val="1"/>
                <c:pt idx="0">
                  <c:v>VA</c:v>
                </c:pt>
              </c:strCache>
            </c:strRef>
          </c:tx>
          <c:spPr>
            <a:ln w="22225" cap="rnd">
              <a:solidFill>
                <a:schemeClr val="accent4"/>
              </a:solidFill>
              <a:round/>
            </a:ln>
            <a:effectLst/>
          </c:spPr>
          <c:marker>
            <c:symbol val="none"/>
          </c:marker>
          <c:val>
            <c:numRef>
              <c:f>'Pathway Analysis'!$G$776:$U$776</c:f>
            </c:numRef>
          </c:val>
          <c:smooth val="0"/>
          <c:extLst>
            <c:ext xmlns:c15="http://schemas.microsoft.com/office/drawing/2012/chart" uri="{02D57815-91ED-43cb-92C2-25804820EDAC}">
              <c15:filteredCategoryTitle>
                <c15:cat>
                  <c:multiLvlStrRef>
                    <c:extLst>
                      <c:ext uri="{02D57815-91ED-43cb-92C2-25804820EDAC}">
                        <c15:formulaRef>
                          <c15:sqref>'Pathway Analysis'!$G$766:$U$766</c15:sqref>
                        </c15:formulaRef>
                      </c:ext>
                    </c:extLst>
                  </c:multiLvlStrRef>
                </c15:cat>
              </c15:filteredCategoryTitle>
            </c:ext>
            <c:ext xmlns:c16="http://schemas.microsoft.com/office/drawing/2014/chart" uri="{C3380CC4-5D6E-409C-BE32-E72D297353CC}">
              <c16:uniqueId val="{00000003-EE5F-4C4B-A9CB-298F57993E6B}"/>
            </c:ext>
          </c:extLst>
        </c:ser>
        <c:ser>
          <c:idx val="4"/>
          <c:order val="4"/>
          <c:tx>
            <c:strRef>
              <c:f>'Pathway Analysis'!$E$780</c:f>
              <c:strCache>
                <c:ptCount val="1"/>
                <c:pt idx="0">
                  <c:v>Renowave</c:v>
                </c:pt>
              </c:strCache>
            </c:strRef>
          </c:tx>
          <c:spPr>
            <a:ln w="22225" cap="rnd">
              <a:solidFill>
                <a:srgbClr val="FFFF00"/>
              </a:solidFill>
              <a:round/>
            </a:ln>
            <a:effectLst/>
          </c:spPr>
          <c:marker>
            <c:symbol val="none"/>
          </c:marker>
          <c:val>
            <c:numRef>
              <c:f>'Pathway Analysis'!$G$780:$U$780</c:f>
            </c:numRef>
          </c:val>
          <c:smooth val="0"/>
          <c:extLst>
            <c:ext xmlns:c15="http://schemas.microsoft.com/office/drawing/2012/chart" uri="{02D57815-91ED-43cb-92C2-25804820EDAC}">
              <c15:filteredCategoryTitle>
                <c15:cat>
                  <c:multiLvlStrRef>
                    <c:extLst>
                      <c:ext uri="{02D57815-91ED-43cb-92C2-25804820EDAC}">
                        <c15:formulaRef>
                          <c15:sqref>'Pathway Analysis'!$G$766:$U$766</c15:sqref>
                        </c15:formulaRef>
                      </c:ext>
                    </c:extLst>
                  </c:multiLvlStrRef>
                </c15:cat>
              </c15:filteredCategoryTitle>
            </c:ext>
            <c:ext xmlns:c16="http://schemas.microsoft.com/office/drawing/2014/chart" uri="{C3380CC4-5D6E-409C-BE32-E72D297353CC}">
              <c16:uniqueId val="{00000004-EE5F-4C4B-A9CB-298F57993E6B}"/>
            </c:ext>
          </c:extLst>
        </c:ser>
        <c:ser>
          <c:idx val="5"/>
          <c:order val="5"/>
          <c:tx>
            <c:strRef>
              <c:f>'Pathway Analysis'!$E$784</c:f>
              <c:strCache>
                <c:ptCount val="1"/>
                <c:pt idx="0">
                  <c:v>EET</c:v>
                </c:pt>
              </c:strCache>
            </c:strRef>
          </c:tx>
          <c:spPr>
            <a:ln w="22225" cap="rnd">
              <a:solidFill>
                <a:srgbClr val="B49553"/>
              </a:solidFill>
              <a:round/>
            </a:ln>
            <a:effectLst/>
          </c:spPr>
          <c:marker>
            <c:symbol val="none"/>
          </c:marker>
          <c:val>
            <c:numRef>
              <c:f>'Pathway Analysis'!$G$784:$U$784</c:f>
            </c:numRef>
          </c:val>
          <c:smooth val="0"/>
          <c:extLst>
            <c:ext xmlns:c15="http://schemas.microsoft.com/office/drawing/2012/chart" uri="{02D57815-91ED-43cb-92C2-25804820EDAC}">
              <c15:filteredCategoryTitle>
                <c15:cat>
                  <c:multiLvlStrRef>
                    <c:extLst>
                      <c:ext uri="{02D57815-91ED-43cb-92C2-25804820EDAC}">
                        <c15:formulaRef>
                          <c15:sqref>'Pathway Analysis'!$G$766:$U$766</c15:sqref>
                        </c15:formulaRef>
                      </c:ext>
                    </c:extLst>
                  </c:multiLvlStrRef>
                </c15:cat>
              </c15:filteredCategoryTitle>
            </c:ext>
            <c:ext xmlns:c16="http://schemas.microsoft.com/office/drawing/2014/chart" uri="{C3380CC4-5D6E-409C-BE32-E72D297353CC}">
              <c16:uniqueId val="{00000005-EE5F-4C4B-A9CB-298F57993E6B}"/>
            </c:ext>
          </c:extLst>
        </c:ser>
        <c:ser>
          <c:idx val="6"/>
          <c:order val="6"/>
          <c:tx>
            <c:strRef>
              <c:f>'Pathway Analysis'!$E$788</c:f>
              <c:strCache>
                <c:ptCount val="1"/>
                <c:pt idx="0">
                  <c:v>CEER1</c:v>
                </c:pt>
              </c:strCache>
            </c:strRef>
          </c:tx>
          <c:spPr>
            <a:ln w="22225" cap="rnd">
              <a:solidFill>
                <a:schemeClr val="accent2">
                  <a:lumMod val="50000"/>
                  <a:lumOff val="50000"/>
                </a:schemeClr>
              </a:solidFill>
              <a:round/>
            </a:ln>
            <a:effectLst/>
          </c:spPr>
          <c:marker>
            <c:symbol val="none"/>
          </c:marker>
          <c:val>
            <c:numRef>
              <c:f>'Pathway Analysis'!$G$788:$U$788</c:f>
            </c:numRef>
          </c:val>
          <c:smooth val="0"/>
          <c:extLst>
            <c:ext xmlns:c15="http://schemas.microsoft.com/office/drawing/2012/chart" uri="{02D57815-91ED-43cb-92C2-25804820EDAC}">
              <c15:filteredCategoryTitle>
                <c15:cat>
                  <c:multiLvlStrRef>
                    <c:extLst>
                      <c:ext uri="{02D57815-91ED-43cb-92C2-25804820EDAC}">
                        <c15:formulaRef>
                          <c15:sqref>'Pathway Analysis'!$G$766:$U$766</c15:sqref>
                        </c15:formulaRef>
                      </c:ext>
                    </c:extLst>
                  </c:multiLvlStrRef>
                </c15:cat>
              </c15:filteredCategoryTitle>
            </c:ext>
            <c:ext xmlns:c16="http://schemas.microsoft.com/office/drawing/2014/chart" uri="{C3380CC4-5D6E-409C-BE32-E72D297353CC}">
              <c16:uniqueId val="{00000006-EE5F-4C4B-A9CB-298F57993E6B}"/>
            </c:ext>
          </c:extLst>
        </c:ser>
        <c:ser>
          <c:idx val="7"/>
          <c:order val="7"/>
          <c:tx>
            <c:strRef>
              <c:f>'Pathway Analysis'!$E$792</c:f>
              <c:strCache>
                <c:ptCount val="1"/>
                <c:pt idx="0">
                  <c:v>CEER2</c:v>
                </c:pt>
              </c:strCache>
            </c:strRef>
          </c:tx>
          <c:spPr>
            <a:ln w="22225" cap="rnd">
              <a:solidFill>
                <a:srgbClr val="FF0000"/>
              </a:solidFill>
              <a:round/>
            </a:ln>
            <a:effectLst/>
          </c:spPr>
          <c:marker>
            <c:symbol val="none"/>
          </c:marker>
          <c:val>
            <c:numRef>
              <c:f>'Pathway Analysis'!$G$792:$U$792</c:f>
            </c:numRef>
          </c:val>
          <c:smooth val="0"/>
          <c:extLst>
            <c:ext xmlns:c15="http://schemas.microsoft.com/office/drawing/2012/chart" uri="{02D57815-91ED-43cb-92C2-25804820EDAC}">
              <c15:filteredCategoryTitle>
                <c15:cat>
                  <c:multiLvlStrRef>
                    <c:extLst>
                      <c:ext uri="{02D57815-91ED-43cb-92C2-25804820EDAC}">
                        <c15:formulaRef>
                          <c15:sqref>'Pathway Analysis'!$G$766:$U$766</c15:sqref>
                        </c15:formulaRef>
                      </c:ext>
                    </c:extLst>
                  </c:multiLvlStrRef>
                </c15:cat>
              </c15:filteredCategoryTitle>
            </c:ext>
            <c:ext xmlns:c16="http://schemas.microsoft.com/office/drawing/2014/chart" uri="{C3380CC4-5D6E-409C-BE32-E72D297353CC}">
              <c16:uniqueId val="{00000007-EE5F-4C4B-A9CB-298F57993E6B}"/>
            </c:ext>
          </c:extLst>
        </c:ser>
        <c:dLbls>
          <c:showLegendKey val="0"/>
          <c:showVal val="0"/>
          <c:showCatName val="0"/>
          <c:showSerName val="0"/>
          <c:showPercent val="0"/>
          <c:showBubbleSize val="0"/>
        </c:dLbls>
        <c:marker val="1"/>
        <c:smooth val="0"/>
        <c:axId val="1106492272"/>
        <c:axId val="1060756416"/>
      </c:lineChart>
      <c:catAx>
        <c:axId val="1106492272"/>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t-EE"/>
          </a:p>
        </c:txPr>
        <c:crossAx val="1060756416"/>
        <c:crosses val="autoZero"/>
        <c:auto val="1"/>
        <c:lblAlgn val="ctr"/>
        <c:lblOffset val="100"/>
        <c:noMultiLvlLbl val="0"/>
      </c:catAx>
      <c:valAx>
        <c:axId val="1060756416"/>
        <c:scaling>
          <c:orientation val="minMax"/>
          <c:min val="15000"/>
        </c:scaling>
        <c:delete val="0"/>
        <c:axPos val="l"/>
        <c:majorGridlines>
          <c:spPr>
            <a:ln w="9525" cap="flat" cmpd="sng" algn="ctr">
              <a:solidFill>
                <a:schemeClr val="dk1">
                  <a:lumMod val="15000"/>
                  <a:lumOff val="85000"/>
                  <a:alpha val="54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t-EE"/>
          </a:p>
        </c:txPr>
        <c:crossAx val="110649227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r>
              <a:rPr lang="fr-BE"/>
              <a:t>Forecast GDP (based on value added, Meur)</a:t>
            </a:r>
          </a:p>
        </c:rich>
      </c:tx>
      <c:overlay val="0"/>
      <c:spPr>
        <a:noFill/>
        <a:ln>
          <a:noFill/>
        </a:ln>
        <a:effectLst/>
      </c:spPr>
      <c:txPr>
        <a:bodyPr rot="0" spcFirstLastPara="1" vertOverflow="ellipsis" vert="horz" wrap="square" anchor="ctr" anchorCtr="1"/>
        <a:lstStyle/>
        <a:p>
          <a:pPr>
            <a:defRPr sz="1600" b="1" i="0" u="none" strike="noStrike" kern="1200" cap="none" spc="0" normalizeH="0" baseline="0">
              <a:solidFill>
                <a:schemeClr val="dk1">
                  <a:lumMod val="50000"/>
                  <a:lumOff val="50000"/>
                </a:schemeClr>
              </a:solidFill>
              <a:latin typeface="+mj-lt"/>
              <a:ea typeface="+mj-ea"/>
              <a:cs typeface="+mj-cs"/>
            </a:defRPr>
          </a:pPr>
          <a:endParaRPr lang="et-EE"/>
        </a:p>
      </c:txPr>
    </c:title>
    <c:autoTitleDeleted val="0"/>
    <c:plotArea>
      <c:layout/>
      <c:lineChart>
        <c:grouping val="standard"/>
        <c:varyColors val="0"/>
        <c:ser>
          <c:idx val="0"/>
          <c:order val="0"/>
          <c:tx>
            <c:strRef>
              <c:f>'Pathway Analysis'!$E$802</c:f>
              <c:strCache>
                <c:ptCount val="1"/>
                <c:pt idx="0">
                  <c:v>W/o EE measures</c:v>
                </c:pt>
              </c:strCache>
            </c:strRef>
          </c:tx>
          <c:spPr>
            <a:ln w="22225" cap="rnd">
              <a:solidFill>
                <a:schemeClr val="bg1">
                  <a:lumMod val="75000"/>
                </a:schemeClr>
              </a:solidFill>
              <a:round/>
            </a:ln>
            <a:effectLst/>
          </c:spPr>
          <c:marker>
            <c:symbol val="none"/>
          </c:marker>
          <c:val>
            <c:numRef>
              <c:f>'Pathway Analysis'!$G$802:$U$802</c:f>
            </c:numRef>
          </c:val>
          <c:smooth val="0"/>
          <c:extLst>
            <c:ext xmlns:c15="http://schemas.microsoft.com/office/drawing/2012/chart" uri="{02D57815-91ED-43cb-92C2-25804820EDAC}">
              <c15:filteredCategoryTitle>
                <c15:cat>
                  <c:multiLvlStrRef>
                    <c:extLst>
                      <c:ext uri="{02D57815-91ED-43cb-92C2-25804820EDAC}">
                        <c15:formulaRef>
                          <c15:sqref>'Pathway Analysis'!$G$801:$U$801</c15:sqref>
                        </c15:formulaRef>
                      </c:ext>
                    </c:extLst>
                  </c:multiLvlStrRef>
                </c15:cat>
              </c15:filteredCategoryTitle>
            </c:ext>
            <c:ext xmlns:c16="http://schemas.microsoft.com/office/drawing/2014/chart" uri="{C3380CC4-5D6E-409C-BE32-E72D297353CC}">
              <c16:uniqueId val="{00000000-4FD7-4176-9CC3-7ED74D0CCAC7}"/>
            </c:ext>
          </c:extLst>
        </c:ser>
        <c:ser>
          <c:idx val="1"/>
          <c:order val="1"/>
          <c:tx>
            <c:strRef>
              <c:f>'Pathway Analysis'!$E$809</c:f>
              <c:strCache>
                <c:ptCount val="1"/>
                <c:pt idx="0">
                  <c:v>Baseline</c:v>
                </c:pt>
              </c:strCache>
            </c:strRef>
          </c:tx>
          <c:spPr>
            <a:ln w="22225" cap="rnd">
              <a:solidFill>
                <a:schemeClr val="accent2"/>
              </a:solidFill>
              <a:round/>
            </a:ln>
            <a:effectLst/>
          </c:spPr>
          <c:marker>
            <c:symbol val="none"/>
          </c:marker>
          <c:val>
            <c:numRef>
              <c:f>'Pathway Analysis'!$G$809:$U$809</c:f>
            </c:numRef>
          </c:val>
          <c:smooth val="0"/>
          <c:extLst>
            <c:ext xmlns:c15="http://schemas.microsoft.com/office/drawing/2012/chart" uri="{02D57815-91ED-43cb-92C2-25804820EDAC}">
              <c15:filteredCategoryTitle>
                <c15:cat>
                  <c:multiLvlStrRef>
                    <c:extLst>
                      <c:ext uri="{02D57815-91ED-43cb-92C2-25804820EDAC}">
                        <c15:formulaRef>
                          <c15:sqref>'Pathway Analysis'!$G$801:$U$801</c15:sqref>
                        </c15:formulaRef>
                      </c:ext>
                    </c:extLst>
                  </c:multiLvlStrRef>
                </c15:cat>
              </c15:filteredCategoryTitle>
            </c:ext>
            <c:ext xmlns:c16="http://schemas.microsoft.com/office/drawing/2014/chart" uri="{C3380CC4-5D6E-409C-BE32-E72D297353CC}">
              <c16:uniqueId val="{00000001-4FD7-4176-9CC3-7ED74D0CCAC7}"/>
            </c:ext>
          </c:extLst>
        </c:ser>
        <c:ser>
          <c:idx val="2"/>
          <c:order val="2"/>
          <c:tx>
            <c:strRef>
              <c:f>'Pathway Analysis'!$E$816</c:f>
              <c:strCache>
                <c:ptCount val="1"/>
                <c:pt idx="0">
                  <c:v>EEO</c:v>
                </c:pt>
              </c:strCache>
            </c:strRef>
          </c:tx>
          <c:spPr>
            <a:ln w="22225" cap="rnd">
              <a:solidFill>
                <a:schemeClr val="accent3">
                  <a:lumMod val="40000"/>
                  <a:lumOff val="60000"/>
                </a:schemeClr>
              </a:solidFill>
              <a:round/>
            </a:ln>
            <a:effectLst/>
          </c:spPr>
          <c:marker>
            <c:symbol val="none"/>
          </c:marker>
          <c:val>
            <c:numRef>
              <c:f>'Pathway Analysis'!$G$816:$U$816</c:f>
            </c:numRef>
          </c:val>
          <c:smooth val="0"/>
          <c:extLst>
            <c:ext xmlns:c15="http://schemas.microsoft.com/office/drawing/2012/chart" uri="{02D57815-91ED-43cb-92C2-25804820EDAC}">
              <c15:filteredCategoryTitle>
                <c15:cat>
                  <c:multiLvlStrRef>
                    <c:extLst>
                      <c:ext uri="{02D57815-91ED-43cb-92C2-25804820EDAC}">
                        <c15:formulaRef>
                          <c15:sqref>'Pathway Analysis'!$G$801:$U$801</c15:sqref>
                        </c15:formulaRef>
                      </c:ext>
                    </c:extLst>
                  </c:multiLvlStrRef>
                </c15:cat>
              </c15:filteredCategoryTitle>
            </c:ext>
            <c:ext xmlns:c16="http://schemas.microsoft.com/office/drawing/2014/chart" uri="{C3380CC4-5D6E-409C-BE32-E72D297353CC}">
              <c16:uniqueId val="{00000002-4FD7-4176-9CC3-7ED74D0CCAC7}"/>
            </c:ext>
          </c:extLst>
        </c:ser>
        <c:ser>
          <c:idx val="3"/>
          <c:order val="3"/>
          <c:tx>
            <c:strRef>
              <c:f>'Pathway Analysis'!$E$823</c:f>
              <c:strCache>
                <c:ptCount val="1"/>
                <c:pt idx="0">
                  <c:v>VA</c:v>
                </c:pt>
              </c:strCache>
            </c:strRef>
          </c:tx>
          <c:spPr>
            <a:ln w="22225" cap="rnd">
              <a:solidFill>
                <a:schemeClr val="accent4"/>
              </a:solidFill>
              <a:round/>
            </a:ln>
            <a:effectLst/>
          </c:spPr>
          <c:marker>
            <c:symbol val="none"/>
          </c:marker>
          <c:val>
            <c:numRef>
              <c:f>'Pathway Analysis'!$G$823:$U$823</c:f>
            </c:numRef>
          </c:val>
          <c:smooth val="0"/>
          <c:extLst>
            <c:ext xmlns:c15="http://schemas.microsoft.com/office/drawing/2012/chart" uri="{02D57815-91ED-43cb-92C2-25804820EDAC}">
              <c15:filteredCategoryTitle>
                <c15:cat>
                  <c:multiLvlStrRef>
                    <c:extLst>
                      <c:ext uri="{02D57815-91ED-43cb-92C2-25804820EDAC}">
                        <c15:formulaRef>
                          <c15:sqref>'Pathway Analysis'!$G$801:$U$801</c15:sqref>
                        </c15:formulaRef>
                      </c:ext>
                    </c:extLst>
                  </c:multiLvlStrRef>
                </c15:cat>
              </c15:filteredCategoryTitle>
            </c:ext>
            <c:ext xmlns:c16="http://schemas.microsoft.com/office/drawing/2014/chart" uri="{C3380CC4-5D6E-409C-BE32-E72D297353CC}">
              <c16:uniqueId val="{00000003-4FD7-4176-9CC3-7ED74D0CCAC7}"/>
            </c:ext>
          </c:extLst>
        </c:ser>
        <c:ser>
          <c:idx val="4"/>
          <c:order val="4"/>
          <c:tx>
            <c:strRef>
              <c:f>'Pathway Analysis'!$E$830</c:f>
              <c:strCache>
                <c:ptCount val="1"/>
                <c:pt idx="0">
                  <c:v>Renowave</c:v>
                </c:pt>
              </c:strCache>
            </c:strRef>
          </c:tx>
          <c:spPr>
            <a:ln w="22225" cap="rnd">
              <a:solidFill>
                <a:srgbClr val="FFFF00"/>
              </a:solidFill>
              <a:round/>
            </a:ln>
            <a:effectLst/>
          </c:spPr>
          <c:marker>
            <c:symbol val="none"/>
          </c:marker>
          <c:val>
            <c:numRef>
              <c:f>'Pathway Analysis'!$G$830:$U$830</c:f>
            </c:numRef>
          </c:val>
          <c:smooth val="0"/>
          <c:extLst>
            <c:ext xmlns:c15="http://schemas.microsoft.com/office/drawing/2012/chart" uri="{02D57815-91ED-43cb-92C2-25804820EDAC}">
              <c15:filteredCategoryTitle>
                <c15:cat>
                  <c:multiLvlStrRef>
                    <c:extLst>
                      <c:ext uri="{02D57815-91ED-43cb-92C2-25804820EDAC}">
                        <c15:formulaRef>
                          <c15:sqref>'Pathway Analysis'!$G$801:$U$801</c15:sqref>
                        </c15:formulaRef>
                      </c:ext>
                    </c:extLst>
                  </c:multiLvlStrRef>
                </c15:cat>
              </c15:filteredCategoryTitle>
            </c:ext>
            <c:ext xmlns:c16="http://schemas.microsoft.com/office/drawing/2014/chart" uri="{C3380CC4-5D6E-409C-BE32-E72D297353CC}">
              <c16:uniqueId val="{00000004-4FD7-4176-9CC3-7ED74D0CCAC7}"/>
            </c:ext>
          </c:extLst>
        </c:ser>
        <c:ser>
          <c:idx val="5"/>
          <c:order val="5"/>
          <c:tx>
            <c:strRef>
              <c:f>'Pathway Analysis'!$E$837</c:f>
              <c:strCache>
                <c:ptCount val="1"/>
                <c:pt idx="0">
                  <c:v>EET</c:v>
                </c:pt>
              </c:strCache>
            </c:strRef>
          </c:tx>
          <c:spPr>
            <a:ln w="22225" cap="rnd">
              <a:solidFill>
                <a:srgbClr val="B49553"/>
              </a:solidFill>
              <a:round/>
            </a:ln>
            <a:effectLst/>
          </c:spPr>
          <c:marker>
            <c:symbol val="none"/>
          </c:marker>
          <c:val>
            <c:numRef>
              <c:f>'Pathway Analysis'!$G$837:$U$837</c:f>
            </c:numRef>
          </c:val>
          <c:smooth val="0"/>
          <c:extLst>
            <c:ext xmlns:c15="http://schemas.microsoft.com/office/drawing/2012/chart" uri="{02D57815-91ED-43cb-92C2-25804820EDAC}">
              <c15:filteredCategoryTitle>
                <c15:cat>
                  <c:multiLvlStrRef>
                    <c:extLst>
                      <c:ext uri="{02D57815-91ED-43cb-92C2-25804820EDAC}">
                        <c15:formulaRef>
                          <c15:sqref>'Pathway Analysis'!$G$801:$U$801</c15:sqref>
                        </c15:formulaRef>
                      </c:ext>
                    </c:extLst>
                  </c:multiLvlStrRef>
                </c15:cat>
              </c15:filteredCategoryTitle>
            </c:ext>
            <c:ext xmlns:c16="http://schemas.microsoft.com/office/drawing/2014/chart" uri="{C3380CC4-5D6E-409C-BE32-E72D297353CC}">
              <c16:uniqueId val="{00000005-4FD7-4176-9CC3-7ED74D0CCAC7}"/>
            </c:ext>
          </c:extLst>
        </c:ser>
        <c:ser>
          <c:idx val="6"/>
          <c:order val="6"/>
          <c:tx>
            <c:strRef>
              <c:f>'Pathway Analysis'!$E$844</c:f>
              <c:strCache>
                <c:ptCount val="1"/>
                <c:pt idx="0">
                  <c:v>CEER1</c:v>
                </c:pt>
              </c:strCache>
            </c:strRef>
          </c:tx>
          <c:spPr>
            <a:ln w="22225" cap="rnd">
              <a:solidFill>
                <a:schemeClr val="accent2">
                  <a:lumMod val="50000"/>
                  <a:lumOff val="50000"/>
                </a:schemeClr>
              </a:solidFill>
              <a:round/>
            </a:ln>
            <a:effectLst/>
          </c:spPr>
          <c:marker>
            <c:symbol val="none"/>
          </c:marker>
          <c:val>
            <c:numRef>
              <c:f>'Pathway Analysis'!$G$837:$U$837</c:f>
            </c:numRef>
          </c:val>
          <c:smooth val="0"/>
          <c:extLst>
            <c:ext xmlns:c15="http://schemas.microsoft.com/office/drawing/2012/chart" uri="{02D57815-91ED-43cb-92C2-25804820EDAC}">
              <c15:filteredCategoryTitle>
                <c15:cat>
                  <c:multiLvlStrRef>
                    <c:extLst>
                      <c:ext uri="{02D57815-91ED-43cb-92C2-25804820EDAC}">
                        <c15:formulaRef>
                          <c15:sqref>'Pathway Analysis'!$G$801:$U$801</c15:sqref>
                        </c15:formulaRef>
                      </c:ext>
                    </c:extLst>
                  </c:multiLvlStrRef>
                </c15:cat>
              </c15:filteredCategoryTitle>
            </c:ext>
            <c:ext xmlns:c16="http://schemas.microsoft.com/office/drawing/2014/chart" uri="{C3380CC4-5D6E-409C-BE32-E72D297353CC}">
              <c16:uniqueId val="{00000006-4FD7-4176-9CC3-7ED74D0CCAC7}"/>
            </c:ext>
          </c:extLst>
        </c:ser>
        <c:ser>
          <c:idx val="7"/>
          <c:order val="7"/>
          <c:tx>
            <c:strRef>
              <c:f>'Pathway Analysis'!$E$851</c:f>
              <c:strCache>
                <c:ptCount val="1"/>
                <c:pt idx="0">
                  <c:v>CEER2</c:v>
                </c:pt>
              </c:strCache>
            </c:strRef>
          </c:tx>
          <c:spPr>
            <a:ln w="22225" cap="rnd">
              <a:solidFill>
                <a:srgbClr val="FF0000"/>
              </a:solidFill>
              <a:round/>
            </a:ln>
            <a:effectLst/>
          </c:spPr>
          <c:marker>
            <c:symbol val="none"/>
          </c:marker>
          <c:val>
            <c:numRef>
              <c:f>'Pathway Analysis'!$G$851:$U$851</c:f>
            </c:numRef>
          </c:val>
          <c:smooth val="0"/>
          <c:extLst>
            <c:ext xmlns:c15="http://schemas.microsoft.com/office/drawing/2012/chart" uri="{02D57815-91ED-43cb-92C2-25804820EDAC}">
              <c15:filteredCategoryTitle>
                <c15:cat>
                  <c:multiLvlStrRef>
                    <c:extLst>
                      <c:ext uri="{02D57815-91ED-43cb-92C2-25804820EDAC}">
                        <c15:formulaRef>
                          <c15:sqref>'Pathway Analysis'!$G$801:$U$801</c15:sqref>
                        </c15:formulaRef>
                      </c:ext>
                    </c:extLst>
                  </c:multiLvlStrRef>
                </c15:cat>
              </c15:filteredCategoryTitle>
            </c:ext>
            <c:ext xmlns:c16="http://schemas.microsoft.com/office/drawing/2014/chart" uri="{C3380CC4-5D6E-409C-BE32-E72D297353CC}">
              <c16:uniqueId val="{00000007-4FD7-4176-9CC3-7ED74D0CCAC7}"/>
            </c:ext>
          </c:extLst>
        </c:ser>
        <c:dLbls>
          <c:showLegendKey val="0"/>
          <c:showVal val="0"/>
          <c:showCatName val="0"/>
          <c:showSerName val="0"/>
          <c:showPercent val="0"/>
          <c:showBubbleSize val="0"/>
        </c:dLbls>
        <c:marker val="1"/>
        <c:smooth val="0"/>
        <c:axId val="1106492272"/>
        <c:axId val="1060756416"/>
      </c:lineChart>
      <c:catAx>
        <c:axId val="1106492272"/>
        <c:scaling>
          <c:orientation val="minMax"/>
        </c:scaling>
        <c:delete val="0"/>
        <c:axPos val="b"/>
        <c:majorGridlines>
          <c:spPr>
            <a:ln w="9525" cap="flat" cmpd="sng" algn="ctr">
              <a:solidFill>
                <a:schemeClr val="dk1">
                  <a:lumMod val="15000"/>
                  <a:lumOff val="85000"/>
                  <a:alpha val="54000"/>
                </a:schemeClr>
              </a:solidFill>
              <a:round/>
            </a:ln>
            <a:effectLst/>
          </c:spPr>
        </c:majorGridlines>
        <c:minorGridlines>
          <c:spPr>
            <a:ln w="9525" cap="flat" cmpd="sng" algn="ctr">
              <a:solidFill>
                <a:schemeClr val="dk1">
                  <a:lumMod val="15000"/>
                  <a:lumOff val="85000"/>
                  <a:alpha val="51000"/>
                </a:schemeClr>
              </a:solidFill>
              <a:round/>
            </a:ln>
            <a:effectLst/>
          </c:spPr>
        </c:minorGridlines>
        <c:numFmt formatCode="General" sourceLinked="1"/>
        <c:majorTickMark val="none"/>
        <c:minorTickMark val="none"/>
        <c:tickLblPos val="nextTo"/>
        <c:spPr>
          <a:noFill/>
          <a:ln w="9525" cap="flat" cmpd="sng" algn="ctr">
            <a:solidFill>
              <a:schemeClr val="dk1">
                <a:lumMod val="15000"/>
                <a:lumOff val="85000"/>
              </a:schemeClr>
            </a:solidFill>
            <a:round/>
          </a:ln>
          <a:effectLst/>
        </c:spPr>
        <c:txPr>
          <a:bodyPr rot="-60000000" spcFirstLastPara="1" vertOverflow="ellipsis" vert="horz" wrap="square" anchor="ctr" anchorCtr="1"/>
          <a:lstStyle/>
          <a:p>
            <a:pPr>
              <a:defRPr sz="900" b="0" i="0" u="none" strike="noStrike" kern="1200" cap="none" spc="0" normalizeH="0" baseline="0">
                <a:solidFill>
                  <a:schemeClr val="dk1">
                    <a:lumMod val="65000"/>
                    <a:lumOff val="35000"/>
                  </a:schemeClr>
                </a:solidFill>
                <a:latin typeface="+mn-lt"/>
                <a:ea typeface="+mn-ea"/>
                <a:cs typeface="+mn-cs"/>
              </a:defRPr>
            </a:pPr>
            <a:endParaRPr lang="et-EE"/>
          </a:p>
        </c:txPr>
        <c:crossAx val="1060756416"/>
        <c:crosses val="autoZero"/>
        <c:auto val="1"/>
        <c:lblAlgn val="ctr"/>
        <c:lblOffset val="100"/>
        <c:noMultiLvlLbl val="0"/>
      </c:catAx>
      <c:valAx>
        <c:axId val="1060756416"/>
        <c:scaling>
          <c:orientation val="minMax"/>
          <c:min val="34000"/>
        </c:scaling>
        <c:delete val="0"/>
        <c:axPos val="l"/>
        <c:majorGridlines>
          <c:spPr>
            <a:ln w="9525" cap="flat" cmpd="sng" algn="ctr">
              <a:solidFill>
                <a:schemeClr val="dk1">
                  <a:lumMod val="15000"/>
                  <a:lumOff val="85000"/>
                  <a:alpha val="54000"/>
                </a:schemeClr>
              </a:solidFill>
              <a:round/>
            </a:ln>
            <a:effectLst/>
          </c:spPr>
        </c:majorGridlines>
        <c:numFmt formatCode="_(* #,##0_);_(* \(#,##0\);_(* &quot;-&quot;??_);_(@_)"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t-EE"/>
          </a:p>
        </c:txPr>
        <c:crossAx val="1106492272"/>
        <c:crosses val="autoZero"/>
        <c:crossBetween val="between"/>
      </c:valAx>
      <c:spPr>
        <a:pattFill prst="ltDnDiag">
          <a:fgClr>
            <a:schemeClr val="dk1">
              <a:lumMod val="15000"/>
              <a:lumOff val="85000"/>
            </a:schemeClr>
          </a:fgClr>
          <a:bgClr>
            <a:schemeClr val="lt1"/>
          </a:bgClr>
        </a:patt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dk1">
                  <a:lumMod val="65000"/>
                  <a:lumOff val="35000"/>
                </a:schemeClr>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lt1"/>
    </a:solidFill>
    <a:ln w="9525" cap="flat" cmpd="sng" algn="ctr">
      <a:solidFill>
        <a:schemeClr val="dk1">
          <a:lumMod val="15000"/>
          <a:lumOff val="85000"/>
        </a:schemeClr>
      </a:solidFill>
      <a:round/>
    </a:ln>
    <a:effectLst/>
  </c:spPr>
  <c:txPr>
    <a:bodyPr/>
    <a:lstStyle/>
    <a:p>
      <a:pPr>
        <a:defRPr/>
      </a:pPr>
      <a:endParaRPr lang="et-EE"/>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barChart>
        <c:barDir val="col"/>
        <c:grouping val="clustered"/>
        <c:varyColors val="1"/>
        <c:ser>
          <c:idx val="0"/>
          <c:order val="0"/>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101B-4D91-B420-58E550D50726}"/>
              </c:ext>
            </c:extLst>
          </c:dPt>
          <c:dPt>
            <c:idx val="1"/>
            <c:invertIfNegative val="0"/>
            <c:bubble3D val="0"/>
            <c:spPr>
              <a:solidFill>
                <a:schemeClr val="accent2"/>
              </a:solidFill>
              <a:ln>
                <a:noFill/>
              </a:ln>
              <a:effectLst/>
            </c:spPr>
            <c:extLst>
              <c:ext xmlns:c16="http://schemas.microsoft.com/office/drawing/2014/chart" uri="{C3380CC4-5D6E-409C-BE32-E72D297353CC}">
                <c16:uniqueId val="{00000003-101B-4D91-B420-58E550D50726}"/>
              </c:ext>
            </c:extLst>
          </c:dPt>
          <c:dPt>
            <c:idx val="2"/>
            <c:invertIfNegative val="0"/>
            <c:bubble3D val="0"/>
            <c:spPr>
              <a:solidFill>
                <a:schemeClr val="accent3"/>
              </a:solidFill>
              <a:ln>
                <a:noFill/>
              </a:ln>
              <a:effectLst/>
            </c:spPr>
            <c:extLst>
              <c:ext xmlns:c16="http://schemas.microsoft.com/office/drawing/2014/chart" uri="{C3380CC4-5D6E-409C-BE32-E72D297353CC}">
                <c16:uniqueId val="{00000005-101B-4D91-B420-58E550D50726}"/>
              </c:ext>
            </c:extLst>
          </c:dPt>
          <c:dPt>
            <c:idx val="3"/>
            <c:invertIfNegative val="0"/>
            <c:bubble3D val="0"/>
            <c:spPr>
              <a:solidFill>
                <a:schemeClr val="accent4"/>
              </a:solidFill>
              <a:ln>
                <a:noFill/>
              </a:ln>
              <a:effectLst/>
            </c:spPr>
            <c:extLst>
              <c:ext xmlns:c16="http://schemas.microsoft.com/office/drawing/2014/chart" uri="{C3380CC4-5D6E-409C-BE32-E72D297353CC}">
                <c16:uniqueId val="{00000007-101B-4D91-B420-58E550D50726}"/>
              </c:ext>
            </c:extLst>
          </c:dPt>
          <c:dPt>
            <c:idx val="4"/>
            <c:invertIfNegative val="0"/>
            <c:bubble3D val="0"/>
            <c:spPr>
              <a:solidFill>
                <a:schemeClr val="accent5"/>
              </a:solidFill>
              <a:ln>
                <a:noFill/>
              </a:ln>
              <a:effectLst/>
            </c:spPr>
            <c:extLst>
              <c:ext xmlns:c16="http://schemas.microsoft.com/office/drawing/2014/chart" uri="{C3380CC4-5D6E-409C-BE32-E72D297353CC}">
                <c16:uniqueId val="{00000009-101B-4D91-B420-58E550D50726}"/>
              </c:ext>
            </c:extLst>
          </c:dPt>
          <c:dPt>
            <c:idx val="5"/>
            <c:invertIfNegative val="0"/>
            <c:bubble3D val="0"/>
            <c:spPr>
              <a:solidFill>
                <a:schemeClr val="accent6"/>
              </a:solidFill>
              <a:ln>
                <a:noFill/>
              </a:ln>
              <a:effectLst/>
            </c:spPr>
            <c:extLst>
              <c:ext xmlns:c16="http://schemas.microsoft.com/office/drawing/2014/chart" uri="{C3380CC4-5D6E-409C-BE32-E72D297353CC}">
                <c16:uniqueId val="{0000000B-101B-4D91-B420-58E550D50726}"/>
              </c:ext>
            </c:extLst>
          </c:dPt>
          <c:cat>
            <c:strRef>
              <c:f>Charts!$E$10:$J$10</c:f>
              <c:strCache>
                <c:ptCount val="6"/>
                <c:pt idx="0">
                  <c:v>Series 1</c:v>
                </c:pt>
                <c:pt idx="1">
                  <c:v>Series 2</c:v>
                </c:pt>
                <c:pt idx="2">
                  <c:v>Series 3</c:v>
                </c:pt>
                <c:pt idx="3">
                  <c:v>Series 4</c:v>
                </c:pt>
                <c:pt idx="4">
                  <c:v>Series 5</c:v>
                </c:pt>
                <c:pt idx="5">
                  <c:v>Series 6</c:v>
                </c:pt>
              </c:strCache>
            </c:strRef>
          </c:cat>
          <c:val>
            <c:numRef>
              <c:f>Charts!$E$11:$J$11</c:f>
              <c:numCache>
                <c:formatCode>General</c:formatCode>
                <c:ptCount val="6"/>
                <c:pt idx="0">
                  <c:v>4</c:v>
                </c:pt>
                <c:pt idx="1">
                  <c:v>6</c:v>
                </c:pt>
                <c:pt idx="2">
                  <c:v>3</c:v>
                </c:pt>
                <c:pt idx="3">
                  <c:v>7</c:v>
                </c:pt>
                <c:pt idx="4">
                  <c:v>8</c:v>
                </c:pt>
                <c:pt idx="5">
                  <c:v>9</c:v>
                </c:pt>
              </c:numCache>
            </c:numRef>
          </c:val>
          <c:extLst>
            <c:ext xmlns:c16="http://schemas.microsoft.com/office/drawing/2014/chart" uri="{C3380CC4-5D6E-409C-BE32-E72D297353CC}">
              <c16:uniqueId val="{00000000-2EDB-4CAB-B31B-7168C639516C}"/>
            </c:ext>
          </c:extLst>
        </c:ser>
        <c:dLbls>
          <c:showLegendKey val="0"/>
          <c:showVal val="0"/>
          <c:showCatName val="0"/>
          <c:showSerName val="0"/>
          <c:showPercent val="0"/>
          <c:showBubbleSize val="0"/>
        </c:dLbls>
        <c:gapWidth val="219"/>
        <c:overlap val="-27"/>
        <c:axId val="364691008"/>
        <c:axId val="364688056"/>
      </c:barChart>
      <c:catAx>
        <c:axId val="36469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64688056"/>
        <c:crosses val="autoZero"/>
        <c:auto val="1"/>
        <c:lblAlgn val="ctr"/>
        <c:lblOffset val="100"/>
        <c:noMultiLvlLbl val="0"/>
      </c:catAx>
      <c:valAx>
        <c:axId val="364688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Unit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646910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4.8774522017315428E-2"/>
          <c:y val="3.8734299033993731E-2"/>
          <c:w val="0.79873031511477421"/>
          <c:h val="0.85266105948433102"/>
        </c:manualLayout>
      </c:layout>
      <c:barChart>
        <c:barDir val="col"/>
        <c:grouping val="stacked"/>
        <c:varyColors val="0"/>
        <c:ser>
          <c:idx val="0"/>
          <c:order val="0"/>
          <c:tx>
            <c:strRef>
              <c:f>'Exec. Sum'!$B$114</c:f>
              <c:strCache>
                <c:ptCount val="1"/>
                <c:pt idx="0">
                  <c:v>Industry</c:v>
                </c:pt>
              </c:strCache>
            </c:strRef>
          </c:tx>
          <c:spPr>
            <a:solidFill>
              <a:schemeClr val="accent3"/>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0-D281-4901-BF32-1B03914DD04B}"/>
                </c:ext>
              </c:extLst>
            </c:dLbl>
            <c:spPr>
              <a:noFill/>
              <a:ln>
                <a:noFill/>
              </a:ln>
              <a:effectLst/>
            </c:spPr>
            <c:txPr>
              <a:bodyPr wrap="square" lIns="38100" tIns="19050" rIns="38100" bIns="19050" anchor="ctr">
                <a:spAutoFit/>
              </a:bodyPr>
              <a:lstStyle/>
              <a:p>
                <a:pPr>
                  <a:defRPr sz="700" i="1">
                    <a:solidFill>
                      <a:schemeClr val="bg1"/>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'Exec. Sum'!$C$113:$I$113</c:f>
              <c:strCache>
                <c:ptCount val="7"/>
                <c:pt idx="0">
                  <c:v>Baseline</c:v>
                </c:pt>
                <c:pt idx="1">
                  <c:v>EEO</c:v>
                </c:pt>
                <c:pt idx="2">
                  <c:v>VA</c:v>
                </c:pt>
                <c:pt idx="3">
                  <c:v>RenoWave</c:v>
                </c:pt>
                <c:pt idx="4">
                  <c:v>EET</c:v>
                </c:pt>
                <c:pt idx="5">
                  <c:v>CEER1</c:v>
                </c:pt>
                <c:pt idx="6">
                  <c:v>CEER2</c:v>
                </c:pt>
              </c:strCache>
            </c:strRef>
          </c:cat>
          <c:val>
            <c:numRef>
              <c:f>'Exec. Sum'!$C$114:$I$114</c:f>
              <c:numCache>
                <c:formatCode>0.0</c:formatCode>
                <c:ptCount val="7"/>
                <c:pt idx="0">
                  <c:v>0.56323398937814184</c:v>
                </c:pt>
                <c:pt idx="1">
                  <c:v>1.0441255892441093</c:v>
                </c:pt>
                <c:pt idx="2">
                  <c:v>1.2922789127425081</c:v>
                </c:pt>
                <c:pt idx="3">
                  <c:v>0.77260348316126082</c:v>
                </c:pt>
                <c:pt idx="4">
                  <c:v>0.76290020505392897</c:v>
                </c:pt>
                <c:pt idx="5">
                  <c:v>0.96409193761456036</c:v>
                </c:pt>
                <c:pt idx="6">
                  <c:v>1.2024839656207866</c:v>
                </c:pt>
              </c:numCache>
            </c:numRef>
          </c:val>
          <c:extLst>
            <c:ext xmlns:c16="http://schemas.microsoft.com/office/drawing/2014/chart" uri="{C3380CC4-5D6E-409C-BE32-E72D297353CC}">
              <c16:uniqueId val="{00000001-D281-4901-BF32-1B03914DD04B}"/>
            </c:ext>
          </c:extLst>
        </c:ser>
        <c:ser>
          <c:idx val="1"/>
          <c:order val="1"/>
          <c:tx>
            <c:strRef>
              <c:f>'Exec. Sum'!$B$115</c:f>
              <c:strCache>
                <c:ptCount val="1"/>
                <c:pt idx="0">
                  <c:v>Households</c:v>
                </c:pt>
              </c:strCache>
            </c:strRef>
          </c:tx>
          <c:spPr>
            <a:solidFill>
              <a:schemeClr val="accent2"/>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2-D281-4901-BF32-1B03914DD04B}"/>
                </c:ext>
              </c:extLst>
            </c:dLbl>
            <c:spPr>
              <a:noFill/>
              <a:ln>
                <a:noFill/>
              </a:ln>
              <a:effectLst/>
            </c:spPr>
            <c:txPr>
              <a:bodyPr wrap="square" lIns="38100" tIns="19050" rIns="38100" bIns="19050" anchor="ctr">
                <a:spAutoFit/>
              </a:bodyPr>
              <a:lstStyle/>
              <a:p>
                <a:pPr>
                  <a:defRPr sz="700" i="1">
                    <a:solidFill>
                      <a:schemeClr val="bg1"/>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'Exec. Sum'!$C$113:$I$113</c:f>
              <c:strCache>
                <c:ptCount val="7"/>
                <c:pt idx="0">
                  <c:v>Baseline</c:v>
                </c:pt>
                <c:pt idx="1">
                  <c:v>EEO</c:v>
                </c:pt>
                <c:pt idx="2">
                  <c:v>VA</c:v>
                </c:pt>
                <c:pt idx="3">
                  <c:v>RenoWave</c:v>
                </c:pt>
                <c:pt idx="4">
                  <c:v>EET</c:v>
                </c:pt>
                <c:pt idx="5">
                  <c:v>CEER1</c:v>
                </c:pt>
                <c:pt idx="6">
                  <c:v>CEER2</c:v>
                </c:pt>
              </c:strCache>
            </c:strRef>
          </c:cat>
          <c:val>
            <c:numRef>
              <c:f>'Exec. Sum'!$C$115:$I$115</c:f>
              <c:numCache>
                <c:formatCode>0.0</c:formatCode>
                <c:ptCount val="7"/>
                <c:pt idx="0">
                  <c:v>0.37320263056070679</c:v>
                </c:pt>
                <c:pt idx="1">
                  <c:v>1.051738208493366</c:v>
                </c:pt>
                <c:pt idx="2">
                  <c:v>1.002521122345108</c:v>
                </c:pt>
                <c:pt idx="3">
                  <c:v>1.8108773665215192</c:v>
                </c:pt>
                <c:pt idx="4">
                  <c:v>0.92055429134478717</c:v>
                </c:pt>
                <c:pt idx="5">
                  <c:v>1.0763326408560197</c:v>
                </c:pt>
                <c:pt idx="6">
                  <c:v>1.39105206746083</c:v>
                </c:pt>
              </c:numCache>
            </c:numRef>
          </c:val>
          <c:extLst>
            <c:ext xmlns:c16="http://schemas.microsoft.com/office/drawing/2014/chart" uri="{C3380CC4-5D6E-409C-BE32-E72D297353CC}">
              <c16:uniqueId val="{00000003-D281-4901-BF32-1B03914DD04B}"/>
            </c:ext>
          </c:extLst>
        </c:ser>
        <c:ser>
          <c:idx val="2"/>
          <c:order val="2"/>
          <c:tx>
            <c:strRef>
              <c:f>'Exec. Sum'!$B$116</c:f>
              <c:strCache>
                <c:ptCount val="1"/>
                <c:pt idx="0">
                  <c:v>Services</c:v>
                </c:pt>
              </c:strCache>
            </c:strRef>
          </c:tx>
          <c:spPr>
            <a:solidFill>
              <a:schemeClr val="accent4"/>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D281-4901-BF32-1B03914DD04B}"/>
                </c:ext>
              </c:extLst>
            </c:dLbl>
            <c:spPr>
              <a:noFill/>
              <a:ln>
                <a:noFill/>
              </a:ln>
              <a:effectLst/>
            </c:spPr>
            <c:txPr>
              <a:bodyPr wrap="square" lIns="38100" tIns="19050" rIns="38100" bIns="19050" anchor="ctr">
                <a:spAutoFit/>
              </a:bodyPr>
              <a:lstStyle/>
              <a:p>
                <a:pPr>
                  <a:defRPr sz="700" i="1">
                    <a:solidFill>
                      <a:schemeClr val="bg1"/>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'Exec. Sum'!$C$113:$I$113</c:f>
              <c:strCache>
                <c:ptCount val="7"/>
                <c:pt idx="0">
                  <c:v>Baseline</c:v>
                </c:pt>
                <c:pt idx="1">
                  <c:v>EEO</c:v>
                </c:pt>
                <c:pt idx="2">
                  <c:v>VA</c:v>
                </c:pt>
                <c:pt idx="3">
                  <c:v>RenoWave</c:v>
                </c:pt>
                <c:pt idx="4">
                  <c:v>EET</c:v>
                </c:pt>
                <c:pt idx="5">
                  <c:v>CEER1</c:v>
                </c:pt>
                <c:pt idx="6">
                  <c:v>CEER2</c:v>
                </c:pt>
              </c:strCache>
            </c:strRef>
          </c:cat>
          <c:val>
            <c:numRef>
              <c:f>'Exec. Sum'!$C$116:$I$116</c:f>
              <c:numCache>
                <c:formatCode>0.0</c:formatCode>
                <c:ptCount val="7"/>
                <c:pt idx="0">
                  <c:v>0.12878676665079647</c:v>
                </c:pt>
                <c:pt idx="1">
                  <c:v>1.0529909967540054</c:v>
                </c:pt>
                <c:pt idx="2">
                  <c:v>0.57514214084471327</c:v>
                </c:pt>
                <c:pt idx="3">
                  <c:v>0.8298628608496047</c:v>
                </c:pt>
                <c:pt idx="4">
                  <c:v>0.57176724932086587</c:v>
                </c:pt>
                <c:pt idx="5">
                  <c:v>0.6253471895224999</c:v>
                </c:pt>
                <c:pt idx="6">
                  <c:v>0.96675096238807012</c:v>
                </c:pt>
              </c:numCache>
            </c:numRef>
          </c:val>
          <c:extLst>
            <c:ext xmlns:c16="http://schemas.microsoft.com/office/drawing/2014/chart" uri="{C3380CC4-5D6E-409C-BE32-E72D297353CC}">
              <c16:uniqueId val="{00000005-D281-4901-BF32-1B03914DD04B}"/>
            </c:ext>
          </c:extLst>
        </c:ser>
        <c:ser>
          <c:idx val="3"/>
          <c:order val="3"/>
          <c:tx>
            <c:strRef>
              <c:f>'Exec. Sum'!$B$117</c:f>
              <c:strCache>
                <c:ptCount val="1"/>
                <c:pt idx="0">
                  <c:v>Transport</c:v>
                </c:pt>
              </c:strCache>
            </c:strRef>
          </c:tx>
          <c:spPr>
            <a:solidFill>
              <a:schemeClr val="accent5"/>
            </a:solidFill>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6-D281-4901-BF32-1B03914DD04B}"/>
                </c:ext>
              </c:extLst>
            </c:dLbl>
            <c:spPr>
              <a:noFill/>
              <a:ln>
                <a:noFill/>
              </a:ln>
              <a:effectLst/>
            </c:spPr>
            <c:txPr>
              <a:bodyPr wrap="square" lIns="38100" tIns="19050" rIns="38100" bIns="19050" anchor="ctr">
                <a:spAutoFit/>
              </a:bodyPr>
              <a:lstStyle/>
              <a:p>
                <a:pPr>
                  <a:defRPr sz="700" i="1"/>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'Exec. Sum'!$C$113:$I$113</c:f>
              <c:strCache>
                <c:ptCount val="7"/>
                <c:pt idx="0">
                  <c:v>Baseline</c:v>
                </c:pt>
                <c:pt idx="1">
                  <c:v>EEO</c:v>
                </c:pt>
                <c:pt idx="2">
                  <c:v>VA</c:v>
                </c:pt>
                <c:pt idx="3">
                  <c:v>RenoWave</c:v>
                </c:pt>
                <c:pt idx="4">
                  <c:v>EET</c:v>
                </c:pt>
                <c:pt idx="5">
                  <c:v>CEER1</c:v>
                </c:pt>
                <c:pt idx="6">
                  <c:v>CEER2</c:v>
                </c:pt>
              </c:strCache>
            </c:strRef>
          </c:cat>
          <c:val>
            <c:numRef>
              <c:f>'Exec. Sum'!$C$117:$I$117</c:f>
              <c:numCache>
                <c:formatCode>0.0</c:formatCode>
                <c:ptCount val="7"/>
                <c:pt idx="0">
                  <c:v>5.5501018356972111E-2</c:v>
                </c:pt>
                <c:pt idx="1">
                  <c:v>0.59743932994224247</c:v>
                </c:pt>
                <c:pt idx="2">
                  <c:v>0.59743932994224247</c:v>
                </c:pt>
                <c:pt idx="3">
                  <c:v>0.59743932994224247</c:v>
                </c:pt>
                <c:pt idx="4">
                  <c:v>2.085234294019517</c:v>
                </c:pt>
                <c:pt idx="5">
                  <c:v>1.3468003928971315</c:v>
                </c:pt>
                <c:pt idx="6">
                  <c:v>1.6982489954687685</c:v>
                </c:pt>
              </c:numCache>
            </c:numRef>
          </c:val>
          <c:extLst>
            <c:ext xmlns:c16="http://schemas.microsoft.com/office/drawing/2014/chart" uri="{C3380CC4-5D6E-409C-BE32-E72D297353CC}">
              <c16:uniqueId val="{00000007-D281-4901-BF32-1B03914DD04B}"/>
            </c:ext>
          </c:extLst>
        </c:ser>
        <c:ser>
          <c:idx val="4"/>
          <c:order val="4"/>
          <c:tx>
            <c:strRef>
              <c:f>'Exec. Sum'!$B$118</c:f>
              <c:strCache>
                <c:ptCount val="1"/>
                <c:pt idx="0">
                  <c:v>Agriculture, fishing and forestry</c:v>
                </c:pt>
              </c:strCache>
            </c:strRef>
          </c:tx>
          <c:spPr>
            <a:solidFill>
              <a:srgbClr val="993366"/>
            </a:solidFill>
            <a:effectLst/>
          </c:spPr>
          <c:invertIfNegative val="0"/>
          <c:cat>
            <c:strRef>
              <c:f>'Exec. Sum'!$C$113:$I$113</c:f>
              <c:strCache>
                <c:ptCount val="7"/>
                <c:pt idx="0">
                  <c:v>Baseline</c:v>
                </c:pt>
                <c:pt idx="1">
                  <c:v>EEO</c:v>
                </c:pt>
                <c:pt idx="2">
                  <c:v>VA</c:v>
                </c:pt>
                <c:pt idx="3">
                  <c:v>RenoWave</c:v>
                </c:pt>
                <c:pt idx="4">
                  <c:v>EET</c:v>
                </c:pt>
                <c:pt idx="5">
                  <c:v>CEER1</c:v>
                </c:pt>
                <c:pt idx="6">
                  <c:v>CEER2</c:v>
                </c:pt>
              </c:strCache>
            </c:strRef>
          </c:cat>
          <c:val>
            <c:numRef>
              <c:f>'Exec. Sum'!$C$118:$I$118</c:f>
              <c:numCache>
                <c:formatCode>0.0</c:formatCode>
                <c:ptCount val="7"/>
                <c:pt idx="0">
                  <c:v>0.13843363736739966</c:v>
                </c:pt>
                <c:pt idx="1">
                  <c:v>0.15951352012024331</c:v>
                </c:pt>
                <c:pt idx="2">
                  <c:v>0.15951352012024331</c:v>
                </c:pt>
                <c:pt idx="3">
                  <c:v>0.15951352012024331</c:v>
                </c:pt>
                <c:pt idx="4">
                  <c:v>0.15899649852036332</c:v>
                </c:pt>
                <c:pt idx="5">
                  <c:v>0.1586454277276064</c:v>
                </c:pt>
                <c:pt idx="6">
                  <c:v>0.1586454277276064</c:v>
                </c:pt>
              </c:numCache>
            </c:numRef>
          </c:val>
          <c:extLst>
            <c:ext xmlns:c16="http://schemas.microsoft.com/office/drawing/2014/chart" uri="{C3380CC4-5D6E-409C-BE32-E72D297353CC}">
              <c16:uniqueId val="{00000008-D281-4901-BF32-1B03914DD04B}"/>
            </c:ext>
          </c:extLst>
        </c:ser>
        <c:dLbls>
          <c:showLegendKey val="0"/>
          <c:showVal val="0"/>
          <c:showCatName val="0"/>
          <c:showSerName val="0"/>
          <c:showPercent val="0"/>
          <c:showBubbleSize val="0"/>
        </c:dLbls>
        <c:gapWidth val="150"/>
        <c:overlap val="100"/>
        <c:axId val="1233160943"/>
        <c:axId val="1550616095"/>
      </c:barChart>
      <c:catAx>
        <c:axId val="123316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crossAx val="1550616095"/>
        <c:crosses val="autoZero"/>
        <c:auto val="1"/>
        <c:lblAlgn val="ctr"/>
        <c:lblOffset val="100"/>
        <c:noMultiLvlLbl val="0"/>
      </c:catAx>
      <c:valAx>
        <c:axId val="155061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a:lstStyle/>
              <a:p>
                <a:pPr>
                  <a:defRPr/>
                </a:pPr>
                <a:r>
                  <a:rPr lang="en-GB"/>
                  <a:t>GHG emissions reduction (MtCO2)</a:t>
                </a:r>
              </a:p>
            </c:rich>
          </c:tx>
          <c:overlay val="0"/>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crossAx val="1233160943"/>
        <c:crosses val="autoZero"/>
        <c:crossBetween val="between"/>
      </c:valAx>
      <c:spPr>
        <a:noFill/>
        <a:ln w="25400">
          <a:noFill/>
        </a:ln>
      </c:spPr>
    </c:plotArea>
    <c:legend>
      <c:legendPos val="r"/>
      <c:layout>
        <c:manualLayout>
          <c:xMode val="edge"/>
          <c:yMode val="edge"/>
          <c:x val="0.84788383479574414"/>
          <c:y val="0.10543471681884004"/>
          <c:w val="0.15211616520425583"/>
          <c:h val="0.79737232572301131"/>
        </c:manualLayout>
      </c:layout>
      <c:overlay val="0"/>
      <c:spPr>
        <a:noFill/>
        <a:ln>
          <a:noFill/>
        </a:ln>
        <a:effectLst/>
      </c:spPr>
      <c:txPr>
        <a:bodyPr rot="0" spcFirstLastPara="1" vertOverflow="ellipsis" vert="horz" wrap="square" anchor="ctr" anchorCtr="1"/>
        <a:lstStyle/>
        <a:p>
          <a:pPr>
            <a:defRPr sz="1000" b="0" i="0" u="none" strike="noStrike" kern="1200" baseline="0">
              <a:solidFill>
                <a:sysClr val="windowText" lastClr="000000"/>
              </a:solidFill>
              <a:latin typeface="+mn-lt"/>
              <a:ea typeface="+mn-ea"/>
              <a:cs typeface="+mn-cs"/>
            </a:defRPr>
          </a:pPr>
          <a:endParaRPr lang="et-EE"/>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userShapes r:id="rId1"/>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barChart>
        <c:barDir val="col"/>
        <c:grouping val="clustered"/>
        <c:varyColors val="1"/>
        <c:ser>
          <c:idx val="0"/>
          <c:order val="0"/>
          <c:spPr>
            <a:solidFill>
              <a:schemeClr val="accent1"/>
            </a:solidFill>
            <a:ln>
              <a:noFill/>
            </a:ln>
            <a:effectLst/>
          </c:spPr>
          <c:invertIfNegative val="0"/>
          <c:dPt>
            <c:idx val="0"/>
            <c:invertIfNegative val="0"/>
            <c:bubble3D val="0"/>
            <c:spPr>
              <a:solidFill>
                <a:schemeClr val="accent1"/>
              </a:solidFill>
              <a:ln>
                <a:noFill/>
              </a:ln>
              <a:effectLst/>
            </c:spPr>
            <c:extLst>
              <c:ext xmlns:c16="http://schemas.microsoft.com/office/drawing/2014/chart" uri="{C3380CC4-5D6E-409C-BE32-E72D297353CC}">
                <c16:uniqueId val="{00000001-845C-4539-85C6-53BBCA7BFA35}"/>
              </c:ext>
            </c:extLst>
          </c:dPt>
          <c:dPt>
            <c:idx val="1"/>
            <c:invertIfNegative val="0"/>
            <c:bubble3D val="0"/>
            <c:spPr>
              <a:solidFill>
                <a:schemeClr val="accent1"/>
              </a:solidFill>
              <a:ln>
                <a:noFill/>
              </a:ln>
              <a:effectLst/>
            </c:spPr>
            <c:extLst>
              <c:ext xmlns:c16="http://schemas.microsoft.com/office/drawing/2014/chart" uri="{C3380CC4-5D6E-409C-BE32-E72D297353CC}">
                <c16:uniqueId val="{00000003-845C-4539-85C6-53BBCA7BFA35}"/>
              </c:ext>
            </c:extLst>
          </c:dPt>
          <c:dPt>
            <c:idx val="2"/>
            <c:invertIfNegative val="0"/>
            <c:bubble3D val="0"/>
            <c:spPr>
              <a:solidFill>
                <a:schemeClr val="accent1"/>
              </a:solidFill>
              <a:ln>
                <a:noFill/>
              </a:ln>
              <a:effectLst/>
            </c:spPr>
            <c:extLst>
              <c:ext xmlns:c16="http://schemas.microsoft.com/office/drawing/2014/chart" uri="{C3380CC4-5D6E-409C-BE32-E72D297353CC}">
                <c16:uniqueId val="{00000005-845C-4539-85C6-53BBCA7BFA35}"/>
              </c:ext>
            </c:extLst>
          </c:dPt>
          <c:dPt>
            <c:idx val="3"/>
            <c:invertIfNegative val="0"/>
            <c:bubble3D val="0"/>
            <c:spPr>
              <a:solidFill>
                <a:schemeClr val="accent1"/>
              </a:solidFill>
              <a:ln>
                <a:noFill/>
              </a:ln>
              <a:effectLst/>
            </c:spPr>
            <c:extLst>
              <c:ext xmlns:c16="http://schemas.microsoft.com/office/drawing/2014/chart" uri="{C3380CC4-5D6E-409C-BE32-E72D297353CC}">
                <c16:uniqueId val="{00000007-845C-4539-85C6-53BBCA7BFA35}"/>
              </c:ext>
            </c:extLst>
          </c:dPt>
          <c:dPt>
            <c:idx val="4"/>
            <c:invertIfNegative val="0"/>
            <c:bubble3D val="0"/>
            <c:spPr>
              <a:solidFill>
                <a:schemeClr val="accent1"/>
              </a:solidFill>
              <a:ln>
                <a:noFill/>
              </a:ln>
              <a:effectLst/>
            </c:spPr>
            <c:extLst>
              <c:ext xmlns:c16="http://schemas.microsoft.com/office/drawing/2014/chart" uri="{C3380CC4-5D6E-409C-BE32-E72D297353CC}">
                <c16:uniqueId val="{00000009-845C-4539-85C6-53BBCA7BFA35}"/>
              </c:ext>
            </c:extLst>
          </c:dPt>
          <c:dPt>
            <c:idx val="5"/>
            <c:invertIfNegative val="0"/>
            <c:bubble3D val="0"/>
            <c:spPr>
              <a:solidFill>
                <a:schemeClr val="accent1"/>
              </a:solidFill>
              <a:ln>
                <a:noFill/>
              </a:ln>
              <a:effectLst/>
            </c:spPr>
            <c:extLst>
              <c:ext xmlns:c16="http://schemas.microsoft.com/office/drawing/2014/chart" uri="{C3380CC4-5D6E-409C-BE32-E72D297353CC}">
                <c16:uniqueId val="{0000000B-845C-4539-85C6-53BBCA7BFA35}"/>
              </c:ext>
            </c:extLst>
          </c:dPt>
          <c:cat>
            <c:strRef>
              <c:f>Charts!$E$10:$J$10</c:f>
              <c:strCache>
                <c:ptCount val="6"/>
                <c:pt idx="0">
                  <c:v>Series 1</c:v>
                </c:pt>
                <c:pt idx="1">
                  <c:v>Series 2</c:v>
                </c:pt>
                <c:pt idx="2">
                  <c:v>Series 3</c:v>
                </c:pt>
                <c:pt idx="3">
                  <c:v>Series 4</c:v>
                </c:pt>
                <c:pt idx="4">
                  <c:v>Series 5</c:v>
                </c:pt>
                <c:pt idx="5">
                  <c:v>Series 6</c:v>
                </c:pt>
              </c:strCache>
            </c:strRef>
          </c:cat>
          <c:val>
            <c:numRef>
              <c:f>Charts!$E$11:$J$11</c:f>
              <c:numCache>
                <c:formatCode>General</c:formatCode>
                <c:ptCount val="6"/>
                <c:pt idx="0">
                  <c:v>4</c:v>
                </c:pt>
                <c:pt idx="1">
                  <c:v>6</c:v>
                </c:pt>
                <c:pt idx="2">
                  <c:v>3</c:v>
                </c:pt>
                <c:pt idx="3">
                  <c:v>7</c:v>
                </c:pt>
                <c:pt idx="4">
                  <c:v>8</c:v>
                </c:pt>
                <c:pt idx="5">
                  <c:v>9</c:v>
                </c:pt>
              </c:numCache>
            </c:numRef>
          </c:val>
          <c:extLst>
            <c:ext xmlns:c16="http://schemas.microsoft.com/office/drawing/2014/chart" uri="{C3380CC4-5D6E-409C-BE32-E72D297353CC}">
              <c16:uniqueId val="{0000000C-845C-4539-85C6-53BBCA7BFA35}"/>
            </c:ext>
          </c:extLst>
        </c:ser>
        <c:ser>
          <c:idx val="1"/>
          <c:order val="1"/>
          <c:spPr>
            <a:solidFill>
              <a:schemeClr val="accent2"/>
            </a:solidFill>
            <a:ln>
              <a:noFill/>
            </a:ln>
            <a:effectLst/>
          </c:spPr>
          <c:invertIfNegative val="0"/>
          <c:cat>
            <c:strRef>
              <c:f>Charts!$E$10:$J$10</c:f>
              <c:strCache>
                <c:ptCount val="6"/>
                <c:pt idx="0">
                  <c:v>Series 1</c:v>
                </c:pt>
                <c:pt idx="1">
                  <c:v>Series 2</c:v>
                </c:pt>
                <c:pt idx="2">
                  <c:v>Series 3</c:v>
                </c:pt>
                <c:pt idx="3">
                  <c:v>Series 4</c:v>
                </c:pt>
                <c:pt idx="4">
                  <c:v>Series 5</c:v>
                </c:pt>
                <c:pt idx="5">
                  <c:v>Series 6</c:v>
                </c:pt>
              </c:strCache>
            </c:strRef>
          </c:cat>
          <c:val>
            <c:numRef>
              <c:f>Charts!$E$12:$J$12</c:f>
              <c:numCache>
                <c:formatCode>General</c:formatCode>
                <c:ptCount val="6"/>
                <c:pt idx="0">
                  <c:v>5</c:v>
                </c:pt>
                <c:pt idx="1">
                  <c:v>23</c:v>
                </c:pt>
                <c:pt idx="2">
                  <c:v>7</c:v>
                </c:pt>
                <c:pt idx="3">
                  <c:v>23</c:v>
                </c:pt>
                <c:pt idx="4">
                  <c:v>5</c:v>
                </c:pt>
                <c:pt idx="5">
                  <c:v>9</c:v>
                </c:pt>
              </c:numCache>
            </c:numRef>
          </c:val>
          <c:extLst>
            <c:ext xmlns:c16="http://schemas.microsoft.com/office/drawing/2014/chart" uri="{C3380CC4-5D6E-409C-BE32-E72D297353CC}">
              <c16:uniqueId val="{0000000D-845C-4539-85C6-53BBCA7BFA35}"/>
            </c:ext>
          </c:extLst>
        </c:ser>
        <c:ser>
          <c:idx val="2"/>
          <c:order val="2"/>
          <c:spPr>
            <a:solidFill>
              <a:schemeClr val="accent3"/>
            </a:solidFill>
            <a:ln>
              <a:noFill/>
            </a:ln>
            <a:effectLst/>
          </c:spPr>
          <c:invertIfNegative val="0"/>
          <c:cat>
            <c:strRef>
              <c:f>Charts!$E$10:$J$10</c:f>
              <c:strCache>
                <c:ptCount val="6"/>
                <c:pt idx="0">
                  <c:v>Series 1</c:v>
                </c:pt>
                <c:pt idx="1">
                  <c:v>Series 2</c:v>
                </c:pt>
                <c:pt idx="2">
                  <c:v>Series 3</c:v>
                </c:pt>
                <c:pt idx="3">
                  <c:v>Series 4</c:v>
                </c:pt>
                <c:pt idx="4">
                  <c:v>Series 5</c:v>
                </c:pt>
                <c:pt idx="5">
                  <c:v>Series 6</c:v>
                </c:pt>
              </c:strCache>
            </c:strRef>
          </c:cat>
          <c:val>
            <c:numRef>
              <c:f>Charts!$E$13:$J$13</c:f>
              <c:numCache>
                <c:formatCode>General</c:formatCode>
                <c:ptCount val="6"/>
                <c:pt idx="0">
                  <c:v>6</c:v>
                </c:pt>
                <c:pt idx="1">
                  <c:v>4</c:v>
                </c:pt>
                <c:pt idx="2">
                  <c:v>6</c:v>
                </c:pt>
                <c:pt idx="3">
                  <c:v>4</c:v>
                </c:pt>
                <c:pt idx="4">
                  <c:v>8</c:v>
                </c:pt>
                <c:pt idx="5">
                  <c:v>3</c:v>
                </c:pt>
              </c:numCache>
            </c:numRef>
          </c:val>
          <c:extLst>
            <c:ext xmlns:c16="http://schemas.microsoft.com/office/drawing/2014/chart" uri="{C3380CC4-5D6E-409C-BE32-E72D297353CC}">
              <c16:uniqueId val="{0000000E-845C-4539-85C6-53BBCA7BFA35}"/>
            </c:ext>
          </c:extLst>
        </c:ser>
        <c:dLbls>
          <c:showLegendKey val="0"/>
          <c:showVal val="0"/>
          <c:showCatName val="0"/>
          <c:showSerName val="0"/>
          <c:showPercent val="0"/>
          <c:showBubbleSize val="0"/>
        </c:dLbls>
        <c:gapWidth val="219"/>
        <c:overlap val="-27"/>
        <c:axId val="364691008"/>
        <c:axId val="364688056"/>
      </c:barChart>
      <c:catAx>
        <c:axId val="36469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64688056"/>
        <c:crosses val="autoZero"/>
        <c:auto val="1"/>
        <c:lblAlgn val="ctr"/>
        <c:lblOffset val="100"/>
        <c:noMultiLvlLbl val="0"/>
      </c:catAx>
      <c:valAx>
        <c:axId val="364688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Unit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646910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pieChart>
        <c:varyColors val="1"/>
        <c:ser>
          <c:idx val="0"/>
          <c:order val="0"/>
          <c:dPt>
            <c:idx val="0"/>
            <c:bubble3D val="0"/>
            <c:spPr>
              <a:solidFill>
                <a:schemeClr val="accent1"/>
              </a:solidFill>
              <a:ln>
                <a:noFill/>
              </a:ln>
              <a:effectLst/>
            </c:spPr>
            <c:extLst>
              <c:ext xmlns:c16="http://schemas.microsoft.com/office/drawing/2014/chart" uri="{C3380CC4-5D6E-409C-BE32-E72D297353CC}">
                <c16:uniqueId val="{00000001-6FA8-44CF-B223-778908EAB1DF}"/>
              </c:ext>
            </c:extLst>
          </c:dPt>
          <c:dPt>
            <c:idx val="1"/>
            <c:bubble3D val="0"/>
            <c:spPr>
              <a:solidFill>
                <a:schemeClr val="accent2"/>
              </a:solidFill>
              <a:ln>
                <a:noFill/>
              </a:ln>
              <a:effectLst/>
            </c:spPr>
            <c:extLst>
              <c:ext xmlns:c16="http://schemas.microsoft.com/office/drawing/2014/chart" uri="{C3380CC4-5D6E-409C-BE32-E72D297353CC}">
                <c16:uniqueId val="{00000003-6FA8-44CF-B223-778908EAB1DF}"/>
              </c:ext>
            </c:extLst>
          </c:dPt>
          <c:dPt>
            <c:idx val="2"/>
            <c:bubble3D val="0"/>
            <c:spPr>
              <a:solidFill>
                <a:schemeClr val="accent3"/>
              </a:solidFill>
              <a:ln>
                <a:noFill/>
              </a:ln>
              <a:effectLst/>
            </c:spPr>
            <c:extLst>
              <c:ext xmlns:c16="http://schemas.microsoft.com/office/drawing/2014/chart" uri="{C3380CC4-5D6E-409C-BE32-E72D297353CC}">
                <c16:uniqueId val="{00000005-6FA8-44CF-B223-778908EAB1DF}"/>
              </c:ext>
            </c:extLst>
          </c:dPt>
          <c:dPt>
            <c:idx val="3"/>
            <c:bubble3D val="0"/>
            <c:spPr>
              <a:solidFill>
                <a:schemeClr val="accent4"/>
              </a:solidFill>
              <a:ln>
                <a:noFill/>
              </a:ln>
              <a:effectLst/>
            </c:spPr>
            <c:extLst>
              <c:ext xmlns:c16="http://schemas.microsoft.com/office/drawing/2014/chart" uri="{C3380CC4-5D6E-409C-BE32-E72D297353CC}">
                <c16:uniqueId val="{00000007-6FA8-44CF-B223-778908EAB1DF}"/>
              </c:ext>
            </c:extLst>
          </c:dPt>
          <c:dPt>
            <c:idx val="4"/>
            <c:bubble3D val="0"/>
            <c:spPr>
              <a:solidFill>
                <a:schemeClr val="accent5"/>
              </a:solidFill>
              <a:ln>
                <a:noFill/>
              </a:ln>
              <a:effectLst/>
            </c:spPr>
            <c:extLst>
              <c:ext xmlns:c16="http://schemas.microsoft.com/office/drawing/2014/chart" uri="{C3380CC4-5D6E-409C-BE32-E72D297353CC}">
                <c16:uniqueId val="{00000009-6FA8-44CF-B223-778908EAB1DF}"/>
              </c:ext>
            </c:extLst>
          </c:dPt>
          <c:dPt>
            <c:idx val="5"/>
            <c:bubble3D val="0"/>
            <c:spPr>
              <a:solidFill>
                <a:schemeClr val="accent6"/>
              </a:solidFill>
              <a:ln>
                <a:noFill/>
              </a:ln>
              <a:effectLst/>
            </c:spPr>
            <c:extLst>
              <c:ext xmlns:c16="http://schemas.microsoft.com/office/drawing/2014/chart" uri="{C3380CC4-5D6E-409C-BE32-E72D297353CC}">
                <c16:uniqueId val="{0000000B-6FA8-44CF-B223-778908EAB1DF}"/>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Charts!$E$10:$J$10</c:f>
              <c:strCache>
                <c:ptCount val="6"/>
                <c:pt idx="0">
                  <c:v>Series 1</c:v>
                </c:pt>
                <c:pt idx="1">
                  <c:v>Series 2</c:v>
                </c:pt>
                <c:pt idx="2">
                  <c:v>Series 3</c:v>
                </c:pt>
                <c:pt idx="3">
                  <c:v>Series 4</c:v>
                </c:pt>
                <c:pt idx="4">
                  <c:v>Series 5</c:v>
                </c:pt>
                <c:pt idx="5">
                  <c:v>Series 6</c:v>
                </c:pt>
              </c:strCache>
            </c:strRef>
          </c:cat>
          <c:val>
            <c:numRef>
              <c:f>Charts!$E$11:$J$11</c:f>
              <c:numCache>
                <c:formatCode>General</c:formatCode>
                <c:ptCount val="6"/>
                <c:pt idx="0">
                  <c:v>4</c:v>
                </c:pt>
                <c:pt idx="1">
                  <c:v>6</c:v>
                </c:pt>
                <c:pt idx="2">
                  <c:v>3</c:v>
                </c:pt>
                <c:pt idx="3">
                  <c:v>7</c:v>
                </c:pt>
                <c:pt idx="4">
                  <c:v>8</c:v>
                </c:pt>
                <c:pt idx="5">
                  <c:v>9</c:v>
                </c:pt>
              </c:numCache>
            </c:numRef>
          </c:val>
          <c:extLst>
            <c:ext xmlns:c16="http://schemas.microsoft.com/office/drawing/2014/chart" uri="{C3380CC4-5D6E-409C-BE32-E72D297353CC}">
              <c16:uniqueId val="{0000000C-6FA8-44CF-B223-778908EAB1DF}"/>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barChart>
        <c:barDir val="col"/>
        <c:grouping val="clustered"/>
        <c:varyColors val="1"/>
        <c:ser>
          <c:idx val="0"/>
          <c:order val="0"/>
          <c:invertIfNegative val="0"/>
          <c:dPt>
            <c:idx val="0"/>
            <c:invertIfNegative val="0"/>
            <c:bubble3D val="0"/>
            <c:spPr>
              <a:pattFill prst="pct90">
                <a:fgClr>
                  <a:srgbClr val="002C54"/>
                </a:fgClr>
                <a:bgClr>
                  <a:schemeClr val="bg1"/>
                </a:bgClr>
              </a:pattFill>
              <a:ln>
                <a:solidFill>
                  <a:srgbClr val="002C54"/>
                </a:solidFill>
              </a:ln>
              <a:effectLst/>
            </c:spPr>
            <c:extLst>
              <c:ext xmlns:c16="http://schemas.microsoft.com/office/drawing/2014/chart" uri="{C3380CC4-5D6E-409C-BE32-E72D297353CC}">
                <c16:uniqueId val="{00000001-4F7E-47E4-8625-A1FE52578E8A}"/>
              </c:ext>
            </c:extLst>
          </c:dPt>
          <c:dPt>
            <c:idx val="1"/>
            <c:invertIfNegative val="0"/>
            <c:bubble3D val="0"/>
            <c:spPr>
              <a:pattFill prst="trellis">
                <a:fgClr>
                  <a:srgbClr val="005962"/>
                </a:fgClr>
                <a:bgClr>
                  <a:schemeClr val="bg1"/>
                </a:bgClr>
              </a:pattFill>
              <a:ln>
                <a:solidFill>
                  <a:srgbClr val="005962"/>
                </a:solidFill>
              </a:ln>
              <a:effectLst/>
            </c:spPr>
            <c:extLst>
              <c:ext xmlns:c16="http://schemas.microsoft.com/office/drawing/2014/chart" uri="{C3380CC4-5D6E-409C-BE32-E72D297353CC}">
                <c16:uniqueId val="{00000003-4F7E-47E4-8625-A1FE52578E8A}"/>
              </c:ext>
            </c:extLst>
          </c:dPt>
          <c:dPt>
            <c:idx val="2"/>
            <c:invertIfNegative val="0"/>
            <c:bubble3D val="0"/>
            <c:spPr>
              <a:pattFill prst="dkUpDiag">
                <a:fgClr>
                  <a:srgbClr val="F04E30"/>
                </a:fgClr>
                <a:bgClr>
                  <a:schemeClr val="bg1"/>
                </a:bgClr>
              </a:pattFill>
              <a:ln>
                <a:solidFill>
                  <a:srgbClr val="F04E30"/>
                </a:solidFill>
              </a:ln>
              <a:effectLst/>
            </c:spPr>
            <c:extLst>
              <c:ext xmlns:c16="http://schemas.microsoft.com/office/drawing/2014/chart" uri="{C3380CC4-5D6E-409C-BE32-E72D297353CC}">
                <c16:uniqueId val="{00000005-4F7E-47E4-8625-A1FE52578E8A}"/>
              </c:ext>
            </c:extLst>
          </c:dPt>
          <c:dPt>
            <c:idx val="3"/>
            <c:invertIfNegative val="0"/>
            <c:bubble3D val="0"/>
            <c:spPr>
              <a:pattFill prst="dkVert">
                <a:fgClr>
                  <a:srgbClr val="B2CECD"/>
                </a:fgClr>
                <a:bgClr>
                  <a:schemeClr val="bg1"/>
                </a:bgClr>
              </a:pattFill>
              <a:ln>
                <a:solidFill>
                  <a:srgbClr val="B2CECD"/>
                </a:solidFill>
              </a:ln>
              <a:effectLst/>
            </c:spPr>
            <c:extLst>
              <c:ext xmlns:c16="http://schemas.microsoft.com/office/drawing/2014/chart" uri="{C3380CC4-5D6E-409C-BE32-E72D297353CC}">
                <c16:uniqueId val="{00000007-4F7E-47E4-8625-A1FE52578E8A}"/>
              </c:ext>
            </c:extLst>
          </c:dPt>
          <c:dPt>
            <c:idx val="4"/>
            <c:invertIfNegative val="0"/>
            <c:bubble3D val="0"/>
            <c:spPr>
              <a:pattFill prst="pct60">
                <a:fgClr>
                  <a:srgbClr val="F3CD66"/>
                </a:fgClr>
                <a:bgClr>
                  <a:schemeClr val="bg1"/>
                </a:bgClr>
              </a:pattFill>
              <a:ln>
                <a:solidFill>
                  <a:srgbClr val="F3CD66"/>
                </a:solidFill>
              </a:ln>
              <a:effectLst/>
            </c:spPr>
            <c:extLst>
              <c:ext xmlns:c16="http://schemas.microsoft.com/office/drawing/2014/chart" uri="{C3380CC4-5D6E-409C-BE32-E72D297353CC}">
                <c16:uniqueId val="{00000009-4F7E-47E4-8625-A1FE52578E8A}"/>
              </c:ext>
            </c:extLst>
          </c:dPt>
          <c:dPt>
            <c:idx val="5"/>
            <c:invertIfNegative val="0"/>
            <c:bubble3D val="0"/>
            <c:spPr>
              <a:pattFill prst="dkHorz">
                <a:fgClr>
                  <a:schemeClr val="tx1"/>
                </a:fgClr>
                <a:bgClr>
                  <a:schemeClr val="bg1"/>
                </a:bgClr>
              </a:pattFill>
              <a:ln>
                <a:solidFill>
                  <a:schemeClr val="tx1"/>
                </a:solidFill>
              </a:ln>
              <a:effectLst/>
            </c:spPr>
            <c:extLst>
              <c:ext xmlns:c16="http://schemas.microsoft.com/office/drawing/2014/chart" uri="{C3380CC4-5D6E-409C-BE32-E72D297353CC}">
                <c16:uniqueId val="{0000000B-4F7E-47E4-8625-A1FE52578E8A}"/>
              </c:ext>
            </c:extLst>
          </c:dPt>
          <c:cat>
            <c:strRef>
              <c:f>Charts!$E$10:$J$10</c:f>
              <c:strCache>
                <c:ptCount val="6"/>
                <c:pt idx="0">
                  <c:v>Series 1</c:v>
                </c:pt>
                <c:pt idx="1">
                  <c:v>Series 2</c:v>
                </c:pt>
                <c:pt idx="2">
                  <c:v>Series 3</c:v>
                </c:pt>
                <c:pt idx="3">
                  <c:v>Series 4</c:v>
                </c:pt>
                <c:pt idx="4">
                  <c:v>Series 5</c:v>
                </c:pt>
                <c:pt idx="5">
                  <c:v>Series 6</c:v>
                </c:pt>
              </c:strCache>
            </c:strRef>
          </c:cat>
          <c:val>
            <c:numRef>
              <c:f>Charts!$E$11:$J$11</c:f>
              <c:numCache>
                <c:formatCode>General</c:formatCode>
                <c:ptCount val="6"/>
                <c:pt idx="0">
                  <c:v>4</c:v>
                </c:pt>
                <c:pt idx="1">
                  <c:v>6</c:v>
                </c:pt>
                <c:pt idx="2">
                  <c:v>3</c:v>
                </c:pt>
                <c:pt idx="3">
                  <c:v>7</c:v>
                </c:pt>
                <c:pt idx="4">
                  <c:v>8</c:v>
                </c:pt>
                <c:pt idx="5">
                  <c:v>9</c:v>
                </c:pt>
              </c:numCache>
            </c:numRef>
          </c:val>
          <c:extLst>
            <c:ext xmlns:c16="http://schemas.microsoft.com/office/drawing/2014/chart" uri="{C3380CC4-5D6E-409C-BE32-E72D297353CC}">
              <c16:uniqueId val="{0000000C-4F7E-47E4-8625-A1FE52578E8A}"/>
            </c:ext>
          </c:extLst>
        </c:ser>
        <c:dLbls>
          <c:showLegendKey val="0"/>
          <c:showVal val="0"/>
          <c:showCatName val="0"/>
          <c:showSerName val="0"/>
          <c:showPercent val="0"/>
          <c:showBubbleSize val="0"/>
        </c:dLbls>
        <c:gapWidth val="219"/>
        <c:overlap val="-27"/>
        <c:axId val="364691008"/>
        <c:axId val="364688056"/>
      </c:barChart>
      <c:catAx>
        <c:axId val="36469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64688056"/>
        <c:crosses val="autoZero"/>
        <c:auto val="1"/>
        <c:lblAlgn val="ctr"/>
        <c:lblOffset val="100"/>
        <c:noMultiLvlLbl val="0"/>
      </c:catAx>
      <c:valAx>
        <c:axId val="364688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Unit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646910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pieChart>
        <c:varyColors val="1"/>
        <c:ser>
          <c:idx val="0"/>
          <c:order val="0"/>
          <c:dPt>
            <c:idx val="0"/>
            <c:bubble3D val="0"/>
            <c:spPr>
              <a:pattFill prst="pct90">
                <a:fgClr>
                  <a:srgbClr val="002C54"/>
                </a:fgClr>
                <a:bgClr>
                  <a:schemeClr val="bg1"/>
                </a:bgClr>
              </a:pattFill>
              <a:ln>
                <a:solidFill>
                  <a:srgbClr val="002C54"/>
                </a:solidFill>
              </a:ln>
              <a:effectLst/>
            </c:spPr>
            <c:extLst>
              <c:ext xmlns:c16="http://schemas.microsoft.com/office/drawing/2014/chart" uri="{C3380CC4-5D6E-409C-BE32-E72D297353CC}">
                <c16:uniqueId val="{00000001-0B91-4AC6-B8AE-85AC358DA1D7}"/>
              </c:ext>
            </c:extLst>
          </c:dPt>
          <c:dPt>
            <c:idx val="1"/>
            <c:bubble3D val="0"/>
            <c:spPr>
              <a:pattFill prst="trellis">
                <a:fgClr>
                  <a:srgbClr val="005962"/>
                </a:fgClr>
                <a:bgClr>
                  <a:schemeClr val="bg1"/>
                </a:bgClr>
              </a:pattFill>
              <a:ln>
                <a:solidFill>
                  <a:srgbClr val="005962"/>
                </a:solidFill>
              </a:ln>
              <a:effectLst/>
            </c:spPr>
            <c:extLst>
              <c:ext xmlns:c16="http://schemas.microsoft.com/office/drawing/2014/chart" uri="{C3380CC4-5D6E-409C-BE32-E72D297353CC}">
                <c16:uniqueId val="{00000003-0B91-4AC6-B8AE-85AC358DA1D7}"/>
              </c:ext>
            </c:extLst>
          </c:dPt>
          <c:dPt>
            <c:idx val="2"/>
            <c:bubble3D val="0"/>
            <c:spPr>
              <a:pattFill prst="dkUpDiag">
                <a:fgClr>
                  <a:srgbClr val="F04E30"/>
                </a:fgClr>
                <a:bgClr>
                  <a:schemeClr val="bg1"/>
                </a:bgClr>
              </a:pattFill>
              <a:ln>
                <a:solidFill>
                  <a:srgbClr val="F04E30"/>
                </a:solidFill>
              </a:ln>
              <a:effectLst/>
            </c:spPr>
            <c:extLst>
              <c:ext xmlns:c16="http://schemas.microsoft.com/office/drawing/2014/chart" uri="{C3380CC4-5D6E-409C-BE32-E72D297353CC}">
                <c16:uniqueId val="{00000005-0B91-4AC6-B8AE-85AC358DA1D7}"/>
              </c:ext>
            </c:extLst>
          </c:dPt>
          <c:dPt>
            <c:idx val="3"/>
            <c:bubble3D val="0"/>
            <c:spPr>
              <a:pattFill prst="dkVert">
                <a:fgClr>
                  <a:srgbClr val="B2CECD"/>
                </a:fgClr>
                <a:bgClr>
                  <a:schemeClr val="bg1"/>
                </a:bgClr>
              </a:pattFill>
              <a:ln>
                <a:solidFill>
                  <a:srgbClr val="B2CECD"/>
                </a:solidFill>
              </a:ln>
              <a:effectLst/>
            </c:spPr>
            <c:extLst>
              <c:ext xmlns:c16="http://schemas.microsoft.com/office/drawing/2014/chart" uri="{C3380CC4-5D6E-409C-BE32-E72D297353CC}">
                <c16:uniqueId val="{00000007-0B91-4AC6-B8AE-85AC358DA1D7}"/>
              </c:ext>
            </c:extLst>
          </c:dPt>
          <c:dPt>
            <c:idx val="4"/>
            <c:bubble3D val="0"/>
            <c:spPr>
              <a:pattFill prst="pct60">
                <a:fgClr>
                  <a:srgbClr val="F3CD66"/>
                </a:fgClr>
                <a:bgClr>
                  <a:schemeClr val="bg1"/>
                </a:bgClr>
              </a:pattFill>
              <a:ln>
                <a:solidFill>
                  <a:srgbClr val="F3CD66"/>
                </a:solidFill>
              </a:ln>
              <a:effectLst/>
            </c:spPr>
            <c:extLst>
              <c:ext xmlns:c16="http://schemas.microsoft.com/office/drawing/2014/chart" uri="{C3380CC4-5D6E-409C-BE32-E72D297353CC}">
                <c16:uniqueId val="{00000009-0B91-4AC6-B8AE-85AC358DA1D7}"/>
              </c:ext>
            </c:extLst>
          </c:dPt>
          <c:dPt>
            <c:idx val="5"/>
            <c:bubble3D val="0"/>
            <c:spPr>
              <a:pattFill prst="dkHorz">
                <a:fgClr>
                  <a:schemeClr val="tx1"/>
                </a:fgClr>
                <a:bgClr>
                  <a:schemeClr val="bg1"/>
                </a:bgClr>
              </a:pattFill>
              <a:ln>
                <a:solidFill>
                  <a:schemeClr val="tx1"/>
                </a:solidFill>
              </a:ln>
              <a:effectLst/>
            </c:spPr>
            <c:extLst>
              <c:ext xmlns:c16="http://schemas.microsoft.com/office/drawing/2014/chart" uri="{C3380CC4-5D6E-409C-BE32-E72D297353CC}">
                <c16:uniqueId val="{0000000B-0B91-4AC6-B8AE-85AC358DA1D7}"/>
              </c:ext>
            </c:extLst>
          </c:dPt>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outEnd"/>
            <c:showLegendKey val="0"/>
            <c:showVal val="1"/>
            <c:showCatName val="1"/>
            <c:showSerName val="0"/>
            <c:showPercent val="0"/>
            <c:showBubbleSize val="0"/>
            <c:showLeaderLines val="1"/>
            <c:leaderLines>
              <c:spPr>
                <a:ln w="9525" cap="flat" cmpd="sng" algn="ctr">
                  <a:solidFill>
                    <a:schemeClr val="tx1">
                      <a:lumMod val="35000"/>
                      <a:lumOff val="65000"/>
                    </a:schemeClr>
                  </a:solidFill>
                  <a:round/>
                </a:ln>
                <a:effectLst/>
              </c:spPr>
            </c:leaderLines>
            <c:extLst>
              <c:ext xmlns:c15="http://schemas.microsoft.com/office/drawing/2012/chart" uri="{CE6537A1-D6FC-4f65-9D91-7224C49458BB}"/>
            </c:extLst>
          </c:dLbls>
          <c:cat>
            <c:strRef>
              <c:f>Charts!$E$10:$J$10</c:f>
              <c:strCache>
                <c:ptCount val="6"/>
                <c:pt idx="0">
                  <c:v>Series 1</c:v>
                </c:pt>
                <c:pt idx="1">
                  <c:v>Series 2</c:v>
                </c:pt>
                <c:pt idx="2">
                  <c:v>Series 3</c:v>
                </c:pt>
                <c:pt idx="3">
                  <c:v>Series 4</c:v>
                </c:pt>
                <c:pt idx="4">
                  <c:v>Series 5</c:v>
                </c:pt>
                <c:pt idx="5">
                  <c:v>Series 6</c:v>
                </c:pt>
              </c:strCache>
            </c:strRef>
          </c:cat>
          <c:val>
            <c:numRef>
              <c:f>Charts!$E$11:$J$11</c:f>
              <c:numCache>
                <c:formatCode>General</c:formatCode>
                <c:ptCount val="6"/>
                <c:pt idx="0">
                  <c:v>4</c:v>
                </c:pt>
                <c:pt idx="1">
                  <c:v>6</c:v>
                </c:pt>
                <c:pt idx="2">
                  <c:v>3</c:v>
                </c:pt>
                <c:pt idx="3">
                  <c:v>7</c:v>
                </c:pt>
                <c:pt idx="4">
                  <c:v>8</c:v>
                </c:pt>
                <c:pt idx="5">
                  <c:v>9</c:v>
                </c:pt>
              </c:numCache>
            </c:numRef>
          </c:val>
          <c:extLst>
            <c:ext xmlns:c16="http://schemas.microsoft.com/office/drawing/2014/chart" uri="{C3380CC4-5D6E-409C-BE32-E72D297353CC}">
              <c16:uniqueId val="{0000000C-0B91-4AC6-B8AE-85AC358DA1D7}"/>
            </c:ext>
          </c:extLst>
        </c:ser>
        <c:dLbls>
          <c:showLegendKey val="0"/>
          <c:showVal val="0"/>
          <c:showCatName val="0"/>
          <c:showSerName val="0"/>
          <c:showPercent val="0"/>
          <c:showBubbleSize val="0"/>
          <c:showLeaderLines val="1"/>
        </c:dLbls>
        <c:firstSliceAng val="0"/>
      </c:pieChart>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et-EE"/>
        </a:p>
      </c:txPr>
    </c:title>
    <c:autoTitleDeleted val="0"/>
    <c:plotArea>
      <c:layout/>
      <c:lineChart>
        <c:grouping val="standard"/>
        <c:varyColors val="1"/>
        <c:ser>
          <c:idx val="0"/>
          <c:order val="0"/>
          <c:tx>
            <c:strRef>
              <c:f>Charts!$E$10</c:f>
              <c:strCache>
                <c:ptCount val="1"/>
                <c:pt idx="0">
                  <c:v>Series 1</c:v>
                </c:pt>
              </c:strCache>
            </c:strRef>
          </c:tx>
          <c:spPr>
            <a:ln w="28575" cap="rnd">
              <a:solidFill>
                <a:schemeClr val="accent1"/>
              </a:solidFill>
              <a:round/>
            </a:ln>
            <a:effectLst/>
          </c:spPr>
          <c:marker>
            <c:symbol val="none"/>
          </c:marker>
          <c:dPt>
            <c:idx val="0"/>
            <c:marker>
              <c:symbol val="none"/>
            </c:marker>
            <c:bubble3D val="0"/>
            <c:spPr>
              <a:ln w="28575" cap="rnd">
                <a:solidFill>
                  <a:schemeClr val="accent1"/>
                </a:solidFill>
                <a:round/>
              </a:ln>
              <a:effectLst/>
            </c:spPr>
            <c:extLst>
              <c:ext xmlns:c16="http://schemas.microsoft.com/office/drawing/2014/chart" uri="{C3380CC4-5D6E-409C-BE32-E72D297353CC}">
                <c16:uniqueId val="{00000001-7609-4460-B6CA-71B9195FC36F}"/>
              </c:ext>
            </c:extLst>
          </c:dPt>
          <c:dPt>
            <c:idx val="1"/>
            <c:marker>
              <c:symbol val="none"/>
            </c:marker>
            <c:bubble3D val="0"/>
            <c:spPr>
              <a:ln w="28575" cap="rnd">
                <a:solidFill>
                  <a:schemeClr val="accent1"/>
                </a:solidFill>
                <a:round/>
              </a:ln>
              <a:effectLst/>
            </c:spPr>
            <c:extLst>
              <c:ext xmlns:c16="http://schemas.microsoft.com/office/drawing/2014/chart" uri="{C3380CC4-5D6E-409C-BE32-E72D297353CC}">
                <c16:uniqueId val="{00000003-7609-4460-B6CA-71B9195FC36F}"/>
              </c:ext>
            </c:extLst>
          </c:dPt>
          <c:dPt>
            <c:idx val="2"/>
            <c:marker>
              <c:symbol val="none"/>
            </c:marker>
            <c:bubble3D val="0"/>
            <c:spPr>
              <a:ln w="28575" cap="rnd">
                <a:solidFill>
                  <a:schemeClr val="accent1"/>
                </a:solidFill>
                <a:round/>
              </a:ln>
              <a:effectLst/>
            </c:spPr>
            <c:extLst>
              <c:ext xmlns:c16="http://schemas.microsoft.com/office/drawing/2014/chart" uri="{C3380CC4-5D6E-409C-BE32-E72D297353CC}">
                <c16:uniqueId val="{00000005-7609-4460-B6CA-71B9195FC36F}"/>
              </c:ext>
            </c:extLst>
          </c:dPt>
          <c:dPt>
            <c:idx val="3"/>
            <c:marker>
              <c:symbol val="none"/>
            </c:marker>
            <c:bubble3D val="0"/>
            <c:spPr>
              <a:ln w="28575" cap="rnd">
                <a:solidFill>
                  <a:schemeClr val="accent1"/>
                </a:solidFill>
                <a:round/>
              </a:ln>
              <a:effectLst/>
            </c:spPr>
            <c:extLst>
              <c:ext xmlns:c16="http://schemas.microsoft.com/office/drawing/2014/chart" uri="{C3380CC4-5D6E-409C-BE32-E72D297353CC}">
                <c16:uniqueId val="{00000007-7609-4460-B6CA-71B9195FC36F}"/>
              </c:ext>
            </c:extLst>
          </c:dPt>
          <c:dPt>
            <c:idx val="4"/>
            <c:marker>
              <c:symbol val="none"/>
            </c:marker>
            <c:bubble3D val="0"/>
            <c:spPr>
              <a:ln w="28575" cap="rnd">
                <a:solidFill>
                  <a:schemeClr val="accent1"/>
                </a:solidFill>
                <a:round/>
              </a:ln>
              <a:effectLst/>
            </c:spPr>
            <c:extLst>
              <c:ext xmlns:c16="http://schemas.microsoft.com/office/drawing/2014/chart" uri="{C3380CC4-5D6E-409C-BE32-E72D297353CC}">
                <c16:uniqueId val="{00000009-7609-4460-B6CA-71B9195FC36F}"/>
              </c:ext>
            </c:extLst>
          </c:dPt>
          <c:dPt>
            <c:idx val="5"/>
            <c:marker>
              <c:symbol val="none"/>
            </c:marker>
            <c:bubble3D val="0"/>
            <c:spPr>
              <a:ln w="28575" cap="rnd">
                <a:solidFill>
                  <a:schemeClr val="accent1"/>
                </a:solidFill>
                <a:round/>
              </a:ln>
              <a:effectLst/>
            </c:spPr>
            <c:extLst>
              <c:ext xmlns:c16="http://schemas.microsoft.com/office/drawing/2014/chart" uri="{C3380CC4-5D6E-409C-BE32-E72D297353CC}">
                <c16:uniqueId val="{0000000B-7609-4460-B6CA-71B9195FC36F}"/>
              </c:ext>
            </c:extLst>
          </c:dPt>
          <c:cat>
            <c:numRef>
              <c:f>Charts!$D$11:$D$13</c:f>
              <c:numCache>
                <c:formatCode>General</c:formatCode>
                <c:ptCount val="3"/>
                <c:pt idx="0">
                  <c:v>2006</c:v>
                </c:pt>
                <c:pt idx="1">
                  <c:v>2007</c:v>
                </c:pt>
                <c:pt idx="2">
                  <c:v>2008</c:v>
                </c:pt>
              </c:numCache>
            </c:numRef>
          </c:cat>
          <c:val>
            <c:numRef>
              <c:f>Charts!$E$11:$E$13</c:f>
              <c:numCache>
                <c:formatCode>General</c:formatCode>
                <c:ptCount val="3"/>
                <c:pt idx="0">
                  <c:v>4</c:v>
                </c:pt>
                <c:pt idx="1">
                  <c:v>5</c:v>
                </c:pt>
                <c:pt idx="2">
                  <c:v>6</c:v>
                </c:pt>
              </c:numCache>
            </c:numRef>
          </c:val>
          <c:smooth val="0"/>
          <c:extLst>
            <c:ext xmlns:c16="http://schemas.microsoft.com/office/drawing/2014/chart" uri="{C3380CC4-5D6E-409C-BE32-E72D297353CC}">
              <c16:uniqueId val="{0000000C-7609-4460-B6CA-71B9195FC36F}"/>
            </c:ext>
          </c:extLst>
        </c:ser>
        <c:ser>
          <c:idx val="1"/>
          <c:order val="1"/>
          <c:tx>
            <c:strRef>
              <c:f>Charts!$F$10</c:f>
              <c:strCache>
                <c:ptCount val="1"/>
                <c:pt idx="0">
                  <c:v>Series 2</c:v>
                </c:pt>
              </c:strCache>
            </c:strRef>
          </c:tx>
          <c:spPr>
            <a:ln w="28575" cap="rnd">
              <a:solidFill>
                <a:schemeClr val="accent2"/>
              </a:solidFill>
              <a:round/>
            </a:ln>
            <a:effectLst/>
          </c:spPr>
          <c:marker>
            <c:symbol val="none"/>
          </c:marker>
          <c:cat>
            <c:numRef>
              <c:f>Charts!$D$11:$D$13</c:f>
              <c:numCache>
                <c:formatCode>General</c:formatCode>
                <c:ptCount val="3"/>
                <c:pt idx="0">
                  <c:v>2006</c:v>
                </c:pt>
                <c:pt idx="1">
                  <c:v>2007</c:v>
                </c:pt>
                <c:pt idx="2">
                  <c:v>2008</c:v>
                </c:pt>
              </c:numCache>
            </c:numRef>
          </c:cat>
          <c:val>
            <c:numRef>
              <c:f>Charts!$F$11:$F$13</c:f>
              <c:numCache>
                <c:formatCode>General</c:formatCode>
                <c:ptCount val="3"/>
                <c:pt idx="0">
                  <c:v>6</c:v>
                </c:pt>
                <c:pt idx="1">
                  <c:v>23</c:v>
                </c:pt>
                <c:pt idx="2">
                  <c:v>4</c:v>
                </c:pt>
              </c:numCache>
            </c:numRef>
          </c:val>
          <c:smooth val="0"/>
          <c:extLst>
            <c:ext xmlns:c16="http://schemas.microsoft.com/office/drawing/2014/chart" uri="{C3380CC4-5D6E-409C-BE32-E72D297353CC}">
              <c16:uniqueId val="{0000000D-7609-4460-B6CA-71B9195FC36F}"/>
            </c:ext>
          </c:extLst>
        </c:ser>
        <c:ser>
          <c:idx val="2"/>
          <c:order val="2"/>
          <c:tx>
            <c:strRef>
              <c:f>Charts!$G$10</c:f>
              <c:strCache>
                <c:ptCount val="1"/>
                <c:pt idx="0">
                  <c:v>Series 3</c:v>
                </c:pt>
              </c:strCache>
            </c:strRef>
          </c:tx>
          <c:spPr>
            <a:ln w="28575" cap="rnd">
              <a:solidFill>
                <a:schemeClr val="accent3"/>
              </a:solidFill>
              <a:round/>
            </a:ln>
            <a:effectLst/>
          </c:spPr>
          <c:marker>
            <c:symbol val="none"/>
          </c:marker>
          <c:cat>
            <c:numRef>
              <c:f>Charts!$D$11:$D$13</c:f>
              <c:numCache>
                <c:formatCode>General</c:formatCode>
                <c:ptCount val="3"/>
                <c:pt idx="0">
                  <c:v>2006</c:v>
                </c:pt>
                <c:pt idx="1">
                  <c:v>2007</c:v>
                </c:pt>
                <c:pt idx="2">
                  <c:v>2008</c:v>
                </c:pt>
              </c:numCache>
            </c:numRef>
          </c:cat>
          <c:val>
            <c:numRef>
              <c:f>Charts!$G$11:$G$13</c:f>
              <c:numCache>
                <c:formatCode>General</c:formatCode>
                <c:ptCount val="3"/>
                <c:pt idx="0">
                  <c:v>3</c:v>
                </c:pt>
                <c:pt idx="1">
                  <c:v>7</c:v>
                </c:pt>
                <c:pt idx="2">
                  <c:v>6</c:v>
                </c:pt>
              </c:numCache>
            </c:numRef>
          </c:val>
          <c:smooth val="0"/>
          <c:extLst>
            <c:ext xmlns:c16="http://schemas.microsoft.com/office/drawing/2014/chart" uri="{C3380CC4-5D6E-409C-BE32-E72D297353CC}">
              <c16:uniqueId val="{0000000E-7609-4460-B6CA-71B9195FC36F}"/>
            </c:ext>
          </c:extLst>
        </c:ser>
        <c:ser>
          <c:idx val="3"/>
          <c:order val="3"/>
          <c:tx>
            <c:strRef>
              <c:f>Charts!$H$10</c:f>
              <c:strCache>
                <c:ptCount val="1"/>
                <c:pt idx="0">
                  <c:v>Series 4</c:v>
                </c:pt>
              </c:strCache>
            </c:strRef>
          </c:tx>
          <c:spPr>
            <a:ln w="28575" cap="rnd">
              <a:solidFill>
                <a:schemeClr val="accent4"/>
              </a:solidFill>
              <a:round/>
            </a:ln>
            <a:effectLst/>
          </c:spPr>
          <c:marker>
            <c:symbol val="none"/>
          </c:marker>
          <c:cat>
            <c:numRef>
              <c:f>Charts!$D$11:$D$13</c:f>
              <c:numCache>
                <c:formatCode>General</c:formatCode>
                <c:ptCount val="3"/>
                <c:pt idx="0">
                  <c:v>2006</c:v>
                </c:pt>
                <c:pt idx="1">
                  <c:v>2007</c:v>
                </c:pt>
                <c:pt idx="2">
                  <c:v>2008</c:v>
                </c:pt>
              </c:numCache>
            </c:numRef>
          </c:cat>
          <c:val>
            <c:numRef>
              <c:f>Charts!$H$11:$H$13</c:f>
              <c:numCache>
                <c:formatCode>General</c:formatCode>
                <c:ptCount val="3"/>
                <c:pt idx="0">
                  <c:v>7</c:v>
                </c:pt>
                <c:pt idx="1">
                  <c:v>23</c:v>
                </c:pt>
                <c:pt idx="2">
                  <c:v>4</c:v>
                </c:pt>
              </c:numCache>
            </c:numRef>
          </c:val>
          <c:smooth val="0"/>
          <c:extLst>
            <c:ext xmlns:c16="http://schemas.microsoft.com/office/drawing/2014/chart" uri="{C3380CC4-5D6E-409C-BE32-E72D297353CC}">
              <c16:uniqueId val="{0000000F-7609-4460-B6CA-71B9195FC36F}"/>
            </c:ext>
          </c:extLst>
        </c:ser>
        <c:ser>
          <c:idx val="4"/>
          <c:order val="4"/>
          <c:tx>
            <c:strRef>
              <c:f>Charts!$I$10</c:f>
              <c:strCache>
                <c:ptCount val="1"/>
                <c:pt idx="0">
                  <c:v>Series 5</c:v>
                </c:pt>
              </c:strCache>
            </c:strRef>
          </c:tx>
          <c:spPr>
            <a:ln w="28575" cap="rnd">
              <a:solidFill>
                <a:schemeClr val="accent5"/>
              </a:solidFill>
              <a:round/>
            </a:ln>
            <a:effectLst/>
          </c:spPr>
          <c:marker>
            <c:symbol val="none"/>
          </c:marker>
          <c:cat>
            <c:numRef>
              <c:f>Charts!$D$11:$D$13</c:f>
              <c:numCache>
                <c:formatCode>General</c:formatCode>
                <c:ptCount val="3"/>
                <c:pt idx="0">
                  <c:v>2006</c:v>
                </c:pt>
                <c:pt idx="1">
                  <c:v>2007</c:v>
                </c:pt>
                <c:pt idx="2">
                  <c:v>2008</c:v>
                </c:pt>
              </c:numCache>
            </c:numRef>
          </c:cat>
          <c:val>
            <c:numRef>
              <c:f>Charts!$I$11:$I$13</c:f>
              <c:numCache>
                <c:formatCode>General</c:formatCode>
                <c:ptCount val="3"/>
                <c:pt idx="0">
                  <c:v>8</c:v>
                </c:pt>
                <c:pt idx="1">
                  <c:v>5</c:v>
                </c:pt>
                <c:pt idx="2">
                  <c:v>8</c:v>
                </c:pt>
              </c:numCache>
            </c:numRef>
          </c:val>
          <c:smooth val="0"/>
          <c:extLst>
            <c:ext xmlns:c16="http://schemas.microsoft.com/office/drawing/2014/chart" uri="{C3380CC4-5D6E-409C-BE32-E72D297353CC}">
              <c16:uniqueId val="{00000010-7609-4460-B6CA-71B9195FC36F}"/>
            </c:ext>
          </c:extLst>
        </c:ser>
        <c:ser>
          <c:idx val="5"/>
          <c:order val="5"/>
          <c:tx>
            <c:strRef>
              <c:f>Charts!$J$10</c:f>
              <c:strCache>
                <c:ptCount val="1"/>
                <c:pt idx="0">
                  <c:v>Series 6</c:v>
                </c:pt>
              </c:strCache>
            </c:strRef>
          </c:tx>
          <c:spPr>
            <a:ln w="28575" cap="rnd">
              <a:solidFill>
                <a:schemeClr val="accent6"/>
              </a:solidFill>
              <a:round/>
            </a:ln>
            <a:effectLst/>
          </c:spPr>
          <c:marker>
            <c:symbol val="none"/>
          </c:marker>
          <c:cat>
            <c:numRef>
              <c:f>Charts!$D$11:$D$13</c:f>
              <c:numCache>
                <c:formatCode>General</c:formatCode>
                <c:ptCount val="3"/>
                <c:pt idx="0">
                  <c:v>2006</c:v>
                </c:pt>
                <c:pt idx="1">
                  <c:v>2007</c:v>
                </c:pt>
                <c:pt idx="2">
                  <c:v>2008</c:v>
                </c:pt>
              </c:numCache>
            </c:numRef>
          </c:cat>
          <c:val>
            <c:numRef>
              <c:f>Charts!$J$11:$J$13</c:f>
              <c:numCache>
                <c:formatCode>General</c:formatCode>
                <c:ptCount val="3"/>
                <c:pt idx="0">
                  <c:v>9</c:v>
                </c:pt>
                <c:pt idx="1">
                  <c:v>9</c:v>
                </c:pt>
                <c:pt idx="2">
                  <c:v>3</c:v>
                </c:pt>
              </c:numCache>
            </c:numRef>
          </c:val>
          <c:smooth val="0"/>
          <c:extLst>
            <c:ext xmlns:c16="http://schemas.microsoft.com/office/drawing/2014/chart" uri="{C3380CC4-5D6E-409C-BE32-E72D297353CC}">
              <c16:uniqueId val="{00000011-7609-4460-B6CA-71B9195FC36F}"/>
            </c:ext>
          </c:extLst>
        </c:ser>
        <c:dLbls>
          <c:showLegendKey val="0"/>
          <c:showVal val="0"/>
          <c:showCatName val="0"/>
          <c:showSerName val="0"/>
          <c:showPercent val="0"/>
          <c:showBubbleSize val="0"/>
        </c:dLbls>
        <c:smooth val="0"/>
        <c:axId val="364691008"/>
        <c:axId val="364688056"/>
      </c:lineChart>
      <c:catAx>
        <c:axId val="364691008"/>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64688056"/>
        <c:crosses val="autoZero"/>
        <c:auto val="1"/>
        <c:lblAlgn val="ctr"/>
        <c:lblOffset val="100"/>
        <c:noMultiLvlLbl val="0"/>
      </c:catAx>
      <c:valAx>
        <c:axId val="364688056"/>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r>
                  <a:rPr lang="en-GB"/>
                  <a:t>Unit</a:t>
                </a:r>
              </a:p>
            </c:rich>
          </c:tx>
          <c:overlay val="0"/>
          <c:spPr>
            <a:noFill/>
            <a:ln>
              <a:noFill/>
            </a:ln>
            <a:effectLst/>
          </c:spPr>
          <c:txPr>
            <a:bodyPr rot="-5400000" spcFirstLastPara="1" vertOverflow="ellipsis" vert="horz"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et-EE"/>
            </a:p>
          </c:txPr>
        </c:title>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t-EE"/>
          </a:p>
        </c:txPr>
        <c:crossAx val="36469100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'Exec. Sum'!$C$159:$C$160</c:f>
              <c:strCache>
                <c:ptCount val="2"/>
                <c:pt idx="0">
                  <c:v>Residential</c:v>
                </c:pt>
                <c:pt idx="1">
                  <c:v>Deep</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Sum'!$B$161:$B$167</c:f>
              <c:strCache>
                <c:ptCount val="7"/>
                <c:pt idx="0">
                  <c:v>Baseline</c:v>
                </c:pt>
                <c:pt idx="1">
                  <c:v>EEO</c:v>
                </c:pt>
                <c:pt idx="2">
                  <c:v>VA</c:v>
                </c:pt>
                <c:pt idx="3">
                  <c:v>RenoWave</c:v>
                </c:pt>
                <c:pt idx="4">
                  <c:v>EET</c:v>
                </c:pt>
                <c:pt idx="5">
                  <c:v>CEER1</c:v>
                </c:pt>
                <c:pt idx="6">
                  <c:v>CEER2</c:v>
                </c:pt>
              </c:strCache>
            </c:strRef>
          </c:cat>
          <c:val>
            <c:numRef>
              <c:f>'Exec. Sum'!$C$161:$C$167</c:f>
              <c:numCache>
                <c:formatCode>0</c:formatCode>
                <c:ptCount val="7"/>
                <c:pt idx="0">
                  <c:v>3.2285647548488776</c:v>
                </c:pt>
                <c:pt idx="1">
                  <c:v>5.4460616860848736</c:v>
                </c:pt>
                <c:pt idx="2">
                  <c:v>14.574757386339728</c:v>
                </c:pt>
                <c:pt idx="3">
                  <c:v>23.777369650969117</c:v>
                </c:pt>
                <c:pt idx="4">
                  <c:v>12.726843276976398</c:v>
                </c:pt>
                <c:pt idx="5">
                  <c:v>18.344502169440926</c:v>
                </c:pt>
                <c:pt idx="6">
                  <c:v>25.920950017830581</c:v>
                </c:pt>
              </c:numCache>
            </c:numRef>
          </c:val>
          <c:extLst>
            <c:ext xmlns:c16="http://schemas.microsoft.com/office/drawing/2014/chart" uri="{C3380CC4-5D6E-409C-BE32-E72D297353CC}">
              <c16:uniqueId val="{00000000-8E50-4EEE-B77E-2CD49B39BEDE}"/>
            </c:ext>
          </c:extLst>
        </c:ser>
        <c:ser>
          <c:idx val="1"/>
          <c:order val="1"/>
          <c:tx>
            <c:strRef>
              <c:f>'Exec. Sum'!$D$159:$D$160</c:f>
              <c:strCache>
                <c:ptCount val="2"/>
                <c:pt idx="0">
                  <c:v>Residential</c:v>
                </c:pt>
                <c:pt idx="1">
                  <c:v>Shallow</c:v>
                </c:pt>
              </c:strCache>
            </c:strRef>
          </c:tx>
          <c:spPr>
            <a:solidFill>
              <a:schemeClr val="accent1">
                <a:lumMod val="25000"/>
                <a:lumOff val="75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Sum'!$B$161:$B$167</c:f>
              <c:strCache>
                <c:ptCount val="7"/>
                <c:pt idx="0">
                  <c:v>Baseline</c:v>
                </c:pt>
                <c:pt idx="1">
                  <c:v>EEO</c:v>
                </c:pt>
                <c:pt idx="2">
                  <c:v>VA</c:v>
                </c:pt>
                <c:pt idx="3">
                  <c:v>RenoWave</c:v>
                </c:pt>
                <c:pt idx="4">
                  <c:v>EET</c:v>
                </c:pt>
                <c:pt idx="5">
                  <c:v>CEER1</c:v>
                </c:pt>
                <c:pt idx="6">
                  <c:v>CEER2</c:v>
                </c:pt>
              </c:strCache>
            </c:strRef>
          </c:cat>
          <c:val>
            <c:numRef>
              <c:f>'Exec. Sum'!$D$161:$D$167</c:f>
              <c:numCache>
                <c:formatCode>0</c:formatCode>
                <c:ptCount val="7"/>
                <c:pt idx="0">
                  <c:v>0</c:v>
                </c:pt>
                <c:pt idx="1">
                  <c:v>27.689311594202891</c:v>
                </c:pt>
                <c:pt idx="2">
                  <c:v>10.3125</c:v>
                </c:pt>
                <c:pt idx="3">
                  <c:v>33.859375</c:v>
                </c:pt>
                <c:pt idx="4">
                  <c:v>10.3125</c:v>
                </c:pt>
                <c:pt idx="5">
                  <c:v>10.3125</c:v>
                </c:pt>
                <c:pt idx="6">
                  <c:v>10.3125</c:v>
                </c:pt>
              </c:numCache>
            </c:numRef>
          </c:val>
          <c:extLst>
            <c:ext xmlns:c16="http://schemas.microsoft.com/office/drawing/2014/chart" uri="{C3380CC4-5D6E-409C-BE32-E72D297353CC}">
              <c16:uniqueId val="{00000001-8E50-4EEE-B77E-2CD49B39BEDE}"/>
            </c:ext>
          </c:extLst>
        </c:ser>
        <c:ser>
          <c:idx val="2"/>
          <c:order val="2"/>
          <c:tx>
            <c:strRef>
              <c:f>'Exec. Sum'!$E$159:$E$160</c:f>
              <c:strCache>
                <c:ptCount val="2"/>
                <c:pt idx="0">
                  <c:v>Non-residential</c:v>
                </c:pt>
                <c:pt idx="1">
                  <c:v>Deep</c:v>
                </c:pt>
              </c:strCache>
            </c:strRef>
          </c:tx>
          <c:spPr>
            <a:solidFill>
              <a:schemeClr val="accent3"/>
            </a:solidFill>
            <a:ln>
              <a:noFill/>
            </a:ln>
            <a:effectLst/>
          </c:spPr>
          <c:invertIfNegative val="0"/>
          <c:dLbls>
            <c:dLbl>
              <c:idx val="0"/>
              <c:layout>
                <c:manualLayout>
                  <c:x val="-1.9600733386302475E-17"/>
                  <c:y val="5.0364795619978225E-2"/>
                </c:manualLayout>
              </c:layout>
              <c:dLblPos val="outEnd"/>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8E50-4EEE-B77E-2CD49B39BE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Sum'!$B$161:$B$167</c:f>
              <c:strCache>
                <c:ptCount val="7"/>
                <c:pt idx="0">
                  <c:v>Baseline</c:v>
                </c:pt>
                <c:pt idx="1">
                  <c:v>EEO</c:v>
                </c:pt>
                <c:pt idx="2">
                  <c:v>VA</c:v>
                </c:pt>
                <c:pt idx="3">
                  <c:v>RenoWave</c:v>
                </c:pt>
                <c:pt idx="4">
                  <c:v>EET</c:v>
                </c:pt>
                <c:pt idx="5">
                  <c:v>CEER1</c:v>
                </c:pt>
                <c:pt idx="6">
                  <c:v>CEER2</c:v>
                </c:pt>
              </c:strCache>
            </c:strRef>
          </c:cat>
          <c:val>
            <c:numRef>
              <c:f>'Exec. Sum'!$E$161:$E$167</c:f>
              <c:numCache>
                <c:formatCode>0</c:formatCode>
                <c:ptCount val="7"/>
                <c:pt idx="0">
                  <c:v>2.1603817273789963</c:v>
                </c:pt>
                <c:pt idx="1">
                  <c:v>8.6275466320640355</c:v>
                </c:pt>
                <c:pt idx="2">
                  <c:v>8.74637447482284</c:v>
                </c:pt>
                <c:pt idx="3">
                  <c:v>11.536824063180752</c:v>
                </c:pt>
                <c:pt idx="4">
                  <c:v>8.7463744748228418</c:v>
                </c:pt>
                <c:pt idx="5">
                  <c:v>7.3479785162748943</c:v>
                </c:pt>
                <c:pt idx="6">
                  <c:v>11.347575305170787</c:v>
                </c:pt>
              </c:numCache>
            </c:numRef>
          </c:val>
          <c:extLst>
            <c:ext xmlns:c16="http://schemas.microsoft.com/office/drawing/2014/chart" uri="{C3380CC4-5D6E-409C-BE32-E72D297353CC}">
              <c16:uniqueId val="{00000003-8E50-4EEE-B77E-2CD49B39BEDE}"/>
            </c:ext>
          </c:extLst>
        </c:ser>
        <c:ser>
          <c:idx val="3"/>
          <c:order val="3"/>
          <c:tx>
            <c:strRef>
              <c:f>'Exec. Sum'!$F$159:$F$160</c:f>
              <c:strCache>
                <c:ptCount val="2"/>
                <c:pt idx="0">
                  <c:v>Non-residential</c:v>
                </c:pt>
                <c:pt idx="1">
                  <c:v>Shallow</c:v>
                </c:pt>
              </c:strCache>
            </c:strRef>
          </c:tx>
          <c:spPr>
            <a:solidFill>
              <a:schemeClr val="accent3">
                <a:lumMod val="60000"/>
                <a:lumOff val="40000"/>
              </a:schemeClr>
            </a:solidFill>
            <a:ln>
              <a:noFill/>
            </a:ln>
            <a:effectLst/>
          </c:spPr>
          <c:invertIfNegative val="0"/>
          <c:dLbls>
            <c:dLbl>
              <c:idx val="0"/>
              <c:delete val="1"/>
              <c:extLst>
                <c:ext xmlns:c15="http://schemas.microsoft.com/office/drawing/2012/chart" uri="{CE6537A1-D6FC-4f65-9D91-7224C49458BB}"/>
                <c:ext xmlns:c16="http://schemas.microsoft.com/office/drawing/2014/chart" uri="{C3380CC4-5D6E-409C-BE32-E72D297353CC}">
                  <c16:uniqueId val="{00000004-8E50-4EEE-B77E-2CD49B39BEDE}"/>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t-EE"/>
              </a:p>
            </c:txPr>
            <c:dLblPos val="in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'Exec. Sum'!$B$161:$B$167</c:f>
              <c:strCache>
                <c:ptCount val="7"/>
                <c:pt idx="0">
                  <c:v>Baseline</c:v>
                </c:pt>
                <c:pt idx="1">
                  <c:v>EEO</c:v>
                </c:pt>
                <c:pt idx="2">
                  <c:v>VA</c:v>
                </c:pt>
                <c:pt idx="3">
                  <c:v>RenoWave</c:v>
                </c:pt>
                <c:pt idx="4">
                  <c:v>EET</c:v>
                </c:pt>
                <c:pt idx="5">
                  <c:v>CEER1</c:v>
                </c:pt>
                <c:pt idx="6">
                  <c:v>CEER2</c:v>
                </c:pt>
              </c:strCache>
            </c:strRef>
          </c:cat>
          <c:val>
            <c:numRef>
              <c:f>'Exec. Sum'!$F$161:$F$167</c:f>
              <c:numCache>
                <c:formatCode>0</c:formatCode>
                <c:ptCount val="7"/>
                <c:pt idx="0">
                  <c:v>0</c:v>
                </c:pt>
                <c:pt idx="1">
                  <c:v>17.742592592592587</c:v>
                </c:pt>
                <c:pt idx="2">
                  <c:v>3.0759259259259264</c:v>
                </c:pt>
                <c:pt idx="3">
                  <c:v>6.1518518518518528</c:v>
                </c:pt>
                <c:pt idx="4">
                  <c:v>3.0759259259259264</c:v>
                </c:pt>
                <c:pt idx="5">
                  <c:v>6.1518518518518528</c:v>
                </c:pt>
                <c:pt idx="6">
                  <c:v>11.639629629629631</c:v>
                </c:pt>
              </c:numCache>
            </c:numRef>
          </c:val>
          <c:extLst>
            <c:ext xmlns:c16="http://schemas.microsoft.com/office/drawing/2014/chart" uri="{C3380CC4-5D6E-409C-BE32-E72D297353CC}">
              <c16:uniqueId val="{00000005-8E50-4EEE-B77E-2CD49B39BEDE}"/>
            </c:ext>
          </c:extLst>
        </c:ser>
        <c:dLbls>
          <c:showLegendKey val="0"/>
          <c:showVal val="0"/>
          <c:showCatName val="0"/>
          <c:showSerName val="0"/>
          <c:showPercent val="0"/>
          <c:showBubbleSize val="0"/>
        </c:dLbls>
        <c:gapWidth val="150"/>
        <c:axId val="1646588015"/>
        <c:axId val="1023654495"/>
      </c:barChart>
      <c:catAx>
        <c:axId val="1646588015"/>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023654495"/>
        <c:crosses val="autoZero"/>
        <c:auto val="1"/>
        <c:lblAlgn val="ctr"/>
        <c:lblOffset val="100"/>
        <c:noMultiLvlLbl val="0"/>
      </c:catAx>
      <c:valAx>
        <c:axId val="10236544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US" sz="800">
                    <a:solidFill>
                      <a:sysClr val="windowText" lastClr="000000"/>
                    </a:solidFill>
                  </a:rPr>
                  <a:t>million</a:t>
                </a:r>
                <a:r>
                  <a:rPr lang="en-US" sz="800" baseline="0">
                    <a:solidFill>
                      <a:sysClr val="windowText" lastClr="000000"/>
                    </a:solidFill>
                  </a:rPr>
                  <a:t> m2 renovated (2024-2035, cumulative)</a:t>
                </a:r>
                <a:endParaRPr lang="en-US" sz="800">
                  <a:solidFill>
                    <a:sysClr val="windowText" lastClr="000000"/>
                  </a:solidFill>
                </a:endParaRP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crossAx val="1646588015"/>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et-EE"/>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percentStacked"/>
        <c:varyColors val="0"/>
        <c:ser>
          <c:idx val="0"/>
          <c:order val="0"/>
          <c:tx>
            <c:strRef>
              <c:f>'Pathway Comparison'!$B$63</c:f>
              <c:strCache>
                <c:ptCount val="1"/>
                <c:pt idx="0">
                  <c:v>Industry</c:v>
                </c:pt>
              </c:strCache>
            </c:strRef>
          </c:tx>
          <c:spPr>
            <a:solidFill>
              <a:schemeClr val="accent3"/>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Comparison'!$C$54:$H$54</c:f>
              <c:strCache>
                <c:ptCount val="6"/>
                <c:pt idx="0">
                  <c:v>Baseline</c:v>
                </c:pt>
                <c:pt idx="1">
                  <c:v>EEO</c:v>
                </c:pt>
                <c:pt idx="2">
                  <c:v>VA</c:v>
                </c:pt>
                <c:pt idx="3">
                  <c:v>Renowave</c:v>
                </c:pt>
                <c:pt idx="4">
                  <c:v>EET</c:v>
                </c:pt>
                <c:pt idx="5">
                  <c:v>CEER1</c:v>
                </c:pt>
              </c:strCache>
            </c:strRef>
          </c:cat>
          <c:val>
            <c:numRef>
              <c:f>'Pathway Comparison'!$C$63:$H$63</c:f>
              <c:numCache>
                <c:formatCode>0%</c:formatCode>
                <c:ptCount val="6"/>
                <c:pt idx="0">
                  <c:v>0.40034601969582212</c:v>
                </c:pt>
                <c:pt idx="1">
                  <c:v>0.2279762959741348</c:v>
                </c:pt>
                <c:pt idx="2">
                  <c:v>0.28711961895846444</c:v>
                </c:pt>
                <c:pt idx="3">
                  <c:v>0.15398928849306187</c:v>
                </c:pt>
                <c:pt idx="4">
                  <c:v>0.15371104425166576</c:v>
                </c:pt>
                <c:pt idx="5">
                  <c:v>0.19449522157529062</c:v>
                </c:pt>
              </c:numCache>
            </c:numRef>
          </c:val>
          <c:extLst>
            <c:ext xmlns:c16="http://schemas.microsoft.com/office/drawing/2014/chart" uri="{C3380CC4-5D6E-409C-BE32-E72D297353CC}">
              <c16:uniqueId val="{00000000-61B7-40E4-BEC5-DA8EEE59C65F}"/>
            </c:ext>
          </c:extLst>
        </c:ser>
        <c:ser>
          <c:idx val="1"/>
          <c:order val="1"/>
          <c:tx>
            <c:strRef>
              <c:f>'Pathway Comparison'!$B$64</c:f>
              <c:strCache>
                <c:ptCount val="1"/>
                <c:pt idx="0">
                  <c:v>Households</c:v>
                </c:pt>
              </c:strCache>
            </c:strRef>
          </c:tx>
          <c:spPr>
            <a:solidFill>
              <a:schemeClr val="accent2"/>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Comparison'!$C$54:$H$54</c:f>
              <c:strCache>
                <c:ptCount val="6"/>
                <c:pt idx="0">
                  <c:v>Baseline</c:v>
                </c:pt>
                <c:pt idx="1">
                  <c:v>EEO</c:v>
                </c:pt>
                <c:pt idx="2">
                  <c:v>VA</c:v>
                </c:pt>
                <c:pt idx="3">
                  <c:v>Renowave</c:v>
                </c:pt>
                <c:pt idx="4">
                  <c:v>EET</c:v>
                </c:pt>
                <c:pt idx="5">
                  <c:v>CEER1</c:v>
                </c:pt>
              </c:strCache>
            </c:strRef>
          </c:cat>
          <c:val>
            <c:numRef>
              <c:f>'Pathway Comparison'!$C$64:$H$64</c:f>
              <c:numCache>
                <c:formatCode>0%</c:formatCode>
                <c:ptCount val="6"/>
                <c:pt idx="0">
                  <c:v>0.22296073613860309</c:v>
                </c:pt>
                <c:pt idx="1">
                  <c:v>0.33253795694547306</c:v>
                </c:pt>
                <c:pt idx="2">
                  <c:v>0.33361695542438052</c:v>
                </c:pt>
                <c:pt idx="3">
                  <c:v>0.51057037194241084</c:v>
                </c:pt>
                <c:pt idx="4">
                  <c:v>0.23903922915588677</c:v>
                </c:pt>
                <c:pt idx="5">
                  <c:v>0.31053134539923216</c:v>
                </c:pt>
              </c:numCache>
            </c:numRef>
          </c:val>
          <c:extLst>
            <c:ext xmlns:c16="http://schemas.microsoft.com/office/drawing/2014/chart" uri="{C3380CC4-5D6E-409C-BE32-E72D297353CC}">
              <c16:uniqueId val="{00000001-61B7-40E4-BEC5-DA8EEE59C65F}"/>
            </c:ext>
          </c:extLst>
        </c:ser>
        <c:ser>
          <c:idx val="2"/>
          <c:order val="2"/>
          <c:tx>
            <c:strRef>
              <c:f>'Pathway Comparison'!$B$65</c:f>
              <c:strCache>
                <c:ptCount val="1"/>
                <c:pt idx="0">
                  <c:v>Services</c:v>
                </c:pt>
              </c:strCache>
            </c:strRef>
          </c:tx>
          <c:spPr>
            <a:solidFill>
              <a:schemeClr val="accent4"/>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Comparison'!$C$54:$H$54</c:f>
              <c:strCache>
                <c:ptCount val="6"/>
                <c:pt idx="0">
                  <c:v>Baseline</c:v>
                </c:pt>
                <c:pt idx="1">
                  <c:v>EEO</c:v>
                </c:pt>
                <c:pt idx="2">
                  <c:v>VA</c:v>
                </c:pt>
                <c:pt idx="3">
                  <c:v>Renowave</c:v>
                </c:pt>
                <c:pt idx="4">
                  <c:v>EET</c:v>
                </c:pt>
                <c:pt idx="5">
                  <c:v>CEER1</c:v>
                </c:pt>
              </c:strCache>
            </c:strRef>
          </c:cat>
          <c:val>
            <c:numRef>
              <c:f>'Pathway Comparison'!$C$65:$H$65</c:f>
              <c:numCache>
                <c:formatCode>0%</c:formatCode>
                <c:ptCount val="6"/>
                <c:pt idx="0">
                  <c:v>0.14681363915001319</c:v>
                </c:pt>
                <c:pt idx="1">
                  <c:v>0.21401633445885621</c:v>
                </c:pt>
                <c:pt idx="2">
                  <c:v>0.13996393157384074</c:v>
                </c:pt>
                <c:pt idx="3">
                  <c:v>0.14688325221163903</c:v>
                </c:pt>
                <c:pt idx="4">
                  <c:v>0.11008591958428382</c:v>
                </c:pt>
                <c:pt idx="5">
                  <c:v>0.12692812266988054</c:v>
                </c:pt>
              </c:numCache>
            </c:numRef>
          </c:val>
          <c:extLst>
            <c:ext xmlns:c16="http://schemas.microsoft.com/office/drawing/2014/chart" uri="{C3380CC4-5D6E-409C-BE32-E72D297353CC}">
              <c16:uniqueId val="{00000002-61B7-40E4-BEC5-DA8EEE59C65F}"/>
            </c:ext>
          </c:extLst>
        </c:ser>
        <c:ser>
          <c:idx val="3"/>
          <c:order val="3"/>
          <c:tx>
            <c:strRef>
              <c:f>'Pathway Comparison'!$B$66</c:f>
              <c:strCache>
                <c:ptCount val="1"/>
                <c:pt idx="0">
                  <c:v>Transport</c:v>
                </c:pt>
              </c:strCache>
            </c:strRef>
          </c:tx>
          <c:spPr>
            <a:solidFill>
              <a:schemeClr val="accent5"/>
            </a:solidFill>
            <a:ln>
              <a:noFill/>
            </a:ln>
            <a:effectLst/>
          </c:spPr>
          <c:invertIfNegative val="0"/>
          <c:dLbls>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Comparison'!$C$54:$H$54</c:f>
              <c:strCache>
                <c:ptCount val="6"/>
                <c:pt idx="0">
                  <c:v>Baseline</c:v>
                </c:pt>
                <c:pt idx="1">
                  <c:v>EEO</c:v>
                </c:pt>
                <c:pt idx="2">
                  <c:v>VA</c:v>
                </c:pt>
                <c:pt idx="3">
                  <c:v>Renowave</c:v>
                </c:pt>
                <c:pt idx="4">
                  <c:v>EET</c:v>
                </c:pt>
                <c:pt idx="5">
                  <c:v>CEER1</c:v>
                </c:pt>
              </c:strCache>
            </c:strRef>
          </c:cat>
          <c:val>
            <c:numRef>
              <c:f>'Pathway Comparison'!$C$66:$H$66</c:f>
              <c:numCache>
                <c:formatCode>0%</c:formatCode>
                <c:ptCount val="6"/>
                <c:pt idx="0">
                  <c:v>0.20967032760352569</c:v>
                </c:pt>
                <c:pt idx="1">
                  <c:v>0.21319084945587441</c:v>
                </c:pt>
                <c:pt idx="2">
                  <c:v>0.22626777537709453</c:v>
                </c:pt>
                <c:pt idx="3">
                  <c:v>0.17828868739354736</c:v>
                </c:pt>
                <c:pt idx="4">
                  <c:v>0.48691396108712631</c:v>
                </c:pt>
                <c:pt idx="5">
                  <c:v>0.35715622342638842</c:v>
                </c:pt>
              </c:numCache>
            </c:numRef>
          </c:val>
          <c:extLst>
            <c:ext xmlns:c16="http://schemas.microsoft.com/office/drawing/2014/chart" uri="{C3380CC4-5D6E-409C-BE32-E72D297353CC}">
              <c16:uniqueId val="{00000003-61B7-40E4-BEC5-DA8EEE59C65F}"/>
            </c:ext>
          </c:extLst>
        </c:ser>
        <c:ser>
          <c:idx val="4"/>
          <c:order val="4"/>
          <c:tx>
            <c:strRef>
              <c:f>'Pathway Comparison'!$B$67</c:f>
              <c:strCache>
                <c:ptCount val="1"/>
                <c:pt idx="0">
                  <c:v>Agriculture, fishing and forestry</c:v>
                </c:pt>
              </c:strCache>
            </c:strRef>
          </c:tx>
          <c:spPr>
            <a:solidFill>
              <a:srgbClr val="993366"/>
            </a:solidFill>
            <a:ln>
              <a:noFill/>
            </a:ln>
            <a:effectLst/>
          </c:spPr>
          <c:invertIfNegative val="0"/>
          <c:dLbls>
            <c:dLbl>
              <c:idx val="0"/>
              <c:tx>
                <c:rich>
                  <a:bodyPr/>
                  <a:lstStyle/>
                  <a:p>
                    <a:fld id="{58E0C5E6-98DF-4D43-8668-C4C8A4FAB635}"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61B7-40E4-BEC5-DA8EEE59C65F}"/>
                </c:ext>
              </c:extLst>
            </c:dLbl>
            <c:dLbl>
              <c:idx val="1"/>
              <c:tx>
                <c:rich>
                  <a:bodyPr/>
                  <a:lstStyle/>
                  <a:p>
                    <a:fld id="{6A191E23-986F-4878-860F-B56EBE7B63E2}"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61B7-40E4-BEC5-DA8EEE59C65F}"/>
                </c:ext>
              </c:extLst>
            </c:dLbl>
            <c:dLbl>
              <c:idx val="2"/>
              <c:tx>
                <c:rich>
                  <a:bodyPr/>
                  <a:lstStyle/>
                  <a:p>
                    <a:fld id="{445B6EF9-09E3-4586-BDE7-0BBC3D79D252}"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61B7-40E4-BEC5-DA8EEE59C65F}"/>
                </c:ext>
              </c:extLst>
            </c:dLbl>
            <c:dLbl>
              <c:idx val="3"/>
              <c:tx>
                <c:rich>
                  <a:bodyPr/>
                  <a:lstStyle/>
                  <a:p>
                    <a:fld id="{612142C8-1493-4586-813F-B6843C24CE7E}"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61B7-40E4-BEC5-DA8EEE59C65F}"/>
                </c:ext>
              </c:extLst>
            </c:dLbl>
            <c:dLbl>
              <c:idx val="4"/>
              <c:tx>
                <c:rich>
                  <a:bodyPr/>
                  <a:lstStyle/>
                  <a:p>
                    <a:fld id="{10177B47-0004-4015-AF5E-ED15F88BAA88}"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61B7-40E4-BEC5-DA8EEE59C65F}"/>
                </c:ext>
              </c:extLst>
            </c:dLbl>
            <c:dLbl>
              <c:idx val="5"/>
              <c:tx>
                <c:rich>
                  <a:bodyPr/>
                  <a:lstStyle/>
                  <a:p>
                    <a:fld id="{D56F0C42-5050-4E76-BA01-DE346AACA1D9}"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61B7-40E4-BEC5-DA8EEE59C65F}"/>
                </c:ext>
              </c:extLst>
            </c:dLbl>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t-EE"/>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15:leaderLines>
                  <c:spPr>
                    <a:ln w="9525" cap="flat" cmpd="sng" algn="ctr">
                      <a:solidFill>
                        <a:schemeClr val="tx1">
                          <a:lumMod val="35000"/>
                          <a:lumOff val="65000"/>
                        </a:schemeClr>
                      </a:solidFill>
                      <a:round/>
                    </a:ln>
                    <a:effectLst/>
                  </c:spPr>
                </c15:leaderLines>
              </c:ext>
            </c:extLst>
          </c:dLbls>
          <c:cat>
            <c:strRef>
              <c:f>'Pathway Comparison'!$C$54:$H$54</c:f>
              <c:strCache>
                <c:ptCount val="6"/>
                <c:pt idx="0">
                  <c:v>Baseline</c:v>
                </c:pt>
                <c:pt idx="1">
                  <c:v>EEO</c:v>
                </c:pt>
                <c:pt idx="2">
                  <c:v>VA</c:v>
                </c:pt>
                <c:pt idx="3">
                  <c:v>Renowave</c:v>
                </c:pt>
                <c:pt idx="4">
                  <c:v>EET</c:v>
                </c:pt>
                <c:pt idx="5">
                  <c:v>CEER1</c:v>
                </c:pt>
              </c:strCache>
            </c:strRef>
          </c:cat>
          <c:val>
            <c:numRef>
              <c:f>'Pathway Comparison'!$C$67:$H$67</c:f>
              <c:numCache>
                <c:formatCode>0%</c:formatCode>
                <c:ptCount val="6"/>
                <c:pt idx="0">
                  <c:v>2.0209277412035827E-2</c:v>
                </c:pt>
                <c:pt idx="1">
                  <c:v>1.2278563165661579E-2</c:v>
                </c:pt>
                <c:pt idx="2">
                  <c:v>1.3031718666219832E-2</c:v>
                </c:pt>
                <c:pt idx="3">
                  <c:v>1.0268399959340946E-2</c:v>
                </c:pt>
                <c:pt idx="4">
                  <c:v>1.0249845921037384E-2</c:v>
                </c:pt>
                <c:pt idx="5">
                  <c:v>1.0889086929208402E-2</c:v>
                </c:pt>
              </c:numCache>
            </c:numRef>
          </c:val>
          <c:extLst>
            <c:ext xmlns:c15="http://schemas.microsoft.com/office/drawing/2012/chart" uri="{02D57815-91ED-43cb-92C2-25804820EDAC}">
              <c15:datalabelsRange>
                <c15:f>'Pathway Comparison'!$C$61:$I$61</c15:f>
                <c15:dlblRangeCache>
                  <c:ptCount val="7"/>
                  <c:pt idx="0">
                    <c:v>#VALUE!</c:v>
                  </c:pt>
                  <c:pt idx="1">
                    <c:v>#VALUE!</c:v>
                  </c:pt>
                  <c:pt idx="2">
                    <c:v>#VALUE!</c:v>
                  </c:pt>
                  <c:pt idx="3">
                    <c:v>#VALUE!</c:v>
                  </c:pt>
                  <c:pt idx="4">
                    <c:v>#VALUE!</c:v>
                  </c:pt>
                  <c:pt idx="5">
                    <c:v>#VALUE!</c:v>
                  </c:pt>
                  <c:pt idx="6">
                    <c:v>#VALUE!</c:v>
                  </c:pt>
                </c15:dlblRangeCache>
              </c15:datalabelsRange>
            </c:ext>
            <c:ext xmlns:c16="http://schemas.microsoft.com/office/drawing/2014/chart" uri="{C3380CC4-5D6E-409C-BE32-E72D297353CC}">
              <c16:uniqueId val="{0000000A-61B7-40E4-BEC5-DA8EEE59C65F}"/>
            </c:ext>
          </c:extLst>
        </c:ser>
        <c:dLbls>
          <c:showLegendKey val="0"/>
          <c:showVal val="0"/>
          <c:showCatName val="0"/>
          <c:showSerName val="0"/>
          <c:showPercent val="0"/>
          <c:showBubbleSize val="0"/>
        </c:dLbls>
        <c:gapWidth val="150"/>
        <c:overlap val="100"/>
        <c:axId val="1233160943"/>
        <c:axId val="1550616095"/>
      </c:barChart>
      <c:catAx>
        <c:axId val="123316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t-EE"/>
          </a:p>
        </c:txPr>
        <c:crossAx val="1550616095"/>
        <c:crosses val="autoZero"/>
        <c:auto val="1"/>
        <c:lblAlgn val="ctr"/>
        <c:lblOffset val="100"/>
        <c:noMultiLvlLbl val="0"/>
      </c:catAx>
      <c:valAx>
        <c:axId val="1550616095"/>
        <c:scaling>
          <c:orientation val="minMax"/>
          <c:max val="1.25"/>
          <c:min val="0"/>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r>
                  <a:rPr lang="en-GB" sz="800" b="0" i="0" u="none" strike="noStrike" kern="1200" spc="0" baseline="0">
                    <a:solidFill>
                      <a:sysClr val="windowText" lastClr="000000"/>
                    </a:solidFill>
                  </a:rPr>
                  <a:t>Cumulative energy savings, 2021-2030 (%)</a:t>
                </a:r>
              </a:p>
            </c:rich>
          </c:tx>
          <c:overlay val="0"/>
          <c:spPr>
            <a:noFill/>
            <a:ln>
              <a:noFill/>
            </a:ln>
            <a:effectLst/>
          </c:spPr>
          <c:txPr>
            <a:bodyPr rot="-540000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t-EE"/>
            </a:p>
          </c:txPr>
        </c:title>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t-EE"/>
          </a:p>
        </c:txPr>
        <c:crossAx val="1233160943"/>
        <c:crosses val="autoZero"/>
        <c:crossBetween val="between"/>
        <c:majorUnit val="1"/>
      </c:valAx>
      <c:spPr>
        <a:noFill/>
        <a:ln>
          <a:noFill/>
        </a:ln>
        <a:effectLst/>
      </c:spPr>
    </c:plotArea>
    <c:legend>
      <c:legendPos val="b"/>
      <c:overlay val="0"/>
      <c:spPr>
        <a:noFill/>
        <a:ln>
          <a:noFill/>
        </a:ln>
        <a:effectLst/>
      </c:spPr>
      <c:txPr>
        <a:bodyPr rot="0" spcFirstLastPara="1" vertOverflow="ellipsis" vert="horz" wrap="square" anchor="ctr" anchorCtr="1"/>
        <a:lstStyle/>
        <a:p>
          <a:pPr>
            <a:defRPr sz="6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600">
          <a:solidFill>
            <a:sysClr val="windowText" lastClr="000000"/>
          </a:solidFill>
        </a:defRPr>
      </a:pPr>
      <a:endParaRPr lang="et-EE"/>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areaChart>
        <c:grouping val="stacked"/>
        <c:varyColors val="0"/>
        <c:ser>
          <c:idx val="9"/>
          <c:order val="7"/>
          <c:tx>
            <c:strRef>
              <c:f>'Pathway Comparison'!$K$368</c:f>
              <c:strCache>
                <c:ptCount val="1"/>
                <c:pt idx="0">
                  <c:v>EED recast target (2023)</c:v>
                </c:pt>
              </c:strCache>
            </c:strRef>
          </c:tx>
          <c:spPr>
            <a:solidFill>
              <a:srgbClr val="FDE4DF">
                <a:alpha val="77000"/>
              </a:srgbClr>
            </a:solidFill>
            <a:ln>
              <a:solidFill>
                <a:schemeClr val="accent3">
                  <a:alpha val="97000"/>
                </a:schemeClr>
              </a:solidFill>
              <a:prstDash val="sysDot"/>
            </a:ln>
            <a:effectLst/>
          </c:spPr>
          <c:cat>
            <c:numRef>
              <c:f>'Pathway Comparison'!$B$369:$B$378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Comparison'!$K$369:$K$378</c:f>
              <c:numCache>
                <c:formatCode>0.0%</c:formatCode>
                <c:ptCount val="10"/>
                <c:pt idx="0">
                  <c:v>8.0000000000000002E-3</c:v>
                </c:pt>
                <c:pt idx="1">
                  <c:v>8.0000000000000002E-3</c:v>
                </c:pt>
                <c:pt idx="2">
                  <c:v>8.0000000000000002E-3</c:v>
                </c:pt>
                <c:pt idx="3">
                  <c:v>1.2999999999999999E-2</c:v>
                </c:pt>
                <c:pt idx="4">
                  <c:v>1.2999999999999999E-2</c:v>
                </c:pt>
                <c:pt idx="5">
                  <c:v>1.4999999999999999E-2</c:v>
                </c:pt>
                <c:pt idx="6">
                  <c:v>1.4999999999999999E-2</c:v>
                </c:pt>
                <c:pt idx="7">
                  <c:v>1.9E-2</c:v>
                </c:pt>
                <c:pt idx="8">
                  <c:v>1.9E-2</c:v>
                </c:pt>
                <c:pt idx="9">
                  <c:v>1.9E-2</c:v>
                </c:pt>
              </c:numCache>
            </c:numRef>
          </c:val>
          <c:extLst>
            <c:ext xmlns:c16="http://schemas.microsoft.com/office/drawing/2014/chart" uri="{C3380CC4-5D6E-409C-BE32-E72D297353CC}">
              <c16:uniqueId val="{00000000-1B69-4EDA-82CB-92DD563FDA16}"/>
            </c:ext>
          </c:extLst>
        </c:ser>
        <c:dLbls>
          <c:showLegendKey val="0"/>
          <c:showVal val="0"/>
          <c:showCatName val="0"/>
          <c:showSerName val="0"/>
          <c:showPercent val="0"/>
          <c:showBubbleSize val="0"/>
        </c:dLbls>
        <c:axId val="1233154223"/>
        <c:axId val="1233155663"/>
      </c:areaChart>
      <c:lineChart>
        <c:grouping val="standard"/>
        <c:varyColors val="0"/>
        <c:ser>
          <c:idx val="1"/>
          <c:order val="0"/>
          <c:tx>
            <c:strRef>
              <c:f>'Pathway Comparison'!$C$368</c:f>
              <c:strCache>
                <c:ptCount val="1"/>
                <c:pt idx="0">
                  <c:v>Baseline</c:v>
                </c:pt>
              </c:strCache>
            </c:strRef>
          </c:tx>
          <c:spPr>
            <a:ln w="28575" cap="rnd">
              <a:solidFill>
                <a:schemeClr val="accent2"/>
              </a:solidFill>
              <a:prstDash val="dash"/>
              <a:round/>
            </a:ln>
            <a:effectLst/>
          </c:spPr>
          <c:marker>
            <c:symbol val="none"/>
          </c:marker>
          <c:cat>
            <c:numRef>
              <c:f>'Pathway Comparison'!$B$369:$B$378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Comparison'!$C$369:$C$378</c:f>
              <c:numCache>
                <c:formatCode>0.0%</c:formatCode>
                <c:ptCount val="10"/>
                <c:pt idx="0">
                  <c:v>2.947326249992656E-3</c:v>
                </c:pt>
                <c:pt idx="1">
                  <c:v>1.2148997818662547E-3</c:v>
                </c:pt>
                <c:pt idx="2">
                  <c:v>9.0605821142066955E-4</c:v>
                </c:pt>
                <c:pt idx="3">
                  <c:v>5.810109226686011E-3</c:v>
                </c:pt>
                <c:pt idx="4">
                  <c:v>4.7005525303616055E-3</c:v>
                </c:pt>
                <c:pt idx="5">
                  <c:v>2.0968694907554154E-3</c:v>
                </c:pt>
                <c:pt idx="6">
                  <c:v>1.8698158784367048E-3</c:v>
                </c:pt>
                <c:pt idx="7">
                  <c:v>5.7176197869410097E-4</c:v>
                </c:pt>
                <c:pt idx="8">
                  <c:v>5.721075836055508E-4</c:v>
                </c:pt>
                <c:pt idx="9">
                  <c:v>5.7239419582160627E-4</c:v>
                </c:pt>
              </c:numCache>
            </c:numRef>
          </c:val>
          <c:smooth val="0"/>
          <c:extLst>
            <c:ext xmlns:c16="http://schemas.microsoft.com/office/drawing/2014/chart" uri="{C3380CC4-5D6E-409C-BE32-E72D297353CC}">
              <c16:uniqueId val="{00000001-1B69-4EDA-82CB-92DD563FDA16}"/>
            </c:ext>
          </c:extLst>
        </c:ser>
        <c:ser>
          <c:idx val="2"/>
          <c:order val="1"/>
          <c:tx>
            <c:strRef>
              <c:f>'Pathway Comparison'!$D$368</c:f>
              <c:strCache>
                <c:ptCount val="1"/>
                <c:pt idx="0">
                  <c:v>EEO</c:v>
                </c:pt>
              </c:strCache>
            </c:strRef>
          </c:tx>
          <c:spPr>
            <a:ln w="28575" cap="rnd">
              <a:solidFill>
                <a:schemeClr val="accent3">
                  <a:lumMod val="50000"/>
                </a:schemeClr>
              </a:solidFill>
              <a:round/>
            </a:ln>
            <a:effectLst/>
          </c:spPr>
          <c:marker>
            <c:symbol val="none"/>
          </c:marker>
          <c:cat>
            <c:numRef>
              <c:f>'Pathway Comparison'!$B$369:$B$378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Comparison'!$D$369:$D$378</c:f>
              <c:numCache>
                <c:formatCode>0.0%</c:formatCode>
                <c:ptCount val="10"/>
                <c:pt idx="0">
                  <c:v>3.5491552501608738E-3</c:v>
                </c:pt>
                <c:pt idx="1">
                  <c:v>1.3852573990583532E-3</c:v>
                </c:pt>
                <c:pt idx="2">
                  <c:v>1.0786401583195641E-3</c:v>
                </c:pt>
                <c:pt idx="3">
                  <c:v>7.0330170044556484E-3</c:v>
                </c:pt>
                <c:pt idx="4">
                  <c:v>1.7996230726165539E-2</c:v>
                </c:pt>
                <c:pt idx="5">
                  <c:v>1.3388915359993524E-2</c:v>
                </c:pt>
                <c:pt idx="6">
                  <c:v>1.6925595178451134E-2</c:v>
                </c:pt>
                <c:pt idx="7">
                  <c:v>1.1298652310592631E-2</c:v>
                </c:pt>
                <c:pt idx="8">
                  <c:v>1.119875728276248E-2</c:v>
                </c:pt>
                <c:pt idx="9">
                  <c:v>1.1070831875549018E-2</c:v>
                </c:pt>
              </c:numCache>
            </c:numRef>
          </c:val>
          <c:smooth val="0"/>
          <c:extLst>
            <c:ext xmlns:c16="http://schemas.microsoft.com/office/drawing/2014/chart" uri="{C3380CC4-5D6E-409C-BE32-E72D297353CC}">
              <c16:uniqueId val="{00000002-1B69-4EDA-82CB-92DD563FDA16}"/>
            </c:ext>
          </c:extLst>
        </c:ser>
        <c:ser>
          <c:idx val="3"/>
          <c:order val="2"/>
          <c:tx>
            <c:strRef>
              <c:f>'Pathway Comparison'!$E$368</c:f>
              <c:strCache>
                <c:ptCount val="1"/>
                <c:pt idx="0">
                  <c:v>VA</c:v>
                </c:pt>
              </c:strCache>
            </c:strRef>
          </c:tx>
          <c:spPr>
            <a:ln w="28575" cap="rnd">
              <a:solidFill>
                <a:schemeClr val="accent4"/>
              </a:solidFill>
              <a:round/>
            </a:ln>
            <a:effectLst/>
          </c:spPr>
          <c:marker>
            <c:symbol val="none"/>
          </c:marker>
          <c:cat>
            <c:numRef>
              <c:f>'Pathway Comparison'!$B$369:$B$378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Comparison'!$E$369:$E$378</c:f>
              <c:numCache>
                <c:formatCode>0.0%</c:formatCode>
                <c:ptCount val="10"/>
                <c:pt idx="0">
                  <c:v>3.5491552501608738E-3</c:v>
                </c:pt>
                <c:pt idx="1">
                  <c:v>1.3852573990583532E-3</c:v>
                </c:pt>
                <c:pt idx="2">
                  <c:v>1.0786401583195641E-3</c:v>
                </c:pt>
                <c:pt idx="3">
                  <c:v>7.0330170044556484E-3</c:v>
                </c:pt>
                <c:pt idx="4">
                  <c:v>1.5799255304943437E-2</c:v>
                </c:pt>
                <c:pt idx="5">
                  <c:v>1.1615762384214044E-2</c:v>
                </c:pt>
                <c:pt idx="6">
                  <c:v>1.5731530062482221E-2</c:v>
                </c:pt>
                <c:pt idx="7">
                  <c:v>1.0865284029014119E-2</c:v>
                </c:pt>
                <c:pt idx="8">
                  <c:v>1.1711159782388124E-2</c:v>
                </c:pt>
                <c:pt idx="9">
                  <c:v>1.22603910046093E-2</c:v>
                </c:pt>
              </c:numCache>
            </c:numRef>
          </c:val>
          <c:smooth val="0"/>
          <c:extLst>
            <c:ext xmlns:c16="http://schemas.microsoft.com/office/drawing/2014/chart" uri="{C3380CC4-5D6E-409C-BE32-E72D297353CC}">
              <c16:uniqueId val="{00000003-1B69-4EDA-82CB-92DD563FDA16}"/>
            </c:ext>
          </c:extLst>
        </c:ser>
        <c:ser>
          <c:idx val="4"/>
          <c:order val="3"/>
          <c:tx>
            <c:strRef>
              <c:f>'Pathway Comparison'!$F$368</c:f>
              <c:strCache>
                <c:ptCount val="1"/>
                <c:pt idx="0">
                  <c:v>Renowave</c:v>
                </c:pt>
              </c:strCache>
            </c:strRef>
          </c:tx>
          <c:spPr>
            <a:ln w="28575" cap="rnd">
              <a:solidFill>
                <a:schemeClr val="accent5"/>
              </a:solidFill>
              <a:round/>
            </a:ln>
            <a:effectLst/>
          </c:spPr>
          <c:marker>
            <c:symbol val="none"/>
          </c:marker>
          <c:cat>
            <c:numRef>
              <c:f>'Pathway Comparison'!$B$369:$B$378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Comparison'!$F$369:$F$378</c:f>
              <c:numCache>
                <c:formatCode>0.0%</c:formatCode>
                <c:ptCount val="10"/>
                <c:pt idx="0">
                  <c:v>3.5491552501608738E-3</c:v>
                </c:pt>
                <c:pt idx="1">
                  <c:v>1.3852573990583532E-3</c:v>
                </c:pt>
                <c:pt idx="2">
                  <c:v>1.0786401583195641E-3</c:v>
                </c:pt>
                <c:pt idx="3">
                  <c:v>6.4959313212955422E-3</c:v>
                </c:pt>
                <c:pt idx="4">
                  <c:v>2.2179061301365734E-2</c:v>
                </c:pt>
                <c:pt idx="5">
                  <c:v>1.7777627358929484E-2</c:v>
                </c:pt>
                <c:pt idx="6">
                  <c:v>2.1429592165918457E-2</c:v>
                </c:pt>
                <c:pt idx="7">
                  <c:v>1.5654129719762298E-2</c:v>
                </c:pt>
                <c:pt idx="8">
                  <c:v>1.5409714603306642E-2</c:v>
                </c:pt>
                <c:pt idx="9">
                  <c:v>1.5141178089776513E-2</c:v>
                </c:pt>
              </c:numCache>
            </c:numRef>
          </c:val>
          <c:smooth val="0"/>
          <c:extLst>
            <c:ext xmlns:c16="http://schemas.microsoft.com/office/drawing/2014/chart" uri="{C3380CC4-5D6E-409C-BE32-E72D297353CC}">
              <c16:uniqueId val="{00000004-1B69-4EDA-82CB-92DD563FDA16}"/>
            </c:ext>
          </c:extLst>
        </c:ser>
        <c:ser>
          <c:idx val="5"/>
          <c:order val="4"/>
          <c:tx>
            <c:strRef>
              <c:f>'Pathway Comparison'!$G$368</c:f>
              <c:strCache>
                <c:ptCount val="1"/>
                <c:pt idx="0">
                  <c:v>EET</c:v>
                </c:pt>
              </c:strCache>
            </c:strRef>
          </c:tx>
          <c:spPr>
            <a:ln w="28575" cap="rnd">
              <a:solidFill>
                <a:schemeClr val="accent6"/>
              </a:solidFill>
              <a:round/>
            </a:ln>
            <a:effectLst/>
          </c:spPr>
          <c:marker>
            <c:symbol val="none"/>
          </c:marker>
          <c:cat>
            <c:numRef>
              <c:f>'Pathway Comparison'!$B$369:$B$378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Comparison'!$G$369:$G$378</c:f>
              <c:numCache>
                <c:formatCode>0.0%</c:formatCode>
                <c:ptCount val="10"/>
                <c:pt idx="0">
                  <c:v>4.4518987504133176E-3</c:v>
                </c:pt>
                <c:pt idx="1">
                  <c:v>1.640793824846731E-3</c:v>
                </c:pt>
                <c:pt idx="2">
                  <c:v>1.3375130786675627E-3</c:v>
                </c:pt>
                <c:pt idx="3">
                  <c:v>6.7190359384701913E-3</c:v>
                </c:pt>
                <c:pt idx="4">
                  <c:v>1.9938112879147166E-2</c:v>
                </c:pt>
                <c:pt idx="5">
                  <c:v>1.3225976018348143E-2</c:v>
                </c:pt>
                <c:pt idx="6">
                  <c:v>3.3626616130063916E-2</c:v>
                </c:pt>
                <c:pt idx="7">
                  <c:v>1.1265460181214165E-2</c:v>
                </c:pt>
                <c:pt idx="8">
                  <c:v>1.1125861163135676E-2</c:v>
                </c:pt>
                <c:pt idx="9">
                  <c:v>1.0916867432062839E-2</c:v>
                </c:pt>
              </c:numCache>
            </c:numRef>
          </c:val>
          <c:smooth val="0"/>
          <c:extLst>
            <c:ext xmlns:c16="http://schemas.microsoft.com/office/drawing/2014/chart" uri="{C3380CC4-5D6E-409C-BE32-E72D297353CC}">
              <c16:uniqueId val="{00000005-1B69-4EDA-82CB-92DD563FDA16}"/>
            </c:ext>
          </c:extLst>
        </c:ser>
        <c:ser>
          <c:idx val="7"/>
          <c:order val="5"/>
          <c:tx>
            <c:strRef>
              <c:f>'Pathway Comparison'!$H$368</c:f>
              <c:strCache>
                <c:ptCount val="1"/>
                <c:pt idx="0">
                  <c:v>CEER1</c:v>
                </c:pt>
              </c:strCache>
            </c:strRef>
          </c:tx>
          <c:spPr>
            <a:ln w="28575" cap="rnd">
              <a:solidFill>
                <a:schemeClr val="bg1">
                  <a:lumMod val="65000"/>
                </a:schemeClr>
              </a:solidFill>
              <a:prstDash val="solid"/>
              <a:round/>
            </a:ln>
            <a:effectLst/>
          </c:spPr>
          <c:marker>
            <c:symbol val="none"/>
          </c:marker>
          <c:cat>
            <c:numRef>
              <c:f>'Pathway Comparison'!$B$369:$B$378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Comparison'!$H$369:$H$378</c:f>
              <c:numCache>
                <c:formatCode>0.0%</c:formatCode>
                <c:ptCount val="10"/>
                <c:pt idx="0">
                  <c:v>4.4518987504133176E-3</c:v>
                </c:pt>
                <c:pt idx="1">
                  <c:v>1.640793824846731E-3</c:v>
                </c:pt>
                <c:pt idx="2">
                  <c:v>1.3375130786675627E-3</c:v>
                </c:pt>
                <c:pt idx="3">
                  <c:v>6.7190359384701913E-3</c:v>
                </c:pt>
                <c:pt idx="4">
                  <c:v>1.9299920652553291E-2</c:v>
                </c:pt>
                <c:pt idx="5">
                  <c:v>1.3527756892357657E-2</c:v>
                </c:pt>
                <c:pt idx="6">
                  <c:v>2.3969808339110877E-2</c:v>
                </c:pt>
                <c:pt idx="7">
                  <c:v>1.2472319396810989E-2</c:v>
                </c:pt>
                <c:pt idx="8">
                  <c:v>1.2968248677639642E-2</c:v>
                </c:pt>
                <c:pt idx="9">
                  <c:v>1.3215109740493398E-2</c:v>
                </c:pt>
              </c:numCache>
            </c:numRef>
          </c:val>
          <c:smooth val="0"/>
          <c:extLst>
            <c:ext xmlns:c16="http://schemas.microsoft.com/office/drawing/2014/chart" uri="{C3380CC4-5D6E-409C-BE32-E72D297353CC}">
              <c16:uniqueId val="{00000006-1B69-4EDA-82CB-92DD563FDA16}"/>
            </c:ext>
          </c:extLst>
        </c:ser>
        <c:ser>
          <c:idx val="6"/>
          <c:order val="6"/>
          <c:tx>
            <c:strRef>
              <c:f>'Pathway Comparison'!$I$368</c:f>
              <c:strCache>
                <c:ptCount val="1"/>
                <c:pt idx="0">
                  <c:v>CEER2</c:v>
                </c:pt>
              </c:strCache>
            </c:strRef>
          </c:tx>
          <c:spPr>
            <a:ln w="28575" cap="rnd">
              <a:solidFill>
                <a:schemeClr val="accent3"/>
              </a:solidFill>
              <a:round/>
            </a:ln>
            <a:effectLst/>
          </c:spPr>
          <c:marker>
            <c:symbol val="none"/>
          </c:marker>
          <c:cat>
            <c:numRef>
              <c:f>'Pathway Comparison'!$B$369:$B$378</c:f>
              <c:numCache>
                <c:formatCode>General</c:formatCode>
                <c:ptCount val="10"/>
                <c:pt idx="0">
                  <c:v>2021</c:v>
                </c:pt>
                <c:pt idx="1">
                  <c:v>2022</c:v>
                </c:pt>
                <c:pt idx="2">
                  <c:v>2023</c:v>
                </c:pt>
                <c:pt idx="3">
                  <c:v>2024</c:v>
                </c:pt>
                <c:pt idx="4">
                  <c:v>2025</c:v>
                </c:pt>
                <c:pt idx="5">
                  <c:v>2026</c:v>
                </c:pt>
                <c:pt idx="6">
                  <c:v>2027</c:v>
                </c:pt>
                <c:pt idx="7">
                  <c:v>2028</c:v>
                </c:pt>
                <c:pt idx="8">
                  <c:v>2029</c:v>
                </c:pt>
                <c:pt idx="9">
                  <c:v>2030</c:v>
                </c:pt>
              </c:numCache>
            </c:numRef>
          </c:cat>
          <c:val>
            <c:numRef>
              <c:f>'Pathway Comparison'!$I$369:$I$378</c:f>
              <c:numCache>
                <c:formatCode>0.0%</c:formatCode>
                <c:ptCount val="10"/>
                <c:pt idx="0">
                  <c:v>4.4518987504133176E-3</c:v>
                </c:pt>
                <c:pt idx="1">
                  <c:v>1.640793824846731E-3</c:v>
                </c:pt>
                <c:pt idx="2">
                  <c:v>1.3375130786675627E-3</c:v>
                </c:pt>
                <c:pt idx="3">
                  <c:v>6.7190359384701913E-3</c:v>
                </c:pt>
                <c:pt idx="4">
                  <c:v>2.6313412189133811E-2</c:v>
                </c:pt>
                <c:pt idx="5">
                  <c:v>1.9579441044698415E-2</c:v>
                </c:pt>
                <c:pt idx="6">
                  <c:v>2.9856024921172963E-2</c:v>
                </c:pt>
                <c:pt idx="7">
                  <c:v>1.8522931019847092E-2</c:v>
                </c:pt>
                <c:pt idx="8">
                  <c:v>1.9246350722587423E-2</c:v>
                </c:pt>
                <c:pt idx="9">
                  <c:v>1.9632542681103211E-2</c:v>
                </c:pt>
              </c:numCache>
            </c:numRef>
          </c:val>
          <c:smooth val="0"/>
          <c:extLst>
            <c:ext xmlns:c16="http://schemas.microsoft.com/office/drawing/2014/chart" uri="{C3380CC4-5D6E-409C-BE32-E72D297353CC}">
              <c16:uniqueId val="{00000007-1B69-4EDA-82CB-92DD563FDA16}"/>
            </c:ext>
          </c:extLst>
        </c:ser>
        <c:dLbls>
          <c:showLegendKey val="0"/>
          <c:showVal val="0"/>
          <c:showCatName val="0"/>
          <c:showSerName val="0"/>
          <c:showPercent val="0"/>
          <c:showBubbleSize val="0"/>
        </c:dLbls>
        <c:marker val="1"/>
        <c:smooth val="0"/>
        <c:axId val="1233154223"/>
        <c:axId val="1233155663"/>
      </c:lineChart>
      <c:catAx>
        <c:axId val="12331542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1233155663"/>
        <c:crosses val="autoZero"/>
        <c:auto val="1"/>
        <c:lblAlgn val="ctr"/>
        <c:lblOffset val="100"/>
        <c:noMultiLvlLbl val="0"/>
      </c:catAx>
      <c:valAx>
        <c:axId val="123315566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a:t>Annual energy savings (%)</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1233154223"/>
        <c:crosses val="autoZero"/>
        <c:crossBetween val="midCat"/>
      </c:valAx>
      <c:spPr>
        <a:solidFill>
          <a:srgbClr val="D4ECBA">
            <a:alpha val="25000"/>
          </a:srgbClr>
        </a:solid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defRPr>
      </a:pPr>
      <a:endParaRPr lang="et-EE"/>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tx>
            <c:strRef>
              <c:f>'Pathway Comparison'!$B$379</c:f>
              <c:strCache>
                <c:ptCount val="1"/>
                <c:pt idx="0">
                  <c:v>Average annual energy savings 2024-2030 (%)</c:v>
                </c:pt>
              </c:strCache>
            </c:strRef>
          </c:tx>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ysClr val="windowText" lastClr="000000"/>
                    </a:solidFill>
                    <a:latin typeface="+mn-lt"/>
                    <a:ea typeface="+mn-ea"/>
                    <a:cs typeface="+mn-cs"/>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'Pathway Comparison'!$C$368:$I$368</c:f>
              <c:strCache>
                <c:ptCount val="7"/>
                <c:pt idx="0">
                  <c:v>Baseline</c:v>
                </c:pt>
                <c:pt idx="1">
                  <c:v>EEO</c:v>
                </c:pt>
                <c:pt idx="2">
                  <c:v>VA</c:v>
                </c:pt>
                <c:pt idx="3">
                  <c:v>Renowave</c:v>
                </c:pt>
                <c:pt idx="4">
                  <c:v>EET</c:v>
                </c:pt>
                <c:pt idx="5">
                  <c:v>CEER1</c:v>
                </c:pt>
                <c:pt idx="6">
                  <c:v>CEER2</c:v>
                </c:pt>
              </c:strCache>
            </c:strRef>
          </c:cat>
          <c:val>
            <c:numRef>
              <c:f>'Pathway Comparison'!$C$379:$I$379</c:f>
              <c:numCache>
                <c:formatCode>0.0%</c:formatCode>
                <c:ptCount val="7"/>
                <c:pt idx="0">
                  <c:v>1.4396817674703426E-3</c:v>
                </c:pt>
                <c:pt idx="1">
                  <c:v>1.1441664692584083E-2</c:v>
                </c:pt>
                <c:pt idx="2">
                  <c:v>1.0909683420612923E-2</c:v>
                </c:pt>
                <c:pt idx="3">
                  <c:v>1.5042082465692611E-2</c:v>
                </c:pt>
                <c:pt idx="4">
                  <c:v>1.3978120196927374E-2</c:v>
                </c:pt>
                <c:pt idx="5">
                  <c:v>1.334445651664423E-2</c:v>
                </c:pt>
                <c:pt idx="6">
                  <c:v>1.8623039991340743E-2</c:v>
                </c:pt>
              </c:numCache>
            </c:numRef>
          </c:val>
          <c:extLst>
            <c:ext xmlns:c16="http://schemas.microsoft.com/office/drawing/2014/chart" uri="{C3380CC4-5D6E-409C-BE32-E72D297353CC}">
              <c16:uniqueId val="{00000000-8DDF-4156-90EA-23E4A4433A2D}"/>
            </c:ext>
          </c:extLst>
        </c:ser>
        <c:dLbls>
          <c:showLegendKey val="0"/>
          <c:showVal val="0"/>
          <c:showCatName val="0"/>
          <c:showSerName val="0"/>
          <c:showPercent val="0"/>
          <c:showBubbleSize val="0"/>
        </c:dLbls>
        <c:gapWidth val="219"/>
        <c:axId val="1382551023"/>
        <c:axId val="1382551503"/>
      </c:barChart>
      <c:lineChart>
        <c:grouping val="standard"/>
        <c:varyColors val="0"/>
        <c:ser>
          <c:idx val="1"/>
          <c:order val="1"/>
          <c:tx>
            <c:strRef>
              <c:f>'Pathway Comparison'!$B$380</c:f>
              <c:strCache>
                <c:ptCount val="1"/>
                <c:pt idx="0">
                  <c:v>EED Recast target (2024-2030)</c:v>
                </c:pt>
              </c:strCache>
            </c:strRef>
          </c:tx>
          <c:spPr>
            <a:ln w="28575" cap="rnd">
              <a:solidFill>
                <a:schemeClr val="accent3"/>
              </a:solidFill>
              <a:prstDash val="solid"/>
              <a:round/>
            </a:ln>
            <a:effectLst/>
          </c:spPr>
          <c:marker>
            <c:symbol val="none"/>
          </c:marker>
          <c:cat>
            <c:strRef>
              <c:f>'Pathway Comparison'!$C$368:$H$368</c:f>
              <c:strCache>
                <c:ptCount val="6"/>
                <c:pt idx="0">
                  <c:v>Baseline</c:v>
                </c:pt>
                <c:pt idx="1">
                  <c:v>EEO</c:v>
                </c:pt>
                <c:pt idx="2">
                  <c:v>VA</c:v>
                </c:pt>
                <c:pt idx="3">
                  <c:v>Renowave</c:v>
                </c:pt>
                <c:pt idx="4">
                  <c:v>EET</c:v>
                </c:pt>
                <c:pt idx="5">
                  <c:v>CEER1</c:v>
                </c:pt>
              </c:strCache>
            </c:strRef>
          </c:cat>
          <c:val>
            <c:numRef>
              <c:f>'Pathway Comparison'!$C$380:$I$380</c:f>
              <c:numCache>
                <c:formatCode>0.0%</c:formatCode>
                <c:ptCount val="7"/>
                <c:pt idx="0">
                  <c:v>1.4999999999999999E-2</c:v>
                </c:pt>
                <c:pt idx="1">
                  <c:v>1.4999999999999999E-2</c:v>
                </c:pt>
                <c:pt idx="2">
                  <c:v>1.4999999999999999E-2</c:v>
                </c:pt>
                <c:pt idx="3">
                  <c:v>1.4999999999999999E-2</c:v>
                </c:pt>
                <c:pt idx="4">
                  <c:v>1.4999999999999999E-2</c:v>
                </c:pt>
                <c:pt idx="5">
                  <c:v>1.4999999999999999E-2</c:v>
                </c:pt>
                <c:pt idx="6">
                  <c:v>1.4999999999999999E-2</c:v>
                </c:pt>
              </c:numCache>
            </c:numRef>
          </c:val>
          <c:smooth val="0"/>
          <c:extLst>
            <c:ext xmlns:c16="http://schemas.microsoft.com/office/drawing/2014/chart" uri="{C3380CC4-5D6E-409C-BE32-E72D297353CC}">
              <c16:uniqueId val="{00000001-8DDF-4156-90EA-23E4A4433A2D}"/>
            </c:ext>
          </c:extLst>
        </c:ser>
        <c:ser>
          <c:idx val="2"/>
          <c:order val="2"/>
          <c:tx>
            <c:strRef>
              <c:f>'Pathway Comparison'!$B$381</c:f>
              <c:strCache>
                <c:ptCount val="1"/>
                <c:pt idx="0">
                  <c:v>EED target (2018 until 2023)</c:v>
                </c:pt>
              </c:strCache>
            </c:strRef>
          </c:tx>
          <c:spPr>
            <a:ln w="28575" cap="rnd">
              <a:solidFill>
                <a:schemeClr val="accent3">
                  <a:lumMod val="60000"/>
                  <a:lumOff val="40000"/>
                </a:schemeClr>
              </a:solidFill>
              <a:prstDash val="sysDash"/>
              <a:round/>
            </a:ln>
            <a:effectLst/>
          </c:spPr>
          <c:marker>
            <c:symbol val="none"/>
          </c:marker>
          <c:cat>
            <c:strRef>
              <c:f>'Pathway Comparison'!$C$368:$H$368</c:f>
              <c:strCache>
                <c:ptCount val="6"/>
                <c:pt idx="0">
                  <c:v>Baseline</c:v>
                </c:pt>
                <c:pt idx="1">
                  <c:v>EEO</c:v>
                </c:pt>
                <c:pt idx="2">
                  <c:v>VA</c:v>
                </c:pt>
                <c:pt idx="3">
                  <c:v>Renowave</c:v>
                </c:pt>
                <c:pt idx="4">
                  <c:v>EET</c:v>
                </c:pt>
                <c:pt idx="5">
                  <c:v>CEER1</c:v>
                </c:pt>
              </c:strCache>
            </c:strRef>
          </c:cat>
          <c:val>
            <c:numRef>
              <c:f>'Pathway Comparison'!$C$381:$I$381</c:f>
              <c:numCache>
                <c:formatCode>0.0%</c:formatCode>
                <c:ptCount val="7"/>
                <c:pt idx="0">
                  <c:v>8.0000000000000002E-3</c:v>
                </c:pt>
                <c:pt idx="1">
                  <c:v>8.0000000000000002E-3</c:v>
                </c:pt>
                <c:pt idx="2">
                  <c:v>8.0000000000000002E-3</c:v>
                </c:pt>
                <c:pt idx="3">
                  <c:v>8.0000000000000002E-3</c:v>
                </c:pt>
                <c:pt idx="4">
                  <c:v>8.0000000000000002E-3</c:v>
                </c:pt>
                <c:pt idx="5">
                  <c:v>8.0000000000000002E-3</c:v>
                </c:pt>
                <c:pt idx="6">
                  <c:v>8.0000000000000002E-3</c:v>
                </c:pt>
              </c:numCache>
            </c:numRef>
          </c:val>
          <c:smooth val="0"/>
          <c:extLst>
            <c:ext xmlns:c16="http://schemas.microsoft.com/office/drawing/2014/chart" uri="{C3380CC4-5D6E-409C-BE32-E72D297353CC}">
              <c16:uniqueId val="{00000002-8DDF-4156-90EA-23E4A4433A2D}"/>
            </c:ext>
          </c:extLst>
        </c:ser>
        <c:dLbls>
          <c:showLegendKey val="0"/>
          <c:showVal val="0"/>
          <c:showCatName val="0"/>
          <c:showSerName val="0"/>
          <c:showPercent val="0"/>
          <c:showBubbleSize val="0"/>
        </c:dLbls>
        <c:marker val="1"/>
        <c:smooth val="0"/>
        <c:axId val="1382551023"/>
        <c:axId val="1382551503"/>
      </c:lineChart>
      <c:catAx>
        <c:axId val="138255102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1382551503"/>
        <c:crosses val="autoZero"/>
        <c:auto val="1"/>
        <c:lblAlgn val="ctr"/>
        <c:lblOffset val="100"/>
        <c:noMultiLvlLbl val="0"/>
      </c:catAx>
      <c:valAx>
        <c:axId val="1382551503"/>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a:t>Average annual energy savings (%)</a:t>
                </a:r>
              </a:p>
            </c:rich>
          </c:tx>
          <c:overlay val="0"/>
          <c:spPr>
            <a:noFill/>
            <a:ln>
              <a:noFill/>
            </a:ln>
            <a:effectLst/>
          </c:spPr>
          <c:txPr>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title>
        <c:numFmt formatCode="0.0%" sourceLinked="1"/>
        <c:majorTickMark val="none"/>
        <c:minorTickMark val="none"/>
        <c:tickLblPos val="nextTo"/>
        <c:spPr>
          <a:noFill/>
          <a:ln>
            <a:noFill/>
          </a:ln>
          <a:effectLst/>
        </c:spPr>
        <c:txPr>
          <a:bodyPr rot="-600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crossAx val="1382551023"/>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endParaRPr lang="et-EE"/>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sz="800">
          <a:solidFill>
            <a:sysClr val="windowText" lastClr="000000"/>
          </a:solidFill>
        </a:defRPr>
      </a:pPr>
      <a:endParaRPr lang="et-EE"/>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8.1321082207951936E-2"/>
          <c:y val="4.249032865980272E-2"/>
          <c:w val="0.72821280068653993"/>
          <c:h val="0.85266105948433102"/>
        </c:manualLayout>
      </c:layout>
      <c:barChart>
        <c:barDir val="col"/>
        <c:grouping val="stacked"/>
        <c:varyColors val="0"/>
        <c:ser>
          <c:idx val="0"/>
          <c:order val="0"/>
          <c:tx>
            <c:strRef>
              <c:f>'Pathway Comparison'!$B$306</c:f>
              <c:strCache>
                <c:ptCount val="1"/>
                <c:pt idx="0">
                  <c:v>Industry</c:v>
                </c:pt>
              </c:strCache>
            </c:strRef>
          </c:tx>
          <c:spPr>
            <a:solidFill>
              <a:schemeClr val="accent3"/>
            </a:solidFill>
            <a:ln>
              <a:noFill/>
            </a:ln>
            <a:effectLst/>
          </c:spPr>
          <c:invertIfNegative val="0"/>
          <c:dLbls>
            <c:spPr>
              <a:noFill/>
              <a:ln>
                <a:noFill/>
              </a:ln>
              <a:effectLst/>
            </c:spPr>
            <c:txPr>
              <a:bodyPr wrap="square" lIns="38100" tIns="19050" rIns="38100" bIns="19050" anchor="ctr">
                <a:spAutoFit/>
              </a:bodyPr>
              <a:lstStyle/>
              <a:p>
                <a:pPr>
                  <a:defRPr sz="700" i="1">
                    <a:solidFill>
                      <a:schemeClr val="bg1"/>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Comparison'!$C$305:$J$305</c:f>
              <c:strCache>
                <c:ptCount val="8"/>
                <c:pt idx="0">
                  <c:v>W/o EE measures</c:v>
                </c:pt>
                <c:pt idx="1">
                  <c:v>Baseline</c:v>
                </c:pt>
                <c:pt idx="2">
                  <c:v>EEO</c:v>
                </c:pt>
                <c:pt idx="3">
                  <c:v>VA</c:v>
                </c:pt>
                <c:pt idx="4">
                  <c:v>Renowave</c:v>
                </c:pt>
                <c:pt idx="5">
                  <c:v>EET</c:v>
                </c:pt>
                <c:pt idx="6">
                  <c:v>CEER1</c:v>
                </c:pt>
                <c:pt idx="7">
                  <c:v>CEER2</c:v>
                </c:pt>
              </c:strCache>
            </c:strRef>
          </c:cat>
          <c:val>
            <c:numRef>
              <c:f>'Pathway Comparison'!$C$306:$J$306</c:f>
              <c:numCache>
                <c:formatCode>0.0</c:formatCode>
                <c:ptCount val="8"/>
                <c:pt idx="0">
                  <c:v>5.3877445220140556</c:v>
                </c:pt>
                <c:pt idx="1">
                  <c:v>5.0743111657033078</c:v>
                </c:pt>
                <c:pt idx="2">
                  <c:v>4.823722772845862</c:v>
                </c:pt>
                <c:pt idx="3">
                  <c:v>4.5226184244762271</c:v>
                </c:pt>
                <c:pt idx="4">
                  <c:v>4.9702241179233972</c:v>
                </c:pt>
                <c:pt idx="5">
                  <c:v>4.9702241179233972</c:v>
                </c:pt>
                <c:pt idx="6">
                  <c:v>4.7412116874785575</c:v>
                </c:pt>
                <c:pt idx="7">
                  <c:v>4.5521252692796104</c:v>
                </c:pt>
              </c:numCache>
            </c:numRef>
          </c:val>
          <c:extLst>
            <c:ext xmlns:c16="http://schemas.microsoft.com/office/drawing/2014/chart" uri="{C3380CC4-5D6E-409C-BE32-E72D297353CC}">
              <c16:uniqueId val="{00000000-2A65-4D17-8928-60CCDC35C947}"/>
            </c:ext>
          </c:extLst>
        </c:ser>
        <c:ser>
          <c:idx val="1"/>
          <c:order val="1"/>
          <c:tx>
            <c:strRef>
              <c:f>'Pathway Comparison'!$B$307</c:f>
              <c:strCache>
                <c:ptCount val="1"/>
                <c:pt idx="0">
                  <c:v>Households</c:v>
                </c:pt>
              </c:strCache>
            </c:strRef>
          </c:tx>
          <c:spPr>
            <a:solidFill>
              <a:schemeClr val="accent2"/>
            </a:solidFill>
            <a:ln>
              <a:noFill/>
            </a:ln>
            <a:effectLst/>
          </c:spPr>
          <c:invertIfNegative val="0"/>
          <c:dLbls>
            <c:spPr>
              <a:noFill/>
              <a:ln>
                <a:noFill/>
              </a:ln>
              <a:effectLst/>
            </c:spPr>
            <c:txPr>
              <a:bodyPr wrap="square" lIns="38100" tIns="19050" rIns="38100" bIns="19050" anchor="ctr">
                <a:spAutoFit/>
              </a:bodyPr>
              <a:lstStyle/>
              <a:p>
                <a:pPr>
                  <a:defRPr sz="700" i="1">
                    <a:solidFill>
                      <a:schemeClr val="bg1"/>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Comparison'!$C$305:$J$305</c:f>
              <c:strCache>
                <c:ptCount val="8"/>
                <c:pt idx="0">
                  <c:v>W/o EE measures</c:v>
                </c:pt>
                <c:pt idx="1">
                  <c:v>Baseline</c:v>
                </c:pt>
                <c:pt idx="2">
                  <c:v>EEO</c:v>
                </c:pt>
                <c:pt idx="3">
                  <c:v>VA</c:v>
                </c:pt>
                <c:pt idx="4">
                  <c:v>Renowave</c:v>
                </c:pt>
                <c:pt idx="5">
                  <c:v>EET</c:v>
                </c:pt>
                <c:pt idx="6">
                  <c:v>CEER1</c:v>
                </c:pt>
                <c:pt idx="7">
                  <c:v>CEER2</c:v>
                </c:pt>
              </c:strCache>
            </c:strRef>
          </c:cat>
          <c:val>
            <c:numRef>
              <c:f>'Pathway Comparison'!$C$307:$J$307</c:f>
              <c:numCache>
                <c:formatCode>0.0</c:formatCode>
                <c:ptCount val="8"/>
                <c:pt idx="0">
                  <c:v>10.867919286368789</c:v>
                </c:pt>
                <c:pt idx="1">
                  <c:v>10.67221906267803</c:v>
                </c:pt>
                <c:pt idx="2">
                  <c:v>9.6406363866099962</c:v>
                </c:pt>
                <c:pt idx="3">
                  <c:v>9.7255758195629767</c:v>
                </c:pt>
                <c:pt idx="4">
                  <c:v>8.5038616574724362</c:v>
                </c:pt>
                <c:pt idx="5">
                  <c:v>9.839845009733061</c:v>
                </c:pt>
                <c:pt idx="6">
                  <c:v>9.5793112561452691</c:v>
                </c:pt>
                <c:pt idx="7">
                  <c:v>9.1108075764479253</c:v>
                </c:pt>
              </c:numCache>
            </c:numRef>
          </c:val>
          <c:extLst>
            <c:ext xmlns:c16="http://schemas.microsoft.com/office/drawing/2014/chart" uri="{C3380CC4-5D6E-409C-BE32-E72D297353CC}">
              <c16:uniqueId val="{00000001-2A65-4D17-8928-60CCDC35C947}"/>
            </c:ext>
          </c:extLst>
        </c:ser>
        <c:ser>
          <c:idx val="2"/>
          <c:order val="2"/>
          <c:tx>
            <c:strRef>
              <c:f>'Pathway Comparison'!$B$308</c:f>
              <c:strCache>
                <c:ptCount val="1"/>
                <c:pt idx="0">
                  <c:v>Services</c:v>
                </c:pt>
              </c:strCache>
            </c:strRef>
          </c:tx>
          <c:spPr>
            <a:solidFill>
              <a:schemeClr val="accent4"/>
            </a:solidFill>
            <a:ln>
              <a:noFill/>
            </a:ln>
            <a:effectLst/>
          </c:spPr>
          <c:invertIfNegative val="0"/>
          <c:dLbls>
            <c:spPr>
              <a:noFill/>
              <a:ln>
                <a:noFill/>
              </a:ln>
              <a:effectLst/>
            </c:spPr>
            <c:txPr>
              <a:bodyPr wrap="square" lIns="38100" tIns="19050" rIns="38100" bIns="19050" anchor="ctr">
                <a:spAutoFit/>
              </a:bodyPr>
              <a:lstStyle/>
              <a:p>
                <a:pPr>
                  <a:defRPr sz="700" i="1">
                    <a:solidFill>
                      <a:schemeClr val="bg1"/>
                    </a:solidFill>
                  </a:defRPr>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Comparison'!$C$305:$J$305</c:f>
              <c:strCache>
                <c:ptCount val="8"/>
                <c:pt idx="0">
                  <c:v>W/o EE measures</c:v>
                </c:pt>
                <c:pt idx="1">
                  <c:v>Baseline</c:v>
                </c:pt>
                <c:pt idx="2">
                  <c:v>EEO</c:v>
                </c:pt>
                <c:pt idx="3">
                  <c:v>VA</c:v>
                </c:pt>
                <c:pt idx="4">
                  <c:v>Renowave</c:v>
                </c:pt>
                <c:pt idx="5">
                  <c:v>EET</c:v>
                </c:pt>
                <c:pt idx="6">
                  <c:v>CEER1</c:v>
                </c:pt>
                <c:pt idx="7">
                  <c:v>CEER2</c:v>
                </c:pt>
              </c:strCache>
            </c:strRef>
          </c:cat>
          <c:val>
            <c:numRef>
              <c:f>'Pathway Comparison'!$C$308:$J$308</c:f>
              <c:numCache>
                <c:formatCode>0.0</c:formatCode>
                <c:ptCount val="8"/>
                <c:pt idx="0">
                  <c:v>5.7116266861403782</c:v>
                </c:pt>
                <c:pt idx="1">
                  <c:v>5.609861158679422</c:v>
                </c:pt>
                <c:pt idx="2">
                  <c:v>4.9530882882189937</c:v>
                </c:pt>
                <c:pt idx="3">
                  <c:v>5.2943366794114404</c:v>
                </c:pt>
                <c:pt idx="4">
                  <c:v>5.1140157079120412</c:v>
                </c:pt>
                <c:pt idx="5">
                  <c:v>5.2943366794114404</c:v>
                </c:pt>
                <c:pt idx="6">
                  <c:v>5.2469304332957316</c:v>
                </c:pt>
                <c:pt idx="7">
                  <c:v>5.0098797079120407</c:v>
                </c:pt>
              </c:numCache>
            </c:numRef>
          </c:val>
          <c:extLst>
            <c:ext xmlns:c16="http://schemas.microsoft.com/office/drawing/2014/chart" uri="{C3380CC4-5D6E-409C-BE32-E72D297353CC}">
              <c16:uniqueId val="{00000002-2A65-4D17-8928-60CCDC35C947}"/>
            </c:ext>
          </c:extLst>
        </c:ser>
        <c:ser>
          <c:idx val="3"/>
          <c:order val="3"/>
          <c:tx>
            <c:strRef>
              <c:f>'Pathway Comparison'!$B$309</c:f>
              <c:strCache>
                <c:ptCount val="1"/>
                <c:pt idx="0">
                  <c:v>Transport</c:v>
                </c:pt>
              </c:strCache>
            </c:strRef>
          </c:tx>
          <c:spPr>
            <a:solidFill>
              <a:schemeClr val="accent5"/>
            </a:solidFill>
            <a:effectLst/>
          </c:spPr>
          <c:invertIfNegative val="0"/>
          <c:dLbls>
            <c:spPr>
              <a:noFill/>
              <a:ln>
                <a:noFill/>
              </a:ln>
              <a:effectLst/>
            </c:spPr>
            <c:txPr>
              <a:bodyPr wrap="square" lIns="38100" tIns="19050" rIns="38100" bIns="19050" anchor="ctr">
                <a:spAutoFit/>
              </a:bodyPr>
              <a:lstStyle/>
              <a:p>
                <a:pPr>
                  <a:defRPr sz="700" i="1"/>
                </a:pPr>
                <a:endParaRPr lang="et-EE"/>
              </a:p>
            </c:txP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'Pathway Comparison'!$C$305:$J$305</c:f>
              <c:strCache>
                <c:ptCount val="8"/>
                <c:pt idx="0">
                  <c:v>W/o EE measures</c:v>
                </c:pt>
                <c:pt idx="1">
                  <c:v>Baseline</c:v>
                </c:pt>
                <c:pt idx="2">
                  <c:v>EEO</c:v>
                </c:pt>
                <c:pt idx="3">
                  <c:v>VA</c:v>
                </c:pt>
                <c:pt idx="4">
                  <c:v>Renowave</c:v>
                </c:pt>
                <c:pt idx="5">
                  <c:v>EET</c:v>
                </c:pt>
                <c:pt idx="6">
                  <c:v>CEER1</c:v>
                </c:pt>
                <c:pt idx="7">
                  <c:v>CEER2</c:v>
                </c:pt>
              </c:strCache>
            </c:strRef>
          </c:cat>
          <c:val>
            <c:numRef>
              <c:f>'Pathway Comparison'!$C$309:$J$309</c:f>
              <c:numCache>
                <c:formatCode>0.0</c:formatCode>
                <c:ptCount val="8"/>
                <c:pt idx="0">
                  <c:v>10.631532254885895</c:v>
                </c:pt>
                <c:pt idx="1">
                  <c:v>10.468989741602083</c:v>
                </c:pt>
                <c:pt idx="2">
                  <c:v>10.014655587387709</c:v>
                </c:pt>
                <c:pt idx="3">
                  <c:v>10.014655587387709</c:v>
                </c:pt>
                <c:pt idx="4">
                  <c:v>10.014655587387709</c:v>
                </c:pt>
                <c:pt idx="5">
                  <c:v>8.697049056087609</c:v>
                </c:pt>
                <c:pt idx="6">
                  <c:v>9.3829933018857972</c:v>
                </c:pt>
                <c:pt idx="7">
                  <c:v>9.0364935005320532</c:v>
                </c:pt>
              </c:numCache>
            </c:numRef>
          </c:val>
          <c:extLst>
            <c:ext xmlns:c16="http://schemas.microsoft.com/office/drawing/2014/chart" uri="{C3380CC4-5D6E-409C-BE32-E72D297353CC}">
              <c16:uniqueId val="{00000003-2A65-4D17-8928-60CCDC35C947}"/>
            </c:ext>
          </c:extLst>
        </c:ser>
        <c:ser>
          <c:idx val="4"/>
          <c:order val="4"/>
          <c:tx>
            <c:strRef>
              <c:f>'Pathway Comparison'!$B$310</c:f>
              <c:strCache>
                <c:ptCount val="1"/>
                <c:pt idx="0">
                  <c:v>Agriculture, fishing and forestry</c:v>
                </c:pt>
              </c:strCache>
            </c:strRef>
          </c:tx>
          <c:spPr>
            <a:solidFill>
              <a:srgbClr val="993366"/>
            </a:solidFill>
            <a:effectLst/>
          </c:spPr>
          <c:invertIfNegative val="0"/>
          <c:dLbls>
            <c:dLbl>
              <c:idx val="0"/>
              <c:tx>
                <c:rich>
                  <a:bodyPr/>
                  <a:lstStyle/>
                  <a:p>
                    <a:fld id="{B1551B38-0595-4F91-8FF7-4170F0B28E4F}"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4-2A65-4D17-8928-60CCDC35C947}"/>
                </c:ext>
              </c:extLst>
            </c:dLbl>
            <c:dLbl>
              <c:idx val="1"/>
              <c:tx>
                <c:rich>
                  <a:bodyPr/>
                  <a:lstStyle/>
                  <a:p>
                    <a:fld id="{9B6E7637-C962-45E5-B2AC-4C222A6641F4}"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5-2A65-4D17-8928-60CCDC35C947}"/>
                </c:ext>
              </c:extLst>
            </c:dLbl>
            <c:dLbl>
              <c:idx val="2"/>
              <c:tx>
                <c:rich>
                  <a:bodyPr/>
                  <a:lstStyle/>
                  <a:p>
                    <a:fld id="{404BD05C-EC15-4E32-AF2F-DC6F459583C2}"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6-2A65-4D17-8928-60CCDC35C947}"/>
                </c:ext>
              </c:extLst>
            </c:dLbl>
            <c:dLbl>
              <c:idx val="3"/>
              <c:tx>
                <c:rich>
                  <a:bodyPr/>
                  <a:lstStyle/>
                  <a:p>
                    <a:fld id="{E9E1B581-A49D-420B-BC31-1EA0330C9F5A}"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7-2A65-4D17-8928-60CCDC35C947}"/>
                </c:ext>
              </c:extLst>
            </c:dLbl>
            <c:dLbl>
              <c:idx val="4"/>
              <c:layout>
                <c:manualLayout>
                  <c:x val="-6.4199018241059748E-17"/>
                  <c:y val="-6.9948144766405082E-2"/>
                </c:manualLayout>
              </c:layout>
              <c:tx>
                <c:rich>
                  <a:bodyPr wrap="square" lIns="38100" tIns="19050" rIns="38100" bIns="19050" anchor="ctr">
                    <a:spAutoFit/>
                  </a:bodyPr>
                  <a:lstStyle/>
                  <a:p>
                    <a:pPr>
                      <a:defRPr sz="900" b="1">
                        <a:solidFill>
                          <a:srgbClr val="008000"/>
                        </a:solidFill>
                      </a:defRPr>
                    </a:pPr>
                    <a:fld id="{34686723-4E52-4001-A8E8-785A9FA27CD2}" type="CELLRANGE">
                      <a:rPr lang="en-US"/>
                      <a:pPr>
                        <a:defRPr sz="900" b="1">
                          <a:solidFill>
                            <a:srgbClr val="008000"/>
                          </a:solidFill>
                        </a:defRPr>
                      </a:pPr>
                      <a:t>[CELLRANGE]</a:t>
                    </a:fld>
                    <a:endParaRPr lang="et-E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8-2A65-4D17-8928-60CCDC35C947}"/>
                </c:ext>
              </c:extLst>
            </c:dLbl>
            <c:dLbl>
              <c:idx val="5"/>
              <c:tx>
                <c:rich>
                  <a:bodyPr/>
                  <a:lstStyle/>
                  <a:p>
                    <a:fld id="{A13D9417-FB23-4045-AA78-668A45DD6D91}" type="CELLRANGE">
                      <a:rPr lang="en-US"/>
                      <a:pPr/>
                      <a:t>[CELLRANGE]</a:t>
                    </a:fld>
                    <a:endParaRPr lang="et-EE"/>
                  </a:p>
                </c:rich>
              </c:tx>
              <c:dLblPos val="inBase"/>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9-2A65-4D17-8928-60CCDC35C947}"/>
                </c:ext>
              </c:extLst>
            </c:dLbl>
            <c:dLbl>
              <c:idx val="6"/>
              <c:layout>
                <c:manualLayout>
                  <c:x val="0"/>
                  <c:y val="-6.2222630464622772E-2"/>
                </c:manualLayout>
              </c:layout>
              <c:tx>
                <c:rich>
                  <a:bodyPr wrap="square" lIns="38100" tIns="19050" rIns="38100" bIns="19050" anchor="ctr">
                    <a:spAutoFit/>
                  </a:bodyPr>
                  <a:lstStyle/>
                  <a:p>
                    <a:pPr>
                      <a:defRPr sz="900" b="1">
                        <a:solidFill>
                          <a:srgbClr val="008000"/>
                        </a:solidFill>
                      </a:defRPr>
                    </a:pPr>
                    <a:fld id="{C8B73D3C-8691-4C6B-A34A-6AFF6ED697A6}" type="CELLRANGE">
                      <a:rPr lang="en-US"/>
                      <a:pPr>
                        <a:defRPr sz="900" b="1">
                          <a:solidFill>
                            <a:srgbClr val="008000"/>
                          </a:solidFill>
                        </a:defRPr>
                      </a:pPr>
                      <a:t>[CELLRANGE]</a:t>
                    </a:fld>
                    <a:endParaRPr lang="et-E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A-2A65-4D17-8928-60CCDC35C947}"/>
                </c:ext>
              </c:extLst>
            </c:dLbl>
            <c:dLbl>
              <c:idx val="7"/>
              <c:layout>
                <c:manualLayout>
                  <c:x val="0"/>
                  <c:y val="-7.3810901917296279E-2"/>
                </c:manualLayout>
              </c:layout>
              <c:tx>
                <c:rich>
                  <a:bodyPr wrap="square" lIns="38100" tIns="19050" rIns="38100" bIns="19050" anchor="ctr">
                    <a:spAutoFit/>
                  </a:bodyPr>
                  <a:lstStyle/>
                  <a:p>
                    <a:pPr>
                      <a:defRPr sz="900" b="1">
                        <a:solidFill>
                          <a:srgbClr val="008000"/>
                        </a:solidFill>
                      </a:defRPr>
                    </a:pPr>
                    <a:fld id="{5F983062-5643-4B3B-88F2-F9E707CD63AF}" type="CELLRANGE">
                      <a:rPr lang="en-US"/>
                      <a:pPr>
                        <a:defRPr sz="900" b="1">
                          <a:solidFill>
                            <a:srgbClr val="008000"/>
                          </a:solidFill>
                        </a:defRPr>
                      </a:pPr>
                      <a:t>[CELLRANGE]</a:t>
                    </a:fld>
                    <a:endParaRPr lang="et-EE"/>
                  </a:p>
                </c:rich>
              </c:tx>
              <c:spPr>
                <a:noFill/>
                <a:ln>
                  <a:noFill/>
                </a:ln>
                <a:effectLst/>
              </c:spPr>
              <c:dLblPos val="ctr"/>
              <c:showLegendKey val="0"/>
              <c:showVal val="0"/>
              <c:showCatName val="0"/>
              <c:showSerName val="0"/>
              <c:showPercent val="0"/>
              <c:showBubbleSize val="0"/>
              <c:extLst>
                <c:ext xmlns:c15="http://schemas.microsoft.com/office/drawing/2012/chart" uri="{CE6537A1-D6FC-4f65-9D91-7224C49458BB}">
                  <c15:dlblFieldTable/>
                  <c15:showDataLabelsRange val="1"/>
                </c:ext>
                <c:ext xmlns:c16="http://schemas.microsoft.com/office/drawing/2014/chart" uri="{C3380CC4-5D6E-409C-BE32-E72D297353CC}">
                  <c16:uniqueId val="{0000000B-2A65-4D17-8928-60CCDC35C947}"/>
                </c:ext>
              </c:extLst>
            </c:dLbl>
            <c:spPr>
              <a:noFill/>
              <a:ln>
                <a:noFill/>
              </a:ln>
              <a:effectLst/>
            </c:spPr>
            <c:txPr>
              <a:bodyPr wrap="square" lIns="38100" tIns="19050" rIns="38100" bIns="19050" anchor="ctr">
                <a:spAutoFit/>
              </a:bodyPr>
              <a:lstStyle/>
              <a:p>
                <a:pPr>
                  <a:defRPr sz="900" b="1">
                    <a:solidFill>
                      <a:sysClr val="windowText" lastClr="000000"/>
                    </a:solidFill>
                  </a:defRPr>
                </a:pPr>
                <a:endParaRPr lang="et-EE"/>
              </a:p>
            </c:txPr>
            <c:dLblPos val="inBase"/>
            <c:showLegendKey val="0"/>
            <c:showVal val="0"/>
            <c:showCatName val="0"/>
            <c:showSerName val="0"/>
            <c:showPercent val="0"/>
            <c:showBubbleSize val="0"/>
            <c:showLeaderLines val="0"/>
            <c:extLst>
              <c:ext xmlns:c15="http://schemas.microsoft.com/office/drawing/2012/chart" uri="{CE6537A1-D6FC-4f65-9D91-7224C49458BB}">
                <c15:showDataLabelsRange val="1"/>
                <c15:showLeaderLines val="1"/>
              </c:ext>
            </c:extLst>
          </c:dLbls>
          <c:cat>
            <c:strRef>
              <c:f>'Pathway Comparison'!$C$305:$J$305</c:f>
              <c:strCache>
                <c:ptCount val="8"/>
                <c:pt idx="0">
                  <c:v>W/o EE measures</c:v>
                </c:pt>
                <c:pt idx="1">
                  <c:v>Baseline</c:v>
                </c:pt>
                <c:pt idx="2">
                  <c:v>EEO</c:v>
                </c:pt>
                <c:pt idx="3">
                  <c:v>VA</c:v>
                </c:pt>
                <c:pt idx="4">
                  <c:v>Renowave</c:v>
                </c:pt>
                <c:pt idx="5">
                  <c:v>EET</c:v>
                </c:pt>
                <c:pt idx="6">
                  <c:v>CEER1</c:v>
                </c:pt>
                <c:pt idx="7">
                  <c:v>CEER2</c:v>
                </c:pt>
              </c:strCache>
            </c:strRef>
          </c:cat>
          <c:val>
            <c:numRef>
              <c:f>'Pathway Comparison'!$C$310:$J$310</c:f>
              <c:numCache>
                <c:formatCode>0.0</c:formatCode>
                <c:ptCount val="8"/>
                <c:pt idx="0">
                  <c:v>0.99083333333333334</c:v>
                </c:pt>
                <c:pt idx="1">
                  <c:v>0.97525500085004602</c:v>
                </c:pt>
                <c:pt idx="2">
                  <c:v>0.94805500085004601</c:v>
                </c:pt>
                <c:pt idx="3">
                  <c:v>0.94805500085004601</c:v>
                </c:pt>
                <c:pt idx="4">
                  <c:v>0.94805500085004601</c:v>
                </c:pt>
                <c:pt idx="5">
                  <c:v>0.94805500085004601</c:v>
                </c:pt>
                <c:pt idx="6">
                  <c:v>0.94805500085004601</c:v>
                </c:pt>
                <c:pt idx="7">
                  <c:v>0.94805500085004601</c:v>
                </c:pt>
              </c:numCache>
            </c:numRef>
          </c:val>
          <c:extLst>
            <c:ext xmlns:c15="http://schemas.microsoft.com/office/drawing/2012/chart" uri="{02D57815-91ED-43cb-92C2-25804820EDAC}">
              <c15:datalabelsRange>
                <c15:f>'Pathway Comparison'!$C$312:$J$312</c15:f>
                <c15:dlblRangeCache>
                  <c:ptCount val="8"/>
                  <c:pt idx="0">
                    <c:v>33,6</c:v>
                  </c:pt>
                  <c:pt idx="1">
                    <c:v>32,8</c:v>
                  </c:pt>
                  <c:pt idx="2">
                    <c:v>30,4</c:v>
                  </c:pt>
                  <c:pt idx="3">
                    <c:v>30,5</c:v>
                  </c:pt>
                  <c:pt idx="4">
                    <c:v>29,6</c:v>
                  </c:pt>
                  <c:pt idx="5">
                    <c:v>29,7</c:v>
                  </c:pt>
                  <c:pt idx="6">
                    <c:v>29,9</c:v>
                  </c:pt>
                  <c:pt idx="7">
                    <c:v>28,7</c:v>
                  </c:pt>
                </c15:dlblRangeCache>
              </c15:datalabelsRange>
            </c:ext>
            <c:ext xmlns:c16="http://schemas.microsoft.com/office/drawing/2014/chart" uri="{C3380CC4-5D6E-409C-BE32-E72D297353CC}">
              <c16:uniqueId val="{0000000C-2A65-4D17-8928-60CCDC35C947}"/>
            </c:ext>
          </c:extLst>
        </c:ser>
        <c:dLbls>
          <c:showLegendKey val="0"/>
          <c:showVal val="0"/>
          <c:showCatName val="0"/>
          <c:showSerName val="0"/>
          <c:showPercent val="0"/>
          <c:showBubbleSize val="0"/>
        </c:dLbls>
        <c:gapWidth val="150"/>
        <c:overlap val="100"/>
        <c:axId val="1233160943"/>
        <c:axId val="1550616095"/>
      </c:barChart>
      <c:lineChart>
        <c:grouping val="standard"/>
        <c:varyColors val="0"/>
        <c:ser>
          <c:idx val="5"/>
          <c:order val="5"/>
          <c:tx>
            <c:strRef>
              <c:f>'Pathway Comparison'!$B$311</c:f>
              <c:strCache>
                <c:ptCount val="1"/>
                <c:pt idx="0">
                  <c:v>EED target</c:v>
                </c:pt>
              </c:strCache>
            </c:strRef>
          </c:tx>
          <c:spPr>
            <a:ln>
              <a:solidFill>
                <a:schemeClr val="accent3"/>
              </a:solidFill>
              <a:prstDash val="sysDot"/>
            </a:ln>
          </c:spPr>
          <c:marker>
            <c:symbol val="none"/>
          </c:marker>
          <c:cat>
            <c:strRef>
              <c:f>'Pathway Comparison'!$C$305:$J$305</c:f>
              <c:strCache>
                <c:ptCount val="8"/>
                <c:pt idx="0">
                  <c:v>W/o EE measures</c:v>
                </c:pt>
                <c:pt idx="1">
                  <c:v>Baseline</c:v>
                </c:pt>
                <c:pt idx="2">
                  <c:v>EEO</c:v>
                </c:pt>
                <c:pt idx="3">
                  <c:v>VA</c:v>
                </c:pt>
                <c:pt idx="4">
                  <c:v>Renowave</c:v>
                </c:pt>
                <c:pt idx="5">
                  <c:v>EET</c:v>
                </c:pt>
                <c:pt idx="6">
                  <c:v>CEER1</c:v>
                </c:pt>
                <c:pt idx="7">
                  <c:v>CEER2</c:v>
                </c:pt>
              </c:strCache>
            </c:strRef>
          </c:cat>
          <c:val>
            <c:numRef>
              <c:f>'Pathway Comparison'!$C$311:$J$311</c:f>
              <c:numCache>
                <c:formatCode>0.0</c:formatCode>
                <c:ptCount val="8"/>
                <c:pt idx="0">
                  <c:v>30</c:v>
                </c:pt>
                <c:pt idx="1">
                  <c:v>30</c:v>
                </c:pt>
                <c:pt idx="2">
                  <c:v>30</c:v>
                </c:pt>
                <c:pt idx="3">
                  <c:v>30</c:v>
                </c:pt>
                <c:pt idx="4">
                  <c:v>30</c:v>
                </c:pt>
                <c:pt idx="5">
                  <c:v>30</c:v>
                </c:pt>
                <c:pt idx="6">
                  <c:v>30</c:v>
                </c:pt>
                <c:pt idx="7">
                  <c:v>30</c:v>
                </c:pt>
              </c:numCache>
            </c:numRef>
          </c:val>
          <c:smooth val="0"/>
          <c:extLst>
            <c:ext xmlns:c16="http://schemas.microsoft.com/office/drawing/2014/chart" uri="{C3380CC4-5D6E-409C-BE32-E72D297353CC}">
              <c16:uniqueId val="{0000000D-2A65-4D17-8928-60CCDC35C947}"/>
            </c:ext>
          </c:extLst>
        </c:ser>
        <c:dLbls>
          <c:showLegendKey val="0"/>
          <c:showVal val="0"/>
          <c:showCatName val="0"/>
          <c:showSerName val="0"/>
          <c:showPercent val="0"/>
          <c:showBubbleSize val="0"/>
        </c:dLbls>
        <c:marker val="1"/>
        <c:smooth val="0"/>
        <c:axId val="1233160943"/>
        <c:axId val="1550616095"/>
      </c:lineChart>
      <c:catAx>
        <c:axId val="1233160943"/>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crossAx val="1550616095"/>
        <c:crosses val="autoZero"/>
        <c:auto val="1"/>
        <c:lblAlgn val="ctr"/>
        <c:lblOffset val="100"/>
        <c:noMultiLvlLbl val="0"/>
      </c:catAx>
      <c:valAx>
        <c:axId val="1550616095"/>
        <c:scaling>
          <c:orientation val="minMax"/>
        </c:scaling>
        <c:delete val="0"/>
        <c:axPos val="l"/>
        <c:majorGridlines>
          <c:spPr>
            <a:ln w="9525" cap="flat" cmpd="sng" algn="ctr">
              <a:solidFill>
                <a:schemeClr val="tx1">
                  <a:lumMod val="15000"/>
                  <a:lumOff val="85000"/>
                </a:schemeClr>
              </a:solidFill>
              <a:round/>
            </a:ln>
            <a:effectLst/>
          </c:spPr>
        </c:majorGridlines>
        <c:title>
          <c:tx>
            <c:rich>
              <a:bodyPr rot="-5400000" spcFirstLastPara="1" vertOverflow="ellipsis" vert="horz" wrap="square" anchor="ctr" anchorCtr="1"/>
              <a:lstStyle/>
              <a:p>
                <a:pPr>
                  <a:defRPr sz="800" b="0" i="0" u="none" strike="noStrike" kern="1200" baseline="0">
                    <a:solidFill>
                      <a:sysClr val="windowText" lastClr="000000"/>
                    </a:solidFill>
                    <a:latin typeface="+mn-lt"/>
                    <a:ea typeface="+mn-ea"/>
                    <a:cs typeface="+mn-cs"/>
                  </a:defRPr>
                </a:pPr>
                <a:r>
                  <a:rPr lang="en-GB" sz="800"/>
                  <a:t>Final energy consumption, 2030 (TWh)</a:t>
                </a:r>
              </a:p>
            </c:rich>
          </c:tx>
          <c:overlay val="0"/>
          <c:spPr>
            <a:noFill/>
            <a:ln>
              <a:noFill/>
            </a:ln>
            <a:effectLst/>
          </c:spPr>
        </c:title>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crossAx val="1233160943"/>
        <c:crosses val="autoZero"/>
        <c:crossBetween val="between"/>
      </c:valAx>
    </c:plotArea>
    <c:legend>
      <c:legendPos val="r"/>
      <c:layout>
        <c:manualLayout>
          <c:xMode val="edge"/>
          <c:yMode val="edge"/>
          <c:x val="0.8388430697760858"/>
          <c:y val="0.10543471681884004"/>
          <c:w val="0.15019531524655602"/>
          <c:h val="0.80844404796266933"/>
        </c:manualLayout>
      </c:layout>
      <c:overlay val="0"/>
      <c:spPr>
        <a:noFill/>
        <a:ln>
          <a:noFill/>
        </a:ln>
        <a:effectLst/>
      </c:spPr>
      <c:txPr>
        <a:bodyPr rot="0" spcFirstLastPara="1" vertOverflow="ellipsis" vert="horz" wrap="square" anchor="ctr" anchorCtr="1"/>
        <a:lstStyle/>
        <a:p>
          <a:pPr>
            <a:defRPr sz="700" b="0" i="0" u="none" strike="noStrike" kern="1200" baseline="0">
              <a:solidFill>
                <a:sysClr val="windowText" lastClr="000000"/>
              </a:solidFill>
              <a:latin typeface="+mn-lt"/>
              <a:ea typeface="+mn-ea"/>
              <a:cs typeface="+mn-cs"/>
            </a:defRPr>
          </a:pPr>
          <a:endParaRPr lang="et-EE"/>
        </a:p>
      </c:txPr>
    </c:legend>
    <c:plotVisOnly val="1"/>
    <c:dispBlanksAs val="gap"/>
    <c:showDLblsOverMax val="0"/>
    <c:extLst/>
  </c:chart>
  <c:spPr>
    <a:solidFill>
      <a:schemeClr val="bg1"/>
    </a:solidFill>
    <a:ln w="9525" cap="flat" cmpd="sng" algn="ctr">
      <a:noFill/>
      <a:round/>
    </a:ln>
    <a:effectLst/>
  </c:spPr>
  <c:txPr>
    <a:bodyPr/>
    <a:lstStyle/>
    <a:p>
      <a:pPr>
        <a:defRPr>
          <a:solidFill>
            <a:sysClr val="windowText" lastClr="000000"/>
          </a:solidFill>
        </a:defRPr>
      </a:pPr>
      <a:endParaRPr lang="et-EE"/>
    </a:p>
  </c:txPr>
  <c:printSettings>
    <c:headerFooter/>
    <c:pageMargins b="0.75" l="0.7" r="0.7" t="0.75" header="0.3" footer="0.3"/>
    <c:pageSetup/>
  </c:printSettings>
  <c:userShapes r:id="rId1"/>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withinLinear" id="16">
  <a:schemeClr val="accent3"/>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7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ln w="9525" cap="flat" cmpd="sng" algn="ctr">
        <a:solidFill>
          <a:schemeClr val="tx1">
            <a:lumMod val="15000"/>
            <a:lumOff val="85000"/>
          </a:schemeClr>
        </a:solidFill>
        <a:round/>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102">
  <cs:axisTitle>
    <cs:lnRef idx="0"/>
    <cs:fillRef idx="0"/>
    <cs:effectRef idx="0"/>
    <cs:fontRef idx="minor">
      <a:schemeClr val="tx1"/>
    </cs:fontRef>
    <cs:defRPr sz="1000" b="1" kern="1200"/>
  </cs:axisTitle>
  <cs:categoryAxis>
    <cs:lnRef idx="1">
      <a:schemeClr val="tx1">
        <a:tint val="75000"/>
      </a:schemeClr>
    </cs:lnRef>
    <cs:fillRef idx="0"/>
    <cs:effectRef idx="0"/>
    <cs:fontRef idx="minor">
      <a:schemeClr val="tx1"/>
    </cs:fontRef>
    <cs:spPr>
      <a:ln>
        <a:round/>
      </a:ln>
    </cs:spPr>
    <cs:defRPr sz="1000" kern="1200"/>
  </cs:categoryAxis>
  <cs:chartArea mods="allowNoFillOverride allowNoLineOverride">
    <cs:lnRef idx="1">
      <a:schemeClr val="tx1">
        <a:tint val="75000"/>
      </a:schemeClr>
    </cs:lnRef>
    <cs:fillRef idx="1">
      <a:schemeClr val="bg1"/>
    </cs:fillRef>
    <cs:effectRef idx="0"/>
    <cs:fontRef idx="minor">
      <a:schemeClr val="tx1"/>
    </cs:fontRef>
    <cs:spPr>
      <a:ln>
        <a:round/>
      </a:ln>
    </cs:spPr>
    <cs:defRPr sz="1000" kern="1200"/>
  </cs:chartArea>
  <cs:dataLabel>
    <cs:lnRef idx="0"/>
    <cs:fillRef idx="0"/>
    <cs:effectRef idx="0"/>
    <cs:fontRef idx="minor">
      <a:schemeClr val="tx1"/>
    </cs:fontRef>
    <cs:defRPr sz="1000" kern="1200"/>
  </cs:dataLabel>
  <cs:dataLabelCallout>
    <cs:lnRef idx="0"/>
    <cs:fillRef idx="0"/>
    <cs:effectRef idx="0"/>
    <cs:fontRef idx="minor">
      <a:schemeClr val="dk1"/>
    </cs:fontRef>
    <cs:spPr>
      <a:solidFill>
        <a:schemeClr val="lt1"/>
      </a:solidFill>
      <a:ln>
        <a:solidFill>
          <a:schemeClr val="dk1">
            <a:lumMod val="65000"/>
            <a:lumOff val="35000"/>
          </a:schemeClr>
        </a:solidFill>
      </a:ln>
    </cs:spPr>
    <cs:defRPr sz="1000" kern="1200"/>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1">
      <cs:styleClr val="auto"/>
    </cs:lnRef>
    <cs:lineWidthScale>3</cs:lineWidthScale>
    <cs:fillRef idx="0"/>
    <cs:effectRef idx="0"/>
    <cs:fontRef idx="minor">
      <a:schemeClr val="tx1"/>
    </cs:fontRef>
    <cs:spPr>
      <a:ln cap="rnd">
        <a:round/>
      </a:ln>
    </cs:spPr>
  </cs:dataPointLine>
  <cs:dataPointMarker>
    <cs:lnRef idx="1">
      <cs:styleClr val="auto"/>
    </cs:lnRef>
    <cs:fillRef idx="1">
      <cs:styleClr val="auto"/>
    </cs:fillRef>
    <cs:effectRef idx="0"/>
    <cs:fontRef idx="minor">
      <a:schemeClr val="tx1"/>
    </cs:fontRef>
    <cs:spPr>
      <a:ln>
        <a:round/>
      </a:ln>
    </cs:spPr>
  </cs:dataPointMarker>
  <cs:dataPointMarkerLayout/>
  <cs:dataPointWireframe>
    <cs:lnRef idx="1">
      <cs:styleClr val="auto"/>
    </cs:lnRef>
    <cs:fillRef idx="0"/>
    <cs:effectRef idx="0"/>
    <cs:fontRef idx="minor">
      <a:schemeClr val="tx1"/>
    </cs:fontRef>
    <cs:spPr>
      <a:ln>
        <a:round/>
      </a:ln>
    </cs:spPr>
  </cs:dataPointWireframe>
  <cs:dataTable>
    <cs:lnRef idx="1">
      <a:schemeClr val="tx1">
        <a:tint val="75000"/>
      </a:schemeClr>
    </cs:lnRef>
    <cs:fillRef idx="0"/>
    <cs:effectRef idx="0"/>
    <cs:fontRef idx="minor">
      <a:schemeClr val="tx1"/>
    </cs:fontRef>
    <cs:spPr>
      <a:ln>
        <a:round/>
      </a:ln>
    </cs:spPr>
    <cs:defRPr sz="1000" kern="1200"/>
  </cs:dataTable>
  <cs:downBar>
    <cs:lnRef idx="1">
      <a:schemeClr val="tx1"/>
    </cs:lnRef>
    <cs:fillRef idx="1">
      <a:schemeClr val="dk1">
        <a:tint val="95000"/>
      </a:schemeClr>
    </cs:fillRef>
    <cs:effectRef idx="0"/>
    <cs:fontRef idx="minor">
      <a:schemeClr val="tx1"/>
    </cs:fontRef>
    <cs:spPr>
      <a:ln>
        <a:round/>
      </a:ln>
    </cs:spPr>
  </cs:downBar>
  <cs:dropLine>
    <cs:lnRef idx="1">
      <a:schemeClr val="tx1"/>
    </cs:lnRef>
    <cs:fillRef idx="0"/>
    <cs:effectRef idx="0"/>
    <cs:fontRef idx="minor">
      <a:schemeClr val="tx1"/>
    </cs:fontRef>
    <cs:spPr>
      <a:ln>
        <a:round/>
      </a:ln>
    </cs:spPr>
  </cs:dropLine>
  <cs:errorBar>
    <cs:lnRef idx="1">
      <a:schemeClr val="tx1"/>
    </cs:lnRef>
    <cs:fillRef idx="1">
      <a:schemeClr val="tx1"/>
    </cs:fillRef>
    <cs:effectRef idx="0"/>
    <cs:fontRef idx="minor">
      <a:schemeClr val="tx1"/>
    </cs:fontRef>
    <cs:spPr>
      <a:ln>
        <a:round/>
      </a:ln>
    </cs:spPr>
  </cs:errorBar>
  <cs:floor>
    <cs:lnRef idx="1">
      <a:schemeClr val="tx1">
        <a:tint val="75000"/>
      </a:schemeClr>
    </cs:lnRef>
    <cs:fillRef idx="0"/>
    <cs:effectRef idx="0"/>
    <cs:fontRef idx="minor">
      <a:schemeClr val="tx1"/>
    </cs:fontRef>
    <cs:spPr>
      <a:ln>
        <a:round/>
      </a:ln>
    </cs:spPr>
  </cs:floor>
  <cs:gridlineMajor>
    <cs:lnRef idx="1">
      <a:schemeClr val="tx1">
        <a:tint val="75000"/>
      </a:schemeClr>
    </cs:lnRef>
    <cs:fillRef idx="0"/>
    <cs:effectRef idx="0"/>
    <cs:fontRef idx="minor">
      <a:schemeClr val="tx1"/>
    </cs:fontRef>
    <cs:spPr>
      <a:ln>
        <a:round/>
      </a:ln>
    </cs:spPr>
  </cs:gridlineMajor>
  <cs:gridlineMinor>
    <cs:lnRef idx="1">
      <a:schemeClr val="tx1">
        <a:tint val="50000"/>
      </a:schemeClr>
    </cs:lnRef>
    <cs:fillRef idx="0"/>
    <cs:effectRef idx="0"/>
    <cs:fontRef idx="minor">
      <a:schemeClr val="tx1"/>
    </cs:fontRef>
    <cs:spPr>
      <a:ln>
        <a:round/>
      </a:ln>
    </cs:spPr>
  </cs:gridlineMinor>
  <cs:hiLoLine>
    <cs:lnRef idx="1">
      <a:schemeClr val="tx1"/>
    </cs:lnRef>
    <cs:fillRef idx="0"/>
    <cs:effectRef idx="0"/>
    <cs:fontRef idx="minor">
      <a:schemeClr val="tx1"/>
    </cs:fontRef>
    <cs:spPr>
      <a:ln>
        <a:round/>
      </a:ln>
    </cs:spPr>
  </cs:hiLoLine>
  <cs:leaderLine>
    <cs:lnRef idx="1">
      <a:schemeClr val="tx1"/>
    </cs:lnRef>
    <cs:fillRef idx="0"/>
    <cs:effectRef idx="0"/>
    <cs:fontRef idx="minor">
      <a:schemeClr val="tx1"/>
    </cs:fontRef>
    <cs:spPr>
      <a:ln>
        <a:round/>
      </a:ln>
    </cs:spPr>
  </cs:leaderLine>
  <cs:legend>
    <cs:lnRef idx="0"/>
    <cs:fillRef idx="0"/>
    <cs:effectRef idx="0"/>
    <cs:fontRef idx="minor">
      <a:schemeClr val="tx1"/>
    </cs:fontRef>
    <cs:defRPr sz="1000" kern="1200"/>
  </cs:legend>
  <cs:plotArea mods="allowNoFillOverride allowNoLineOverride">
    <cs:lnRef idx="0"/>
    <cs:fillRef idx="1">
      <a:schemeClr val="bg1"/>
    </cs:fillRef>
    <cs:effectRef idx="0"/>
    <cs:fontRef idx="minor">
      <a:schemeClr val="tx1"/>
    </cs:fontRef>
  </cs:plotArea>
  <cs:plotArea3D>
    <cs:lnRef idx="0"/>
    <cs:fillRef idx="0"/>
    <cs:effectRef idx="0"/>
    <cs:fontRef idx="minor">
      <a:schemeClr val="tx1"/>
    </cs:fontRef>
  </cs:plotArea3D>
  <cs:seriesAxis>
    <cs:lnRef idx="1">
      <a:schemeClr val="tx1">
        <a:tint val="75000"/>
      </a:schemeClr>
    </cs:lnRef>
    <cs:fillRef idx="0"/>
    <cs:effectRef idx="0"/>
    <cs:fontRef idx="minor">
      <a:schemeClr val="tx1"/>
    </cs:fontRef>
    <cs:spPr>
      <a:ln>
        <a:round/>
      </a:ln>
    </cs:spPr>
    <cs:defRPr sz="1000" kern="1200"/>
  </cs:seriesAxis>
  <cs:seriesLine>
    <cs:lnRef idx="1">
      <a:schemeClr val="tx1"/>
    </cs:lnRef>
    <cs:fillRef idx="0"/>
    <cs:effectRef idx="0"/>
    <cs:fontRef idx="minor">
      <a:schemeClr val="tx1"/>
    </cs:fontRef>
    <cs:spPr>
      <a:ln>
        <a:round/>
      </a:ln>
    </cs:spPr>
  </cs:seriesLine>
  <cs:title>
    <cs:lnRef idx="0"/>
    <cs:fillRef idx="0"/>
    <cs:effectRef idx="0"/>
    <cs:fontRef idx="minor">
      <a:schemeClr val="tx1"/>
    </cs:fontRef>
    <cs:defRPr sz="1800" b="1" kern="1200"/>
  </cs:title>
  <cs:trendline>
    <cs:lnRef idx="1">
      <a:schemeClr val="tx1"/>
    </cs:lnRef>
    <cs:fillRef idx="0"/>
    <cs:effectRef idx="0"/>
    <cs:fontRef idx="minor">
      <a:schemeClr val="tx1"/>
    </cs:fontRef>
    <cs:spPr>
      <a:ln cap="rnd">
        <a:round/>
      </a:ln>
    </cs:spPr>
  </cs:trendline>
  <cs:trendlineLabel>
    <cs:lnRef idx="0"/>
    <cs:fillRef idx="0"/>
    <cs:effectRef idx="0"/>
    <cs:fontRef idx="minor">
      <a:schemeClr val="tx1"/>
    </cs:fontRef>
    <cs:defRPr sz="1000" kern="1200"/>
  </cs:trendlineLabel>
  <cs:upBar>
    <cs:lnRef idx="1">
      <a:schemeClr val="tx1"/>
    </cs:lnRef>
    <cs:fillRef idx="1">
      <a:schemeClr val="dk1">
        <a:tint val="5000"/>
      </a:schemeClr>
    </cs:fillRef>
    <cs:effectRef idx="0"/>
    <cs:fontRef idx="minor">
      <a:schemeClr val="tx1"/>
    </cs:fontRef>
    <cs:spPr>
      <a:ln>
        <a:round/>
      </a:ln>
    </cs:spPr>
  </cs:upBar>
  <cs:valueAxis>
    <cs:lnRef idx="1">
      <a:schemeClr val="tx1">
        <a:tint val="75000"/>
      </a:schemeClr>
    </cs:lnRef>
    <cs:fillRef idx="0"/>
    <cs:effectRef idx="0"/>
    <cs:fontRef idx="minor">
      <a:schemeClr val="tx1"/>
    </cs:fontRef>
    <cs:spPr>
      <a:ln>
        <a:round/>
      </a:ln>
    </cs:spPr>
    <cs:defRPr sz="1000" kern="1200"/>
  </cs:valueAxis>
  <cs:wall>
    <cs:lnRef idx="0"/>
    <cs:fillRef idx="0"/>
    <cs:effectRef idx="0"/>
    <cs:fontRef idx="minor">
      <a:schemeClr val="tx1"/>
    </cs:fontRef>
  </cs:wall>
</cs:chartStyle>
</file>

<file path=xl/charts/style2.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306">
  <cs:axisTitle>
    <cs:lnRef idx="0"/>
    <cs:fillRef idx="0"/>
    <cs:effectRef idx="0"/>
    <cs:fontRef idx="minor">
      <a:schemeClr val="tx1">
        <a:lumMod val="65000"/>
        <a:lumOff val="35000"/>
      </a:schemeClr>
    </cs:fontRef>
    <cs:defRPr sz="900" kern="1200" cap="all"/>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b="0" kern="1200" cap="none" spc="0" normalizeH="0" baseline="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75000"/>
        <a:lumOff val="25000"/>
      </a:schemeClr>
    </cs:fontRef>
    <cs:spPr>
      <a:solidFill>
        <a:schemeClr val="dk1">
          <a:lumMod val="15000"/>
          <a:lumOff val="85000"/>
        </a:schemeClr>
      </a:solidFill>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38100" cap="rnd">
        <a:solidFill>
          <a:schemeClr val="phClr"/>
        </a:solidFill>
        <a:round/>
      </a:ln>
    </cs:spPr>
  </cs:dataPointLine>
  <cs:dataPointMarker>
    <cs:lnRef idx="0"/>
    <cs:fillRef idx="0">
      <cs:styleClr val="auto"/>
    </cs:fillRef>
    <cs:effectRef idx="0"/>
    <cs:fontRef idx="minor">
      <a:schemeClr val="dk1"/>
    </cs:fontRef>
    <cs:spPr>
      <a:solidFill>
        <a:schemeClr val="phClr"/>
      </a:solidFill>
    </cs:spPr>
  </cs:dataPointMarker>
  <cs:dataPointMarkerLayout symbol="circle" size="8"/>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tx1">
        <a:lumMod val="65000"/>
        <a:lumOff val="35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50000"/>
            <a:lumOff val="50000"/>
          </a:schemeClr>
        </a:solidFill>
        <a:prstDash val="dash"/>
      </a:ln>
    </cs:spPr>
  </cs:dropLine>
  <cs:errorBar>
    <cs:lnRef idx="0"/>
    <cs:fillRef idx="0"/>
    <cs:effectRef idx="0"/>
    <cs:fontRef idx="minor">
      <a:schemeClr val="dk1"/>
    </cs:fontRef>
    <cs:spPr>
      <a:ln w="9525">
        <a:solidFill>
          <a:schemeClr val="tx1">
            <a:lumMod val="50000"/>
            <a:lumOff val="50000"/>
          </a:schemeClr>
        </a:solidFill>
        <a:round/>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w="9525" cap="flat" cmpd="sng" algn="ctr">
        <a:solidFill>
          <a:schemeClr val="tx1">
            <a:lumMod val="5000"/>
            <a:lumOff val="95000"/>
          </a:schemeClr>
        </a:solidFill>
        <a:round/>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round/>
      </a:ln>
    </cs:spPr>
  </cs:seriesLine>
  <cs:title>
    <cs:lnRef idx="0"/>
    <cs:fillRef idx="0"/>
    <cs:effectRef idx="0"/>
    <cs:fontRef idx="major">
      <a:schemeClr val="tx1">
        <a:lumMod val="65000"/>
        <a:lumOff val="35000"/>
      </a:schemeClr>
    </cs:fontRef>
    <cs:defRPr sz="2000" b="0" kern="1200" cap="none" spc="0" normalizeH="0" baseline="0"/>
  </cs:title>
  <cs:trendline>
    <cs:lnRef idx="0">
      <cs:styleClr val="auto"/>
    </cs:lnRef>
    <cs:fillRef idx="0"/>
    <cs:effectRef idx="0"/>
    <cs:fontRef idx="minor">
      <a:schemeClr val="dk1"/>
    </cs:fontRef>
    <cs:spPr>
      <a:ln w="19050" cap="rnd">
        <a:solidFill>
          <a:schemeClr val="phClr"/>
        </a:solidFill>
        <a:round/>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dk1"/>
    </cs:fontRef>
  </cs:wall>
</cs:chartStyle>
</file>

<file path=xl/charts/style2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5.xml><?xml version="1.0" encoding="utf-8"?>
<cs:chartStyle xmlns:cs="http://schemas.microsoft.com/office/drawing/2012/chartStyle" xmlns:a="http://schemas.openxmlformats.org/drawingml/2006/main" id="232">
  <cs:axisTitle>
    <cs:lnRef idx="0"/>
    <cs:fillRef idx="0"/>
    <cs:effectRef idx="0"/>
    <cs:fontRef idx="minor">
      <a:schemeClr val="dk1">
        <a:lumMod val="65000"/>
        <a:lumOff val="35000"/>
      </a:schemeClr>
    </cs:fontRef>
    <cs:defRPr sz="900" b="1" kern="1200"/>
  </cs:axisTitle>
  <cs:categoryAxis>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900" kern="1200" cap="none" spc="0" normalizeH="0" baseline="0"/>
  </cs:categoryAxis>
  <cs:chartArea>
    <cs:lnRef idx="0"/>
    <cs:fillRef idx="0"/>
    <cs:effectRef idx="0"/>
    <cs:fontRef idx="minor">
      <a:schemeClr val="dk1"/>
    </cs:fontRef>
    <cs:spPr>
      <a:solidFill>
        <a:schemeClr val="lt1"/>
      </a:solidFill>
      <a:ln w="9525" cap="flat" cmpd="sng" algn="ctr">
        <a:solidFill>
          <a:schemeClr val="dk1">
            <a:lumMod val="15000"/>
            <a:lumOff val="8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0">
      <cs:styleClr val="auto"/>
    </cs:fillRef>
    <cs:effectRef idx="0"/>
    <cs:fontRef idx="minor">
      <a:schemeClr val="dk1"/>
    </cs:fontRef>
    <cs:spPr>
      <a:solidFill>
        <a:schemeClr val="phClr"/>
      </a:solidFill>
    </cs:spPr>
  </cs:dataPoint>
  <cs:dataPoint3D>
    <cs:lnRef idx="0"/>
    <cs:fillRef idx="0">
      <cs:styleClr val="auto"/>
    </cs:fillRef>
    <cs:effectRef idx="0"/>
    <cs:fontRef idx="minor">
      <a:schemeClr val="dk1"/>
    </cs:fontRef>
    <cs:spPr>
      <a:solidFill>
        <a:schemeClr val="phClr"/>
      </a:solidFill>
    </cs:spPr>
  </cs:dataPoint3D>
  <cs:dataPointLine>
    <cs:lnRef idx="0">
      <cs:styleClr val="auto"/>
    </cs:lnRef>
    <cs:fillRef idx="0"/>
    <cs:effectRef idx="0"/>
    <cs:fontRef idx="minor">
      <a:schemeClr val="dk1"/>
    </cs:fontRef>
    <cs:spPr>
      <a:ln w="22225" cap="rnd">
        <a:solidFill>
          <a:schemeClr val="phClr"/>
        </a:solidFill>
        <a:round/>
      </a:ln>
    </cs:spPr>
  </cs:dataPointLine>
  <cs:dataPointMarker>
    <cs:lnRef idx="0">
      <cs:styleClr val="auto"/>
    </cs:lnRef>
    <cs:fillRef idx="0">
      <cs:styleClr val="auto"/>
    </cs:fillRef>
    <cs:effectRef idx="0"/>
    <cs:fontRef idx="minor">
      <a:schemeClr val="dk1"/>
    </cs:fontRef>
    <cs:spPr>
      <a:solidFill>
        <a:schemeClr val="lt1"/>
      </a:solidFill>
      <a:ln w="15875">
        <a:solidFill>
          <a:schemeClr val="phClr"/>
        </a:solidFill>
        <a:round/>
      </a:ln>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65000"/>
        <a:lumOff val="35000"/>
      </a:schemeClr>
    </cs:fontRef>
    <cs:spPr>
      <a:ln w="9525" cap="flat" cmpd="sng" algn="ctr">
        <a:solidFill>
          <a:schemeClr val="dk1">
            <a:lumMod val="15000"/>
            <a:lumOff val="85000"/>
          </a:schemeClr>
        </a:solidFill>
        <a:round/>
      </a:ln>
    </cs:spPr>
    <cs:defRPr sz="800" kern="1200"/>
  </cs:dataTable>
  <cs:downBar>
    <cs:lnRef idx="0"/>
    <cs:fillRef idx="0"/>
    <cs:effectRef idx="0"/>
    <cs:fontRef idx="minor">
      <a:schemeClr val="dk1"/>
    </cs:fontRef>
    <cs:spPr>
      <a:solidFill>
        <a:schemeClr val="dk1">
          <a:lumMod val="75000"/>
          <a:lumOff val="25000"/>
        </a:schemeClr>
      </a:solidFill>
      <a:ln w="9525" cap="flat" cmpd="sng" algn="ctr">
        <a:solidFill>
          <a:schemeClr val="dk1">
            <a:lumMod val="50000"/>
            <a:lumOff val="50000"/>
          </a:schemeClr>
        </a:solidFill>
        <a:round/>
      </a:ln>
    </cs:spPr>
  </cs:downBar>
  <cs:dropLine>
    <cs:lnRef idx="0"/>
    <cs:fillRef idx="0"/>
    <cs:effectRef idx="0"/>
    <cs:fontRef idx="minor">
      <a:schemeClr val="dk1"/>
    </cs:fontRef>
    <cs:spPr>
      <a:ln w="9525" cap="flat" cmpd="sng" algn="ctr">
        <a:solidFill>
          <a:schemeClr val="dk1">
            <a:lumMod val="35000"/>
            <a:lumOff val="65000"/>
          </a:schemeClr>
        </a:solidFill>
        <a:round/>
      </a:ln>
    </cs:spPr>
  </cs:dropLine>
  <cs:errorBar>
    <cs:lnRef idx="0"/>
    <cs:fillRef idx="0"/>
    <cs:effectRef idx="0"/>
    <cs:fontRef idx="minor">
      <a:schemeClr val="dk1"/>
    </cs:fontRef>
    <cs:spPr>
      <a:ln w="9525" cap="flat" cmpd="sng" algn="ctr">
        <a:solidFill>
          <a:schemeClr val="dk1">
            <a:lumMod val="50000"/>
            <a:lumOff val="50000"/>
          </a:schemeClr>
        </a:solidFill>
        <a:round/>
      </a:ln>
    </cs:spPr>
  </cs:errorBar>
  <cs:floor>
    <cs:lnRef idx="0"/>
    <cs:fillRef idx="0"/>
    <cs:effectRef idx="0"/>
    <cs:fontRef idx="minor">
      <a:schemeClr val="dk1"/>
    </cs:fontRef>
    <cs:spPr>
      <a:pattFill prst="ltDnDiag">
        <a:fgClr>
          <a:schemeClr val="dk1">
            <a:lumMod val="15000"/>
            <a:lumOff val="85000"/>
          </a:schemeClr>
        </a:fgClr>
        <a:bgClr>
          <a:schemeClr val="lt1"/>
        </a:bgClr>
      </a:pattFill>
    </cs:spPr>
  </cs:floor>
  <cs:gridlineMajor>
    <cs:lnRef idx="0"/>
    <cs:fillRef idx="0"/>
    <cs:effectRef idx="0"/>
    <cs:fontRef idx="minor">
      <a:schemeClr val="dk1"/>
    </cs:fontRef>
    <cs:spPr>
      <a:ln w="9525" cap="flat" cmpd="sng" algn="ctr">
        <a:solidFill>
          <a:schemeClr val="dk1">
            <a:lumMod val="15000"/>
            <a:lumOff val="85000"/>
            <a:alpha val="54000"/>
          </a:schemeClr>
        </a:solidFill>
        <a:round/>
      </a:ln>
    </cs:spPr>
  </cs:gridlineMajor>
  <cs:gridlineMinor>
    <cs:lnRef idx="0"/>
    <cs:fillRef idx="0"/>
    <cs:effectRef idx="0"/>
    <cs:fontRef idx="minor">
      <a:schemeClr val="dk1"/>
    </cs:fontRef>
    <cs:spPr>
      <a:ln w="9525" cap="flat" cmpd="sng" algn="ctr">
        <a:solidFill>
          <a:schemeClr val="dk1">
            <a:lumMod val="15000"/>
            <a:lumOff val="85000"/>
            <a:alpha val="51000"/>
          </a:schemeClr>
        </a:solidFill>
        <a:round/>
      </a:ln>
    </cs:spPr>
  </cs:gridlineMinor>
  <cs:hiLoLine>
    <cs:lnRef idx="0"/>
    <cs:fillRef idx="0"/>
    <cs:effectRef idx="0"/>
    <cs:fontRef idx="minor">
      <a:schemeClr val="dk1"/>
    </cs:fontRef>
    <cs:spPr>
      <a:ln w="9525" cap="flat" cmpd="sng" algn="ctr">
        <a:solidFill>
          <a:schemeClr val="dk1">
            <a:lumMod val="35000"/>
            <a:lumOff val="65000"/>
          </a:schemeClr>
        </a:solidFill>
        <a:round/>
      </a:ln>
    </cs:spPr>
  </cs:hiLoLine>
  <cs:leaderLine>
    <cs:lnRef idx="0"/>
    <cs:fillRef idx="0"/>
    <cs:effectRef idx="0"/>
    <cs:fontRef idx="minor">
      <a:schemeClr val="dk1"/>
    </cs:fontRef>
    <cs:spPr>
      <a:ln w="9525" cap="flat" cmpd="sng" algn="ctr">
        <a:solidFill>
          <a:schemeClr val="dk1">
            <a:lumMod val="35000"/>
            <a:lumOff val="65000"/>
          </a:schemeClr>
        </a:solidFill>
        <a:round/>
      </a:ln>
    </cs:spPr>
  </cs:leaderLine>
  <cs:legend>
    <cs:lnRef idx="0"/>
    <cs:fillRef idx="0"/>
    <cs:effectRef idx="0"/>
    <cs:fontRef idx="minor">
      <a:schemeClr val="dk1">
        <a:lumMod val="65000"/>
        <a:lumOff val="35000"/>
      </a:schemeClr>
    </cs:fontRef>
    <cs:defRPr sz="900" kern="1200"/>
  </cs:legend>
  <cs:plotArea>
    <cs:lnRef idx="0"/>
    <cs:fillRef idx="0"/>
    <cs:effectRef idx="0"/>
    <cs:fontRef idx="minor">
      <a:schemeClr val="dk1"/>
    </cs:fontRef>
    <cs:spPr>
      <a:pattFill prst="ltDnDiag">
        <a:fgClr>
          <a:schemeClr val="dk1">
            <a:lumMod val="15000"/>
            <a:lumOff val="85000"/>
          </a:schemeClr>
        </a:fgClr>
        <a:bgClr>
          <a:schemeClr val="lt1"/>
        </a:bgClr>
      </a:pattFill>
    </cs:spPr>
  </cs:plotArea>
  <cs:plotArea3D>
    <cs:lnRef idx="0"/>
    <cs:fillRef idx="0"/>
    <cs:effectRef idx="0"/>
    <cs:fontRef idx="minor">
      <a:schemeClr val="dk1"/>
    </cs:fontRef>
    <cs:spPr>
      <a:solidFill>
        <a:schemeClr val="lt1"/>
      </a:solidFill>
    </cs:spPr>
  </cs:plotArea3D>
  <cs:seriesAxis>
    <cs:lnRef idx="0"/>
    <cs:fillRef idx="0"/>
    <cs:effectRef idx="0"/>
    <cs:fontRef idx="minor">
      <a:schemeClr val="dk1">
        <a:lumMod val="65000"/>
        <a:lumOff val="35000"/>
      </a:schemeClr>
    </cs:fontRef>
    <cs:defRPr sz="900" kern="1200"/>
  </cs:seriesAxis>
  <cs:seriesLine>
    <cs:lnRef idx="0"/>
    <cs:fillRef idx="0"/>
    <cs:effectRef idx="0"/>
    <cs:fontRef idx="minor">
      <a:schemeClr val="dk1"/>
    </cs:fontRef>
    <cs:spPr>
      <a:ln w="9525" cap="flat" cmpd="sng" algn="ctr">
        <a:solidFill>
          <a:schemeClr val="dk1">
            <a:lumMod val="35000"/>
            <a:lumOff val="65000"/>
          </a:schemeClr>
        </a:solidFill>
        <a:round/>
      </a:ln>
    </cs:spPr>
  </cs:seriesLine>
  <cs:title>
    <cs:lnRef idx="0"/>
    <cs:fillRef idx="0"/>
    <cs:effectRef idx="0"/>
    <cs:fontRef idx="major">
      <a:schemeClr val="dk1">
        <a:lumMod val="50000"/>
        <a:lumOff val="50000"/>
      </a:schemeClr>
    </cs:fontRef>
    <cs:defRPr sz="1600" b="1" kern="1200" cap="none" spc="0" normalizeH="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65000"/>
        <a:lumOff val="35000"/>
      </a:schemeClr>
    </cs:fontRef>
    <cs:defRPr sz="900" kern="1200"/>
  </cs:trendlineLabel>
  <cs:upBar>
    <cs:lnRef idx="0"/>
    <cs:fillRef idx="0"/>
    <cs:effectRef idx="0"/>
    <cs:fontRef idx="minor">
      <a:schemeClr val="dk1"/>
    </cs:fontRef>
    <cs:spPr>
      <a:solidFill>
        <a:schemeClr val="lt1"/>
      </a:solidFill>
      <a:ln w="9525" cap="flat" cmpd="sng" algn="ctr">
        <a:solidFill>
          <a:schemeClr val="dk1">
            <a:lumMod val="50000"/>
            <a:lumOff val="50000"/>
          </a:schemeClr>
        </a:solidFill>
        <a:round/>
      </a:ln>
    </cs:spPr>
  </cs:upBar>
  <cs:valueAxis>
    <cs:lnRef idx="0"/>
    <cs:fillRef idx="0"/>
    <cs:effectRef idx="0"/>
    <cs:fontRef idx="minor">
      <a:schemeClr val="dk1">
        <a:lumMod val="65000"/>
        <a:lumOff val="35000"/>
      </a:schemeClr>
    </cs:fontRef>
    <cs:defRPr sz="900" kern="1200"/>
  </cs:valueAxis>
  <cs:wall>
    <cs:lnRef idx="0"/>
    <cs:fillRef idx="0"/>
    <cs:effectRef idx="0"/>
    <cs:fontRef idx="minor">
      <a:schemeClr val="dk1"/>
    </cs:fontRef>
    <cs:spPr>
      <a:pattFill prst="ltDnDiag">
        <a:fgClr>
          <a:schemeClr val="dk1">
            <a:lumMod val="15000"/>
            <a:lumOff val="85000"/>
          </a:schemeClr>
        </a:fgClr>
        <a:bgClr>
          <a:schemeClr val="lt1"/>
        </a:bgClr>
      </a:pattFill>
    </cs:spPr>
  </cs:wall>
</cs:chartStyle>
</file>

<file path=xl/charts/style2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chart" Target="../charts/chart1.xml"/><Relationship Id="rId1" Type="http://schemas.openxmlformats.org/officeDocument/2006/relationships/image" Target="../media/image1.png"/><Relationship Id="rId6" Type="http://schemas.openxmlformats.org/officeDocument/2006/relationships/chart" Target="../charts/chart5.xml"/><Relationship Id="rId5" Type="http://schemas.openxmlformats.org/officeDocument/2006/relationships/chart" Target="../charts/chart4.xml"/><Relationship Id="rId4" Type="http://schemas.openxmlformats.org/officeDocument/2006/relationships/chart" Target="../charts/chart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13.xml"/><Relationship Id="rId13" Type="http://schemas.openxmlformats.org/officeDocument/2006/relationships/chart" Target="../charts/chart18.xml"/><Relationship Id="rId18" Type="http://schemas.openxmlformats.org/officeDocument/2006/relationships/chart" Target="../charts/chart23.xml"/><Relationship Id="rId26" Type="http://schemas.openxmlformats.org/officeDocument/2006/relationships/chart" Target="../charts/chart31.xml"/><Relationship Id="rId3" Type="http://schemas.openxmlformats.org/officeDocument/2006/relationships/chart" Target="../charts/chart8.xml"/><Relationship Id="rId21" Type="http://schemas.openxmlformats.org/officeDocument/2006/relationships/chart" Target="../charts/chart26.xml"/><Relationship Id="rId7" Type="http://schemas.openxmlformats.org/officeDocument/2006/relationships/chart" Target="../charts/chart12.xml"/><Relationship Id="rId12" Type="http://schemas.openxmlformats.org/officeDocument/2006/relationships/chart" Target="../charts/chart17.xml"/><Relationship Id="rId17" Type="http://schemas.openxmlformats.org/officeDocument/2006/relationships/chart" Target="../charts/chart22.xml"/><Relationship Id="rId25" Type="http://schemas.openxmlformats.org/officeDocument/2006/relationships/chart" Target="../charts/chart30.xml"/><Relationship Id="rId2" Type="http://schemas.openxmlformats.org/officeDocument/2006/relationships/chart" Target="../charts/chart7.xml"/><Relationship Id="rId16" Type="http://schemas.openxmlformats.org/officeDocument/2006/relationships/chart" Target="../charts/chart21.xml"/><Relationship Id="rId20" Type="http://schemas.openxmlformats.org/officeDocument/2006/relationships/chart" Target="../charts/chart25.xml"/><Relationship Id="rId29" Type="http://schemas.openxmlformats.org/officeDocument/2006/relationships/chart" Target="../charts/chart34.xml"/><Relationship Id="rId1" Type="http://schemas.openxmlformats.org/officeDocument/2006/relationships/chart" Target="../charts/chart6.xml"/><Relationship Id="rId6" Type="http://schemas.openxmlformats.org/officeDocument/2006/relationships/chart" Target="../charts/chart11.xml"/><Relationship Id="rId11" Type="http://schemas.openxmlformats.org/officeDocument/2006/relationships/chart" Target="../charts/chart16.xml"/><Relationship Id="rId24" Type="http://schemas.openxmlformats.org/officeDocument/2006/relationships/chart" Target="../charts/chart29.xml"/><Relationship Id="rId5" Type="http://schemas.openxmlformats.org/officeDocument/2006/relationships/chart" Target="../charts/chart10.xml"/><Relationship Id="rId15" Type="http://schemas.openxmlformats.org/officeDocument/2006/relationships/chart" Target="../charts/chart20.xml"/><Relationship Id="rId23" Type="http://schemas.openxmlformats.org/officeDocument/2006/relationships/chart" Target="../charts/chart28.xml"/><Relationship Id="rId28" Type="http://schemas.openxmlformats.org/officeDocument/2006/relationships/chart" Target="../charts/chart33.xml"/><Relationship Id="rId10" Type="http://schemas.openxmlformats.org/officeDocument/2006/relationships/chart" Target="../charts/chart15.xml"/><Relationship Id="rId19" Type="http://schemas.openxmlformats.org/officeDocument/2006/relationships/chart" Target="../charts/chart24.xml"/><Relationship Id="rId4" Type="http://schemas.openxmlformats.org/officeDocument/2006/relationships/chart" Target="../charts/chart9.xml"/><Relationship Id="rId9" Type="http://schemas.openxmlformats.org/officeDocument/2006/relationships/chart" Target="../charts/chart14.xml"/><Relationship Id="rId14" Type="http://schemas.openxmlformats.org/officeDocument/2006/relationships/chart" Target="../charts/chart19.xml"/><Relationship Id="rId22" Type="http://schemas.openxmlformats.org/officeDocument/2006/relationships/chart" Target="../charts/chart27.xml"/><Relationship Id="rId27" Type="http://schemas.openxmlformats.org/officeDocument/2006/relationships/chart" Target="../charts/chart32.xml"/><Relationship Id="rId30" Type="http://schemas.openxmlformats.org/officeDocument/2006/relationships/chart" Target="../charts/chart35.xml"/></Relationships>
</file>

<file path=xl/drawings/_rels/drawing8.xml.rels><?xml version="1.0" encoding="UTF-8" standalone="yes"?>
<Relationships xmlns="http://schemas.openxmlformats.org/package/2006/relationships"><Relationship Id="rId3" Type="http://schemas.openxmlformats.org/officeDocument/2006/relationships/chart" Target="../charts/chart38.xml"/><Relationship Id="rId2" Type="http://schemas.openxmlformats.org/officeDocument/2006/relationships/chart" Target="../charts/chart37.xml"/><Relationship Id="rId1" Type="http://schemas.openxmlformats.org/officeDocument/2006/relationships/chart" Target="../charts/chart36.xml"/></Relationships>
</file>

<file path=xl/drawings/_rels/drawing9.xml.rels><?xml version="1.0" encoding="UTF-8" standalone="yes"?>
<Relationships xmlns="http://schemas.openxmlformats.org/package/2006/relationships"><Relationship Id="rId3" Type="http://schemas.openxmlformats.org/officeDocument/2006/relationships/chart" Target="../charts/chart41.xml"/><Relationship Id="rId2" Type="http://schemas.openxmlformats.org/officeDocument/2006/relationships/chart" Target="../charts/chart40.xml"/><Relationship Id="rId1" Type="http://schemas.openxmlformats.org/officeDocument/2006/relationships/chart" Target="../charts/chart39.xml"/><Relationship Id="rId6" Type="http://schemas.openxmlformats.org/officeDocument/2006/relationships/chart" Target="../charts/chart44.xml"/><Relationship Id="rId5" Type="http://schemas.openxmlformats.org/officeDocument/2006/relationships/chart" Target="../charts/chart43.xml"/><Relationship Id="rId4" Type="http://schemas.openxmlformats.org/officeDocument/2006/relationships/chart" Target="../charts/chart42.xml"/></Relationships>
</file>

<file path=xl/drawings/drawing1.xml><?xml version="1.0" encoding="utf-8"?>
<xdr:wsDr xmlns:xdr="http://schemas.openxmlformats.org/drawingml/2006/spreadsheetDrawing" xmlns:a="http://schemas.openxmlformats.org/drawingml/2006/main">
  <xdr:twoCellAnchor editAs="oneCell">
    <xdr:from>
      <xdr:col>1</xdr:col>
      <xdr:colOff>1652875</xdr:colOff>
      <xdr:row>197</xdr:row>
      <xdr:rowOff>97271</xdr:rowOff>
    </xdr:from>
    <xdr:to>
      <xdr:col>9</xdr:col>
      <xdr:colOff>182928</xdr:colOff>
      <xdr:row>216</xdr:row>
      <xdr:rowOff>25834</xdr:rowOff>
    </xdr:to>
    <xdr:pic>
      <xdr:nvPicPr>
        <xdr:cNvPr id="7" name="Picture 6">
          <a:extLst>
            <a:ext uri="{FF2B5EF4-FFF2-40B4-BE49-F238E27FC236}">
              <a16:creationId xmlns:a16="http://schemas.microsoft.com/office/drawing/2014/main" id="{CD3446E7-C6A7-9299-778D-F509CD742C0A}"/>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149166" y="35869707"/>
          <a:ext cx="5502063" cy="2827338"/>
        </a:xfrm>
        <a:prstGeom prst="rect">
          <a:avLst/>
        </a:prstGeom>
        <a:noFill/>
      </xdr:spPr>
    </xdr:pic>
    <xdr:clientData/>
  </xdr:twoCellAnchor>
  <xdr:twoCellAnchor>
    <xdr:from>
      <xdr:col>13</xdr:col>
      <xdr:colOff>273050</xdr:colOff>
      <xdr:row>4</xdr:row>
      <xdr:rowOff>127000</xdr:rowOff>
    </xdr:from>
    <xdr:to>
      <xdr:col>25</xdr:col>
      <xdr:colOff>254000</xdr:colOff>
      <xdr:row>18</xdr:row>
      <xdr:rowOff>79375</xdr:rowOff>
    </xdr:to>
    <xdr:graphicFrame macro="">
      <xdr:nvGraphicFramePr>
        <xdr:cNvPr id="8" name="Chart 12">
          <a:extLst>
            <a:ext uri="{FF2B5EF4-FFF2-40B4-BE49-F238E27FC236}">
              <a16:creationId xmlns:a16="http://schemas.microsoft.com/office/drawing/2014/main" id="{566DA3F2-BDBC-4C53-BDDC-6C461AF69A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13</xdr:col>
      <xdr:colOff>167569</xdr:colOff>
      <xdr:row>20</xdr:row>
      <xdr:rowOff>70557</xdr:rowOff>
    </xdr:from>
    <xdr:to>
      <xdr:col>25</xdr:col>
      <xdr:colOff>220486</xdr:colOff>
      <xdr:row>37</xdr:row>
      <xdr:rowOff>17640</xdr:rowOff>
    </xdr:to>
    <xdr:graphicFrame macro="">
      <xdr:nvGraphicFramePr>
        <xdr:cNvPr id="9" name="Chart 8">
          <a:extLst>
            <a:ext uri="{FF2B5EF4-FFF2-40B4-BE49-F238E27FC236}">
              <a16:creationId xmlns:a16="http://schemas.microsoft.com/office/drawing/2014/main" id="{95F8B47C-AD66-45E6-9182-3BD4B1BF1DF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187614</xdr:colOff>
      <xdr:row>40</xdr:row>
      <xdr:rowOff>201084</xdr:rowOff>
    </xdr:from>
    <xdr:to>
      <xdr:col>24</xdr:col>
      <xdr:colOff>288933</xdr:colOff>
      <xdr:row>58</xdr:row>
      <xdr:rowOff>134130</xdr:rowOff>
    </xdr:to>
    <xdr:graphicFrame macro="">
      <xdr:nvGraphicFramePr>
        <xdr:cNvPr id="12" name="Graphique 12">
          <a:extLst>
            <a:ext uri="{FF2B5EF4-FFF2-40B4-BE49-F238E27FC236}">
              <a16:creationId xmlns:a16="http://schemas.microsoft.com/office/drawing/2014/main" id="{889306EA-E0FA-CFCB-24A0-2CB55C6982B4}"/>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366007</xdr:colOff>
      <xdr:row>112</xdr:row>
      <xdr:rowOff>216075</xdr:rowOff>
    </xdr:from>
    <xdr:to>
      <xdr:col>25</xdr:col>
      <xdr:colOff>458332</xdr:colOff>
      <xdr:row>128</xdr:row>
      <xdr:rowOff>105833</xdr:rowOff>
    </xdr:to>
    <xdr:graphicFrame macro="">
      <xdr:nvGraphicFramePr>
        <xdr:cNvPr id="14" name="Chart 5">
          <a:extLst>
            <a:ext uri="{FF2B5EF4-FFF2-40B4-BE49-F238E27FC236}">
              <a16:creationId xmlns:a16="http://schemas.microsoft.com/office/drawing/2014/main" id="{0B1A1C13-CF06-4079-A3F5-5B078CEC610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6</xdr:col>
      <xdr:colOff>557789</xdr:colOff>
      <xdr:row>159</xdr:row>
      <xdr:rowOff>18328</xdr:rowOff>
    </xdr:from>
    <xdr:to>
      <xdr:col>16</xdr:col>
      <xdr:colOff>207348</xdr:colOff>
      <xdr:row>177</xdr:row>
      <xdr:rowOff>59054</xdr:rowOff>
    </xdr:to>
    <xdr:graphicFrame macro="">
      <xdr:nvGraphicFramePr>
        <xdr:cNvPr id="15" name="Chart 14">
          <a:extLst>
            <a:ext uri="{FF2B5EF4-FFF2-40B4-BE49-F238E27FC236}">
              <a16:creationId xmlns:a16="http://schemas.microsoft.com/office/drawing/2014/main" id="{7BD2B0F8-F16F-4182-9BB2-92ED0A0B815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0.14863</cdr:x>
      <cdr:y>0.03999</cdr:y>
    </cdr:from>
    <cdr:to>
      <cdr:x>0.15031</cdr:x>
      <cdr:y>0.89044</cdr:y>
    </cdr:to>
    <cdr:cxnSp macro="">
      <cdr:nvCxnSpPr>
        <cdr:cNvPr id="2" name="Straight Connector 2">
          <a:extLst xmlns:a="http://schemas.openxmlformats.org/drawingml/2006/main">
            <a:ext uri="{FF2B5EF4-FFF2-40B4-BE49-F238E27FC236}">
              <a16:creationId xmlns:a16="http://schemas.microsoft.com/office/drawing/2014/main" id="{0782F14F-B8F6-F7AE-5069-35B52A722183}"/>
            </a:ext>
          </a:extLst>
        </cdr:cNvPr>
        <cdr:cNvCxnSpPr/>
      </cdr:nvCxnSpPr>
      <cdr:spPr>
        <a:xfrm xmlns:a="http://schemas.openxmlformats.org/drawingml/2006/main" flipH="1">
          <a:off x="1043971" y="135216"/>
          <a:ext cx="11800" cy="2875576"/>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3.xml><?xml version="1.0" encoding="utf-8"?>
<xdr:wsDr xmlns:xdr="http://schemas.openxmlformats.org/drawingml/2006/spreadsheetDrawing" xmlns:a="http://schemas.openxmlformats.org/drawingml/2006/main">
  <xdr:twoCellAnchor>
    <xdr:from>
      <xdr:col>1</xdr:col>
      <xdr:colOff>120141</xdr:colOff>
      <xdr:row>69</xdr:row>
      <xdr:rowOff>67782</xdr:rowOff>
    </xdr:from>
    <xdr:to>
      <xdr:col>6</xdr:col>
      <xdr:colOff>141541</xdr:colOff>
      <xdr:row>87</xdr:row>
      <xdr:rowOff>16342</xdr:rowOff>
    </xdr:to>
    <xdr:graphicFrame macro="">
      <xdr:nvGraphicFramePr>
        <xdr:cNvPr id="2" name="Chart 1">
          <a:extLst>
            <a:ext uri="{FF2B5EF4-FFF2-40B4-BE49-F238E27FC236}">
              <a16:creationId xmlns:a16="http://schemas.microsoft.com/office/drawing/2014/main" id="{D370D6D1-3B31-4B07-A966-A43587169B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14</xdr:col>
      <xdr:colOff>412381</xdr:colOff>
      <xdr:row>367</xdr:row>
      <xdr:rowOff>96462</xdr:rowOff>
    </xdr:from>
    <xdr:to>
      <xdr:col>27</xdr:col>
      <xdr:colOff>28502</xdr:colOff>
      <xdr:row>383</xdr:row>
      <xdr:rowOff>33227</xdr:rowOff>
    </xdr:to>
    <xdr:graphicFrame macro="">
      <xdr:nvGraphicFramePr>
        <xdr:cNvPr id="3" name="Chart 2">
          <a:extLst>
            <a:ext uri="{FF2B5EF4-FFF2-40B4-BE49-F238E27FC236}">
              <a16:creationId xmlns:a16="http://schemas.microsoft.com/office/drawing/2014/main" id="{638C038C-B027-4475-9F4E-05CB7A0751D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28972</xdr:colOff>
      <xdr:row>393</xdr:row>
      <xdr:rowOff>44302</xdr:rowOff>
    </xdr:from>
    <xdr:to>
      <xdr:col>9</xdr:col>
      <xdr:colOff>196186</xdr:colOff>
      <xdr:row>409</xdr:row>
      <xdr:rowOff>79493</xdr:rowOff>
    </xdr:to>
    <xdr:graphicFrame macro="">
      <xdr:nvGraphicFramePr>
        <xdr:cNvPr id="4" name="Chart 4">
          <a:extLst>
            <a:ext uri="{FF2B5EF4-FFF2-40B4-BE49-F238E27FC236}">
              <a16:creationId xmlns:a16="http://schemas.microsoft.com/office/drawing/2014/main" id="{6AC8B16A-B300-4ABA-A30B-5102598317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10</xdr:col>
      <xdr:colOff>383655</xdr:colOff>
      <xdr:row>304</xdr:row>
      <xdr:rowOff>188284</xdr:rowOff>
    </xdr:from>
    <xdr:to>
      <xdr:col>23</xdr:col>
      <xdr:colOff>580314</xdr:colOff>
      <xdr:row>325</xdr:row>
      <xdr:rowOff>104084</xdr:rowOff>
    </xdr:to>
    <xdr:graphicFrame macro="">
      <xdr:nvGraphicFramePr>
        <xdr:cNvPr id="5" name="Chart 5">
          <a:extLst>
            <a:ext uri="{FF2B5EF4-FFF2-40B4-BE49-F238E27FC236}">
              <a16:creationId xmlns:a16="http://schemas.microsoft.com/office/drawing/2014/main" id="{223A0796-0DC0-4300-8B81-F2CBA11BC3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11</xdr:col>
      <xdr:colOff>55788</xdr:colOff>
      <xdr:row>454</xdr:row>
      <xdr:rowOff>106030</xdr:rowOff>
    </xdr:from>
    <xdr:to>
      <xdr:col>20</xdr:col>
      <xdr:colOff>609157</xdr:colOff>
      <xdr:row>471</xdr:row>
      <xdr:rowOff>125006</xdr:rowOff>
    </xdr:to>
    <xdr:graphicFrame macro="">
      <xdr:nvGraphicFramePr>
        <xdr:cNvPr id="6" name="Chart 6">
          <a:extLst>
            <a:ext uri="{FF2B5EF4-FFF2-40B4-BE49-F238E27FC236}">
              <a16:creationId xmlns:a16="http://schemas.microsoft.com/office/drawing/2014/main" id="{7913087F-2D34-4600-9C2E-A5FC66BF918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446859</xdr:colOff>
      <xdr:row>427</xdr:row>
      <xdr:rowOff>102855</xdr:rowOff>
    </xdr:from>
    <xdr:to>
      <xdr:col>21</xdr:col>
      <xdr:colOff>542704</xdr:colOff>
      <xdr:row>444</xdr:row>
      <xdr:rowOff>59872</xdr:rowOff>
    </xdr:to>
    <xdr:graphicFrame macro="">
      <xdr:nvGraphicFramePr>
        <xdr:cNvPr id="7" name="Chart 7">
          <a:extLst>
            <a:ext uri="{FF2B5EF4-FFF2-40B4-BE49-F238E27FC236}">
              <a16:creationId xmlns:a16="http://schemas.microsoft.com/office/drawing/2014/main" id="{B061BA35-F1F2-46EC-B82A-21F88FE18B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16</xdr:col>
      <xdr:colOff>163957</xdr:colOff>
      <xdr:row>964</xdr:row>
      <xdr:rowOff>113650</xdr:rowOff>
    </xdr:from>
    <xdr:to>
      <xdr:col>26</xdr:col>
      <xdr:colOff>49282</xdr:colOff>
      <xdr:row>983</xdr:row>
      <xdr:rowOff>74794</xdr:rowOff>
    </xdr:to>
    <xdr:graphicFrame macro="">
      <xdr:nvGraphicFramePr>
        <xdr:cNvPr id="8" name="Chart 3">
          <a:extLst>
            <a:ext uri="{FF2B5EF4-FFF2-40B4-BE49-F238E27FC236}">
              <a16:creationId xmlns:a16="http://schemas.microsoft.com/office/drawing/2014/main" id="{E42DA01E-5031-4673-B83E-B753DD47AAC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9</xdr:col>
      <xdr:colOff>941308</xdr:colOff>
      <xdr:row>528</xdr:row>
      <xdr:rowOff>41921</xdr:rowOff>
    </xdr:from>
    <xdr:to>
      <xdr:col>23</xdr:col>
      <xdr:colOff>203127</xdr:colOff>
      <xdr:row>545</xdr:row>
      <xdr:rowOff>111933</xdr:rowOff>
    </xdr:to>
    <xdr:graphicFrame macro="">
      <xdr:nvGraphicFramePr>
        <xdr:cNvPr id="38" name="Chart 1">
          <a:extLst>
            <a:ext uri="{FF2B5EF4-FFF2-40B4-BE49-F238E27FC236}">
              <a16:creationId xmlns:a16="http://schemas.microsoft.com/office/drawing/2014/main" id="{FD9CF48A-3A0D-4F49-BC9C-B773413B6C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1</xdr:col>
      <xdr:colOff>968544</xdr:colOff>
      <xdr:row>31</xdr:row>
      <xdr:rowOff>61194</xdr:rowOff>
    </xdr:from>
    <xdr:to>
      <xdr:col>8</xdr:col>
      <xdr:colOff>701576</xdr:colOff>
      <xdr:row>49</xdr:row>
      <xdr:rowOff>47003</xdr:rowOff>
    </xdr:to>
    <xdr:graphicFrame macro="">
      <xdr:nvGraphicFramePr>
        <xdr:cNvPr id="10" name="Chart 4">
          <a:extLst>
            <a:ext uri="{FF2B5EF4-FFF2-40B4-BE49-F238E27FC236}">
              <a16:creationId xmlns:a16="http://schemas.microsoft.com/office/drawing/2014/main" id="{63C83B07-E895-4F9D-BA4C-C9CCDCDA942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21</xdr:col>
      <xdr:colOff>558893</xdr:colOff>
      <xdr:row>599</xdr:row>
      <xdr:rowOff>27392</xdr:rowOff>
    </xdr:from>
    <xdr:to>
      <xdr:col>38</xdr:col>
      <xdr:colOff>268310</xdr:colOff>
      <xdr:row>624</xdr:row>
      <xdr:rowOff>53857</xdr:rowOff>
    </xdr:to>
    <xdr:graphicFrame macro="">
      <xdr:nvGraphicFramePr>
        <xdr:cNvPr id="55" name="Chart 8">
          <a:extLst>
            <a:ext uri="{FF2B5EF4-FFF2-40B4-BE49-F238E27FC236}">
              <a16:creationId xmlns:a16="http://schemas.microsoft.com/office/drawing/2014/main" id="{8A835367-737B-4273-8776-3B1A7488EE5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9</xdr:col>
      <xdr:colOff>274170</xdr:colOff>
      <xdr:row>599</xdr:row>
      <xdr:rowOff>83553</xdr:rowOff>
    </xdr:from>
    <xdr:to>
      <xdr:col>20</xdr:col>
      <xdr:colOff>518026</xdr:colOff>
      <xdr:row>622</xdr:row>
      <xdr:rowOff>1015</xdr:rowOff>
    </xdr:to>
    <xdr:graphicFrame macro="">
      <xdr:nvGraphicFramePr>
        <xdr:cNvPr id="44" name="Chart 11">
          <a:extLst>
            <a:ext uri="{FF2B5EF4-FFF2-40B4-BE49-F238E27FC236}">
              <a16:creationId xmlns:a16="http://schemas.microsoft.com/office/drawing/2014/main" id="{1B2A3897-471C-45F8-9BB8-ADB93D4302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28</xdr:col>
      <xdr:colOff>119721</xdr:colOff>
      <xdr:row>367</xdr:row>
      <xdr:rowOff>60038</xdr:rowOff>
    </xdr:from>
    <xdr:to>
      <xdr:col>41</xdr:col>
      <xdr:colOff>62716</xdr:colOff>
      <xdr:row>383</xdr:row>
      <xdr:rowOff>88625</xdr:rowOff>
    </xdr:to>
    <xdr:graphicFrame macro="">
      <xdr:nvGraphicFramePr>
        <xdr:cNvPr id="13" name="Chart 12">
          <a:extLst>
            <a:ext uri="{FF2B5EF4-FFF2-40B4-BE49-F238E27FC236}">
              <a16:creationId xmlns:a16="http://schemas.microsoft.com/office/drawing/2014/main" id="{F1F3190C-6FF5-4DDD-B8C4-BBBDA2F8B78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26</xdr:col>
      <xdr:colOff>184094</xdr:colOff>
      <xdr:row>965</xdr:row>
      <xdr:rowOff>167093</xdr:rowOff>
    </xdr:from>
    <xdr:to>
      <xdr:col>33</xdr:col>
      <xdr:colOff>14434</xdr:colOff>
      <xdr:row>982</xdr:row>
      <xdr:rowOff>280713</xdr:rowOff>
    </xdr:to>
    <xdr:graphicFrame macro="">
      <xdr:nvGraphicFramePr>
        <xdr:cNvPr id="14" name="Chart 13">
          <a:extLst>
            <a:ext uri="{FF2B5EF4-FFF2-40B4-BE49-F238E27FC236}">
              <a16:creationId xmlns:a16="http://schemas.microsoft.com/office/drawing/2014/main" id="{C6FA1EE6-2D08-448A-873A-FF4A9D65D7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8</xdr:col>
      <xdr:colOff>80297</xdr:colOff>
      <xdr:row>110</xdr:row>
      <xdr:rowOff>24939</xdr:rowOff>
    </xdr:from>
    <xdr:to>
      <xdr:col>21</xdr:col>
      <xdr:colOff>215081</xdr:colOff>
      <xdr:row>128</xdr:row>
      <xdr:rowOff>108162</xdr:rowOff>
    </xdr:to>
    <xdr:graphicFrame macro="">
      <xdr:nvGraphicFramePr>
        <xdr:cNvPr id="15" name="Chart 20">
          <a:extLst>
            <a:ext uri="{FF2B5EF4-FFF2-40B4-BE49-F238E27FC236}">
              <a16:creationId xmlns:a16="http://schemas.microsoft.com/office/drawing/2014/main" id="{82A0066A-ACF2-4E4D-9ED2-C52FA71954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8</xdr:col>
      <xdr:colOff>323930</xdr:colOff>
      <xdr:row>131</xdr:row>
      <xdr:rowOff>134956</xdr:rowOff>
    </xdr:from>
    <xdr:to>
      <xdr:col>20</xdr:col>
      <xdr:colOff>112662</xdr:colOff>
      <xdr:row>147</xdr:row>
      <xdr:rowOff>61452</xdr:rowOff>
    </xdr:to>
    <xdr:graphicFrame macro="">
      <xdr:nvGraphicFramePr>
        <xdr:cNvPr id="16" name="Chart 21">
          <a:extLst>
            <a:ext uri="{FF2B5EF4-FFF2-40B4-BE49-F238E27FC236}">
              <a16:creationId xmlns:a16="http://schemas.microsoft.com/office/drawing/2014/main" id="{EA68BEA3-1E79-4B0A-81F4-AA2E4ED56B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21</xdr:col>
      <xdr:colOff>666870</xdr:colOff>
      <xdr:row>112</xdr:row>
      <xdr:rowOff>4006</xdr:rowOff>
    </xdr:from>
    <xdr:to>
      <xdr:col>28</xdr:col>
      <xdr:colOff>264746</xdr:colOff>
      <xdr:row>125</xdr:row>
      <xdr:rowOff>104970</xdr:rowOff>
    </xdr:to>
    <xdr:graphicFrame macro="">
      <xdr:nvGraphicFramePr>
        <xdr:cNvPr id="17" name="Graphique 16">
          <a:extLst>
            <a:ext uri="{FF2B5EF4-FFF2-40B4-BE49-F238E27FC236}">
              <a16:creationId xmlns:a16="http://schemas.microsoft.com/office/drawing/2014/main" id="{67118B3A-EEA6-491F-AF35-7355E13096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0</xdr:col>
      <xdr:colOff>223967</xdr:colOff>
      <xdr:row>176</xdr:row>
      <xdr:rowOff>90671</xdr:rowOff>
    </xdr:from>
    <xdr:to>
      <xdr:col>5</xdr:col>
      <xdr:colOff>889119</xdr:colOff>
      <xdr:row>193</xdr:row>
      <xdr:rowOff>125007</xdr:rowOff>
    </xdr:to>
    <xdr:graphicFrame macro="">
      <xdr:nvGraphicFramePr>
        <xdr:cNvPr id="19" name="Chart 114">
          <a:extLst>
            <a:ext uri="{FF2B5EF4-FFF2-40B4-BE49-F238E27FC236}">
              <a16:creationId xmlns:a16="http://schemas.microsoft.com/office/drawing/2014/main" id="{4858B7B1-D42B-44B7-BC64-9634753A607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218172</xdr:colOff>
      <xdr:row>196</xdr:row>
      <xdr:rowOff>6102</xdr:rowOff>
    </xdr:from>
    <xdr:to>
      <xdr:col>5</xdr:col>
      <xdr:colOff>686507</xdr:colOff>
      <xdr:row>210</xdr:row>
      <xdr:rowOff>1058335</xdr:rowOff>
    </xdr:to>
    <xdr:graphicFrame macro="">
      <xdr:nvGraphicFramePr>
        <xdr:cNvPr id="20" name="Chart 115">
          <a:extLst>
            <a:ext uri="{FF2B5EF4-FFF2-40B4-BE49-F238E27FC236}">
              <a16:creationId xmlns:a16="http://schemas.microsoft.com/office/drawing/2014/main" id="{A8233DD5-5744-48F9-A9CE-F25F22404E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10</xdr:col>
      <xdr:colOff>629014</xdr:colOff>
      <xdr:row>336</xdr:row>
      <xdr:rowOff>66453</xdr:rowOff>
    </xdr:from>
    <xdr:to>
      <xdr:col>24</xdr:col>
      <xdr:colOff>381000</xdr:colOff>
      <xdr:row>357</xdr:row>
      <xdr:rowOff>1256</xdr:rowOff>
    </xdr:to>
    <xdr:graphicFrame macro="">
      <xdr:nvGraphicFramePr>
        <xdr:cNvPr id="21" name="Chart 5">
          <a:extLst>
            <a:ext uri="{FF2B5EF4-FFF2-40B4-BE49-F238E27FC236}">
              <a16:creationId xmlns:a16="http://schemas.microsoft.com/office/drawing/2014/main" id="{73CBFFDC-AF21-488D-953A-D9F5259AEB0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6</xdr:col>
      <xdr:colOff>547798</xdr:colOff>
      <xdr:row>70</xdr:row>
      <xdr:rowOff>149533</xdr:rowOff>
    </xdr:from>
    <xdr:to>
      <xdr:col>15</xdr:col>
      <xdr:colOff>36411</xdr:colOff>
      <xdr:row>87</xdr:row>
      <xdr:rowOff>75252</xdr:rowOff>
    </xdr:to>
    <xdr:graphicFrame macro="">
      <xdr:nvGraphicFramePr>
        <xdr:cNvPr id="22" name="Graphique 12">
          <a:extLst>
            <a:ext uri="{FF2B5EF4-FFF2-40B4-BE49-F238E27FC236}">
              <a16:creationId xmlns:a16="http://schemas.microsoft.com/office/drawing/2014/main" id="{CBA5C1DE-B47C-4E31-A4F1-94E7EC14147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1</xdr:col>
      <xdr:colOff>295207</xdr:colOff>
      <xdr:row>714</xdr:row>
      <xdr:rowOff>38099</xdr:rowOff>
    </xdr:from>
    <xdr:to>
      <xdr:col>10</xdr:col>
      <xdr:colOff>88640</xdr:colOff>
      <xdr:row>737</xdr:row>
      <xdr:rowOff>7262</xdr:rowOff>
    </xdr:to>
    <xdr:graphicFrame macro="">
      <xdr:nvGraphicFramePr>
        <xdr:cNvPr id="25" name="Chart 5">
          <a:extLst>
            <a:ext uri="{FF2B5EF4-FFF2-40B4-BE49-F238E27FC236}">
              <a16:creationId xmlns:a16="http://schemas.microsoft.com/office/drawing/2014/main" id="{D6758162-ED44-4E2E-AEC8-D90FF91F56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xdr:col>
      <xdr:colOff>399940</xdr:colOff>
      <xdr:row>754</xdr:row>
      <xdr:rowOff>85559</xdr:rowOff>
    </xdr:from>
    <xdr:to>
      <xdr:col>11</xdr:col>
      <xdr:colOff>433731</xdr:colOff>
      <xdr:row>772</xdr:row>
      <xdr:rowOff>34758</xdr:rowOff>
    </xdr:to>
    <xdr:graphicFrame macro="">
      <xdr:nvGraphicFramePr>
        <xdr:cNvPr id="26" name="Chart 2">
          <a:extLst>
            <a:ext uri="{FF2B5EF4-FFF2-40B4-BE49-F238E27FC236}">
              <a16:creationId xmlns:a16="http://schemas.microsoft.com/office/drawing/2014/main" id="{48492196-DBDC-494D-8811-7B7635A9813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202223</xdr:colOff>
      <xdr:row>790</xdr:row>
      <xdr:rowOff>122604</xdr:rowOff>
    </xdr:from>
    <xdr:to>
      <xdr:col>22</xdr:col>
      <xdr:colOff>419101</xdr:colOff>
      <xdr:row>806</xdr:row>
      <xdr:rowOff>69362</xdr:rowOff>
    </xdr:to>
    <xdr:graphicFrame macro="">
      <xdr:nvGraphicFramePr>
        <xdr:cNvPr id="27" name="Chart 7">
          <a:extLst>
            <a:ext uri="{FF2B5EF4-FFF2-40B4-BE49-F238E27FC236}">
              <a16:creationId xmlns:a16="http://schemas.microsoft.com/office/drawing/2014/main" id="{63154E74-9339-4BB1-96A4-6580A5AC0AB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1</xdr:col>
      <xdr:colOff>571500</xdr:colOff>
      <xdr:row>826</xdr:row>
      <xdr:rowOff>54897</xdr:rowOff>
    </xdr:from>
    <xdr:to>
      <xdr:col>10</xdr:col>
      <xdr:colOff>532819</xdr:colOff>
      <xdr:row>844</xdr:row>
      <xdr:rowOff>29599</xdr:rowOff>
    </xdr:to>
    <xdr:graphicFrame macro="">
      <xdr:nvGraphicFramePr>
        <xdr:cNvPr id="28" name="Chart 22">
          <a:extLst>
            <a:ext uri="{FF2B5EF4-FFF2-40B4-BE49-F238E27FC236}">
              <a16:creationId xmlns:a16="http://schemas.microsoft.com/office/drawing/2014/main" id="{3DACC398-A1FA-4D85-90D8-5720FFB0420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242166</xdr:colOff>
      <xdr:row>860</xdr:row>
      <xdr:rowOff>71871</xdr:rowOff>
    </xdr:from>
    <xdr:to>
      <xdr:col>10</xdr:col>
      <xdr:colOff>189919</xdr:colOff>
      <xdr:row>878</xdr:row>
      <xdr:rowOff>53788</xdr:rowOff>
    </xdr:to>
    <xdr:graphicFrame macro="">
      <xdr:nvGraphicFramePr>
        <xdr:cNvPr id="29" name="Chart 22">
          <a:extLst>
            <a:ext uri="{FF2B5EF4-FFF2-40B4-BE49-F238E27FC236}">
              <a16:creationId xmlns:a16="http://schemas.microsoft.com/office/drawing/2014/main" id="{56918213-D0F3-4CE4-B6EF-83AAD4E0B3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1</xdr:col>
      <xdr:colOff>579664</xdr:colOff>
      <xdr:row>644</xdr:row>
      <xdr:rowOff>53975</xdr:rowOff>
    </xdr:from>
    <xdr:to>
      <xdr:col>8</xdr:col>
      <xdr:colOff>279400</xdr:colOff>
      <xdr:row>665</xdr:row>
      <xdr:rowOff>76021</xdr:rowOff>
    </xdr:to>
    <xdr:graphicFrame macro="">
      <xdr:nvGraphicFramePr>
        <xdr:cNvPr id="54" name="Chart 8">
          <a:extLst>
            <a:ext uri="{FF2B5EF4-FFF2-40B4-BE49-F238E27FC236}">
              <a16:creationId xmlns:a16="http://schemas.microsoft.com/office/drawing/2014/main" id="{38A453D9-C2E0-44A6-9C82-CA78BD556AB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3</xdr:col>
      <xdr:colOff>707571</xdr:colOff>
      <xdr:row>3</xdr:row>
      <xdr:rowOff>10887</xdr:rowOff>
    </xdr:from>
    <xdr:to>
      <xdr:col>11</xdr:col>
      <xdr:colOff>323367</xdr:colOff>
      <xdr:row>20</xdr:row>
      <xdr:rowOff>0</xdr:rowOff>
    </xdr:to>
    <xdr:graphicFrame macro="">
      <xdr:nvGraphicFramePr>
        <xdr:cNvPr id="32" name="Graphique 1">
          <a:extLst>
            <a:ext uri="{FF2B5EF4-FFF2-40B4-BE49-F238E27FC236}">
              <a16:creationId xmlns:a16="http://schemas.microsoft.com/office/drawing/2014/main" id="{0CD7B6A3-31F8-46EC-B8FC-DAB75FCFBEE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twoCellAnchor>
    <xdr:from>
      <xdr:col>1</xdr:col>
      <xdr:colOff>0</xdr:colOff>
      <xdr:row>273</xdr:row>
      <xdr:rowOff>0</xdr:rowOff>
    </xdr:from>
    <xdr:to>
      <xdr:col>8</xdr:col>
      <xdr:colOff>43371</xdr:colOff>
      <xdr:row>290</xdr:row>
      <xdr:rowOff>113903</xdr:rowOff>
    </xdr:to>
    <xdr:graphicFrame macro="">
      <xdr:nvGraphicFramePr>
        <xdr:cNvPr id="33" name="Chart 26">
          <a:extLst>
            <a:ext uri="{FF2B5EF4-FFF2-40B4-BE49-F238E27FC236}">
              <a16:creationId xmlns:a16="http://schemas.microsoft.com/office/drawing/2014/main" id="{E10E2991-DDE0-4363-B015-4AD48FA096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8"/>
        </a:graphicData>
      </a:graphic>
    </xdr:graphicFrame>
    <xdr:clientData/>
  </xdr:twoCellAnchor>
  <xdr:twoCellAnchor>
    <xdr:from>
      <xdr:col>1</xdr:col>
      <xdr:colOff>0</xdr:colOff>
      <xdr:row>490</xdr:row>
      <xdr:rowOff>85430</xdr:rowOff>
    </xdr:from>
    <xdr:to>
      <xdr:col>7</xdr:col>
      <xdr:colOff>620232</xdr:colOff>
      <xdr:row>509</xdr:row>
      <xdr:rowOff>124557</xdr:rowOff>
    </xdr:to>
    <xdr:graphicFrame macro="">
      <xdr:nvGraphicFramePr>
        <xdr:cNvPr id="35" name="Chart 14">
          <a:extLst>
            <a:ext uri="{FF2B5EF4-FFF2-40B4-BE49-F238E27FC236}">
              <a16:creationId xmlns:a16="http://schemas.microsoft.com/office/drawing/2014/main" id="{429E4EAC-6AC9-4C42-A8C2-4F0E0BE6B2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9"/>
        </a:graphicData>
      </a:graphic>
    </xdr:graphicFrame>
    <xdr:clientData/>
  </xdr:twoCellAnchor>
  <xdr:twoCellAnchor>
    <xdr:from>
      <xdr:col>5</xdr:col>
      <xdr:colOff>603697</xdr:colOff>
      <xdr:row>671</xdr:row>
      <xdr:rowOff>107324</xdr:rowOff>
    </xdr:from>
    <xdr:to>
      <xdr:col>13</xdr:col>
      <xdr:colOff>400522</xdr:colOff>
      <xdr:row>697</xdr:row>
      <xdr:rowOff>141271</xdr:rowOff>
    </xdr:to>
    <xdr:graphicFrame macro="">
      <xdr:nvGraphicFramePr>
        <xdr:cNvPr id="9" name="Graphique 3">
          <a:extLst>
            <a:ext uri="{FF2B5EF4-FFF2-40B4-BE49-F238E27FC236}">
              <a16:creationId xmlns:a16="http://schemas.microsoft.com/office/drawing/2014/main" id="{3F8AB64F-D6E0-4128-B641-C44AF7CF53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0"/>
        </a:graphicData>
      </a:graphic>
    </xdr:graphicFrame>
    <xdr:clientData/>
  </xdr:twoCellAnchor>
</xdr:wsDr>
</file>

<file path=xl/drawings/drawing4.xml><?xml version="1.0" encoding="utf-8"?>
<c:userShapes xmlns:c="http://schemas.openxmlformats.org/drawingml/2006/chart">
  <cdr:relSizeAnchor xmlns:cdr="http://schemas.openxmlformats.org/drawingml/2006/chartDrawing">
    <cdr:from>
      <cdr:x>0.17329</cdr:x>
      <cdr:y>0.03999</cdr:y>
    </cdr:from>
    <cdr:to>
      <cdr:x>0.17497</cdr:x>
      <cdr:y>0.89044</cdr:y>
    </cdr:to>
    <cdr:cxnSp macro="">
      <cdr:nvCxnSpPr>
        <cdr:cNvPr id="3" name="Straight Connector 2">
          <a:extLst xmlns:a="http://schemas.openxmlformats.org/drawingml/2006/main">
            <a:ext uri="{FF2B5EF4-FFF2-40B4-BE49-F238E27FC236}">
              <a16:creationId xmlns:a16="http://schemas.microsoft.com/office/drawing/2014/main" id="{0782F14F-B8F6-F7AE-5069-35B52A722183}"/>
            </a:ext>
          </a:extLst>
        </cdr:cNvPr>
        <cdr:cNvCxnSpPr/>
      </cdr:nvCxnSpPr>
      <cdr:spPr>
        <a:xfrm xmlns:a="http://schemas.openxmlformats.org/drawingml/2006/main" flipH="1">
          <a:off x="1256908" y="131476"/>
          <a:ext cx="12232" cy="2796105"/>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5.xml><?xml version="1.0" encoding="utf-8"?>
<c:userShapes xmlns:c="http://schemas.openxmlformats.org/drawingml/2006/chart">
  <cdr:relSizeAnchor xmlns:cdr="http://schemas.openxmlformats.org/drawingml/2006/chartDrawing">
    <cdr:from>
      <cdr:x>0.14863</cdr:x>
      <cdr:y>0.03999</cdr:y>
    </cdr:from>
    <cdr:to>
      <cdr:x>0.15031</cdr:x>
      <cdr:y>0.89044</cdr:y>
    </cdr:to>
    <cdr:cxnSp macro="">
      <cdr:nvCxnSpPr>
        <cdr:cNvPr id="2" name="Straight Connector 2">
          <a:extLst xmlns:a="http://schemas.openxmlformats.org/drawingml/2006/main">
            <a:ext uri="{FF2B5EF4-FFF2-40B4-BE49-F238E27FC236}">
              <a16:creationId xmlns:a16="http://schemas.microsoft.com/office/drawing/2014/main" id="{0782F14F-B8F6-F7AE-5069-35B52A722183}"/>
            </a:ext>
          </a:extLst>
        </cdr:cNvPr>
        <cdr:cNvCxnSpPr/>
      </cdr:nvCxnSpPr>
      <cdr:spPr>
        <a:xfrm xmlns:a="http://schemas.openxmlformats.org/drawingml/2006/main" flipH="1">
          <a:off x="1043971" y="135216"/>
          <a:ext cx="11800" cy="2875576"/>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0.14863</cdr:x>
      <cdr:y>0.03999</cdr:y>
    </cdr:from>
    <cdr:to>
      <cdr:x>0.15031</cdr:x>
      <cdr:y>0.89044</cdr:y>
    </cdr:to>
    <cdr:cxnSp macro="">
      <cdr:nvCxnSpPr>
        <cdr:cNvPr id="2" name="Straight Connector 2">
          <a:extLst xmlns:a="http://schemas.openxmlformats.org/drawingml/2006/main">
            <a:ext uri="{FF2B5EF4-FFF2-40B4-BE49-F238E27FC236}">
              <a16:creationId xmlns:a16="http://schemas.microsoft.com/office/drawing/2014/main" id="{0782F14F-B8F6-F7AE-5069-35B52A722183}"/>
            </a:ext>
          </a:extLst>
        </cdr:cNvPr>
        <cdr:cNvCxnSpPr/>
      </cdr:nvCxnSpPr>
      <cdr:spPr>
        <a:xfrm xmlns:a="http://schemas.openxmlformats.org/drawingml/2006/main" flipH="1">
          <a:off x="1043971" y="135216"/>
          <a:ext cx="11800" cy="2875576"/>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7.xml><?xml version="1.0" encoding="utf-8"?>
<c:userShapes xmlns:c="http://schemas.openxmlformats.org/drawingml/2006/chart">
  <cdr:relSizeAnchor xmlns:cdr="http://schemas.openxmlformats.org/drawingml/2006/chartDrawing">
    <cdr:from>
      <cdr:x>0.20656</cdr:x>
      <cdr:y>0.04198</cdr:y>
    </cdr:from>
    <cdr:to>
      <cdr:x>0.20656</cdr:x>
      <cdr:y>0.7899</cdr:y>
    </cdr:to>
    <cdr:cxnSp macro="">
      <cdr:nvCxnSpPr>
        <cdr:cNvPr id="3" name="Straight Connector 2">
          <a:extLst xmlns:a="http://schemas.openxmlformats.org/drawingml/2006/main">
            <a:ext uri="{FF2B5EF4-FFF2-40B4-BE49-F238E27FC236}">
              <a16:creationId xmlns:a16="http://schemas.microsoft.com/office/drawing/2014/main" id="{0782F14F-B8F6-F7AE-5069-35B52A722183}"/>
            </a:ext>
          </a:extLst>
        </cdr:cNvPr>
        <cdr:cNvCxnSpPr/>
      </cdr:nvCxnSpPr>
      <cdr:spPr>
        <a:xfrm xmlns:a="http://schemas.openxmlformats.org/drawingml/2006/main" flipH="1">
          <a:off x="1246620" y="139701"/>
          <a:ext cx="0" cy="2489200"/>
        </a:xfrm>
        <a:prstGeom xmlns:a="http://schemas.openxmlformats.org/drawingml/2006/main" prst="line">
          <a:avLst/>
        </a:prstGeom>
        <a:ln xmlns:a="http://schemas.openxmlformats.org/drawingml/2006/main">
          <a:solidFill>
            <a:schemeClr val="bg1">
              <a:lumMod val="85000"/>
            </a:schemeClr>
          </a:solidFill>
        </a:ln>
      </cdr:spPr>
      <cdr:style>
        <a:lnRef xmlns:a="http://schemas.openxmlformats.org/drawingml/2006/main" idx="1">
          <a:schemeClr val="accent1"/>
        </a:lnRef>
        <a:fillRef xmlns:a="http://schemas.openxmlformats.org/drawingml/2006/main" idx="0">
          <a:schemeClr val="accent1"/>
        </a:fillRef>
        <a:effectRef xmlns:a="http://schemas.openxmlformats.org/drawingml/2006/main" idx="0">
          <a:schemeClr val="accent1"/>
        </a:effectRef>
        <a:fontRef xmlns:a="http://schemas.openxmlformats.org/drawingml/2006/main" idx="minor">
          <a:schemeClr val="tx1"/>
        </a:fontRef>
      </cdr:style>
    </cdr:cxnSp>
  </cdr:relSizeAnchor>
</c:userShapes>
</file>

<file path=xl/drawings/drawing8.xml><?xml version="1.0" encoding="utf-8"?>
<xdr:wsDr xmlns:xdr="http://schemas.openxmlformats.org/drawingml/2006/spreadsheetDrawing" xmlns:a="http://schemas.openxmlformats.org/drawingml/2006/main">
  <xdr:twoCellAnchor>
    <xdr:from>
      <xdr:col>23</xdr:col>
      <xdr:colOff>38100</xdr:colOff>
      <xdr:row>857</xdr:row>
      <xdr:rowOff>22678</xdr:rowOff>
    </xdr:from>
    <xdr:to>
      <xdr:col>33</xdr:col>
      <xdr:colOff>365532</xdr:colOff>
      <xdr:row>858</xdr:row>
      <xdr:rowOff>136978</xdr:rowOff>
    </xdr:to>
    <xdr:graphicFrame macro="">
      <xdr:nvGraphicFramePr>
        <xdr:cNvPr id="3" name="Chart 2">
          <a:extLst>
            <a:ext uri="{FF2B5EF4-FFF2-40B4-BE49-F238E27FC236}">
              <a16:creationId xmlns:a16="http://schemas.microsoft.com/office/drawing/2014/main" id="{FEFB2F99-EC22-4530-BCE0-893FB07C932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34</xdr:col>
      <xdr:colOff>204809</xdr:colOff>
      <xdr:row>813</xdr:row>
      <xdr:rowOff>23128</xdr:rowOff>
    </xdr:from>
    <xdr:to>
      <xdr:col>45</xdr:col>
      <xdr:colOff>402706</xdr:colOff>
      <xdr:row>838</xdr:row>
      <xdr:rowOff>57753</xdr:rowOff>
    </xdr:to>
    <xdr:graphicFrame macro="">
      <xdr:nvGraphicFramePr>
        <xdr:cNvPr id="2" name="Graphique 1">
          <a:extLst>
            <a:ext uri="{FF2B5EF4-FFF2-40B4-BE49-F238E27FC236}">
              <a16:creationId xmlns:a16="http://schemas.microsoft.com/office/drawing/2014/main" id="{AFD5DE20-2798-C7DD-45E2-9B9E6684C151}"/>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23</xdr:col>
      <xdr:colOff>60778</xdr:colOff>
      <xdr:row>809</xdr:row>
      <xdr:rowOff>143692</xdr:rowOff>
    </xdr:from>
    <xdr:to>
      <xdr:col>33</xdr:col>
      <xdr:colOff>194128</xdr:colOff>
      <xdr:row>835</xdr:row>
      <xdr:rowOff>34381</xdr:rowOff>
    </xdr:to>
    <xdr:graphicFrame macro="">
      <xdr:nvGraphicFramePr>
        <xdr:cNvPr id="4" name="Graphique 3">
          <a:extLst>
            <a:ext uri="{FF2B5EF4-FFF2-40B4-BE49-F238E27FC236}">
              <a16:creationId xmlns:a16="http://schemas.microsoft.com/office/drawing/2014/main" id="{FDFEB641-EF8F-45FE-85F1-50A04D7E4AD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3</xdr:col>
      <xdr:colOff>809624</xdr:colOff>
      <xdr:row>15</xdr:row>
      <xdr:rowOff>9527</xdr:rowOff>
    </xdr:from>
    <xdr:to>
      <xdr:col>11</xdr:col>
      <xdr:colOff>428624</xdr:colOff>
      <xdr:row>33</xdr:row>
      <xdr:rowOff>115035</xdr:rowOff>
    </xdr:to>
    <xdr:graphicFrame macro="">
      <xdr:nvGraphicFramePr>
        <xdr:cNvPr id="2" name="Chart 1">
          <a:extLst>
            <a:ext uri="{FF2B5EF4-FFF2-40B4-BE49-F238E27FC236}">
              <a16:creationId xmlns:a16="http://schemas.microsoft.com/office/drawing/2014/main" id="{3DF4DB9D-42BD-475C-B380-C900F3DC5F12}"/>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xdr:col>
      <xdr:colOff>849923</xdr:colOff>
      <xdr:row>34</xdr:row>
      <xdr:rowOff>139211</xdr:rowOff>
    </xdr:from>
    <xdr:to>
      <xdr:col>11</xdr:col>
      <xdr:colOff>468923</xdr:colOff>
      <xdr:row>53</xdr:row>
      <xdr:rowOff>98180</xdr:rowOff>
    </xdr:to>
    <xdr:graphicFrame macro="">
      <xdr:nvGraphicFramePr>
        <xdr:cNvPr id="3" name="Chart 2">
          <a:extLst>
            <a:ext uri="{FF2B5EF4-FFF2-40B4-BE49-F238E27FC236}">
              <a16:creationId xmlns:a16="http://schemas.microsoft.com/office/drawing/2014/main" id="{B2E0D8A8-FA7C-4849-BEEB-3761943109CF}"/>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12</xdr:col>
      <xdr:colOff>256442</xdr:colOff>
      <xdr:row>15</xdr:row>
      <xdr:rowOff>0</xdr:rowOff>
    </xdr:from>
    <xdr:to>
      <xdr:col>20</xdr:col>
      <xdr:colOff>534866</xdr:colOff>
      <xdr:row>33</xdr:row>
      <xdr:rowOff>105508</xdr:rowOff>
    </xdr:to>
    <xdr:graphicFrame macro="">
      <xdr:nvGraphicFramePr>
        <xdr:cNvPr id="4" name="Chart 3">
          <a:extLst>
            <a:ext uri="{FF2B5EF4-FFF2-40B4-BE49-F238E27FC236}">
              <a16:creationId xmlns:a16="http://schemas.microsoft.com/office/drawing/2014/main" id="{9DB63228-0D23-41CC-BC05-03306ED5D3A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168519</xdr:colOff>
      <xdr:row>56</xdr:row>
      <xdr:rowOff>58614</xdr:rowOff>
    </xdr:from>
    <xdr:to>
      <xdr:col>21</xdr:col>
      <xdr:colOff>381000</xdr:colOff>
      <xdr:row>75</xdr:row>
      <xdr:rowOff>17584</xdr:rowOff>
    </xdr:to>
    <xdr:graphicFrame macro="">
      <xdr:nvGraphicFramePr>
        <xdr:cNvPr id="5" name="Chart 4">
          <a:extLst>
            <a:ext uri="{FF2B5EF4-FFF2-40B4-BE49-F238E27FC236}">
              <a16:creationId xmlns:a16="http://schemas.microsoft.com/office/drawing/2014/main" id="{F8EC37A5-D076-45A9-9667-37B828D08C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13</xdr:col>
      <xdr:colOff>0</xdr:colOff>
      <xdr:row>37</xdr:row>
      <xdr:rowOff>0</xdr:rowOff>
    </xdr:from>
    <xdr:to>
      <xdr:col>21</xdr:col>
      <xdr:colOff>212481</xdr:colOff>
      <xdr:row>55</xdr:row>
      <xdr:rowOff>105508</xdr:rowOff>
    </xdr:to>
    <xdr:graphicFrame macro="">
      <xdr:nvGraphicFramePr>
        <xdr:cNvPr id="6" name="Chart 5">
          <a:extLst>
            <a:ext uri="{FF2B5EF4-FFF2-40B4-BE49-F238E27FC236}">
              <a16:creationId xmlns:a16="http://schemas.microsoft.com/office/drawing/2014/main" id="{252CC388-2FD4-469E-AF1B-6A7AF3AB344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xdr:col>
      <xdr:colOff>769327</xdr:colOff>
      <xdr:row>57</xdr:row>
      <xdr:rowOff>0</xdr:rowOff>
    </xdr:from>
    <xdr:to>
      <xdr:col>11</xdr:col>
      <xdr:colOff>388327</xdr:colOff>
      <xdr:row>75</xdr:row>
      <xdr:rowOff>105508</xdr:rowOff>
    </xdr:to>
    <xdr:graphicFrame macro="">
      <xdr:nvGraphicFramePr>
        <xdr:cNvPr id="8" name="Chart 7">
          <a:extLst>
            <a:ext uri="{FF2B5EF4-FFF2-40B4-BE49-F238E27FC236}">
              <a16:creationId xmlns:a16="http://schemas.microsoft.com/office/drawing/2014/main" id="{8D9678DD-FC9A-48CA-A4CD-3EE62B9D45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persons/person.xml><?xml version="1.0" encoding="utf-8"?>
<personList xmlns="http://schemas.microsoft.com/office/spreadsheetml/2018/threadedcomments" xmlns:x="http://schemas.openxmlformats.org/spreadsheetml/2006/main">
  <person displayName="Frank Gerard" id="{DD195DFF-BABC-43E3-850B-88435EC134D6}" userId="frank.gerard@trinomics.eu" providerId="PeoplePicker"/>
  <person displayName="Nora Cheikh" id="{E6E059FA-1588-4176-B278-E553C1192F99}" userId="S::Nora.Cheikh@trinomics.eu::b08cbdc4-1952-405a-9675-25d4c6b76531" providerId="AD"/>
</personList>
</file>

<file path=xl/theme/theme1.xml><?xml version="1.0" encoding="utf-8"?>
<a:theme xmlns:a="http://schemas.openxmlformats.org/drawingml/2006/main" name="Office Theme">
  <a:themeElements>
    <a:clrScheme name="Trinomics">
      <a:dk1>
        <a:srgbClr val="000000"/>
      </a:dk1>
      <a:lt1>
        <a:srgbClr val="FFFFFF"/>
      </a:lt1>
      <a:dk2>
        <a:srgbClr val="000000"/>
      </a:dk2>
      <a:lt2>
        <a:srgbClr val="FFFFFF"/>
      </a:lt2>
      <a:accent1>
        <a:srgbClr val="002C54"/>
      </a:accent1>
      <a:accent2>
        <a:srgbClr val="005962"/>
      </a:accent2>
      <a:accent3>
        <a:srgbClr val="F04E30"/>
      </a:accent3>
      <a:accent4>
        <a:srgbClr val="B2CECD"/>
      </a:accent4>
      <a:accent5>
        <a:srgbClr val="FFE3A6"/>
      </a:accent5>
      <a:accent6>
        <a:srgbClr val="000000"/>
      </a:accent6>
      <a:hlink>
        <a:srgbClr val="0039A6"/>
      </a:hlink>
      <a:folHlink>
        <a:srgbClr val="6688CA"/>
      </a:folHlink>
    </a:clrScheme>
    <a:fontScheme name="Trebuchet MS">
      <a:majorFont>
        <a:latin typeface="Trebuchet MS" panose="020B0603020202020204"/>
        <a:ea typeface=""/>
        <a:cs typeface=""/>
        <a:font script="Jpan" typeface="HGｺﾞｼｯｸM"/>
        <a:font script="Hang" typeface="맑은 고딕"/>
        <a:font script="Hans" typeface="方正姚体"/>
        <a:font script="Hant" typeface="微軟正黑體"/>
        <a:font script="Arab" typeface="Tahoma"/>
        <a:font script="Hebr" typeface="Arial"/>
        <a:font script="Thai" typeface="Cordia New"/>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ahoma"/>
        <a:font script="Uigh" typeface="Microsoft Uighur"/>
        <a:font script="Geor" typeface="Sylfaen"/>
      </a:majorFont>
      <a:minorFont>
        <a:latin typeface="Trebuchet MS" panose="020B0603020202020204"/>
        <a:ea typeface=""/>
        <a:cs typeface=""/>
        <a:font script="Jpan" typeface="HG丸ｺﾞｼｯｸM-PRO"/>
        <a:font script="Hang" typeface="HY그래픽M"/>
        <a:font script="Hans" typeface="华文新魏"/>
        <a:font script="Hant" typeface="微軟正黑體"/>
        <a:font script="Arab" typeface="Tahoma"/>
        <a:font script="Hebr" typeface="Gisha"/>
        <a:font script="Thai" typeface="IrisUPC"/>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xDef>
      <a:spPr>
        <a:noFill/>
        <a:ln>
          <a:solidFill>
            <a:schemeClr val="bg2"/>
          </a:solidFill>
        </a:ln>
      </a:spPr>
      <a:bodyPr vertOverflow="clip" horzOverflow="clip" wrap="none" rtlCol="0" anchor="t">
        <a:spAutoFit/>
      </a:bodyPr>
      <a:lstStyle>
        <a:defPPr>
          <a:defRPr sz="800">
            <a:solidFill>
              <a:schemeClr val="tx1"/>
            </a:solidFill>
          </a:defRPr>
        </a:defPPr>
      </a:lstStyle>
      <a:style>
        <a:lnRef idx="0">
          <a:scrgbClr r="0" g="0" b="0"/>
        </a:lnRef>
        <a:fillRef idx="0">
          <a:scrgbClr r="0" g="0" b="0"/>
        </a:fillRef>
        <a:effectRef idx="0">
          <a:scrgbClr r="0" g="0" b="0"/>
        </a:effectRef>
        <a:fontRef idx="minor">
          <a:schemeClr val="tx1"/>
        </a:fontRef>
      </a:style>
    </a:tx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K957" dT="2023-10-20T08:49:48.60" personId="{E6E059FA-1588-4176-B278-E553C1192F99}" id="{F9AE558C-0209-4AB8-9868-3A1E857EAA47}">
    <text>&gt;1.4%</text>
  </threadedComment>
</ThreadedComments>
</file>

<file path=xl/threadedComments/threadedComment2.xml><?xml version="1.0" encoding="utf-8"?>
<ThreadedComments xmlns="http://schemas.microsoft.com/office/spreadsheetml/2018/threadedcomments" xmlns:x="http://schemas.openxmlformats.org/spreadsheetml/2006/main">
  <threadedComment ref="BX12" dT="2023-06-08T15:03:29.06" personId="{E6E059FA-1588-4176-B278-E553C1192F99}" id="{E1AE26BC-0C45-410C-B3EF-4CA6107AACDE}">
    <text>Public and private</text>
  </threadedComment>
  <threadedComment ref="BX12" dT="2023-06-26T06:05:33.80" personId="{E6E059FA-1588-4176-B278-E553C1192F99}" id="{6F9F649D-DB09-4D57-96BE-B7C93F2CB543}" parentId="{E1AE26BC-0C45-410C-B3EF-4CA6107AACDE}">
    <text>https://pilv.rtk.ee/s/Z4Ps3BiTKYxMsda</text>
    <extLst>
      <x:ext xmlns:xltc2="http://schemas.microsoft.com/office/spreadsheetml/2020/threadedcomments2" uri="{F7C98A9C-CBB3-438F-8F68-D28B6AF4A901}">
        <xltc2:checksum>3613931972</xltc2:checksum>
        <xltc2:hyperlink startIndex="0" length="37" url="https://pilv.rtk.ee/s/Z4Ps3BiTKYxMsda"/>
      </x:ext>
    </extLst>
  </threadedComment>
  <threadedComment ref="FZ19" dT="2023-07-14T08:00:39.58" personId="{E6E059FA-1588-4176-B278-E553C1192F99}" id="{5DD65D79-C631-47BD-8BBD-E2FAB41E8763}">
    <text>https://eur02.safelinks.protection.outlook.com/?url=https%3A%2F%2Fiea.blob.core.windows.net%2Fassets%2F28f84ed8-4101-4e95-ae51-9536b6436f14%2FMultiple_Benefits_of_Energy_Efficiency-148x199.pdf&amp;data=05%7C01%7CNora.Cheikh%40trinomics.eu%7Cbfeb884f2dbd431171f908db839e029f%7C0fc351ce322f46e4a34bc922c735605a%7C0%7C0%7C638248486892155350%7CUnknown%7CTWFpbGZsb3d8eyJWIjoiMC4wLjAwMDAiLCJQIjoiV2luMzIiLCJBTiI6Ik1haWwiLCJXVCI6Mn0%3D%7C3000%7C%7C%7C&amp;sdata=Pr8LifomAequJw881O5FmhEhZpxn9kIVT0uXMyq6vFE%3D&amp;reserved=0</text>
    <extLst>
      <x:ext xmlns:xltc2="http://schemas.microsoft.com/office/spreadsheetml/2020/threadedcomments2" uri="{F7C98A9C-CBB3-438F-8F68-D28B6AF4A901}">
        <xltc2:checksum>1927374052</xltc2:checksum>
        <xltc2:hyperlink startIndex="0" length="504" url="https://eur02.safelinks.protection.outlook.com/?url=https%3A%2F%2Fiea.blob.core.windows.net%2Fassets%2F28f84ed8-4101-4e95-ae51-9536b6436f14%2FMultiple_Benefits_of_Energy_Efficiency-148x199.pdf&amp;data=05%7C01%7CNora.Cheikh%40trinomics.eu%7Cbfeb884f2dbd431171f908db839e029f%7C0fc351ce322f46e4a34bc922c735605a%7C0%7C0%7C638248486892155350%7CUnknown%7CTWFpbGZsb3d8eyJWIjoiMC4wLjAwMDAiLCJQIjoiV2luMzIiLCJBTiI6Ik1haWwiLCJXVCI6Mn0%3D%7C3000%7C%7C%7C&amp;sdata=Pr8LifomAequJw881O5FmhEhZpxn9kIVT0uXMyq6vFE%3D&amp;reserved=0"/>
      </x:ext>
    </extLst>
  </threadedComment>
  <threadedComment ref="EE24" dT="2023-06-08T09:39:05.88" personId="{E6E059FA-1588-4176-B278-E553C1192F99}" id="{B7B2CAB2-E61E-4D4C-844F-A797ED5BCD15}">
    <text>https://energiatalgud.ee/sites/default/files/2022-04/Riigi%20%C3%BCldine%20energiat%C3%B5hususkohustus%20aastatel%202021-2030%20ning%20taastuvenergia%20eesm%C3%A4rkide%20t%C3%A4itmine%20%282018%29%20Finantsakadeemia%20O%C3%9C.pdf</text>
    <extLst>
      <x:ext xmlns:xltc2="http://schemas.microsoft.com/office/spreadsheetml/2020/threadedcomments2" uri="{F7C98A9C-CBB3-438F-8F68-D28B6AF4A901}">
        <xltc2:checksum>587763106</xltc2:checksum>
        <xltc2:hyperlink startIndex="0" length="229" url="https://energiatalgud.ee/sites/default/files/2022-04/Riigi%20%C3%BCldine%20energiat%C3%B5hususkohustus%20aastatel%202021-2030%20ning%20taastuvenergia%20eesm%C3%A4rkide%20t%C3%A4itmine%20%282018%29%20Finantsakadeemia%20O%C3%9C.pdf"/>
      </x:ext>
    </extLst>
  </threadedComment>
  <threadedComment ref="AO25" dT="2023-06-29T06:42:31.61" personId="{E6E059FA-1588-4176-B278-E553C1192F99}" id="{FBE9E31E-FCF5-4D46-AA59-D3F983D80451}">
    <text>50% for individuals; 50% for commercial use</text>
  </threadedComment>
  <threadedComment ref="EE28" dT="2023-06-30T13:12:42.92" personId="{E6E059FA-1588-4176-B278-E553C1192F99}" id="{4AD4F5EF-F11B-4F03-8105-C35E1B9B14EC}">
    <text>Do not want to double count taxes, as taxes are already included in the Ministry of Finance forecast for GDP. So only include the additional taxes accrued</text>
  </threadedComment>
  <threadedComment ref="FZ58" dT="2023-07-14T08:00:39.58" personId="{E6E059FA-1588-4176-B278-E553C1192F99}" id="{F08B9DFF-68A8-4531-A3DC-33FBD5D51ECF}">
    <text>https://eur02.safelinks.protection.outlook.com/?url=https%3A%2F%2Fiea.blob.core.windows.net%2Fassets%2F28f84ed8-4101-4e95-ae51-9536b6436f14%2FMultiple_Benefits_of_Energy_Efficiency-148x199.pdf&amp;data=05%7C01%7CNora.Cheikh%40trinomics.eu%7Cbfeb884f2dbd431171f908db839e029f%7C0fc351ce322f46e4a34bc922c735605a%7C0%7C0%7C638248486892155350%7CUnknown%7CTWFpbGZsb3d8eyJWIjoiMC4wLjAwMDAiLCJQIjoiV2luMzIiLCJBTiI6Ik1haWwiLCJXVCI6Mn0%3D%7C3000%7C%7C%7C&amp;sdata=Pr8LifomAequJw881O5FmhEhZpxn9kIVT0uXMyq6vFE%3D&amp;reserved=0</text>
    <extLst>
      <x:ext xmlns:xltc2="http://schemas.microsoft.com/office/spreadsheetml/2020/threadedcomments2" uri="{F7C98A9C-CBB3-438F-8F68-D28B6AF4A901}">
        <xltc2:checksum>1927374052</xltc2:checksum>
        <xltc2:hyperlink startIndex="0" length="504" url="https://eur02.safelinks.protection.outlook.com/?url=https%3A%2F%2Fiea.blob.core.windows.net%2Fassets%2F28f84ed8-4101-4e95-ae51-9536b6436f14%2FMultiple_Benefits_of_Energy_Efficiency-148x199.pdf&amp;data=05%7C01%7CNora.Cheikh%40trinomics.eu%7Cbfeb884f2dbd431171f908db839e029f%7C0fc351ce322f46e4a34bc922c735605a%7C0%7C0%7C638248486892155350%7CUnknown%7CTWFpbGZsb3d8eyJWIjoiMC4wLjAwMDAiLCJQIjoiV2luMzIiLCJBTiI6Ik1haWwiLCJXVCI6Mn0%3D%7C3000%7C%7C%7C&amp;sdata=Pr8LifomAequJw881O5FmhEhZpxn9kIVT0uXMyq6vFE%3D&amp;reserved=0"/>
      </x:ext>
    </extLst>
  </threadedComment>
  <threadedComment ref="CQ59" dT="2023-06-12T08:02:08.89" personId="{E6E059FA-1588-4176-B278-E553C1192F99}" id="{E8C471AC-25B9-4AF0-950E-71B1A80B5065}">
    <text>https://energiatalgud.ee/sites/default/files/2022-04/EL%20struktuurivahenditest%20rahastatud%20meetmete%20m%C3%B5ju%20riigi%20energiamajanduse%20eesm%C3%A4rkide%20t%C3%A4itmisele%20-%20L%C3%B5pparuanne.pdf</text>
    <extLst>
      <x:ext xmlns:xltc2="http://schemas.microsoft.com/office/spreadsheetml/2020/threadedcomments2" uri="{F7C98A9C-CBB3-438F-8F68-D28B6AF4A901}">
        <xltc2:checksum>3576756179</xltc2:checksum>
        <xltc2:hyperlink startIndex="0" length="205" url="https://energiatalgud.ee/sites/default/files/2022-04/EL%20struktuurivahenditest%20rahastatud%20meetmete%20m%C3%B5ju%20riigi%20energiamajanduse%20eesm%C3%A4rkide%20t%C3%A4itmisele%20-%20L%C3%B5pparuanne.pdf"/>
      </x:ext>
    </extLst>
  </threadedComment>
  <threadedComment ref="D62" dT="2023-06-05T12:16:03.63" personId="{E6E059FA-1588-4176-B278-E553C1192F99}" id="{C0285F64-0636-491B-B611-A7589BA6305F}">
    <text>2+5 are the same</text>
  </threadedComment>
  <threadedComment ref="Y73" dT="2023-08-31T08:58:58.57" personId="{E6E059FA-1588-4176-B278-E553C1192F99}" id="{5295FCFB-61D6-4EC1-8137-34794E2DA8F1}">
    <text>Rail Baltic has two stops in Estonia in Tallinn and Parnu</text>
  </threadedComment>
</ThreadedComments>
</file>

<file path=xl/threadedComments/threadedComment3.xml><?xml version="1.0" encoding="utf-8"?>
<ThreadedComments xmlns="http://schemas.microsoft.com/office/spreadsheetml/2018/threadedcomments" xmlns:x="http://schemas.openxmlformats.org/spreadsheetml/2006/main">
  <threadedComment ref="C39" dT="2023-06-05T12:16:03.63" personId="{E6E059FA-1588-4176-B278-E553C1192F99}" id="{FD7D17EA-F49C-4B68-8EA8-07B4FCD7A20F}">
    <text>2+5 are the same</text>
  </threadedComment>
  <threadedComment ref="D71" dT="2023-05-22T14:46:09.59" personId="{E6E059FA-1588-4176-B278-E553C1192F99}" id="{6908BDEC-57E0-45A0-8C37-90C26A612B9C}">
    <text>Avoid double counting savings from taxes</text>
  </threadedComment>
</ThreadedComments>
</file>

<file path=xl/threadedComments/threadedComment4.xml><?xml version="1.0" encoding="utf-8"?>
<ThreadedComments xmlns="http://schemas.microsoft.com/office/spreadsheetml/2018/threadedcomments" xmlns:x="http://schemas.openxmlformats.org/spreadsheetml/2006/main">
  <threadedComment ref="A71" dT="2023-05-31T11:43:33.06" personId="{E6E059FA-1588-4176-B278-E553C1192F99}" id="{F3933AA3-1A66-4808-A1AF-E72CE826C901}">
    <text>Share of GDP</text>
  </threadedComment>
  <threadedComment ref="B291" dT="2023-11-03T14:10:17.98" personId="{E6E059FA-1588-4176-B278-E553C1192F99}" id="{5F41A610-32DA-4414-9A8F-DE856E7F19AE}">
    <text>@Frank Gerard I have double checked this an the original conversion factor was correct. 1000L gasoline = 9.5 MWh. The tax is quite high in Estonia</text>
    <mentions>
      <mention mentionpersonId="{DD195DFF-BABC-43E3-850B-88435EC134D6}" mentionId="{EC94BA43-B8E6-4D44-9BE0-9F580E943918}" startIndex="0" length="13"/>
    </mentions>
  </threadedComment>
  <threadedComment ref="B494" dT="2023-08-23T09:23:33.89" personId="{E6E059FA-1588-4176-B278-E553C1192F99}" id="{0AFB7879-F43B-41D7-BE0F-5198795B9930}">
    <text xml:space="preserve">@Frank Gerard </text>
    <mentions>
      <mention mentionpersonId="{DD195DFF-BABC-43E3-850B-88435EC134D6}" mentionId="{AAB5B149-9AD1-4432-B507-AE3CEFEC42B2}" startIndex="0" length="13"/>
    </mentions>
  </threadedComment>
  <threadedComment ref="B501" dT="2023-08-23T09:23:33.89" personId="{E6E059FA-1588-4176-B278-E553C1192F99}" id="{0870A877-DA84-42FF-952B-3078D3BF0C37}">
    <text xml:space="preserve">@Frank Gerard </text>
    <mentions>
      <mention mentionpersonId="{DD195DFF-BABC-43E3-850B-88435EC134D6}" mentionId="{58FE4E63-B6F7-44FB-B8CB-83E46C9FAB7A}" startIndex="0" length="13"/>
    </mentions>
  </threadedComment>
  <threadedComment ref="D586" dT="2023-06-29T06:41:13.94" personId="{E6E059FA-1588-4176-B278-E553C1192F99}" id="{C7F641BE-EF58-4264-BDED-08ED0C0A1BE3}">
    <text xml:space="preserve">a vehicle registered in Estonia in the name of a natural person </text>
  </threadedComment>
</ThreadedComments>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8.bin"/><Relationship Id="rId1" Type="http://schemas.openxmlformats.org/officeDocument/2006/relationships/hyperlink" Target="https://www.rtk.ee/toetusfondid-ja-programmid/euroopa-liidu-valisvahendid/2021-2027-toetusperiood" TargetMode="External"/></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9.bin"/><Relationship Id="rId3" Type="http://schemas.openxmlformats.org/officeDocument/2006/relationships/hyperlink" Target="https://energiatalgud.ee/node/8919" TargetMode="External"/><Relationship Id="rId7" Type="http://schemas.openxmlformats.org/officeDocument/2006/relationships/hyperlink" Target="https://energiatalgud.ee/node/8919" TargetMode="External"/><Relationship Id="rId2" Type="http://schemas.openxmlformats.org/officeDocument/2006/relationships/hyperlink" Target="https://www.mkm.ee/media/431/download" TargetMode="External"/><Relationship Id="rId1" Type="http://schemas.openxmlformats.org/officeDocument/2006/relationships/hyperlink" Target="https://energiatalgud.ee/sites/default/files/2022-04/1.%20Riikliku%20energias%C3%A4%C3%A4stukohustuse%20t%C3%A4itmiseks%20sobilike%20finantsmeetmete%20arvutusmetoodikate%20v%C3%A4ljat%C3%B6%C3%B6tamine%20ja%20energias%C3%A4%C3%A4stu%20potentsiaali%20hindamine.pdf" TargetMode="External"/><Relationship Id="rId6" Type="http://schemas.openxmlformats.org/officeDocument/2006/relationships/hyperlink" Target="https://energiatalgud.ee/node/8919" TargetMode="External"/><Relationship Id="rId5" Type="http://schemas.openxmlformats.org/officeDocument/2006/relationships/hyperlink" Target="../Finantsakadeemia%20O&#220;" TargetMode="External"/><Relationship Id="rId4" Type="http://schemas.openxmlformats.org/officeDocument/2006/relationships/hyperlink" Target="https://energiatalgud.ee/sites/default/files/2022-04/EL%20struktuurivahenditest%20rahastatud%20meetmete%20m%C3%B5ju%20riigi%20energiamajanduse%20eesm%C3%A4rkide%20t%C3%A4itmisele%20-%20L%C3%B5pparuanne.pdf"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8" Type="http://schemas.openxmlformats.org/officeDocument/2006/relationships/hyperlink" Target="https://refman.energytransitionmodel.com/publications/1708" TargetMode="External"/><Relationship Id="rId13" Type="http://schemas.openxmlformats.org/officeDocument/2006/relationships/hyperlink" Target="https://www.tmleuven.be/en/project/neujobs" TargetMode="External"/><Relationship Id="rId18" Type="http://schemas.openxmlformats.org/officeDocument/2006/relationships/hyperlink" Target="https://energy.ec.europa.eu/system/files/2020-09/ee_2020_ltrs_official_translation_en_0.pdf" TargetMode="External"/><Relationship Id="rId3" Type="http://schemas.openxmlformats.org/officeDocument/2006/relationships/hyperlink" Target="https://energiatalgud.ee/sites/default/files/2022-04/1.%20Riikliku%20energias%C3%A4%C3%A4stukohustuse%20t%C3%A4itmiseks%20sobilike%20finantsmeetmete%20arvutusmetoodikate%20v%C3%A4ljat%C3%B6%C3%B6tamine%20ja%20energias%C3%A4%C3%A4stu%20potentsiaali%20hindamine.pdf" TargetMode="External"/><Relationship Id="rId21" Type="http://schemas.openxmlformats.org/officeDocument/2006/relationships/hyperlink" Target="https://ec.europa.eu/energy/sites/ener/files/documents/se_final_necp_main_en.pdf" TargetMode="External"/><Relationship Id="rId7" Type="http://schemas.openxmlformats.org/officeDocument/2006/relationships/hyperlink" Target="http://efdb.apps.eea.europa.eu/?source=%7B%22query%22%3A%7B%22match_all%22%3A%7B%7D%7D%2C%22display_type%22%3A%22tabular%22%7D" TargetMode="External"/><Relationship Id="rId12" Type="http://schemas.openxmlformats.org/officeDocument/2006/relationships/hyperlink" Target="https://energy.ec.europa.eu/system/files/2020-09/ee_2020_ltrs_official_translation_en_0.pdf" TargetMode="External"/><Relationship Id="rId17" Type="http://schemas.openxmlformats.org/officeDocument/2006/relationships/hyperlink" Target="https://energy.ec.europa.eu/system/files/2018-05/ee_2018_cost-optimal_en_version_0.pdf;" TargetMode="External"/><Relationship Id="rId25" Type="http://schemas.microsoft.com/office/2017/10/relationships/threadedComment" Target="../threadedComments/threadedComment4.xml"/><Relationship Id="rId2" Type="http://schemas.openxmlformats.org/officeDocument/2006/relationships/hyperlink" Target="https://elering.ee/en/renewable-energy-charge" TargetMode="External"/><Relationship Id="rId16" Type="http://schemas.openxmlformats.org/officeDocument/2006/relationships/hyperlink" Target="https://riigivara.fin.ee/rkvr-frontend/aruanded/energiatohusus?_x_tr_hist=true" TargetMode="External"/><Relationship Id="rId20" Type="http://schemas.openxmlformats.org/officeDocument/2006/relationships/hyperlink" Target="https://www.sciencedirect.com/science/article/abs/pii/S0301421517300022" TargetMode="External"/><Relationship Id="rId1" Type="http://schemas.openxmlformats.org/officeDocument/2006/relationships/hyperlink" Target="https://www.fin.ee/riigi-rahandus-ja-maksud/fiskaalpoliitika-ja-majandus/rahandusministeeriumi-majandusprognoos" TargetMode="External"/><Relationship Id="rId6" Type="http://schemas.openxmlformats.org/officeDocument/2006/relationships/hyperlink" Target="https://jeodpp.jrc.ec.europa.eu/ftp/jrc-opendata/COM-EF/dataset/comw/JRC-CoM-EF-CoMW-EF-2017.pdf" TargetMode="External"/><Relationship Id="rId11" Type="http://schemas.openxmlformats.org/officeDocument/2006/relationships/hyperlink" Target="https://assets.publishing.service.gov.uk/government/uploads/system/uploads/attachment_data/file/961490/Part_3_CHP_Environmental_BEIS_v03.pdf" TargetMode="External"/><Relationship Id="rId24" Type="http://schemas.openxmlformats.org/officeDocument/2006/relationships/comments" Target="../comments6.xml"/><Relationship Id="rId5" Type="http://schemas.openxmlformats.org/officeDocument/2006/relationships/hyperlink" Target="https://refman.energytransitionmodel.com/publications/1708" TargetMode="External"/><Relationship Id="rId15" Type="http://schemas.openxmlformats.org/officeDocument/2006/relationships/hyperlink" Target="https://www.tmleuven.be/en/project/jobcreationcycling" TargetMode="External"/><Relationship Id="rId23" Type="http://schemas.openxmlformats.org/officeDocument/2006/relationships/vmlDrawing" Target="../drawings/vmlDrawing6.vml"/><Relationship Id="rId10" Type="http://schemas.openxmlformats.org/officeDocument/2006/relationships/hyperlink" Target="https://energy.ec.europa.eu/system/files/2023-02/C_2023_1086_1_EN_annexe_acte_autonome_part1_v4.pdf" TargetMode="External"/><Relationship Id="rId19" Type="http://schemas.openxmlformats.org/officeDocument/2006/relationships/hyperlink" Target="https://www.sciencedirect.com/science/article/pii/S0961953499000628" TargetMode="External"/><Relationship Id="rId4" Type="http://schemas.openxmlformats.org/officeDocument/2006/relationships/hyperlink" Target="https://energiatalgud.ee/sites/default/files/2022-04/1.%20Riikliku%20energias%C3%A4%C3%A4stukohustuse%20t%C3%A4itmiseks%20sobilike%20finantsmeetmete%20arvutusmetoodikate%20v%C3%A4ljat%C3%B6%C3%B6tamine%20ja%20energias%C3%A4%C3%A4stu%20potentsiaali%20hindamine.pdf" TargetMode="External"/><Relationship Id="rId9" Type="http://schemas.openxmlformats.org/officeDocument/2006/relationships/hyperlink" Target="https://www.sciencedirect.com/science/article/pii/S2666955222000089" TargetMode="External"/><Relationship Id="rId14" Type="http://schemas.openxmlformats.org/officeDocument/2006/relationships/hyperlink" Target="https://www.tmleuven.be/en/project/neujobs" TargetMode="External"/><Relationship Id="rId22"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3" Type="http://schemas.openxmlformats.org/officeDocument/2006/relationships/hyperlink" Target="https://www.tmleuven.be/en/project/neujobs" TargetMode="External"/><Relationship Id="rId2" Type="http://schemas.openxmlformats.org/officeDocument/2006/relationships/hyperlink" Target="https://www.tmleuven.be/en/project/neujobs" TargetMode="External"/><Relationship Id="rId1" Type="http://schemas.openxmlformats.org/officeDocument/2006/relationships/hyperlink" Target="https://hextobinary.com/unit/energy/from/gasoline/to/megawatthour" TargetMode="External"/><Relationship Id="rId6" Type="http://schemas.openxmlformats.org/officeDocument/2006/relationships/printerSettings" Target="../printerSettings/printerSettings13.bin"/><Relationship Id="rId5" Type="http://schemas.openxmlformats.org/officeDocument/2006/relationships/hyperlink" Target="https://ec.europa.eu/eurostat/documents/38154/4956218/ENERGY-BALANCE-GUIDE.pdf/de76d0d2-8b17-b47c-f6f5-415bd09b7750?t=1632139948586" TargetMode="External"/><Relationship Id="rId4" Type="http://schemas.openxmlformats.org/officeDocument/2006/relationships/hyperlink" Target="mailto:CO@" TargetMode="Externa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3.xml"/><Relationship Id="rId2" Type="http://schemas.openxmlformats.org/officeDocument/2006/relationships/printerSettings" Target="../printerSettings/printerSettings1.bin"/><Relationship Id="rId1" Type="http://schemas.openxmlformats.org/officeDocument/2006/relationships/hyperlink" Target="https://ec.europa.eu/eurostat/databrowser/view/NRG_BAL_C__custom_6880046/default/table?lang=en" TargetMode="External"/><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bin"/></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3.bin"/><Relationship Id="rId3" Type="http://schemas.openxmlformats.org/officeDocument/2006/relationships/hyperlink" Target="https://energiatalgud.ee/sites/default/files/2022-04/Energiat%C3%B5husus%20L%C3%95PPARUANNE.pdf" TargetMode="External"/><Relationship Id="rId7" Type="http://schemas.openxmlformats.org/officeDocument/2006/relationships/hyperlink" Target="https://energiatalgud.ee/sites/default/files/2022-04/EL%20struktuurivahenditest%20rahastatud%20meetmete%20m%C3%B5ju%20riigi%20energiamajanduse%20eesm%C3%A4rkide%20t%C3%A4itmisele%20-%20L%C3%B5pparuanne.pdf" TargetMode="External"/><Relationship Id="rId2" Type="http://schemas.openxmlformats.org/officeDocument/2006/relationships/hyperlink" Target="https://energiatalgud.ee/sites/default/files/2022-04/Energiat%C3%B5husus%20L%C3%95PPARUANNE.pdf" TargetMode="External"/><Relationship Id="rId1" Type="http://schemas.openxmlformats.org/officeDocument/2006/relationships/hyperlink" Target="https://energiatalgud.ee/sites/default/files/2022-04/Energiat%C3%B5husus%20L%C3%95PPARUANNE.pdf" TargetMode="External"/><Relationship Id="rId6" Type="http://schemas.openxmlformats.org/officeDocument/2006/relationships/hyperlink" Target="https://energiatalgud.ee/sites/default/files/2022-04/EL%20struktuurivahenditest%20rahastatud%20meetmete%20m%C3%B5ju%20riigi%20energiamajanduse%20eesm%C3%A4rkide%20t%C3%A4itmisele%20-%20L%C3%B5pparuanne.pdf" TargetMode="External"/><Relationship Id="rId11" Type="http://schemas.microsoft.com/office/2017/10/relationships/threadedComment" Target="../threadedComments/threadedComment2.xml"/><Relationship Id="rId5" Type="http://schemas.openxmlformats.org/officeDocument/2006/relationships/hyperlink" Target="https://energiatalgud.ee/sites/default/files/2022-04/EL%20struktuurivahenditest%20rahastatud%20meetmete%20m%C3%B5ju%20riigi%20energiamajanduse%20eesm%C3%A4rkide%20t%C3%A4itmisele%20-%20L%C3%B5pparuanne.pdf" TargetMode="External"/><Relationship Id="rId10" Type="http://schemas.openxmlformats.org/officeDocument/2006/relationships/comments" Target="../comments2.xml"/><Relationship Id="rId4" Type="http://schemas.openxmlformats.org/officeDocument/2006/relationships/hyperlink" Target="https://energiatalgud.ee/sites/default/files/2022-04/1.%20Riikliku%20energias%C3%A4%C3%A4stukohustuse%20t%C3%A4itmiseks%20sobilike%20finantsmeetmete%20arvutusmetoodikate%20v%C3%A4ljat%C3%B6%C3%B6tamine%20ja%20energias%C3%A4%C3%A4stu%20potentsiaali%20hindamine.pdf" TargetMode="External"/><Relationship Id="rId9"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4.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6.bin"/><Relationship Id="rId4" Type="http://schemas.microsoft.com/office/2017/10/relationships/threadedComment" Target="../threadedComments/threadedComment3.xml"/></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15ABE1-7B5E-4188-9233-B439544DE02C}">
  <sheetPr>
    <tabColor theme="4" tint="9.9978637043366805E-2"/>
  </sheetPr>
  <dimension ref="A1:AX218"/>
  <sheetViews>
    <sheetView zoomScale="87" zoomScaleNormal="55" workbookViewId="0">
      <selection activeCell="B197" sqref="B197"/>
    </sheetView>
  </sheetViews>
  <sheetFormatPr defaultColWidth="0" defaultRowHeight="13.5" zeroHeight="1" x14ac:dyDescent="0.3"/>
  <cols>
    <col min="1" max="1" width="11.1640625" style="1459" customWidth="1"/>
    <col min="2" max="2" width="43.1640625" style="1459" customWidth="1"/>
    <col min="3" max="3" width="14.6640625" style="1459" customWidth="1"/>
    <col min="4" max="4" width="13.1640625" style="1459" customWidth="1"/>
    <col min="5" max="5" width="11.1640625" style="1459" customWidth="1"/>
    <col min="6" max="6" width="10.83203125" style="1459" customWidth="1"/>
    <col min="7" max="7" width="13.1640625" style="1459" bestFit="1" customWidth="1"/>
    <col min="8" max="9" width="12" style="1459" bestFit="1" customWidth="1"/>
    <col min="10" max="10" width="11.83203125" style="1459" customWidth="1"/>
    <col min="11" max="13" width="12" style="1459" bestFit="1" customWidth="1"/>
    <col min="14" max="26" width="9" style="1459" customWidth="1"/>
    <col min="27" max="50" width="0" style="1459" hidden="1" customWidth="1"/>
    <col min="51" max="16384" width="9" style="1459" hidden="1"/>
  </cols>
  <sheetData>
    <row r="1" spans="2:25" s="1552" customFormat="1" ht="27.75" x14ac:dyDescent="0.45">
      <c r="B1" s="2049" t="s">
        <v>31</v>
      </c>
      <c r="C1" s="2049"/>
      <c r="D1" s="2049"/>
      <c r="E1" s="2049"/>
      <c r="F1" s="2049"/>
      <c r="G1" s="2049"/>
      <c r="H1" s="2049"/>
      <c r="I1" s="2049"/>
      <c r="J1" s="2049"/>
      <c r="K1" s="2049"/>
      <c r="L1" s="2049"/>
      <c r="M1" s="2049"/>
      <c r="N1" s="2049"/>
    </row>
    <row r="2" spans="2:25" x14ac:dyDescent="0.3"/>
    <row r="3" spans="2:25" x14ac:dyDescent="0.3"/>
    <row r="4" spans="2:25" ht="35.450000000000003" customHeight="1" x14ac:dyDescent="0.3">
      <c r="B4" s="1481" t="s">
        <v>32</v>
      </c>
      <c r="N4" s="2047" t="s">
        <v>33</v>
      </c>
      <c r="O4" s="2047"/>
      <c r="P4" s="2047"/>
      <c r="Q4" s="2047"/>
      <c r="R4" s="2047"/>
      <c r="S4" s="2047"/>
      <c r="T4" s="2047"/>
      <c r="U4" s="2047"/>
      <c r="V4" s="2047"/>
      <c r="W4" s="2047"/>
      <c r="X4" s="2047"/>
      <c r="Y4" s="2047"/>
    </row>
    <row r="5" spans="2:25" x14ac:dyDescent="0.3"/>
    <row r="6" spans="2:25" ht="40.5" x14ac:dyDescent="0.3">
      <c r="B6" s="9" t="s">
        <v>34</v>
      </c>
      <c r="C6" s="542" t="s">
        <v>13</v>
      </c>
      <c r="D6" s="542" t="s">
        <v>35</v>
      </c>
      <c r="E6" s="542" t="s">
        <v>36</v>
      </c>
      <c r="F6" s="542" t="s">
        <v>37</v>
      </c>
      <c r="G6" s="542" t="s">
        <v>38</v>
      </c>
      <c r="H6" s="542" t="s">
        <v>39</v>
      </c>
      <c r="I6" s="542" t="s">
        <v>40</v>
      </c>
      <c r="J6" s="542" t="s">
        <v>41</v>
      </c>
      <c r="K6" s="9" t="s">
        <v>42</v>
      </c>
    </row>
    <row r="7" spans="2:25" x14ac:dyDescent="0.3">
      <c r="B7" s="545">
        <v>2021</v>
      </c>
      <c r="C7" s="1467" cm="1">
        <f t="array" ref="C7:C16">TRANSPOSE(Baseline!$AC$107:$AL$107)</f>
        <v>2.947326249992656E-3</v>
      </c>
      <c r="D7" s="1468" cm="1">
        <f t="array" ref="D7:D16">TRANSPOSE(Baseline!$AC$130:$AL$130)</f>
        <v>3.5491552501608738E-3</v>
      </c>
      <c r="E7" s="1467" cm="1">
        <f t="array" ref="E7:E16">TRANSPOSE(Baseline!$AC$153:$AL$153)</f>
        <v>3.5491552501608738E-3</v>
      </c>
      <c r="F7" s="1468" cm="1">
        <f t="array" ref="F7:F16">TRANSPOSE(Baseline!$AC$176:$AL$176)</f>
        <v>3.5491552501608738E-3</v>
      </c>
      <c r="G7" s="1467" cm="1">
        <f t="array" ref="G7:G16">TRANSPOSE(Baseline!$AC$199:$AL$199)</f>
        <v>4.4518987504133176E-3</v>
      </c>
      <c r="H7" s="1468" cm="1">
        <f t="array" ref="H7:H16">TRANSPOSE(Baseline!$AC$222:$AL$222)</f>
        <v>4.4518987504133176E-3</v>
      </c>
      <c r="I7" s="1467" cm="1">
        <f t="array" ref="I7:I16">TRANSPOSE(Baseline!$AC$245:$AL$245)</f>
        <v>4.4518987504133176E-3</v>
      </c>
      <c r="J7" s="1469">
        <v>8.0000000000000002E-3</v>
      </c>
      <c r="K7" s="1470" cm="1">
        <f t="array" ref="K7:K16">TRANSPOSE(Baseline!$AC$13:$AL$13)</f>
        <v>8.0000000000000002E-3</v>
      </c>
    </row>
    <row r="8" spans="2:25" x14ac:dyDescent="0.3">
      <c r="B8" s="545">
        <v>2022</v>
      </c>
      <c r="C8" s="1467">
        <v>1.2148997818662547E-3</v>
      </c>
      <c r="D8" s="1468">
        <v>1.3852573990583532E-3</v>
      </c>
      <c r="E8" s="1467">
        <v>1.3852573990583532E-3</v>
      </c>
      <c r="F8" s="1468">
        <v>1.3852573990583532E-3</v>
      </c>
      <c r="G8" s="1467">
        <v>1.640793824846731E-3</v>
      </c>
      <c r="H8" s="1468">
        <v>1.640793824846731E-3</v>
      </c>
      <c r="I8" s="1467">
        <v>1.640793824846731E-3</v>
      </c>
      <c r="J8" s="1469">
        <v>8.0000000000000002E-3</v>
      </c>
      <c r="K8" s="1470">
        <v>8.0000000000000002E-3</v>
      </c>
    </row>
    <row r="9" spans="2:25" x14ac:dyDescent="0.3">
      <c r="B9" s="545">
        <v>2023</v>
      </c>
      <c r="C9" s="1467">
        <v>9.0605821142066955E-4</v>
      </c>
      <c r="D9" s="1468">
        <v>1.0786401583195641E-3</v>
      </c>
      <c r="E9" s="1467">
        <v>1.0786401583195641E-3</v>
      </c>
      <c r="F9" s="1468">
        <v>1.0786401583195641E-3</v>
      </c>
      <c r="G9" s="1467">
        <v>1.3375130786675627E-3</v>
      </c>
      <c r="H9" s="1468">
        <v>1.3375130786675627E-3</v>
      </c>
      <c r="I9" s="1467">
        <v>1.3375130786675627E-3</v>
      </c>
      <c r="J9" s="1469">
        <v>8.0000000000000002E-3</v>
      </c>
      <c r="K9" s="1470">
        <v>8.0000000000000002E-3</v>
      </c>
    </row>
    <row r="10" spans="2:25" x14ac:dyDescent="0.3">
      <c r="B10" s="545">
        <v>2024</v>
      </c>
      <c r="C10" s="1467">
        <v>5.810109226686011E-3</v>
      </c>
      <c r="D10" s="1468">
        <v>7.0330170044556484E-3</v>
      </c>
      <c r="E10" s="1467">
        <v>7.0330170044556484E-3</v>
      </c>
      <c r="F10" s="1468">
        <v>6.4959313212955422E-3</v>
      </c>
      <c r="G10" s="1467">
        <v>6.7190359384701913E-3</v>
      </c>
      <c r="H10" s="1468">
        <v>6.7190359384701913E-3</v>
      </c>
      <c r="I10" s="1467">
        <v>6.7190359384701913E-3</v>
      </c>
      <c r="J10" s="1469">
        <v>8.0000000000000002E-3</v>
      </c>
      <c r="K10" s="1470">
        <v>1.2999999999999999E-2</v>
      </c>
    </row>
    <row r="11" spans="2:25" x14ac:dyDescent="0.3">
      <c r="B11" s="545">
        <v>2025</v>
      </c>
      <c r="C11" s="1467">
        <v>4.7005525303616055E-3</v>
      </c>
      <c r="D11" s="1468">
        <v>1.7996230726165539E-2</v>
      </c>
      <c r="E11" s="1467">
        <v>1.5799255304943437E-2</v>
      </c>
      <c r="F11" s="1468">
        <v>2.2179061301365734E-2</v>
      </c>
      <c r="G11" s="1467">
        <v>1.9938112879147166E-2</v>
      </c>
      <c r="H11" s="1468">
        <v>1.9299920652553291E-2</v>
      </c>
      <c r="I11" s="1467">
        <v>2.6313412189133811E-2</v>
      </c>
      <c r="J11" s="1469">
        <v>8.0000000000000002E-3</v>
      </c>
      <c r="K11" s="1470">
        <v>1.2999999999999999E-2</v>
      </c>
    </row>
    <row r="12" spans="2:25" x14ac:dyDescent="0.3">
      <c r="B12" s="545">
        <v>2026</v>
      </c>
      <c r="C12" s="1467">
        <v>2.0968694907554154E-3</v>
      </c>
      <c r="D12" s="1468">
        <v>1.3388915359993524E-2</v>
      </c>
      <c r="E12" s="1467">
        <v>1.1615762384214044E-2</v>
      </c>
      <c r="F12" s="1468">
        <v>1.7777627358929484E-2</v>
      </c>
      <c r="G12" s="1467">
        <v>1.3225976018348143E-2</v>
      </c>
      <c r="H12" s="1468">
        <v>1.3527756892357657E-2</v>
      </c>
      <c r="I12" s="1467">
        <v>1.9579441044698415E-2</v>
      </c>
      <c r="J12" s="1469">
        <v>8.0000000000000002E-3</v>
      </c>
      <c r="K12" s="1470">
        <v>1.4999999999999999E-2</v>
      </c>
    </row>
    <row r="13" spans="2:25" x14ac:dyDescent="0.3">
      <c r="B13" s="545">
        <v>2027</v>
      </c>
      <c r="C13" s="1467">
        <v>1.8698158784367048E-3</v>
      </c>
      <c r="D13" s="1468">
        <v>1.6925595178451134E-2</v>
      </c>
      <c r="E13" s="1467">
        <v>1.5731530062482221E-2</v>
      </c>
      <c r="F13" s="1468">
        <v>2.1429592165918457E-2</v>
      </c>
      <c r="G13" s="1467">
        <v>3.3626616130063916E-2</v>
      </c>
      <c r="H13" s="1468">
        <v>2.3969808339110877E-2</v>
      </c>
      <c r="I13" s="1467">
        <v>2.9856024921172963E-2</v>
      </c>
      <c r="J13" s="1469">
        <v>8.0000000000000002E-3</v>
      </c>
      <c r="K13" s="1470">
        <v>1.4999999999999999E-2</v>
      </c>
    </row>
    <row r="14" spans="2:25" x14ac:dyDescent="0.3">
      <c r="B14" s="545">
        <v>2028</v>
      </c>
      <c r="C14" s="1467">
        <v>5.7176197869410097E-4</v>
      </c>
      <c r="D14" s="1468">
        <v>1.1298652310592631E-2</v>
      </c>
      <c r="E14" s="1467">
        <v>1.0865284029014119E-2</v>
      </c>
      <c r="F14" s="1468">
        <v>1.5654129719762298E-2</v>
      </c>
      <c r="G14" s="1467">
        <v>1.1265460181214165E-2</v>
      </c>
      <c r="H14" s="1468">
        <v>1.2472319396810989E-2</v>
      </c>
      <c r="I14" s="1467">
        <v>1.8522931019847092E-2</v>
      </c>
      <c r="J14" s="1469">
        <v>8.0000000000000002E-3</v>
      </c>
      <c r="K14" s="1470">
        <v>1.9E-2</v>
      </c>
    </row>
    <row r="15" spans="2:25" x14ac:dyDescent="0.3">
      <c r="B15" s="545">
        <v>2029</v>
      </c>
      <c r="C15" s="1467">
        <v>5.721075836055508E-4</v>
      </c>
      <c r="D15" s="1468">
        <v>1.119875728276248E-2</v>
      </c>
      <c r="E15" s="1467">
        <v>1.1711159782388124E-2</v>
      </c>
      <c r="F15" s="1468">
        <v>1.5409714603306642E-2</v>
      </c>
      <c r="G15" s="1467">
        <v>1.1125861163135676E-2</v>
      </c>
      <c r="H15" s="1468">
        <v>1.2968248677639642E-2</v>
      </c>
      <c r="I15" s="1467">
        <v>1.9246350722587423E-2</v>
      </c>
      <c r="J15" s="1469">
        <v>8.0000000000000002E-3</v>
      </c>
      <c r="K15" s="1470">
        <v>1.9E-2</v>
      </c>
    </row>
    <row r="16" spans="2:25" x14ac:dyDescent="0.3">
      <c r="B16" s="545">
        <v>2030</v>
      </c>
      <c r="C16" s="1467">
        <v>5.7239419582160627E-4</v>
      </c>
      <c r="D16" s="1468">
        <v>1.1070831875549018E-2</v>
      </c>
      <c r="E16" s="1467">
        <v>1.22603910046093E-2</v>
      </c>
      <c r="F16" s="1468">
        <v>1.5141178089776513E-2</v>
      </c>
      <c r="G16" s="1467">
        <v>1.0916867432062839E-2</v>
      </c>
      <c r="H16" s="1468">
        <v>1.3215109740493398E-2</v>
      </c>
      <c r="I16" s="1467">
        <v>1.9632542681103211E-2</v>
      </c>
      <c r="J16" s="1469">
        <v>8.0000000000000002E-3</v>
      </c>
      <c r="K16" s="1470">
        <v>1.9E-2</v>
      </c>
    </row>
    <row r="17" spans="2:14" ht="15.6" customHeight="1" x14ac:dyDescent="0.3">
      <c r="B17" s="1473" t="s">
        <v>43</v>
      </c>
      <c r="C17" s="1474">
        <f>Baseline!$AF$108</f>
        <v>1.4396817674703426E-3</v>
      </c>
      <c r="D17" s="1474">
        <f>Baseline!$AF$131</f>
        <v>1.1441664692584083E-2</v>
      </c>
      <c r="E17" s="1474">
        <f>Baseline!$AF$154</f>
        <v>1.0909683420612923E-2</v>
      </c>
      <c r="F17" s="1474">
        <f>Baseline!$AF$177</f>
        <v>1.5042082465692611E-2</v>
      </c>
      <c r="G17" s="1474">
        <f>Baseline!$AF$200</f>
        <v>1.3978120196927374E-2</v>
      </c>
      <c r="H17" s="1474">
        <f>Baseline!$AF$223</f>
        <v>1.334445651664423E-2</v>
      </c>
      <c r="I17" s="1474">
        <f>Baseline!$AF$246</f>
        <v>1.8623039991340743E-2</v>
      </c>
      <c r="J17" s="1465"/>
      <c r="K17" s="1465"/>
    </row>
    <row r="18" spans="2:14" x14ac:dyDescent="0.3">
      <c r="B18" s="545" t="s">
        <v>44</v>
      </c>
      <c r="C18" s="1471">
        <v>1.4999999999999999E-2</v>
      </c>
      <c r="D18" s="1470">
        <f>C18</f>
        <v>1.4999999999999999E-2</v>
      </c>
      <c r="E18" s="1472">
        <f t="shared" ref="E18:I19" si="0">D18</f>
        <v>1.4999999999999999E-2</v>
      </c>
      <c r="F18" s="1472">
        <f t="shared" si="0"/>
        <v>1.4999999999999999E-2</v>
      </c>
      <c r="G18" s="1472">
        <f t="shared" si="0"/>
        <v>1.4999999999999999E-2</v>
      </c>
      <c r="H18" s="1472">
        <f t="shared" si="0"/>
        <v>1.4999999999999999E-2</v>
      </c>
      <c r="I18" s="1472">
        <f t="shared" si="0"/>
        <v>1.4999999999999999E-2</v>
      </c>
    </row>
    <row r="19" spans="2:14" x14ac:dyDescent="0.3">
      <c r="B19" s="545" t="s">
        <v>45</v>
      </c>
      <c r="C19" s="1471">
        <v>8.0000000000000002E-3</v>
      </c>
      <c r="D19" s="1472">
        <f>C19</f>
        <v>8.0000000000000002E-3</v>
      </c>
      <c r="E19" s="1472">
        <f t="shared" si="0"/>
        <v>8.0000000000000002E-3</v>
      </c>
      <c r="F19" s="1472">
        <f t="shared" si="0"/>
        <v>8.0000000000000002E-3</v>
      </c>
      <c r="G19" s="1472">
        <f t="shared" si="0"/>
        <v>8.0000000000000002E-3</v>
      </c>
      <c r="H19" s="1472">
        <f t="shared" si="0"/>
        <v>8.0000000000000002E-3</v>
      </c>
      <c r="I19" s="1472">
        <f t="shared" si="0"/>
        <v>8.0000000000000002E-3</v>
      </c>
    </row>
    <row r="20" spans="2:14" ht="16.5" x14ac:dyDescent="0.3">
      <c r="N20" s="1475" t="s">
        <v>46</v>
      </c>
    </row>
    <row r="21" spans="2:14" x14ac:dyDescent="0.3"/>
    <row r="22" spans="2:14" x14ac:dyDescent="0.3"/>
    <row r="23" spans="2:14" x14ac:dyDescent="0.3"/>
    <row r="24" spans="2:14" x14ac:dyDescent="0.3"/>
    <row r="25" spans="2:14" x14ac:dyDescent="0.3"/>
    <row r="26" spans="2:14" x14ac:dyDescent="0.3"/>
    <row r="27" spans="2:14" x14ac:dyDescent="0.3"/>
    <row r="28" spans="2:14" x14ac:dyDescent="0.3"/>
    <row r="29" spans="2:14" x14ac:dyDescent="0.3"/>
    <row r="30" spans="2:14" x14ac:dyDescent="0.3"/>
    <row r="31" spans="2:14" x14ac:dyDescent="0.3"/>
    <row r="32" spans="2:14" x14ac:dyDescent="0.3"/>
    <row r="33" spans="2:27" x14ac:dyDescent="0.3"/>
    <row r="34" spans="2:27" x14ac:dyDescent="0.3"/>
    <row r="35" spans="2:27" x14ac:dyDescent="0.3"/>
    <row r="36" spans="2:27" x14ac:dyDescent="0.3"/>
    <row r="37" spans="2:27" x14ac:dyDescent="0.3"/>
    <row r="38" spans="2:27" ht="36" customHeight="1" thickBot="1" x14ac:dyDescent="0.35">
      <c r="B38" s="1510"/>
      <c r="C38" s="1510"/>
      <c r="D38" s="1510"/>
      <c r="E38" s="1510"/>
      <c r="F38" s="1510"/>
      <c r="G38" s="1510"/>
      <c r="H38" s="1510"/>
      <c r="I38" s="1510"/>
      <c r="J38" s="1510"/>
      <c r="K38" s="1510"/>
      <c r="L38" s="1510"/>
      <c r="M38" s="1510"/>
      <c r="N38" s="1510"/>
      <c r="O38" s="1510"/>
      <c r="P38" s="1510"/>
      <c r="Q38" s="1510"/>
      <c r="R38" s="1510"/>
      <c r="S38" s="1510"/>
      <c r="T38" s="1510"/>
      <c r="U38" s="1510"/>
      <c r="V38" s="1510"/>
      <c r="W38" s="1510"/>
      <c r="X38" s="1510"/>
      <c r="Y38" s="1510"/>
      <c r="Z38" s="1510"/>
      <c r="AA38" s="1510"/>
    </row>
    <row r="39" spans="2:27" ht="21" x14ac:dyDescent="0.3">
      <c r="B39" s="1481" t="s">
        <v>47</v>
      </c>
    </row>
    <row r="40" spans="2:27" ht="16.5" x14ac:dyDescent="0.3">
      <c r="N40" s="1475" t="s">
        <v>48</v>
      </c>
    </row>
    <row r="41" spans="2:27" ht="18.75" x14ac:dyDescent="0.3">
      <c r="C41" s="1480"/>
      <c r="D41" s="1480"/>
      <c r="E41" s="1480"/>
      <c r="F41" s="1480"/>
      <c r="G41" s="1480"/>
      <c r="H41" s="1480"/>
      <c r="I41" s="1480"/>
    </row>
    <row r="42" spans="2:27" x14ac:dyDescent="0.3"/>
    <row r="43" spans="2:27" ht="27" x14ac:dyDescent="0.3">
      <c r="B43" s="9" t="s">
        <v>49</v>
      </c>
      <c r="C43" s="542" t="str">
        <f>C6</f>
        <v>Baseline</v>
      </c>
      <c r="D43" s="542" t="str">
        <f t="shared" ref="D43:I43" si="1">D6</f>
        <v>EEO</v>
      </c>
      <c r="E43" s="542" t="str">
        <f t="shared" si="1"/>
        <v>VA</v>
      </c>
      <c r="F43" s="542" t="str">
        <f t="shared" si="1"/>
        <v>Reno wave</v>
      </c>
      <c r="G43" s="542" t="str">
        <f t="shared" si="1"/>
        <v>EET</v>
      </c>
      <c r="H43" s="542" t="str">
        <f t="shared" si="1"/>
        <v>CEER1</v>
      </c>
      <c r="I43" s="542" t="str">
        <f t="shared" si="1"/>
        <v>CEER2</v>
      </c>
    </row>
    <row r="44" spans="2:27" x14ac:dyDescent="0.3">
      <c r="B44" s="1476" t="s">
        <v>50</v>
      </c>
      <c r="C44" s="1477" cm="1">
        <f t="array" ref="C44:C48">-'Pathway Analysis'!$Z$16:$Z$20/1000</f>
        <v>2.1865367716326678</v>
      </c>
      <c r="D44" s="1478" cm="1">
        <f t="array" ref="D44:D48">-'Pathway Analysis'!$Z$22:$Z$26/1000</f>
        <v>3.3118980488134642</v>
      </c>
      <c r="E44" s="1477" cm="1">
        <f t="array" ref="E44:E48">-'Pathway Analysis'!$Z$28:$Z$32/1000</f>
        <v>3.9300311087334685</v>
      </c>
      <c r="F44" s="1478" cm="1">
        <f t="array" ref="F44:F48">-'Pathway Analysis'!$Z$34:$Z$38/1000</f>
        <v>2.6749923899522252</v>
      </c>
      <c r="G44" s="1477" cm="1">
        <f t="array" ref="G44:G48">-'Pathway Analysis'!$Z$40:$Z$44/1000</f>
        <v>2.6749923899522252</v>
      </c>
      <c r="H44" s="1478" cm="1">
        <f t="array" ref="H44:H48">-'Pathway Analysis'!$Z$46:$Z$50/1000</f>
        <v>3.1860477902600159</v>
      </c>
      <c r="I44" s="1477" cm="1">
        <f t="array" ref="I44:I48">-'Pathway Analysis'!$Z$52:$Z$56/1000</f>
        <v>3.7665165557597846</v>
      </c>
    </row>
    <row r="45" spans="2:27" x14ac:dyDescent="0.3">
      <c r="B45" s="1476" t="s">
        <v>51</v>
      </c>
      <c r="C45" s="1477">
        <v>1.2177262273464082</v>
      </c>
      <c r="D45" s="1478">
        <v>4.8309049239447255</v>
      </c>
      <c r="E45" s="1477">
        <v>4.5664765715937845</v>
      </c>
      <c r="F45" s="1478">
        <v>8.8692653420667131</v>
      </c>
      <c r="G45" s="1477">
        <v>4.1599360800979905</v>
      </c>
      <c r="H45" s="1478">
        <v>5.0868484007084023</v>
      </c>
      <c r="I45" s="1477">
        <v>6.7536644158411621</v>
      </c>
    </row>
    <row r="46" spans="2:27" x14ac:dyDescent="0.3">
      <c r="B46" s="1476" t="s">
        <v>52</v>
      </c>
      <c r="C46" s="1477">
        <v>0.80183992043336738</v>
      </c>
      <c r="D46" s="1478">
        <v>3.1090963974119177</v>
      </c>
      <c r="E46" s="1477">
        <v>1.9157959570342364</v>
      </c>
      <c r="F46" s="1478">
        <v>2.5515513820642841</v>
      </c>
      <c r="G46" s="1477">
        <v>1.9157959570342364</v>
      </c>
      <c r="H46" s="1478">
        <v>2.0792236512488258</v>
      </c>
      <c r="I46" s="1477">
        <v>2.9160273820642848</v>
      </c>
    </row>
    <row r="47" spans="2:27" x14ac:dyDescent="0.3">
      <c r="B47" s="1476" t="s">
        <v>53</v>
      </c>
      <c r="C47" s="1477">
        <v>1.1451391013546304</v>
      </c>
      <c r="D47" s="1478">
        <v>3.0971042639358553</v>
      </c>
      <c r="E47" s="1477">
        <v>3.0971042639358553</v>
      </c>
      <c r="F47" s="1478">
        <v>3.0971042639358553</v>
      </c>
      <c r="G47" s="1477">
        <v>8.473634063255945</v>
      </c>
      <c r="H47" s="1478">
        <v>5.8506156974389256</v>
      </c>
      <c r="I47" s="1477">
        <v>7.1158562854781682</v>
      </c>
    </row>
    <row r="48" spans="2:27" x14ac:dyDescent="0.3">
      <c r="B48" s="1476" t="s">
        <v>54</v>
      </c>
      <c r="C48" s="1477">
        <v>0.11037534036960216</v>
      </c>
      <c r="D48" s="1478">
        <v>0.17837534036960215</v>
      </c>
      <c r="E48" s="1477">
        <v>0.17837534036960215</v>
      </c>
      <c r="F48" s="1478">
        <v>0.17837534036960215</v>
      </c>
      <c r="G48" s="1477">
        <v>0.17837534036960215</v>
      </c>
      <c r="H48" s="1478">
        <v>0.17837534036960215</v>
      </c>
      <c r="I48" s="1477">
        <v>0.17837534036960215</v>
      </c>
    </row>
    <row r="49" spans="2:50" x14ac:dyDescent="0.3">
      <c r="B49" s="1476" t="s">
        <v>42</v>
      </c>
      <c r="C49" s="1479">
        <v>21.279</v>
      </c>
      <c r="D49" s="1479">
        <v>21.279</v>
      </c>
      <c r="E49" s="1479">
        <v>21.279</v>
      </c>
      <c r="F49" s="1479">
        <v>21.279</v>
      </c>
      <c r="G49" s="1479">
        <v>21.279</v>
      </c>
      <c r="H49" s="1479">
        <v>21.279</v>
      </c>
      <c r="I49" s="1479">
        <v>21.279</v>
      </c>
    </row>
    <row r="50" spans="2:50" x14ac:dyDescent="0.3">
      <c r="B50" s="59" t="s">
        <v>55</v>
      </c>
      <c r="C50" s="877">
        <f>SUM(C44:C48)</f>
        <v>5.4616173611366765</v>
      </c>
      <c r="D50" s="877">
        <f t="shared" ref="D50:I50" si="2">SUM(D44:D48)</f>
        <v>14.527378974475564</v>
      </c>
      <c r="E50" s="877">
        <f t="shared" si="2"/>
        <v>13.687783241666946</v>
      </c>
      <c r="F50" s="877">
        <f t="shared" si="2"/>
        <v>17.37128871838868</v>
      </c>
      <c r="G50" s="877">
        <f t="shared" si="2"/>
        <v>17.402733830709998</v>
      </c>
      <c r="H50" s="877">
        <f t="shared" si="2"/>
        <v>16.381110880025769</v>
      </c>
      <c r="I50" s="877">
        <f t="shared" si="2"/>
        <v>20.730439979513005</v>
      </c>
    </row>
    <row r="51" spans="2:50" x14ac:dyDescent="0.3"/>
    <row r="52" spans="2:50" x14ac:dyDescent="0.3"/>
    <row r="53" spans="2:50" x14ac:dyDescent="0.3"/>
    <row r="54" spans="2:50" x14ac:dyDescent="0.3"/>
    <row r="55" spans="2:50" x14ac:dyDescent="0.3"/>
    <row r="56" spans="2:50" x14ac:dyDescent="0.3"/>
    <row r="57" spans="2:50" x14ac:dyDescent="0.3"/>
    <row r="58" spans="2:50" x14ac:dyDescent="0.3"/>
    <row r="59" spans="2:50" x14ac:dyDescent="0.3"/>
    <row r="60" spans="2:50" x14ac:dyDescent="0.3"/>
    <row r="61" spans="2:50" ht="14.25" thickBot="1" x14ac:dyDescent="0.35">
      <c r="B61" s="1510"/>
      <c r="C61" s="1510"/>
      <c r="D61" s="1510"/>
      <c r="E61" s="1510"/>
      <c r="F61" s="1510"/>
      <c r="G61" s="1510"/>
      <c r="H61" s="1510"/>
      <c r="I61" s="1510"/>
      <c r="J61" s="1510"/>
      <c r="K61" s="1510"/>
      <c r="L61" s="1510"/>
      <c r="M61" s="1510"/>
      <c r="N61" s="1510"/>
      <c r="O61" s="1510"/>
      <c r="P61" s="1510"/>
      <c r="Q61" s="1510"/>
      <c r="R61" s="1510"/>
      <c r="S61" s="1510"/>
      <c r="T61" s="1510"/>
      <c r="U61" s="1510"/>
      <c r="V61" s="1510"/>
      <c r="W61" s="1510"/>
      <c r="X61" s="1510"/>
      <c r="Y61" s="1510"/>
      <c r="Z61" s="1510"/>
      <c r="AA61" s="1510"/>
    </row>
    <row r="62" spans="2:50" x14ac:dyDescent="0.3"/>
    <row r="63" spans="2:50" ht="21" x14ac:dyDescent="0.3">
      <c r="B63" s="1481" t="s">
        <v>56</v>
      </c>
      <c r="AX63" s="1511"/>
    </row>
    <row r="64" spans="2:50" ht="14.25" thickBot="1" x14ac:dyDescent="0.35">
      <c r="B64" s="1459" t="s">
        <v>57</v>
      </c>
      <c r="C64" s="1460"/>
      <c r="AX64" s="1511"/>
    </row>
    <row r="65" spans="2:50" ht="30" x14ac:dyDescent="0.3">
      <c r="B65" s="1484" t="s">
        <v>58</v>
      </c>
      <c r="C65" s="1485" t="s">
        <v>34</v>
      </c>
      <c r="D65" s="1485" t="s">
        <v>59</v>
      </c>
      <c r="E65" s="1485" t="s">
        <v>60</v>
      </c>
      <c r="F65" s="1485" t="s">
        <v>61</v>
      </c>
      <c r="G65" s="1485" t="s">
        <v>13</v>
      </c>
      <c r="H65" s="1485" t="s">
        <v>35</v>
      </c>
      <c r="I65" s="1485" t="s">
        <v>36</v>
      </c>
      <c r="J65" s="1485" t="s">
        <v>62</v>
      </c>
      <c r="K65" s="1485" t="s">
        <v>38</v>
      </c>
      <c r="L65" s="1485" t="s">
        <v>39</v>
      </c>
      <c r="M65" s="1486" t="s">
        <v>40</v>
      </c>
      <c r="AX65" s="1512"/>
    </row>
    <row r="66" spans="2:50" ht="15" x14ac:dyDescent="0.3">
      <c r="B66" s="1492" t="s">
        <v>63</v>
      </c>
      <c r="C66" s="1493">
        <v>2030</v>
      </c>
      <c r="D66" s="1502" t="s">
        <v>64</v>
      </c>
      <c r="E66" s="1506">
        <v>30</v>
      </c>
      <c r="F66" s="1494">
        <v>33.299999999999997</v>
      </c>
      <c r="G66" s="1488" cm="1">
        <f t="array" ref="G66:M66">_xlfn.XLOOKUP(G65:M65,'Pathway Analysis'!E9:E56,'Pathway Analysis'!P9:P56)/1000</f>
        <v>32.800636129512888</v>
      </c>
      <c r="H66" s="1030">
        <v>30.380158035912604</v>
      </c>
      <c r="I66" s="1030">
        <v>30.505241511688403</v>
      </c>
      <c r="J66" s="1030">
        <v>29.550812071545629</v>
      </c>
      <c r="K66" s="1030">
        <v>29.749509864005553</v>
      </c>
      <c r="L66" s="1030">
        <v>29.8985016796554</v>
      </c>
      <c r="M66" s="1322">
        <v>28.657361055021681</v>
      </c>
      <c r="P66" s="1511">
        <v>30</v>
      </c>
      <c r="AX66" s="1513"/>
    </row>
    <row r="67" spans="2:50" ht="15" x14ac:dyDescent="0.3">
      <c r="B67" s="1495" t="s">
        <v>65</v>
      </c>
      <c r="C67" s="1487" t="s">
        <v>66</v>
      </c>
      <c r="D67" s="1503" t="s">
        <v>64</v>
      </c>
      <c r="E67" s="1507"/>
      <c r="F67" s="1496">
        <v>21.3</v>
      </c>
      <c r="G67" s="1488">
        <f>C50</f>
        <v>5.4616173611366765</v>
      </c>
      <c r="H67" s="1030">
        <f t="shared" ref="H67:M67" si="3">D50</f>
        <v>14.527378974475564</v>
      </c>
      <c r="I67" s="1030">
        <f t="shared" si="3"/>
        <v>13.687783241666946</v>
      </c>
      <c r="J67" s="1030">
        <f t="shared" si="3"/>
        <v>17.37128871838868</v>
      </c>
      <c r="K67" s="1030">
        <f t="shared" si="3"/>
        <v>17.402733830709998</v>
      </c>
      <c r="L67" s="1030">
        <f t="shared" si="3"/>
        <v>16.381110880025769</v>
      </c>
      <c r="M67" s="1322">
        <f t="shared" si="3"/>
        <v>20.730439979513005</v>
      </c>
      <c r="P67" s="1511">
        <f>F67</f>
        <v>21.3</v>
      </c>
      <c r="AX67" s="1511"/>
    </row>
    <row r="68" spans="2:50" ht="15" x14ac:dyDescent="0.3">
      <c r="B68" s="1495" t="s">
        <v>67</v>
      </c>
      <c r="C68" s="1487">
        <v>2030</v>
      </c>
      <c r="D68" s="1503" t="s">
        <v>68</v>
      </c>
      <c r="E68" s="1508">
        <v>1.9E-2</v>
      </c>
      <c r="F68" s="1497">
        <v>1.9E-2</v>
      </c>
      <c r="G68" s="1320">
        <f>C16</f>
        <v>5.7239419582160627E-4</v>
      </c>
      <c r="H68" s="881">
        <f t="shared" ref="H68:M68" si="4">D16</f>
        <v>1.1070831875549018E-2</v>
      </c>
      <c r="I68" s="881">
        <f t="shared" si="4"/>
        <v>1.22603910046093E-2</v>
      </c>
      <c r="J68" s="881">
        <f t="shared" si="4"/>
        <v>1.5141178089776513E-2</v>
      </c>
      <c r="K68" s="881">
        <f t="shared" si="4"/>
        <v>1.0916867432062839E-2</v>
      </c>
      <c r="L68" s="881">
        <f t="shared" si="4"/>
        <v>1.3215109740493398E-2</v>
      </c>
      <c r="M68" s="1424">
        <f t="shared" si="4"/>
        <v>1.9632542681103211E-2</v>
      </c>
      <c r="P68" s="1512">
        <v>1.9E-2</v>
      </c>
      <c r="AX68" s="1513"/>
    </row>
    <row r="69" spans="2:50" ht="15" x14ac:dyDescent="0.3">
      <c r="B69" s="1495" t="s">
        <v>69</v>
      </c>
      <c r="C69" s="1487" t="s">
        <v>70</v>
      </c>
      <c r="D69" s="1503" t="s">
        <v>68</v>
      </c>
      <c r="E69" s="1508">
        <v>1.4999999999999999E-2</v>
      </c>
      <c r="F69" s="1497">
        <v>1.4999999999999999E-2</v>
      </c>
      <c r="G69" s="1320">
        <f>C17</f>
        <v>1.4396817674703426E-3</v>
      </c>
      <c r="H69" s="881">
        <f t="shared" ref="H69:M69" si="5">D17</f>
        <v>1.1441664692584083E-2</v>
      </c>
      <c r="I69" s="881">
        <f t="shared" si="5"/>
        <v>1.0909683420612923E-2</v>
      </c>
      <c r="J69" s="881">
        <f t="shared" si="5"/>
        <v>1.5042082465692611E-2</v>
      </c>
      <c r="K69" s="881">
        <f t="shared" si="5"/>
        <v>1.3978120196927374E-2</v>
      </c>
      <c r="L69" s="881">
        <f t="shared" si="5"/>
        <v>1.334445651664423E-2</v>
      </c>
      <c r="M69" s="1323">
        <f t="shared" si="5"/>
        <v>1.8623039991340743E-2</v>
      </c>
      <c r="P69" s="1513">
        <f>F69</f>
        <v>1.4999999999999999E-2</v>
      </c>
      <c r="AX69" s="1513"/>
    </row>
    <row r="70" spans="2:50" ht="15" x14ac:dyDescent="0.3">
      <c r="B70" s="1495" t="s">
        <v>71</v>
      </c>
      <c r="C70" s="1487">
        <v>2030</v>
      </c>
      <c r="D70" s="1503" t="s">
        <v>64</v>
      </c>
      <c r="E70" s="1507">
        <v>45.7</v>
      </c>
      <c r="F70" s="1496">
        <v>63.9</v>
      </c>
      <c r="G70" s="1488">
        <f>((_xlfn.XLOOKUP(G65,'Pathway Analysis'!$E$120:$E$167,'Pathway Analysis'!$P$120:$P$167)))/1000</f>
        <v>51.486996461648047</v>
      </c>
      <c r="H70" s="1030">
        <f>((_xlfn.XLOOKUP(H65,'Pathway Analysis'!$E$120:$E$167,'Pathway Analysis'!$P$120:$P$167)))/1000</f>
        <v>47.488591810276674</v>
      </c>
      <c r="I70" s="1030">
        <f>((_xlfn.XLOOKUP(I65,'Pathway Analysis'!$E$120:$E$167,'Pathway Analysis'!$P$120:$P$167)))/1000</f>
        <v>47.705242914700747</v>
      </c>
      <c r="J70" s="1030">
        <f>((_xlfn.XLOOKUP(J65,'Pathway Analysis'!$E$120:$E$167,'Pathway Analysis'!$P$120:$P$167)))/1000</f>
        <v>46.306453260598076</v>
      </c>
      <c r="K70" s="1030">
        <f>((_xlfn.XLOOKUP(K65,'Pathway Analysis'!$E$120:$E$167,'Pathway Analysis'!$P$120:$P$167)))/1000</f>
        <v>47.270345703817043</v>
      </c>
      <c r="L70" s="1030">
        <f>((_xlfn.XLOOKUP(L65,'Pathway Analysis'!$E$120:$E$167,'Pathway Analysis'!$P$120:$P$167)))/1000</f>
        <v>47.092397632414226</v>
      </c>
      <c r="M70" s="1322">
        <f>((_xlfn.XLOOKUP(M65,'Pathway Analysis'!$E$120:$E$167,'Pathway Analysis'!$P$120:$P$167)))/1000</f>
        <v>45.105556691626482</v>
      </c>
      <c r="P70" s="1511">
        <f>E70</f>
        <v>45.7</v>
      </c>
      <c r="AX70" s="1511"/>
    </row>
    <row r="71" spans="2:50" ht="15" x14ac:dyDescent="0.3">
      <c r="B71" s="1495" t="s">
        <v>72</v>
      </c>
      <c r="C71" s="1487" t="s">
        <v>66</v>
      </c>
      <c r="D71" s="1503" t="s">
        <v>68</v>
      </c>
      <c r="E71" s="1508">
        <v>1.9E-2</v>
      </c>
      <c r="F71" s="1496"/>
      <c r="G71" s="1320" cm="1">
        <f t="array" ref="G71:M71">_xlfn.XLOOKUP(G65:M65,'Pathway Analysis'!$E$94:$E$100,'Pathway Analysis'!$F$94:$F$100)</f>
        <v>1.009935746581334E-4</v>
      </c>
      <c r="H71" s="881">
        <v>1.6101978416147536E-2</v>
      </c>
      <c r="I71" s="881">
        <v>9.1704358749986076E-3</v>
      </c>
      <c r="J71" s="881">
        <v>1.1850386847023515E-2</v>
      </c>
      <c r="K71" s="881">
        <v>9.1704358749986076E-3</v>
      </c>
      <c r="L71" s="881">
        <v>1.1124905756411667E-2</v>
      </c>
      <c r="M71" s="1323">
        <v>1.623956302475188E-2</v>
      </c>
      <c r="P71" s="1513">
        <f>E71</f>
        <v>1.9E-2</v>
      </c>
      <c r="AX71" s="1511"/>
    </row>
    <row r="72" spans="2:50" ht="15" x14ac:dyDescent="0.3">
      <c r="B72" s="1495" t="s">
        <v>73</v>
      </c>
      <c r="C72" s="1487" t="s">
        <v>66</v>
      </c>
      <c r="D72" s="1503" t="s">
        <v>68</v>
      </c>
      <c r="E72" s="1508">
        <v>0.03</v>
      </c>
      <c r="F72" s="1496"/>
      <c r="G72" s="1320" cm="1">
        <f t="array" ref="G72:M72">INDEX('Pathway Analysis'!$AM$241:$AM$296,MATCH(G65:M65,'Pathway Analysis'!$W$241:$W$296,0)+3)</f>
        <v>8.6854546222829461E-3</v>
      </c>
      <c r="H72" s="881">
        <v>6.4597047658599291E-2</v>
      </c>
      <c r="I72" s="881">
        <v>3.4869311979302285E-2</v>
      </c>
      <c r="J72" s="881">
        <v>4.3453138479220256E-2</v>
      </c>
      <c r="K72" s="881">
        <v>3.4869311979302285E-2</v>
      </c>
      <c r="L72" s="881">
        <v>4.1889615541430954E-2</v>
      </c>
      <c r="M72" s="1323">
        <v>6.3983789464313615E-2</v>
      </c>
      <c r="P72" s="1513">
        <f>E72</f>
        <v>0.03</v>
      </c>
      <c r="AX72" s="1511"/>
    </row>
    <row r="73" spans="2:50" ht="27" x14ac:dyDescent="0.3">
      <c r="B73" s="1495" t="s">
        <v>74</v>
      </c>
      <c r="C73" s="1487" t="s">
        <v>66</v>
      </c>
      <c r="D73" s="1503" t="s">
        <v>75</v>
      </c>
      <c r="E73" s="1507"/>
      <c r="F73" s="1496">
        <v>0.3</v>
      </c>
      <c r="G73" s="1489" cm="1">
        <f t="array" ref="G73:M73">INDEX('Pathway Analysis'!$F$234:$F$296,MATCH(G65:M65,'Pathway Analysis'!$E$234:$E$296,0)+4)</f>
        <v>0.11572443884643135</v>
      </c>
      <c r="H73" s="881">
        <v>0.86683063864333521</v>
      </c>
      <c r="I73" s="881">
        <v>0.48251395468883423</v>
      </c>
      <c r="J73" s="881">
        <v>0.5869906349824735</v>
      </c>
      <c r="K73" s="881">
        <v>0.48251395468883423</v>
      </c>
      <c r="L73" s="881">
        <v>0.5869906349824735</v>
      </c>
      <c r="M73" s="1323">
        <v>0.91570093855180934</v>
      </c>
      <c r="P73" s="1511">
        <f>F73</f>
        <v>0.3</v>
      </c>
    </row>
    <row r="74" spans="2:50" ht="15" x14ac:dyDescent="0.3">
      <c r="B74" s="1498" t="s">
        <v>76</v>
      </c>
      <c r="C74" s="1490">
        <v>2030</v>
      </c>
      <c r="D74" s="1504" t="s">
        <v>77</v>
      </c>
      <c r="E74" s="1507"/>
      <c r="F74" s="1496">
        <v>232</v>
      </c>
      <c r="G74" s="1491" cm="1">
        <f t="array" ref="G74:M74">-INDEX('Pathway Analysis'!$AJ$15:$AJ$56,MATCH(G65:M65,'Pathway Analysis'!$Y$15:$Y$56,0)+1)</f>
        <v>313.43335631074785</v>
      </c>
      <c r="H74" s="1030">
        <v>564.02174916819285</v>
      </c>
      <c r="I74" s="1030">
        <v>865.12609753782806</v>
      </c>
      <c r="J74" s="1030">
        <v>417.52040409065864</v>
      </c>
      <c r="K74" s="1030">
        <v>417.52040409065864</v>
      </c>
      <c r="L74" s="1030">
        <v>646.53283453549773</v>
      </c>
      <c r="M74" s="1322">
        <v>835.61925273444467</v>
      </c>
      <c r="P74" s="1511">
        <f>F74</f>
        <v>232</v>
      </c>
    </row>
    <row r="75" spans="2:50" ht="15" x14ac:dyDescent="0.3">
      <c r="B75" s="1499" t="s">
        <v>78</v>
      </c>
      <c r="C75" s="1500">
        <v>2030</v>
      </c>
      <c r="D75" s="1505" t="s">
        <v>64</v>
      </c>
      <c r="E75" s="1509"/>
      <c r="F75" s="1501">
        <v>8.3000000000000007</v>
      </c>
      <c r="G75" s="1488" cm="1">
        <f t="array" ref="G75:M75">_xlfn.XLOOKUP(G65:M65,'Pathway Analysis'!$E$109:$E$115,'Pathway Analysis'!$P$109:$P$115)/1000</f>
        <v>10.069707948393493</v>
      </c>
      <c r="H75" s="1030">
        <v>9.6153737941791189</v>
      </c>
      <c r="I75" s="1030">
        <v>9.6153737941791189</v>
      </c>
      <c r="J75" s="1030">
        <v>9.6153737941791189</v>
      </c>
      <c r="K75" s="1030">
        <v>8.2977672628790184</v>
      </c>
      <c r="L75" s="1030">
        <v>8.9837115086772066</v>
      </c>
      <c r="M75" s="1322">
        <v>8.6372117073234627</v>
      </c>
      <c r="P75" s="1511">
        <v>8.3000000000000007</v>
      </c>
    </row>
    <row r="76" spans="2:50" x14ac:dyDescent="0.3"/>
    <row r="77" spans="2:50" ht="14.25" thickBot="1" x14ac:dyDescent="0.35">
      <c r="B77" s="1510"/>
      <c r="C77" s="1510"/>
      <c r="D77" s="1510"/>
      <c r="E77" s="1510"/>
      <c r="F77" s="1510"/>
      <c r="G77" s="1510"/>
      <c r="H77" s="1510"/>
      <c r="I77" s="1510"/>
      <c r="J77" s="1510"/>
      <c r="K77" s="1510"/>
      <c r="L77" s="1510"/>
      <c r="M77" s="1510"/>
      <c r="N77" s="1510"/>
      <c r="O77" s="1510"/>
      <c r="P77" s="1510"/>
      <c r="Q77" s="1510"/>
      <c r="R77" s="1510"/>
      <c r="S77" s="1510"/>
      <c r="T77" s="1510"/>
      <c r="U77" s="1510"/>
      <c r="V77" s="1510"/>
      <c r="W77" s="1510"/>
      <c r="X77" s="1510"/>
      <c r="Y77" s="1510"/>
      <c r="Z77" s="1510"/>
      <c r="AA77" s="1510"/>
    </row>
    <row r="78" spans="2:50" x14ac:dyDescent="0.3"/>
    <row r="79" spans="2:50" ht="21" x14ac:dyDescent="0.3">
      <c r="B79" s="1481" t="s">
        <v>79</v>
      </c>
    </row>
    <row r="80" spans="2:50" ht="14.25" thickBot="1" x14ac:dyDescent="0.35">
      <c r="B80" s="1459" t="s">
        <v>80</v>
      </c>
    </row>
    <row r="81" spans="2:27" ht="15.75" thickBot="1" x14ac:dyDescent="0.35">
      <c r="B81" s="1484" t="s">
        <v>58</v>
      </c>
      <c r="C81" s="1482" t="s">
        <v>60</v>
      </c>
      <c r="D81" s="1482" t="s">
        <v>61</v>
      </c>
      <c r="E81" s="1482" t="s">
        <v>13</v>
      </c>
      <c r="F81" s="1482" t="s">
        <v>35</v>
      </c>
      <c r="G81" s="1482" t="s">
        <v>36</v>
      </c>
      <c r="H81" s="1482" t="s">
        <v>81</v>
      </c>
      <c r="I81" s="1482" t="s">
        <v>38</v>
      </c>
      <c r="J81" s="1482" t="s">
        <v>39</v>
      </c>
      <c r="K81" s="1483" t="s">
        <v>40</v>
      </c>
    </row>
    <row r="82" spans="2:27" ht="12.6" customHeight="1" x14ac:dyDescent="0.3">
      <c r="B82" s="1492" t="s">
        <v>63</v>
      </c>
      <c r="C82" s="1506" t="s">
        <v>82</v>
      </c>
      <c r="D82" s="1494" t="s">
        <v>83</v>
      </c>
      <c r="E82" s="1488">
        <f>G66</f>
        <v>32.800636129512888</v>
      </c>
      <c r="F82" s="1030">
        <f t="shared" ref="F82:K82" si="6">H66</f>
        <v>30.380158035912604</v>
      </c>
      <c r="G82" s="1030">
        <f t="shared" si="6"/>
        <v>30.505241511688403</v>
      </c>
      <c r="H82" s="1030">
        <f t="shared" si="6"/>
        <v>29.550812071545629</v>
      </c>
      <c r="I82" s="1030">
        <f t="shared" si="6"/>
        <v>29.749509864005553</v>
      </c>
      <c r="J82" s="1030">
        <f t="shared" si="6"/>
        <v>29.8985016796554</v>
      </c>
      <c r="K82" s="1322">
        <f t="shared" si="6"/>
        <v>28.657361055021681</v>
      </c>
      <c r="P82" s="1459">
        <v>30</v>
      </c>
    </row>
    <row r="83" spans="2:27" ht="12.6" customHeight="1" x14ac:dyDescent="0.3">
      <c r="B83" s="1495" t="s">
        <v>65</v>
      </c>
      <c r="C83" s="1507"/>
      <c r="D83" s="1496" t="s">
        <v>84</v>
      </c>
      <c r="E83" s="1488">
        <f>G67</f>
        <v>5.4616173611366765</v>
      </c>
      <c r="F83" s="1030">
        <f t="shared" ref="F83:K86" si="7">H67</f>
        <v>14.527378974475564</v>
      </c>
      <c r="G83" s="1030">
        <f t="shared" si="7"/>
        <v>13.687783241666946</v>
      </c>
      <c r="H83" s="1030">
        <f t="shared" si="7"/>
        <v>17.37128871838868</v>
      </c>
      <c r="I83" s="1030">
        <f t="shared" si="7"/>
        <v>17.402733830709998</v>
      </c>
      <c r="J83" s="1030">
        <f t="shared" si="7"/>
        <v>16.381110880025769</v>
      </c>
      <c r="K83" s="1322">
        <f t="shared" si="7"/>
        <v>20.730439979513005</v>
      </c>
      <c r="P83" s="1459">
        <v>21.3</v>
      </c>
    </row>
    <row r="84" spans="2:27" ht="12.6" customHeight="1" x14ac:dyDescent="0.3">
      <c r="B84" s="1495" t="s">
        <v>67</v>
      </c>
      <c r="C84" s="1508" t="s">
        <v>85</v>
      </c>
      <c r="D84" s="1497" t="s">
        <v>85</v>
      </c>
      <c r="E84" s="1320">
        <f t="shared" ref="E84:E86" si="8">G68</f>
        <v>5.7239419582160627E-4</v>
      </c>
      <c r="F84" s="881">
        <f t="shared" si="7"/>
        <v>1.1070831875549018E-2</v>
      </c>
      <c r="G84" s="881">
        <f t="shared" si="7"/>
        <v>1.22603910046093E-2</v>
      </c>
      <c r="H84" s="881">
        <f t="shared" si="7"/>
        <v>1.5141178089776513E-2</v>
      </c>
      <c r="I84" s="881">
        <f t="shared" si="7"/>
        <v>1.0916867432062839E-2</v>
      </c>
      <c r="J84" s="881">
        <f t="shared" si="7"/>
        <v>1.3215109740493398E-2</v>
      </c>
      <c r="K84" s="1424">
        <f t="shared" si="7"/>
        <v>1.9632542681103211E-2</v>
      </c>
      <c r="P84" s="1465">
        <v>1.9E-2</v>
      </c>
    </row>
    <row r="85" spans="2:27" ht="12.6" customHeight="1" x14ac:dyDescent="0.3">
      <c r="B85" s="1495" t="s">
        <v>69</v>
      </c>
      <c r="C85" s="1508" t="s">
        <v>86</v>
      </c>
      <c r="D85" s="1497" t="s">
        <v>86</v>
      </c>
      <c r="E85" s="1320">
        <f t="shared" si="8"/>
        <v>1.4396817674703426E-3</v>
      </c>
      <c r="F85" s="881">
        <f t="shared" si="7"/>
        <v>1.1441664692584083E-2</v>
      </c>
      <c r="G85" s="881">
        <f t="shared" si="7"/>
        <v>1.0909683420612923E-2</v>
      </c>
      <c r="H85" s="881">
        <f t="shared" si="7"/>
        <v>1.5042082465692611E-2</v>
      </c>
      <c r="I85" s="881">
        <f t="shared" si="7"/>
        <v>1.3978120196927374E-2</v>
      </c>
      <c r="J85" s="881">
        <f t="shared" si="7"/>
        <v>1.334445651664423E-2</v>
      </c>
      <c r="K85" s="1323">
        <f t="shared" si="7"/>
        <v>1.8623039991340743E-2</v>
      </c>
      <c r="P85" s="1465">
        <v>1.4999999999999999E-2</v>
      </c>
    </row>
    <row r="86" spans="2:27" ht="12.6" customHeight="1" x14ac:dyDescent="0.3">
      <c r="B86" s="1495" t="s">
        <v>71</v>
      </c>
      <c r="C86" s="1508" t="s">
        <v>87</v>
      </c>
      <c r="D86" s="1497" t="s">
        <v>88</v>
      </c>
      <c r="E86" s="1488">
        <f t="shared" si="8"/>
        <v>51.486996461648047</v>
      </c>
      <c r="F86" s="1030">
        <f t="shared" si="7"/>
        <v>47.488591810276674</v>
      </c>
      <c r="G86" s="1030">
        <f t="shared" si="7"/>
        <v>47.705242914700747</v>
      </c>
      <c r="H86" s="1030">
        <f t="shared" si="7"/>
        <v>46.306453260598076</v>
      </c>
      <c r="I86" s="1030">
        <f t="shared" si="7"/>
        <v>47.270345703817043</v>
      </c>
      <c r="J86" s="1030">
        <f t="shared" si="7"/>
        <v>47.092397632414226</v>
      </c>
      <c r="K86" s="1322">
        <f t="shared" si="7"/>
        <v>45.105556691626482</v>
      </c>
      <c r="P86" s="1459">
        <v>45.7</v>
      </c>
    </row>
    <row r="87" spans="2:27" ht="24.6" customHeight="1" x14ac:dyDescent="0.3">
      <c r="B87" s="1495" t="s">
        <v>73</v>
      </c>
      <c r="C87" s="1508" t="s">
        <v>89</v>
      </c>
      <c r="D87" s="1497"/>
      <c r="E87" s="1320">
        <f>G72</f>
        <v>8.6854546222829461E-3</v>
      </c>
      <c r="F87" s="881">
        <f t="shared" ref="F87:K87" si="9">H72</f>
        <v>6.4597047658599291E-2</v>
      </c>
      <c r="G87" s="881">
        <f t="shared" si="9"/>
        <v>3.4869311979302285E-2</v>
      </c>
      <c r="H87" s="881">
        <f t="shared" si="9"/>
        <v>4.3453138479220256E-2</v>
      </c>
      <c r="I87" s="881">
        <f t="shared" si="9"/>
        <v>3.4869311979302285E-2</v>
      </c>
      <c r="J87" s="881">
        <f t="shared" si="9"/>
        <v>4.1889615541430954E-2</v>
      </c>
      <c r="K87" s="1323">
        <f t="shared" si="9"/>
        <v>6.3983789464313615E-2</v>
      </c>
      <c r="P87" s="1514">
        <v>0.03</v>
      </c>
    </row>
    <row r="88" spans="2:27" ht="12.6" customHeight="1" thickBot="1" x14ac:dyDescent="0.35">
      <c r="B88" s="1492" t="s">
        <v>90</v>
      </c>
      <c r="C88" s="1508"/>
      <c r="D88" s="1497"/>
      <c r="E88" s="1462"/>
      <c r="F88" s="1464"/>
      <c r="G88" s="1463"/>
      <c r="H88" s="1463"/>
      <c r="I88" s="1463"/>
      <c r="J88" s="1463"/>
      <c r="K88" s="1461"/>
    </row>
    <row r="89" spans="2:27" x14ac:dyDescent="0.3"/>
    <row r="90" spans="2:27" ht="14.25" thickBot="1" x14ac:dyDescent="0.35">
      <c r="B90" s="1510"/>
      <c r="C90" s="1510"/>
      <c r="D90" s="1510"/>
      <c r="E90" s="1510"/>
      <c r="F90" s="1510"/>
      <c r="G90" s="1510"/>
      <c r="H90" s="1510"/>
      <c r="I90" s="1510"/>
      <c r="J90" s="1510"/>
      <c r="K90" s="1510"/>
      <c r="L90" s="1510"/>
      <c r="M90" s="1510"/>
      <c r="N90" s="1510"/>
      <c r="O90" s="1510"/>
      <c r="P90" s="1510"/>
      <c r="Q90" s="1510"/>
      <c r="R90" s="1510"/>
      <c r="S90" s="1510"/>
      <c r="T90" s="1510"/>
      <c r="U90" s="1510"/>
      <c r="V90" s="1510"/>
      <c r="W90" s="1510"/>
      <c r="X90" s="1510"/>
      <c r="Y90" s="1510"/>
      <c r="Z90" s="1510"/>
      <c r="AA90" s="1510"/>
    </row>
    <row r="91" spans="2:27" ht="21" x14ac:dyDescent="0.3">
      <c r="B91" s="1481" t="s">
        <v>91</v>
      </c>
    </row>
    <row r="92" spans="2:27" ht="14.25" thickBot="1" x14ac:dyDescent="0.35">
      <c r="B92" s="1459" t="s">
        <v>92</v>
      </c>
      <c r="C92" s="1460"/>
    </row>
    <row r="93" spans="2:27" ht="15" x14ac:dyDescent="0.3">
      <c r="B93" s="1584" t="s">
        <v>93</v>
      </c>
      <c r="C93" s="1584" t="s">
        <v>94</v>
      </c>
      <c r="D93" s="1584" t="s">
        <v>59</v>
      </c>
      <c r="E93" s="1584" t="s">
        <v>13</v>
      </c>
      <c r="F93" s="1584" t="s">
        <v>35</v>
      </c>
      <c r="G93" s="1584" t="s">
        <v>36</v>
      </c>
      <c r="H93" s="1584" t="s">
        <v>62</v>
      </c>
      <c r="I93" s="1584" t="s">
        <v>38</v>
      </c>
      <c r="J93" s="1585" t="s">
        <v>39</v>
      </c>
      <c r="K93" s="1585" t="s">
        <v>40</v>
      </c>
    </row>
    <row r="94" spans="2:27" ht="15" x14ac:dyDescent="0.3">
      <c r="B94" s="1519" t="s">
        <v>95</v>
      </c>
      <c r="C94" s="1520" t="s">
        <v>66</v>
      </c>
      <c r="D94" s="1520" t="s">
        <v>96</v>
      </c>
      <c r="E94" s="1521" cm="1">
        <f t="array" ref="E94:K94">_xlfn.XLOOKUP(E93:K93,'Pathway Analysis'!$E$182:$E$223,'Pathway Analysis'!$F$182:$F$223)/1000</f>
        <v>1.2591580423140167</v>
      </c>
      <c r="F94" s="1522">
        <v>3.9058076445539665</v>
      </c>
      <c r="G94" s="1522">
        <v>3.6268950259948149</v>
      </c>
      <c r="H94" s="1522">
        <v>4.1702965605948714</v>
      </c>
      <c r="I94" s="1522">
        <v>4.4994525382594617</v>
      </c>
      <c r="J94" s="1522">
        <v>4.171217588617818</v>
      </c>
      <c r="K94" s="1523">
        <v>5.4171814186660612</v>
      </c>
    </row>
    <row r="95" spans="2:27" ht="15" x14ac:dyDescent="0.3">
      <c r="B95" s="1519" t="s">
        <v>97</v>
      </c>
      <c r="C95" s="1520" t="s">
        <v>66</v>
      </c>
      <c r="D95" s="1520" t="s">
        <v>98</v>
      </c>
      <c r="E95" s="1524" cm="1">
        <f t="array" ref="E95:K95">_xlfn.XLOOKUP(E93:K93,'Pathway Analysis'!E356:E397,'Pathway Analysis'!F356:F397)</f>
        <v>1587.9187432474118</v>
      </c>
      <c r="F95" s="1525">
        <v>10041.937573894313</v>
      </c>
      <c r="G95" s="1525">
        <v>10564.909274288977</v>
      </c>
      <c r="H95" s="1525">
        <v>17851.017176892856</v>
      </c>
      <c r="I95" s="1525">
        <v>12593.644178294981</v>
      </c>
      <c r="J95" s="1525">
        <v>12458.071163439272</v>
      </c>
      <c r="K95" s="1526">
        <v>17281.089033042328</v>
      </c>
    </row>
    <row r="96" spans="2:27" x14ac:dyDescent="0.3">
      <c r="B96" s="1527" t="s">
        <v>99</v>
      </c>
      <c r="C96" s="1528" t="s">
        <v>66</v>
      </c>
      <c r="D96" s="1528" t="s">
        <v>98</v>
      </c>
      <c r="E96" s="1529" cm="1">
        <f t="array" ref="E96:K96">_xlfn.XLOOKUP(E93:K93,'Pathway Analysis'!E402:E443,'Pathway Analysis'!F402:F443)</f>
        <v>330.79024391786061</v>
      </c>
      <c r="F96" s="1530">
        <v>2887.7470318077631</v>
      </c>
      <c r="G96" s="1530">
        <v>3210.4099267101628</v>
      </c>
      <c r="H96" s="1530">
        <v>4286.9620220185643</v>
      </c>
      <c r="I96" s="1530">
        <v>5950.6189461737695</v>
      </c>
      <c r="J96" s="1530">
        <v>4394.5010065043252</v>
      </c>
      <c r="K96" s="1531">
        <v>5748.80906657377</v>
      </c>
    </row>
    <row r="97" spans="2:27" ht="15" x14ac:dyDescent="0.3">
      <c r="B97" s="1519" t="s">
        <v>100</v>
      </c>
      <c r="C97" s="1520" t="s">
        <v>66</v>
      </c>
      <c r="D97" s="1520" t="s">
        <v>98</v>
      </c>
      <c r="E97" s="1524" cm="1">
        <f t="array" ref="E97:K97">_xlfn.XLOOKUP(E93:K93,'Pathway Analysis'!E495:E536,'Pathway Analysis'!F495:F536)</f>
        <v>488.89085016731224</v>
      </c>
      <c r="F97" s="1525">
        <v>1407.9339086013817</v>
      </c>
      <c r="G97" s="1525">
        <v>1313.6203505731801</v>
      </c>
      <c r="H97" s="1525">
        <v>1711.5938066070632</v>
      </c>
      <c r="I97" s="1525">
        <v>1751.72477835482</v>
      </c>
      <c r="J97" s="1525">
        <v>1627.3088981897454</v>
      </c>
      <c r="K97" s="1526">
        <v>2063.0783078622417</v>
      </c>
    </row>
    <row r="98" spans="2:27" ht="15" x14ac:dyDescent="0.3">
      <c r="B98" s="1519" t="s">
        <v>101</v>
      </c>
      <c r="C98" s="1520" t="s">
        <v>66</v>
      </c>
      <c r="D98" s="1520" t="s">
        <v>68</v>
      </c>
      <c r="E98" s="1532" cm="1">
        <f t="array" ref="E98:K98">TRANSPOSE('Pathway Analysis'!$AN$802:$AN$808)</f>
        <v>5.994303939774113E-3</v>
      </c>
      <c r="F98" s="1533">
        <v>3.3047810427618694E-2</v>
      </c>
      <c r="G98" s="1533">
        <v>3.4285048159836094E-2</v>
      </c>
      <c r="H98" s="1533">
        <v>5.646364330292427E-2</v>
      </c>
      <c r="I98" s="1533">
        <v>4.1405096512950296E-2</v>
      </c>
      <c r="J98" s="1533">
        <v>4.065468951239401E-2</v>
      </c>
      <c r="K98" s="1534">
        <v>5.5833148532685978E-2</v>
      </c>
    </row>
    <row r="99" spans="2:27" ht="15" x14ac:dyDescent="0.3">
      <c r="B99" s="1519" t="s">
        <v>102</v>
      </c>
      <c r="C99" s="1520" t="s">
        <v>66</v>
      </c>
      <c r="D99" s="1520" t="s">
        <v>68</v>
      </c>
      <c r="E99" s="1532" cm="1">
        <f t="array" ref="E99:K99">_xlfn.XLOOKUP(E93:K93,'Pathway Analysis'!$E$880:$E$977,'Pathway Analysis'!$F$880:$F$977)</f>
        <v>8.012843345329923E-3</v>
      </c>
      <c r="F99" s="1533">
        <v>1.8766747680571294E-2</v>
      </c>
      <c r="G99" s="1533">
        <v>2.4731672075272826E-2</v>
      </c>
      <c r="H99" s="1533">
        <v>1.284194398900107E-2</v>
      </c>
      <c r="I99" s="1533">
        <v>4.1404509880692331E-2</v>
      </c>
      <c r="J99" s="1533">
        <v>3.287364231215717E-2</v>
      </c>
      <c r="K99" s="1534">
        <v>4.8053358351587416E-2</v>
      </c>
    </row>
    <row r="100" spans="2:27" ht="27" x14ac:dyDescent="0.3">
      <c r="B100" s="1519" t="s">
        <v>103</v>
      </c>
      <c r="C100" s="1520" t="s">
        <v>66</v>
      </c>
      <c r="D100" s="1520" t="s">
        <v>104</v>
      </c>
      <c r="E100" s="1521">
        <f>'Pathway Analysis'!$F$692</f>
        <v>0.83038189388920358</v>
      </c>
      <c r="F100" s="1522">
        <f>'Pathway Analysis'!$F$700</f>
        <v>14.18266305221484</v>
      </c>
      <c r="G100" s="1522">
        <f>'Pathway Analysis'!$F$708</f>
        <v>13.811948147087014</v>
      </c>
      <c r="H100" s="1522">
        <f>'Pathway Analysis'!$F$716</f>
        <v>26.276364199404963</v>
      </c>
      <c r="I100" s="1522">
        <f>'Pathway Analysis'!$F$724</f>
        <v>16.682112109890049</v>
      </c>
      <c r="J100" s="1522">
        <f>'Pathway Analysis'!$F$732</f>
        <v>16.399783366436484</v>
      </c>
      <c r="K100" s="1523">
        <f>'Pathway Analysis'!$F$740</f>
        <v>22.755245271680341</v>
      </c>
    </row>
    <row r="101" spans="2:27" ht="15" x14ac:dyDescent="0.3">
      <c r="B101" s="1519" t="s">
        <v>105</v>
      </c>
      <c r="C101" s="1520" t="s">
        <v>66</v>
      </c>
      <c r="D101" s="1520" t="s">
        <v>68</v>
      </c>
      <c r="E101" s="1532" cm="1">
        <f t="array" ref="E101:K101">_xlfn.XLOOKUP(E93:K93,'Pathway Analysis'!$E$768:$E$795,'Pathway Analysis'!$F$768:$F$795)</f>
        <v>6.3180281234014313E-3</v>
      </c>
      <c r="F101" s="1533">
        <v>1.8050209001480466E-2</v>
      </c>
      <c r="G101" s="1533">
        <v>1.8661544162417831E-2</v>
      </c>
      <c r="H101" s="1533">
        <v>3.0606940500272684E-2</v>
      </c>
      <c r="I101" s="1533">
        <v>1.7165144349554184E-2</v>
      </c>
      <c r="J101" s="1533">
        <v>2.0497925033236442E-2</v>
      </c>
      <c r="K101" s="1534">
        <v>2.7379039691439067E-2</v>
      </c>
    </row>
    <row r="102" spans="2:27" ht="27" x14ac:dyDescent="0.3">
      <c r="B102" s="1519" t="s">
        <v>106</v>
      </c>
      <c r="C102" s="1520" t="s">
        <v>66</v>
      </c>
      <c r="D102" s="1520" t="s">
        <v>68</v>
      </c>
      <c r="E102" s="1535" cm="1">
        <f t="array" ref="E102:K102">_xlfn.XLOOKUP(E93:K93,'Pathway Analysis'!$E$984:$E$991,'Pathway Analysis'!$F$984:$F$991)</f>
        <v>7.9751925040030258E-2</v>
      </c>
      <c r="F102" s="1536">
        <v>7.6053103442772552E-2</v>
      </c>
      <c r="G102" s="1536">
        <v>7.5832367247901919E-2</v>
      </c>
      <c r="H102" s="1536">
        <v>7.3263246032060123E-2</v>
      </c>
      <c r="I102" s="1536">
        <v>7.488551184880464E-2</v>
      </c>
      <c r="J102" s="1536">
        <v>7.4833078803128145E-2</v>
      </c>
      <c r="K102" s="1537">
        <v>7.2530564765294139E-2</v>
      </c>
    </row>
    <row r="103" spans="2:27" ht="6" customHeight="1" x14ac:dyDescent="0.3">
      <c r="B103" s="1552"/>
      <c r="C103" s="1552"/>
      <c r="D103" s="1552"/>
      <c r="E103" s="1552"/>
      <c r="F103" s="1552"/>
      <c r="G103" s="1552"/>
      <c r="H103" s="1552"/>
      <c r="I103" s="1552"/>
      <c r="J103" s="1552"/>
      <c r="K103" s="1552"/>
    </row>
    <row r="104" spans="2:27" ht="15" x14ac:dyDescent="0.3">
      <c r="B104" s="1553" t="s">
        <v>107</v>
      </c>
      <c r="C104" s="1554" t="s">
        <v>66</v>
      </c>
      <c r="D104" s="1555" t="s">
        <v>98</v>
      </c>
      <c r="E104" s="1556">
        <f>SUM('Pathway Analysis'!$G$809:$P$809)/10</f>
        <v>42822.963703826412</v>
      </c>
      <c r="F104" s="1557">
        <f>SUM('Pathway Analysis'!$G$816:$P$816)/10</f>
        <v>43974.571940426882</v>
      </c>
      <c r="G104" s="1557">
        <f>SUM('Pathway Analysis'!$G$823:$P$823)/10</f>
        <v>44027.238427992721</v>
      </c>
      <c r="H104" s="1557">
        <f>SUM('Pathway Analysis'!$G$830:$P$830)/10</f>
        <v>44971.332416492267</v>
      </c>
      <c r="I104" s="1557">
        <f>SUM('Pathway Analysis'!$G$837:$P$837)/10</f>
        <v>44330.323217837766</v>
      </c>
      <c r="J104" s="1557">
        <f>SUM('Pathway Analysis'!$G$844:$P$844)/10</f>
        <v>44298.380043187506</v>
      </c>
      <c r="K104" s="1558">
        <f>SUM('Pathway Analysis'!$G$851:$P$851)/10</f>
        <v>44944.493641604946</v>
      </c>
    </row>
    <row r="105" spans="2:27" ht="15" x14ac:dyDescent="0.3">
      <c r="B105" s="1559" t="s">
        <v>108</v>
      </c>
      <c r="C105" s="1520" t="s">
        <v>66</v>
      </c>
      <c r="D105" s="1520" t="s">
        <v>98</v>
      </c>
      <c r="E105" s="1516">
        <f>E95/10</f>
        <v>158.79187432474117</v>
      </c>
      <c r="F105" s="1515">
        <f>F95/10</f>
        <v>1004.1937573894313</v>
      </c>
      <c r="G105" s="1515">
        <f t="shared" ref="G105:K105" si="10">G95/10</f>
        <v>1056.4909274288977</v>
      </c>
      <c r="H105" s="1515">
        <f t="shared" si="10"/>
        <v>1785.1017176892856</v>
      </c>
      <c r="I105" s="1515">
        <f t="shared" si="10"/>
        <v>1259.3644178294981</v>
      </c>
      <c r="J105" s="1515">
        <f t="shared" si="10"/>
        <v>1245.8071163439272</v>
      </c>
      <c r="K105" s="1560">
        <f t="shared" si="10"/>
        <v>1728.1089033042329</v>
      </c>
    </row>
    <row r="106" spans="2:27" ht="15" x14ac:dyDescent="0.3">
      <c r="B106" s="1561" t="s">
        <v>109</v>
      </c>
      <c r="C106" s="1538" t="s">
        <v>66</v>
      </c>
      <c r="D106" s="1539" t="s">
        <v>98</v>
      </c>
      <c r="E106" s="1516">
        <f>SUM('Pathway Analysis'!$G$768:$P$768)/10</f>
        <v>16042.305800688127</v>
      </c>
      <c r="F106" s="1515">
        <f>SUM('Pathway Analysis'!$G$772:$P$772)/10</f>
        <v>16229.33537592699</v>
      </c>
      <c r="G106" s="1515">
        <f>SUM('Pathway Analysis'!$G$776:$P$776)/10</f>
        <v>16239.081028220191</v>
      </c>
      <c r="H106" s="1515">
        <f>SUM('Pathway Analysis'!$G$780:$P$780)/10</f>
        <v>16429.509596134892</v>
      </c>
      <c r="I106" s="1515">
        <f>SUM('Pathway Analysis'!$G$784:$P$784)</f>
        <v>162152.26041300382</v>
      </c>
      <c r="J106" s="1515">
        <f>SUM('Pathway Analysis'!$G$788:$P$788)/10</f>
        <v>16268.355852552955</v>
      </c>
      <c r="K106" s="1560">
        <f>SUM('Pathway Analysis'!$G$792:$P$792)/10</f>
        <v>16378.051736469828</v>
      </c>
    </row>
    <row r="107" spans="2:27" ht="15" x14ac:dyDescent="0.3">
      <c r="B107" s="1562" t="s">
        <v>110</v>
      </c>
      <c r="C107" s="1563" t="s">
        <v>66</v>
      </c>
      <c r="D107" s="1563" t="s">
        <v>98</v>
      </c>
      <c r="E107" s="1564">
        <f>E96/10</f>
        <v>33.079024391786064</v>
      </c>
      <c r="F107" s="1565">
        <f>F96/10</f>
        <v>288.77470318077633</v>
      </c>
      <c r="G107" s="1565">
        <f t="shared" ref="G107:K107" si="11">G96/10</f>
        <v>321.04099267101628</v>
      </c>
      <c r="H107" s="1565">
        <f t="shared" si="11"/>
        <v>428.69620220185641</v>
      </c>
      <c r="I107" s="1565">
        <f t="shared" si="11"/>
        <v>595.06189461737699</v>
      </c>
      <c r="J107" s="1565">
        <f t="shared" si="11"/>
        <v>439.45010065043255</v>
      </c>
      <c r="K107" s="1566">
        <f t="shared" si="11"/>
        <v>574.88090665737695</v>
      </c>
    </row>
    <row r="108" spans="2:27" x14ac:dyDescent="0.3"/>
    <row r="109" spans="2:27" ht="14.25" thickBot="1" x14ac:dyDescent="0.35">
      <c r="B109" s="1510"/>
      <c r="C109" s="1510"/>
      <c r="D109" s="1510"/>
      <c r="E109" s="1510"/>
      <c r="F109" s="1510"/>
      <c r="G109" s="1510"/>
      <c r="H109" s="1510"/>
      <c r="I109" s="1510"/>
      <c r="J109" s="1510"/>
      <c r="K109" s="1510"/>
      <c r="L109" s="1510"/>
      <c r="M109" s="1510"/>
      <c r="N109" s="1510"/>
      <c r="O109" s="1510"/>
      <c r="P109" s="1510"/>
      <c r="Q109" s="1510"/>
      <c r="R109" s="1510"/>
      <c r="S109" s="1510"/>
      <c r="T109" s="1510"/>
      <c r="U109" s="1510"/>
      <c r="V109" s="1510"/>
      <c r="W109" s="1510"/>
      <c r="X109" s="1510"/>
      <c r="Y109" s="1510"/>
      <c r="Z109" s="1510"/>
      <c r="AA109" s="1510"/>
    </row>
    <row r="110" spans="2:27" ht="24" x14ac:dyDescent="0.3">
      <c r="B110" s="1481" t="s">
        <v>111</v>
      </c>
    </row>
    <row r="111" spans="2:27" x14ac:dyDescent="0.3">
      <c r="B111" s="1460"/>
    </row>
    <row r="112" spans="2:27" x14ac:dyDescent="0.3">
      <c r="B112" s="1460" t="s">
        <v>112</v>
      </c>
    </row>
    <row r="113" spans="2:9" ht="15" x14ac:dyDescent="0.35">
      <c r="B113" s="1452" t="s">
        <v>49</v>
      </c>
      <c r="C113" s="1453" t="str" cm="1">
        <f t="array" ref="C113:I113">E93:K93</f>
        <v>Baseline</v>
      </c>
      <c r="D113" s="1453" t="str">
        <v>EEO</v>
      </c>
      <c r="E113" s="1453" t="str">
        <v>VA</v>
      </c>
      <c r="F113" s="1453" t="str">
        <v>RenoWave</v>
      </c>
      <c r="G113" s="1453" t="str">
        <v>EET</v>
      </c>
      <c r="H113" s="1453" t="str">
        <v>CEER1</v>
      </c>
      <c r="I113" s="1453" t="str">
        <v>CEER2</v>
      </c>
    </row>
    <row r="114" spans="2:9" x14ac:dyDescent="0.3">
      <c r="B114" s="1476" t="s">
        <v>50</v>
      </c>
      <c r="C114" s="1540" cm="1">
        <f t="array" ref="C114:I118">INDEX('Pathway Analysis'!$F$176:$F$223,MATCH(C113:I113&amp;B114:B118,'Pathway Analysis'!$C$176:$C$223&amp;'Pathway Analysis'!$E$176:$E$223,0))/1000</f>
        <v>0.56323398937814184</v>
      </c>
      <c r="D114" s="1540">
        <v>1.0441255892441093</v>
      </c>
      <c r="E114" s="1540">
        <v>1.2922789127425081</v>
      </c>
      <c r="F114" s="1540">
        <v>0.77260348316126082</v>
      </c>
      <c r="G114" s="1540">
        <v>0.76290020505392897</v>
      </c>
      <c r="H114" s="1540">
        <v>0.96409193761456036</v>
      </c>
      <c r="I114" s="1540">
        <v>1.2024839656207866</v>
      </c>
    </row>
    <row r="115" spans="2:9" x14ac:dyDescent="0.3">
      <c r="B115" s="1476" t="s">
        <v>51</v>
      </c>
      <c r="C115" s="1540">
        <v>0.37320263056070679</v>
      </c>
      <c r="D115" s="1540">
        <v>1.051738208493366</v>
      </c>
      <c r="E115" s="1540">
        <v>1.002521122345108</v>
      </c>
      <c r="F115" s="1540">
        <v>1.8108773665215192</v>
      </c>
      <c r="G115" s="1540">
        <v>0.92055429134478717</v>
      </c>
      <c r="H115" s="1540">
        <v>1.0763326408560197</v>
      </c>
      <c r="I115" s="1540">
        <v>1.39105206746083</v>
      </c>
    </row>
    <row r="116" spans="2:9" x14ac:dyDescent="0.3">
      <c r="B116" s="1476" t="s">
        <v>52</v>
      </c>
      <c r="C116" s="1540">
        <v>0.12878676665079647</v>
      </c>
      <c r="D116" s="1540">
        <v>1.0529909967540054</v>
      </c>
      <c r="E116" s="1540">
        <v>0.57514214084471327</v>
      </c>
      <c r="F116" s="1540">
        <v>0.8298628608496047</v>
      </c>
      <c r="G116" s="1540">
        <v>0.57176724932086587</v>
      </c>
      <c r="H116" s="1540">
        <v>0.6253471895224999</v>
      </c>
      <c r="I116" s="1540">
        <v>0.96675096238807012</v>
      </c>
    </row>
    <row r="117" spans="2:9" x14ac:dyDescent="0.3">
      <c r="B117" s="1476" t="s">
        <v>53</v>
      </c>
      <c r="C117" s="1540">
        <v>5.5501018356972111E-2</v>
      </c>
      <c r="D117" s="1540">
        <v>0.59743932994224247</v>
      </c>
      <c r="E117" s="1540">
        <v>0.59743932994224247</v>
      </c>
      <c r="F117" s="1540">
        <v>0.59743932994224247</v>
      </c>
      <c r="G117" s="1540">
        <v>2.085234294019517</v>
      </c>
      <c r="H117" s="1540">
        <v>1.3468003928971315</v>
      </c>
      <c r="I117" s="1540">
        <v>1.6982489954687685</v>
      </c>
    </row>
    <row r="118" spans="2:9" x14ac:dyDescent="0.3">
      <c r="B118" s="1476" t="s">
        <v>54</v>
      </c>
      <c r="C118" s="1540">
        <v>0.13843363736739966</v>
      </c>
      <c r="D118" s="1540">
        <v>0.15951352012024331</v>
      </c>
      <c r="E118" s="1540">
        <v>0.15951352012024331</v>
      </c>
      <c r="F118" s="1540">
        <v>0.15951352012024331</v>
      </c>
      <c r="G118" s="1540">
        <v>0.15899649852036332</v>
      </c>
      <c r="H118" s="1540">
        <v>0.1586454277276064</v>
      </c>
      <c r="I118" s="1540">
        <v>0.1586454277276064</v>
      </c>
    </row>
    <row r="119" spans="2:9" x14ac:dyDescent="0.3"/>
    <row r="120" spans="2:9" x14ac:dyDescent="0.3"/>
    <row r="121" spans="2:9" x14ac:dyDescent="0.3"/>
    <row r="122" spans="2:9" x14ac:dyDescent="0.3"/>
    <row r="123" spans="2:9" x14ac:dyDescent="0.3"/>
    <row r="124" spans="2:9" x14ac:dyDescent="0.3"/>
    <row r="125" spans="2:9" ht="98.45" customHeight="1" x14ac:dyDescent="0.3"/>
    <row r="126" spans="2:9" x14ac:dyDescent="0.3"/>
    <row r="127" spans="2:9" x14ac:dyDescent="0.3"/>
    <row r="128" spans="2:9" x14ac:dyDescent="0.3"/>
    <row r="129" spans="2:27" ht="14.25" thickBot="1" x14ac:dyDescent="0.35">
      <c r="B129" s="1510"/>
      <c r="C129" s="1510"/>
      <c r="D129" s="1510"/>
      <c r="E129" s="1510"/>
      <c r="F129" s="1510"/>
      <c r="G129" s="1510"/>
      <c r="H129" s="1510"/>
      <c r="I129" s="1510"/>
      <c r="J129" s="1510"/>
      <c r="K129" s="1510"/>
      <c r="L129" s="1510"/>
      <c r="M129" s="1510"/>
      <c r="N129" s="1510"/>
      <c r="O129" s="1510"/>
      <c r="P129" s="1510"/>
      <c r="Q129" s="1510"/>
      <c r="R129" s="1510"/>
      <c r="S129" s="1510"/>
      <c r="T129" s="1510"/>
      <c r="U129" s="1510"/>
      <c r="V129" s="1510"/>
      <c r="W129" s="1510"/>
      <c r="X129" s="1510"/>
      <c r="Y129" s="1510"/>
      <c r="Z129" s="1510"/>
      <c r="AA129" s="1510"/>
    </row>
    <row r="130" spans="2:27" x14ac:dyDescent="0.3"/>
    <row r="131" spans="2:27" ht="21" x14ac:dyDescent="0.3">
      <c r="B131" s="1481" t="s">
        <v>113</v>
      </c>
    </row>
    <row r="132" spans="2:27" ht="14.25" thickBot="1" x14ac:dyDescent="0.35">
      <c r="B132" s="1459" t="s">
        <v>114</v>
      </c>
    </row>
    <row r="133" spans="2:27" ht="15" x14ac:dyDescent="0.3">
      <c r="B133" s="1584" t="s">
        <v>93</v>
      </c>
      <c r="C133" s="1584" t="s">
        <v>94</v>
      </c>
      <c r="D133" s="1584" t="s">
        <v>59</v>
      </c>
      <c r="E133" s="1517" t="s">
        <v>13</v>
      </c>
      <c r="F133" s="1517" t="s">
        <v>35</v>
      </c>
      <c r="G133" s="1517" t="s">
        <v>36</v>
      </c>
      <c r="H133" s="1517" t="s">
        <v>81</v>
      </c>
      <c r="I133" s="1517" t="s">
        <v>38</v>
      </c>
      <c r="J133" s="1518" t="s">
        <v>39</v>
      </c>
      <c r="K133" s="1518" t="s">
        <v>40</v>
      </c>
    </row>
    <row r="134" spans="2:27" x14ac:dyDescent="0.3">
      <c r="B134" s="1519" t="s">
        <v>95</v>
      </c>
      <c r="C134" s="1520" t="s">
        <v>66</v>
      </c>
      <c r="D134" s="1520" t="s">
        <v>96</v>
      </c>
      <c r="E134" s="1541">
        <f>E94</f>
        <v>1.2591580423140167</v>
      </c>
      <c r="F134" s="1541">
        <f t="shared" ref="F134:K134" si="12">F94</f>
        <v>3.9058076445539665</v>
      </c>
      <c r="G134" s="1541">
        <f t="shared" si="12"/>
        <v>3.6268950259948149</v>
      </c>
      <c r="H134" s="1541">
        <f t="shared" si="12"/>
        <v>4.1702965605948714</v>
      </c>
      <c r="I134" s="1541">
        <f t="shared" si="12"/>
        <v>4.4994525382594617</v>
      </c>
      <c r="J134" s="1541">
        <f t="shared" si="12"/>
        <v>4.171217588617818</v>
      </c>
      <c r="K134" s="1542">
        <f t="shared" si="12"/>
        <v>5.4171814186660612</v>
      </c>
    </row>
    <row r="135" spans="2:27" x14ac:dyDescent="0.3">
      <c r="B135" s="1519" t="s">
        <v>97</v>
      </c>
      <c r="C135" s="1520" t="s">
        <v>66</v>
      </c>
      <c r="D135" s="1520" t="s">
        <v>98</v>
      </c>
      <c r="E135" s="1543">
        <f t="shared" ref="E135:K135" si="13">E95</f>
        <v>1587.9187432474118</v>
      </c>
      <c r="F135" s="1543">
        <f t="shared" si="13"/>
        <v>10041.937573894313</v>
      </c>
      <c r="G135" s="1543">
        <f t="shared" si="13"/>
        <v>10564.909274288977</v>
      </c>
      <c r="H135" s="1543">
        <f t="shared" si="13"/>
        <v>17851.017176892856</v>
      </c>
      <c r="I135" s="1543">
        <f t="shared" si="13"/>
        <v>12593.644178294981</v>
      </c>
      <c r="J135" s="1543">
        <f t="shared" si="13"/>
        <v>12458.071163439272</v>
      </c>
      <c r="K135" s="1544">
        <f t="shared" si="13"/>
        <v>17281.089033042328</v>
      </c>
    </row>
    <row r="136" spans="2:27" x14ac:dyDescent="0.3">
      <c r="B136" s="1527" t="s">
        <v>99</v>
      </c>
      <c r="C136" s="1528" t="s">
        <v>66</v>
      </c>
      <c r="D136" s="1528" t="s">
        <v>98</v>
      </c>
      <c r="E136" s="1543">
        <f t="shared" ref="E136:K136" si="14">E96</f>
        <v>330.79024391786061</v>
      </c>
      <c r="F136" s="1543">
        <f t="shared" si="14"/>
        <v>2887.7470318077631</v>
      </c>
      <c r="G136" s="1543">
        <f t="shared" si="14"/>
        <v>3210.4099267101628</v>
      </c>
      <c r="H136" s="1543">
        <f t="shared" si="14"/>
        <v>4286.9620220185643</v>
      </c>
      <c r="I136" s="1543">
        <f t="shared" si="14"/>
        <v>5950.6189461737695</v>
      </c>
      <c r="J136" s="1543">
        <f t="shared" si="14"/>
        <v>4394.5010065043252</v>
      </c>
      <c r="K136" s="1544">
        <f t="shared" si="14"/>
        <v>5748.80906657377</v>
      </c>
    </row>
    <row r="137" spans="2:27" x14ac:dyDescent="0.3">
      <c r="B137" s="1519" t="s">
        <v>101</v>
      </c>
      <c r="C137" s="1520" t="s">
        <v>66</v>
      </c>
      <c r="D137" s="1520" t="s">
        <v>68</v>
      </c>
      <c r="E137" s="1545">
        <f>E98</f>
        <v>5.994303939774113E-3</v>
      </c>
      <c r="F137" s="1545">
        <f t="shared" ref="F137:K137" si="15">F98</f>
        <v>3.3047810427618694E-2</v>
      </c>
      <c r="G137" s="1545">
        <f t="shared" si="15"/>
        <v>3.4285048159836094E-2</v>
      </c>
      <c r="H137" s="1545">
        <f t="shared" si="15"/>
        <v>5.646364330292427E-2</v>
      </c>
      <c r="I137" s="1545">
        <f t="shared" si="15"/>
        <v>4.1405096512950296E-2</v>
      </c>
      <c r="J137" s="1545">
        <f t="shared" si="15"/>
        <v>4.065468951239401E-2</v>
      </c>
      <c r="K137" s="1546">
        <f t="shared" si="15"/>
        <v>5.5833148532685978E-2</v>
      </c>
    </row>
    <row r="138" spans="2:27" x14ac:dyDescent="0.3">
      <c r="B138" s="1519" t="s">
        <v>102</v>
      </c>
      <c r="C138" s="1520" t="s">
        <v>66</v>
      </c>
      <c r="D138" s="1520" t="s">
        <v>68</v>
      </c>
      <c r="E138" s="1545">
        <f t="shared" ref="E138:K138" si="16">E99</f>
        <v>8.012843345329923E-3</v>
      </c>
      <c r="F138" s="1545">
        <f t="shared" si="16"/>
        <v>1.8766747680571294E-2</v>
      </c>
      <c r="G138" s="1545">
        <f t="shared" si="16"/>
        <v>2.4731672075272826E-2</v>
      </c>
      <c r="H138" s="1545">
        <f t="shared" si="16"/>
        <v>1.284194398900107E-2</v>
      </c>
      <c r="I138" s="1545">
        <f t="shared" si="16"/>
        <v>4.1404509880692331E-2</v>
      </c>
      <c r="J138" s="1545">
        <f t="shared" si="16"/>
        <v>3.287364231215717E-2</v>
      </c>
      <c r="K138" s="1546">
        <f t="shared" si="16"/>
        <v>4.8053358351587416E-2</v>
      </c>
    </row>
    <row r="139" spans="2:27" ht="27" x14ac:dyDescent="0.3">
      <c r="B139" s="1519" t="s">
        <v>103</v>
      </c>
      <c r="C139" s="1520" t="s">
        <v>66</v>
      </c>
      <c r="D139" s="1520" t="s">
        <v>104</v>
      </c>
      <c r="E139" s="1541">
        <f t="shared" ref="E139:K139" si="17">E100</f>
        <v>0.83038189388920358</v>
      </c>
      <c r="F139" s="1541">
        <f t="shared" si="17"/>
        <v>14.18266305221484</v>
      </c>
      <c r="G139" s="1541">
        <f t="shared" si="17"/>
        <v>13.811948147087014</v>
      </c>
      <c r="H139" s="1541">
        <f t="shared" si="17"/>
        <v>26.276364199404963</v>
      </c>
      <c r="I139" s="1541">
        <f t="shared" si="17"/>
        <v>16.682112109890049</v>
      </c>
      <c r="J139" s="1541">
        <f t="shared" si="17"/>
        <v>16.399783366436484</v>
      </c>
      <c r="K139" s="1542">
        <f t="shared" si="17"/>
        <v>22.755245271680341</v>
      </c>
    </row>
    <row r="140" spans="2:27" x14ac:dyDescent="0.3">
      <c r="B140" s="1519" t="s">
        <v>105</v>
      </c>
      <c r="C140" s="1520" t="s">
        <v>66</v>
      </c>
      <c r="D140" s="1520" t="s">
        <v>68</v>
      </c>
      <c r="E140" s="1545">
        <f t="shared" ref="E140:K140" si="18">E101</f>
        <v>6.3180281234014313E-3</v>
      </c>
      <c r="F140" s="1545">
        <f t="shared" si="18"/>
        <v>1.8050209001480466E-2</v>
      </c>
      <c r="G140" s="1545">
        <f t="shared" si="18"/>
        <v>1.8661544162417831E-2</v>
      </c>
      <c r="H140" s="1545">
        <f t="shared" si="18"/>
        <v>3.0606940500272684E-2</v>
      </c>
      <c r="I140" s="1545">
        <f t="shared" si="18"/>
        <v>1.7165144349554184E-2</v>
      </c>
      <c r="J140" s="1545">
        <f t="shared" si="18"/>
        <v>2.0497925033236442E-2</v>
      </c>
      <c r="K140" s="1546">
        <f t="shared" si="18"/>
        <v>2.7379039691439067E-2</v>
      </c>
    </row>
    <row r="141" spans="2:27" ht="27" x14ac:dyDescent="0.3">
      <c r="B141" s="1519" t="s">
        <v>106</v>
      </c>
      <c r="C141" s="1520" t="s">
        <v>66</v>
      </c>
      <c r="D141" s="1520" t="s">
        <v>68</v>
      </c>
      <c r="E141" s="1545">
        <f t="shared" ref="E141:K141" si="19">E102</f>
        <v>7.9751925040030258E-2</v>
      </c>
      <c r="F141" s="1545">
        <f t="shared" si="19"/>
        <v>7.6053103442772552E-2</v>
      </c>
      <c r="G141" s="1545">
        <f t="shared" si="19"/>
        <v>7.5832367247901919E-2</v>
      </c>
      <c r="H141" s="1545">
        <f t="shared" si="19"/>
        <v>7.3263246032060123E-2</v>
      </c>
      <c r="I141" s="1545">
        <f t="shared" si="19"/>
        <v>7.488551184880464E-2</v>
      </c>
      <c r="J141" s="1545">
        <f t="shared" si="19"/>
        <v>7.4833078803128145E-2</v>
      </c>
      <c r="K141" s="1546">
        <f t="shared" si="19"/>
        <v>7.2530564765294139E-2</v>
      </c>
    </row>
    <row r="142" spans="2:27" x14ac:dyDescent="0.3">
      <c r="B142" s="2045" t="s">
        <v>90</v>
      </c>
      <c r="C142" s="2046"/>
      <c r="D142" s="2046"/>
      <c r="E142" s="1547"/>
      <c r="F142" s="1547"/>
      <c r="G142" s="1547"/>
      <c r="H142" s="1547"/>
      <c r="I142" s="1547"/>
      <c r="J142" s="1547"/>
      <c r="K142" s="1548"/>
    </row>
    <row r="143" spans="2:27" x14ac:dyDescent="0.3"/>
    <row r="144" spans="2:27" ht="14.25" thickBot="1" x14ac:dyDescent="0.35">
      <c r="B144" s="1510"/>
      <c r="C144" s="1510"/>
      <c r="D144" s="1510"/>
      <c r="E144" s="1510"/>
      <c r="F144" s="1510"/>
      <c r="G144" s="1510"/>
      <c r="H144" s="1510"/>
      <c r="I144" s="1510"/>
      <c r="J144" s="1510"/>
      <c r="K144" s="1510"/>
      <c r="L144" s="1510"/>
      <c r="M144" s="1510"/>
      <c r="N144" s="1510"/>
      <c r="O144" s="1510"/>
      <c r="P144" s="1510"/>
      <c r="Q144" s="1510"/>
      <c r="R144" s="1510"/>
      <c r="S144" s="1510"/>
      <c r="T144" s="1510"/>
      <c r="U144" s="1510"/>
      <c r="V144" s="1510"/>
      <c r="W144" s="1510"/>
      <c r="X144" s="1510"/>
      <c r="Y144" s="1510"/>
      <c r="Z144" s="1510"/>
      <c r="AA144" s="1510"/>
    </row>
    <row r="145" spans="2:27" ht="21" x14ac:dyDescent="0.3">
      <c r="B145" s="1481" t="s">
        <v>115</v>
      </c>
    </row>
    <row r="146" spans="2:27" x14ac:dyDescent="0.3">
      <c r="B146" s="1460"/>
    </row>
    <row r="147" spans="2:27" ht="14.25" thickBot="1" x14ac:dyDescent="0.35">
      <c r="B147" s="1459" t="s">
        <v>116</v>
      </c>
    </row>
    <row r="148" spans="2:27" ht="15" x14ac:dyDescent="0.3">
      <c r="B148" s="1584" t="s">
        <v>93</v>
      </c>
      <c r="C148" s="1549" t="s">
        <v>13</v>
      </c>
      <c r="D148" s="1549" t="s">
        <v>35</v>
      </c>
      <c r="E148" s="1549" t="s">
        <v>36</v>
      </c>
      <c r="F148" s="1549" t="s">
        <v>62</v>
      </c>
      <c r="G148" s="1549" t="s">
        <v>38</v>
      </c>
      <c r="H148" s="1550" t="s">
        <v>39</v>
      </c>
      <c r="I148" s="1550" t="s">
        <v>40</v>
      </c>
    </row>
    <row r="149" spans="2:27" ht="15" x14ac:dyDescent="0.3">
      <c r="B149" s="1519" t="s">
        <v>117</v>
      </c>
      <c r="C149" s="1320" cm="1">
        <f t="array" ref="C149:I149">INDEX('Pathway Analysis'!$AN$241:$AN$296,MATCH(C148:I148,'Pathway Analysis'!$W$241:$W$296,0)+1)</f>
        <v>4.5552950137612369E-3</v>
      </c>
      <c r="D149" s="881">
        <v>4.6221128404256177E-2</v>
      </c>
      <c r="E149" s="881">
        <v>3.4761739693005271E-2</v>
      </c>
      <c r="F149" s="881">
        <v>8.0410074695796654E-2</v>
      </c>
      <c r="G149" s="881">
        <v>3.2181661480517806E-2</v>
      </c>
      <c r="H149" s="881">
        <v>4.0025099246479699E-2</v>
      </c>
      <c r="I149" s="881">
        <v>5.0603419917678298E-2</v>
      </c>
    </row>
    <row r="150" spans="2:27" ht="27" x14ac:dyDescent="0.3">
      <c r="B150" s="1519" t="s">
        <v>118</v>
      </c>
      <c r="C150" s="1320" cm="1">
        <f t="array" ref="C150:I150">INDEX('Pathway Analysis'!$V$241:$V$296,MATCH(C148:I148,'Pathway Analysis'!$E$241:$E$296,0)+1)/'Pathway Analysis'!$U$235</f>
        <v>5.0850771352590356E-2</v>
      </c>
      <c r="D150" s="881">
        <v>0.52189112447816288</v>
      </c>
      <c r="E150" s="881">
        <v>0.39198106001905608</v>
      </c>
      <c r="F150" s="881">
        <v>0.9077943749934958</v>
      </c>
      <c r="G150" s="881">
        <v>0.36287591114033746</v>
      </c>
      <c r="H150" s="881">
        <v>0.4513555637316421</v>
      </c>
      <c r="I150" s="881">
        <v>0.57068667413438856</v>
      </c>
    </row>
    <row r="151" spans="2:27" ht="15" x14ac:dyDescent="0.3">
      <c r="B151" s="1519" t="s">
        <v>119</v>
      </c>
      <c r="C151" s="1320" cm="1">
        <f t="array" ref="C151:I151">INDEX('Pathway Analysis'!$AN$241:$AN$296,MATCH(C148:I148,'Pathway Analysis'!$W$241:$W$296,0)+2)</f>
        <v>7.1042118208975609E-3</v>
      </c>
      <c r="D151" s="881">
        <v>8.631480983025458E-2</v>
      </c>
      <c r="E151" s="881">
        <v>3.8743994791444046E-2</v>
      </c>
      <c r="F151" s="881">
        <v>5.7949603888361852E-2</v>
      </c>
      <c r="G151" s="881">
        <v>3.8743994791444046E-2</v>
      </c>
      <c r="H151" s="881">
        <v>4.4218560602261481E-2</v>
      </c>
      <c r="I151" s="881">
        <v>7.527617832633858E-2</v>
      </c>
    </row>
    <row r="152" spans="2:27" ht="27" x14ac:dyDescent="0.3">
      <c r="B152" s="1519" t="s">
        <v>120</v>
      </c>
      <c r="C152" s="1320" cm="1">
        <f t="array" ref="C152:I152">INDEX('Pathway Analysis'!$V$241:$V$296,MATCH(C148:I148,'Pathway Analysis'!$E$241:$E$296,0)+2)/'Pathway Analysis'!$U$236</f>
        <v>7.9420393651007837E-2</v>
      </c>
      <c r="D152" s="881">
        <v>0.96942443611341644</v>
      </c>
      <c r="E152" s="881">
        <v>0.43461381837693058</v>
      </c>
      <c r="F152" s="881">
        <v>0.65027471142396831</v>
      </c>
      <c r="G152" s="881">
        <v>0.43461381837693058</v>
      </c>
      <c r="H152" s="881">
        <v>0.4962835171538027</v>
      </c>
      <c r="I152" s="881">
        <v>0.84506031583276964</v>
      </c>
    </row>
    <row r="153" spans="2:27" ht="15" x14ac:dyDescent="0.3">
      <c r="B153" s="1519" t="s">
        <v>121</v>
      </c>
      <c r="C153" s="1320" cm="1">
        <f t="array" ref="C153:I153">TRANSPOSE('Pathway Analysis'!$F$72:$F$78)</f>
        <v>3.4832037785103437E-3</v>
      </c>
      <c r="D153" s="881">
        <v>9.5163230738914573E-3</v>
      </c>
      <c r="E153" s="881">
        <v>2.3224950514593005E-2</v>
      </c>
      <c r="F153" s="881">
        <v>5.8977353870216702E-3</v>
      </c>
      <c r="G153" s="881">
        <v>5.8977353870216702E-3</v>
      </c>
      <c r="H153" s="881">
        <v>1.5839524399728345E-2</v>
      </c>
      <c r="I153" s="881">
        <v>2.2584822058858589E-2</v>
      </c>
    </row>
    <row r="154" spans="2:27" ht="15" x14ac:dyDescent="0.3">
      <c r="B154" s="1519" t="s">
        <v>122</v>
      </c>
      <c r="C154" s="1320" cm="1">
        <f t="array" ref="C154:I154">TRANSPOSE('Pathway Analysis'!$F$82:$F$88)</f>
        <v>1.1430858101690753E-3</v>
      </c>
      <c r="D154" s="881">
        <v>5.3859404057132925E-3</v>
      </c>
      <c r="E154" s="881">
        <v>5.3859404057132925E-3</v>
      </c>
      <c r="F154" s="881">
        <v>5.3859404057132925E-3</v>
      </c>
      <c r="G154" s="881">
        <v>1.6968730197245922E-2</v>
      </c>
      <c r="H154" s="881">
        <v>1.1033669578666916E-2</v>
      </c>
      <c r="I154" s="881">
        <v>1.4227435542103194E-2</v>
      </c>
    </row>
    <row r="155" spans="2:27" x14ac:dyDescent="0.3"/>
    <row r="156" spans="2:27" ht="14.25" thickBot="1" x14ac:dyDescent="0.35">
      <c r="B156" s="1510"/>
      <c r="C156" s="1510"/>
      <c r="D156" s="1510"/>
      <c r="E156" s="1510"/>
      <c r="F156" s="1510"/>
      <c r="G156" s="1510"/>
      <c r="H156" s="1510"/>
      <c r="I156" s="1510"/>
      <c r="J156" s="1510"/>
      <c r="K156" s="1510"/>
      <c r="L156" s="1510"/>
      <c r="M156" s="1510"/>
      <c r="N156" s="1510"/>
      <c r="O156" s="1510"/>
      <c r="P156" s="1510"/>
      <c r="Q156" s="1510"/>
      <c r="R156" s="1510"/>
      <c r="S156" s="1510"/>
      <c r="T156" s="1510"/>
      <c r="U156" s="1510"/>
      <c r="V156" s="1510"/>
      <c r="W156" s="1510"/>
      <c r="X156" s="1510"/>
      <c r="Y156" s="1510"/>
      <c r="Z156" s="1510"/>
      <c r="AA156" s="1510"/>
    </row>
    <row r="157" spans="2:27" ht="21" x14ac:dyDescent="0.3">
      <c r="B157" s="1481" t="s">
        <v>123</v>
      </c>
    </row>
    <row r="158" spans="2:27" x14ac:dyDescent="0.3">
      <c r="B158" s="1460"/>
    </row>
    <row r="159" spans="2:27" x14ac:dyDescent="0.3">
      <c r="B159" s="9" t="s">
        <v>124</v>
      </c>
      <c r="C159" s="2048" t="s">
        <v>125</v>
      </c>
      <c r="D159" s="2048"/>
      <c r="E159" s="2048" t="s">
        <v>126</v>
      </c>
      <c r="F159" s="2048"/>
      <c r="H159" s="1459" t="s">
        <v>127</v>
      </c>
    </row>
    <row r="160" spans="2:27" x14ac:dyDescent="0.3">
      <c r="B160" s="9"/>
      <c r="C160" s="9" t="s">
        <v>128</v>
      </c>
      <c r="D160" s="9" t="s">
        <v>129</v>
      </c>
      <c r="E160" s="9" t="s">
        <v>128</v>
      </c>
      <c r="F160" s="9" t="s">
        <v>129</v>
      </c>
    </row>
    <row r="161" spans="2:6" x14ac:dyDescent="0.3">
      <c r="B161" s="475" t="str" cm="1">
        <f t="array" ref="B161:B167">TRANSPOSE(C148:I148)</f>
        <v>Baseline</v>
      </c>
      <c r="C161" s="1551" cm="1">
        <f t="array" ref="C161:C167">INDEX('Pathway Analysis'!$F$299:$F$347,MATCH(_xlfn.ANCHORARRAY(B161),'Pathway Analysis'!$E$299:$E$347,0)+3)</f>
        <v>3.2285647548488776</v>
      </c>
      <c r="D161" s="1551" cm="1">
        <f t="array" ref="D161:D167">INDEX('Pathway Analysis'!$F$299:$F$347,MATCH(_xlfn.ANCHORARRAY(B161),'Pathway Analysis'!$E$299:$E$347,0)+4)</f>
        <v>0</v>
      </c>
      <c r="E161" s="1551" cm="1">
        <f t="array" ref="E161:E167">INDEX('Pathway Analysis'!$F$299:$F$347,MATCH(_xlfn.ANCHORARRAY(B161),'Pathway Analysis'!$E$299:$E$347,0)+5)</f>
        <v>2.1603817273789963</v>
      </c>
      <c r="F161" s="1551" cm="1">
        <f t="array" ref="F161:F167">INDEX('Pathway Analysis'!$F$299:$F$347,MATCH(_xlfn.ANCHORARRAY(B161),'Pathway Analysis'!$E$299:$E$347,0)+6)</f>
        <v>0</v>
      </c>
    </row>
    <row r="162" spans="2:6" x14ac:dyDescent="0.3">
      <c r="B162" s="475" t="str">
        <v>EEO</v>
      </c>
      <c r="C162" s="1551">
        <v>5.4460616860848736</v>
      </c>
      <c r="D162" s="1551">
        <v>27.689311594202891</v>
      </c>
      <c r="E162" s="1551">
        <v>8.6275466320640355</v>
      </c>
      <c r="F162" s="1551">
        <v>17.742592592592587</v>
      </c>
    </row>
    <row r="163" spans="2:6" x14ac:dyDescent="0.3">
      <c r="B163" s="475" t="str">
        <v>VA</v>
      </c>
      <c r="C163" s="1551">
        <v>14.574757386339728</v>
      </c>
      <c r="D163" s="1551">
        <v>10.3125</v>
      </c>
      <c r="E163" s="1551">
        <v>8.74637447482284</v>
      </c>
      <c r="F163" s="1551">
        <v>3.0759259259259264</v>
      </c>
    </row>
    <row r="164" spans="2:6" x14ac:dyDescent="0.3">
      <c r="B164" s="475" t="str">
        <v>RenoWave</v>
      </c>
      <c r="C164" s="1551">
        <v>23.777369650969117</v>
      </c>
      <c r="D164" s="1551">
        <v>33.859375</v>
      </c>
      <c r="E164" s="1551">
        <v>11.536824063180752</v>
      </c>
      <c r="F164" s="1551">
        <v>6.1518518518518528</v>
      </c>
    </row>
    <row r="165" spans="2:6" x14ac:dyDescent="0.3">
      <c r="B165" s="475" t="str">
        <v>EET</v>
      </c>
      <c r="C165" s="1551">
        <v>12.726843276976398</v>
      </c>
      <c r="D165" s="1551">
        <v>10.3125</v>
      </c>
      <c r="E165" s="1551">
        <v>8.7463744748228418</v>
      </c>
      <c r="F165" s="1551">
        <v>3.0759259259259264</v>
      </c>
    </row>
    <row r="166" spans="2:6" x14ac:dyDescent="0.3">
      <c r="B166" s="475" t="str">
        <v>CEER1</v>
      </c>
      <c r="C166" s="1551">
        <v>18.344502169440926</v>
      </c>
      <c r="D166" s="1551">
        <v>10.3125</v>
      </c>
      <c r="E166" s="1551">
        <v>7.3479785162748943</v>
      </c>
      <c r="F166" s="1551">
        <v>6.1518518518518528</v>
      </c>
    </row>
    <row r="167" spans="2:6" x14ac:dyDescent="0.3">
      <c r="B167" s="475" t="str">
        <v>CEER2</v>
      </c>
      <c r="C167" s="1551">
        <v>25.920950017830581</v>
      </c>
      <c r="D167" s="1551">
        <v>10.3125</v>
      </c>
      <c r="E167" s="1551">
        <v>11.347575305170787</v>
      </c>
      <c r="F167" s="1551">
        <v>11.639629629629631</v>
      </c>
    </row>
    <row r="168" spans="2:6" x14ac:dyDescent="0.3"/>
    <row r="169" spans="2:6" x14ac:dyDescent="0.3"/>
    <row r="170" spans="2:6" x14ac:dyDescent="0.3"/>
    <row r="171" spans="2:6" x14ac:dyDescent="0.3"/>
    <row r="172" spans="2:6" x14ac:dyDescent="0.3"/>
    <row r="173" spans="2:6" x14ac:dyDescent="0.3"/>
    <row r="174" spans="2:6" x14ac:dyDescent="0.3"/>
    <row r="175" spans="2:6" x14ac:dyDescent="0.3"/>
    <row r="176" spans="2:6" x14ac:dyDescent="0.3"/>
    <row r="177" spans="2:27" x14ac:dyDescent="0.3"/>
    <row r="178" spans="2:27" ht="14.25" thickBot="1" x14ac:dyDescent="0.35">
      <c r="B178" s="1510"/>
      <c r="C178" s="1510"/>
      <c r="D178" s="1510"/>
      <c r="E178" s="1510"/>
      <c r="F178" s="1510"/>
      <c r="G178" s="1510"/>
      <c r="H178" s="1510"/>
      <c r="I178" s="1510"/>
      <c r="J178" s="1510"/>
      <c r="K178" s="1510"/>
      <c r="L178" s="1510"/>
      <c r="M178" s="1510"/>
      <c r="N178" s="1510"/>
      <c r="O178" s="1510"/>
      <c r="P178" s="1510"/>
      <c r="Q178" s="1510"/>
      <c r="R178" s="1510"/>
      <c r="S178" s="1510"/>
      <c r="T178" s="1510"/>
      <c r="U178" s="1510"/>
      <c r="V178" s="1510"/>
      <c r="W178" s="1510"/>
      <c r="X178" s="1510"/>
      <c r="Y178" s="1510"/>
      <c r="Z178" s="1510"/>
      <c r="AA178" s="1510"/>
    </row>
    <row r="179" spans="2:27" ht="21" x14ac:dyDescent="0.3">
      <c r="B179" s="1481" t="s">
        <v>130</v>
      </c>
    </row>
    <row r="180" spans="2:27" x14ac:dyDescent="0.3">
      <c r="B180" s="9" t="s">
        <v>58</v>
      </c>
      <c r="C180" s="9" t="str" cm="1">
        <f t="array" ref="C180:I180">C148:I148</f>
        <v>Baseline</v>
      </c>
      <c r="D180" s="9" t="str">
        <v>EEO</v>
      </c>
      <c r="E180" s="9" t="str">
        <v>VA</v>
      </c>
      <c r="F180" s="9" t="str">
        <v>RenoWave</v>
      </c>
      <c r="G180" s="9" t="str">
        <v>EET</v>
      </c>
      <c r="H180" s="9" t="str">
        <v>CEER1</v>
      </c>
      <c r="I180" s="9" t="str">
        <v>CEER2</v>
      </c>
      <c r="K180" s="1459" t="s">
        <v>131</v>
      </c>
    </row>
    <row r="181" spans="2:27" x14ac:dyDescent="0.3">
      <c r="B181" s="475" t="s">
        <v>132</v>
      </c>
      <c r="C181" s="1457" cm="1">
        <f t="array" ref="C181:I181">-INDEX('Pathway Analysis'!$AP$15:$AP$56,MATCH(_xlfn.ANCHORARRAY(C180),'Pathway Analysis'!$Y$15:$Y$56,0)+1)</f>
        <v>3459.7592993885364</v>
      </c>
      <c r="D181" s="1457">
        <v>6233.2219277379136</v>
      </c>
      <c r="E181" s="1457">
        <v>10158.995786262036</v>
      </c>
      <c r="F181" s="1457">
        <v>4613.2119784262959</v>
      </c>
      <c r="G181" s="1457">
        <v>4613.2119784262959</v>
      </c>
      <c r="H181" s="1457">
        <v>7541.4327309582832</v>
      </c>
      <c r="I181" s="1457">
        <v>9817.2088945214346</v>
      </c>
    </row>
    <row r="182" spans="2:27" x14ac:dyDescent="0.3">
      <c r="B182" s="475" t="s">
        <v>133</v>
      </c>
      <c r="C182" s="1457" cm="1">
        <f t="array" ref="C182:I182">INDEX('Pathway Analysis'!$V$356:$V$397,MATCH(_xlfn.ANCHORARRAY(C180),'Pathway Analysis'!$E$356:$E$397,0)+1)</f>
        <v>404.8483308864204</v>
      </c>
      <c r="D182" s="1457">
        <v>632.3551899934572</v>
      </c>
      <c r="E182" s="1457">
        <v>1001.7109564180175</v>
      </c>
      <c r="F182" s="1457">
        <v>502.78926043993886</v>
      </c>
      <c r="G182" s="1457">
        <v>502.78926043993886</v>
      </c>
      <c r="H182" s="1457">
        <v>770.10977138964586</v>
      </c>
      <c r="I182" s="1457">
        <v>969.21002686449924</v>
      </c>
    </row>
    <row r="183" spans="2:27" ht="14.25" thickBot="1" x14ac:dyDescent="0.35">
      <c r="B183" s="1510"/>
      <c r="C183" s="1510"/>
      <c r="D183" s="1510"/>
      <c r="E183" s="1510"/>
      <c r="F183" s="1510"/>
      <c r="G183" s="1510"/>
      <c r="H183" s="1510"/>
      <c r="I183" s="1510"/>
      <c r="J183" s="1510"/>
      <c r="K183" s="1510"/>
      <c r="L183" s="1510"/>
      <c r="M183" s="1510"/>
      <c r="N183" s="1510"/>
      <c r="O183" s="1510"/>
      <c r="P183" s="1510"/>
      <c r="Q183" s="1510"/>
      <c r="R183" s="1510"/>
      <c r="S183" s="1510"/>
      <c r="T183" s="1510"/>
      <c r="U183" s="1510"/>
      <c r="V183" s="1510"/>
      <c r="W183" s="1510"/>
      <c r="X183" s="1510"/>
      <c r="Y183" s="1510"/>
      <c r="Z183" s="1510"/>
      <c r="AA183" s="1510"/>
    </row>
    <row r="184" spans="2:27" ht="21" x14ac:dyDescent="0.3">
      <c r="B184" s="1481" t="s">
        <v>134</v>
      </c>
    </row>
    <row r="185" spans="2:27" x14ac:dyDescent="0.3">
      <c r="B185" s="9" t="s">
        <v>58</v>
      </c>
      <c r="C185" s="9" t="str" cm="1">
        <f t="array" ref="C185:I185">_xlfn.ANCHORARRAY(C180)</f>
        <v>Baseline</v>
      </c>
      <c r="D185" s="9" t="str">
        <v>EEO</v>
      </c>
      <c r="E185" s="9" t="str">
        <v>VA</v>
      </c>
      <c r="F185" s="9" t="str">
        <v>RenoWave</v>
      </c>
      <c r="G185" s="9" t="str">
        <v>EET</v>
      </c>
      <c r="H185" s="9" t="str">
        <v>CEER1</v>
      </c>
      <c r="I185" s="9" t="str">
        <v>CEER2</v>
      </c>
      <c r="K185" s="1459" t="s">
        <v>135</v>
      </c>
    </row>
    <row r="186" spans="2:27" x14ac:dyDescent="0.3">
      <c r="B186" s="475" t="s">
        <v>136</v>
      </c>
      <c r="C186" s="1457" cm="1">
        <f t="array" ref="C186:I186">-INDEX('Pathway Analysis'!$AP$15:$AP$56,MATCH(_xlfn.ANCHORARRAY(C180),'Pathway Analysis'!$Y$15:$Y$56,0)+4)</f>
        <v>1905.0217122876734</v>
      </c>
      <c r="D186" s="1457">
        <v>6377.3616137458894</v>
      </c>
      <c r="E186" s="65">
        <v>6377.3616137458894</v>
      </c>
      <c r="F186" s="1457">
        <v>6377.3616137458894</v>
      </c>
      <c r="G186" s="1457">
        <v>18749.974210141594</v>
      </c>
      <c r="H186" s="1457">
        <v>12537.643061917088</v>
      </c>
      <c r="I186" s="1457">
        <v>15694.974210141594</v>
      </c>
    </row>
    <row r="187" spans="2:27" x14ac:dyDescent="0.3">
      <c r="B187" s="475" t="s">
        <v>133</v>
      </c>
      <c r="C187" s="1457" cm="1">
        <f t="array" ref="C187:I187">INDEX('Pathway Analysis'!$V$356:$V$397,MATCH(_xlfn.ANCHORARRAY(C180),'Pathway Analysis'!$E$356:$E$397,0)+4)</f>
        <v>844.39543478966198</v>
      </c>
      <c r="D187" s="1457">
        <v>1914.1222542796918</v>
      </c>
      <c r="E187" s="1457">
        <v>1914.1222542796918</v>
      </c>
      <c r="F187" s="1457">
        <v>1914.1222542796918</v>
      </c>
      <c r="G187" s="1457">
        <v>4594.2769270147373</v>
      </c>
      <c r="H187" s="1457">
        <v>2879.8366709056454</v>
      </c>
      <c r="I187" s="1457">
        <v>3567.2369270147365</v>
      </c>
    </row>
    <row r="188" spans="2:27" ht="14.25" thickBot="1" x14ac:dyDescent="0.35">
      <c r="B188" s="1510"/>
      <c r="C188" s="1510"/>
      <c r="D188" s="1510"/>
      <c r="E188" s="1510"/>
      <c r="F188" s="1510"/>
      <c r="G188" s="1510"/>
      <c r="H188" s="1510"/>
      <c r="I188" s="1510"/>
      <c r="J188" s="1510"/>
      <c r="K188" s="1510"/>
      <c r="L188" s="1510"/>
      <c r="M188" s="1510"/>
      <c r="N188" s="1510"/>
      <c r="O188" s="1510"/>
      <c r="P188" s="1510"/>
      <c r="Q188" s="1510"/>
      <c r="R188" s="1510"/>
      <c r="S188" s="1510"/>
      <c r="T188" s="1510"/>
      <c r="U188" s="1510"/>
      <c r="V188" s="1510"/>
      <c r="W188" s="1510"/>
      <c r="X188" s="1510"/>
      <c r="Y188" s="1510"/>
      <c r="Z188" s="1510"/>
      <c r="AA188" s="1510"/>
    </row>
    <row r="189" spans="2:27" ht="21" x14ac:dyDescent="0.3">
      <c r="B189" s="1481" t="s">
        <v>137</v>
      </c>
    </row>
    <row r="190" spans="2:27" x14ac:dyDescent="0.3">
      <c r="B190" s="9" t="s">
        <v>58</v>
      </c>
      <c r="C190" s="9" t="str" cm="1">
        <f t="array" ref="C190:I190">_xlfn.ANCHORARRAY(C185)</f>
        <v>Baseline</v>
      </c>
      <c r="D190" s="9" t="str">
        <v>EEO</v>
      </c>
      <c r="E190" s="9" t="str">
        <v>VA</v>
      </c>
      <c r="F190" s="9" t="str">
        <v>RenoWave</v>
      </c>
      <c r="G190" s="9" t="str">
        <v>EET</v>
      </c>
      <c r="H190" s="9" t="str">
        <v>CEER1</v>
      </c>
      <c r="I190" s="9" t="str">
        <v>CEER2</v>
      </c>
      <c r="K190" s="1459" t="s">
        <v>138</v>
      </c>
    </row>
    <row r="191" spans="2:27" x14ac:dyDescent="0.3">
      <c r="B191" s="475" t="s">
        <v>136</v>
      </c>
      <c r="C191" s="1457" cm="1">
        <f t="array" ref="C191:I191">-INDEX('Pathway Analysis'!$AP$15:$AP$56,MATCH(_xlfn.ANCHORARRAY(C180),'Pathway Analysis'!$Y$15:$Y$56,0)+5)</f>
        <v>182.36589029595945</v>
      </c>
      <c r="D191" s="1457">
        <v>386.3658902959595</v>
      </c>
      <c r="E191" s="1457">
        <v>386.3658902959595</v>
      </c>
      <c r="F191" s="1457">
        <v>386.3658902959595</v>
      </c>
      <c r="G191" s="1457">
        <v>386.3658902959595</v>
      </c>
      <c r="H191" s="1457">
        <v>386.3658902959595</v>
      </c>
      <c r="I191" s="1457">
        <v>386.3658902959595</v>
      </c>
    </row>
    <row r="192" spans="2:27" x14ac:dyDescent="0.3">
      <c r="B192" s="475" t="s">
        <v>133</v>
      </c>
      <c r="C192" s="1457" cm="1">
        <f t="array" ref="C192:I192">INDEX('Pathway Analysis'!$V$356:$V$397,MATCH(_xlfn.ANCHORARRAY(C180),'Pathway Analysis'!$E$356:$E$397,0)+5)</f>
        <v>81.964630893025699</v>
      </c>
      <c r="D192" s="1457">
        <v>93.026938414180606</v>
      </c>
      <c r="E192" s="1457">
        <v>93.026938414180606</v>
      </c>
      <c r="F192" s="1457">
        <v>93.026938414180606</v>
      </c>
      <c r="G192" s="1457">
        <v>93.026938414180606</v>
      </c>
      <c r="H192" s="1457">
        <v>93.026938414180606</v>
      </c>
      <c r="I192" s="1457">
        <v>93.026938414180606</v>
      </c>
    </row>
    <row r="193" spans="2:27" ht="14.25" thickBot="1" x14ac:dyDescent="0.35">
      <c r="B193" s="1510"/>
      <c r="C193" s="1510"/>
      <c r="D193" s="1510"/>
      <c r="E193" s="1510"/>
      <c r="F193" s="1510"/>
      <c r="G193" s="1510"/>
      <c r="H193" s="1510"/>
      <c r="I193" s="1510"/>
      <c r="J193" s="1510"/>
      <c r="K193" s="1510"/>
      <c r="L193" s="1510"/>
      <c r="M193" s="1510"/>
      <c r="N193" s="1510"/>
      <c r="O193" s="1510"/>
      <c r="P193" s="1510"/>
      <c r="Q193" s="1510"/>
      <c r="R193" s="1510"/>
      <c r="S193" s="1510"/>
      <c r="T193" s="1510"/>
      <c r="U193" s="1510"/>
      <c r="V193" s="1510"/>
      <c r="W193" s="1510"/>
      <c r="X193" s="1510"/>
      <c r="Y193" s="1510"/>
      <c r="Z193" s="1510"/>
      <c r="AA193" s="1510"/>
    </row>
    <row r="194" spans="2:27" x14ac:dyDescent="0.3"/>
    <row r="195" spans="2:27" x14ac:dyDescent="0.3"/>
    <row r="196" spans="2:27" ht="21" x14ac:dyDescent="0.3">
      <c r="B196" s="1481" t="s">
        <v>139</v>
      </c>
    </row>
    <row r="197" spans="2:27" x14ac:dyDescent="0.3">
      <c r="B197" s="1459" t="s">
        <v>140</v>
      </c>
    </row>
    <row r="198" spans="2:27" x14ac:dyDescent="0.3"/>
    <row r="199" spans="2:27" x14ac:dyDescent="0.3"/>
    <row r="200" spans="2:27" x14ac:dyDescent="0.3"/>
    <row r="201" spans="2:27" x14ac:dyDescent="0.3"/>
    <row r="202" spans="2:27" x14ac:dyDescent="0.3"/>
    <row r="203" spans="2:27" x14ac:dyDescent="0.3"/>
    <row r="204" spans="2:27" x14ac:dyDescent="0.3"/>
    <row r="205" spans="2:27" x14ac:dyDescent="0.3"/>
    <row r="206" spans="2:27" x14ac:dyDescent="0.3"/>
    <row r="207" spans="2:27" x14ac:dyDescent="0.3"/>
    <row r="208" spans="2:27" x14ac:dyDescent="0.3"/>
    <row r="209" x14ac:dyDescent="0.3"/>
    <row r="210" x14ac:dyDescent="0.3"/>
    <row r="211" x14ac:dyDescent="0.3"/>
    <row r="212" x14ac:dyDescent="0.3"/>
    <row r="213" x14ac:dyDescent="0.3"/>
    <row r="214" x14ac:dyDescent="0.3"/>
    <row r="215" x14ac:dyDescent="0.3"/>
    <row r="216" x14ac:dyDescent="0.3"/>
    <row r="217" x14ac:dyDescent="0.3"/>
    <row r="218" x14ac:dyDescent="0.3"/>
  </sheetData>
  <mergeCells count="5">
    <mergeCell ref="B142:D142"/>
    <mergeCell ref="N4:Y4"/>
    <mergeCell ref="C159:D159"/>
    <mergeCell ref="E159:F159"/>
    <mergeCell ref="B1:N1"/>
  </mergeCells>
  <conditionalFormatting sqref="C186:D186 F186:I186">
    <cfRule type="colorScale" priority="4">
      <colorScale>
        <cfvo type="min"/>
        <cfvo type="max"/>
        <color rgb="FFFCFCFF"/>
        <color theme="7" tint="-0.249977111117893"/>
      </colorScale>
    </cfRule>
  </conditionalFormatting>
  <conditionalFormatting sqref="C181:I181">
    <cfRule type="colorScale" priority="10">
      <colorScale>
        <cfvo type="min"/>
        <cfvo type="max"/>
        <color rgb="FFFCFCFF"/>
        <color theme="7" tint="-0.249977111117893"/>
      </colorScale>
    </cfRule>
  </conditionalFormatting>
  <conditionalFormatting sqref="C182:I182">
    <cfRule type="colorScale" priority="11">
      <colorScale>
        <cfvo type="min"/>
        <cfvo type="max"/>
        <color rgb="FFFCFCFF"/>
        <color theme="7" tint="-0.499984740745262"/>
      </colorScale>
    </cfRule>
  </conditionalFormatting>
  <conditionalFormatting sqref="C187:I187">
    <cfRule type="colorScale" priority="5">
      <colorScale>
        <cfvo type="min"/>
        <cfvo type="max"/>
        <color rgb="FFFCFCFF"/>
        <color theme="7" tint="-0.499984740745262"/>
      </colorScale>
    </cfRule>
  </conditionalFormatting>
  <conditionalFormatting sqref="C191:I191">
    <cfRule type="colorScale" priority="2">
      <colorScale>
        <cfvo type="min"/>
        <cfvo type="max"/>
        <color rgb="FFFCFCFF"/>
        <color theme="7" tint="-0.249977111117893"/>
      </colorScale>
    </cfRule>
  </conditionalFormatting>
  <conditionalFormatting sqref="C192:I192">
    <cfRule type="colorScale" priority="3">
      <colorScale>
        <cfvo type="min"/>
        <cfvo type="max"/>
        <color rgb="FFFCFCFF"/>
        <color theme="7" tint="-0.499984740745262"/>
      </colorScale>
    </cfRule>
  </conditionalFormatting>
  <conditionalFormatting sqref="D149:I149">
    <cfRule type="colorScale" priority="21">
      <colorScale>
        <cfvo type="min"/>
        <cfvo type="max"/>
        <color rgb="FFFCFCFF"/>
        <color theme="7"/>
      </colorScale>
    </cfRule>
  </conditionalFormatting>
  <conditionalFormatting sqref="D150:I154">
    <cfRule type="colorScale" priority="17">
      <colorScale>
        <cfvo type="min"/>
        <cfvo type="max"/>
        <color rgb="FFFCFCFF"/>
        <color theme="7"/>
      </colorScale>
    </cfRule>
  </conditionalFormatting>
  <conditionalFormatting sqref="D151:I152">
    <cfRule type="colorScale" priority="16">
      <colorScale>
        <cfvo type="min"/>
        <cfvo type="max"/>
        <color rgb="FFFCFCFF"/>
        <color theme="7"/>
      </colorScale>
    </cfRule>
  </conditionalFormatting>
  <conditionalFormatting sqref="D153:I153">
    <cfRule type="colorScale" priority="15">
      <colorScale>
        <cfvo type="min"/>
        <cfvo type="max"/>
        <color rgb="FFFCFCFF"/>
        <color theme="7"/>
      </colorScale>
    </cfRule>
  </conditionalFormatting>
  <conditionalFormatting sqref="D154:I154">
    <cfRule type="colorScale" priority="14">
      <colorScale>
        <cfvo type="min"/>
        <cfvo type="max"/>
        <color rgb="FFFCFCFF"/>
        <color theme="7"/>
      </colorScale>
    </cfRule>
  </conditionalFormatting>
  <conditionalFormatting sqref="F106:H106 J106:K106">
    <cfRule type="colorScale" priority="23">
      <colorScale>
        <cfvo type="min"/>
        <cfvo type="percentile" val="50"/>
        <cfvo type="max"/>
        <color theme="6" tint="0.79998168889431442"/>
        <color theme="8"/>
        <color rgb="FF92D050"/>
      </colorScale>
    </cfRule>
  </conditionalFormatting>
  <conditionalFormatting sqref="F94:K94">
    <cfRule type="colorScale" priority="38">
      <colorScale>
        <cfvo type="min"/>
        <cfvo type="percentile" val="50"/>
        <cfvo type="max"/>
        <color theme="6" tint="0.79998168889431442"/>
        <color theme="8"/>
        <color rgb="FF92D050"/>
      </colorScale>
    </cfRule>
  </conditionalFormatting>
  <conditionalFormatting sqref="F95:K96">
    <cfRule type="colorScale" priority="31">
      <colorScale>
        <cfvo type="min"/>
        <cfvo type="percentile" val="50"/>
        <cfvo type="max"/>
        <color rgb="FF92D050"/>
        <color theme="8"/>
        <color theme="6" tint="0.79998168889431442"/>
      </colorScale>
    </cfRule>
  </conditionalFormatting>
  <conditionalFormatting sqref="F97:K97">
    <cfRule type="colorScale" priority="30">
      <colorScale>
        <cfvo type="min"/>
        <cfvo type="percentile" val="50"/>
        <cfvo type="max"/>
        <color theme="6" tint="0.79998168889431442"/>
        <color theme="8"/>
        <color rgb="FF92D050"/>
      </colorScale>
    </cfRule>
  </conditionalFormatting>
  <conditionalFormatting sqref="F98:K98">
    <cfRule type="colorScale" priority="29">
      <colorScale>
        <cfvo type="min"/>
        <cfvo type="percentile" val="50"/>
        <cfvo type="max"/>
        <color theme="6" tint="0.79998168889431442"/>
        <color theme="8"/>
        <color rgb="FF92D050"/>
      </colorScale>
    </cfRule>
  </conditionalFormatting>
  <conditionalFormatting sqref="F99:K99">
    <cfRule type="colorScale" priority="28">
      <colorScale>
        <cfvo type="min"/>
        <cfvo type="percentile" val="50"/>
        <cfvo type="max"/>
        <color theme="6" tint="0.79998168889431442"/>
        <color theme="8"/>
        <color rgb="FF92D050"/>
      </colorScale>
    </cfRule>
  </conditionalFormatting>
  <conditionalFormatting sqref="F100:K100">
    <cfRule type="colorScale" priority="27">
      <colorScale>
        <cfvo type="min"/>
        <cfvo type="percentile" val="50"/>
        <cfvo type="max"/>
        <color theme="6" tint="0.79998168889431442"/>
        <color theme="8"/>
        <color rgb="FF92D050"/>
      </colorScale>
    </cfRule>
  </conditionalFormatting>
  <conditionalFormatting sqref="F101:K101">
    <cfRule type="colorScale" priority="26">
      <colorScale>
        <cfvo type="min"/>
        <cfvo type="percentile" val="50"/>
        <cfvo type="max"/>
        <color theme="6" tint="0.79998168889431442"/>
        <color theme="8"/>
        <color rgb="FF92D050"/>
      </colorScale>
    </cfRule>
  </conditionalFormatting>
  <conditionalFormatting sqref="F102:K102">
    <cfRule type="colorScale" priority="25">
      <colorScale>
        <cfvo type="min"/>
        <cfvo type="percentile" val="50"/>
        <cfvo type="max"/>
        <color rgb="FF92D050"/>
        <color theme="8"/>
        <color theme="6" tint="0.79998168889431442"/>
      </colorScale>
    </cfRule>
  </conditionalFormatting>
  <conditionalFormatting sqref="F104:K105">
    <cfRule type="colorScale" priority="24">
      <colorScale>
        <cfvo type="min"/>
        <cfvo type="percentile" val="50"/>
        <cfvo type="max"/>
        <color theme="6" tint="0.79998168889431442"/>
        <color theme="8"/>
        <color rgb="FF92D050"/>
      </colorScale>
    </cfRule>
  </conditionalFormatting>
  <conditionalFormatting sqref="F107:K107">
    <cfRule type="colorScale" priority="1">
      <colorScale>
        <cfvo type="min"/>
        <cfvo type="percentile" val="50"/>
        <cfvo type="max"/>
        <color rgb="FF92D050"/>
        <color theme="8"/>
        <color theme="6" tint="0.79998168889431442"/>
      </colorScale>
    </cfRule>
  </conditionalFormatting>
  <conditionalFormatting sqref="H66:M66 H70:M70 H75:M75 F82:K82 F86:K86">
    <cfRule type="cellIs" dxfId="36" priority="784" operator="lessThanOrEqual">
      <formula>$P66</formula>
    </cfRule>
  </conditionalFormatting>
  <conditionalFormatting sqref="H67:M69 H71:M74 F83:K85 F87:K87">
    <cfRule type="cellIs" dxfId="35" priority="785" operator="greaterThanOrEqual">
      <formula>$P67</formula>
    </cfRule>
  </conditionalFormatting>
  <conditionalFormatting sqref="I106">
    <cfRule type="colorScale" priority="22">
      <colorScale>
        <cfvo type="min"/>
        <cfvo type="percentile" val="50"/>
        <cfvo type="max"/>
        <color theme="6" tint="0.79998168889431442"/>
        <color theme="8"/>
        <color rgb="FF92D050"/>
      </colorScale>
    </cfRule>
  </conditionalFormatting>
  <pageMargins left="0.7" right="0.7" top="0.75" bottom="0.75" header="0.3" footer="0.3"/>
  <drawing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DA5985-E32D-4F53-861E-70A04C9CD0D6}">
  <sheetPr codeName="Sheet16">
    <tabColor theme="8"/>
  </sheetPr>
  <dimension ref="A1:AN63"/>
  <sheetViews>
    <sheetView zoomScale="70" zoomScaleNormal="70" workbookViewId="0">
      <selection activeCell="G31" sqref="G31"/>
    </sheetView>
  </sheetViews>
  <sheetFormatPr defaultColWidth="9.1640625" defaultRowHeight="13.5" x14ac:dyDescent="0.3"/>
  <cols>
    <col min="1" max="1" width="9.1640625" customWidth="1"/>
    <col min="2" max="2" width="6.1640625" customWidth="1"/>
    <col min="3" max="3" width="5.83203125" customWidth="1"/>
    <col min="4" max="4" width="64.1640625" customWidth="1"/>
    <col min="5" max="5" width="19.1640625" customWidth="1"/>
    <col min="6" max="6" width="21" customWidth="1"/>
    <col min="7" max="7" width="38.6640625" customWidth="1"/>
    <col min="8" max="17" width="9.1640625" customWidth="1"/>
    <col min="18" max="19" width="19.6640625" customWidth="1"/>
    <col min="20" max="39" width="9.1640625" customWidth="1"/>
    <col min="40" max="40" width="18.1640625" customWidth="1"/>
  </cols>
  <sheetData>
    <row r="1" spans="1:40" ht="54" x14ac:dyDescent="0.3">
      <c r="A1" s="9" t="s">
        <v>1460</v>
      </c>
      <c r="B1" s="9" t="s">
        <v>1461</v>
      </c>
      <c r="C1" s="9" t="s">
        <v>1462</v>
      </c>
      <c r="D1" s="9"/>
      <c r="E1" s="9" t="s">
        <v>1463</v>
      </c>
      <c r="F1" s="9" t="s">
        <v>1464</v>
      </c>
      <c r="G1" s="9" t="s">
        <v>1465</v>
      </c>
      <c r="H1" s="2048" t="s">
        <v>1466</v>
      </c>
      <c r="I1" s="2048"/>
      <c r="J1" s="2048"/>
      <c r="K1" s="2048"/>
      <c r="L1" s="2048"/>
      <c r="M1" s="2048"/>
      <c r="N1" s="2048"/>
      <c r="O1" s="2048"/>
      <c r="P1" s="2048"/>
      <c r="Q1" s="2048"/>
      <c r="R1" s="9" t="s">
        <v>1467</v>
      </c>
      <c r="S1" s="9"/>
      <c r="T1" s="2048" t="s">
        <v>1468</v>
      </c>
      <c r="U1" s="2048"/>
      <c r="V1" s="2048"/>
      <c r="W1" s="2048"/>
      <c r="X1" s="2048"/>
      <c r="Y1" s="2048"/>
      <c r="Z1" s="2048"/>
      <c r="AA1" s="2048"/>
      <c r="AB1" s="2048"/>
      <c r="AC1" s="2048"/>
      <c r="AD1" s="2048" t="s">
        <v>1469</v>
      </c>
      <c r="AE1" s="2048"/>
      <c r="AF1" s="2048"/>
      <c r="AG1" s="2048"/>
      <c r="AH1" s="2048"/>
      <c r="AI1" s="2048"/>
      <c r="AJ1" s="2048"/>
      <c r="AK1" s="2048"/>
      <c r="AL1" s="2048"/>
      <c r="AM1" s="2048"/>
      <c r="AN1" s="9"/>
    </row>
    <row r="2" spans="1:40" ht="27" x14ac:dyDescent="0.3">
      <c r="A2" s="9"/>
      <c r="B2" s="9"/>
      <c r="C2" s="9"/>
      <c r="D2" s="9"/>
      <c r="E2" s="9"/>
      <c r="F2" s="9"/>
      <c r="G2" s="9" t="s">
        <v>1470</v>
      </c>
      <c r="H2" s="2048" t="s">
        <v>1471</v>
      </c>
      <c r="I2" s="2048"/>
      <c r="J2" s="2048"/>
      <c r="K2" s="2048"/>
      <c r="L2" s="2048"/>
      <c r="M2" s="2048"/>
      <c r="N2" s="2048"/>
      <c r="O2" s="2048"/>
      <c r="P2" s="2048"/>
      <c r="Q2" s="2048"/>
      <c r="R2" s="9"/>
      <c r="S2" s="9"/>
      <c r="T2" s="9"/>
      <c r="U2" s="9"/>
      <c r="V2" s="9"/>
      <c r="W2" s="9"/>
      <c r="X2" s="9"/>
      <c r="Y2" s="9"/>
      <c r="Z2" s="9"/>
      <c r="AA2" s="9"/>
      <c r="AB2" s="9"/>
      <c r="AC2" s="9"/>
      <c r="AD2" s="9"/>
      <c r="AE2" s="9"/>
      <c r="AF2" s="9"/>
      <c r="AG2" s="9"/>
      <c r="AH2" s="9"/>
      <c r="AI2" s="9"/>
      <c r="AJ2" s="9"/>
      <c r="AK2" s="9"/>
      <c r="AL2" s="9"/>
      <c r="AM2" s="9"/>
      <c r="AN2" s="9"/>
    </row>
    <row r="3" spans="1:40" x14ac:dyDescent="0.3">
      <c r="A3" s="9"/>
      <c r="B3" s="9"/>
      <c r="C3" s="9"/>
      <c r="D3" s="9"/>
      <c r="E3" s="9"/>
      <c r="F3" s="9"/>
      <c r="G3" s="9"/>
      <c r="H3" s="9">
        <v>2021</v>
      </c>
      <c r="I3" s="9">
        <v>2022</v>
      </c>
      <c r="J3" s="9">
        <v>2023</v>
      </c>
      <c r="K3" s="9">
        <v>2024</v>
      </c>
      <c r="L3" s="9">
        <v>2025</v>
      </c>
      <c r="M3" s="9">
        <v>2026</v>
      </c>
      <c r="N3" s="9">
        <v>2027</v>
      </c>
      <c r="O3" s="9">
        <v>2028</v>
      </c>
      <c r="P3" s="9">
        <v>2029</v>
      </c>
      <c r="Q3" s="9">
        <v>2030</v>
      </c>
      <c r="R3" s="9" t="s">
        <v>66</v>
      </c>
      <c r="S3" s="9">
        <v>2020</v>
      </c>
      <c r="T3" s="9">
        <v>2021</v>
      </c>
      <c r="U3" s="9">
        <v>2022</v>
      </c>
      <c r="V3" s="9">
        <v>2023</v>
      </c>
      <c r="W3" s="9">
        <v>2024</v>
      </c>
      <c r="X3" s="9">
        <v>2025</v>
      </c>
      <c r="Y3" s="9">
        <v>2026</v>
      </c>
      <c r="Z3" s="9">
        <v>2027</v>
      </c>
      <c r="AA3" s="9">
        <v>2028</v>
      </c>
      <c r="AB3" s="9">
        <v>2029</v>
      </c>
      <c r="AC3" s="9">
        <v>2030</v>
      </c>
      <c r="AD3" s="9">
        <v>2021</v>
      </c>
      <c r="AE3" s="9">
        <v>2022</v>
      </c>
      <c r="AF3" s="9">
        <v>2023</v>
      </c>
      <c r="AG3" s="9">
        <v>2024</v>
      </c>
      <c r="AH3" s="9">
        <v>2025</v>
      </c>
      <c r="AI3" s="9">
        <v>2026</v>
      </c>
      <c r="AJ3" s="9">
        <v>2027</v>
      </c>
      <c r="AK3" s="9">
        <v>2028</v>
      </c>
      <c r="AL3" s="9">
        <v>2029</v>
      </c>
      <c r="AM3" s="9">
        <v>2030</v>
      </c>
      <c r="AN3" s="9" t="s">
        <v>1472</v>
      </c>
    </row>
    <row r="4" spans="1:40" x14ac:dyDescent="0.3">
      <c r="A4">
        <v>1</v>
      </c>
      <c r="B4" t="s">
        <v>1473</v>
      </c>
      <c r="C4" t="s">
        <v>681</v>
      </c>
      <c r="D4" t="s">
        <v>1474</v>
      </c>
      <c r="E4" t="s">
        <v>1475</v>
      </c>
      <c r="F4" t="s">
        <v>1476</v>
      </c>
      <c r="G4" s="966">
        <v>0</v>
      </c>
      <c r="H4" s="966">
        <v>25.9025575689869</v>
      </c>
      <c r="I4" s="966">
        <v>25.9025575689869</v>
      </c>
      <c r="J4" s="966">
        <v>25.9025575689869</v>
      </c>
      <c r="K4" s="966">
        <v>28.88745347562735</v>
      </c>
      <c r="L4" s="966">
        <v>34.698270259727494</v>
      </c>
      <c r="M4" s="966">
        <v>43.314928537308937</v>
      </c>
      <c r="N4" s="966">
        <v>55.892970230428269</v>
      </c>
      <c r="O4" s="966">
        <v>60.574660309294003</v>
      </c>
      <c r="P4" s="966">
        <v>60.574660309294003</v>
      </c>
      <c r="Q4" s="966">
        <v>60.574660309294003</v>
      </c>
      <c r="R4" s="966">
        <v>422.22527613793477</v>
      </c>
      <c r="S4" s="966" cm="1">
        <f t="array" ref="S4:S40">IFERROR(IF(C4:C40="",0,_xlfn.XLOOKUP(C4:C40,Sources!B73:B105,Sources!Y73:Y105)),0)</f>
        <v>72.562324377431622</v>
      </c>
      <c r="T4" s="478">
        <f>MAX(H4-S4,0)</f>
        <v>0</v>
      </c>
      <c r="U4" s="480" cm="1">
        <f t="array" ref="U4:U40">I4:I40-H4:H40</f>
        <v>0</v>
      </c>
      <c r="V4" s="480" cm="1">
        <f t="array" ref="V4:V40">J4:J40-I4:I40</f>
        <v>0</v>
      </c>
      <c r="W4" s="480" cm="1">
        <f t="array" ref="W4:W40">K4:K40-J4:J40</f>
        <v>2.9848959066404497</v>
      </c>
      <c r="X4" s="480" cm="1">
        <f t="array" ref="X4:X40">L4:L40-K4:K40</f>
        <v>5.8108167841001439</v>
      </c>
      <c r="Y4" s="480" cm="1">
        <f t="array" ref="Y4:Y40">M4:M40-L4:L40</f>
        <v>8.6166582775814433</v>
      </c>
      <c r="Z4" s="480" cm="1">
        <f t="array" ref="Z4:Z40">N4:N40-M4:M40</f>
        <v>12.578041693119332</v>
      </c>
      <c r="AA4" s="480" cm="1">
        <f t="array" ref="AA4:AA40">O4:O40-N4:N40</f>
        <v>4.681690078865735</v>
      </c>
      <c r="AB4" s="480" cm="1">
        <f t="array" ref="AB4:AB40">P4:P40-O4:O40</f>
        <v>0</v>
      </c>
      <c r="AC4" s="480" cm="1">
        <f t="array" ref="AC4:AC40">Q4:Q40-P4:P40</f>
        <v>0</v>
      </c>
      <c r="AD4" s="480"/>
      <c r="AE4" s="480"/>
      <c r="AF4" s="480"/>
      <c r="AG4" s="480"/>
      <c r="AH4" s="480"/>
      <c r="AI4" s="480"/>
      <c r="AJ4" s="480"/>
      <c r="AK4" s="480"/>
      <c r="AL4" s="480"/>
      <c r="AM4" s="480"/>
    </row>
    <row r="5" spans="1:40" x14ac:dyDescent="0.3">
      <c r="A5">
        <v>2</v>
      </c>
      <c r="B5" t="s">
        <v>1477</v>
      </c>
      <c r="C5" t="s">
        <v>685</v>
      </c>
      <c r="D5" t="s">
        <v>1478</v>
      </c>
      <c r="E5" t="s">
        <v>1475</v>
      </c>
      <c r="F5" t="s">
        <v>1476</v>
      </c>
      <c r="G5" s="966">
        <v>0</v>
      </c>
      <c r="H5" s="966">
        <v>104.29158470058651</v>
      </c>
      <c r="I5" s="966">
        <v>104.29158470058651</v>
      </c>
      <c r="J5" s="966">
        <v>104.29158470058651</v>
      </c>
      <c r="K5" s="966">
        <v>104.29158470058651</v>
      </c>
      <c r="L5" s="966">
        <v>104.29158470058651</v>
      </c>
      <c r="M5" s="966">
        <v>104.29158470058651</v>
      </c>
      <c r="N5" s="966">
        <v>104.29158470058651</v>
      </c>
      <c r="O5" s="966">
        <v>104.29158470058651</v>
      </c>
      <c r="P5" s="966">
        <v>104.29158470058651</v>
      </c>
      <c r="Q5" s="966">
        <v>104.29158470058651</v>
      </c>
      <c r="R5" s="966">
        <v>1042.9158470058653</v>
      </c>
      <c r="S5" s="966">
        <v>177.58535036824924</v>
      </c>
      <c r="T5" s="478">
        <f t="shared" ref="T5:T40" si="0">MAX(H5-S5,0)</f>
        <v>0</v>
      </c>
      <c r="U5" s="480">
        <v>0</v>
      </c>
      <c r="V5" s="480">
        <v>0</v>
      </c>
      <c r="W5" s="480">
        <v>0</v>
      </c>
      <c r="X5" s="480">
        <v>0</v>
      </c>
      <c r="Y5" s="480">
        <v>0</v>
      </c>
      <c r="Z5" s="480">
        <v>0</v>
      </c>
      <c r="AA5" s="480">
        <v>0</v>
      </c>
      <c r="AB5" s="480">
        <v>0</v>
      </c>
      <c r="AC5" s="480">
        <v>0</v>
      </c>
      <c r="AD5" s="480"/>
      <c r="AE5" s="480"/>
      <c r="AF5" s="480"/>
      <c r="AG5" s="480"/>
      <c r="AH5" s="480"/>
      <c r="AI5" s="480"/>
      <c r="AJ5" s="480"/>
      <c r="AK5" s="480"/>
      <c r="AL5" s="480"/>
      <c r="AM5" s="480"/>
    </row>
    <row r="6" spans="1:40" x14ac:dyDescent="0.3">
      <c r="A6">
        <v>3</v>
      </c>
      <c r="B6" t="s">
        <v>1479</v>
      </c>
      <c r="C6" t="s">
        <v>687</v>
      </c>
      <c r="D6" t="s">
        <v>1480</v>
      </c>
      <c r="E6" t="s">
        <v>1475</v>
      </c>
      <c r="F6" t="s">
        <v>1476</v>
      </c>
      <c r="G6" s="966">
        <v>0</v>
      </c>
      <c r="H6" s="966">
        <v>39.932849063320553</v>
      </c>
      <c r="I6" s="966">
        <v>39.932849063320553</v>
      </c>
      <c r="J6" s="966">
        <v>39.932849063320553</v>
      </c>
      <c r="K6" s="966">
        <v>57.960831949640941</v>
      </c>
      <c r="L6" s="966">
        <v>84.532527863521764</v>
      </c>
      <c r="M6" s="966">
        <v>112.16364739365922</v>
      </c>
      <c r="N6" s="966">
        <v>142.472618403821</v>
      </c>
      <c r="O6" s="966">
        <v>152.94123957422201</v>
      </c>
      <c r="P6" s="966">
        <v>152.94123957422201</v>
      </c>
      <c r="Q6" s="966">
        <v>152.94123957422201</v>
      </c>
      <c r="R6" s="966">
        <v>975.75189152327061</v>
      </c>
      <c r="S6" s="966">
        <v>201.0113411330039</v>
      </c>
      <c r="T6" s="478">
        <f t="shared" si="0"/>
        <v>0</v>
      </c>
      <c r="U6" s="480">
        <v>0</v>
      </c>
      <c r="V6" s="480">
        <v>0</v>
      </c>
      <c r="W6" s="480">
        <v>18.027982886320387</v>
      </c>
      <c r="X6" s="480">
        <v>26.571695913880824</v>
      </c>
      <c r="Y6" s="480">
        <v>27.631119530137454</v>
      </c>
      <c r="Z6" s="480">
        <v>30.308971010161784</v>
      </c>
      <c r="AA6" s="480">
        <v>10.468621170401008</v>
      </c>
      <c r="AB6" s="480">
        <v>0</v>
      </c>
      <c r="AC6" s="480">
        <v>0</v>
      </c>
      <c r="AD6" s="480"/>
      <c r="AE6" s="480"/>
      <c r="AF6" s="480"/>
      <c r="AG6" s="480"/>
      <c r="AH6" s="480"/>
      <c r="AI6" s="480"/>
      <c r="AJ6" s="480"/>
      <c r="AK6" s="480"/>
      <c r="AL6" s="480"/>
      <c r="AM6" s="480"/>
    </row>
    <row r="7" spans="1:40" x14ac:dyDescent="0.3">
      <c r="A7">
        <v>4</v>
      </c>
      <c r="B7" t="s">
        <v>1481</v>
      </c>
      <c r="C7" t="s">
        <v>678</v>
      </c>
      <c r="D7" t="s">
        <v>1482</v>
      </c>
      <c r="E7" t="s">
        <v>1475</v>
      </c>
      <c r="F7" t="s">
        <v>1476</v>
      </c>
      <c r="G7" s="966">
        <v>0</v>
      </c>
      <c r="H7" s="966">
        <v>119.64811700944919</v>
      </c>
      <c r="I7" s="966">
        <v>119.64811700944919</v>
      </c>
      <c r="J7" s="966">
        <v>119.64811700944919</v>
      </c>
      <c r="K7" s="966">
        <v>129.84139781021619</v>
      </c>
      <c r="L7" s="966">
        <v>151.86997672442268</v>
      </c>
      <c r="M7" s="966">
        <v>177.79910892251044</v>
      </c>
      <c r="N7" s="966">
        <v>210.11853413080229</v>
      </c>
      <c r="O7" s="966">
        <v>221.63977246737261</v>
      </c>
      <c r="P7" s="966">
        <v>221.39038117618989</v>
      </c>
      <c r="Q7" s="966">
        <v>221.14103245793029</v>
      </c>
      <c r="R7" s="966">
        <v>1692.7445547177922</v>
      </c>
      <c r="S7" s="966">
        <v>129.52929598371338</v>
      </c>
      <c r="T7" s="478">
        <f t="shared" si="0"/>
        <v>0</v>
      </c>
      <c r="U7" s="480">
        <v>0</v>
      </c>
      <c r="V7" s="480">
        <v>0</v>
      </c>
      <c r="W7" s="480">
        <v>10.193280800766999</v>
      </c>
      <c r="X7" s="480">
        <v>22.028578914206491</v>
      </c>
      <c r="Y7" s="480">
        <v>25.929132198087757</v>
      </c>
      <c r="Z7" s="480">
        <v>32.319425208291847</v>
      </c>
      <c r="AA7" s="480">
        <v>11.52123833657032</v>
      </c>
      <c r="AB7" s="480">
        <v>-0.24939129118271808</v>
      </c>
      <c r="AC7" s="480">
        <v>-0.24934871825959704</v>
      </c>
      <c r="AD7" s="480"/>
      <c r="AE7" s="480"/>
      <c r="AF7" s="480"/>
      <c r="AG7" s="480"/>
      <c r="AH7" s="480"/>
      <c r="AI7" s="480"/>
      <c r="AJ7" s="480"/>
      <c r="AK7" s="480"/>
      <c r="AL7" s="480"/>
      <c r="AM7" s="480"/>
    </row>
    <row r="8" spans="1:40" x14ac:dyDescent="0.3">
      <c r="A8">
        <v>5</v>
      </c>
      <c r="B8" t="s">
        <v>1483</v>
      </c>
      <c r="C8" t="s">
        <v>683</v>
      </c>
      <c r="D8" t="s">
        <v>1484</v>
      </c>
      <c r="E8" t="s">
        <v>1475</v>
      </c>
      <c r="F8" t="s">
        <v>1476</v>
      </c>
      <c r="G8" s="966">
        <v>0</v>
      </c>
      <c r="H8" s="966">
        <v>134.90798923704168</v>
      </c>
      <c r="I8" s="966">
        <v>134.90798923704168</v>
      </c>
      <c r="J8" s="966">
        <v>134.90798923704168</v>
      </c>
      <c r="K8" s="966">
        <v>135.42407265703847</v>
      </c>
      <c r="L8" s="966">
        <v>136.23641902672057</v>
      </c>
      <c r="M8" s="966">
        <v>137.1460183106754</v>
      </c>
      <c r="N8" s="966">
        <v>138.2048544923037</v>
      </c>
      <c r="O8" s="966">
        <v>138.57621561473979</v>
      </c>
      <c r="P8" s="966">
        <v>138.57621561473979</v>
      </c>
      <c r="Q8" s="966">
        <v>138.57621561473979</v>
      </c>
      <c r="R8" s="966">
        <v>1367.4639790420824</v>
      </c>
      <c r="S8" s="966">
        <v>146.62967234610386</v>
      </c>
      <c r="T8" s="478">
        <f t="shared" si="0"/>
        <v>0</v>
      </c>
      <c r="U8" s="480">
        <v>0</v>
      </c>
      <c r="V8" s="480">
        <v>0</v>
      </c>
      <c r="W8" s="480">
        <v>0.51608341999678942</v>
      </c>
      <c r="X8" s="480">
        <v>0.81234636968210339</v>
      </c>
      <c r="Y8" s="480">
        <v>0.90959928395483303</v>
      </c>
      <c r="Z8" s="480">
        <v>1.0588361816282941</v>
      </c>
      <c r="AA8" s="480">
        <v>0.37136112243609887</v>
      </c>
      <c r="AB8" s="480">
        <v>0</v>
      </c>
      <c r="AC8" s="480">
        <v>0</v>
      </c>
      <c r="AD8" s="480"/>
      <c r="AE8" s="480"/>
      <c r="AF8" s="480"/>
      <c r="AG8" s="480"/>
      <c r="AH8" s="480"/>
      <c r="AI8" s="480"/>
      <c r="AJ8" s="480"/>
      <c r="AK8" s="480"/>
      <c r="AL8" s="480"/>
      <c r="AM8" s="480"/>
    </row>
    <row r="9" spans="1:40" x14ac:dyDescent="0.3">
      <c r="A9">
        <v>6</v>
      </c>
      <c r="B9" t="s">
        <v>1485</v>
      </c>
      <c r="C9" t="s">
        <v>694</v>
      </c>
      <c r="D9" t="s">
        <v>1486</v>
      </c>
      <c r="E9" t="s">
        <v>1475</v>
      </c>
      <c r="F9" t="s">
        <v>1476</v>
      </c>
      <c r="G9" s="966">
        <v>0</v>
      </c>
      <c r="H9" s="966">
        <v>84.849792644252062</v>
      </c>
      <c r="I9" s="966">
        <v>84.849792644252062</v>
      </c>
      <c r="J9" s="966">
        <v>84.849792644252062</v>
      </c>
      <c r="K9" s="966">
        <v>84.849792644252062</v>
      </c>
      <c r="L9" s="966">
        <v>84.849792644252062</v>
      </c>
      <c r="M9" s="966">
        <v>84.849792644252062</v>
      </c>
      <c r="N9" s="966">
        <v>84.849792644252062</v>
      </c>
      <c r="O9" s="966">
        <v>84.849792644252062</v>
      </c>
      <c r="P9" s="966">
        <v>84.849792644252062</v>
      </c>
      <c r="Q9" s="966">
        <v>84.849792644252062</v>
      </c>
      <c r="R9" s="966">
        <v>848.49792644252045</v>
      </c>
      <c r="S9" s="966">
        <v>0</v>
      </c>
      <c r="T9" s="478">
        <f t="shared" si="0"/>
        <v>84.849792644252062</v>
      </c>
      <c r="U9" s="480">
        <v>0</v>
      </c>
      <c r="V9" s="480">
        <v>0</v>
      </c>
      <c r="W9" s="480">
        <v>0</v>
      </c>
      <c r="X9" s="480">
        <v>0</v>
      </c>
      <c r="Y9" s="480">
        <v>0</v>
      </c>
      <c r="Z9" s="480">
        <v>0</v>
      </c>
      <c r="AA9" s="480">
        <v>0</v>
      </c>
      <c r="AB9" s="480">
        <v>0</v>
      </c>
      <c r="AC9" s="480">
        <v>0</v>
      </c>
      <c r="AD9" s="480"/>
      <c r="AE9" s="480"/>
      <c r="AF9" s="480"/>
      <c r="AG9" s="480"/>
      <c r="AH9" s="480"/>
      <c r="AI9" s="480"/>
      <c r="AJ9" s="480"/>
      <c r="AK9" s="480"/>
      <c r="AL9" s="480"/>
      <c r="AM9" s="480"/>
    </row>
    <row r="10" spans="1:40" x14ac:dyDescent="0.3">
      <c r="A10">
        <v>7</v>
      </c>
      <c r="B10" t="s">
        <v>1487</v>
      </c>
      <c r="C10" t="s">
        <v>558</v>
      </c>
      <c r="D10" t="s">
        <v>1488</v>
      </c>
      <c r="E10" t="s">
        <v>1489</v>
      </c>
      <c r="F10" t="s">
        <v>1490</v>
      </c>
      <c r="G10" s="1038">
        <v>44659999.999999993</v>
      </c>
      <c r="H10" s="966">
        <v>2.5259165613147911</v>
      </c>
      <c r="I10" s="966">
        <v>4.8095722900327793</v>
      </c>
      <c r="J10" s="966">
        <v>6.116466881756434</v>
      </c>
      <c r="K10" s="966">
        <v>6.116466881756434</v>
      </c>
      <c r="L10" s="966">
        <v>6.116466881756434</v>
      </c>
      <c r="M10" s="966">
        <v>6.116466881756434</v>
      </c>
      <c r="N10" s="966">
        <v>6.116466881756434</v>
      </c>
      <c r="O10" s="966">
        <v>6.116466881756434</v>
      </c>
      <c r="P10" s="966">
        <v>6.116466881756434</v>
      </c>
      <c r="Q10" s="966">
        <v>6.116466881756434</v>
      </c>
      <c r="R10" s="966">
        <v>56.267223905399049</v>
      </c>
      <c r="S10" s="966">
        <v>0</v>
      </c>
      <c r="T10" s="478">
        <f t="shared" si="0"/>
        <v>2.5259165613147911</v>
      </c>
      <c r="U10" s="480">
        <v>2.2836557287179882</v>
      </c>
      <c r="V10" s="480">
        <v>1.3068945917236547</v>
      </c>
      <c r="W10" s="480">
        <v>0</v>
      </c>
      <c r="X10" s="480">
        <v>0</v>
      </c>
      <c r="Y10" s="480">
        <v>0</v>
      </c>
      <c r="Z10" s="480">
        <v>0</v>
      </c>
      <c r="AA10" s="480">
        <v>0</v>
      </c>
      <c r="AB10" s="480">
        <v>0</v>
      </c>
      <c r="AC10" s="480">
        <v>0</v>
      </c>
      <c r="AD10" s="1239">
        <f>(T10)/$AN10</f>
        <v>4.2098609355246522E-2</v>
      </c>
      <c r="AE10" s="1239">
        <f t="shared" ref="AE10:AM10" si="1">(U10)/$AN10</f>
        <v>3.8060928811966467E-2</v>
      </c>
      <c r="AF10" s="1239">
        <f t="shared" si="1"/>
        <v>2.1781576528727579E-2</v>
      </c>
      <c r="AG10" s="1239">
        <f t="shared" si="1"/>
        <v>0</v>
      </c>
      <c r="AH10" s="1239">
        <f t="shared" si="1"/>
        <v>0</v>
      </c>
      <c r="AI10" s="1239">
        <f t="shared" si="1"/>
        <v>0</v>
      </c>
      <c r="AJ10" s="1239">
        <f t="shared" si="1"/>
        <v>0</v>
      </c>
      <c r="AK10" s="1239">
        <f t="shared" si="1"/>
        <v>0</v>
      </c>
      <c r="AL10" s="1239">
        <f t="shared" si="1"/>
        <v>0</v>
      </c>
      <c r="AM10" s="1239">
        <f t="shared" si="1"/>
        <v>0</v>
      </c>
      <c r="AN10" s="1141">
        <v>60</v>
      </c>
    </row>
    <row r="11" spans="1:40" x14ac:dyDescent="0.3">
      <c r="A11">
        <v>8</v>
      </c>
      <c r="B11" t="s">
        <v>1491</v>
      </c>
      <c r="D11" t="s">
        <v>1492</v>
      </c>
      <c r="E11" t="s">
        <v>1489</v>
      </c>
      <c r="F11" t="s">
        <v>1490</v>
      </c>
      <c r="G11" s="1038">
        <v>69890000</v>
      </c>
      <c r="H11" s="966">
        <v>0.96940581542351456</v>
      </c>
      <c r="I11" s="966">
        <v>2.781830996945728</v>
      </c>
      <c r="J11" s="966">
        <v>6.9401319706119011</v>
      </c>
      <c r="K11" s="966">
        <v>8.6056730815596332</v>
      </c>
      <c r="L11" s="966">
        <v>8.6056730815596332</v>
      </c>
      <c r="M11" s="966">
        <v>8.6056730815596332</v>
      </c>
      <c r="N11" s="966">
        <v>8.6056730815596332</v>
      </c>
      <c r="O11" s="966">
        <v>8.6056730815596332</v>
      </c>
      <c r="P11" s="966">
        <v>8.6056730815596332</v>
      </c>
      <c r="Q11" s="966">
        <v>8.6056730815596332</v>
      </c>
      <c r="R11" s="966">
        <v>70.931080353898565</v>
      </c>
      <c r="S11" s="966">
        <v>0</v>
      </c>
      <c r="T11" s="478">
        <f t="shared" si="0"/>
        <v>0.96940581542351456</v>
      </c>
      <c r="U11" s="480">
        <v>1.8124251815222134</v>
      </c>
      <c r="V11" s="480">
        <v>4.1583009736661731</v>
      </c>
      <c r="W11" s="480">
        <v>1.6655411109477321</v>
      </c>
      <c r="X11" s="480">
        <v>0</v>
      </c>
      <c r="Y11" s="480">
        <v>0</v>
      </c>
      <c r="Z11" s="480">
        <v>0</v>
      </c>
      <c r="AA11" s="480">
        <v>0</v>
      </c>
      <c r="AB11" s="480">
        <v>0</v>
      </c>
      <c r="AC11" s="480">
        <v>0</v>
      </c>
      <c r="AD11" s="1239">
        <f t="shared" ref="AD11:AD16" si="2">(T11)/$AN11</f>
        <v>1.615676359039191E-2</v>
      </c>
      <c r="AE11" s="1239">
        <f t="shared" ref="AE11:AE16" si="3">(U11)/$AN11</f>
        <v>3.0207086358703557E-2</v>
      </c>
      <c r="AF11" s="1239">
        <f t="shared" ref="AF11:AF16" si="4">(V11)/$AN11</f>
        <v>6.930501622776955E-2</v>
      </c>
      <c r="AG11" s="1239">
        <f t="shared" ref="AG11:AG16" si="5">(W11)/$AN11</f>
        <v>2.7759018515795535E-2</v>
      </c>
      <c r="AH11" s="1239">
        <f t="shared" ref="AH11:AH16" si="6">(X11)/$AN11</f>
        <v>0</v>
      </c>
      <c r="AI11" s="1239">
        <f t="shared" ref="AI11:AI16" si="7">(Y11)/$AN11</f>
        <v>0</v>
      </c>
      <c r="AJ11" s="1239">
        <f t="shared" ref="AJ11:AJ16" si="8">(Z11)/$AN11</f>
        <v>0</v>
      </c>
      <c r="AK11" s="1239">
        <f t="shared" ref="AK11:AK16" si="9">(AA11)/$AN11</f>
        <v>0</v>
      </c>
      <c r="AL11" s="1239">
        <f t="shared" ref="AL11:AL16" si="10">(AB11)/$AN11</f>
        <v>0</v>
      </c>
      <c r="AM11" s="1239">
        <f t="shared" ref="AM11:AM16" si="11">(AC11)/$AN11</f>
        <v>0</v>
      </c>
      <c r="AN11" s="1141">
        <v>60</v>
      </c>
    </row>
    <row r="12" spans="1:40" x14ac:dyDescent="0.3">
      <c r="A12">
        <v>9</v>
      </c>
      <c r="B12" t="s">
        <v>1493</v>
      </c>
      <c r="D12" t="s">
        <v>1494</v>
      </c>
      <c r="E12" t="s">
        <v>1489</v>
      </c>
      <c r="F12" t="s">
        <v>1490</v>
      </c>
      <c r="G12" s="1038">
        <v>15000000</v>
      </c>
      <c r="H12" s="966">
        <v>0</v>
      </c>
      <c r="I12" s="966">
        <v>1.3425371714979357</v>
      </c>
      <c r="J12" s="966">
        <v>1.9365801677359604</v>
      </c>
      <c r="K12" s="966">
        <v>1.9365801677359604</v>
      </c>
      <c r="L12" s="966">
        <v>1.9365801677359604</v>
      </c>
      <c r="M12" s="966">
        <v>1.9365801677359604</v>
      </c>
      <c r="N12" s="966">
        <v>1.9365801677359604</v>
      </c>
      <c r="O12" s="966">
        <v>1.9365801677359604</v>
      </c>
      <c r="P12" s="966">
        <v>1.9365801677359604</v>
      </c>
      <c r="Q12" s="966">
        <v>1.9365801677359604</v>
      </c>
      <c r="R12" s="966">
        <v>16.835178513385621</v>
      </c>
      <c r="S12" s="966">
        <v>0</v>
      </c>
      <c r="T12" s="478">
        <f t="shared" si="0"/>
        <v>0</v>
      </c>
      <c r="U12" s="480">
        <v>1.3425371714979357</v>
      </c>
      <c r="V12" s="480">
        <v>0.5940429962380247</v>
      </c>
      <c r="W12" s="480">
        <v>0</v>
      </c>
      <c r="X12" s="480">
        <v>0</v>
      </c>
      <c r="Y12" s="480">
        <v>0</v>
      </c>
      <c r="Z12" s="480">
        <v>0</v>
      </c>
      <c r="AA12" s="480">
        <v>0</v>
      </c>
      <c r="AB12" s="480">
        <v>0</v>
      </c>
      <c r="AC12" s="480">
        <v>0</v>
      </c>
      <c r="AD12" s="1239">
        <f t="shared" si="2"/>
        <v>0</v>
      </c>
      <c r="AE12" s="1239">
        <f t="shared" si="3"/>
        <v>2.2375619524965595E-2</v>
      </c>
      <c r="AF12" s="1239">
        <f t="shared" si="4"/>
        <v>9.9007166039670781E-3</v>
      </c>
      <c r="AG12" s="1239">
        <f t="shared" si="5"/>
        <v>0</v>
      </c>
      <c r="AH12" s="1239">
        <f t="shared" si="6"/>
        <v>0</v>
      </c>
      <c r="AI12" s="1239">
        <f t="shared" si="7"/>
        <v>0</v>
      </c>
      <c r="AJ12" s="1239">
        <f t="shared" si="8"/>
        <v>0</v>
      </c>
      <c r="AK12" s="1239">
        <f t="shared" si="9"/>
        <v>0</v>
      </c>
      <c r="AL12" s="1239">
        <f t="shared" si="10"/>
        <v>0</v>
      </c>
      <c r="AM12" s="1239">
        <f t="shared" si="11"/>
        <v>0</v>
      </c>
      <c r="AN12" s="1141">
        <v>60</v>
      </c>
    </row>
    <row r="13" spans="1:40" x14ac:dyDescent="0.3">
      <c r="A13">
        <v>10</v>
      </c>
      <c r="B13" t="s">
        <v>1495</v>
      </c>
      <c r="D13" t="s">
        <v>1496</v>
      </c>
      <c r="E13" t="s">
        <v>1489</v>
      </c>
      <c r="F13" t="s">
        <v>1490</v>
      </c>
      <c r="G13" s="1038">
        <v>330000000</v>
      </c>
      <c r="H13" s="966">
        <v>0</v>
      </c>
      <c r="I13" s="966">
        <v>0.26850743429958712</v>
      </c>
      <c r="J13" s="966">
        <v>4.0703826102229455</v>
      </c>
      <c r="K13" s="966">
        <v>13.286376757467067</v>
      </c>
      <c r="L13" s="966">
        <v>23.144719781768288</v>
      </c>
      <c r="M13" s="966">
        <v>30.030527501644205</v>
      </c>
      <c r="N13" s="966">
        <v>34.290537542899543</v>
      </c>
      <c r="O13" s="966">
        <v>34.290537542899543</v>
      </c>
      <c r="P13" s="966">
        <v>34.290537542899543</v>
      </c>
      <c r="Q13" s="966">
        <v>34.290537542899543</v>
      </c>
      <c r="R13" s="966">
        <v>207.96266425700026</v>
      </c>
      <c r="S13" s="966">
        <v>0</v>
      </c>
      <c r="T13" s="478">
        <f t="shared" si="0"/>
        <v>0</v>
      </c>
      <c r="U13" s="480">
        <v>0.26850743429958712</v>
      </c>
      <c r="V13" s="480">
        <v>3.8018751759233584</v>
      </c>
      <c r="W13" s="480">
        <v>9.2159941472441211</v>
      </c>
      <c r="X13" s="480">
        <v>9.8583430243012202</v>
      </c>
      <c r="Y13" s="480">
        <v>6.8858077198759169</v>
      </c>
      <c r="Z13" s="480">
        <v>4.2600100412553381</v>
      </c>
      <c r="AA13" s="480">
        <v>0</v>
      </c>
      <c r="AB13" s="480">
        <v>0</v>
      </c>
      <c r="AC13" s="480">
        <v>0</v>
      </c>
      <c r="AD13" s="1239">
        <f t="shared" si="2"/>
        <v>0</v>
      </c>
      <c r="AE13" s="1239">
        <f t="shared" si="3"/>
        <v>4.4751239049931188E-3</v>
      </c>
      <c r="AF13" s="1239">
        <f t="shared" si="4"/>
        <v>6.3364586265389308E-2</v>
      </c>
      <c r="AG13" s="1239">
        <f t="shared" si="5"/>
        <v>0.15359990245406868</v>
      </c>
      <c r="AH13" s="1239">
        <f t="shared" si="6"/>
        <v>0.16430571707168701</v>
      </c>
      <c r="AI13" s="1239">
        <f t="shared" si="7"/>
        <v>0.11476346199793194</v>
      </c>
      <c r="AJ13" s="1239">
        <f t="shared" si="8"/>
        <v>7.1000167354255642E-2</v>
      </c>
      <c r="AK13" s="1239">
        <f t="shared" si="9"/>
        <v>0</v>
      </c>
      <c r="AL13" s="1239">
        <f t="shared" si="10"/>
        <v>0</v>
      </c>
      <c r="AM13" s="1239">
        <f t="shared" si="11"/>
        <v>0</v>
      </c>
      <c r="AN13" s="1141">
        <v>60</v>
      </c>
    </row>
    <row r="14" spans="1:40" x14ac:dyDescent="0.3">
      <c r="B14" t="s">
        <v>1497</v>
      </c>
      <c r="G14" s="66">
        <f>SUM(G10:G13)</f>
        <v>459550000</v>
      </c>
      <c r="H14" s="66">
        <f t="shared" ref="H14:R14" si="12">SUM(H10:H13)</f>
        <v>3.4953223767383057</v>
      </c>
      <c r="I14" s="66">
        <f t="shared" si="12"/>
        <v>9.2024478927760303</v>
      </c>
      <c r="J14" s="66">
        <f t="shared" si="12"/>
        <v>19.063561630327243</v>
      </c>
      <c r="K14" s="66">
        <f t="shared" si="12"/>
        <v>29.945096888519096</v>
      </c>
      <c r="L14" s="66">
        <f t="shared" si="12"/>
        <v>39.803439912820316</v>
      </c>
      <c r="M14" s="66">
        <f t="shared" si="12"/>
        <v>46.689247632696237</v>
      </c>
      <c r="N14" s="66">
        <f t="shared" si="12"/>
        <v>50.949257673951571</v>
      </c>
      <c r="O14" s="66">
        <f t="shared" si="12"/>
        <v>50.949257673951571</v>
      </c>
      <c r="P14" s="66">
        <f t="shared" si="12"/>
        <v>50.949257673951571</v>
      </c>
      <c r="Q14" s="66">
        <f t="shared" si="12"/>
        <v>50.949257673951571</v>
      </c>
      <c r="R14" s="66">
        <f t="shared" si="12"/>
        <v>351.99614702968347</v>
      </c>
      <c r="S14" s="66">
        <v>0</v>
      </c>
      <c r="T14" s="478">
        <f t="shared" si="0"/>
        <v>3.4953223767383057</v>
      </c>
      <c r="U14" s="480">
        <v>5.7071255160377241</v>
      </c>
      <c r="V14" s="480">
        <v>9.8611137375512126</v>
      </c>
      <c r="W14" s="480">
        <v>10.881535258191853</v>
      </c>
      <c r="X14" s="480">
        <v>9.8583430243012202</v>
      </c>
      <c r="Y14" s="480">
        <v>6.8858077198759204</v>
      </c>
      <c r="Z14" s="480">
        <v>4.2600100412553346</v>
      </c>
      <c r="AA14" s="480">
        <v>0</v>
      </c>
      <c r="AB14" s="480">
        <v>0</v>
      </c>
      <c r="AC14" s="480">
        <v>0</v>
      </c>
      <c r="AD14" s="1239">
        <f t="shared" si="2"/>
        <v>5.8255372945638428E-2</v>
      </c>
      <c r="AE14" s="1239">
        <f t="shared" si="3"/>
        <v>9.5118758600628739E-2</v>
      </c>
      <c r="AF14" s="1239">
        <f t="shared" si="4"/>
        <v>0.16435189562585353</v>
      </c>
      <c r="AG14" s="1239">
        <f t="shared" si="5"/>
        <v>0.18135892096986422</v>
      </c>
      <c r="AH14" s="1239">
        <f t="shared" si="6"/>
        <v>0.16430571707168701</v>
      </c>
      <c r="AI14" s="1239">
        <f t="shared" si="7"/>
        <v>0.11476346199793201</v>
      </c>
      <c r="AJ14" s="1239">
        <f t="shared" si="8"/>
        <v>7.1000167354255572E-2</v>
      </c>
      <c r="AK14" s="1239">
        <f t="shared" si="9"/>
        <v>0</v>
      </c>
      <c r="AL14" s="1239">
        <f t="shared" si="10"/>
        <v>0</v>
      </c>
      <c r="AM14" s="1239">
        <f t="shared" si="11"/>
        <v>0</v>
      </c>
      <c r="AN14" s="1141">
        <v>60</v>
      </c>
    </row>
    <row r="15" spans="1:40" x14ac:dyDescent="0.3">
      <c r="A15">
        <v>11</v>
      </c>
      <c r="B15" t="s">
        <v>1498</v>
      </c>
      <c r="C15" t="s">
        <v>569</v>
      </c>
      <c r="D15" t="s">
        <v>1499</v>
      </c>
      <c r="E15" t="s">
        <v>1489</v>
      </c>
      <c r="F15" t="s">
        <v>1490</v>
      </c>
      <c r="G15" s="1038">
        <v>22350000</v>
      </c>
      <c r="H15" s="966">
        <v>0.25685840707964602</v>
      </c>
      <c r="I15" s="966">
        <v>1.3984513274336285</v>
      </c>
      <c r="J15" s="966">
        <v>4.2524336283185846</v>
      </c>
      <c r="K15" s="966">
        <v>4.2524336283185846</v>
      </c>
      <c r="L15" s="966">
        <v>4.2524336283185846</v>
      </c>
      <c r="M15" s="966">
        <v>4.2524336283185846</v>
      </c>
      <c r="N15" s="966">
        <v>4.2524336283185846</v>
      </c>
      <c r="O15" s="966">
        <v>4.2524336283185846</v>
      </c>
      <c r="P15" s="966">
        <v>4.2524336283185846</v>
      </c>
      <c r="Q15" s="966">
        <v>4.2524336283185846</v>
      </c>
      <c r="R15" s="966">
        <v>35.674778761061951</v>
      </c>
      <c r="S15" s="966">
        <v>0</v>
      </c>
      <c r="T15" s="478">
        <f t="shared" si="0"/>
        <v>0.25685840707964602</v>
      </c>
      <c r="U15" s="480">
        <v>1.1415929203539825</v>
      </c>
      <c r="V15" s="480">
        <v>2.8539823008849563</v>
      </c>
      <c r="W15" s="480">
        <v>0</v>
      </c>
      <c r="X15" s="480">
        <v>0</v>
      </c>
      <c r="Y15" s="480">
        <v>0</v>
      </c>
      <c r="Z15" s="480">
        <v>0</v>
      </c>
      <c r="AA15" s="480">
        <v>0</v>
      </c>
      <c r="AB15" s="480">
        <v>0</v>
      </c>
      <c r="AC15" s="480">
        <v>0</v>
      </c>
      <c r="AD15" s="1239">
        <f t="shared" si="2"/>
        <v>2.9867256637168141E-3</v>
      </c>
      <c r="AE15" s="1239">
        <f t="shared" si="3"/>
        <v>1.3274336283185844E-2</v>
      </c>
      <c r="AF15" s="1239">
        <f t="shared" si="4"/>
        <v>3.3185840707964605E-2</v>
      </c>
      <c r="AG15" s="1239">
        <f t="shared" si="5"/>
        <v>0</v>
      </c>
      <c r="AH15" s="1239">
        <f t="shared" si="6"/>
        <v>0</v>
      </c>
      <c r="AI15" s="1239">
        <f t="shared" si="7"/>
        <v>0</v>
      </c>
      <c r="AJ15" s="1239">
        <f t="shared" si="8"/>
        <v>0</v>
      </c>
      <c r="AK15" s="1239">
        <f t="shared" si="9"/>
        <v>0</v>
      </c>
      <c r="AL15" s="1239">
        <f t="shared" si="10"/>
        <v>0</v>
      </c>
      <c r="AM15" s="1239">
        <f t="shared" si="11"/>
        <v>0</v>
      </c>
      <c r="AN15" s="1141">
        <v>86</v>
      </c>
    </row>
    <row r="16" spans="1:40" x14ac:dyDescent="0.3">
      <c r="A16">
        <v>12</v>
      </c>
      <c r="B16" t="s">
        <v>1500</v>
      </c>
      <c r="C16" t="s">
        <v>631</v>
      </c>
      <c r="D16" t="s">
        <v>1501</v>
      </c>
      <c r="E16" t="s">
        <v>1502</v>
      </c>
      <c r="F16" t="s">
        <v>1503</v>
      </c>
      <c r="G16" s="1038">
        <v>81300000</v>
      </c>
      <c r="H16" s="966">
        <v>59.509250000000002</v>
      </c>
      <c r="I16" s="966">
        <v>62.789549999999998</v>
      </c>
      <c r="J16" s="966">
        <v>62.789549999999998</v>
      </c>
      <c r="K16" s="966">
        <v>62.789549999999998</v>
      </c>
      <c r="L16" s="966">
        <v>112.27289684722736</v>
      </c>
      <c r="M16" s="966">
        <v>161.75624369445472</v>
      </c>
      <c r="N16" s="966">
        <v>204.17054099207817</v>
      </c>
      <c r="O16" s="966">
        <v>204.17054099207817</v>
      </c>
      <c r="P16" s="966">
        <v>204.17054099207817</v>
      </c>
      <c r="Q16" s="966">
        <v>204.17054099207817</v>
      </c>
      <c r="R16" s="966">
        <v>1338.5892045099949</v>
      </c>
      <c r="S16" s="966">
        <v>0</v>
      </c>
      <c r="T16" s="478">
        <f t="shared" si="0"/>
        <v>59.509250000000002</v>
      </c>
      <c r="U16" s="480">
        <v>3.2802999999999969</v>
      </c>
      <c r="V16" s="480">
        <v>0</v>
      </c>
      <c r="W16" s="480">
        <v>0</v>
      </c>
      <c r="X16" s="480">
        <v>49.483346847227359</v>
      </c>
      <c r="Y16" s="480">
        <v>49.483346847227367</v>
      </c>
      <c r="Z16" s="480">
        <v>42.414297297623449</v>
      </c>
      <c r="AA16" s="480">
        <v>0</v>
      </c>
      <c r="AB16" s="480">
        <v>0</v>
      </c>
      <c r="AC16" s="480">
        <v>0</v>
      </c>
      <c r="AD16" s="1239" t="e">
        <f t="shared" si="2"/>
        <v>#DIV/0!</v>
      </c>
      <c r="AE16" s="1239" t="e">
        <f t="shared" si="3"/>
        <v>#DIV/0!</v>
      </c>
      <c r="AF16" s="1239" t="e">
        <f t="shared" si="4"/>
        <v>#DIV/0!</v>
      </c>
      <c r="AG16" s="1239" t="e">
        <f t="shared" si="5"/>
        <v>#DIV/0!</v>
      </c>
      <c r="AH16" s="1239" t="e">
        <f t="shared" si="6"/>
        <v>#DIV/0!</v>
      </c>
      <c r="AI16" s="1239" t="e">
        <f t="shared" si="7"/>
        <v>#DIV/0!</v>
      </c>
      <c r="AJ16" s="1239" t="e">
        <f t="shared" si="8"/>
        <v>#DIV/0!</v>
      </c>
      <c r="AK16" s="1239" t="e">
        <f t="shared" si="9"/>
        <v>#DIV/0!</v>
      </c>
      <c r="AL16" s="1239" t="e">
        <f t="shared" si="10"/>
        <v>#DIV/0!</v>
      </c>
      <c r="AM16" s="1239" t="e">
        <f t="shared" si="11"/>
        <v>#DIV/0!</v>
      </c>
    </row>
    <row r="17" spans="1:40" x14ac:dyDescent="0.3">
      <c r="A17">
        <v>13</v>
      </c>
      <c r="B17" t="s">
        <v>1504</v>
      </c>
      <c r="C17" t="s">
        <v>592</v>
      </c>
      <c r="D17" t="s">
        <v>1505</v>
      </c>
      <c r="E17" t="s">
        <v>1489</v>
      </c>
      <c r="F17" t="s">
        <v>1490</v>
      </c>
      <c r="G17" s="1038">
        <v>45618046</v>
      </c>
      <c r="H17" s="966">
        <v>7.4620800000000003</v>
      </c>
      <c r="I17" s="966">
        <v>11.193820000000001</v>
      </c>
      <c r="J17" s="966">
        <v>11.193820000000001</v>
      </c>
      <c r="K17" s="966">
        <v>11.193820000000001</v>
      </c>
      <c r="L17" s="966">
        <v>11.193820000000001</v>
      </c>
      <c r="M17" s="966">
        <v>11.193820000000001</v>
      </c>
      <c r="N17" s="966">
        <v>11.193820000000001</v>
      </c>
      <c r="O17" s="966">
        <v>11.193820000000001</v>
      </c>
      <c r="P17" s="966">
        <v>11.193820000000001</v>
      </c>
      <c r="Q17" s="966">
        <v>11.193820000000001</v>
      </c>
      <c r="R17" s="966">
        <v>108.20646000000002</v>
      </c>
      <c r="S17" s="966">
        <v>0</v>
      </c>
      <c r="T17" s="478">
        <f t="shared" si="0"/>
        <v>7.4620800000000003</v>
      </c>
      <c r="U17" s="480">
        <v>3.7317400000000003</v>
      </c>
      <c r="V17" s="480">
        <v>0</v>
      </c>
      <c r="W17" s="480">
        <v>0</v>
      </c>
      <c r="X17" s="480">
        <v>0</v>
      </c>
      <c r="Y17" s="480">
        <v>0</v>
      </c>
      <c r="Z17" s="480">
        <v>0</v>
      </c>
      <c r="AA17" s="480">
        <v>0</v>
      </c>
      <c r="AB17" s="480">
        <v>0</v>
      </c>
      <c r="AC17" s="480">
        <v>0</v>
      </c>
      <c r="AD17" s="480"/>
      <c r="AE17" s="480"/>
      <c r="AF17" s="480"/>
      <c r="AG17" s="480"/>
      <c r="AH17" s="480"/>
      <c r="AI17" s="480"/>
      <c r="AJ17" s="480"/>
      <c r="AK17" s="480"/>
      <c r="AL17" s="480"/>
      <c r="AM17" s="480"/>
    </row>
    <row r="18" spans="1:40" x14ac:dyDescent="0.3">
      <c r="A18">
        <v>14</v>
      </c>
      <c r="B18" t="s">
        <v>1506</v>
      </c>
      <c r="C18" t="s">
        <v>600</v>
      </c>
      <c r="D18" t="s">
        <v>1507</v>
      </c>
      <c r="E18" t="s">
        <v>1508</v>
      </c>
      <c r="F18" t="s">
        <v>1509</v>
      </c>
      <c r="G18" s="966">
        <v>0</v>
      </c>
      <c r="H18" s="966">
        <v>7.3889999999999983E-2</v>
      </c>
      <c r="I18" s="966">
        <v>0.21077999999999997</v>
      </c>
      <c r="J18" s="966">
        <v>0.27377999999999997</v>
      </c>
      <c r="K18" s="966">
        <v>0.27377999999999997</v>
      </c>
      <c r="L18" s="966">
        <v>0.27377999999999997</v>
      </c>
      <c r="M18" s="966">
        <v>0.27377999999999997</v>
      </c>
      <c r="N18" s="966">
        <v>0.27377999999999997</v>
      </c>
      <c r="O18" s="966">
        <v>0.27377999999999997</v>
      </c>
      <c r="P18" s="966">
        <v>0.27377999999999997</v>
      </c>
      <c r="Q18" s="966">
        <v>0.27377999999999997</v>
      </c>
      <c r="R18" s="966">
        <v>2.4749099999999995</v>
      </c>
      <c r="S18" s="966">
        <v>0</v>
      </c>
      <c r="T18" s="478">
        <f t="shared" si="0"/>
        <v>7.3889999999999983E-2</v>
      </c>
      <c r="U18" s="480">
        <v>0.13688999999999998</v>
      </c>
      <c r="V18" s="480">
        <v>6.3E-2</v>
      </c>
      <c r="W18" s="480">
        <v>0</v>
      </c>
      <c r="X18" s="480">
        <v>0</v>
      </c>
      <c r="Y18" s="480">
        <v>0</v>
      </c>
      <c r="Z18" s="480">
        <v>0</v>
      </c>
      <c r="AA18" s="480">
        <v>0</v>
      </c>
      <c r="AB18" s="480">
        <v>0</v>
      </c>
      <c r="AC18" s="480">
        <v>0</v>
      </c>
      <c r="AD18" s="1239">
        <f>(T18)/$AN18</f>
        <v>1.8472499999999995E-3</v>
      </c>
      <c r="AE18" s="1239">
        <f t="shared" ref="AE18:AE24" si="13">(U18)/$AN18</f>
        <v>3.4222499999999995E-3</v>
      </c>
      <c r="AF18" s="1239">
        <f t="shared" ref="AF18:AF24" si="14">(V18)/$AN18</f>
        <v>1.575E-3</v>
      </c>
      <c r="AG18" s="1239">
        <f t="shared" ref="AG18:AG24" si="15">(W18)/$AN18</f>
        <v>0</v>
      </c>
      <c r="AH18" s="1239">
        <f t="shared" ref="AH18:AH24" si="16">(X18)/$AN18</f>
        <v>0</v>
      </c>
      <c r="AI18" s="1239">
        <f t="shared" ref="AI18:AI24" si="17">(Y18)/$AN18</f>
        <v>0</v>
      </c>
      <c r="AJ18" s="1239">
        <f t="shared" ref="AJ18:AJ24" si="18">(Z18)/$AN18</f>
        <v>0</v>
      </c>
      <c r="AK18" s="1239">
        <f t="shared" ref="AK18:AK24" si="19">(AA18)/$AN18</f>
        <v>0</v>
      </c>
      <c r="AL18" s="1239">
        <f t="shared" ref="AL18:AL24" si="20">(AB18)/$AN18</f>
        <v>0</v>
      </c>
      <c r="AM18" s="1239">
        <f t="shared" ref="AM18:AM24" si="21">(AC18)/$AN18</f>
        <v>0</v>
      </c>
      <c r="AN18" s="1238">
        <v>40</v>
      </c>
    </row>
    <row r="19" spans="1:40" x14ac:dyDescent="0.3">
      <c r="A19">
        <v>15</v>
      </c>
      <c r="B19" t="s">
        <v>1510</v>
      </c>
      <c r="C19" t="s">
        <v>584</v>
      </c>
      <c r="D19" t="s">
        <v>1511</v>
      </c>
      <c r="E19" t="s">
        <v>1508</v>
      </c>
      <c r="F19" t="s">
        <v>1509</v>
      </c>
      <c r="G19" s="966">
        <v>0</v>
      </c>
      <c r="H19" s="966">
        <v>0.47316880000000006</v>
      </c>
      <c r="I19" s="966">
        <v>0.96052760000000015</v>
      </c>
      <c r="J19" s="966">
        <v>1.0390656</v>
      </c>
      <c r="K19" s="966">
        <v>1.1034136000000001</v>
      </c>
      <c r="L19" s="966">
        <v>1.1034136000000001</v>
      </c>
      <c r="M19" s="966">
        <v>1.1034136000000001</v>
      </c>
      <c r="N19" s="966">
        <v>1.1034136000000001</v>
      </c>
      <c r="O19" s="966">
        <v>1.1034136000000001</v>
      </c>
      <c r="P19" s="966">
        <v>1.1034136000000001</v>
      </c>
      <c r="Q19" s="966">
        <v>1.1034136000000001</v>
      </c>
      <c r="R19" s="966">
        <v>10.196657199999999</v>
      </c>
      <c r="S19" s="966">
        <v>0</v>
      </c>
      <c r="T19" s="478">
        <f t="shared" si="0"/>
        <v>0.47316880000000006</v>
      </c>
      <c r="U19" s="480">
        <v>0.48735880000000009</v>
      </c>
      <c r="V19" s="480">
        <v>7.8537999999999886E-2</v>
      </c>
      <c r="W19" s="480">
        <v>6.4348000000000072E-2</v>
      </c>
      <c r="X19" s="480">
        <v>0</v>
      </c>
      <c r="Y19" s="480">
        <v>0</v>
      </c>
      <c r="Z19" s="480">
        <v>0</v>
      </c>
      <c r="AA19" s="480">
        <v>0</v>
      </c>
      <c r="AB19" s="480">
        <v>0</v>
      </c>
      <c r="AC19" s="480">
        <v>0</v>
      </c>
      <c r="AD19" s="1239">
        <f t="shared" ref="AD19:AD24" si="22">(T19)/$AN19</f>
        <v>1.1829220000000001E-2</v>
      </c>
      <c r="AE19" s="1239">
        <f t="shared" si="13"/>
        <v>1.2183970000000002E-2</v>
      </c>
      <c r="AF19" s="1239">
        <f t="shared" si="14"/>
        <v>1.9634499999999972E-3</v>
      </c>
      <c r="AG19" s="1239">
        <f t="shared" si="15"/>
        <v>1.6087000000000018E-3</v>
      </c>
      <c r="AH19" s="1239">
        <f t="shared" si="16"/>
        <v>0</v>
      </c>
      <c r="AI19" s="1239">
        <f t="shared" si="17"/>
        <v>0</v>
      </c>
      <c r="AJ19" s="1239">
        <f t="shared" si="18"/>
        <v>0</v>
      </c>
      <c r="AK19" s="1239">
        <f t="shared" si="19"/>
        <v>0</v>
      </c>
      <c r="AL19" s="1239">
        <f t="shared" si="20"/>
        <v>0</v>
      </c>
      <c r="AM19" s="1239">
        <f t="shared" si="21"/>
        <v>0</v>
      </c>
      <c r="AN19" s="1238">
        <v>40</v>
      </c>
    </row>
    <row r="20" spans="1:40" x14ac:dyDescent="0.3">
      <c r="A20">
        <v>16</v>
      </c>
      <c r="B20" t="s">
        <v>1512</v>
      </c>
      <c r="C20" t="s">
        <v>608</v>
      </c>
      <c r="D20" t="s">
        <v>1513</v>
      </c>
      <c r="E20" t="s">
        <v>1514</v>
      </c>
      <c r="F20" t="s">
        <v>1509</v>
      </c>
      <c r="G20" s="966">
        <v>0</v>
      </c>
      <c r="H20" s="966">
        <v>0.23905999999999999</v>
      </c>
      <c r="I20" s="966">
        <v>0.81135749999999995</v>
      </c>
      <c r="J20" s="966">
        <v>1.1832749999999999</v>
      </c>
      <c r="K20" s="966">
        <v>1.2219549999999999</v>
      </c>
      <c r="L20" s="966">
        <v>1.2219549999999999</v>
      </c>
      <c r="M20" s="966">
        <v>1.2219549999999999</v>
      </c>
      <c r="N20" s="966">
        <v>1.2219549999999999</v>
      </c>
      <c r="O20" s="966">
        <v>1.2219549999999999</v>
      </c>
      <c r="P20" s="966">
        <v>1.2219549999999999</v>
      </c>
      <c r="Q20" s="966">
        <v>1.2219549999999999</v>
      </c>
      <c r="R20" s="966">
        <v>10.787377499999998</v>
      </c>
      <c r="S20" s="966">
        <v>0</v>
      </c>
      <c r="T20" s="478">
        <f t="shared" si="0"/>
        <v>0.23905999999999999</v>
      </c>
      <c r="U20" s="480">
        <v>0.5722974999999999</v>
      </c>
      <c r="V20" s="480">
        <v>0.3719174999999999</v>
      </c>
      <c r="W20" s="480">
        <v>3.8680000000000048E-2</v>
      </c>
      <c r="X20" s="480">
        <v>0</v>
      </c>
      <c r="Y20" s="480">
        <v>0</v>
      </c>
      <c r="Z20" s="480">
        <v>0</v>
      </c>
      <c r="AA20" s="480">
        <v>0</v>
      </c>
      <c r="AB20" s="480">
        <v>0</v>
      </c>
      <c r="AC20" s="480">
        <v>0</v>
      </c>
      <c r="AD20" s="1239">
        <f t="shared" si="22"/>
        <v>4.7812000000000002E-3</v>
      </c>
      <c r="AE20" s="1239">
        <f t="shared" si="13"/>
        <v>1.1445949999999998E-2</v>
      </c>
      <c r="AF20" s="1239">
        <f t="shared" si="14"/>
        <v>7.4383499999999981E-3</v>
      </c>
      <c r="AG20" s="1239">
        <f t="shared" si="15"/>
        <v>7.7360000000000091E-4</v>
      </c>
      <c r="AH20" s="1239">
        <f t="shared" si="16"/>
        <v>0</v>
      </c>
      <c r="AI20" s="1239">
        <f t="shared" si="17"/>
        <v>0</v>
      </c>
      <c r="AJ20" s="1239">
        <f t="shared" si="18"/>
        <v>0</v>
      </c>
      <c r="AK20" s="1239">
        <f t="shared" si="19"/>
        <v>0</v>
      </c>
      <c r="AL20" s="1239">
        <f t="shared" si="20"/>
        <v>0</v>
      </c>
      <c r="AM20" s="1239">
        <f t="shared" si="21"/>
        <v>0</v>
      </c>
      <c r="AN20" s="1238">
        <v>50</v>
      </c>
    </row>
    <row r="21" spans="1:40" x14ac:dyDescent="0.3">
      <c r="A21">
        <v>17</v>
      </c>
      <c r="B21" t="s">
        <v>1515</v>
      </c>
      <c r="C21" t="s">
        <v>834</v>
      </c>
      <c r="D21" t="s">
        <v>1516</v>
      </c>
      <c r="E21" t="s">
        <v>1489</v>
      </c>
      <c r="F21" t="s">
        <v>1503</v>
      </c>
      <c r="G21" s="966">
        <v>0</v>
      </c>
      <c r="H21" s="966">
        <v>0</v>
      </c>
      <c r="I21" s="966">
        <v>0</v>
      </c>
      <c r="J21" s="966">
        <v>0.46285714285714291</v>
      </c>
      <c r="K21" s="966">
        <v>0.46285714285714291</v>
      </c>
      <c r="L21" s="966">
        <v>0.46285714285714291</v>
      </c>
      <c r="M21" s="966">
        <v>0.46285714285714291</v>
      </c>
      <c r="N21" s="966">
        <v>0.46285714285714291</v>
      </c>
      <c r="O21" s="966">
        <v>0.46285714285714291</v>
      </c>
      <c r="P21" s="966">
        <v>0.46285714285714291</v>
      </c>
      <c r="Q21" s="966">
        <v>0.46285714285714291</v>
      </c>
      <c r="R21" s="966">
        <v>3.7028571428571437</v>
      </c>
      <c r="S21" s="966">
        <v>0</v>
      </c>
      <c r="T21" s="478">
        <f t="shared" si="0"/>
        <v>0</v>
      </c>
      <c r="U21" s="480">
        <v>0</v>
      </c>
      <c r="V21" s="480">
        <v>0.46285714285714291</v>
      </c>
      <c r="W21" s="480">
        <v>0</v>
      </c>
      <c r="X21" s="480">
        <v>0</v>
      </c>
      <c r="Y21" s="480">
        <v>0</v>
      </c>
      <c r="Z21" s="480">
        <v>0</v>
      </c>
      <c r="AA21" s="480">
        <v>0</v>
      </c>
      <c r="AB21" s="480">
        <v>0</v>
      </c>
      <c r="AC21" s="480">
        <v>0</v>
      </c>
      <c r="AD21" s="1239" t="e">
        <f t="shared" si="22"/>
        <v>#DIV/0!</v>
      </c>
      <c r="AE21" s="1239" t="e">
        <f t="shared" si="13"/>
        <v>#DIV/0!</v>
      </c>
      <c r="AF21" s="1239" t="e">
        <f t="shared" si="14"/>
        <v>#DIV/0!</v>
      </c>
      <c r="AG21" s="1239" t="e">
        <f t="shared" si="15"/>
        <v>#DIV/0!</v>
      </c>
      <c r="AH21" s="1239" t="e">
        <f t="shared" si="16"/>
        <v>#DIV/0!</v>
      </c>
      <c r="AI21" s="1239" t="e">
        <f t="shared" si="17"/>
        <v>#DIV/0!</v>
      </c>
      <c r="AJ21" s="1239" t="e">
        <f t="shared" si="18"/>
        <v>#DIV/0!</v>
      </c>
      <c r="AK21" s="1239" t="e">
        <f t="shared" si="19"/>
        <v>#DIV/0!</v>
      </c>
      <c r="AL21" s="1239" t="e">
        <f t="shared" si="20"/>
        <v>#DIV/0!</v>
      </c>
      <c r="AM21" s="1239" t="e">
        <f t="shared" si="21"/>
        <v>#DIV/0!</v>
      </c>
    </row>
    <row r="22" spans="1:40" x14ac:dyDescent="0.3">
      <c r="A22">
        <v>18</v>
      </c>
      <c r="B22" t="s">
        <v>1517</v>
      </c>
      <c r="D22" t="s">
        <v>1518</v>
      </c>
      <c r="E22" t="s">
        <v>1502</v>
      </c>
      <c r="F22" t="s">
        <v>1503</v>
      </c>
      <c r="G22" s="966">
        <v>0</v>
      </c>
      <c r="H22" s="966">
        <v>0.73335000000000006</v>
      </c>
      <c r="I22" s="966">
        <v>0.73335000000000006</v>
      </c>
      <c r="J22" s="966">
        <v>0.73335000000000006</v>
      </c>
      <c r="K22" s="966">
        <v>0.73335000000000006</v>
      </c>
      <c r="L22" s="966">
        <v>0.73335000000000006</v>
      </c>
      <c r="M22" s="966">
        <v>0.73335000000000006</v>
      </c>
      <c r="N22" s="966">
        <v>0.73335000000000006</v>
      </c>
      <c r="O22" s="966">
        <v>0.73335000000000006</v>
      </c>
      <c r="P22" s="966">
        <v>0.73335000000000006</v>
      </c>
      <c r="Q22" s="966">
        <v>0.73335000000000006</v>
      </c>
      <c r="R22" s="966">
        <v>7.333499999999999</v>
      </c>
      <c r="S22" s="966">
        <v>0</v>
      </c>
      <c r="T22" s="478">
        <f t="shared" si="0"/>
        <v>0.73335000000000006</v>
      </c>
      <c r="U22" s="480">
        <v>0</v>
      </c>
      <c r="V22" s="480">
        <v>0</v>
      </c>
      <c r="W22" s="480">
        <v>0</v>
      </c>
      <c r="X22" s="480">
        <v>0</v>
      </c>
      <c r="Y22" s="480">
        <v>0</v>
      </c>
      <c r="Z22" s="480">
        <v>0</v>
      </c>
      <c r="AA22" s="480">
        <v>0</v>
      </c>
      <c r="AB22" s="480">
        <v>0</v>
      </c>
      <c r="AC22" s="480">
        <v>0</v>
      </c>
      <c r="AD22" s="1239" t="e">
        <f t="shared" si="22"/>
        <v>#DIV/0!</v>
      </c>
      <c r="AE22" s="1239" t="e">
        <f t="shared" si="13"/>
        <v>#DIV/0!</v>
      </c>
      <c r="AF22" s="1239" t="e">
        <f t="shared" si="14"/>
        <v>#DIV/0!</v>
      </c>
      <c r="AG22" s="1239" t="e">
        <f t="shared" si="15"/>
        <v>#DIV/0!</v>
      </c>
      <c r="AH22" s="1239" t="e">
        <f t="shared" si="16"/>
        <v>#DIV/0!</v>
      </c>
      <c r="AI22" s="1239" t="e">
        <f t="shared" si="17"/>
        <v>#DIV/0!</v>
      </c>
      <c r="AJ22" s="1239" t="e">
        <f t="shared" si="18"/>
        <v>#DIV/0!</v>
      </c>
      <c r="AK22" s="1239" t="e">
        <f t="shared" si="19"/>
        <v>#DIV/0!</v>
      </c>
      <c r="AL22" s="1239" t="e">
        <f t="shared" si="20"/>
        <v>#DIV/0!</v>
      </c>
      <c r="AM22" s="1239" t="e">
        <f t="shared" si="21"/>
        <v>#DIV/0!</v>
      </c>
    </row>
    <row r="23" spans="1:40" x14ac:dyDescent="0.3">
      <c r="A23">
        <v>19</v>
      </c>
      <c r="B23" t="s">
        <v>1519</v>
      </c>
      <c r="C23" t="s">
        <v>667</v>
      </c>
      <c r="D23" t="s">
        <v>1520</v>
      </c>
      <c r="E23" t="s">
        <v>1502</v>
      </c>
      <c r="F23" t="s">
        <v>1503</v>
      </c>
      <c r="G23" s="966">
        <v>0</v>
      </c>
      <c r="H23" s="966">
        <v>0</v>
      </c>
      <c r="I23" s="966">
        <v>0</v>
      </c>
      <c r="J23" s="966">
        <v>5.8668000000000005</v>
      </c>
      <c r="K23" s="966">
        <v>5.8668000000000005</v>
      </c>
      <c r="L23" s="966">
        <v>5.8668000000000005</v>
      </c>
      <c r="M23" s="966">
        <v>5.8668000000000005</v>
      </c>
      <c r="N23" s="966">
        <v>5.8668000000000005</v>
      </c>
      <c r="O23" s="966">
        <v>5.8668000000000005</v>
      </c>
      <c r="P23" s="966">
        <v>5.8668000000000005</v>
      </c>
      <c r="Q23" s="966">
        <v>5.8668000000000005</v>
      </c>
      <c r="R23" s="966">
        <v>46.934399999999997</v>
      </c>
      <c r="S23" s="966">
        <v>0</v>
      </c>
      <c r="T23" s="478">
        <f t="shared" si="0"/>
        <v>0</v>
      </c>
      <c r="U23" s="480">
        <v>0</v>
      </c>
      <c r="V23" s="480">
        <v>5.8668000000000005</v>
      </c>
      <c r="W23" s="480">
        <v>0</v>
      </c>
      <c r="X23" s="480">
        <v>0</v>
      </c>
      <c r="Y23" s="480">
        <v>0</v>
      </c>
      <c r="Z23" s="480">
        <v>0</v>
      </c>
      <c r="AA23" s="480">
        <v>0</v>
      </c>
      <c r="AB23" s="480">
        <v>0</v>
      </c>
      <c r="AC23" s="480">
        <v>0</v>
      </c>
      <c r="AD23" s="1239" t="e">
        <f t="shared" si="22"/>
        <v>#DIV/0!</v>
      </c>
      <c r="AE23" s="1239" t="e">
        <f t="shared" si="13"/>
        <v>#DIV/0!</v>
      </c>
      <c r="AF23" s="1239" t="e">
        <f t="shared" si="14"/>
        <v>#DIV/0!</v>
      </c>
      <c r="AG23" s="1239" t="e">
        <f t="shared" si="15"/>
        <v>#DIV/0!</v>
      </c>
      <c r="AH23" s="1239" t="e">
        <f t="shared" si="16"/>
        <v>#DIV/0!</v>
      </c>
      <c r="AI23" s="1239" t="e">
        <f t="shared" si="17"/>
        <v>#DIV/0!</v>
      </c>
      <c r="AJ23" s="1239" t="e">
        <f t="shared" si="18"/>
        <v>#DIV/0!</v>
      </c>
      <c r="AK23" s="1239" t="e">
        <f t="shared" si="19"/>
        <v>#DIV/0!</v>
      </c>
      <c r="AL23" s="1239" t="e">
        <f t="shared" si="20"/>
        <v>#DIV/0!</v>
      </c>
      <c r="AM23" s="1239" t="e">
        <f t="shared" si="21"/>
        <v>#DIV/0!</v>
      </c>
    </row>
    <row r="24" spans="1:40" x14ac:dyDescent="0.3">
      <c r="A24">
        <v>20</v>
      </c>
      <c r="B24" t="s">
        <v>1521</v>
      </c>
      <c r="C24" t="s">
        <v>758</v>
      </c>
      <c r="D24" t="s">
        <v>1522</v>
      </c>
      <c r="E24" t="s">
        <v>1475</v>
      </c>
      <c r="F24" t="s">
        <v>1509</v>
      </c>
      <c r="G24" s="966">
        <v>320000000</v>
      </c>
      <c r="H24" s="966">
        <v>2.1552543000000002</v>
      </c>
      <c r="I24" s="966">
        <v>10.302316163478869</v>
      </c>
      <c r="J24" s="966">
        <v>18.824128026720743</v>
      </c>
      <c r="K24" s="966">
        <v>19.680128026720741</v>
      </c>
      <c r="L24" s="966">
        <v>29.163128026720742</v>
      </c>
      <c r="M24" s="966">
        <v>32.00212802672074</v>
      </c>
      <c r="N24" s="966">
        <v>38.758488026720741</v>
      </c>
      <c r="O24" s="966">
        <v>43.906372826720741</v>
      </c>
      <c r="P24" s="966">
        <v>48.69390569072074</v>
      </c>
      <c r="Q24" s="966">
        <v>53.146311254240743</v>
      </c>
      <c r="R24" s="966">
        <v>296.6321603687648</v>
      </c>
      <c r="S24" s="966">
        <v>0</v>
      </c>
      <c r="T24" s="478">
        <f t="shared" si="0"/>
        <v>2.1552543000000002</v>
      </c>
      <c r="U24" s="480">
        <v>8.1470618634788678</v>
      </c>
      <c r="V24" s="480">
        <v>8.521811863241874</v>
      </c>
      <c r="W24" s="480">
        <v>0.8559999999999981</v>
      </c>
      <c r="X24" s="480">
        <v>9.4830000000000005</v>
      </c>
      <c r="Y24" s="480">
        <v>2.8389999999999986</v>
      </c>
      <c r="Z24" s="480">
        <v>6.7563600000000008</v>
      </c>
      <c r="AA24" s="480">
        <v>5.1478847999999999</v>
      </c>
      <c r="AB24" s="480">
        <v>4.7875328639999992</v>
      </c>
      <c r="AC24" s="480">
        <v>4.4524055635200028</v>
      </c>
      <c r="AD24" s="1239" t="e">
        <f t="shared" si="22"/>
        <v>#DIV/0!</v>
      </c>
      <c r="AE24" s="1239" t="e">
        <f t="shared" si="13"/>
        <v>#DIV/0!</v>
      </c>
      <c r="AF24" s="1239" t="e">
        <f t="shared" si="14"/>
        <v>#DIV/0!</v>
      </c>
      <c r="AG24" s="1239" t="e">
        <f t="shared" si="15"/>
        <v>#DIV/0!</v>
      </c>
      <c r="AH24" s="1239" t="e">
        <f t="shared" si="16"/>
        <v>#DIV/0!</v>
      </c>
      <c r="AI24" s="1239" t="e">
        <f t="shared" si="17"/>
        <v>#DIV/0!</v>
      </c>
      <c r="AJ24" s="1239" t="e">
        <f t="shared" si="18"/>
        <v>#DIV/0!</v>
      </c>
      <c r="AK24" s="1239" t="e">
        <f t="shared" si="19"/>
        <v>#DIV/0!</v>
      </c>
      <c r="AL24" s="1239" t="e">
        <f t="shared" si="20"/>
        <v>#DIV/0!</v>
      </c>
      <c r="AM24" s="1239" t="e">
        <f t="shared" si="21"/>
        <v>#DIV/0!</v>
      </c>
    </row>
    <row r="25" spans="1:40" x14ac:dyDescent="0.3">
      <c r="A25">
        <v>21</v>
      </c>
      <c r="B25" t="s">
        <v>1523</v>
      </c>
      <c r="C25" t="s">
        <v>643</v>
      </c>
      <c r="D25" t="s">
        <v>1524</v>
      </c>
      <c r="E25" t="s">
        <v>1489</v>
      </c>
      <c r="F25" t="s">
        <v>1525</v>
      </c>
      <c r="G25" s="966">
        <v>0</v>
      </c>
      <c r="H25" s="966">
        <v>8.6137581513028518</v>
      </c>
      <c r="I25" s="966">
        <v>17.227516302605704</v>
      </c>
      <c r="J25" s="966">
        <v>17.227516302605704</v>
      </c>
      <c r="K25" s="966">
        <v>17.227516302605704</v>
      </c>
      <c r="L25" s="966">
        <v>17.227516302605704</v>
      </c>
      <c r="M25" s="966">
        <v>17.227516302605704</v>
      </c>
      <c r="N25" s="966">
        <v>17.227516302605704</v>
      </c>
      <c r="O25" s="966">
        <v>17.227516302605704</v>
      </c>
      <c r="P25" s="966">
        <v>17.227516302605704</v>
      </c>
      <c r="Q25" s="966">
        <v>17.227516302605704</v>
      </c>
      <c r="R25" s="966">
        <v>163.66140487475417</v>
      </c>
      <c r="S25" s="966">
        <v>0</v>
      </c>
      <c r="T25" s="478">
        <f t="shared" si="0"/>
        <v>8.6137581513028518</v>
      </c>
      <c r="U25" s="480">
        <v>8.6137581513028518</v>
      </c>
      <c r="V25" s="480">
        <v>0</v>
      </c>
      <c r="W25" s="480">
        <v>0</v>
      </c>
      <c r="X25" s="480">
        <v>0</v>
      </c>
      <c r="Y25" s="480">
        <v>0</v>
      </c>
      <c r="Z25" s="480">
        <v>0</v>
      </c>
      <c r="AA25" s="480">
        <v>0</v>
      </c>
      <c r="AB25" s="480">
        <v>0</v>
      </c>
      <c r="AC25" s="480">
        <v>0</v>
      </c>
      <c r="AD25" s="480"/>
      <c r="AE25" s="480"/>
      <c r="AF25" s="480"/>
      <c r="AG25" s="480"/>
      <c r="AH25" s="480"/>
      <c r="AI25" s="480"/>
      <c r="AJ25" s="480"/>
      <c r="AK25" s="480"/>
      <c r="AL25" s="480"/>
      <c r="AM25" s="480"/>
    </row>
    <row r="26" spans="1:40" x14ac:dyDescent="0.3">
      <c r="A26">
        <v>22</v>
      </c>
      <c r="B26" t="s">
        <v>1526</v>
      </c>
      <c r="C26" t="s">
        <v>580</v>
      </c>
      <c r="D26" t="s">
        <v>1527</v>
      </c>
      <c r="E26" t="s">
        <v>1502</v>
      </c>
      <c r="F26" t="s">
        <v>1503</v>
      </c>
      <c r="G26" s="966">
        <v>0</v>
      </c>
      <c r="H26" s="966">
        <v>0.16700000000000004</v>
      </c>
      <c r="I26" s="966">
        <v>0.33400000000000007</v>
      </c>
      <c r="J26" s="966">
        <v>0.50100000000000011</v>
      </c>
      <c r="K26" s="966">
        <v>0.66800000000000015</v>
      </c>
      <c r="L26" s="966">
        <v>0.83500000000000019</v>
      </c>
      <c r="M26" s="966">
        <v>1.0020000000000002</v>
      </c>
      <c r="N26" s="966">
        <v>1.1690000000000003</v>
      </c>
      <c r="O26" s="966">
        <v>1.3360000000000003</v>
      </c>
      <c r="P26" s="966">
        <v>1.5030000000000003</v>
      </c>
      <c r="Q26" s="966">
        <v>1.6700000000000004</v>
      </c>
      <c r="R26" s="966">
        <v>9.1850000000000023</v>
      </c>
      <c r="S26" s="966">
        <v>0</v>
      </c>
      <c r="T26" s="478">
        <f t="shared" si="0"/>
        <v>0.16700000000000004</v>
      </c>
      <c r="U26" s="480">
        <v>0.16700000000000004</v>
      </c>
      <c r="V26" s="480">
        <v>0.16700000000000004</v>
      </c>
      <c r="W26" s="480">
        <v>0.16700000000000004</v>
      </c>
      <c r="X26" s="480">
        <v>0.16700000000000004</v>
      </c>
      <c r="Y26" s="480">
        <v>0.16700000000000004</v>
      </c>
      <c r="Z26" s="480">
        <v>0.16700000000000004</v>
      </c>
      <c r="AA26" s="480">
        <v>0.16700000000000004</v>
      </c>
      <c r="AB26" s="480">
        <v>0.16700000000000004</v>
      </c>
      <c r="AC26" s="480">
        <v>0.16700000000000004</v>
      </c>
      <c r="AD26" s="480"/>
      <c r="AE26" s="480"/>
      <c r="AF26" s="480"/>
      <c r="AG26" s="480"/>
      <c r="AH26" s="480"/>
      <c r="AI26" s="480"/>
      <c r="AJ26" s="480"/>
      <c r="AK26" s="480"/>
      <c r="AL26" s="480"/>
      <c r="AM26" s="480"/>
    </row>
    <row r="27" spans="1:40" x14ac:dyDescent="0.3">
      <c r="A27">
        <v>23</v>
      </c>
      <c r="B27" t="s">
        <v>1528</v>
      </c>
      <c r="C27" t="s">
        <v>639</v>
      </c>
      <c r="D27" t="s">
        <v>1529</v>
      </c>
      <c r="E27" t="s">
        <v>1489</v>
      </c>
      <c r="F27" t="s">
        <v>1476</v>
      </c>
      <c r="G27" s="966">
        <v>0</v>
      </c>
      <c r="H27" s="966">
        <v>11.950000000000001</v>
      </c>
      <c r="I27" s="966">
        <v>11.950000000000001</v>
      </c>
      <c r="J27" s="966">
        <v>11.950000000000001</v>
      </c>
      <c r="K27" s="966">
        <v>11.950000000000001</v>
      </c>
      <c r="L27" s="966">
        <v>11.950000000000001</v>
      </c>
      <c r="M27" s="966">
        <v>11.950000000000001</v>
      </c>
      <c r="N27" s="966">
        <v>11.950000000000001</v>
      </c>
      <c r="O27" s="966">
        <v>11.950000000000001</v>
      </c>
      <c r="P27" s="966">
        <v>11.950000000000001</v>
      </c>
      <c r="Q27" s="966">
        <v>11.950000000000001</v>
      </c>
      <c r="R27" s="966">
        <v>119.50000000000001</v>
      </c>
      <c r="S27" s="966">
        <v>0</v>
      </c>
      <c r="T27" s="478">
        <f t="shared" si="0"/>
        <v>11.950000000000001</v>
      </c>
      <c r="U27" s="480">
        <v>0</v>
      </c>
      <c r="V27" s="480">
        <v>0</v>
      </c>
      <c r="W27" s="480">
        <v>0</v>
      </c>
      <c r="X27" s="480">
        <v>0</v>
      </c>
      <c r="Y27" s="480">
        <v>0</v>
      </c>
      <c r="Z27" s="480">
        <v>0</v>
      </c>
      <c r="AA27" s="480">
        <v>0</v>
      </c>
      <c r="AB27" s="480">
        <v>0</v>
      </c>
      <c r="AC27" s="480">
        <v>0</v>
      </c>
      <c r="AD27" s="480"/>
      <c r="AE27" s="480"/>
      <c r="AF27" s="480"/>
      <c r="AG27" s="480"/>
      <c r="AH27" s="480"/>
      <c r="AI27" s="480"/>
      <c r="AJ27" s="480"/>
      <c r="AK27" s="480"/>
      <c r="AL27" s="480"/>
      <c r="AM27" s="480"/>
    </row>
    <row r="28" spans="1:40" x14ac:dyDescent="0.3">
      <c r="A28">
        <v>24</v>
      </c>
      <c r="B28" t="s">
        <v>1530</v>
      </c>
      <c r="C28" t="s">
        <v>698</v>
      </c>
      <c r="D28" t="s">
        <v>1531</v>
      </c>
      <c r="E28" t="s">
        <v>1489</v>
      </c>
      <c r="F28" t="s">
        <v>720</v>
      </c>
      <c r="G28" s="966">
        <v>0</v>
      </c>
      <c r="H28" s="966">
        <v>105.6585962719987</v>
      </c>
      <c r="I28" s="966">
        <v>105.6585962719987</v>
      </c>
      <c r="J28" s="966">
        <v>105.6585962719987</v>
      </c>
      <c r="K28" s="966">
        <v>105.6585962719987</v>
      </c>
      <c r="L28" s="966">
        <v>105.6585962719987</v>
      </c>
      <c r="M28" s="966">
        <v>105.6585962719987</v>
      </c>
      <c r="N28" s="966">
        <v>105.6585962719987</v>
      </c>
      <c r="O28" s="966">
        <v>105.6585962719987</v>
      </c>
      <c r="P28" s="966">
        <v>105.6585962719987</v>
      </c>
      <c r="Q28" s="966">
        <v>105.6585962719987</v>
      </c>
      <c r="R28" s="966">
        <v>1056.585962719987</v>
      </c>
      <c r="S28" s="966">
        <v>0</v>
      </c>
      <c r="T28" s="478">
        <f t="shared" si="0"/>
        <v>105.6585962719987</v>
      </c>
      <c r="U28" s="480">
        <v>0</v>
      </c>
      <c r="V28" s="480">
        <v>0</v>
      </c>
      <c r="W28" s="480">
        <v>0</v>
      </c>
      <c r="X28" s="480">
        <v>0</v>
      </c>
      <c r="Y28" s="480">
        <v>0</v>
      </c>
      <c r="Z28" s="480">
        <v>0</v>
      </c>
      <c r="AA28" s="480">
        <v>0</v>
      </c>
      <c r="AB28" s="480">
        <v>0</v>
      </c>
      <c r="AC28" s="480">
        <v>0</v>
      </c>
      <c r="AD28" s="480"/>
      <c r="AE28" s="480"/>
      <c r="AF28" s="480"/>
      <c r="AG28" s="480"/>
      <c r="AH28" s="480"/>
      <c r="AI28" s="480"/>
      <c r="AJ28" s="480"/>
      <c r="AK28" s="480"/>
      <c r="AL28" s="480"/>
      <c r="AM28" s="480"/>
    </row>
    <row r="29" spans="1:40" x14ac:dyDescent="0.3">
      <c r="A29">
        <v>25</v>
      </c>
      <c r="B29" t="s">
        <v>1532</v>
      </c>
      <c r="D29" t="s">
        <v>1533</v>
      </c>
      <c r="E29" t="s">
        <v>1534</v>
      </c>
      <c r="F29" t="s">
        <v>1509</v>
      </c>
      <c r="G29" s="966">
        <v>2859647</v>
      </c>
      <c r="H29" s="966">
        <v>0</v>
      </c>
      <c r="I29" s="966">
        <v>0</v>
      </c>
      <c r="J29" s="966">
        <v>3.5745587500000002E-2</v>
      </c>
      <c r="K29" s="966">
        <v>7.1491175000000004E-2</v>
      </c>
      <c r="L29" s="966">
        <v>0.1072367625</v>
      </c>
      <c r="M29" s="966">
        <v>0.14298235000000001</v>
      </c>
      <c r="N29" s="966">
        <v>0.14298235000000001</v>
      </c>
      <c r="O29" s="966">
        <v>0.14298235000000001</v>
      </c>
      <c r="P29" s="966">
        <v>0.14298235000000001</v>
      </c>
      <c r="Q29" s="966">
        <v>0.14298235000000001</v>
      </c>
      <c r="R29" s="966">
        <v>0.92938527500000012</v>
      </c>
      <c r="S29" s="966">
        <v>0</v>
      </c>
      <c r="T29" s="478">
        <f t="shared" si="0"/>
        <v>0</v>
      </c>
      <c r="U29" s="480">
        <v>0</v>
      </c>
      <c r="V29" s="480">
        <v>3.5745587500000002E-2</v>
      </c>
      <c r="W29" s="480">
        <v>3.5745587500000002E-2</v>
      </c>
      <c r="X29" s="480">
        <v>3.5745587499999995E-2</v>
      </c>
      <c r="Y29" s="480">
        <v>3.5745587500000009E-2</v>
      </c>
      <c r="Z29" s="480">
        <v>0</v>
      </c>
      <c r="AA29" s="480">
        <v>0</v>
      </c>
      <c r="AB29" s="480">
        <v>0</v>
      </c>
      <c r="AC29" s="480">
        <v>0</v>
      </c>
      <c r="AD29" s="480"/>
      <c r="AE29" s="480"/>
      <c r="AF29" s="480"/>
      <c r="AG29" s="480"/>
      <c r="AH29" s="480"/>
      <c r="AI29" s="480"/>
      <c r="AJ29" s="480"/>
      <c r="AK29" s="480"/>
      <c r="AL29" s="480"/>
      <c r="AM29" s="480"/>
    </row>
    <row r="30" spans="1:40" x14ac:dyDescent="0.3">
      <c r="A30">
        <v>26</v>
      </c>
      <c r="B30" t="s">
        <v>791</v>
      </c>
      <c r="C30" t="s">
        <v>789</v>
      </c>
      <c r="D30" t="s">
        <v>1535</v>
      </c>
      <c r="E30" t="s">
        <v>1536</v>
      </c>
      <c r="F30" t="s">
        <v>1537</v>
      </c>
      <c r="G30" s="966">
        <v>14000000</v>
      </c>
      <c r="H30" s="966">
        <v>0</v>
      </c>
      <c r="I30" s="966">
        <v>0</v>
      </c>
      <c r="J30" s="966">
        <v>0</v>
      </c>
      <c r="K30" s="966">
        <v>34.423197806766865</v>
      </c>
      <c r="L30" s="966">
        <v>34.423197806766865</v>
      </c>
      <c r="M30" s="966">
        <v>34.423197806766865</v>
      </c>
      <c r="N30" s="966">
        <v>34.423197806766865</v>
      </c>
      <c r="O30" s="966">
        <v>34.423197806766865</v>
      </c>
      <c r="P30" s="966">
        <v>34.423197806766865</v>
      </c>
      <c r="Q30" s="966">
        <v>34.423197806766865</v>
      </c>
      <c r="R30" s="966">
        <v>275.38558245413492</v>
      </c>
      <c r="S30" s="966">
        <v>0</v>
      </c>
      <c r="T30" s="478">
        <f t="shared" si="0"/>
        <v>0</v>
      </c>
      <c r="U30" s="480">
        <v>0</v>
      </c>
      <c r="V30" s="480">
        <v>0</v>
      </c>
      <c r="W30" s="480">
        <v>34.423197806766865</v>
      </c>
      <c r="X30" s="480">
        <v>0</v>
      </c>
      <c r="Y30" s="480">
        <v>0</v>
      </c>
      <c r="Z30" s="480">
        <v>0</v>
      </c>
      <c r="AA30" s="480">
        <v>0</v>
      </c>
      <c r="AB30" s="480">
        <v>0</v>
      </c>
      <c r="AC30" s="480">
        <v>0</v>
      </c>
      <c r="AD30" s="480"/>
      <c r="AE30" s="480"/>
      <c r="AF30" s="480"/>
      <c r="AG30" s="480"/>
      <c r="AH30" s="480"/>
      <c r="AI30" s="480"/>
      <c r="AJ30" s="480"/>
      <c r="AK30" s="480"/>
      <c r="AL30" s="480"/>
      <c r="AM30" s="480"/>
    </row>
    <row r="31" spans="1:40" x14ac:dyDescent="0.3">
      <c r="A31">
        <v>27</v>
      </c>
      <c r="B31" t="s">
        <v>1538</v>
      </c>
      <c r="D31" t="s">
        <v>1539</v>
      </c>
      <c r="E31" t="s">
        <v>1502</v>
      </c>
      <c r="F31" t="s">
        <v>1503</v>
      </c>
      <c r="G31" s="966">
        <v>18500000</v>
      </c>
      <c r="H31" s="966">
        <v>0</v>
      </c>
      <c r="I31" s="966">
        <v>0</v>
      </c>
      <c r="J31" s="966">
        <v>2.4716000000000005</v>
      </c>
      <c r="K31" s="966">
        <v>4.9432000000000009</v>
      </c>
      <c r="L31" s="966">
        <v>7.4148000000000014</v>
      </c>
      <c r="M31" s="966">
        <v>9.8864000000000019</v>
      </c>
      <c r="N31" s="966">
        <v>12.358000000000002</v>
      </c>
      <c r="O31" s="966">
        <v>12.358000000000002</v>
      </c>
      <c r="P31" s="966">
        <v>12.358000000000002</v>
      </c>
      <c r="Q31" s="966">
        <v>12.358000000000002</v>
      </c>
      <c r="R31" s="966">
        <v>74.14800000000001</v>
      </c>
      <c r="S31" s="966">
        <v>0</v>
      </c>
      <c r="T31" s="478">
        <f t="shared" si="0"/>
        <v>0</v>
      </c>
      <c r="U31" s="480">
        <v>0</v>
      </c>
      <c r="V31" s="480">
        <v>2.4716000000000005</v>
      </c>
      <c r="W31" s="480">
        <v>2.4716000000000005</v>
      </c>
      <c r="X31" s="480">
        <v>2.4716000000000005</v>
      </c>
      <c r="Y31" s="480">
        <v>2.4716000000000005</v>
      </c>
      <c r="Z31" s="480">
        <v>2.4716000000000005</v>
      </c>
      <c r="AA31" s="480">
        <v>0</v>
      </c>
      <c r="AB31" s="480">
        <v>0</v>
      </c>
      <c r="AC31" s="480">
        <v>0</v>
      </c>
      <c r="AD31" s="480"/>
      <c r="AE31" s="480"/>
      <c r="AF31" s="480"/>
      <c r="AG31" s="480"/>
      <c r="AH31" s="480"/>
      <c r="AI31" s="480"/>
      <c r="AJ31" s="480"/>
      <c r="AK31" s="480"/>
      <c r="AL31" s="480"/>
      <c r="AM31" s="480"/>
    </row>
    <row r="32" spans="1:40" x14ac:dyDescent="0.3">
      <c r="A32">
        <v>28</v>
      </c>
      <c r="B32" t="s">
        <v>829</v>
      </c>
      <c r="C32" t="s">
        <v>826</v>
      </c>
      <c r="D32" t="s">
        <v>1540</v>
      </c>
      <c r="E32" t="s">
        <v>1489</v>
      </c>
      <c r="F32" t="s">
        <v>1541</v>
      </c>
      <c r="G32" s="966">
        <v>381000000</v>
      </c>
      <c r="H32" s="966">
        <v>46.688742801652673</v>
      </c>
      <c r="I32" s="966">
        <v>49.339537616216134</v>
      </c>
      <c r="J32" s="966">
        <v>52.260763496566291</v>
      </c>
      <c r="K32" s="966">
        <v>53.374416575833145</v>
      </c>
      <c r="L32" s="966">
        <v>61.930232781200345</v>
      </c>
      <c r="M32" s="966">
        <v>68.024872774614451</v>
      </c>
      <c r="N32" s="966">
        <v>78.710378779337844</v>
      </c>
      <c r="O32" s="966">
        <v>82.54101763303855</v>
      </c>
      <c r="P32" s="966">
        <v>86.703121057503537</v>
      </c>
      <c r="Q32" s="966">
        <v>88.795075740625322</v>
      </c>
      <c r="R32" s="966">
        <v>668.36815925658823</v>
      </c>
      <c r="S32" s="966">
        <v>0</v>
      </c>
      <c r="T32" s="478">
        <f t="shared" si="0"/>
        <v>46.688742801652673</v>
      </c>
      <c r="U32" s="480">
        <v>2.6507948145634614</v>
      </c>
      <c r="V32" s="480">
        <v>2.921225880350157</v>
      </c>
      <c r="W32" s="480">
        <v>1.1136530792668538</v>
      </c>
      <c r="X32" s="480">
        <v>8.5558162053672007</v>
      </c>
      <c r="Y32" s="480">
        <v>6.0946399934141056</v>
      </c>
      <c r="Z32" s="480">
        <v>10.685506004723393</v>
      </c>
      <c r="AA32" s="480">
        <v>3.8306388537007052</v>
      </c>
      <c r="AB32" s="480">
        <v>4.1621034244649877</v>
      </c>
      <c r="AC32" s="480">
        <v>2.0919546831217843</v>
      </c>
      <c r="AD32" s="480"/>
      <c r="AE32" s="480"/>
      <c r="AF32" s="480"/>
      <c r="AG32" s="480"/>
      <c r="AH32" s="480"/>
      <c r="AI32" s="480"/>
      <c r="AJ32" s="480"/>
      <c r="AK32" s="480"/>
      <c r="AL32" s="480"/>
      <c r="AM32" s="480"/>
    </row>
    <row r="33" spans="1:39" x14ac:dyDescent="0.3">
      <c r="A33">
        <v>29</v>
      </c>
      <c r="B33" t="s">
        <v>1542</v>
      </c>
      <c r="C33" t="s">
        <v>842</v>
      </c>
      <c r="D33" t="s">
        <v>1543</v>
      </c>
      <c r="E33" t="s">
        <v>1489</v>
      </c>
      <c r="F33" t="s">
        <v>1544</v>
      </c>
      <c r="G33" s="966">
        <v>55000000</v>
      </c>
      <c r="H33" s="966">
        <v>0</v>
      </c>
      <c r="I33" s="966">
        <v>0</v>
      </c>
      <c r="J33" s="966">
        <v>0</v>
      </c>
      <c r="K33" s="966">
        <v>0</v>
      </c>
      <c r="L33" s="966">
        <v>59.878</v>
      </c>
      <c r="M33" s="966">
        <v>59.878</v>
      </c>
      <c r="N33" s="966">
        <v>59.878</v>
      </c>
      <c r="O33" s="966">
        <v>59.878</v>
      </c>
      <c r="P33" s="966">
        <v>59.878</v>
      </c>
      <c r="Q33" s="966">
        <v>59.878</v>
      </c>
      <c r="R33" s="966">
        <v>359.26799999999997</v>
      </c>
      <c r="S33" s="966">
        <v>0</v>
      </c>
      <c r="T33" s="478">
        <f t="shared" si="0"/>
        <v>0</v>
      </c>
      <c r="U33" s="480">
        <v>0</v>
      </c>
      <c r="V33" s="480">
        <v>0</v>
      </c>
      <c r="W33" s="480">
        <v>0</v>
      </c>
      <c r="X33" s="480">
        <v>59.878</v>
      </c>
      <c r="Y33" s="480">
        <v>0</v>
      </c>
      <c r="Z33" s="480">
        <v>0</v>
      </c>
      <c r="AA33" s="480">
        <v>0</v>
      </c>
      <c r="AB33" s="480">
        <v>0</v>
      </c>
      <c r="AC33" s="480">
        <v>0</v>
      </c>
      <c r="AD33" s="480"/>
      <c r="AE33" s="480"/>
      <c r="AF33" s="480"/>
      <c r="AG33" s="480"/>
      <c r="AH33" s="480"/>
      <c r="AI33" s="480"/>
      <c r="AJ33" s="480"/>
      <c r="AK33" s="480"/>
      <c r="AL33" s="480"/>
      <c r="AM33" s="480"/>
    </row>
    <row r="34" spans="1:39" x14ac:dyDescent="0.3">
      <c r="A34">
        <v>30</v>
      </c>
      <c r="B34" t="s">
        <v>1545</v>
      </c>
      <c r="C34" t="s">
        <v>650</v>
      </c>
      <c r="D34" t="s">
        <v>1546</v>
      </c>
      <c r="E34" t="s">
        <v>1489</v>
      </c>
      <c r="F34" t="s">
        <v>1509</v>
      </c>
      <c r="G34" s="966">
        <v>0</v>
      </c>
      <c r="H34" s="966">
        <v>0</v>
      </c>
      <c r="I34" s="966">
        <v>0</v>
      </c>
      <c r="J34" s="966">
        <v>0</v>
      </c>
      <c r="K34" s="966">
        <v>0.914696328</v>
      </c>
      <c r="L34" s="966">
        <v>0.914696328</v>
      </c>
      <c r="M34" s="966">
        <v>0.914696328</v>
      </c>
      <c r="N34" s="966">
        <v>0.914696328</v>
      </c>
      <c r="O34" s="966">
        <v>0.914696328</v>
      </c>
      <c r="P34" s="966">
        <v>0.914696328</v>
      </c>
      <c r="Q34" s="966">
        <v>0.914696328</v>
      </c>
      <c r="R34" s="966">
        <v>6.4028742959999994</v>
      </c>
      <c r="S34" s="966">
        <v>0</v>
      </c>
      <c r="T34" s="478">
        <f t="shared" si="0"/>
        <v>0</v>
      </c>
      <c r="U34" s="480">
        <v>0</v>
      </c>
      <c r="V34" s="480">
        <v>0</v>
      </c>
      <c r="W34" s="480">
        <v>0.914696328</v>
      </c>
      <c r="X34" s="480">
        <v>0</v>
      </c>
      <c r="Y34" s="480">
        <v>0</v>
      </c>
      <c r="Z34" s="480">
        <v>0</v>
      </c>
      <c r="AA34" s="480">
        <v>0</v>
      </c>
      <c r="AB34" s="480">
        <v>0</v>
      </c>
      <c r="AC34" s="480">
        <v>0</v>
      </c>
      <c r="AD34" s="480"/>
      <c r="AE34" s="480"/>
      <c r="AF34" s="480"/>
      <c r="AG34" s="480"/>
      <c r="AH34" s="480"/>
      <c r="AI34" s="480"/>
      <c r="AJ34" s="480"/>
      <c r="AK34" s="480"/>
      <c r="AL34" s="480"/>
      <c r="AM34" s="480"/>
    </row>
    <row r="35" spans="1:39" x14ac:dyDescent="0.3">
      <c r="A35">
        <v>31</v>
      </c>
      <c r="B35" t="s">
        <v>1547</v>
      </c>
      <c r="D35" t="s">
        <v>1548</v>
      </c>
      <c r="E35" t="s">
        <v>1489</v>
      </c>
      <c r="F35" t="s">
        <v>1549</v>
      </c>
      <c r="G35" s="966">
        <v>0</v>
      </c>
      <c r="H35" s="966">
        <v>0</v>
      </c>
      <c r="I35" s="966">
        <v>0</v>
      </c>
      <c r="J35" s="966">
        <v>0</v>
      </c>
      <c r="K35" s="966">
        <v>0</v>
      </c>
      <c r="L35" s="966">
        <v>3.7</v>
      </c>
      <c r="M35" s="966">
        <v>3.7</v>
      </c>
      <c r="N35" s="966">
        <v>3.7</v>
      </c>
      <c r="O35" s="966">
        <v>3.7</v>
      </c>
      <c r="P35" s="966">
        <v>3.7</v>
      </c>
      <c r="Q35" s="966">
        <v>3.7</v>
      </c>
      <c r="R35" s="966">
        <v>22.2</v>
      </c>
      <c r="S35" s="966">
        <v>0</v>
      </c>
      <c r="T35" s="478">
        <f t="shared" si="0"/>
        <v>0</v>
      </c>
      <c r="U35" s="480">
        <v>0</v>
      </c>
      <c r="V35" s="480">
        <v>0</v>
      </c>
      <c r="W35" s="480">
        <v>0</v>
      </c>
      <c r="X35" s="480">
        <v>3.7</v>
      </c>
      <c r="Y35" s="480">
        <v>0</v>
      </c>
      <c r="Z35" s="480">
        <v>0</v>
      </c>
      <c r="AA35" s="480">
        <v>0</v>
      </c>
      <c r="AB35" s="480">
        <v>0</v>
      </c>
      <c r="AC35" s="480">
        <v>0</v>
      </c>
      <c r="AD35" s="480"/>
      <c r="AE35" s="480"/>
      <c r="AF35" s="480"/>
      <c r="AG35" s="480"/>
      <c r="AH35" s="480"/>
      <c r="AI35" s="480"/>
      <c r="AJ35" s="480"/>
      <c r="AK35" s="480"/>
      <c r="AL35" s="480"/>
      <c r="AM35" s="480"/>
    </row>
    <row r="36" spans="1:39" x14ac:dyDescent="0.3">
      <c r="A36">
        <v>32</v>
      </c>
      <c r="B36" t="s">
        <v>1550</v>
      </c>
      <c r="D36" t="s">
        <v>1551</v>
      </c>
      <c r="E36" t="s">
        <v>1489</v>
      </c>
      <c r="F36" t="s">
        <v>1552</v>
      </c>
      <c r="G36" s="966">
        <v>50000</v>
      </c>
      <c r="H36" s="966">
        <v>13.9038124</v>
      </c>
      <c r="I36" s="966">
        <v>13.9038124</v>
      </c>
      <c r="J36" s="966">
        <v>0</v>
      </c>
      <c r="K36" s="966">
        <v>0</v>
      </c>
      <c r="L36" s="966">
        <v>0</v>
      </c>
      <c r="M36" s="966">
        <v>0</v>
      </c>
      <c r="N36" s="966">
        <v>0</v>
      </c>
      <c r="O36" s="966">
        <v>0</v>
      </c>
      <c r="P36" s="966">
        <v>0</v>
      </c>
      <c r="Q36" s="966">
        <v>0</v>
      </c>
      <c r="R36" s="966">
        <v>27.807624799999999</v>
      </c>
      <c r="S36" s="966">
        <v>0</v>
      </c>
      <c r="T36" s="478">
        <f t="shared" si="0"/>
        <v>13.9038124</v>
      </c>
      <c r="U36" s="480">
        <v>0</v>
      </c>
      <c r="V36" s="480">
        <v>-13.9038124</v>
      </c>
      <c r="W36" s="480">
        <v>0</v>
      </c>
      <c r="X36" s="480">
        <v>0</v>
      </c>
      <c r="Y36" s="480">
        <v>0</v>
      </c>
      <c r="Z36" s="480">
        <v>0</v>
      </c>
      <c r="AA36" s="480">
        <v>0</v>
      </c>
      <c r="AB36" s="480">
        <v>0</v>
      </c>
      <c r="AC36" s="480">
        <v>0</v>
      </c>
      <c r="AD36" s="480"/>
      <c r="AE36" s="480"/>
      <c r="AF36" s="480"/>
      <c r="AG36" s="480"/>
      <c r="AH36" s="480"/>
      <c r="AI36" s="480"/>
      <c r="AJ36" s="480"/>
      <c r="AK36" s="480"/>
      <c r="AL36" s="480"/>
      <c r="AM36" s="480"/>
    </row>
    <row r="37" spans="1:39" x14ac:dyDescent="0.3">
      <c r="A37">
        <v>33</v>
      </c>
      <c r="B37" t="s">
        <v>1553</v>
      </c>
      <c r="D37" t="s">
        <v>1554</v>
      </c>
      <c r="E37" t="s">
        <v>1502</v>
      </c>
      <c r="F37" t="s">
        <v>1503</v>
      </c>
      <c r="G37" s="966">
        <v>0</v>
      </c>
      <c r="H37" s="966">
        <v>0</v>
      </c>
      <c r="I37" s="966">
        <v>0</v>
      </c>
      <c r="J37" s="966">
        <v>0</v>
      </c>
      <c r="K37" s="966">
        <v>0</v>
      </c>
      <c r="L37" s="966">
        <v>0</v>
      </c>
      <c r="M37" s="966">
        <v>0</v>
      </c>
      <c r="N37" s="966">
        <v>0</v>
      </c>
      <c r="O37" s="966">
        <v>0</v>
      </c>
      <c r="P37" s="966">
        <v>0</v>
      </c>
      <c r="Q37" s="966">
        <v>0</v>
      </c>
      <c r="R37" s="966">
        <v>0</v>
      </c>
      <c r="S37" s="966">
        <v>0</v>
      </c>
      <c r="T37" s="478">
        <f t="shared" si="0"/>
        <v>0</v>
      </c>
      <c r="U37" s="480">
        <v>0</v>
      </c>
      <c r="V37" s="480">
        <v>0</v>
      </c>
      <c r="W37" s="480">
        <v>0</v>
      </c>
      <c r="X37" s="480">
        <v>0</v>
      </c>
      <c r="Y37" s="480">
        <v>0</v>
      </c>
      <c r="Z37" s="480">
        <v>0</v>
      </c>
      <c r="AA37" s="480">
        <v>0</v>
      </c>
      <c r="AB37" s="480">
        <v>0</v>
      </c>
      <c r="AC37" s="480">
        <v>0</v>
      </c>
      <c r="AD37" s="480"/>
      <c r="AE37" s="480"/>
      <c r="AF37" s="480"/>
      <c r="AG37" s="480"/>
      <c r="AH37" s="480"/>
      <c r="AI37" s="480"/>
      <c r="AJ37" s="480"/>
      <c r="AK37" s="480"/>
      <c r="AL37" s="480"/>
      <c r="AM37" s="480"/>
    </row>
    <row r="38" spans="1:39" x14ac:dyDescent="0.3">
      <c r="A38">
        <v>34</v>
      </c>
      <c r="B38" t="s">
        <v>1555</v>
      </c>
      <c r="D38" t="s">
        <v>1556</v>
      </c>
      <c r="E38" t="s">
        <v>1536</v>
      </c>
      <c r="F38" t="s">
        <v>1537</v>
      </c>
      <c r="G38" s="966">
        <v>0</v>
      </c>
      <c r="H38" s="966">
        <v>0</v>
      </c>
      <c r="I38" s="966">
        <v>0</v>
      </c>
      <c r="J38" s="966">
        <v>6.8</v>
      </c>
      <c r="K38" s="966">
        <v>13.6</v>
      </c>
      <c r="L38" s="966">
        <v>20.399999999999999</v>
      </c>
      <c r="M38" s="966">
        <v>27.2</v>
      </c>
      <c r="N38" s="966">
        <v>27.2</v>
      </c>
      <c r="O38" s="966">
        <v>27.2</v>
      </c>
      <c r="P38" s="966">
        <v>27.2</v>
      </c>
      <c r="Q38" s="966">
        <v>27.2</v>
      </c>
      <c r="R38" s="966">
        <v>176.79999999999998</v>
      </c>
      <c r="S38" s="966">
        <v>0</v>
      </c>
      <c r="T38" s="478">
        <f t="shared" si="0"/>
        <v>0</v>
      </c>
      <c r="U38" s="480">
        <v>0</v>
      </c>
      <c r="V38" s="480">
        <v>6.8</v>
      </c>
      <c r="W38" s="480">
        <v>6.8</v>
      </c>
      <c r="X38" s="480">
        <v>6.7999999999999989</v>
      </c>
      <c r="Y38" s="480">
        <v>6.8000000000000007</v>
      </c>
      <c r="Z38" s="480">
        <v>0</v>
      </c>
      <c r="AA38" s="480">
        <v>0</v>
      </c>
      <c r="AB38" s="480">
        <v>0</v>
      </c>
      <c r="AC38" s="480">
        <v>0</v>
      </c>
      <c r="AD38" s="480"/>
      <c r="AE38" s="480"/>
      <c r="AF38" s="480"/>
      <c r="AG38" s="480"/>
      <c r="AH38" s="480"/>
      <c r="AI38" s="480"/>
      <c r="AJ38" s="480"/>
      <c r="AK38" s="480"/>
      <c r="AL38" s="480"/>
      <c r="AM38" s="480"/>
    </row>
    <row r="39" spans="1:39" x14ac:dyDescent="0.3">
      <c r="A39">
        <v>35</v>
      </c>
      <c r="B39" t="s">
        <v>1557</v>
      </c>
      <c r="D39" t="s">
        <v>1558</v>
      </c>
      <c r="E39" t="s">
        <v>1514</v>
      </c>
      <c r="F39" t="s">
        <v>1509</v>
      </c>
      <c r="G39" s="966">
        <v>72500000</v>
      </c>
      <c r="H39" s="966">
        <v>0</v>
      </c>
      <c r="I39" s="966">
        <v>0.29749999999999999</v>
      </c>
      <c r="J39" s="966">
        <v>0.29749999999999999</v>
      </c>
      <c r="K39" s="966">
        <v>0.592948275862069</v>
      </c>
      <c r="L39" s="966">
        <v>0.8883965517241379</v>
      </c>
      <c r="M39" s="966">
        <v>1.1838448275862068</v>
      </c>
      <c r="N39" s="966">
        <v>1.4792931034482757</v>
      </c>
      <c r="O39" s="966">
        <v>1.7747413793103446</v>
      </c>
      <c r="P39" s="966">
        <v>1.7747413793103446</v>
      </c>
      <c r="Q39" s="966">
        <v>1.7747413793103446</v>
      </c>
      <c r="R39" s="966">
        <v>10.063706896551725</v>
      </c>
      <c r="S39" s="966">
        <v>0</v>
      </c>
      <c r="T39" s="478">
        <f t="shared" si="0"/>
        <v>0</v>
      </c>
      <c r="U39" s="480">
        <v>0.29749999999999999</v>
      </c>
      <c r="V39" s="480">
        <v>0</v>
      </c>
      <c r="W39" s="480">
        <v>0.29544827586206901</v>
      </c>
      <c r="X39" s="480">
        <v>0.2954482758620689</v>
      </c>
      <c r="Y39" s="480">
        <v>0.2954482758620689</v>
      </c>
      <c r="Z39" s="480">
        <v>0.2954482758620689</v>
      </c>
      <c r="AA39" s="480">
        <v>0.2954482758620689</v>
      </c>
      <c r="AB39" s="480">
        <v>0</v>
      </c>
      <c r="AC39" s="480">
        <v>0</v>
      </c>
      <c r="AD39" s="480"/>
      <c r="AE39" s="480"/>
      <c r="AF39" s="480"/>
      <c r="AG39" s="480"/>
      <c r="AH39" s="480"/>
      <c r="AI39" s="480"/>
      <c r="AJ39" s="480"/>
      <c r="AK39" s="480"/>
      <c r="AL39" s="480"/>
      <c r="AM39" s="480"/>
    </row>
    <row r="40" spans="1:39" x14ac:dyDescent="0.3">
      <c r="A40">
        <v>36</v>
      </c>
      <c r="B40" t="s">
        <v>1559</v>
      </c>
      <c r="C40" t="s">
        <v>752</v>
      </c>
      <c r="D40" t="s">
        <v>1560</v>
      </c>
      <c r="E40" t="s">
        <v>1475</v>
      </c>
      <c r="F40" t="s">
        <v>1561</v>
      </c>
      <c r="G40" s="966">
        <v>0</v>
      </c>
      <c r="H40" s="966">
        <v>0</v>
      </c>
      <c r="I40" s="966">
        <v>30</v>
      </c>
      <c r="J40" s="966">
        <v>50</v>
      </c>
      <c r="K40" s="966">
        <v>0</v>
      </c>
      <c r="L40" s="966">
        <v>0</v>
      </c>
      <c r="M40" s="966">
        <v>0</v>
      </c>
      <c r="N40" s="966">
        <v>0</v>
      </c>
      <c r="O40" s="966">
        <v>0</v>
      </c>
      <c r="P40" s="966">
        <v>0</v>
      </c>
      <c r="Q40" s="966">
        <v>0</v>
      </c>
      <c r="R40" s="966">
        <v>80</v>
      </c>
      <c r="S40" s="966">
        <v>0</v>
      </c>
      <c r="T40" s="478">
        <f t="shared" si="0"/>
        <v>0</v>
      </c>
      <c r="U40" s="480">
        <v>30</v>
      </c>
      <c r="V40" s="480">
        <v>20</v>
      </c>
      <c r="W40" s="480">
        <v>-50</v>
      </c>
      <c r="X40" s="480">
        <v>0</v>
      </c>
      <c r="Y40" s="480">
        <v>0</v>
      </c>
      <c r="Z40" s="480">
        <v>0</v>
      </c>
      <c r="AA40" s="480">
        <v>0</v>
      </c>
      <c r="AB40" s="480">
        <v>0</v>
      </c>
      <c r="AC40" s="480">
        <v>0</v>
      </c>
      <c r="AD40" s="480"/>
      <c r="AE40" s="480"/>
      <c r="AF40" s="480"/>
      <c r="AG40" s="480"/>
      <c r="AH40" s="480"/>
      <c r="AI40" s="480"/>
      <c r="AJ40" s="480"/>
      <c r="AK40" s="480"/>
      <c r="AL40" s="480"/>
      <c r="AM40" s="480"/>
    </row>
    <row r="41" spans="1:39" x14ac:dyDescent="0.3">
      <c r="Q41" t="s">
        <v>1562</v>
      </c>
      <c r="R41">
        <v>11612.433627954844</v>
      </c>
    </row>
    <row r="43" spans="1:39" x14ac:dyDescent="0.3">
      <c r="A43" t="s">
        <v>1460</v>
      </c>
      <c r="B43" t="s">
        <v>1563</v>
      </c>
      <c r="E43" t="s">
        <v>1463</v>
      </c>
      <c r="F43" t="s">
        <v>1464</v>
      </c>
      <c r="G43" t="s">
        <v>1564</v>
      </c>
      <c r="H43" t="s">
        <v>1466</v>
      </c>
      <c r="R43" t="s">
        <v>1467</v>
      </c>
    </row>
    <row r="44" spans="1:39" x14ac:dyDescent="0.3">
      <c r="H44">
        <v>2021</v>
      </c>
      <c r="I44">
        <v>2022</v>
      </c>
      <c r="J44">
        <v>2023</v>
      </c>
      <c r="K44">
        <v>2024</v>
      </c>
      <c r="L44">
        <v>2025</v>
      </c>
      <c r="M44">
        <v>2026</v>
      </c>
      <c r="N44">
        <v>2027</v>
      </c>
      <c r="O44">
        <v>2028</v>
      </c>
      <c r="P44">
        <v>2029</v>
      </c>
      <c r="Q44">
        <v>2030</v>
      </c>
      <c r="R44" t="s">
        <v>66</v>
      </c>
    </row>
    <row r="45" spans="1:39" x14ac:dyDescent="0.3">
      <c r="A45">
        <v>1</v>
      </c>
      <c r="B45" t="s">
        <v>1565</v>
      </c>
      <c r="D45" t="s">
        <v>1566</v>
      </c>
      <c r="G45">
        <v>1374770372.0335441</v>
      </c>
      <c r="H45">
        <v>6.6507351407760238</v>
      </c>
      <c r="I45">
        <v>12.266850608385994</v>
      </c>
      <c r="J45">
        <v>21.874461008386</v>
      </c>
      <c r="K45">
        <v>44.769759008386004</v>
      </c>
      <c r="L45">
        <v>67.258559008386001</v>
      </c>
      <c r="M45">
        <v>96.541642360385993</v>
      </c>
      <c r="N45">
        <v>128.52088049118598</v>
      </c>
      <c r="O45">
        <v>163.94664078390957</v>
      </c>
      <c r="P45">
        <v>201.33401692940205</v>
      </c>
      <c r="Q45">
        <v>239.01653817736221</v>
      </c>
      <c r="R45">
        <v>982.18008351656579</v>
      </c>
      <c r="S45" cm="1">
        <f t="array" ref="S45:S57">IFERROR(IF(C45:C57="",0,_xlfn.XLOOKUP(C45:C57,Sources!B73:B105,Sources!Y73:Y105)),0)</f>
        <v>0</v>
      </c>
      <c r="T45" s="478">
        <f t="shared" ref="T45:T57" si="23">MAX(H45-S45,0)</f>
        <v>6.6507351407760238</v>
      </c>
      <c r="U45" s="480" cm="1">
        <f t="array" ref="U45:U57">I45:I57-H45:H57</f>
        <v>5.61611546760997</v>
      </c>
      <c r="V45" s="480" cm="1">
        <f t="array" ref="V45:V57">J45:J57-I45:I57</f>
        <v>9.6076104000000058</v>
      </c>
      <c r="W45" s="480" cm="1">
        <f t="array" ref="W45:W57">K45:K57-J45:J57</f>
        <v>22.895298000000004</v>
      </c>
      <c r="X45" s="480" cm="1">
        <f t="array" ref="X45:X57">L45:L57-K45:K57</f>
        <v>22.488799999999998</v>
      </c>
      <c r="Y45" s="480" cm="1">
        <f t="array" ref="Y45:Y57">M45:M57-L45:L57</f>
        <v>29.283083351999991</v>
      </c>
      <c r="Z45" s="480" cm="1">
        <f t="array" ref="Z45:Z57">N45:N57-M45:M57</f>
        <v>31.979238130799985</v>
      </c>
      <c r="AA45" s="480" cm="1">
        <f t="array" ref="AA45:AA57">O45:O57-N45:N57</f>
        <v>35.425760292723595</v>
      </c>
      <c r="AB45" s="480" cm="1">
        <f t="array" ref="AB45:AB57">P45:P57-O45:O57</f>
        <v>37.387376145492482</v>
      </c>
      <c r="AC45" s="480" cm="1">
        <f t="array" ref="AC45:AC57">Q45:Q57-P45:P57</f>
        <v>37.682521247960153</v>
      </c>
      <c r="AD45" s="480"/>
      <c r="AE45" s="480"/>
      <c r="AF45" s="480"/>
      <c r="AG45" s="480"/>
      <c r="AH45" s="480"/>
      <c r="AI45" s="480"/>
      <c r="AJ45" s="480"/>
      <c r="AK45" s="480"/>
      <c r="AL45" s="480"/>
      <c r="AM45" s="480"/>
    </row>
    <row r="46" spans="1:39" x14ac:dyDescent="0.3">
      <c r="A46">
        <v>2</v>
      </c>
      <c r="B46" t="s">
        <v>1567</v>
      </c>
      <c r="C46" t="s">
        <v>739</v>
      </c>
      <c r="D46" t="s">
        <v>1568</v>
      </c>
      <c r="G46">
        <v>893588618.84725738</v>
      </c>
      <c r="H46">
        <v>0</v>
      </c>
      <c r="I46">
        <v>0</v>
      </c>
      <c r="J46">
        <v>9.8048339805266771</v>
      </c>
      <c r="K46">
        <v>9.8672987223348247</v>
      </c>
      <c r="L46">
        <v>12.008955698033603</v>
      </c>
      <c r="M46">
        <v>18.179147978157687</v>
      </c>
      <c r="N46">
        <v>28.031137936902354</v>
      </c>
      <c r="O46">
        <v>43.199137936902353</v>
      </c>
      <c r="P46">
        <v>59.42313793690235</v>
      </c>
      <c r="Q46">
        <v>76.703137936902351</v>
      </c>
      <c r="R46">
        <v>257.21678812666221</v>
      </c>
      <c r="S46">
        <v>0</v>
      </c>
      <c r="T46" s="478">
        <f t="shared" si="23"/>
        <v>0</v>
      </c>
      <c r="U46" s="480">
        <v>0</v>
      </c>
      <c r="V46" s="480">
        <v>9.8048339805266771</v>
      </c>
      <c r="W46" s="480">
        <v>6.246474180814765E-2</v>
      </c>
      <c r="X46" s="480">
        <v>2.141656975698778</v>
      </c>
      <c r="Y46" s="480">
        <v>6.170192280124084</v>
      </c>
      <c r="Z46" s="480">
        <v>9.8519899587446673</v>
      </c>
      <c r="AA46" s="480">
        <v>15.167999999999999</v>
      </c>
      <c r="AB46" s="480">
        <v>16.223999999999997</v>
      </c>
      <c r="AC46" s="480">
        <v>17.28</v>
      </c>
      <c r="AD46" s="480"/>
      <c r="AE46" s="480"/>
      <c r="AF46" s="480"/>
      <c r="AG46" s="480"/>
      <c r="AH46" s="480"/>
      <c r="AI46" s="480"/>
      <c r="AJ46" s="480"/>
      <c r="AK46" s="480"/>
      <c r="AL46" s="480"/>
      <c r="AM46" s="480"/>
    </row>
    <row r="47" spans="1:39" x14ac:dyDescent="0.3">
      <c r="A47">
        <v>3</v>
      </c>
      <c r="B47" t="s">
        <v>1569</v>
      </c>
      <c r="C47" t="s">
        <v>731</v>
      </c>
      <c r="D47" t="s">
        <v>1570</v>
      </c>
      <c r="G47">
        <v>302161998.82231665</v>
      </c>
      <c r="H47">
        <v>0</v>
      </c>
      <c r="I47">
        <v>0</v>
      </c>
      <c r="J47">
        <v>2.6355216000000001</v>
      </c>
      <c r="K47">
        <v>5.5990256999999994</v>
      </c>
      <c r="L47">
        <v>8.8482518999999993</v>
      </c>
      <c r="M47">
        <v>12.983630699999999</v>
      </c>
      <c r="N47">
        <v>18.0051621</v>
      </c>
      <c r="O47">
        <v>23.912846099999999</v>
      </c>
      <c r="P47">
        <v>30.706682699999998</v>
      </c>
      <c r="Q47">
        <v>38.386671899999996</v>
      </c>
      <c r="R47">
        <v>141.07779269999997</v>
      </c>
      <c r="S47">
        <v>0</v>
      </c>
      <c r="T47" s="478">
        <f t="shared" si="23"/>
        <v>0</v>
      </c>
      <c r="U47" s="480">
        <v>0</v>
      </c>
      <c r="V47" s="480">
        <v>2.6355216000000001</v>
      </c>
      <c r="W47" s="480">
        <v>2.9635040999999993</v>
      </c>
      <c r="X47" s="480">
        <v>3.2492261999999998</v>
      </c>
      <c r="Y47" s="480">
        <v>4.1353787999999998</v>
      </c>
      <c r="Z47" s="480">
        <v>5.0215314000000006</v>
      </c>
      <c r="AA47" s="480">
        <v>5.9076839999999997</v>
      </c>
      <c r="AB47" s="480">
        <v>6.7938365999999988</v>
      </c>
      <c r="AC47" s="480">
        <v>7.6799891999999979</v>
      </c>
      <c r="AD47" s="480"/>
      <c r="AE47" s="480"/>
      <c r="AF47" s="480"/>
      <c r="AG47" s="480"/>
      <c r="AH47" s="480"/>
      <c r="AI47" s="480"/>
      <c r="AJ47" s="480"/>
      <c r="AK47" s="480"/>
      <c r="AL47" s="480"/>
      <c r="AM47" s="480"/>
    </row>
    <row r="48" spans="1:39" x14ac:dyDescent="0.3">
      <c r="A48">
        <v>4</v>
      </c>
      <c r="B48" t="s">
        <v>1571</v>
      </c>
      <c r="D48" t="s">
        <v>1572</v>
      </c>
      <c r="G48">
        <v>2900000</v>
      </c>
      <c r="H48">
        <v>0</v>
      </c>
      <c r="I48">
        <v>0</v>
      </c>
      <c r="J48">
        <v>0</v>
      </c>
      <c r="K48">
        <v>0.6</v>
      </c>
      <c r="L48">
        <v>1.5</v>
      </c>
      <c r="M48">
        <v>2.7</v>
      </c>
      <c r="N48">
        <v>4.2</v>
      </c>
      <c r="O48">
        <v>5.7</v>
      </c>
      <c r="P48">
        <v>7.2</v>
      </c>
      <c r="Q48">
        <v>8.6999999999999993</v>
      </c>
      <c r="R48">
        <v>30.599999999999998</v>
      </c>
      <c r="S48">
        <v>0</v>
      </c>
      <c r="T48" s="478">
        <f t="shared" si="23"/>
        <v>0</v>
      </c>
      <c r="U48" s="480">
        <v>0</v>
      </c>
      <c r="V48" s="480">
        <v>0</v>
      </c>
      <c r="W48" s="480">
        <v>0.6</v>
      </c>
      <c r="X48" s="480">
        <v>0.9</v>
      </c>
      <c r="Y48" s="480">
        <v>1.2000000000000002</v>
      </c>
      <c r="Z48" s="480">
        <v>1.5</v>
      </c>
      <c r="AA48" s="480">
        <v>1.5</v>
      </c>
      <c r="AB48" s="480">
        <v>1.5</v>
      </c>
      <c r="AC48" s="480">
        <v>1.4999999999999991</v>
      </c>
      <c r="AD48" s="480"/>
      <c r="AE48" s="480"/>
      <c r="AF48" s="480"/>
      <c r="AG48" s="480"/>
      <c r="AH48" s="480"/>
      <c r="AI48" s="480"/>
      <c r="AJ48" s="480"/>
      <c r="AK48" s="480"/>
      <c r="AL48" s="480"/>
      <c r="AM48" s="480"/>
    </row>
    <row r="49" spans="1:39" x14ac:dyDescent="0.3">
      <c r="A49">
        <v>5</v>
      </c>
      <c r="B49" t="s">
        <v>1573</v>
      </c>
      <c r="D49" t="s">
        <v>1574</v>
      </c>
      <c r="G49">
        <v>8000000</v>
      </c>
      <c r="H49">
        <v>0</v>
      </c>
      <c r="I49">
        <v>0</v>
      </c>
      <c r="J49">
        <v>0.2</v>
      </c>
      <c r="K49">
        <v>0.4</v>
      </c>
      <c r="L49">
        <v>0.60000000000000009</v>
      </c>
      <c r="M49">
        <v>0.8</v>
      </c>
      <c r="N49">
        <v>1</v>
      </c>
      <c r="O49">
        <v>1.2</v>
      </c>
      <c r="P49">
        <v>1.4</v>
      </c>
      <c r="Q49">
        <v>1.5999999999999999</v>
      </c>
      <c r="R49">
        <v>7.1999999999999993</v>
      </c>
      <c r="S49">
        <v>0</v>
      </c>
      <c r="T49" s="478">
        <f t="shared" si="23"/>
        <v>0</v>
      </c>
      <c r="U49" s="480">
        <v>0</v>
      </c>
      <c r="V49" s="480">
        <v>0.2</v>
      </c>
      <c r="W49" s="480">
        <v>0.2</v>
      </c>
      <c r="X49" s="480">
        <v>0.20000000000000007</v>
      </c>
      <c r="Y49" s="480">
        <v>0.19999999999999996</v>
      </c>
      <c r="Z49" s="480">
        <v>0.19999999999999996</v>
      </c>
      <c r="AA49" s="480">
        <v>0.19999999999999996</v>
      </c>
      <c r="AB49" s="480">
        <v>0.19999999999999996</v>
      </c>
      <c r="AC49" s="480">
        <v>0.19999999999999996</v>
      </c>
      <c r="AD49" s="480"/>
      <c r="AE49" s="480"/>
      <c r="AF49" s="480"/>
      <c r="AG49" s="480"/>
      <c r="AH49" s="480"/>
      <c r="AI49" s="480"/>
      <c r="AJ49" s="480"/>
      <c r="AK49" s="480"/>
      <c r="AL49" s="480"/>
      <c r="AM49" s="480"/>
    </row>
    <row r="50" spans="1:39" x14ac:dyDescent="0.3">
      <c r="A50">
        <v>6</v>
      </c>
      <c r="B50" t="s">
        <v>794</v>
      </c>
      <c r="C50" t="s">
        <v>792</v>
      </c>
      <c r="D50" t="s">
        <v>793</v>
      </c>
      <c r="G50">
        <v>80000000</v>
      </c>
      <c r="H50">
        <v>0</v>
      </c>
      <c r="I50">
        <v>0</v>
      </c>
      <c r="J50">
        <v>0</v>
      </c>
      <c r="K50">
        <v>0</v>
      </c>
      <c r="L50">
        <v>19.920318725099602</v>
      </c>
      <c r="M50">
        <v>39.840637450199203</v>
      </c>
      <c r="N50">
        <v>59.760956175298801</v>
      </c>
      <c r="O50">
        <v>79.681274900398407</v>
      </c>
      <c r="P50">
        <v>79.681274900398407</v>
      </c>
      <c r="Q50">
        <v>79.681274900398407</v>
      </c>
      <c r="R50">
        <v>358.56573705179284</v>
      </c>
      <c r="S50">
        <v>0</v>
      </c>
      <c r="T50" s="478">
        <f t="shared" si="23"/>
        <v>0</v>
      </c>
      <c r="U50" s="480">
        <v>0</v>
      </c>
      <c r="V50" s="480">
        <v>0</v>
      </c>
      <c r="W50" s="480">
        <v>0</v>
      </c>
      <c r="X50" s="480">
        <v>19.920318725099602</v>
      </c>
      <c r="Y50" s="480">
        <v>19.920318725099602</v>
      </c>
      <c r="Z50" s="480">
        <v>19.920318725099598</v>
      </c>
      <c r="AA50" s="480">
        <v>19.920318725099605</v>
      </c>
      <c r="AB50" s="480">
        <v>0</v>
      </c>
      <c r="AC50" s="480">
        <v>0</v>
      </c>
      <c r="AD50" s="480"/>
      <c r="AE50" s="480"/>
      <c r="AF50" s="480"/>
      <c r="AG50" s="480"/>
      <c r="AH50" s="480"/>
      <c r="AI50" s="480"/>
      <c r="AJ50" s="480"/>
      <c r="AK50" s="480"/>
      <c r="AL50" s="480"/>
      <c r="AM50" s="480"/>
    </row>
    <row r="51" spans="1:39" x14ac:dyDescent="0.3">
      <c r="A51">
        <v>7</v>
      </c>
      <c r="B51" t="s">
        <v>1575</v>
      </c>
      <c r="D51" t="s">
        <v>1576</v>
      </c>
      <c r="G51">
        <v>80000000</v>
      </c>
      <c r="H51">
        <v>0</v>
      </c>
      <c r="I51">
        <v>0</v>
      </c>
      <c r="J51">
        <v>0</v>
      </c>
      <c r="K51">
        <v>0</v>
      </c>
      <c r="L51">
        <v>54</v>
      </c>
      <c r="M51">
        <v>108</v>
      </c>
      <c r="N51">
        <v>162</v>
      </c>
      <c r="O51">
        <v>216</v>
      </c>
      <c r="P51">
        <v>216</v>
      </c>
      <c r="Q51">
        <v>216</v>
      </c>
      <c r="R51">
        <v>972</v>
      </c>
      <c r="S51">
        <v>0</v>
      </c>
      <c r="T51" s="478">
        <f t="shared" si="23"/>
        <v>0</v>
      </c>
      <c r="U51" s="480">
        <v>0</v>
      </c>
      <c r="V51" s="480">
        <v>0</v>
      </c>
      <c r="W51" s="480">
        <v>0</v>
      </c>
      <c r="X51" s="480">
        <v>54</v>
      </c>
      <c r="Y51" s="480">
        <v>54</v>
      </c>
      <c r="Z51" s="480">
        <v>54</v>
      </c>
      <c r="AA51" s="480">
        <v>54</v>
      </c>
      <c r="AB51" s="480">
        <v>0</v>
      </c>
      <c r="AC51" s="480">
        <v>0</v>
      </c>
      <c r="AD51" s="480"/>
      <c r="AE51" s="480"/>
      <c r="AF51" s="480"/>
      <c r="AG51" s="480"/>
      <c r="AH51" s="480"/>
      <c r="AI51" s="480"/>
      <c r="AJ51" s="480"/>
      <c r="AK51" s="480"/>
      <c r="AL51" s="480"/>
      <c r="AM51" s="480"/>
    </row>
    <row r="52" spans="1:39" x14ac:dyDescent="0.3">
      <c r="A52">
        <v>8</v>
      </c>
      <c r="B52" t="s">
        <v>1577</v>
      </c>
      <c r="D52" t="s">
        <v>1578</v>
      </c>
      <c r="G52">
        <v>0</v>
      </c>
      <c r="H52">
        <v>0</v>
      </c>
      <c r="I52">
        <v>0</v>
      </c>
      <c r="J52">
        <v>0</v>
      </c>
      <c r="K52">
        <v>0</v>
      </c>
      <c r="L52">
        <v>21.702677044241021</v>
      </c>
      <c r="M52">
        <v>96.007322339390242</v>
      </c>
      <c r="N52">
        <v>199.90854574007986</v>
      </c>
      <c r="O52">
        <v>324.7359409290907</v>
      </c>
      <c r="P52">
        <v>466.11525426579044</v>
      </c>
      <c r="Q52">
        <v>629.21767431308433</v>
      </c>
      <c r="R52">
        <v>1737.6874146316768</v>
      </c>
      <c r="S52">
        <v>0</v>
      </c>
      <c r="T52" s="478">
        <f t="shared" si="23"/>
        <v>0</v>
      </c>
      <c r="U52" s="480">
        <v>0</v>
      </c>
      <c r="V52" s="480">
        <v>0</v>
      </c>
      <c r="W52" s="480">
        <v>0</v>
      </c>
      <c r="X52" s="480">
        <v>21.702677044241021</v>
      </c>
      <c r="Y52" s="480">
        <v>74.304645295149214</v>
      </c>
      <c r="Z52" s="480">
        <v>103.90122340068962</v>
      </c>
      <c r="AA52" s="480">
        <v>124.82739518901084</v>
      </c>
      <c r="AB52" s="480">
        <v>141.37931333669974</v>
      </c>
      <c r="AC52" s="480">
        <v>163.10242004729389</v>
      </c>
      <c r="AD52" s="480"/>
      <c r="AE52" s="480"/>
      <c r="AF52" s="480"/>
      <c r="AG52" s="480"/>
      <c r="AH52" s="480"/>
      <c r="AI52" s="480"/>
      <c r="AJ52" s="480"/>
      <c r="AK52" s="480"/>
      <c r="AL52" s="480"/>
      <c r="AM52" s="480"/>
    </row>
    <row r="53" spans="1:39" x14ac:dyDescent="0.3">
      <c r="A53">
        <v>9</v>
      </c>
      <c r="B53" t="s">
        <v>1579</v>
      </c>
      <c r="D53" t="s">
        <v>1580</v>
      </c>
      <c r="G53">
        <v>0</v>
      </c>
      <c r="H53">
        <v>0</v>
      </c>
      <c r="I53">
        <v>0</v>
      </c>
      <c r="J53">
        <v>0</v>
      </c>
      <c r="K53">
        <v>0</v>
      </c>
      <c r="L53">
        <v>1.39038124</v>
      </c>
      <c r="M53">
        <v>4.1711437199999999</v>
      </c>
      <c r="N53">
        <v>8.3422874399999998</v>
      </c>
      <c r="O53">
        <v>13.9038124</v>
      </c>
      <c r="P53">
        <v>16.68457488</v>
      </c>
      <c r="Q53">
        <v>16.68457488</v>
      </c>
      <c r="R53">
        <v>61.176774559999998</v>
      </c>
      <c r="S53">
        <v>0</v>
      </c>
      <c r="T53" s="478">
        <f t="shared" si="23"/>
        <v>0</v>
      </c>
      <c r="U53" s="480">
        <v>0</v>
      </c>
      <c r="V53" s="480">
        <v>0</v>
      </c>
      <c r="W53" s="480">
        <v>0</v>
      </c>
      <c r="X53" s="480">
        <v>1.39038124</v>
      </c>
      <c r="Y53" s="480">
        <v>2.7807624799999999</v>
      </c>
      <c r="Z53" s="480">
        <v>4.1711437199999999</v>
      </c>
      <c r="AA53" s="480">
        <v>5.5615249599999999</v>
      </c>
      <c r="AB53" s="480">
        <v>2.7807624799999999</v>
      </c>
      <c r="AC53" s="480">
        <v>0</v>
      </c>
      <c r="AD53" s="480"/>
      <c r="AE53" s="480"/>
      <c r="AF53" s="480"/>
      <c r="AG53" s="480"/>
      <c r="AH53" s="480"/>
      <c r="AI53" s="480"/>
      <c r="AJ53" s="480"/>
      <c r="AK53" s="480"/>
      <c r="AL53" s="480"/>
      <c r="AM53" s="480"/>
    </row>
    <row r="54" spans="1:39" x14ac:dyDescent="0.3">
      <c r="A54">
        <v>10</v>
      </c>
      <c r="B54" t="s">
        <v>1581</v>
      </c>
      <c r="C54" t="s">
        <v>779</v>
      </c>
      <c r="D54" t="s">
        <v>1582</v>
      </c>
      <c r="G54">
        <v>0</v>
      </c>
      <c r="H54">
        <v>0</v>
      </c>
      <c r="I54">
        <v>0</v>
      </c>
      <c r="J54">
        <v>0</v>
      </c>
      <c r="K54">
        <v>0</v>
      </c>
      <c r="L54">
        <v>5</v>
      </c>
      <c r="M54">
        <v>15</v>
      </c>
      <c r="N54">
        <v>30</v>
      </c>
      <c r="O54">
        <v>50</v>
      </c>
      <c r="P54">
        <v>75</v>
      </c>
      <c r="Q54">
        <v>105</v>
      </c>
      <c r="R54">
        <v>280</v>
      </c>
      <c r="S54">
        <v>0</v>
      </c>
      <c r="T54" s="478">
        <f t="shared" si="23"/>
        <v>0</v>
      </c>
      <c r="U54" s="480">
        <v>0</v>
      </c>
      <c r="V54" s="480">
        <v>0</v>
      </c>
      <c r="W54" s="480">
        <v>0</v>
      </c>
      <c r="X54" s="480">
        <v>5</v>
      </c>
      <c r="Y54" s="480">
        <v>10</v>
      </c>
      <c r="Z54" s="480">
        <v>15</v>
      </c>
      <c r="AA54" s="480">
        <v>20</v>
      </c>
      <c r="AB54" s="480">
        <v>25</v>
      </c>
      <c r="AC54" s="480">
        <v>30</v>
      </c>
      <c r="AD54" s="480"/>
      <c r="AE54" s="480"/>
      <c r="AF54" s="480"/>
      <c r="AG54" s="480"/>
      <c r="AH54" s="480"/>
      <c r="AI54" s="480"/>
      <c r="AJ54" s="480"/>
      <c r="AK54" s="480"/>
      <c r="AL54" s="480"/>
      <c r="AM54" s="480"/>
    </row>
    <row r="55" spans="1:39" x14ac:dyDescent="0.3">
      <c r="A55">
        <v>11</v>
      </c>
      <c r="B55" t="s">
        <v>1583</v>
      </c>
      <c r="D55" t="s">
        <v>1584</v>
      </c>
      <c r="G55">
        <v>0</v>
      </c>
      <c r="H55">
        <v>0</v>
      </c>
      <c r="I55">
        <v>0</v>
      </c>
      <c r="J55">
        <v>0</v>
      </c>
      <c r="K55">
        <v>150</v>
      </c>
      <c r="L55">
        <v>300</v>
      </c>
      <c r="M55">
        <v>350</v>
      </c>
      <c r="N55">
        <v>400</v>
      </c>
      <c r="O55">
        <v>450</v>
      </c>
      <c r="P55">
        <v>500</v>
      </c>
      <c r="Q55">
        <v>550</v>
      </c>
      <c r="R55">
        <v>2700</v>
      </c>
      <c r="S55">
        <v>0</v>
      </c>
      <c r="T55" s="478">
        <f t="shared" si="23"/>
        <v>0</v>
      </c>
      <c r="U55" s="480">
        <v>0</v>
      </c>
      <c r="V55" s="480">
        <v>0</v>
      </c>
      <c r="W55" s="480">
        <v>150</v>
      </c>
      <c r="X55" s="480">
        <v>150</v>
      </c>
      <c r="Y55" s="480">
        <v>50</v>
      </c>
      <c r="Z55" s="480">
        <v>50</v>
      </c>
      <c r="AA55" s="480">
        <v>50</v>
      </c>
      <c r="AB55" s="480">
        <v>50</v>
      </c>
      <c r="AC55" s="480">
        <v>50</v>
      </c>
      <c r="AD55" s="480"/>
      <c r="AE55" s="480"/>
      <c r="AF55" s="480"/>
      <c r="AG55" s="480"/>
      <c r="AH55" s="480"/>
      <c r="AI55" s="480"/>
      <c r="AJ55" s="480"/>
      <c r="AK55" s="480"/>
      <c r="AL55" s="480"/>
      <c r="AM55" s="480"/>
    </row>
    <row r="56" spans="1:39" x14ac:dyDescent="0.3">
      <c r="A56">
        <v>12</v>
      </c>
      <c r="B56" t="s">
        <v>1585</v>
      </c>
      <c r="D56" t="s">
        <v>1586</v>
      </c>
      <c r="G56">
        <v>0</v>
      </c>
      <c r="H56">
        <v>0</v>
      </c>
      <c r="I56">
        <v>0</v>
      </c>
      <c r="J56">
        <v>5</v>
      </c>
      <c r="K56">
        <v>5</v>
      </c>
      <c r="L56">
        <v>5</v>
      </c>
      <c r="M56">
        <v>5</v>
      </c>
      <c r="N56">
        <v>5</v>
      </c>
      <c r="O56">
        <v>5</v>
      </c>
      <c r="P56">
        <v>5</v>
      </c>
      <c r="Q56">
        <v>5</v>
      </c>
      <c r="R56">
        <v>40</v>
      </c>
      <c r="S56">
        <v>0</v>
      </c>
      <c r="T56" s="478">
        <f t="shared" si="23"/>
        <v>0</v>
      </c>
      <c r="U56" s="480">
        <v>0</v>
      </c>
      <c r="V56" s="480">
        <v>5</v>
      </c>
      <c r="W56" s="480">
        <v>0</v>
      </c>
      <c r="X56" s="480">
        <v>0</v>
      </c>
      <c r="Y56" s="480">
        <v>0</v>
      </c>
      <c r="Z56" s="480">
        <v>0</v>
      </c>
      <c r="AA56" s="480">
        <v>0</v>
      </c>
      <c r="AB56" s="480">
        <v>0</v>
      </c>
      <c r="AC56" s="480">
        <v>0</v>
      </c>
      <c r="AD56" s="480"/>
      <c r="AE56" s="480"/>
      <c r="AF56" s="480"/>
      <c r="AG56" s="480"/>
      <c r="AH56" s="480"/>
      <c r="AI56" s="480"/>
      <c r="AJ56" s="480"/>
      <c r="AK56" s="480"/>
      <c r="AL56" s="480"/>
      <c r="AM56" s="480"/>
    </row>
    <row r="57" spans="1:39" x14ac:dyDescent="0.3">
      <c r="A57">
        <v>13</v>
      </c>
      <c r="B57" t="s">
        <v>1587</v>
      </c>
      <c r="D57" t="s">
        <v>1588</v>
      </c>
      <c r="G57">
        <v>8000000</v>
      </c>
      <c r="H57">
        <v>0</v>
      </c>
      <c r="I57">
        <v>0</v>
      </c>
      <c r="J57">
        <v>0</v>
      </c>
      <c r="K57">
        <v>0</v>
      </c>
      <c r="L57">
        <v>0</v>
      </c>
      <c r="M57">
        <v>0</v>
      </c>
      <c r="N57">
        <v>0.4889</v>
      </c>
      <c r="O57">
        <v>0.9778</v>
      </c>
      <c r="P57">
        <v>1.4666999999999999</v>
      </c>
      <c r="Q57">
        <v>1.9556</v>
      </c>
      <c r="R57">
        <v>4.8889999999999993</v>
      </c>
      <c r="S57">
        <v>0</v>
      </c>
      <c r="T57" s="478">
        <f t="shared" si="23"/>
        <v>0</v>
      </c>
      <c r="U57" s="480">
        <v>0</v>
      </c>
      <c r="V57" s="480">
        <v>0</v>
      </c>
      <c r="W57" s="480">
        <v>0</v>
      </c>
      <c r="X57" s="480">
        <v>0</v>
      </c>
      <c r="Y57" s="480">
        <v>0</v>
      </c>
      <c r="Z57" s="480">
        <v>0.4889</v>
      </c>
      <c r="AA57" s="480">
        <v>0.4889</v>
      </c>
      <c r="AB57" s="480">
        <v>0.48889999999999989</v>
      </c>
      <c r="AC57" s="480">
        <v>0.48890000000000011</v>
      </c>
      <c r="AD57" s="480"/>
      <c r="AE57" s="480"/>
      <c r="AF57" s="480"/>
      <c r="AG57" s="480"/>
      <c r="AH57" s="480"/>
      <c r="AI57" s="480"/>
      <c r="AJ57" s="480"/>
      <c r="AK57" s="480"/>
      <c r="AL57" s="480"/>
      <c r="AM57" s="480"/>
    </row>
    <row r="58" spans="1:39" x14ac:dyDescent="0.3">
      <c r="Q58" t="s">
        <v>1562</v>
      </c>
      <c r="R58">
        <v>7572.5935905866972</v>
      </c>
    </row>
    <row r="60" spans="1:39" x14ac:dyDescent="0.3">
      <c r="A60" t="s">
        <v>1460</v>
      </c>
      <c r="B60" t="s">
        <v>1589</v>
      </c>
      <c r="E60" t="s">
        <v>1463</v>
      </c>
    </row>
    <row r="62" spans="1:39" x14ac:dyDescent="0.3">
      <c r="A62">
        <v>1</v>
      </c>
      <c r="B62" t="s">
        <v>1590</v>
      </c>
      <c r="D62" t="s">
        <v>1591</v>
      </c>
      <c r="E62" t="s">
        <v>1508</v>
      </c>
    </row>
    <row r="63" spans="1:39" x14ac:dyDescent="0.3">
      <c r="A63">
        <v>2</v>
      </c>
      <c r="B63" t="s">
        <v>1592</v>
      </c>
      <c r="D63" t="s">
        <v>1593</v>
      </c>
      <c r="E63" t="s">
        <v>1594</v>
      </c>
    </row>
  </sheetData>
  <mergeCells count="4">
    <mergeCell ref="T1:AC1"/>
    <mergeCell ref="H1:Q1"/>
    <mergeCell ref="H2:Q2"/>
    <mergeCell ref="AD1:AM1"/>
  </mergeCells>
  <pageMargins left="0.7" right="0.7" top="0.75" bottom="0.75" header="0.3" footer="0.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814BD1-A578-4382-8738-8FF2DEDAB9EB}">
  <sheetPr codeName="Sheet12">
    <tabColor theme="8"/>
    <pageSetUpPr fitToPage="1"/>
  </sheetPr>
  <dimension ref="A2:AC179"/>
  <sheetViews>
    <sheetView workbookViewId="0">
      <selection activeCell="K7" sqref="K7"/>
    </sheetView>
  </sheetViews>
  <sheetFormatPr defaultColWidth="9.1640625" defaultRowHeight="15" x14ac:dyDescent="0.3"/>
  <cols>
    <col min="1" max="1" width="10.1640625" style="705" customWidth="1"/>
    <col min="2" max="2" width="7.1640625" style="713" customWidth="1"/>
    <col min="3" max="3" width="15.1640625" style="714" customWidth="1"/>
    <col min="4" max="4" width="8.1640625" style="715" customWidth="1"/>
    <col min="5" max="5" width="9.6640625" style="716" customWidth="1"/>
    <col min="6" max="6" width="38.1640625" style="717" customWidth="1"/>
    <col min="7" max="7" width="13.1640625" style="705" customWidth="1"/>
    <col min="8" max="8" width="36.1640625" style="718" customWidth="1"/>
    <col min="9" max="9" width="66.6640625" style="719" customWidth="1"/>
    <col min="10" max="10" width="11.6640625" style="720" customWidth="1"/>
    <col min="11" max="11" width="12.6640625" style="710" customWidth="1"/>
    <col min="12" max="12" width="17.83203125" style="710" customWidth="1"/>
    <col min="13" max="13" width="0" style="721" hidden="1" customWidth="1"/>
    <col min="14" max="14" width="0" style="722" hidden="1" customWidth="1"/>
    <col min="15" max="16" width="0" style="723" hidden="1" customWidth="1"/>
    <col min="17" max="17" width="20" style="723" customWidth="1"/>
    <col min="18" max="18" width="18.6640625" style="723" customWidth="1"/>
    <col min="19" max="19" width="18.83203125" style="723" customWidth="1"/>
    <col min="20" max="20" width="11.1640625" style="724" customWidth="1"/>
    <col min="21" max="21" width="43.1640625" style="712" customWidth="1"/>
    <col min="22" max="22" width="22.1640625" style="712" customWidth="1"/>
    <col min="23" max="23" width="18.1640625" style="725" customWidth="1"/>
    <col min="24" max="24" width="15.1640625" style="725" customWidth="1"/>
    <col min="25" max="25" width="10.1640625" style="725" customWidth="1"/>
    <col min="26" max="26" width="48.83203125" style="712" customWidth="1"/>
    <col min="27" max="27" width="19.83203125" style="712" customWidth="1"/>
    <col min="28" max="28" width="14.1640625" style="726" customWidth="1"/>
    <col min="29" max="29" width="17.1640625" style="726" customWidth="1"/>
    <col min="30" max="16384" width="9.1640625" style="705"/>
  </cols>
  <sheetData>
    <row r="2" spans="2:29" ht="16.5" x14ac:dyDescent="0.3">
      <c r="B2" s="2044" t="s">
        <v>1595</v>
      </c>
    </row>
    <row r="3" spans="2:29" x14ac:dyDescent="0.3">
      <c r="B3" s="837" t="s">
        <v>1596</v>
      </c>
    </row>
    <row r="4" spans="2:29" x14ac:dyDescent="0.3">
      <c r="T4" s="708"/>
    </row>
    <row r="5" spans="2:29" s="706" customFormat="1" x14ac:dyDescent="0.3">
      <c r="B5" s="2144" t="s">
        <v>1597</v>
      </c>
      <c r="C5" s="2144"/>
      <c r="D5" s="727"/>
      <c r="E5" s="2144" t="s">
        <v>1598</v>
      </c>
      <c r="F5" s="2144"/>
      <c r="G5" s="728"/>
      <c r="H5" s="728"/>
      <c r="I5" s="729"/>
      <c r="J5" s="729"/>
      <c r="K5" s="2145" t="s">
        <v>1599</v>
      </c>
      <c r="L5" s="2145"/>
      <c r="M5" s="2145" t="s">
        <v>1600</v>
      </c>
      <c r="N5" s="2145"/>
      <c r="O5" s="2145"/>
      <c r="P5" s="2145"/>
      <c r="Q5" s="2145"/>
      <c r="R5" s="2145"/>
      <c r="S5" s="730"/>
      <c r="T5" s="2143" t="s">
        <v>1601</v>
      </c>
      <c r="U5" s="2143"/>
      <c r="V5" s="2143"/>
      <c r="W5" s="2143"/>
      <c r="X5" s="2143"/>
      <c r="Y5" s="2143" t="s">
        <v>1602</v>
      </c>
      <c r="Z5" s="2143"/>
      <c r="AA5" s="2143"/>
      <c r="AB5" s="2143"/>
      <c r="AC5" s="2143"/>
    </row>
    <row r="6" spans="2:29" s="707" customFormat="1" ht="75" x14ac:dyDescent="0.3">
      <c r="B6" s="731" t="s">
        <v>1603</v>
      </c>
      <c r="C6" s="731" t="s">
        <v>1604</v>
      </c>
      <c r="D6" s="729" t="s">
        <v>1605</v>
      </c>
      <c r="E6" s="731" t="s">
        <v>1603</v>
      </c>
      <c r="F6" s="731" t="s">
        <v>1604</v>
      </c>
      <c r="G6" s="731" t="s">
        <v>1606</v>
      </c>
      <c r="H6" s="731" t="s">
        <v>1607</v>
      </c>
      <c r="I6" s="729" t="s">
        <v>1608</v>
      </c>
      <c r="J6" s="729" t="s">
        <v>1609</v>
      </c>
      <c r="K6" s="729" t="s">
        <v>1610</v>
      </c>
      <c r="L6" s="729" t="s">
        <v>1611</v>
      </c>
      <c r="M6" s="732" t="s">
        <v>1612</v>
      </c>
      <c r="N6" s="729" t="s">
        <v>1613</v>
      </c>
      <c r="O6" s="729" t="s">
        <v>1614</v>
      </c>
      <c r="P6" s="729" t="s">
        <v>1615</v>
      </c>
      <c r="Q6" s="729" t="s">
        <v>1616</v>
      </c>
      <c r="R6" s="729" t="s">
        <v>1617</v>
      </c>
      <c r="S6" s="733" t="s">
        <v>1618</v>
      </c>
      <c r="T6" s="734" t="s">
        <v>1619</v>
      </c>
      <c r="U6" s="729" t="s">
        <v>1604</v>
      </c>
      <c r="V6" s="729" t="s">
        <v>1620</v>
      </c>
      <c r="W6" s="733" t="s">
        <v>1621</v>
      </c>
      <c r="X6" s="733" t="s">
        <v>1622</v>
      </c>
      <c r="Y6" s="733" t="s">
        <v>1619</v>
      </c>
      <c r="Z6" s="729" t="s">
        <v>1604</v>
      </c>
      <c r="AA6" s="729" t="s">
        <v>1620</v>
      </c>
      <c r="AB6" s="735" t="s">
        <v>1623</v>
      </c>
      <c r="AC6" s="735" t="s">
        <v>1622</v>
      </c>
    </row>
    <row r="7" spans="2:29" s="708" customFormat="1" ht="105" x14ac:dyDescent="0.3">
      <c r="B7" s="736">
        <v>1</v>
      </c>
      <c r="C7" s="737" t="s">
        <v>1624</v>
      </c>
      <c r="D7" s="738">
        <v>1</v>
      </c>
      <c r="E7" s="739" t="s">
        <v>1625</v>
      </c>
      <c r="F7" s="740" t="s">
        <v>1626</v>
      </c>
      <c r="G7" s="740" t="s">
        <v>1627</v>
      </c>
      <c r="H7" s="739" t="s">
        <v>1628</v>
      </c>
      <c r="I7" s="739" t="s">
        <v>1629</v>
      </c>
      <c r="J7" s="736" t="s">
        <v>1630</v>
      </c>
      <c r="K7" s="741" t="s">
        <v>1445</v>
      </c>
      <c r="L7" s="742" t="s">
        <v>1631</v>
      </c>
      <c r="M7" s="743">
        <v>94000000</v>
      </c>
      <c r="N7" s="744">
        <v>0.7</v>
      </c>
      <c r="O7" s="745">
        <v>20142857.142857146</v>
      </c>
      <c r="P7" s="744">
        <v>0.15</v>
      </c>
      <c r="Q7" s="745">
        <v>20142857.142857146</v>
      </c>
      <c r="R7" s="744">
        <v>0.15</v>
      </c>
      <c r="S7" s="745">
        <v>134285714.2857143</v>
      </c>
      <c r="T7" s="739" t="s">
        <v>1632</v>
      </c>
      <c r="U7" s="739" t="s">
        <v>1633</v>
      </c>
      <c r="V7" s="739" t="s">
        <v>1634</v>
      </c>
      <c r="W7" s="746">
        <v>580</v>
      </c>
      <c r="X7" s="746">
        <v>1930</v>
      </c>
      <c r="Y7" s="746" t="s">
        <v>1635</v>
      </c>
      <c r="Z7" s="739" t="s">
        <v>1636</v>
      </c>
      <c r="AA7" s="739" t="s">
        <v>1634</v>
      </c>
      <c r="AB7" s="747">
        <v>0</v>
      </c>
      <c r="AC7" s="747">
        <v>570</v>
      </c>
    </row>
    <row r="8" spans="2:29" s="708" customFormat="1" ht="30" x14ac:dyDescent="0.3">
      <c r="B8" s="748">
        <v>1</v>
      </c>
      <c r="C8" s="749"/>
      <c r="D8" s="750"/>
      <c r="E8" s="751"/>
      <c r="F8" s="752"/>
      <c r="G8" s="752" t="s">
        <v>1627</v>
      </c>
      <c r="H8" s="751"/>
      <c r="I8" s="751"/>
      <c r="J8" s="753"/>
      <c r="K8" s="754"/>
      <c r="L8" s="755"/>
      <c r="M8" s="756"/>
      <c r="N8" s="757"/>
      <c r="O8" s="758"/>
      <c r="P8" s="757"/>
      <c r="Q8" s="758"/>
      <c r="R8" s="757"/>
      <c r="S8" s="758"/>
      <c r="T8" s="739" t="s">
        <v>1637</v>
      </c>
      <c r="U8" s="739" t="s">
        <v>1638</v>
      </c>
      <c r="V8" s="739" t="s">
        <v>1634</v>
      </c>
      <c r="W8" s="746">
        <v>90</v>
      </c>
      <c r="X8" s="746">
        <v>440</v>
      </c>
      <c r="Y8" s="746" t="s">
        <v>1639</v>
      </c>
      <c r="Z8" s="739" t="s">
        <v>1640</v>
      </c>
      <c r="AA8" s="739" t="s">
        <v>1641</v>
      </c>
      <c r="AB8" s="747">
        <v>0</v>
      </c>
      <c r="AC8" s="759">
        <v>68286475</v>
      </c>
    </row>
    <row r="9" spans="2:29" s="708" customFormat="1" ht="30" x14ac:dyDescent="0.3">
      <c r="B9" s="748">
        <v>1</v>
      </c>
      <c r="C9" s="749"/>
      <c r="D9" s="750"/>
      <c r="E9" s="751"/>
      <c r="F9" s="752"/>
      <c r="G9" s="752" t="s">
        <v>1627</v>
      </c>
      <c r="H9" s="751"/>
      <c r="I9" s="751"/>
      <c r="J9" s="753"/>
      <c r="K9" s="754"/>
      <c r="L9" s="755"/>
      <c r="M9" s="756"/>
      <c r="N9" s="757"/>
      <c r="O9" s="758"/>
      <c r="P9" s="757"/>
      <c r="Q9" s="758"/>
      <c r="R9" s="757"/>
      <c r="S9" s="758"/>
      <c r="T9" s="739" t="s">
        <v>1642</v>
      </c>
      <c r="U9" s="739" t="s">
        <v>1643</v>
      </c>
      <c r="V9" s="739" t="s">
        <v>1634</v>
      </c>
      <c r="W9" s="746">
        <v>550</v>
      </c>
      <c r="X9" s="746">
        <v>1755</v>
      </c>
      <c r="Y9" s="746" t="s">
        <v>1644</v>
      </c>
      <c r="Z9" s="739" t="s">
        <v>1645</v>
      </c>
      <c r="AA9" s="739" t="s">
        <v>1634</v>
      </c>
      <c r="AB9" s="747">
        <v>0</v>
      </c>
      <c r="AC9" s="747">
        <v>54</v>
      </c>
    </row>
    <row r="10" spans="2:29" s="708" customFormat="1" ht="30" x14ac:dyDescent="0.3">
      <c r="B10" s="748">
        <v>1</v>
      </c>
      <c r="C10" s="749"/>
      <c r="D10" s="750"/>
      <c r="E10" s="751"/>
      <c r="F10" s="752"/>
      <c r="G10" s="752" t="s">
        <v>1627</v>
      </c>
      <c r="H10" s="751"/>
      <c r="I10" s="751"/>
      <c r="J10" s="753"/>
      <c r="K10" s="754"/>
      <c r="L10" s="755"/>
      <c r="M10" s="756"/>
      <c r="N10" s="757"/>
      <c r="O10" s="758"/>
      <c r="P10" s="757"/>
      <c r="Q10" s="758"/>
      <c r="R10" s="757"/>
      <c r="S10" s="758"/>
      <c r="T10" s="739" t="s">
        <v>1646</v>
      </c>
      <c r="U10" s="739" t="s">
        <v>1647</v>
      </c>
      <c r="V10" s="739" t="s">
        <v>1634</v>
      </c>
      <c r="W10" s="746">
        <v>40</v>
      </c>
      <c r="X10" s="746">
        <v>205</v>
      </c>
      <c r="Y10" s="746"/>
      <c r="Z10" s="739"/>
      <c r="AA10" s="739"/>
      <c r="AB10" s="747"/>
      <c r="AC10" s="747"/>
    </row>
    <row r="11" spans="2:29" s="708" customFormat="1" x14ac:dyDescent="0.3">
      <c r="B11" s="748">
        <v>1</v>
      </c>
      <c r="C11" s="749"/>
      <c r="D11" s="750"/>
      <c r="E11" s="751"/>
      <c r="F11" s="752"/>
      <c r="G11" s="752" t="s">
        <v>1627</v>
      </c>
      <c r="H11" s="751"/>
      <c r="I11" s="751"/>
      <c r="J11" s="753"/>
      <c r="K11" s="754"/>
      <c r="L11" s="755"/>
      <c r="M11" s="756"/>
      <c r="N11" s="757"/>
      <c r="O11" s="758"/>
      <c r="P11" s="757"/>
      <c r="Q11" s="758"/>
      <c r="R11" s="757"/>
      <c r="S11" s="758"/>
      <c r="T11" s="739" t="s">
        <v>1648</v>
      </c>
      <c r="U11" s="760" t="s">
        <v>1649</v>
      </c>
      <c r="V11" s="761" t="s">
        <v>1650</v>
      </c>
      <c r="W11" s="762">
        <v>300</v>
      </c>
      <c r="X11" s="762">
        <v>900</v>
      </c>
      <c r="Y11" s="746"/>
      <c r="Z11" s="739"/>
      <c r="AA11" s="739"/>
      <c r="AB11" s="747"/>
      <c r="AC11" s="747"/>
    </row>
    <row r="12" spans="2:29" s="708" customFormat="1" ht="210" x14ac:dyDescent="0.3">
      <c r="B12" s="736">
        <v>1</v>
      </c>
      <c r="C12" s="737" t="s">
        <v>1624</v>
      </c>
      <c r="D12" s="738">
        <v>1</v>
      </c>
      <c r="E12" s="739" t="s">
        <v>1625</v>
      </c>
      <c r="F12" s="740" t="s">
        <v>1626</v>
      </c>
      <c r="G12" s="740" t="s">
        <v>1651</v>
      </c>
      <c r="H12" s="739" t="s">
        <v>1652</v>
      </c>
      <c r="I12" s="739" t="s">
        <v>1653</v>
      </c>
      <c r="J12" s="736" t="s">
        <v>1630</v>
      </c>
      <c r="K12" s="741" t="s">
        <v>1654</v>
      </c>
      <c r="L12" s="742" t="s">
        <v>1655</v>
      </c>
      <c r="M12" s="743">
        <v>153100031</v>
      </c>
      <c r="N12" s="744">
        <v>0.7</v>
      </c>
      <c r="O12" s="745">
        <v>32957392.200000003</v>
      </c>
      <c r="P12" s="763">
        <v>0.15068693578514036</v>
      </c>
      <c r="Q12" s="745">
        <v>32656906.300000001</v>
      </c>
      <c r="R12" s="763">
        <v>0.14931306192877256</v>
      </c>
      <c r="S12" s="745">
        <v>218714329.5</v>
      </c>
      <c r="T12" s="764"/>
      <c r="U12" s="764"/>
      <c r="V12" s="764"/>
      <c r="W12" s="764"/>
      <c r="X12" s="764"/>
      <c r="Y12" s="764"/>
      <c r="Z12" s="764"/>
      <c r="AA12" s="764"/>
      <c r="AB12" s="764"/>
      <c r="AC12" s="764"/>
    </row>
    <row r="13" spans="2:29" s="708" customFormat="1" ht="30" x14ac:dyDescent="0.3">
      <c r="B13" s="748">
        <v>1</v>
      </c>
      <c r="C13" s="749"/>
      <c r="D13" s="750"/>
      <c r="E13" s="751"/>
      <c r="F13" s="752"/>
      <c r="G13" s="752" t="s">
        <v>1651</v>
      </c>
      <c r="H13" s="751"/>
      <c r="I13" s="751"/>
      <c r="J13" s="753"/>
      <c r="K13" s="754"/>
      <c r="L13" s="755"/>
      <c r="M13" s="756"/>
      <c r="N13" s="757"/>
      <c r="O13" s="758"/>
      <c r="P13" s="757"/>
      <c r="Q13" s="758"/>
      <c r="R13" s="757"/>
      <c r="S13" s="758"/>
      <c r="T13" s="740" t="s">
        <v>1646</v>
      </c>
      <c r="U13" s="739" t="s">
        <v>1647</v>
      </c>
      <c r="V13" s="739" t="s">
        <v>1634</v>
      </c>
      <c r="W13" s="746">
        <v>40</v>
      </c>
      <c r="X13" s="746">
        <v>150</v>
      </c>
      <c r="Y13" s="746" t="s">
        <v>1656</v>
      </c>
      <c r="Z13" s="740" t="s">
        <v>1657</v>
      </c>
      <c r="AA13" s="740" t="s">
        <v>1641</v>
      </c>
      <c r="AB13" s="747">
        <v>0</v>
      </c>
      <c r="AC13" s="759">
        <v>18000000</v>
      </c>
    </row>
    <row r="14" spans="2:29" s="708" customFormat="1" ht="30" x14ac:dyDescent="0.3">
      <c r="B14" s="748">
        <v>1</v>
      </c>
      <c r="C14" s="749"/>
      <c r="D14" s="750"/>
      <c r="E14" s="751"/>
      <c r="F14" s="752"/>
      <c r="G14" s="752" t="s">
        <v>1651</v>
      </c>
      <c r="H14" s="751"/>
      <c r="I14" s="751"/>
      <c r="J14" s="753"/>
      <c r="K14" s="754"/>
      <c r="L14" s="755"/>
      <c r="M14" s="756"/>
      <c r="N14" s="757"/>
      <c r="O14" s="758"/>
      <c r="P14" s="757"/>
      <c r="Q14" s="758"/>
      <c r="R14" s="757"/>
      <c r="S14" s="758"/>
      <c r="T14" s="740" t="s">
        <v>1658</v>
      </c>
      <c r="U14" s="739" t="s">
        <v>1659</v>
      </c>
      <c r="V14" s="765" t="s">
        <v>1660</v>
      </c>
      <c r="W14" s="746">
        <v>6</v>
      </c>
      <c r="X14" s="746">
        <v>18</v>
      </c>
      <c r="Y14" s="746" t="s">
        <v>1661</v>
      </c>
      <c r="Z14" s="739" t="s">
        <v>1662</v>
      </c>
      <c r="AA14" s="739" t="s">
        <v>1663</v>
      </c>
      <c r="AB14" s="747">
        <v>0</v>
      </c>
      <c r="AC14" s="747">
        <v>800</v>
      </c>
    </row>
    <row r="15" spans="2:29" s="708" customFormat="1" ht="30" x14ac:dyDescent="0.3">
      <c r="B15" s="748">
        <v>1</v>
      </c>
      <c r="C15" s="749"/>
      <c r="D15" s="750"/>
      <c r="E15" s="751"/>
      <c r="F15" s="752"/>
      <c r="G15" s="752" t="s">
        <v>1651</v>
      </c>
      <c r="H15" s="756"/>
      <c r="I15" s="751"/>
      <c r="J15" s="753"/>
      <c r="K15" s="754"/>
      <c r="L15" s="754"/>
      <c r="M15" s="756"/>
      <c r="N15" s="757"/>
      <c r="O15" s="758"/>
      <c r="P15" s="766"/>
      <c r="Q15" s="758"/>
      <c r="R15" s="767"/>
      <c r="S15" s="758"/>
      <c r="T15" s="740" t="s">
        <v>1658</v>
      </c>
      <c r="U15" s="739" t="s">
        <v>1659</v>
      </c>
      <c r="V15" s="739" t="s">
        <v>1660</v>
      </c>
      <c r="W15" s="746">
        <v>6</v>
      </c>
      <c r="X15" s="746">
        <v>16</v>
      </c>
      <c r="Y15" s="746" t="s">
        <v>1664</v>
      </c>
      <c r="Z15" s="739" t="s">
        <v>1665</v>
      </c>
      <c r="AA15" s="739" t="s">
        <v>1666</v>
      </c>
      <c r="AB15" s="747">
        <v>0</v>
      </c>
      <c r="AC15" s="747">
        <v>15</v>
      </c>
    </row>
    <row r="16" spans="2:29" s="708" customFormat="1" ht="30" x14ac:dyDescent="0.3">
      <c r="B16" s="748">
        <v>1</v>
      </c>
      <c r="C16" s="749"/>
      <c r="D16" s="750"/>
      <c r="E16" s="751"/>
      <c r="F16" s="752"/>
      <c r="G16" s="752" t="s">
        <v>1651</v>
      </c>
      <c r="H16" s="756"/>
      <c r="I16" s="751"/>
      <c r="J16" s="753"/>
      <c r="K16" s="754"/>
      <c r="L16" s="754"/>
      <c r="M16" s="756"/>
      <c r="N16" s="757"/>
      <c r="O16" s="758"/>
      <c r="P16" s="766"/>
      <c r="Q16" s="758"/>
      <c r="R16" s="767"/>
      <c r="S16" s="758"/>
      <c r="T16" s="740" t="s">
        <v>1667</v>
      </c>
      <c r="U16" s="739" t="s">
        <v>1668</v>
      </c>
      <c r="V16" s="739" t="s">
        <v>1669</v>
      </c>
      <c r="W16" s="746">
        <v>200</v>
      </c>
      <c r="X16" s="746">
        <v>600</v>
      </c>
      <c r="Y16" s="746" t="s">
        <v>1670</v>
      </c>
      <c r="Z16" s="740" t="s">
        <v>1671</v>
      </c>
      <c r="AA16" s="740" t="s">
        <v>1672</v>
      </c>
      <c r="AB16" s="747">
        <v>0</v>
      </c>
      <c r="AC16" s="747">
        <v>50</v>
      </c>
    </row>
    <row r="17" spans="1:29" s="708" customFormat="1" ht="45" x14ac:dyDescent="0.3">
      <c r="B17" s="748">
        <v>1</v>
      </c>
      <c r="C17" s="749"/>
      <c r="D17" s="750"/>
      <c r="E17" s="751"/>
      <c r="F17" s="752"/>
      <c r="G17" s="752" t="s">
        <v>1651</v>
      </c>
      <c r="H17" s="756"/>
      <c r="I17" s="751"/>
      <c r="J17" s="753"/>
      <c r="K17" s="754"/>
      <c r="L17" s="754"/>
      <c r="M17" s="756"/>
      <c r="N17" s="757"/>
      <c r="O17" s="758"/>
      <c r="P17" s="766"/>
      <c r="Q17" s="758"/>
      <c r="R17" s="767"/>
      <c r="S17" s="758"/>
      <c r="T17" s="740" t="s">
        <v>1646</v>
      </c>
      <c r="U17" s="739" t="s">
        <v>1647</v>
      </c>
      <c r="V17" s="739" t="s">
        <v>1634</v>
      </c>
      <c r="W17" s="746">
        <v>20</v>
      </c>
      <c r="X17" s="746">
        <v>60</v>
      </c>
      <c r="Y17" s="746" t="s">
        <v>1673</v>
      </c>
      <c r="Z17" s="739" t="s">
        <v>1674</v>
      </c>
      <c r="AA17" s="739" t="s">
        <v>1641</v>
      </c>
      <c r="AB17" s="747">
        <v>0</v>
      </c>
      <c r="AC17" s="747">
        <v>4500000</v>
      </c>
    </row>
    <row r="18" spans="1:29" s="708" customFormat="1" ht="45" x14ac:dyDescent="0.3">
      <c r="B18" s="736">
        <v>1</v>
      </c>
      <c r="C18" s="737" t="s">
        <v>1624</v>
      </c>
      <c r="D18" s="738">
        <v>1</v>
      </c>
      <c r="E18" s="739" t="s">
        <v>1625</v>
      </c>
      <c r="F18" s="740" t="s">
        <v>1626</v>
      </c>
      <c r="G18" s="740" t="s">
        <v>1675</v>
      </c>
      <c r="H18" s="739" t="s">
        <v>1676</v>
      </c>
      <c r="I18" s="739" t="s">
        <v>1677</v>
      </c>
      <c r="J18" s="736" t="s">
        <v>1630</v>
      </c>
      <c r="K18" s="741" t="s">
        <v>1678</v>
      </c>
      <c r="L18" s="741" t="s">
        <v>1655</v>
      </c>
      <c r="M18" s="743">
        <v>44200000</v>
      </c>
      <c r="N18" s="744">
        <v>0.7</v>
      </c>
      <c r="O18" s="745">
        <v>18942857.142857146</v>
      </c>
      <c r="P18" s="744">
        <v>0.3</v>
      </c>
      <c r="Q18" s="745">
        <v>0</v>
      </c>
      <c r="R18" s="744">
        <v>0</v>
      </c>
      <c r="S18" s="745">
        <v>63142857.142857149</v>
      </c>
      <c r="T18" s="740" t="s">
        <v>1679</v>
      </c>
      <c r="U18" s="739" t="s">
        <v>1680</v>
      </c>
      <c r="V18" s="739" t="s">
        <v>1681</v>
      </c>
      <c r="W18" s="746">
        <v>8</v>
      </c>
      <c r="X18" s="746">
        <v>56</v>
      </c>
      <c r="Y18" s="746" t="s">
        <v>1682</v>
      </c>
      <c r="Z18" s="739" t="s">
        <v>1683</v>
      </c>
      <c r="AA18" s="739" t="s">
        <v>1684</v>
      </c>
      <c r="AB18" s="747">
        <v>0</v>
      </c>
      <c r="AC18" s="747">
        <v>22</v>
      </c>
    </row>
    <row r="19" spans="1:29" s="708" customFormat="1" ht="45" x14ac:dyDescent="0.3">
      <c r="A19" s="711"/>
      <c r="B19" s="736">
        <v>1</v>
      </c>
      <c r="C19" s="737" t="s">
        <v>1624</v>
      </c>
      <c r="D19" s="738">
        <v>1</v>
      </c>
      <c r="E19" s="739" t="s">
        <v>1625</v>
      </c>
      <c r="F19" s="740" t="s">
        <v>1626</v>
      </c>
      <c r="G19" s="740" t="s">
        <v>1685</v>
      </c>
      <c r="H19" s="739" t="s">
        <v>1686</v>
      </c>
      <c r="I19" s="739" t="s">
        <v>1687</v>
      </c>
      <c r="J19" s="736" t="s">
        <v>1630</v>
      </c>
      <c r="K19" s="741" t="s">
        <v>1654</v>
      </c>
      <c r="L19" s="741" t="s">
        <v>1655</v>
      </c>
      <c r="M19" s="743">
        <v>41000000</v>
      </c>
      <c r="N19" s="744">
        <v>0.7</v>
      </c>
      <c r="O19" s="745">
        <v>14714036.079241065</v>
      </c>
      <c r="P19" s="763">
        <v>0.25121525013338403</v>
      </c>
      <c r="Q19" s="745">
        <v>2857392.4921875028</v>
      </c>
      <c r="R19" s="763">
        <v>4.8784749866615899E-2</v>
      </c>
      <c r="S19" s="745">
        <v>58571428.571428567</v>
      </c>
      <c r="T19" s="740" t="s">
        <v>1667</v>
      </c>
      <c r="U19" s="739" t="s">
        <v>1668</v>
      </c>
      <c r="V19" s="739" t="s">
        <v>1669</v>
      </c>
      <c r="W19" s="746">
        <v>80</v>
      </c>
      <c r="X19" s="746">
        <v>350</v>
      </c>
      <c r="Y19" s="746" t="s">
        <v>1688</v>
      </c>
      <c r="Z19" s="739" t="s">
        <v>1689</v>
      </c>
      <c r="AA19" s="739" t="s">
        <v>1690</v>
      </c>
      <c r="AB19" s="747">
        <v>0</v>
      </c>
      <c r="AC19" s="747">
        <v>44</v>
      </c>
    </row>
    <row r="20" spans="1:29" s="708" customFormat="1" ht="60" x14ac:dyDescent="0.3">
      <c r="B20" s="748">
        <v>1</v>
      </c>
      <c r="C20" s="749"/>
      <c r="D20" s="750"/>
      <c r="E20" s="751"/>
      <c r="F20" s="752"/>
      <c r="G20" s="752" t="s">
        <v>1685</v>
      </c>
      <c r="H20" s="751"/>
      <c r="I20" s="751"/>
      <c r="J20" s="753"/>
      <c r="K20" s="754"/>
      <c r="L20" s="754"/>
      <c r="M20" s="756"/>
      <c r="N20" s="757"/>
      <c r="O20" s="758"/>
      <c r="P20" s="757"/>
      <c r="Q20" s="758"/>
      <c r="R20" s="757"/>
      <c r="S20" s="758"/>
      <c r="T20" s="740" t="s">
        <v>1691</v>
      </c>
      <c r="U20" s="739" t="s">
        <v>1692</v>
      </c>
      <c r="V20" s="739" t="s">
        <v>1693</v>
      </c>
      <c r="W20" s="746">
        <v>100</v>
      </c>
      <c r="X20" s="746">
        <v>350</v>
      </c>
      <c r="Y20" s="746"/>
      <c r="Z20" s="739"/>
      <c r="AA20" s="739"/>
      <c r="AB20" s="747"/>
      <c r="AC20" s="747"/>
    </row>
    <row r="21" spans="1:29" s="708" customFormat="1" ht="45" x14ac:dyDescent="0.3">
      <c r="B21" s="736">
        <v>1</v>
      </c>
      <c r="C21" s="737" t="s">
        <v>1624</v>
      </c>
      <c r="D21" s="738">
        <v>1</v>
      </c>
      <c r="E21" s="739" t="s">
        <v>1694</v>
      </c>
      <c r="F21" s="740" t="s">
        <v>1695</v>
      </c>
      <c r="G21" s="740" t="s">
        <v>1696</v>
      </c>
      <c r="H21" s="739" t="s">
        <v>1697</v>
      </c>
      <c r="I21" s="739" t="s">
        <v>1698</v>
      </c>
      <c r="J21" s="736" t="s">
        <v>1630</v>
      </c>
      <c r="K21" s="741" t="s">
        <v>1445</v>
      </c>
      <c r="L21" s="741" t="s">
        <v>1655</v>
      </c>
      <c r="M21" s="768">
        <v>136000000</v>
      </c>
      <c r="N21" s="744">
        <v>0.7</v>
      </c>
      <c r="O21" s="745">
        <v>58285714.285714291</v>
      </c>
      <c r="P21" s="744">
        <v>0.3</v>
      </c>
      <c r="Q21" s="745">
        <v>0</v>
      </c>
      <c r="R21" s="744">
        <v>0</v>
      </c>
      <c r="S21" s="745">
        <v>194285714.2857143</v>
      </c>
      <c r="T21" s="739" t="s">
        <v>1699</v>
      </c>
      <c r="U21" s="739" t="s">
        <v>1700</v>
      </c>
      <c r="V21" s="739" t="s">
        <v>1701</v>
      </c>
      <c r="W21" s="746">
        <v>20</v>
      </c>
      <c r="X21" s="746">
        <v>50</v>
      </c>
      <c r="Y21" s="746" t="s">
        <v>1702</v>
      </c>
      <c r="Z21" s="739" t="s">
        <v>1703</v>
      </c>
      <c r="AA21" s="739" t="s">
        <v>1704</v>
      </c>
      <c r="AB21" s="747">
        <v>0</v>
      </c>
      <c r="AC21" s="759">
        <v>4500000</v>
      </c>
    </row>
    <row r="22" spans="1:29" s="708" customFormat="1" ht="30" x14ac:dyDescent="0.3">
      <c r="B22" s="748">
        <v>1</v>
      </c>
      <c r="C22" s="749"/>
      <c r="D22" s="750"/>
      <c r="E22" s="751"/>
      <c r="F22" s="752"/>
      <c r="G22" s="752" t="s">
        <v>1696</v>
      </c>
      <c r="H22" s="751"/>
      <c r="I22" s="751"/>
      <c r="J22" s="753"/>
      <c r="K22" s="754"/>
      <c r="L22" s="754"/>
      <c r="M22" s="769"/>
      <c r="N22" s="757"/>
      <c r="O22" s="758"/>
      <c r="P22" s="757"/>
      <c r="Q22" s="758"/>
      <c r="R22" s="757"/>
      <c r="S22" s="758"/>
      <c r="T22" s="739" t="s">
        <v>1705</v>
      </c>
      <c r="U22" s="739" t="s">
        <v>1706</v>
      </c>
      <c r="V22" s="739" t="s">
        <v>1707</v>
      </c>
      <c r="W22" s="746">
        <v>20</v>
      </c>
      <c r="X22" s="746">
        <v>90</v>
      </c>
      <c r="Y22" s="746"/>
      <c r="Z22" s="739"/>
      <c r="AA22" s="739"/>
      <c r="AB22" s="747"/>
      <c r="AC22" s="747"/>
    </row>
    <row r="23" spans="1:29" s="708" customFormat="1" ht="45" x14ac:dyDescent="0.3">
      <c r="B23" s="736">
        <v>1</v>
      </c>
      <c r="C23" s="737" t="s">
        <v>1624</v>
      </c>
      <c r="D23" s="738">
        <v>1</v>
      </c>
      <c r="E23" s="739" t="s">
        <v>1694</v>
      </c>
      <c r="F23" s="740" t="s">
        <v>1695</v>
      </c>
      <c r="G23" s="740" t="s">
        <v>1708</v>
      </c>
      <c r="H23" s="739" t="s">
        <v>1697</v>
      </c>
      <c r="I23" s="739" t="s">
        <v>1709</v>
      </c>
      <c r="J23" s="736" t="s">
        <v>1630</v>
      </c>
      <c r="K23" s="741" t="s">
        <v>1445</v>
      </c>
      <c r="L23" s="742" t="s">
        <v>1631</v>
      </c>
      <c r="M23" s="768">
        <v>20000000</v>
      </c>
      <c r="N23" s="744">
        <v>0.7</v>
      </c>
      <c r="O23" s="745">
        <v>0</v>
      </c>
      <c r="P23" s="744">
        <v>0</v>
      </c>
      <c r="Q23" s="745">
        <v>8571428.5714285728</v>
      </c>
      <c r="R23" s="744">
        <v>0.3</v>
      </c>
      <c r="S23" s="745">
        <v>28571428.571428575</v>
      </c>
      <c r="T23" s="739" t="s">
        <v>1632</v>
      </c>
      <c r="U23" s="739" t="s">
        <v>1633</v>
      </c>
      <c r="V23" s="739" t="s">
        <v>1634</v>
      </c>
      <c r="W23" s="770">
        <v>5</v>
      </c>
      <c r="X23" s="770">
        <v>30</v>
      </c>
      <c r="Y23" s="746"/>
      <c r="Z23" s="739"/>
      <c r="AA23" s="739"/>
      <c r="AB23" s="747"/>
      <c r="AC23" s="759"/>
    </row>
    <row r="24" spans="1:29" s="708" customFormat="1" x14ac:dyDescent="0.3">
      <c r="B24" s="748">
        <v>1</v>
      </c>
      <c r="C24" s="749"/>
      <c r="D24" s="750"/>
      <c r="E24" s="751"/>
      <c r="F24" s="752"/>
      <c r="G24" s="752" t="s">
        <v>1708</v>
      </c>
      <c r="H24" s="751"/>
      <c r="I24" s="751"/>
      <c r="J24" s="753"/>
      <c r="K24" s="754"/>
      <c r="L24" s="755"/>
      <c r="M24" s="769"/>
      <c r="N24" s="757"/>
      <c r="O24" s="758"/>
      <c r="P24" s="757"/>
      <c r="Q24" s="758"/>
      <c r="R24" s="757"/>
      <c r="S24" s="758"/>
      <c r="T24" s="739" t="s">
        <v>1637</v>
      </c>
      <c r="U24" s="739" t="s">
        <v>1638</v>
      </c>
      <c r="V24" s="739" t="s">
        <v>1634</v>
      </c>
      <c r="W24" s="770">
        <v>5</v>
      </c>
      <c r="X24" s="770">
        <v>30</v>
      </c>
      <c r="Y24" s="746"/>
      <c r="Z24" s="739"/>
      <c r="AA24" s="739"/>
      <c r="AB24" s="747"/>
      <c r="AC24" s="747"/>
    </row>
    <row r="25" spans="1:29" s="708" customFormat="1" ht="30" x14ac:dyDescent="0.3">
      <c r="B25" s="748"/>
      <c r="C25" s="749"/>
      <c r="D25" s="750"/>
      <c r="E25" s="751"/>
      <c r="F25" s="752"/>
      <c r="G25" s="752" t="s">
        <v>1708</v>
      </c>
      <c r="H25" s="751"/>
      <c r="I25" s="751"/>
      <c r="J25" s="753"/>
      <c r="K25" s="754"/>
      <c r="L25" s="755"/>
      <c r="M25" s="769"/>
      <c r="N25" s="757"/>
      <c r="O25" s="758"/>
      <c r="P25" s="757"/>
      <c r="Q25" s="758"/>
      <c r="R25" s="757"/>
      <c r="S25" s="758"/>
      <c r="T25" s="739" t="s">
        <v>1705</v>
      </c>
      <c r="U25" s="739" t="s">
        <v>1706</v>
      </c>
      <c r="V25" s="739" t="s">
        <v>1707</v>
      </c>
      <c r="W25" s="770">
        <v>5</v>
      </c>
      <c r="X25" s="770">
        <v>30</v>
      </c>
      <c r="Y25" s="746"/>
      <c r="Z25" s="739"/>
      <c r="AA25" s="739"/>
      <c r="AB25" s="747"/>
      <c r="AC25" s="747"/>
    </row>
    <row r="26" spans="1:29" s="708" customFormat="1" ht="150" x14ac:dyDescent="0.3">
      <c r="B26" s="736">
        <v>1</v>
      </c>
      <c r="C26" s="739" t="s">
        <v>1624</v>
      </c>
      <c r="D26" s="738">
        <v>1</v>
      </c>
      <c r="E26" s="739" t="s">
        <v>1710</v>
      </c>
      <c r="F26" s="740" t="s">
        <v>1711</v>
      </c>
      <c r="G26" s="740" t="s">
        <v>1712</v>
      </c>
      <c r="H26" s="739" t="s">
        <v>1713</v>
      </c>
      <c r="I26" s="739" t="s">
        <v>1714</v>
      </c>
      <c r="J26" s="736" t="s">
        <v>1630</v>
      </c>
      <c r="K26" s="741" t="s">
        <v>1445</v>
      </c>
      <c r="L26" s="742" t="s">
        <v>1631</v>
      </c>
      <c r="M26" s="743">
        <v>138690000</v>
      </c>
      <c r="N26" s="744">
        <v>0.7</v>
      </c>
      <c r="O26" s="745">
        <v>19812857.142857146</v>
      </c>
      <c r="P26" s="744">
        <v>0.1</v>
      </c>
      <c r="Q26" s="745">
        <v>39625714.285714291</v>
      </c>
      <c r="R26" s="744">
        <v>0.2</v>
      </c>
      <c r="S26" s="745">
        <v>198128571.42857143</v>
      </c>
      <c r="T26" s="739" t="s">
        <v>1632</v>
      </c>
      <c r="U26" s="739" t="s">
        <v>1633</v>
      </c>
      <c r="V26" s="739" t="s">
        <v>1634</v>
      </c>
      <c r="W26" s="762">
        <v>1090</v>
      </c>
      <c r="X26" s="762">
        <v>6280</v>
      </c>
      <c r="Y26" s="746" t="s">
        <v>1635</v>
      </c>
      <c r="Z26" s="739" t="s">
        <v>1636</v>
      </c>
      <c r="AA26" s="739" t="s">
        <v>1634</v>
      </c>
      <c r="AB26" s="747">
        <v>0</v>
      </c>
      <c r="AC26" s="747">
        <v>3990</v>
      </c>
    </row>
    <row r="27" spans="1:29" s="708" customFormat="1" x14ac:dyDescent="0.3">
      <c r="B27" s="748">
        <v>1</v>
      </c>
      <c r="C27" s="751"/>
      <c r="D27" s="750"/>
      <c r="E27" s="751"/>
      <c r="F27" s="752"/>
      <c r="G27" s="752" t="s">
        <v>1712</v>
      </c>
      <c r="H27" s="751"/>
      <c r="I27" s="751"/>
      <c r="J27" s="753"/>
      <c r="K27" s="754"/>
      <c r="L27" s="755"/>
      <c r="M27" s="756"/>
      <c r="N27" s="757"/>
      <c r="O27" s="758"/>
      <c r="P27" s="757"/>
      <c r="Q27" s="758"/>
      <c r="R27" s="757"/>
      <c r="S27" s="758"/>
      <c r="T27" s="739" t="s">
        <v>1637</v>
      </c>
      <c r="U27" s="739" t="s">
        <v>1638</v>
      </c>
      <c r="V27" s="739" t="s">
        <v>1634</v>
      </c>
      <c r="W27" s="762">
        <v>60</v>
      </c>
      <c r="X27" s="746">
        <v>630</v>
      </c>
      <c r="Y27" s="746" t="s">
        <v>1715</v>
      </c>
      <c r="Z27" s="739" t="s">
        <v>1716</v>
      </c>
      <c r="AA27" s="739" t="s">
        <v>1634</v>
      </c>
      <c r="AB27" s="747">
        <v>0</v>
      </c>
      <c r="AC27" s="747">
        <v>275</v>
      </c>
    </row>
    <row r="28" spans="1:29" s="708" customFormat="1" ht="30" x14ac:dyDescent="0.3">
      <c r="B28" s="748">
        <v>1</v>
      </c>
      <c r="C28" s="751"/>
      <c r="D28" s="750"/>
      <c r="E28" s="751"/>
      <c r="F28" s="752"/>
      <c r="G28" s="752" t="s">
        <v>1712</v>
      </c>
      <c r="H28" s="751"/>
      <c r="I28" s="751"/>
      <c r="J28" s="753"/>
      <c r="K28" s="754"/>
      <c r="L28" s="755"/>
      <c r="M28" s="756"/>
      <c r="N28" s="757"/>
      <c r="O28" s="758"/>
      <c r="P28" s="757"/>
      <c r="Q28" s="758"/>
      <c r="R28" s="757"/>
      <c r="S28" s="758"/>
      <c r="T28" s="739" t="s">
        <v>1642</v>
      </c>
      <c r="U28" s="739" t="s">
        <v>1643</v>
      </c>
      <c r="V28" s="739" t="s">
        <v>1634</v>
      </c>
      <c r="W28" s="762">
        <v>1090</v>
      </c>
      <c r="X28" s="762">
        <v>6270</v>
      </c>
      <c r="Y28" s="746"/>
      <c r="Z28" s="739"/>
      <c r="AA28" s="739"/>
      <c r="AB28" s="747"/>
      <c r="AC28" s="747"/>
    </row>
    <row r="29" spans="1:29" s="708" customFormat="1" x14ac:dyDescent="0.3">
      <c r="B29" s="748">
        <v>1</v>
      </c>
      <c r="C29" s="751"/>
      <c r="D29" s="750"/>
      <c r="E29" s="751"/>
      <c r="F29" s="752"/>
      <c r="G29" s="752" t="s">
        <v>1712</v>
      </c>
      <c r="H29" s="751"/>
      <c r="I29" s="751"/>
      <c r="J29" s="753"/>
      <c r="K29" s="754"/>
      <c r="L29" s="755"/>
      <c r="M29" s="756"/>
      <c r="N29" s="757"/>
      <c r="O29" s="758"/>
      <c r="P29" s="757"/>
      <c r="Q29" s="758"/>
      <c r="R29" s="757"/>
      <c r="S29" s="758"/>
      <c r="T29" s="739" t="s">
        <v>1717</v>
      </c>
      <c r="U29" s="739" t="s">
        <v>1718</v>
      </c>
      <c r="V29" s="739" t="s">
        <v>1634</v>
      </c>
      <c r="W29" s="762">
        <v>190</v>
      </c>
      <c r="X29" s="762">
        <v>1040</v>
      </c>
      <c r="Y29" s="746"/>
      <c r="Z29" s="739"/>
      <c r="AA29" s="739"/>
      <c r="AB29" s="747"/>
      <c r="AC29" s="747"/>
    </row>
    <row r="30" spans="1:29" s="708" customFormat="1" ht="120" x14ac:dyDescent="0.3">
      <c r="B30" s="736">
        <v>1</v>
      </c>
      <c r="C30" s="737" t="s">
        <v>1624</v>
      </c>
      <c r="D30" s="738">
        <v>1</v>
      </c>
      <c r="E30" s="739" t="s">
        <v>1710</v>
      </c>
      <c r="F30" s="740" t="s">
        <v>1711</v>
      </c>
      <c r="G30" s="740" t="s">
        <v>1719</v>
      </c>
      <c r="H30" s="739" t="s">
        <v>1720</v>
      </c>
      <c r="I30" s="771" t="s">
        <v>1721</v>
      </c>
      <c r="J30" s="736" t="s">
        <v>1630</v>
      </c>
      <c r="K30" s="741" t="s">
        <v>1722</v>
      </c>
      <c r="L30" s="742" t="s">
        <v>1631</v>
      </c>
      <c r="M30" s="743">
        <v>10000000</v>
      </c>
      <c r="N30" s="744">
        <v>0.7</v>
      </c>
      <c r="O30" s="745">
        <v>1000000.0000000002</v>
      </c>
      <c r="P30" s="744">
        <v>7.0000000000000007E-2</v>
      </c>
      <c r="Q30" s="745">
        <v>3285714.2857142864</v>
      </c>
      <c r="R30" s="744">
        <v>0.23</v>
      </c>
      <c r="S30" s="745">
        <v>14285714.285714287</v>
      </c>
      <c r="T30" s="740" t="s">
        <v>1632</v>
      </c>
      <c r="U30" s="739" t="s">
        <v>1723</v>
      </c>
      <c r="V30" s="739" t="s">
        <v>1634</v>
      </c>
      <c r="W30" s="746">
        <v>130</v>
      </c>
      <c r="X30" s="746">
        <v>1000</v>
      </c>
      <c r="Y30" s="746" t="s">
        <v>1635</v>
      </c>
      <c r="Z30" s="739" t="s">
        <v>1636</v>
      </c>
      <c r="AA30" s="739" t="s">
        <v>1634</v>
      </c>
      <c r="AB30" s="747">
        <v>0</v>
      </c>
      <c r="AC30" s="747">
        <v>295</v>
      </c>
    </row>
    <row r="31" spans="1:29" s="708" customFormat="1" x14ac:dyDescent="0.3">
      <c r="B31" s="748">
        <v>1</v>
      </c>
      <c r="C31" s="749"/>
      <c r="D31" s="750"/>
      <c r="E31" s="751"/>
      <c r="F31" s="752"/>
      <c r="G31" s="752" t="s">
        <v>1719</v>
      </c>
      <c r="H31" s="751"/>
      <c r="I31" s="772"/>
      <c r="J31" s="753"/>
      <c r="K31" s="754"/>
      <c r="L31" s="755"/>
      <c r="M31" s="756"/>
      <c r="N31" s="757"/>
      <c r="O31" s="758"/>
      <c r="P31" s="757"/>
      <c r="Q31" s="758"/>
      <c r="R31" s="757"/>
      <c r="S31" s="758"/>
      <c r="T31" s="740" t="s">
        <v>1637</v>
      </c>
      <c r="U31" s="739" t="s">
        <v>1638</v>
      </c>
      <c r="V31" s="739" t="s">
        <v>1634</v>
      </c>
      <c r="W31" s="746">
        <v>0</v>
      </c>
      <c r="X31" s="746">
        <v>60</v>
      </c>
      <c r="Y31" s="746"/>
      <c r="Z31" s="739"/>
      <c r="AA31" s="739"/>
      <c r="AB31" s="747"/>
      <c r="AC31" s="747"/>
    </row>
    <row r="32" spans="1:29" s="708" customFormat="1" x14ac:dyDescent="0.3">
      <c r="B32" s="748">
        <v>1</v>
      </c>
      <c r="C32" s="749"/>
      <c r="D32" s="750"/>
      <c r="E32" s="751"/>
      <c r="F32" s="752"/>
      <c r="G32" s="752" t="s">
        <v>1719</v>
      </c>
      <c r="H32" s="751"/>
      <c r="I32" s="772"/>
      <c r="J32" s="753"/>
      <c r="K32" s="754"/>
      <c r="L32" s="755"/>
      <c r="M32" s="756"/>
      <c r="N32" s="757"/>
      <c r="O32" s="758"/>
      <c r="P32" s="757"/>
      <c r="Q32" s="758"/>
      <c r="R32" s="757"/>
      <c r="S32" s="758"/>
      <c r="T32" s="740" t="s">
        <v>1717</v>
      </c>
      <c r="U32" s="739" t="s">
        <v>1724</v>
      </c>
      <c r="V32" s="739" t="s">
        <v>1634</v>
      </c>
      <c r="W32" s="746">
        <v>0</v>
      </c>
      <c r="X32" s="746">
        <v>60</v>
      </c>
      <c r="Y32" s="746"/>
      <c r="Z32" s="739"/>
      <c r="AA32" s="739"/>
      <c r="AB32" s="747"/>
      <c r="AC32" s="747"/>
    </row>
    <row r="33" spans="1:29" s="708" customFormat="1" ht="30" x14ac:dyDescent="0.3">
      <c r="B33" s="748">
        <v>1</v>
      </c>
      <c r="C33" s="749"/>
      <c r="D33" s="750"/>
      <c r="E33" s="751"/>
      <c r="F33" s="752"/>
      <c r="G33" s="752" t="s">
        <v>1719</v>
      </c>
      <c r="H33" s="751"/>
      <c r="I33" s="772"/>
      <c r="J33" s="753"/>
      <c r="K33" s="754"/>
      <c r="L33" s="755"/>
      <c r="M33" s="756"/>
      <c r="N33" s="757"/>
      <c r="O33" s="758"/>
      <c r="P33" s="757"/>
      <c r="Q33" s="758"/>
      <c r="R33" s="757"/>
      <c r="S33" s="758"/>
      <c r="T33" s="740" t="s">
        <v>1642</v>
      </c>
      <c r="U33" s="739" t="s">
        <v>1643</v>
      </c>
      <c r="V33" s="739" t="s">
        <v>1634</v>
      </c>
      <c r="W33" s="746">
        <v>130</v>
      </c>
      <c r="X33" s="746">
        <v>1000</v>
      </c>
      <c r="Y33" s="746"/>
      <c r="Z33" s="739"/>
      <c r="AA33" s="739"/>
      <c r="AB33" s="747"/>
      <c r="AC33" s="747"/>
    </row>
    <row r="34" spans="1:29" s="708" customFormat="1" ht="60" x14ac:dyDescent="0.3">
      <c r="B34" s="736">
        <v>1</v>
      </c>
      <c r="C34" s="737" t="s">
        <v>1624</v>
      </c>
      <c r="D34" s="738">
        <v>1</v>
      </c>
      <c r="E34" s="739" t="s">
        <v>1710</v>
      </c>
      <c r="F34" s="740" t="s">
        <v>1711</v>
      </c>
      <c r="G34" s="740" t="s">
        <v>1725</v>
      </c>
      <c r="H34" s="739" t="s">
        <v>1726</v>
      </c>
      <c r="I34" s="771" t="s">
        <v>1727</v>
      </c>
      <c r="J34" s="736" t="s">
        <v>1630</v>
      </c>
      <c r="K34" s="741" t="s">
        <v>1728</v>
      </c>
      <c r="L34" s="741" t="s">
        <v>1655</v>
      </c>
      <c r="M34" s="743">
        <v>7505206</v>
      </c>
      <c r="N34" s="744">
        <v>0.7</v>
      </c>
      <c r="O34" s="745">
        <v>0</v>
      </c>
      <c r="P34" s="744">
        <v>0</v>
      </c>
      <c r="Q34" s="745">
        <v>3216516.8571428573</v>
      </c>
      <c r="R34" s="744">
        <v>0.3</v>
      </c>
      <c r="S34" s="745">
        <v>10721722.857142858</v>
      </c>
      <c r="T34" s="740" t="s">
        <v>1632</v>
      </c>
      <c r="U34" s="739" t="s">
        <v>1723</v>
      </c>
      <c r="V34" s="739" t="s">
        <v>1634</v>
      </c>
      <c r="W34" s="746">
        <v>30</v>
      </c>
      <c r="X34" s="746">
        <v>135</v>
      </c>
      <c r="Y34" s="746" t="s">
        <v>1635</v>
      </c>
      <c r="Z34" s="739" t="s">
        <v>1636</v>
      </c>
      <c r="AA34" s="739" t="s">
        <v>1634</v>
      </c>
      <c r="AB34" s="747">
        <v>0</v>
      </c>
      <c r="AC34" s="747">
        <v>95</v>
      </c>
    </row>
    <row r="35" spans="1:29" s="708" customFormat="1" x14ac:dyDescent="0.3">
      <c r="B35" s="748">
        <v>1</v>
      </c>
      <c r="C35" s="749"/>
      <c r="D35" s="750"/>
      <c r="E35" s="751"/>
      <c r="F35" s="752"/>
      <c r="G35" s="752" t="s">
        <v>1725</v>
      </c>
      <c r="H35" s="751"/>
      <c r="I35" s="772"/>
      <c r="J35" s="753"/>
      <c r="K35" s="754"/>
      <c r="L35" s="754"/>
      <c r="M35" s="756"/>
      <c r="N35" s="757"/>
      <c r="O35" s="758"/>
      <c r="P35" s="757"/>
      <c r="Q35" s="758"/>
      <c r="R35" s="757"/>
      <c r="S35" s="758"/>
      <c r="T35" s="740" t="s">
        <v>1637</v>
      </c>
      <c r="U35" s="739" t="s">
        <v>1638</v>
      </c>
      <c r="V35" s="739" t="s">
        <v>1634</v>
      </c>
      <c r="W35" s="746">
        <v>30</v>
      </c>
      <c r="X35" s="746">
        <v>135</v>
      </c>
      <c r="Y35" s="746"/>
      <c r="Z35" s="739"/>
      <c r="AA35" s="739"/>
      <c r="AB35" s="747"/>
      <c r="AC35" s="747"/>
    </row>
    <row r="36" spans="1:29" s="708" customFormat="1" ht="60" x14ac:dyDescent="0.3">
      <c r="B36" s="736">
        <v>1</v>
      </c>
      <c r="C36" s="739" t="s">
        <v>1624</v>
      </c>
      <c r="D36" s="738">
        <v>1</v>
      </c>
      <c r="E36" s="739" t="s">
        <v>1710</v>
      </c>
      <c r="F36" s="740" t="s">
        <v>1711</v>
      </c>
      <c r="G36" s="740" t="s">
        <v>1729</v>
      </c>
      <c r="H36" s="739" t="s">
        <v>1713</v>
      </c>
      <c r="I36" s="739" t="s">
        <v>1730</v>
      </c>
      <c r="J36" s="741" t="s">
        <v>1630</v>
      </c>
      <c r="K36" s="741" t="s">
        <v>1445</v>
      </c>
      <c r="L36" s="742" t="s">
        <v>1655</v>
      </c>
      <c r="M36" s="743">
        <v>17540000</v>
      </c>
      <c r="N36" s="744">
        <v>0.7</v>
      </c>
      <c r="O36" s="745">
        <v>0</v>
      </c>
      <c r="P36" s="744">
        <v>0</v>
      </c>
      <c r="Q36" s="745">
        <v>7517142.8571428573</v>
      </c>
      <c r="R36" s="744">
        <v>0.3</v>
      </c>
      <c r="S36" s="745">
        <v>25057142.857142858</v>
      </c>
      <c r="T36" s="739" t="s">
        <v>1632</v>
      </c>
      <c r="U36" s="739" t="s">
        <v>1723</v>
      </c>
      <c r="V36" s="739" t="s">
        <v>1634</v>
      </c>
      <c r="W36" s="746">
        <v>50</v>
      </c>
      <c r="X36" s="746">
        <v>300</v>
      </c>
      <c r="Y36" s="746" t="s">
        <v>1635</v>
      </c>
      <c r="Z36" s="739" t="s">
        <v>1636</v>
      </c>
      <c r="AA36" s="739" t="s">
        <v>1634</v>
      </c>
      <c r="AB36" s="747">
        <v>0</v>
      </c>
      <c r="AC36" s="747">
        <v>150</v>
      </c>
    </row>
    <row r="37" spans="1:29" s="708" customFormat="1" ht="30" x14ac:dyDescent="0.3">
      <c r="B37" s="748">
        <v>1</v>
      </c>
      <c r="C37" s="751"/>
      <c r="D37" s="750"/>
      <c r="E37" s="751"/>
      <c r="F37" s="752"/>
      <c r="G37" s="752" t="s">
        <v>1729</v>
      </c>
      <c r="H37" s="751"/>
      <c r="I37" s="751"/>
      <c r="J37" s="754"/>
      <c r="K37" s="754"/>
      <c r="L37" s="754"/>
      <c r="M37" s="773"/>
      <c r="N37" s="757"/>
      <c r="O37" s="758"/>
      <c r="P37" s="757"/>
      <c r="Q37" s="758"/>
      <c r="R37" s="757"/>
      <c r="S37" s="758"/>
      <c r="T37" s="739" t="s">
        <v>1731</v>
      </c>
      <c r="U37" s="739" t="s">
        <v>1732</v>
      </c>
      <c r="V37" s="739" t="s">
        <v>1634</v>
      </c>
      <c r="W37" s="746">
        <v>50</v>
      </c>
      <c r="X37" s="746">
        <v>300</v>
      </c>
      <c r="Y37" s="746"/>
      <c r="Z37" s="739"/>
      <c r="AA37" s="739"/>
      <c r="AB37" s="747"/>
      <c r="AC37" s="747"/>
    </row>
    <row r="38" spans="1:29" s="709" customFormat="1" ht="60" x14ac:dyDescent="0.3">
      <c r="A38" s="711"/>
      <c r="B38" s="774">
        <v>1</v>
      </c>
      <c r="C38" s="760" t="s">
        <v>1624</v>
      </c>
      <c r="D38" s="775">
        <v>1</v>
      </c>
      <c r="E38" s="760" t="s">
        <v>1710</v>
      </c>
      <c r="F38" s="776" t="s">
        <v>1711</v>
      </c>
      <c r="G38" s="776" t="s">
        <v>1733</v>
      </c>
      <c r="H38" s="760" t="s">
        <v>1713</v>
      </c>
      <c r="I38" s="760" t="s">
        <v>1734</v>
      </c>
      <c r="J38" s="774" t="s">
        <v>1630</v>
      </c>
      <c r="K38" s="777" t="s">
        <v>1445</v>
      </c>
      <c r="L38" s="778" t="s">
        <v>1655</v>
      </c>
      <c r="M38" s="779">
        <v>5770000</v>
      </c>
      <c r="N38" s="780">
        <v>0.7</v>
      </c>
      <c r="O38" s="781">
        <v>2472857.1428571432</v>
      </c>
      <c r="P38" s="780">
        <v>0.3</v>
      </c>
      <c r="Q38" s="781">
        <v>0</v>
      </c>
      <c r="R38" s="780">
        <v>0</v>
      </c>
      <c r="S38" s="781">
        <v>8242857.1428571437</v>
      </c>
      <c r="T38" s="760" t="s">
        <v>1632</v>
      </c>
      <c r="U38" s="760" t="s">
        <v>1723</v>
      </c>
      <c r="V38" s="761" t="s">
        <v>1634</v>
      </c>
      <c r="W38" s="762">
        <v>800</v>
      </c>
      <c r="X38" s="762">
        <v>2800</v>
      </c>
      <c r="Y38" s="762"/>
      <c r="Z38" s="760"/>
      <c r="AA38" s="761"/>
      <c r="AB38" s="782"/>
      <c r="AC38" s="782"/>
    </row>
    <row r="39" spans="1:29" s="708" customFormat="1" ht="30" x14ac:dyDescent="0.3">
      <c r="B39" s="748">
        <v>1</v>
      </c>
      <c r="C39" s="751"/>
      <c r="D39" s="748">
        <v>1</v>
      </c>
      <c r="E39" s="751"/>
      <c r="F39" s="752"/>
      <c r="G39" s="752" t="s">
        <v>1733</v>
      </c>
      <c r="H39" s="751"/>
      <c r="I39" s="751"/>
      <c r="J39" s="783"/>
      <c r="K39" s="783"/>
      <c r="L39" s="783"/>
      <c r="M39" s="773"/>
      <c r="N39" s="757"/>
      <c r="O39" s="758"/>
      <c r="P39" s="757"/>
      <c r="Q39" s="758"/>
      <c r="R39" s="757"/>
      <c r="S39" s="758"/>
      <c r="T39" s="739" t="s">
        <v>1642</v>
      </c>
      <c r="U39" s="739" t="s">
        <v>1643</v>
      </c>
      <c r="V39" s="739" t="s">
        <v>1634</v>
      </c>
      <c r="W39" s="746">
        <v>800</v>
      </c>
      <c r="X39" s="746">
        <v>2800</v>
      </c>
      <c r="Y39" s="746"/>
      <c r="Z39" s="739"/>
      <c r="AA39" s="739"/>
      <c r="AB39" s="747"/>
      <c r="AC39" s="747"/>
    </row>
    <row r="40" spans="1:29" s="708" customFormat="1" ht="60" x14ac:dyDescent="0.3">
      <c r="B40" s="736">
        <v>1</v>
      </c>
      <c r="C40" s="737" t="s">
        <v>1624</v>
      </c>
      <c r="D40" s="736">
        <v>1</v>
      </c>
      <c r="E40" s="742" t="s">
        <v>1735</v>
      </c>
      <c r="F40" s="740" t="s">
        <v>1736</v>
      </c>
      <c r="G40" s="740" t="s">
        <v>1737</v>
      </c>
      <c r="H40" s="739" t="s">
        <v>1713</v>
      </c>
      <c r="I40" s="739" t="s">
        <v>1738</v>
      </c>
      <c r="J40" s="736" t="s">
        <v>1630</v>
      </c>
      <c r="K40" s="741" t="s">
        <v>1445</v>
      </c>
      <c r="L40" s="742" t="s">
        <v>1655</v>
      </c>
      <c r="M40" s="784">
        <v>3000000</v>
      </c>
      <c r="N40" s="744">
        <v>0.7</v>
      </c>
      <c r="O40" s="745">
        <v>1285714.2857142859</v>
      </c>
      <c r="P40" s="744">
        <v>0.3</v>
      </c>
      <c r="Q40" s="745">
        <v>0</v>
      </c>
      <c r="R40" s="744">
        <v>0</v>
      </c>
      <c r="S40" s="745">
        <v>4285714.2857142854</v>
      </c>
      <c r="T40" s="739" t="s">
        <v>1739</v>
      </c>
      <c r="U40" s="739" t="s">
        <v>1740</v>
      </c>
      <c r="V40" s="739" t="s">
        <v>1634</v>
      </c>
      <c r="W40" s="746">
        <v>2250</v>
      </c>
      <c r="X40" s="746">
        <v>7900</v>
      </c>
      <c r="Y40" s="746" t="s">
        <v>1741</v>
      </c>
      <c r="Z40" s="739" t="s">
        <v>1742</v>
      </c>
      <c r="AA40" s="739" t="s">
        <v>1743</v>
      </c>
      <c r="AB40" s="759">
        <v>0</v>
      </c>
      <c r="AC40" s="759">
        <v>23700</v>
      </c>
    </row>
    <row r="41" spans="1:29" s="708" customFormat="1" ht="90" x14ac:dyDescent="0.3">
      <c r="B41" s="736">
        <v>1</v>
      </c>
      <c r="C41" s="785" t="s">
        <v>1624</v>
      </c>
      <c r="D41" s="736">
        <v>1</v>
      </c>
      <c r="E41" s="742" t="s">
        <v>1735</v>
      </c>
      <c r="F41" s="739" t="s">
        <v>1736</v>
      </c>
      <c r="G41" s="764" t="s">
        <v>1744</v>
      </c>
      <c r="H41" s="739" t="s">
        <v>1652</v>
      </c>
      <c r="I41" s="739" t="s">
        <v>1745</v>
      </c>
      <c r="J41" s="736" t="s">
        <v>1630</v>
      </c>
      <c r="K41" s="741" t="s">
        <v>1654</v>
      </c>
      <c r="L41" s="741" t="s">
        <v>1655</v>
      </c>
      <c r="M41" s="743">
        <v>4900000</v>
      </c>
      <c r="N41" s="744">
        <v>0.7</v>
      </c>
      <c r="O41" s="745">
        <v>1400000</v>
      </c>
      <c r="P41" s="744">
        <v>0.2</v>
      </c>
      <c r="Q41" s="745">
        <v>700000</v>
      </c>
      <c r="R41" s="744">
        <v>0.1</v>
      </c>
      <c r="S41" s="745">
        <v>7000000</v>
      </c>
      <c r="T41" s="740" t="s">
        <v>1746</v>
      </c>
      <c r="U41" s="739" t="s">
        <v>1747</v>
      </c>
      <c r="V41" s="739" t="s">
        <v>1693</v>
      </c>
      <c r="W41" s="746">
        <v>10</v>
      </c>
      <c r="X41" s="746">
        <v>20</v>
      </c>
      <c r="Y41" s="746" t="s">
        <v>1748</v>
      </c>
      <c r="Z41" s="739" t="s">
        <v>1749</v>
      </c>
      <c r="AA41" s="739" t="s">
        <v>1750</v>
      </c>
      <c r="AB41" s="747">
        <v>0</v>
      </c>
      <c r="AC41" s="747" t="s">
        <v>1751</v>
      </c>
    </row>
    <row r="42" spans="1:29" s="708" customFormat="1" ht="90" x14ac:dyDescent="0.3">
      <c r="B42" s="736">
        <v>1</v>
      </c>
      <c r="C42" s="785" t="s">
        <v>1624</v>
      </c>
      <c r="D42" s="736">
        <v>1</v>
      </c>
      <c r="E42" s="742" t="s">
        <v>1735</v>
      </c>
      <c r="F42" s="739" t="s">
        <v>1736</v>
      </c>
      <c r="G42" s="764" t="s">
        <v>1752</v>
      </c>
      <c r="H42" s="739" t="s">
        <v>1753</v>
      </c>
      <c r="I42" s="739" t="s">
        <v>1754</v>
      </c>
      <c r="J42" s="736" t="s">
        <v>1630</v>
      </c>
      <c r="K42" s="741" t="s">
        <v>1678</v>
      </c>
      <c r="L42" s="741" t="s">
        <v>1655</v>
      </c>
      <c r="M42" s="743">
        <v>2800000</v>
      </c>
      <c r="N42" s="744">
        <v>0.7</v>
      </c>
      <c r="O42" s="745">
        <v>1200000</v>
      </c>
      <c r="P42" s="744">
        <v>0.3</v>
      </c>
      <c r="Q42" s="745">
        <v>0</v>
      </c>
      <c r="R42" s="744">
        <v>0</v>
      </c>
      <c r="S42" s="745">
        <v>4000000</v>
      </c>
      <c r="T42" s="740" t="s">
        <v>1746</v>
      </c>
      <c r="U42" s="739" t="s">
        <v>1747</v>
      </c>
      <c r="V42" s="739" t="s">
        <v>1755</v>
      </c>
      <c r="W42" s="746">
        <v>25</v>
      </c>
      <c r="X42" s="746">
        <v>50</v>
      </c>
      <c r="Y42" s="746" t="s">
        <v>1748</v>
      </c>
      <c r="Z42" s="739" t="s">
        <v>1749</v>
      </c>
      <c r="AA42" s="739" t="s">
        <v>1750</v>
      </c>
      <c r="AB42" s="747">
        <v>0</v>
      </c>
      <c r="AC42" s="747">
        <v>300</v>
      </c>
    </row>
    <row r="43" spans="1:29" s="708" customFormat="1" ht="30" x14ac:dyDescent="0.3">
      <c r="B43" s="736">
        <v>1</v>
      </c>
      <c r="C43" s="737" t="s">
        <v>1624</v>
      </c>
      <c r="D43" s="738">
        <v>2</v>
      </c>
      <c r="E43" s="739" t="s">
        <v>1756</v>
      </c>
      <c r="F43" s="740" t="s">
        <v>1757</v>
      </c>
      <c r="G43" s="740" t="s">
        <v>1758</v>
      </c>
      <c r="H43" s="739" t="s">
        <v>1759</v>
      </c>
      <c r="I43" s="739" t="s">
        <v>1760</v>
      </c>
      <c r="J43" s="736" t="s">
        <v>1630</v>
      </c>
      <c r="K43" s="741" t="s">
        <v>1445</v>
      </c>
      <c r="L43" s="741" t="s">
        <v>1655</v>
      </c>
      <c r="M43" s="743">
        <v>63720000</v>
      </c>
      <c r="N43" s="744">
        <v>0.6</v>
      </c>
      <c r="O43" s="745">
        <v>0</v>
      </c>
      <c r="P43" s="744">
        <v>0</v>
      </c>
      <c r="Q43" s="745">
        <v>42480000</v>
      </c>
      <c r="R43" s="744">
        <v>0.4</v>
      </c>
      <c r="S43" s="745">
        <v>106200000</v>
      </c>
      <c r="T43" s="739" t="s">
        <v>1761</v>
      </c>
      <c r="U43" s="739" t="s">
        <v>1762</v>
      </c>
      <c r="V43" s="739" t="s">
        <v>1763</v>
      </c>
      <c r="W43" s="746">
        <v>3000</v>
      </c>
      <c r="X43" s="746">
        <v>14500</v>
      </c>
      <c r="Y43" s="746" t="s">
        <v>1764</v>
      </c>
      <c r="Z43" s="739" t="s">
        <v>1765</v>
      </c>
      <c r="AA43" s="739" t="s">
        <v>1763</v>
      </c>
      <c r="AB43" s="747">
        <v>0</v>
      </c>
      <c r="AC43" s="747">
        <v>4800</v>
      </c>
    </row>
    <row r="44" spans="1:29" s="708" customFormat="1" ht="45" x14ac:dyDescent="0.3">
      <c r="A44" s="786"/>
      <c r="B44" s="748">
        <v>1</v>
      </c>
      <c r="C44" s="749"/>
      <c r="D44" s="750"/>
      <c r="E44" s="751"/>
      <c r="F44" s="752"/>
      <c r="G44" s="752" t="s">
        <v>1758</v>
      </c>
      <c r="H44" s="751"/>
      <c r="I44" s="751"/>
      <c r="J44" s="753"/>
      <c r="K44" s="754"/>
      <c r="L44" s="754"/>
      <c r="M44" s="756"/>
      <c r="N44" s="787"/>
      <c r="O44" s="758"/>
      <c r="P44" s="757"/>
      <c r="Q44" s="758"/>
      <c r="R44" s="757"/>
      <c r="S44" s="758"/>
      <c r="T44" s="739" t="s">
        <v>1766</v>
      </c>
      <c r="U44" s="739" t="s">
        <v>1767</v>
      </c>
      <c r="V44" s="739" t="s">
        <v>1634</v>
      </c>
      <c r="W44" s="746">
        <v>200</v>
      </c>
      <c r="X44" s="746">
        <v>500</v>
      </c>
      <c r="Y44" s="746" t="s">
        <v>1768</v>
      </c>
      <c r="Z44" s="739" t="s">
        <v>1769</v>
      </c>
      <c r="AA44" s="739" t="s">
        <v>1634</v>
      </c>
      <c r="AB44" s="747">
        <v>0</v>
      </c>
      <c r="AC44" s="747">
        <v>200</v>
      </c>
    </row>
    <row r="45" spans="1:29" s="708" customFormat="1" ht="30" x14ac:dyDescent="0.3">
      <c r="B45" s="748">
        <v>1</v>
      </c>
      <c r="C45" s="749"/>
      <c r="D45" s="750"/>
      <c r="E45" s="751"/>
      <c r="F45" s="752"/>
      <c r="G45" s="752" t="s">
        <v>1758</v>
      </c>
      <c r="H45" s="751"/>
      <c r="I45" s="751"/>
      <c r="J45" s="753"/>
      <c r="K45" s="754"/>
      <c r="L45" s="754"/>
      <c r="M45" s="756"/>
      <c r="N45" s="787"/>
      <c r="O45" s="758"/>
      <c r="P45" s="757"/>
      <c r="Q45" s="758"/>
      <c r="R45" s="757"/>
      <c r="S45" s="758"/>
      <c r="T45" s="739" t="s">
        <v>1770</v>
      </c>
      <c r="U45" s="739" t="s">
        <v>1771</v>
      </c>
      <c r="V45" s="739" t="s">
        <v>1772</v>
      </c>
      <c r="W45" s="746">
        <v>0</v>
      </c>
      <c r="X45" s="746">
        <v>200</v>
      </c>
      <c r="Y45" s="746" t="s">
        <v>1773</v>
      </c>
      <c r="Z45" s="739" t="s">
        <v>1774</v>
      </c>
      <c r="AA45" s="739" t="s">
        <v>1775</v>
      </c>
      <c r="AB45" s="747">
        <v>0</v>
      </c>
      <c r="AC45" s="747">
        <v>5</v>
      </c>
    </row>
    <row r="46" spans="1:29" s="708" customFormat="1" ht="45" x14ac:dyDescent="0.3">
      <c r="A46" s="708" t="s">
        <v>558</v>
      </c>
      <c r="B46" s="736">
        <v>2</v>
      </c>
      <c r="C46" s="737" t="s">
        <v>1776</v>
      </c>
      <c r="D46" s="738">
        <v>3</v>
      </c>
      <c r="E46" s="739" t="s">
        <v>1777</v>
      </c>
      <c r="F46" s="740" t="s">
        <v>1778</v>
      </c>
      <c r="G46" s="740" t="s">
        <v>1779</v>
      </c>
      <c r="H46" s="737" t="s">
        <v>1780</v>
      </c>
      <c r="I46" s="739" t="s">
        <v>1781</v>
      </c>
      <c r="J46" s="736" t="s">
        <v>1630</v>
      </c>
      <c r="K46" s="741" t="s">
        <v>1445</v>
      </c>
      <c r="L46" s="742" t="s">
        <v>1631</v>
      </c>
      <c r="M46" s="743">
        <v>330900000</v>
      </c>
      <c r="N46" s="744">
        <v>0.4</v>
      </c>
      <c r="O46" s="745">
        <v>0</v>
      </c>
      <c r="P46" s="744">
        <v>0</v>
      </c>
      <c r="Q46" s="745">
        <v>496350000</v>
      </c>
      <c r="R46" s="744">
        <v>0.6</v>
      </c>
      <c r="S46" s="745">
        <v>827250000</v>
      </c>
      <c r="T46" s="739" t="s">
        <v>1782</v>
      </c>
      <c r="U46" s="739" t="s">
        <v>1783</v>
      </c>
      <c r="V46" s="739" t="s">
        <v>1763</v>
      </c>
      <c r="W46" s="746">
        <v>13800</v>
      </c>
      <c r="X46" s="746">
        <v>32000</v>
      </c>
      <c r="Y46" s="746" t="s">
        <v>1784</v>
      </c>
      <c r="Z46" s="739" t="s">
        <v>1785</v>
      </c>
      <c r="AA46" s="739" t="s">
        <v>1786</v>
      </c>
      <c r="AB46" s="747">
        <v>467000</v>
      </c>
      <c r="AC46" s="747">
        <v>450500</v>
      </c>
    </row>
    <row r="47" spans="1:29" s="708" customFormat="1" ht="30" x14ac:dyDescent="0.3">
      <c r="B47" s="748">
        <v>2</v>
      </c>
      <c r="C47" s="749"/>
      <c r="D47" s="750"/>
      <c r="E47" s="751"/>
      <c r="F47" s="752"/>
      <c r="G47" s="752" t="s">
        <v>1779</v>
      </c>
      <c r="H47" s="751"/>
      <c r="I47" s="751"/>
      <c r="J47" s="753"/>
      <c r="K47" s="754"/>
      <c r="L47" s="755"/>
      <c r="M47" s="756"/>
      <c r="N47" s="757"/>
      <c r="O47" s="758"/>
      <c r="P47" s="757"/>
      <c r="Q47" s="758"/>
      <c r="R47" s="757"/>
      <c r="S47" s="758"/>
      <c r="T47" s="739" t="s">
        <v>1787</v>
      </c>
      <c r="U47" s="760" t="s">
        <v>1788</v>
      </c>
      <c r="V47" s="760" t="s">
        <v>1763</v>
      </c>
      <c r="W47" s="762">
        <v>3600</v>
      </c>
      <c r="X47" s="762">
        <v>8100</v>
      </c>
      <c r="Y47" s="762" t="s">
        <v>1789</v>
      </c>
      <c r="Z47" s="760" t="s">
        <v>1790</v>
      </c>
      <c r="AA47" s="760" t="s">
        <v>1791</v>
      </c>
      <c r="AB47" s="782">
        <v>3100000</v>
      </c>
      <c r="AC47" s="770">
        <v>2964500</v>
      </c>
    </row>
    <row r="48" spans="1:29" s="708" customFormat="1" ht="60" x14ac:dyDescent="0.3">
      <c r="B48" s="736">
        <v>2</v>
      </c>
      <c r="C48" s="737" t="s">
        <v>1776</v>
      </c>
      <c r="D48" s="738">
        <v>3</v>
      </c>
      <c r="E48" s="739" t="s">
        <v>1777</v>
      </c>
      <c r="F48" s="740" t="s">
        <v>1778</v>
      </c>
      <c r="G48" s="740" t="s">
        <v>1792</v>
      </c>
      <c r="H48" s="737" t="s">
        <v>1793</v>
      </c>
      <c r="I48" s="739" t="s">
        <v>1794</v>
      </c>
      <c r="J48" s="736" t="s">
        <v>1630</v>
      </c>
      <c r="K48" s="741" t="s">
        <v>1445</v>
      </c>
      <c r="L48" s="741" t="s">
        <v>1438</v>
      </c>
      <c r="M48" s="743">
        <v>22500000</v>
      </c>
      <c r="N48" s="744">
        <v>0.5</v>
      </c>
      <c r="O48" s="745">
        <v>0</v>
      </c>
      <c r="P48" s="744">
        <v>0</v>
      </c>
      <c r="Q48" s="745">
        <v>22500000</v>
      </c>
      <c r="R48" s="744">
        <v>0.5</v>
      </c>
      <c r="S48" s="745">
        <v>45000000</v>
      </c>
      <c r="T48" s="739" t="s">
        <v>1795</v>
      </c>
      <c r="U48" s="739" t="s">
        <v>1796</v>
      </c>
      <c r="V48" s="739" t="s">
        <v>1259</v>
      </c>
      <c r="W48" s="746">
        <v>15</v>
      </c>
      <c r="X48" s="746">
        <v>55</v>
      </c>
      <c r="Y48" s="746" t="s">
        <v>1784</v>
      </c>
      <c r="Z48" s="739" t="s">
        <v>1785</v>
      </c>
      <c r="AA48" s="739" t="s">
        <v>1786</v>
      </c>
      <c r="AB48" s="759">
        <v>1701000</v>
      </c>
      <c r="AC48" s="759">
        <v>1687730</v>
      </c>
    </row>
    <row r="49" spans="1:29" s="708" customFormat="1" ht="30" x14ac:dyDescent="0.3">
      <c r="B49" s="748">
        <v>2</v>
      </c>
      <c r="C49" s="749"/>
      <c r="D49" s="750"/>
      <c r="E49" s="751"/>
      <c r="F49" s="752"/>
      <c r="G49" s="752" t="s">
        <v>1792</v>
      </c>
      <c r="H49" s="751"/>
      <c r="I49" s="751"/>
      <c r="J49" s="753"/>
      <c r="K49" s="754"/>
      <c r="L49" s="754"/>
      <c r="M49" s="756"/>
      <c r="N49" s="757"/>
      <c r="O49" s="758"/>
      <c r="P49" s="757"/>
      <c r="Q49" s="758"/>
      <c r="R49" s="757"/>
      <c r="S49" s="758"/>
      <c r="T49" s="739" t="s">
        <v>1797</v>
      </c>
      <c r="U49" s="739" t="s">
        <v>1798</v>
      </c>
      <c r="V49" s="739" t="s">
        <v>1799</v>
      </c>
      <c r="W49" s="746">
        <v>7</v>
      </c>
      <c r="X49" s="746">
        <v>21</v>
      </c>
      <c r="Y49" s="746"/>
      <c r="Z49" s="739"/>
      <c r="AA49" s="739"/>
      <c r="AB49" s="747"/>
      <c r="AC49" s="747"/>
    </row>
    <row r="50" spans="1:29" s="708" customFormat="1" ht="30" x14ac:dyDescent="0.3">
      <c r="A50" s="708" t="s">
        <v>584</v>
      </c>
      <c r="B50" s="736">
        <v>2</v>
      </c>
      <c r="C50" s="737" t="s">
        <v>1776</v>
      </c>
      <c r="D50" s="738">
        <v>3</v>
      </c>
      <c r="E50" s="739" t="s">
        <v>1777</v>
      </c>
      <c r="F50" s="740" t="s">
        <v>1778</v>
      </c>
      <c r="G50" s="740" t="s">
        <v>1800</v>
      </c>
      <c r="H50" s="737" t="s">
        <v>1801</v>
      </c>
      <c r="I50" s="739" t="s">
        <v>1802</v>
      </c>
      <c r="J50" s="736" t="s">
        <v>1803</v>
      </c>
      <c r="K50" s="741" t="s">
        <v>1804</v>
      </c>
      <c r="L50" s="741" t="s">
        <v>1655</v>
      </c>
      <c r="M50" s="743">
        <v>30000000</v>
      </c>
      <c r="N50" s="744">
        <v>0.85</v>
      </c>
      <c r="O50" s="745">
        <v>3529411.7647058824</v>
      </c>
      <c r="P50" s="744">
        <v>0.1</v>
      </c>
      <c r="Q50" s="745">
        <v>1764705.8823529412</v>
      </c>
      <c r="R50" s="744">
        <v>0.05</v>
      </c>
      <c r="S50" s="745">
        <v>35294117.647058822</v>
      </c>
      <c r="T50" s="740" t="s">
        <v>1805</v>
      </c>
      <c r="U50" s="739" t="s">
        <v>1806</v>
      </c>
      <c r="V50" s="739" t="s">
        <v>1140</v>
      </c>
      <c r="W50" s="746">
        <v>0</v>
      </c>
      <c r="X50" s="746">
        <v>40000</v>
      </c>
      <c r="Y50" s="746" t="s">
        <v>1807</v>
      </c>
      <c r="Z50" s="739" t="s">
        <v>1808</v>
      </c>
      <c r="AA50" s="739" t="s">
        <v>1707</v>
      </c>
      <c r="AB50" s="747">
        <v>0</v>
      </c>
      <c r="AC50" s="747">
        <v>2</v>
      </c>
    </row>
    <row r="51" spans="1:29" s="708" customFormat="1" ht="45" x14ac:dyDescent="0.3">
      <c r="B51" s="736">
        <v>2</v>
      </c>
      <c r="C51" s="737" t="s">
        <v>1776</v>
      </c>
      <c r="D51" s="738">
        <v>3</v>
      </c>
      <c r="E51" s="739" t="s">
        <v>1777</v>
      </c>
      <c r="F51" s="740" t="s">
        <v>1778</v>
      </c>
      <c r="G51" s="740" t="s">
        <v>1809</v>
      </c>
      <c r="H51" s="737" t="s">
        <v>1810</v>
      </c>
      <c r="I51" s="739" t="s">
        <v>1811</v>
      </c>
      <c r="J51" s="736" t="s">
        <v>1630</v>
      </c>
      <c r="K51" s="741" t="s">
        <v>1812</v>
      </c>
      <c r="L51" s="742" t="s">
        <v>1631</v>
      </c>
      <c r="M51" s="743">
        <v>18500000</v>
      </c>
      <c r="N51" s="744">
        <v>0.7</v>
      </c>
      <c r="O51" s="745">
        <v>0</v>
      </c>
      <c r="P51" s="744">
        <v>0</v>
      </c>
      <c r="Q51" s="745">
        <v>7928571.4285714282</v>
      </c>
      <c r="R51" s="744">
        <v>0.3</v>
      </c>
      <c r="S51" s="745">
        <v>26428571.428571429</v>
      </c>
      <c r="T51" s="740" t="s">
        <v>1813</v>
      </c>
      <c r="U51" s="739" t="s">
        <v>1814</v>
      </c>
      <c r="V51" s="739" t="s">
        <v>1815</v>
      </c>
      <c r="W51" s="746">
        <v>230</v>
      </c>
      <c r="X51" s="746">
        <v>1850</v>
      </c>
      <c r="Y51" s="746"/>
      <c r="Z51" s="739"/>
      <c r="AA51" s="739"/>
      <c r="AB51" s="747"/>
      <c r="AC51" s="747"/>
    </row>
    <row r="52" spans="1:29" s="708" customFormat="1" ht="45" x14ac:dyDescent="0.3">
      <c r="B52" s="736">
        <v>2</v>
      </c>
      <c r="C52" s="737" t="s">
        <v>1776</v>
      </c>
      <c r="D52" s="738">
        <v>3</v>
      </c>
      <c r="E52" s="739" t="s">
        <v>1777</v>
      </c>
      <c r="F52" s="740" t="s">
        <v>1778</v>
      </c>
      <c r="G52" s="740" t="s">
        <v>1816</v>
      </c>
      <c r="H52" s="737" t="s">
        <v>1810</v>
      </c>
      <c r="I52" s="739" t="s">
        <v>1817</v>
      </c>
      <c r="J52" s="736" t="s">
        <v>1630</v>
      </c>
      <c r="K52" s="741" t="s">
        <v>1812</v>
      </c>
      <c r="L52" s="742" t="s">
        <v>1438</v>
      </c>
      <c r="M52" s="743">
        <v>10000000</v>
      </c>
      <c r="N52" s="744">
        <v>0.7</v>
      </c>
      <c r="O52" s="745">
        <v>4285714.2857142864</v>
      </c>
      <c r="P52" s="744">
        <v>0.3</v>
      </c>
      <c r="Q52" s="745">
        <v>0</v>
      </c>
      <c r="R52" s="744">
        <v>0</v>
      </c>
      <c r="S52" s="745">
        <v>14285714.285714287</v>
      </c>
      <c r="T52" s="740" t="s">
        <v>1818</v>
      </c>
      <c r="U52" s="739" t="s">
        <v>1819</v>
      </c>
      <c r="V52" s="739" t="s">
        <v>1707</v>
      </c>
      <c r="W52" s="746">
        <v>4</v>
      </c>
      <c r="X52" s="746">
        <v>16</v>
      </c>
      <c r="Y52" s="746"/>
      <c r="Z52" s="739"/>
      <c r="AA52" s="739"/>
      <c r="AB52" s="747"/>
      <c r="AC52" s="747"/>
    </row>
    <row r="53" spans="1:29" s="708" customFormat="1" ht="45" x14ac:dyDescent="0.3">
      <c r="B53" s="736">
        <v>2</v>
      </c>
      <c r="C53" s="737" t="s">
        <v>1776</v>
      </c>
      <c r="D53" s="738">
        <v>3</v>
      </c>
      <c r="E53" s="739" t="s">
        <v>1777</v>
      </c>
      <c r="F53" s="740" t="s">
        <v>1778</v>
      </c>
      <c r="G53" s="740" t="s">
        <v>1820</v>
      </c>
      <c r="H53" s="737" t="s">
        <v>1780</v>
      </c>
      <c r="I53" s="739" t="s">
        <v>1821</v>
      </c>
      <c r="J53" s="736" t="s">
        <v>1630</v>
      </c>
      <c r="K53" s="741" t="s">
        <v>1445</v>
      </c>
      <c r="L53" s="742" t="s">
        <v>1631</v>
      </c>
      <c r="M53" s="743">
        <v>35100000</v>
      </c>
      <c r="N53" s="744">
        <v>1</v>
      </c>
      <c r="O53" s="745">
        <v>0</v>
      </c>
      <c r="P53" s="744">
        <v>0</v>
      </c>
      <c r="Q53" s="745">
        <v>0</v>
      </c>
      <c r="R53" s="744">
        <v>0</v>
      </c>
      <c r="S53" s="745">
        <v>35100000</v>
      </c>
      <c r="T53" s="739" t="s">
        <v>1822</v>
      </c>
      <c r="U53" s="760" t="s">
        <v>1823</v>
      </c>
      <c r="V53" s="761" t="s">
        <v>1815</v>
      </c>
      <c r="W53" s="762">
        <v>40</v>
      </c>
      <c r="X53" s="762">
        <v>100</v>
      </c>
      <c r="Y53" s="762"/>
      <c r="Z53" s="739"/>
      <c r="AA53" s="739"/>
      <c r="AB53" s="747"/>
      <c r="AC53" s="747"/>
    </row>
    <row r="54" spans="1:29" s="708" customFormat="1" ht="60" x14ac:dyDescent="0.3">
      <c r="B54" s="736">
        <v>2</v>
      </c>
      <c r="C54" s="737" t="s">
        <v>1776</v>
      </c>
      <c r="D54" s="738">
        <v>3</v>
      </c>
      <c r="E54" s="739" t="s">
        <v>1824</v>
      </c>
      <c r="F54" s="740" t="s">
        <v>1825</v>
      </c>
      <c r="G54" s="740" t="s">
        <v>1826</v>
      </c>
      <c r="H54" s="739" t="s">
        <v>1793</v>
      </c>
      <c r="I54" s="760" t="s">
        <v>1827</v>
      </c>
      <c r="J54" s="736" t="s">
        <v>1630</v>
      </c>
      <c r="K54" s="741" t="s">
        <v>1445</v>
      </c>
      <c r="L54" s="741" t="s">
        <v>1438</v>
      </c>
      <c r="M54" s="743">
        <v>12000000</v>
      </c>
      <c r="N54" s="744">
        <v>0.5</v>
      </c>
      <c r="O54" s="745">
        <v>0</v>
      </c>
      <c r="P54" s="744">
        <v>0</v>
      </c>
      <c r="Q54" s="745">
        <v>12000000</v>
      </c>
      <c r="R54" s="744">
        <v>0.5</v>
      </c>
      <c r="S54" s="745">
        <v>24000000</v>
      </c>
      <c r="T54" s="739" t="s">
        <v>1828</v>
      </c>
      <c r="U54" s="739" t="s">
        <v>1829</v>
      </c>
      <c r="V54" s="739" t="s">
        <v>1830</v>
      </c>
      <c r="W54" s="746">
        <v>3</v>
      </c>
      <c r="X54" s="746">
        <v>10</v>
      </c>
      <c r="Y54" s="746" t="s">
        <v>1831</v>
      </c>
      <c r="Z54" s="739" t="s">
        <v>1832</v>
      </c>
      <c r="AA54" s="739" t="s">
        <v>77</v>
      </c>
      <c r="AB54" s="747">
        <v>0</v>
      </c>
      <c r="AC54" s="747">
        <v>45</v>
      </c>
    </row>
    <row r="55" spans="1:29" s="708" customFormat="1" x14ac:dyDescent="0.3">
      <c r="B55" s="748">
        <v>2</v>
      </c>
      <c r="C55" s="749"/>
      <c r="D55" s="750"/>
      <c r="E55" s="751"/>
      <c r="F55" s="752"/>
      <c r="G55" s="752" t="s">
        <v>1826</v>
      </c>
      <c r="H55" s="751"/>
      <c r="I55" s="751"/>
      <c r="J55" s="753"/>
      <c r="K55" s="754"/>
      <c r="L55" s="755"/>
      <c r="M55" s="756"/>
      <c r="N55" s="757"/>
      <c r="O55" s="758"/>
      <c r="P55" s="757"/>
      <c r="Q55" s="758"/>
      <c r="R55" s="757"/>
      <c r="S55" s="758"/>
      <c r="T55" s="739" t="s">
        <v>1833</v>
      </c>
      <c r="U55" s="739" t="s">
        <v>1834</v>
      </c>
      <c r="V55" s="739" t="s">
        <v>1835</v>
      </c>
      <c r="W55" s="746">
        <v>10</v>
      </c>
      <c r="X55" s="746">
        <v>160</v>
      </c>
      <c r="Y55" s="746"/>
      <c r="Z55" s="739"/>
      <c r="AA55" s="739"/>
      <c r="AB55" s="747"/>
      <c r="AC55" s="747"/>
    </row>
    <row r="56" spans="1:29" s="708" customFormat="1" ht="90" x14ac:dyDescent="0.3">
      <c r="B56" s="736">
        <v>2</v>
      </c>
      <c r="C56" s="737" t="s">
        <v>1776</v>
      </c>
      <c r="D56" s="738">
        <v>3</v>
      </c>
      <c r="E56" s="739" t="s">
        <v>1836</v>
      </c>
      <c r="F56" s="740" t="s">
        <v>1837</v>
      </c>
      <c r="G56" s="740" t="s">
        <v>1838</v>
      </c>
      <c r="H56" s="739" t="s">
        <v>1810</v>
      </c>
      <c r="I56" s="739" t="s">
        <v>1839</v>
      </c>
      <c r="J56" s="736" t="s">
        <v>1803</v>
      </c>
      <c r="K56" s="741" t="s">
        <v>1812</v>
      </c>
      <c r="L56" s="741" t="s">
        <v>1438</v>
      </c>
      <c r="M56" s="743">
        <v>42500000</v>
      </c>
      <c r="N56" s="744">
        <v>0.85</v>
      </c>
      <c r="O56" s="745">
        <v>2500000</v>
      </c>
      <c r="P56" s="744">
        <v>0.05</v>
      </c>
      <c r="Q56" s="745">
        <v>5000000</v>
      </c>
      <c r="R56" s="744">
        <v>0.1</v>
      </c>
      <c r="S56" s="745">
        <v>50000000</v>
      </c>
      <c r="T56" s="740" t="s">
        <v>1840</v>
      </c>
      <c r="U56" s="739" t="s">
        <v>1841</v>
      </c>
      <c r="V56" s="739" t="s">
        <v>1842</v>
      </c>
      <c r="W56" s="746">
        <v>120</v>
      </c>
      <c r="X56" s="746">
        <v>360</v>
      </c>
      <c r="Y56" s="746" t="s">
        <v>1843</v>
      </c>
      <c r="Z56" s="739" t="s">
        <v>1844</v>
      </c>
      <c r="AA56" s="739" t="s">
        <v>1845</v>
      </c>
      <c r="AB56" s="747">
        <v>0</v>
      </c>
      <c r="AC56" s="770">
        <v>73000</v>
      </c>
    </row>
    <row r="57" spans="1:29" s="708" customFormat="1" ht="75" x14ac:dyDescent="0.3">
      <c r="B57" s="748">
        <v>2</v>
      </c>
      <c r="C57" s="749"/>
      <c r="D57" s="750"/>
      <c r="E57" s="751"/>
      <c r="F57" s="752"/>
      <c r="G57" s="752" t="s">
        <v>1838</v>
      </c>
      <c r="H57" s="751"/>
      <c r="I57" s="751"/>
      <c r="J57" s="753"/>
      <c r="K57" s="754"/>
      <c r="L57" s="754"/>
      <c r="M57" s="756"/>
      <c r="N57" s="757"/>
      <c r="O57" s="758"/>
      <c r="P57" s="757"/>
      <c r="Q57" s="758"/>
      <c r="R57" s="757"/>
      <c r="S57" s="758"/>
      <c r="T57" s="740" t="s">
        <v>1846</v>
      </c>
      <c r="U57" s="739" t="s">
        <v>1847</v>
      </c>
      <c r="V57" s="739" t="s">
        <v>1848</v>
      </c>
      <c r="W57" s="746">
        <v>7</v>
      </c>
      <c r="X57" s="746">
        <v>60</v>
      </c>
      <c r="Y57" s="746" t="s">
        <v>1849</v>
      </c>
      <c r="Z57" s="739" t="s">
        <v>1850</v>
      </c>
      <c r="AA57" s="739" t="s">
        <v>68</v>
      </c>
      <c r="AB57" s="770">
        <v>59</v>
      </c>
      <c r="AC57" s="770">
        <v>85</v>
      </c>
    </row>
    <row r="58" spans="1:29" s="708" customFormat="1" ht="60" x14ac:dyDescent="0.3">
      <c r="B58" s="748">
        <v>2</v>
      </c>
      <c r="C58" s="749"/>
      <c r="D58" s="750"/>
      <c r="E58" s="751"/>
      <c r="F58" s="752"/>
      <c r="G58" s="752" t="s">
        <v>1838</v>
      </c>
      <c r="H58" s="751"/>
      <c r="I58" s="751"/>
      <c r="J58" s="753"/>
      <c r="K58" s="754"/>
      <c r="L58" s="754"/>
      <c r="M58" s="756"/>
      <c r="N58" s="757"/>
      <c r="O58" s="758"/>
      <c r="P58" s="757"/>
      <c r="Q58" s="758"/>
      <c r="R58" s="757"/>
      <c r="S58" s="758"/>
      <c r="T58" s="740" t="s">
        <v>1851</v>
      </c>
      <c r="U58" s="739" t="s">
        <v>1852</v>
      </c>
      <c r="V58" s="765" t="s">
        <v>1641</v>
      </c>
      <c r="W58" s="746">
        <v>3500000</v>
      </c>
      <c r="X58" s="746">
        <v>6141176</v>
      </c>
      <c r="Y58" s="746" t="s">
        <v>1853</v>
      </c>
      <c r="Z58" s="739" t="s">
        <v>1854</v>
      </c>
      <c r="AA58" s="739" t="s">
        <v>1845</v>
      </c>
      <c r="AB58" s="770">
        <v>0</v>
      </c>
      <c r="AC58" s="770">
        <v>200000</v>
      </c>
    </row>
    <row r="59" spans="1:29" s="708" customFormat="1" ht="45" x14ac:dyDescent="0.3">
      <c r="B59" s="748">
        <v>2</v>
      </c>
      <c r="C59" s="749"/>
      <c r="D59" s="750"/>
      <c r="E59" s="751"/>
      <c r="F59" s="752"/>
      <c r="G59" s="752" t="s">
        <v>1838</v>
      </c>
      <c r="H59" s="751"/>
      <c r="I59" s="751"/>
      <c r="J59" s="753"/>
      <c r="K59" s="754"/>
      <c r="L59" s="754"/>
      <c r="M59" s="756"/>
      <c r="N59" s="757"/>
      <c r="O59" s="758"/>
      <c r="P59" s="757"/>
      <c r="Q59" s="758"/>
      <c r="R59" s="757"/>
      <c r="S59" s="758"/>
      <c r="T59" s="740" t="s">
        <v>1855</v>
      </c>
      <c r="U59" s="739" t="s">
        <v>1856</v>
      </c>
      <c r="V59" s="765" t="s">
        <v>1842</v>
      </c>
      <c r="W59" s="746">
        <v>0</v>
      </c>
      <c r="X59" s="746">
        <v>300</v>
      </c>
      <c r="Y59" s="746" t="s">
        <v>1857</v>
      </c>
      <c r="Z59" s="739" t="s">
        <v>1858</v>
      </c>
      <c r="AA59" s="739" t="s">
        <v>1842</v>
      </c>
      <c r="AB59" s="770">
        <v>0</v>
      </c>
      <c r="AC59" s="770">
        <v>200</v>
      </c>
    </row>
    <row r="60" spans="1:29" s="708" customFormat="1" ht="75" x14ac:dyDescent="0.3">
      <c r="B60" s="736">
        <v>2</v>
      </c>
      <c r="C60" s="737" t="s">
        <v>1776</v>
      </c>
      <c r="D60" s="738">
        <v>3</v>
      </c>
      <c r="E60" s="739" t="s">
        <v>1836</v>
      </c>
      <c r="F60" s="740" t="s">
        <v>1837</v>
      </c>
      <c r="G60" s="740" t="s">
        <v>1859</v>
      </c>
      <c r="H60" s="739" t="s">
        <v>1860</v>
      </c>
      <c r="I60" s="739" t="s">
        <v>1861</v>
      </c>
      <c r="J60" s="736" t="s">
        <v>1803</v>
      </c>
      <c r="K60" s="741" t="s">
        <v>1812</v>
      </c>
      <c r="L60" s="741" t="s">
        <v>1438</v>
      </c>
      <c r="M60" s="743">
        <v>18550000</v>
      </c>
      <c r="N60" s="744">
        <v>0.85</v>
      </c>
      <c r="O60" s="745">
        <v>1091176.4705882354</v>
      </c>
      <c r="P60" s="744">
        <v>0.05</v>
      </c>
      <c r="Q60" s="745">
        <v>2182352.9411764708</v>
      </c>
      <c r="R60" s="744">
        <v>0.1</v>
      </c>
      <c r="S60" s="745">
        <v>21823529.411764707</v>
      </c>
      <c r="T60" s="740" t="s">
        <v>1862</v>
      </c>
      <c r="U60" s="739" t="s">
        <v>1863</v>
      </c>
      <c r="V60" s="765" t="s">
        <v>1842</v>
      </c>
      <c r="W60" s="746">
        <v>500</v>
      </c>
      <c r="X60" s="746">
        <v>11400</v>
      </c>
      <c r="Y60" s="746" t="s">
        <v>1864</v>
      </c>
      <c r="Z60" s="739" t="s">
        <v>1865</v>
      </c>
      <c r="AA60" s="739" t="s">
        <v>1866</v>
      </c>
      <c r="AB60" s="770">
        <v>0</v>
      </c>
      <c r="AC60" s="770">
        <v>60</v>
      </c>
    </row>
    <row r="61" spans="1:29" s="708" customFormat="1" ht="30" x14ac:dyDescent="0.3">
      <c r="B61" s="748">
        <v>2</v>
      </c>
      <c r="C61" s="749"/>
      <c r="D61" s="750"/>
      <c r="E61" s="751"/>
      <c r="F61" s="752"/>
      <c r="G61" s="752" t="s">
        <v>1859</v>
      </c>
      <c r="H61" s="751"/>
      <c r="I61" s="751"/>
      <c r="J61" s="753"/>
      <c r="K61" s="754"/>
      <c r="L61" s="754"/>
      <c r="M61" s="756"/>
      <c r="N61" s="757"/>
      <c r="O61" s="758"/>
      <c r="P61" s="757"/>
      <c r="Q61" s="758"/>
      <c r="R61" s="757"/>
      <c r="S61" s="758"/>
      <c r="T61" s="740" t="s">
        <v>1840</v>
      </c>
      <c r="U61" s="739" t="s">
        <v>1841</v>
      </c>
      <c r="V61" s="765" t="s">
        <v>1842</v>
      </c>
      <c r="W61" s="746">
        <v>0</v>
      </c>
      <c r="X61" s="746">
        <v>50</v>
      </c>
      <c r="Y61" s="746"/>
      <c r="Z61" s="739"/>
      <c r="AA61" s="739"/>
      <c r="AB61" s="770"/>
      <c r="AC61" s="770"/>
    </row>
    <row r="62" spans="1:29" s="708" customFormat="1" ht="75" x14ac:dyDescent="0.3">
      <c r="B62" s="736">
        <v>2</v>
      </c>
      <c r="C62" s="737" t="s">
        <v>1776</v>
      </c>
      <c r="D62" s="738">
        <v>3</v>
      </c>
      <c r="E62" s="739" t="s">
        <v>1836</v>
      </c>
      <c r="F62" s="740" t="s">
        <v>1837</v>
      </c>
      <c r="G62" s="740" t="s">
        <v>1867</v>
      </c>
      <c r="H62" s="739" t="s">
        <v>1868</v>
      </c>
      <c r="I62" s="739" t="s">
        <v>1869</v>
      </c>
      <c r="J62" s="736" t="s">
        <v>1803</v>
      </c>
      <c r="K62" s="741" t="s">
        <v>1870</v>
      </c>
      <c r="L62" s="741" t="s">
        <v>1438</v>
      </c>
      <c r="M62" s="743">
        <v>27925439.93</v>
      </c>
      <c r="N62" s="763">
        <v>0.86472218362477205</v>
      </c>
      <c r="O62" s="745">
        <v>4368677.7170588337</v>
      </c>
      <c r="P62" s="763">
        <v>0.13527781637522795</v>
      </c>
      <c r="Q62" s="745">
        <v>0</v>
      </c>
      <c r="R62" s="744">
        <v>0</v>
      </c>
      <c r="S62" s="745">
        <v>32294117.647058833</v>
      </c>
      <c r="T62" s="764" t="s">
        <v>1871</v>
      </c>
      <c r="U62" s="739" t="s">
        <v>1872</v>
      </c>
      <c r="V62" s="765" t="s">
        <v>1842</v>
      </c>
      <c r="W62" s="746">
        <v>720000</v>
      </c>
      <c r="X62" s="746">
        <v>1200000</v>
      </c>
      <c r="Y62" s="746" t="s">
        <v>1873</v>
      </c>
      <c r="Z62" s="739" t="s">
        <v>1874</v>
      </c>
      <c r="AA62" s="739" t="s">
        <v>1845</v>
      </c>
      <c r="AB62" s="770">
        <v>0</v>
      </c>
      <c r="AC62" s="770">
        <v>400000</v>
      </c>
    </row>
    <row r="63" spans="1:29" s="708" customFormat="1" ht="45" x14ac:dyDescent="0.3">
      <c r="A63" s="788"/>
      <c r="B63" s="748">
        <v>2</v>
      </c>
      <c r="C63" s="749"/>
      <c r="D63" s="750"/>
      <c r="E63" s="751"/>
      <c r="F63" s="752"/>
      <c r="G63" s="752" t="s">
        <v>1867</v>
      </c>
      <c r="H63" s="751"/>
      <c r="I63" s="751"/>
      <c r="J63" s="753"/>
      <c r="K63" s="754"/>
      <c r="L63" s="754"/>
      <c r="M63" s="756"/>
      <c r="N63" s="789"/>
      <c r="O63" s="758"/>
      <c r="P63" s="789"/>
      <c r="Q63" s="758"/>
      <c r="R63" s="757"/>
      <c r="S63" s="758"/>
      <c r="T63" s="764" t="s">
        <v>1875</v>
      </c>
      <c r="U63" s="739" t="s">
        <v>1876</v>
      </c>
      <c r="V63" s="739" t="s">
        <v>1877</v>
      </c>
      <c r="W63" s="770">
        <v>3000000</v>
      </c>
      <c r="X63" s="770">
        <v>6000000</v>
      </c>
      <c r="Y63" s="746"/>
      <c r="Z63" s="739"/>
      <c r="AA63" s="739"/>
      <c r="AB63" s="770"/>
      <c r="AC63" s="770"/>
    </row>
    <row r="64" spans="1:29" s="708" customFormat="1" ht="75" x14ac:dyDescent="0.3">
      <c r="B64" s="736">
        <v>2</v>
      </c>
      <c r="C64" s="737" t="s">
        <v>1776</v>
      </c>
      <c r="D64" s="738">
        <v>3</v>
      </c>
      <c r="E64" s="739" t="s">
        <v>1836</v>
      </c>
      <c r="F64" s="740" t="s">
        <v>1837</v>
      </c>
      <c r="G64" s="740" t="s">
        <v>1878</v>
      </c>
      <c r="H64" s="739" t="s">
        <v>1879</v>
      </c>
      <c r="I64" s="739" t="s">
        <v>1880</v>
      </c>
      <c r="J64" s="736" t="s">
        <v>1803</v>
      </c>
      <c r="K64" s="741" t="s">
        <v>1445</v>
      </c>
      <c r="L64" s="741" t="s">
        <v>1655</v>
      </c>
      <c r="M64" s="743">
        <v>9500000</v>
      </c>
      <c r="N64" s="744">
        <v>0.7</v>
      </c>
      <c r="O64" s="745">
        <v>0</v>
      </c>
      <c r="P64" s="744">
        <v>0</v>
      </c>
      <c r="Q64" s="745">
        <v>4071428.5714285718</v>
      </c>
      <c r="R64" s="744">
        <v>0.3</v>
      </c>
      <c r="S64" s="745">
        <v>13571428.571428571</v>
      </c>
      <c r="T64" s="739" t="s">
        <v>1881</v>
      </c>
      <c r="U64" s="739" t="s">
        <v>1882</v>
      </c>
      <c r="V64" s="739" t="s">
        <v>1883</v>
      </c>
      <c r="W64" s="746">
        <v>2</v>
      </c>
      <c r="X64" s="746">
        <v>4</v>
      </c>
      <c r="Y64" s="746" t="s">
        <v>1884</v>
      </c>
      <c r="Z64" s="739" t="s">
        <v>1885</v>
      </c>
      <c r="AA64" s="739" t="s">
        <v>1886</v>
      </c>
      <c r="AB64" s="747">
        <v>25</v>
      </c>
      <c r="AC64" s="747">
        <v>50</v>
      </c>
    </row>
    <row r="65" spans="1:29" s="708" customFormat="1" ht="75" x14ac:dyDescent="0.3">
      <c r="B65" s="736">
        <v>2</v>
      </c>
      <c r="C65" s="737" t="s">
        <v>1776</v>
      </c>
      <c r="D65" s="738">
        <v>3</v>
      </c>
      <c r="E65" s="739" t="s">
        <v>1836</v>
      </c>
      <c r="F65" s="740" t="s">
        <v>1837</v>
      </c>
      <c r="G65" s="740" t="s">
        <v>1887</v>
      </c>
      <c r="H65" s="739" t="s">
        <v>1810</v>
      </c>
      <c r="I65" s="739" t="s">
        <v>1888</v>
      </c>
      <c r="J65" s="736" t="s">
        <v>1630</v>
      </c>
      <c r="K65" s="741" t="s">
        <v>1812</v>
      </c>
      <c r="L65" s="741" t="s">
        <v>1438</v>
      </c>
      <c r="M65" s="743">
        <v>14410229</v>
      </c>
      <c r="N65" s="744">
        <v>0.7</v>
      </c>
      <c r="O65" s="745">
        <v>3087906.2142857141</v>
      </c>
      <c r="P65" s="744">
        <v>0.15</v>
      </c>
      <c r="Q65" s="745">
        <v>3087906.2142857141</v>
      </c>
      <c r="R65" s="744">
        <v>0.15</v>
      </c>
      <c r="S65" s="745">
        <v>20586041.428571425</v>
      </c>
      <c r="T65" s="740" t="s">
        <v>1889</v>
      </c>
      <c r="U65" s="739" t="s">
        <v>1890</v>
      </c>
      <c r="V65" s="739" t="s">
        <v>1259</v>
      </c>
      <c r="W65" s="790">
        <v>0.7</v>
      </c>
      <c r="X65" s="746">
        <v>7</v>
      </c>
      <c r="Y65" s="746" t="s">
        <v>1843</v>
      </c>
      <c r="Z65" s="739" t="s">
        <v>1844</v>
      </c>
      <c r="AA65" s="739" t="s">
        <v>1845</v>
      </c>
      <c r="AB65" s="770">
        <v>0</v>
      </c>
      <c r="AC65" s="770">
        <v>30000</v>
      </c>
    </row>
    <row r="66" spans="1:29" s="708" customFormat="1" ht="75" x14ac:dyDescent="0.3">
      <c r="B66" s="736">
        <v>2</v>
      </c>
      <c r="C66" s="737" t="s">
        <v>1776</v>
      </c>
      <c r="D66" s="738">
        <v>3</v>
      </c>
      <c r="E66" s="739" t="s">
        <v>1836</v>
      </c>
      <c r="F66" s="740" t="s">
        <v>1837</v>
      </c>
      <c r="G66" s="740" t="s">
        <v>1891</v>
      </c>
      <c r="H66" s="739" t="s">
        <v>1879</v>
      </c>
      <c r="I66" s="739" t="s">
        <v>1892</v>
      </c>
      <c r="J66" s="736" t="s">
        <v>1630</v>
      </c>
      <c r="K66" s="741" t="s">
        <v>1445</v>
      </c>
      <c r="L66" s="741" t="s">
        <v>1655</v>
      </c>
      <c r="M66" s="768">
        <v>1878972.65</v>
      </c>
      <c r="N66" s="763">
        <v>0.73071158507780198</v>
      </c>
      <c r="O66" s="745">
        <v>692455.92506486329</v>
      </c>
      <c r="P66" s="763">
        <v>0.26928841492219802</v>
      </c>
      <c r="Q66" s="745">
        <v>0</v>
      </c>
      <c r="R66" s="744">
        <v>0</v>
      </c>
      <c r="S66" s="745">
        <v>2571428.5750648631</v>
      </c>
      <c r="T66" s="739" t="s">
        <v>1893</v>
      </c>
      <c r="U66" s="791" t="s">
        <v>1894</v>
      </c>
      <c r="V66" s="761" t="s">
        <v>1707</v>
      </c>
      <c r="W66" s="792">
        <v>30</v>
      </c>
      <c r="X66" s="792">
        <v>60</v>
      </c>
      <c r="Y66" s="746"/>
      <c r="Z66" s="739"/>
      <c r="AA66" s="739"/>
      <c r="AB66" s="770"/>
      <c r="AC66" s="770"/>
    </row>
    <row r="67" spans="1:29" s="708" customFormat="1" ht="150" x14ac:dyDescent="0.3">
      <c r="B67" s="736">
        <v>2</v>
      </c>
      <c r="C67" s="737" t="s">
        <v>1776</v>
      </c>
      <c r="D67" s="738">
        <v>3</v>
      </c>
      <c r="E67" s="739" t="s">
        <v>1895</v>
      </c>
      <c r="F67" s="740" t="s">
        <v>1896</v>
      </c>
      <c r="G67" s="740" t="s">
        <v>1897</v>
      </c>
      <c r="H67" s="739" t="s">
        <v>1898</v>
      </c>
      <c r="I67" s="739" t="s">
        <v>1899</v>
      </c>
      <c r="J67" s="736" t="s">
        <v>1803</v>
      </c>
      <c r="K67" s="741" t="s">
        <v>1812</v>
      </c>
      <c r="L67" s="741" t="s">
        <v>1438</v>
      </c>
      <c r="M67" s="743">
        <v>111028963</v>
      </c>
      <c r="N67" s="744">
        <v>0.47929263135247302</v>
      </c>
      <c r="O67" s="745">
        <v>2122758.176470588</v>
      </c>
      <c r="P67" s="763">
        <v>9.1635761033413005E-3</v>
      </c>
      <c r="Q67" s="745">
        <v>118500000</v>
      </c>
      <c r="R67" s="763">
        <v>0.51154379254418558</v>
      </c>
      <c r="S67" s="745">
        <v>231651721.17647058</v>
      </c>
      <c r="T67" s="740" t="s">
        <v>1900</v>
      </c>
      <c r="U67" s="739" t="s">
        <v>1901</v>
      </c>
      <c r="V67" s="765" t="s">
        <v>1634</v>
      </c>
      <c r="W67" s="746">
        <v>20</v>
      </c>
      <c r="X67" s="746">
        <v>150</v>
      </c>
      <c r="Y67" s="746" t="s">
        <v>1902</v>
      </c>
      <c r="Z67" s="739" t="s">
        <v>1903</v>
      </c>
      <c r="AA67" s="739" t="s">
        <v>1904</v>
      </c>
      <c r="AB67" s="770">
        <v>0</v>
      </c>
      <c r="AC67" s="770">
        <v>80000</v>
      </c>
    </row>
    <row r="68" spans="1:29" s="708" customFormat="1" ht="30" x14ac:dyDescent="0.3">
      <c r="B68" s="748">
        <v>2</v>
      </c>
      <c r="C68" s="749"/>
      <c r="D68" s="750"/>
      <c r="E68" s="751"/>
      <c r="F68" s="752"/>
      <c r="G68" s="752" t="s">
        <v>1897</v>
      </c>
      <c r="H68" s="751"/>
      <c r="I68" s="751"/>
      <c r="J68" s="753"/>
      <c r="K68" s="754"/>
      <c r="L68" s="754"/>
      <c r="M68" s="756"/>
      <c r="N68" s="757"/>
      <c r="O68" s="758"/>
      <c r="P68" s="757"/>
      <c r="Q68" s="758"/>
      <c r="R68" s="757"/>
      <c r="S68" s="758"/>
      <c r="T68" s="740" t="s">
        <v>1905</v>
      </c>
      <c r="U68" s="739" t="s">
        <v>1906</v>
      </c>
      <c r="V68" s="765" t="s">
        <v>1641</v>
      </c>
      <c r="W68" s="746">
        <v>1000000</v>
      </c>
      <c r="X68" s="746">
        <v>7647059</v>
      </c>
      <c r="Y68" s="746" t="s">
        <v>1907</v>
      </c>
      <c r="Z68" s="739" t="s">
        <v>1908</v>
      </c>
      <c r="AA68" s="739" t="s">
        <v>1904</v>
      </c>
      <c r="AB68" s="770">
        <v>0</v>
      </c>
      <c r="AC68" s="770">
        <v>45000</v>
      </c>
    </row>
    <row r="69" spans="1:29" s="708" customFormat="1" ht="30" x14ac:dyDescent="0.3">
      <c r="B69" s="748">
        <v>2</v>
      </c>
      <c r="C69" s="749"/>
      <c r="D69" s="750"/>
      <c r="E69" s="751"/>
      <c r="F69" s="752"/>
      <c r="G69" s="752" t="s">
        <v>1897</v>
      </c>
      <c r="H69" s="751"/>
      <c r="I69" s="751"/>
      <c r="J69" s="753"/>
      <c r="K69" s="754"/>
      <c r="L69" s="754"/>
      <c r="M69" s="756"/>
      <c r="N69" s="757"/>
      <c r="O69" s="758"/>
      <c r="P69" s="757"/>
      <c r="Q69" s="758"/>
      <c r="R69" s="757"/>
      <c r="S69" s="758"/>
      <c r="T69" s="740" t="s">
        <v>1909</v>
      </c>
      <c r="U69" s="739" t="s">
        <v>1910</v>
      </c>
      <c r="V69" s="765" t="s">
        <v>1641</v>
      </c>
      <c r="W69" s="746">
        <v>15500000</v>
      </c>
      <c r="X69" s="746">
        <v>51504662</v>
      </c>
      <c r="Y69" s="746" t="s">
        <v>1911</v>
      </c>
      <c r="Z69" s="739" t="s">
        <v>1912</v>
      </c>
      <c r="AA69" s="739" t="s">
        <v>1904</v>
      </c>
      <c r="AB69" s="770">
        <v>0</v>
      </c>
      <c r="AC69" s="770">
        <v>400</v>
      </c>
    </row>
    <row r="70" spans="1:29" s="708" customFormat="1" ht="60" x14ac:dyDescent="0.3">
      <c r="B70" s="736">
        <v>2</v>
      </c>
      <c r="C70" s="737" t="s">
        <v>1776</v>
      </c>
      <c r="D70" s="738">
        <v>4</v>
      </c>
      <c r="E70" s="739" t="s">
        <v>1913</v>
      </c>
      <c r="F70" s="740" t="s">
        <v>1914</v>
      </c>
      <c r="G70" s="740" t="s">
        <v>1915</v>
      </c>
      <c r="H70" s="739" t="s">
        <v>1879</v>
      </c>
      <c r="I70" s="739" t="s">
        <v>1916</v>
      </c>
      <c r="J70" s="736" t="s">
        <v>1630</v>
      </c>
      <c r="K70" s="741" t="s">
        <v>1445</v>
      </c>
      <c r="L70" s="741" t="s">
        <v>1655</v>
      </c>
      <c r="M70" s="743">
        <v>96000000</v>
      </c>
      <c r="N70" s="744">
        <v>0.7</v>
      </c>
      <c r="O70" s="745">
        <v>0</v>
      </c>
      <c r="P70" s="744">
        <v>0</v>
      </c>
      <c r="Q70" s="745">
        <v>41142857.142857149</v>
      </c>
      <c r="R70" s="744">
        <v>0.3</v>
      </c>
      <c r="S70" s="745">
        <v>137142857.14285713</v>
      </c>
      <c r="T70" s="739" t="s">
        <v>1917</v>
      </c>
      <c r="U70" s="739" t="s">
        <v>1918</v>
      </c>
      <c r="V70" s="739" t="s">
        <v>1919</v>
      </c>
      <c r="W70" s="746">
        <v>0</v>
      </c>
      <c r="X70" s="746">
        <v>1</v>
      </c>
      <c r="Y70" s="746" t="s">
        <v>1920</v>
      </c>
      <c r="Z70" s="739" t="s">
        <v>1921</v>
      </c>
      <c r="AA70" s="739" t="s">
        <v>1922</v>
      </c>
      <c r="AB70" s="747">
        <v>0</v>
      </c>
      <c r="AC70" s="770">
        <v>540000</v>
      </c>
    </row>
    <row r="71" spans="1:29" s="708" customFormat="1" ht="30" x14ac:dyDescent="0.3">
      <c r="B71" s="748">
        <v>2</v>
      </c>
      <c r="C71" s="749"/>
      <c r="D71" s="750"/>
      <c r="E71" s="751"/>
      <c r="F71" s="752"/>
      <c r="G71" s="752" t="s">
        <v>1915</v>
      </c>
      <c r="H71" s="751"/>
      <c r="I71" s="751"/>
      <c r="J71" s="753"/>
      <c r="K71" s="754"/>
      <c r="L71" s="754"/>
      <c r="M71" s="756"/>
      <c r="N71" s="757"/>
      <c r="O71" s="758"/>
      <c r="P71" s="757"/>
      <c r="Q71" s="758"/>
      <c r="R71" s="757"/>
      <c r="S71" s="758"/>
      <c r="T71" s="739" t="s">
        <v>1923</v>
      </c>
      <c r="U71" s="739" t="s">
        <v>1924</v>
      </c>
      <c r="V71" s="739" t="s">
        <v>1925</v>
      </c>
      <c r="W71" s="746">
        <v>0</v>
      </c>
      <c r="X71" s="746">
        <v>3</v>
      </c>
      <c r="Y71" s="746" t="s">
        <v>1926</v>
      </c>
      <c r="Z71" s="739" t="s">
        <v>1927</v>
      </c>
      <c r="AA71" s="739" t="s">
        <v>1922</v>
      </c>
      <c r="AB71" s="747">
        <v>0</v>
      </c>
      <c r="AC71" s="770">
        <v>720000</v>
      </c>
    </row>
    <row r="72" spans="1:29" s="708" customFormat="1" ht="30" x14ac:dyDescent="0.3">
      <c r="B72" s="748">
        <v>2</v>
      </c>
      <c r="C72" s="749"/>
      <c r="D72" s="750"/>
      <c r="E72" s="751"/>
      <c r="F72" s="752"/>
      <c r="G72" s="752" t="s">
        <v>1915</v>
      </c>
      <c r="H72" s="751"/>
      <c r="I72" s="751"/>
      <c r="J72" s="753"/>
      <c r="K72" s="754"/>
      <c r="L72" s="754"/>
      <c r="M72" s="756"/>
      <c r="N72" s="757"/>
      <c r="O72" s="758"/>
      <c r="P72" s="757"/>
      <c r="Q72" s="758"/>
      <c r="R72" s="757"/>
      <c r="S72" s="758"/>
      <c r="T72" s="739" t="s">
        <v>1928</v>
      </c>
      <c r="U72" s="739" t="s">
        <v>1929</v>
      </c>
      <c r="V72" s="739" t="s">
        <v>1925</v>
      </c>
      <c r="W72" s="746">
        <v>0</v>
      </c>
      <c r="X72" s="746">
        <v>10</v>
      </c>
      <c r="Y72" s="746" t="s">
        <v>1930</v>
      </c>
      <c r="Z72" s="739" t="s">
        <v>1931</v>
      </c>
      <c r="AA72" s="739" t="s">
        <v>1922</v>
      </c>
      <c r="AB72" s="747">
        <v>0</v>
      </c>
      <c r="AC72" s="770">
        <v>720000</v>
      </c>
    </row>
    <row r="73" spans="1:29" s="708" customFormat="1" ht="30" x14ac:dyDescent="0.3">
      <c r="B73" s="748">
        <v>2</v>
      </c>
      <c r="C73" s="749"/>
      <c r="D73" s="750"/>
      <c r="E73" s="751"/>
      <c r="F73" s="752"/>
      <c r="G73" s="752" t="s">
        <v>1915</v>
      </c>
      <c r="H73" s="751"/>
      <c r="I73" s="751"/>
      <c r="J73" s="753"/>
      <c r="K73" s="754"/>
      <c r="L73" s="754"/>
      <c r="M73" s="756"/>
      <c r="N73" s="757"/>
      <c r="O73" s="758"/>
      <c r="P73" s="757"/>
      <c r="Q73" s="758"/>
      <c r="R73" s="757"/>
      <c r="S73" s="758"/>
      <c r="T73" s="739" t="s">
        <v>1932</v>
      </c>
      <c r="U73" s="739" t="s">
        <v>1933</v>
      </c>
      <c r="V73" s="739" t="s">
        <v>1934</v>
      </c>
      <c r="W73" s="746">
        <v>0</v>
      </c>
      <c r="X73" s="746">
        <v>3</v>
      </c>
      <c r="Y73" s="746"/>
      <c r="Z73" s="739"/>
      <c r="AA73" s="739"/>
      <c r="AB73" s="747"/>
      <c r="AC73" s="747"/>
    </row>
    <row r="74" spans="1:29" s="708" customFormat="1" ht="60" x14ac:dyDescent="0.3">
      <c r="B74" s="736">
        <v>3</v>
      </c>
      <c r="C74" s="737" t="s">
        <v>1935</v>
      </c>
      <c r="D74" s="738">
        <v>5</v>
      </c>
      <c r="E74" s="739" t="s">
        <v>1936</v>
      </c>
      <c r="F74" s="740" t="s">
        <v>1937</v>
      </c>
      <c r="G74" s="740" t="s">
        <v>1938</v>
      </c>
      <c r="H74" s="739" t="s">
        <v>1939</v>
      </c>
      <c r="I74" s="739" t="s">
        <v>1940</v>
      </c>
      <c r="J74" s="736" t="s">
        <v>1803</v>
      </c>
      <c r="K74" s="741" t="s">
        <v>1445</v>
      </c>
      <c r="L74" s="741" t="s">
        <v>1655</v>
      </c>
      <c r="M74" s="743">
        <v>159100000</v>
      </c>
      <c r="N74" s="744">
        <v>0.85</v>
      </c>
      <c r="O74" s="745">
        <v>28076470.588235293</v>
      </c>
      <c r="P74" s="744">
        <v>0.15</v>
      </c>
      <c r="Q74" s="745">
        <v>0</v>
      </c>
      <c r="R74" s="744">
        <v>0</v>
      </c>
      <c r="S74" s="745">
        <v>187176470.58823529</v>
      </c>
      <c r="T74" s="739" t="s">
        <v>1941</v>
      </c>
      <c r="U74" s="739" t="s">
        <v>1942</v>
      </c>
      <c r="V74" s="739" t="s">
        <v>1925</v>
      </c>
      <c r="W74" s="746">
        <v>19</v>
      </c>
      <c r="X74" s="746">
        <v>41</v>
      </c>
      <c r="Y74" s="746" t="s">
        <v>1943</v>
      </c>
      <c r="Z74" s="739" t="s">
        <v>1944</v>
      </c>
      <c r="AA74" s="739" t="s">
        <v>1945</v>
      </c>
      <c r="AB74" s="747">
        <v>1.2</v>
      </c>
      <c r="AC74" s="747">
        <v>0.84</v>
      </c>
    </row>
    <row r="75" spans="1:29" s="708" customFormat="1" ht="30" x14ac:dyDescent="0.3">
      <c r="B75" s="748">
        <v>3</v>
      </c>
      <c r="C75" s="749"/>
      <c r="D75" s="750"/>
      <c r="E75" s="751"/>
      <c r="F75" s="752"/>
      <c r="G75" s="752" t="s">
        <v>1938</v>
      </c>
      <c r="H75" s="751"/>
      <c r="I75" s="751"/>
      <c r="J75" s="753"/>
      <c r="K75" s="754"/>
      <c r="L75" s="754"/>
      <c r="M75" s="756"/>
      <c r="N75" s="757"/>
      <c r="O75" s="758"/>
      <c r="P75" s="757"/>
      <c r="Q75" s="758"/>
      <c r="R75" s="757"/>
      <c r="S75" s="758"/>
      <c r="T75" s="739"/>
      <c r="U75" s="739"/>
      <c r="V75" s="739"/>
      <c r="W75" s="746"/>
      <c r="X75" s="746"/>
      <c r="Y75" s="746" t="s">
        <v>1946</v>
      </c>
      <c r="Z75" s="739" t="s">
        <v>1947</v>
      </c>
      <c r="AA75" s="739" t="s">
        <v>1948</v>
      </c>
      <c r="AB75" s="770">
        <v>0</v>
      </c>
      <c r="AC75" s="770">
        <v>17524</v>
      </c>
    </row>
    <row r="76" spans="1:29" s="708" customFormat="1" ht="60" x14ac:dyDescent="0.3">
      <c r="B76" s="736">
        <v>3</v>
      </c>
      <c r="C76" s="737" t="s">
        <v>1935</v>
      </c>
      <c r="D76" s="738">
        <v>5</v>
      </c>
      <c r="E76" s="739" t="s">
        <v>1936</v>
      </c>
      <c r="F76" s="740" t="s">
        <v>1937</v>
      </c>
      <c r="G76" s="740" t="s">
        <v>1949</v>
      </c>
      <c r="H76" s="739" t="s">
        <v>1950</v>
      </c>
      <c r="I76" s="739" t="s">
        <v>1951</v>
      </c>
      <c r="J76" s="736" t="s">
        <v>1803</v>
      </c>
      <c r="K76" s="741" t="s">
        <v>1445</v>
      </c>
      <c r="L76" s="741" t="s">
        <v>1655</v>
      </c>
      <c r="M76" s="743">
        <v>342100000</v>
      </c>
      <c r="N76" s="744">
        <v>0.85</v>
      </c>
      <c r="O76" s="745">
        <v>60370588.235294111</v>
      </c>
      <c r="P76" s="744">
        <v>0.15</v>
      </c>
      <c r="Q76" s="745">
        <v>0</v>
      </c>
      <c r="R76" s="744">
        <v>0</v>
      </c>
      <c r="S76" s="745">
        <v>402470588.2352941</v>
      </c>
      <c r="T76" s="739" t="s">
        <v>1952</v>
      </c>
      <c r="U76" s="739" t="s">
        <v>1953</v>
      </c>
      <c r="V76" s="739" t="s">
        <v>1925</v>
      </c>
      <c r="W76" s="746">
        <v>20</v>
      </c>
      <c r="X76" s="746">
        <v>105</v>
      </c>
      <c r="Y76" s="746" t="s">
        <v>1954</v>
      </c>
      <c r="Z76" s="739" t="s">
        <v>1955</v>
      </c>
      <c r="AA76" s="739" t="s">
        <v>1956</v>
      </c>
      <c r="AB76" s="747">
        <v>6.08</v>
      </c>
      <c r="AC76" s="747">
        <v>11.4</v>
      </c>
    </row>
    <row r="77" spans="1:29" s="708" customFormat="1" ht="30" x14ac:dyDescent="0.3">
      <c r="B77" s="748">
        <v>3</v>
      </c>
      <c r="C77" s="749"/>
      <c r="D77" s="750"/>
      <c r="E77" s="751"/>
      <c r="F77" s="752"/>
      <c r="G77" s="752" t="s">
        <v>1949</v>
      </c>
      <c r="H77" s="751"/>
      <c r="I77" s="751"/>
      <c r="J77" s="753"/>
      <c r="K77" s="754"/>
      <c r="L77" s="754"/>
      <c r="M77" s="756"/>
      <c r="N77" s="757"/>
      <c r="O77" s="758"/>
      <c r="P77" s="757"/>
      <c r="Q77" s="758"/>
      <c r="R77" s="757"/>
      <c r="S77" s="758"/>
      <c r="T77" s="739" t="s">
        <v>1957</v>
      </c>
      <c r="U77" s="739" t="s">
        <v>1958</v>
      </c>
      <c r="V77" s="739" t="s">
        <v>1959</v>
      </c>
      <c r="W77" s="746">
        <v>0</v>
      </c>
      <c r="X77" s="746">
        <v>13</v>
      </c>
      <c r="Y77" s="746"/>
      <c r="Z77" s="739"/>
      <c r="AA77" s="739"/>
      <c r="AB77" s="747"/>
      <c r="AC77" s="747"/>
    </row>
    <row r="78" spans="1:29" s="708" customFormat="1" x14ac:dyDescent="0.3">
      <c r="B78" s="748">
        <v>3</v>
      </c>
      <c r="C78" s="749"/>
      <c r="D78" s="750"/>
      <c r="E78" s="751"/>
      <c r="F78" s="752"/>
      <c r="G78" s="752" t="s">
        <v>1949</v>
      </c>
      <c r="H78" s="751"/>
      <c r="I78" s="751"/>
      <c r="J78" s="753"/>
      <c r="K78" s="754"/>
      <c r="L78" s="754"/>
      <c r="M78" s="756"/>
      <c r="N78" s="757"/>
      <c r="O78" s="758"/>
      <c r="P78" s="757"/>
      <c r="Q78" s="758"/>
      <c r="R78" s="757"/>
      <c r="S78" s="758"/>
      <c r="T78" s="739" t="s">
        <v>1960</v>
      </c>
      <c r="U78" s="739" t="s">
        <v>1961</v>
      </c>
      <c r="V78" s="739" t="s">
        <v>1925</v>
      </c>
      <c r="W78" s="746">
        <v>50</v>
      </c>
      <c r="X78" s="746">
        <v>450</v>
      </c>
      <c r="Y78" s="746"/>
      <c r="Z78" s="739"/>
      <c r="AA78" s="739"/>
      <c r="AB78" s="747"/>
      <c r="AC78" s="747"/>
    </row>
    <row r="79" spans="1:29" s="708" customFormat="1" ht="105" x14ac:dyDescent="0.3">
      <c r="B79" s="736">
        <v>3</v>
      </c>
      <c r="C79" s="737" t="s">
        <v>1935</v>
      </c>
      <c r="D79" s="738">
        <v>5</v>
      </c>
      <c r="E79" s="739" t="s">
        <v>1962</v>
      </c>
      <c r="F79" s="740" t="s">
        <v>1963</v>
      </c>
      <c r="G79" s="740" t="s">
        <v>1964</v>
      </c>
      <c r="H79" s="739" t="s">
        <v>1726</v>
      </c>
      <c r="I79" s="739" t="s">
        <v>1965</v>
      </c>
      <c r="J79" s="736" t="s">
        <v>1803</v>
      </c>
      <c r="K79" s="741" t="s">
        <v>1728</v>
      </c>
      <c r="L79" s="741" t="s">
        <v>1655</v>
      </c>
      <c r="M79" s="743">
        <v>20000000</v>
      </c>
      <c r="N79" s="744">
        <v>0.7</v>
      </c>
      <c r="O79" s="745">
        <v>0</v>
      </c>
      <c r="P79" s="744">
        <v>0</v>
      </c>
      <c r="Q79" s="745">
        <v>8571428.5714285728</v>
      </c>
      <c r="R79" s="744">
        <v>0.3</v>
      </c>
      <c r="S79" s="745">
        <v>28571428.571428575</v>
      </c>
      <c r="T79" s="740" t="s">
        <v>1966</v>
      </c>
      <c r="U79" s="739" t="s">
        <v>1967</v>
      </c>
      <c r="V79" s="765" t="s">
        <v>1925</v>
      </c>
      <c r="W79" s="764">
        <v>10</v>
      </c>
      <c r="X79" s="764">
        <v>76</v>
      </c>
      <c r="Y79" s="764" t="s">
        <v>1968</v>
      </c>
      <c r="Z79" s="739" t="s">
        <v>1969</v>
      </c>
      <c r="AA79" s="739" t="s">
        <v>1922</v>
      </c>
      <c r="AB79" s="793">
        <v>0</v>
      </c>
      <c r="AC79" s="770">
        <v>600000</v>
      </c>
    </row>
    <row r="80" spans="1:29" s="708" customFormat="1" ht="120" x14ac:dyDescent="0.3">
      <c r="A80" s="724"/>
      <c r="B80" s="736">
        <v>4</v>
      </c>
      <c r="C80" s="737" t="s">
        <v>1970</v>
      </c>
      <c r="D80" s="738">
        <v>6</v>
      </c>
      <c r="E80" s="739" t="s">
        <v>1971</v>
      </c>
      <c r="F80" s="739" t="s">
        <v>1972</v>
      </c>
      <c r="G80" s="739" t="s">
        <v>1973</v>
      </c>
      <c r="H80" s="739" t="s">
        <v>1974</v>
      </c>
      <c r="I80" s="739" t="s">
        <v>1975</v>
      </c>
      <c r="J80" s="736" t="s">
        <v>1630</v>
      </c>
      <c r="K80" s="741" t="s">
        <v>1804</v>
      </c>
      <c r="L80" s="741" t="s">
        <v>1655</v>
      </c>
      <c r="M80" s="743">
        <v>60900000</v>
      </c>
      <c r="N80" s="744">
        <v>0.7</v>
      </c>
      <c r="O80" s="745">
        <v>17400000</v>
      </c>
      <c r="P80" s="744">
        <v>0.2</v>
      </c>
      <c r="Q80" s="745">
        <v>8700000</v>
      </c>
      <c r="R80" s="744">
        <v>0.1</v>
      </c>
      <c r="S80" s="745">
        <v>87000000</v>
      </c>
      <c r="T80" s="740" t="s">
        <v>1976</v>
      </c>
      <c r="U80" s="739" t="s">
        <v>1977</v>
      </c>
      <c r="V80" s="739" t="s">
        <v>1978</v>
      </c>
      <c r="W80" s="740">
        <v>0</v>
      </c>
      <c r="X80" s="740">
        <v>3953</v>
      </c>
      <c r="Y80" s="740" t="s">
        <v>1979</v>
      </c>
      <c r="Z80" s="739" t="s">
        <v>1980</v>
      </c>
      <c r="AA80" s="739" t="s">
        <v>1922</v>
      </c>
      <c r="AB80" s="747">
        <v>0</v>
      </c>
      <c r="AC80" s="747">
        <v>3162</v>
      </c>
    </row>
    <row r="81" spans="2:29" s="708" customFormat="1" ht="30" x14ac:dyDescent="0.3">
      <c r="B81" s="748">
        <v>4</v>
      </c>
      <c r="C81" s="749"/>
      <c r="D81" s="750"/>
      <c r="E81" s="751"/>
      <c r="F81" s="752"/>
      <c r="G81" s="752" t="s">
        <v>1973</v>
      </c>
      <c r="H81" s="751"/>
      <c r="I81" s="751"/>
      <c r="J81" s="753"/>
      <c r="K81" s="754"/>
      <c r="L81" s="754"/>
      <c r="M81" s="756"/>
      <c r="N81" s="757"/>
      <c r="O81" s="758"/>
      <c r="P81" s="757"/>
      <c r="Q81" s="758"/>
      <c r="R81" s="757"/>
      <c r="S81" s="758"/>
      <c r="T81" s="739" t="s">
        <v>1981</v>
      </c>
      <c r="U81" s="739" t="s">
        <v>1982</v>
      </c>
      <c r="V81" s="739" t="s">
        <v>1978</v>
      </c>
      <c r="W81" s="746">
        <v>2</v>
      </c>
      <c r="X81" s="746">
        <v>1</v>
      </c>
      <c r="Y81" s="746"/>
      <c r="Z81" s="739"/>
      <c r="AA81" s="739"/>
      <c r="AB81" s="747"/>
      <c r="AC81" s="747"/>
    </row>
    <row r="82" spans="2:29" s="708" customFormat="1" ht="120" x14ac:dyDescent="0.3">
      <c r="B82" s="736">
        <v>4</v>
      </c>
      <c r="C82" s="737" t="s">
        <v>1970</v>
      </c>
      <c r="D82" s="738">
        <v>6</v>
      </c>
      <c r="E82" s="739" t="s">
        <v>1971</v>
      </c>
      <c r="F82" s="794" t="s">
        <v>1972</v>
      </c>
      <c r="G82" s="795" t="s">
        <v>1983</v>
      </c>
      <c r="H82" s="796" t="s">
        <v>1984</v>
      </c>
      <c r="I82" s="739" t="s">
        <v>1985</v>
      </c>
      <c r="J82" s="736" t="s">
        <v>1630</v>
      </c>
      <c r="K82" s="741" t="s">
        <v>1804</v>
      </c>
      <c r="L82" s="741" t="s">
        <v>1655</v>
      </c>
      <c r="M82" s="743">
        <v>6700000</v>
      </c>
      <c r="N82" s="744">
        <v>0.7</v>
      </c>
      <c r="O82" s="745">
        <v>1914285.7142857146</v>
      </c>
      <c r="P82" s="744">
        <v>0.2</v>
      </c>
      <c r="Q82" s="745">
        <v>957142.85714285728</v>
      </c>
      <c r="R82" s="744">
        <v>0.1</v>
      </c>
      <c r="S82" s="745">
        <v>9571428.5714285709</v>
      </c>
      <c r="T82" s="740" t="s">
        <v>1986</v>
      </c>
      <c r="U82" s="739" t="s">
        <v>1987</v>
      </c>
      <c r="V82" s="739" t="s">
        <v>1707</v>
      </c>
      <c r="W82" s="740">
        <v>0</v>
      </c>
      <c r="X82" s="740">
        <v>2</v>
      </c>
      <c r="Y82" s="740"/>
      <c r="Z82" s="739"/>
      <c r="AA82" s="739"/>
      <c r="AB82" s="747"/>
      <c r="AC82" s="747"/>
    </row>
    <row r="83" spans="2:29" s="708" customFormat="1" ht="120" x14ac:dyDescent="0.3">
      <c r="B83" s="736">
        <v>4</v>
      </c>
      <c r="C83" s="737" t="s">
        <v>1970</v>
      </c>
      <c r="D83" s="738">
        <v>6</v>
      </c>
      <c r="E83" s="739" t="s">
        <v>1971</v>
      </c>
      <c r="F83" s="740" t="s">
        <v>1972</v>
      </c>
      <c r="G83" s="739" t="s">
        <v>1988</v>
      </c>
      <c r="H83" s="739" t="s">
        <v>1801</v>
      </c>
      <c r="I83" s="739" t="s">
        <v>1989</v>
      </c>
      <c r="J83" s="736" t="s">
        <v>1630</v>
      </c>
      <c r="K83" s="741" t="s">
        <v>1804</v>
      </c>
      <c r="L83" s="741" t="s">
        <v>1655</v>
      </c>
      <c r="M83" s="743">
        <v>28000000</v>
      </c>
      <c r="N83" s="744">
        <v>0.7</v>
      </c>
      <c r="O83" s="745">
        <v>8000000</v>
      </c>
      <c r="P83" s="744">
        <v>0.2</v>
      </c>
      <c r="Q83" s="745">
        <v>4000000</v>
      </c>
      <c r="R83" s="744">
        <v>0.1</v>
      </c>
      <c r="S83" s="745">
        <v>40000000</v>
      </c>
      <c r="T83" s="740" t="s">
        <v>1990</v>
      </c>
      <c r="U83" s="739" t="s">
        <v>1991</v>
      </c>
      <c r="V83" s="739" t="s">
        <v>1978</v>
      </c>
      <c r="W83" s="740">
        <v>0</v>
      </c>
      <c r="X83" s="740">
        <v>2</v>
      </c>
      <c r="Y83" s="740"/>
      <c r="Z83" s="739"/>
      <c r="AA83" s="739"/>
      <c r="AB83" s="747"/>
      <c r="AC83" s="747"/>
    </row>
    <row r="84" spans="2:29" s="708" customFormat="1" ht="210" x14ac:dyDescent="0.3">
      <c r="B84" s="736">
        <v>4</v>
      </c>
      <c r="C84" s="737" t="s">
        <v>1970</v>
      </c>
      <c r="D84" s="738">
        <v>6</v>
      </c>
      <c r="E84" s="739" t="s">
        <v>1992</v>
      </c>
      <c r="F84" s="740" t="s">
        <v>1993</v>
      </c>
      <c r="G84" s="740" t="s">
        <v>1994</v>
      </c>
      <c r="H84" s="740" t="s">
        <v>1995</v>
      </c>
      <c r="I84" s="739" t="s">
        <v>1996</v>
      </c>
      <c r="J84" s="736" t="s">
        <v>1997</v>
      </c>
      <c r="K84" s="741" t="s">
        <v>1804</v>
      </c>
      <c r="L84" s="741" t="s">
        <v>1655</v>
      </c>
      <c r="M84" s="743">
        <v>52444320</v>
      </c>
      <c r="N84" s="744">
        <v>0.7</v>
      </c>
      <c r="O84" s="745">
        <v>22476137.142857146</v>
      </c>
      <c r="P84" s="744">
        <v>0.3</v>
      </c>
      <c r="Q84" s="745">
        <v>0</v>
      </c>
      <c r="R84" s="744">
        <v>0</v>
      </c>
      <c r="S84" s="745">
        <v>74920457.142857149</v>
      </c>
      <c r="T84" s="740" t="s">
        <v>1998</v>
      </c>
      <c r="U84" s="739" t="s">
        <v>1999</v>
      </c>
      <c r="V84" s="739" t="s">
        <v>1999</v>
      </c>
      <c r="W84" s="764">
        <v>8901</v>
      </c>
      <c r="X84" s="764">
        <v>23356</v>
      </c>
      <c r="Y84" s="740" t="s">
        <v>2000</v>
      </c>
      <c r="Z84" s="739" t="s">
        <v>2001</v>
      </c>
      <c r="AA84" s="739" t="s">
        <v>68</v>
      </c>
      <c r="AB84" s="797">
        <v>0.36</v>
      </c>
      <c r="AC84" s="797">
        <v>0.38</v>
      </c>
    </row>
    <row r="85" spans="2:29" s="708" customFormat="1" ht="210" x14ac:dyDescent="0.3">
      <c r="B85" s="736">
        <v>4</v>
      </c>
      <c r="C85" s="737" t="s">
        <v>1970</v>
      </c>
      <c r="D85" s="738">
        <v>6</v>
      </c>
      <c r="E85" s="739" t="s">
        <v>1992</v>
      </c>
      <c r="F85" s="798" t="s">
        <v>1993</v>
      </c>
      <c r="G85" s="798" t="s">
        <v>2002</v>
      </c>
      <c r="H85" s="740" t="s">
        <v>2003</v>
      </c>
      <c r="I85" s="739" t="s">
        <v>2004</v>
      </c>
      <c r="J85" s="736" t="s">
        <v>1997</v>
      </c>
      <c r="K85" s="741" t="s">
        <v>1804</v>
      </c>
      <c r="L85" s="741" t="s">
        <v>1655</v>
      </c>
      <c r="M85" s="743">
        <v>2485950</v>
      </c>
      <c r="N85" s="744">
        <v>0.7</v>
      </c>
      <c r="O85" s="745">
        <v>1065407.142857143</v>
      </c>
      <c r="P85" s="744">
        <v>0.3</v>
      </c>
      <c r="Q85" s="745">
        <v>0</v>
      </c>
      <c r="R85" s="744">
        <v>0</v>
      </c>
      <c r="S85" s="745">
        <v>3551357.1428571427</v>
      </c>
      <c r="T85" s="740" t="s">
        <v>2005</v>
      </c>
      <c r="U85" s="739" t="s">
        <v>2006</v>
      </c>
      <c r="V85" s="765" t="s">
        <v>2007</v>
      </c>
      <c r="W85" s="764">
        <v>21</v>
      </c>
      <c r="X85" s="764">
        <v>42</v>
      </c>
      <c r="Y85" s="740"/>
      <c r="Z85" s="739"/>
      <c r="AA85" s="739"/>
      <c r="AB85" s="747"/>
      <c r="AC85" s="747"/>
    </row>
    <row r="86" spans="2:29" s="708" customFormat="1" ht="90" x14ac:dyDescent="0.3">
      <c r="B86" s="736">
        <v>4</v>
      </c>
      <c r="C86" s="737" t="s">
        <v>1970</v>
      </c>
      <c r="D86" s="738">
        <v>6</v>
      </c>
      <c r="E86" s="739" t="s">
        <v>2008</v>
      </c>
      <c r="F86" s="740" t="s">
        <v>2009</v>
      </c>
      <c r="G86" s="740" t="s">
        <v>2010</v>
      </c>
      <c r="H86" s="740" t="s">
        <v>1995</v>
      </c>
      <c r="I86" s="740" t="s">
        <v>2011</v>
      </c>
      <c r="J86" s="736" t="s">
        <v>1997</v>
      </c>
      <c r="K86" s="741" t="s">
        <v>1804</v>
      </c>
      <c r="L86" s="741" t="s">
        <v>1655</v>
      </c>
      <c r="M86" s="743">
        <v>31991245</v>
      </c>
      <c r="N86" s="744">
        <v>0.7</v>
      </c>
      <c r="O86" s="745">
        <v>13710533.571428573</v>
      </c>
      <c r="P86" s="744">
        <v>0.3</v>
      </c>
      <c r="Q86" s="745">
        <v>0</v>
      </c>
      <c r="R86" s="744">
        <v>0</v>
      </c>
      <c r="S86" s="745">
        <v>45701778.571428575</v>
      </c>
      <c r="T86" s="740" t="s">
        <v>2012</v>
      </c>
      <c r="U86" s="739" t="s">
        <v>2013</v>
      </c>
      <c r="V86" s="739" t="s">
        <v>1603</v>
      </c>
      <c r="W86" s="764">
        <v>6</v>
      </c>
      <c r="X86" s="764">
        <v>12</v>
      </c>
      <c r="Y86" s="764" t="s">
        <v>2014</v>
      </c>
      <c r="Z86" s="739" t="s">
        <v>2015</v>
      </c>
      <c r="AA86" s="739" t="s">
        <v>68</v>
      </c>
      <c r="AB86" s="799">
        <v>0.12</v>
      </c>
      <c r="AC86" s="799">
        <v>0.12</v>
      </c>
    </row>
    <row r="87" spans="2:29" s="708" customFormat="1" ht="75" x14ac:dyDescent="0.3">
      <c r="B87" s="748">
        <v>4</v>
      </c>
      <c r="C87" s="749"/>
      <c r="D87" s="750"/>
      <c r="E87" s="751"/>
      <c r="F87" s="752"/>
      <c r="G87" s="752" t="s">
        <v>2010</v>
      </c>
      <c r="H87" s="752"/>
      <c r="I87" s="752"/>
      <c r="J87" s="753"/>
      <c r="K87" s="754"/>
      <c r="L87" s="754"/>
      <c r="M87" s="756"/>
      <c r="N87" s="757"/>
      <c r="O87" s="758"/>
      <c r="P87" s="757"/>
      <c r="Q87" s="758"/>
      <c r="R87" s="757"/>
      <c r="S87" s="758"/>
      <c r="T87" s="740" t="s">
        <v>2016</v>
      </c>
      <c r="U87" s="739" t="s">
        <v>2017</v>
      </c>
      <c r="V87" s="739" t="s">
        <v>1978</v>
      </c>
      <c r="W87" s="764">
        <v>1</v>
      </c>
      <c r="X87" s="764">
        <v>1</v>
      </c>
      <c r="Y87" s="764" t="s">
        <v>2018</v>
      </c>
      <c r="Z87" s="739" t="s">
        <v>2019</v>
      </c>
      <c r="AA87" s="739" t="s">
        <v>68</v>
      </c>
      <c r="AB87" s="800">
        <v>1.12E-2</v>
      </c>
      <c r="AC87" s="800">
        <v>1.11E-2</v>
      </c>
    </row>
    <row r="88" spans="2:29" s="708" customFormat="1" ht="75" x14ac:dyDescent="0.3">
      <c r="B88" s="748">
        <v>4</v>
      </c>
      <c r="C88" s="749"/>
      <c r="D88" s="750"/>
      <c r="E88" s="751"/>
      <c r="F88" s="752"/>
      <c r="G88" s="752" t="s">
        <v>2010</v>
      </c>
      <c r="H88" s="752"/>
      <c r="I88" s="752"/>
      <c r="J88" s="753"/>
      <c r="K88" s="754"/>
      <c r="L88" s="754"/>
      <c r="M88" s="756"/>
      <c r="N88" s="757"/>
      <c r="O88" s="758"/>
      <c r="P88" s="757"/>
      <c r="Q88" s="758"/>
      <c r="R88" s="757"/>
      <c r="S88" s="758"/>
      <c r="T88" s="740" t="s">
        <v>2020</v>
      </c>
      <c r="U88" s="739" t="s">
        <v>2021</v>
      </c>
      <c r="V88" s="739" t="s">
        <v>2022</v>
      </c>
      <c r="W88" s="764">
        <v>0</v>
      </c>
      <c r="X88" s="746">
        <v>37700</v>
      </c>
      <c r="Y88" s="764"/>
      <c r="Z88" s="739"/>
      <c r="AA88" s="739"/>
      <c r="AB88" s="800"/>
      <c r="AC88" s="800"/>
    </row>
    <row r="89" spans="2:29" s="708" customFormat="1" ht="90" x14ac:dyDescent="0.3">
      <c r="B89" s="736">
        <v>4</v>
      </c>
      <c r="C89" s="737" t="s">
        <v>1970</v>
      </c>
      <c r="D89" s="738">
        <v>6</v>
      </c>
      <c r="E89" s="739" t="s">
        <v>2008</v>
      </c>
      <c r="F89" s="740" t="s">
        <v>2009</v>
      </c>
      <c r="G89" s="740" t="s">
        <v>2023</v>
      </c>
      <c r="H89" s="740" t="s">
        <v>2024</v>
      </c>
      <c r="I89" s="740" t="s">
        <v>2025</v>
      </c>
      <c r="J89" s="736" t="s">
        <v>1997</v>
      </c>
      <c r="K89" s="741" t="s">
        <v>1804</v>
      </c>
      <c r="L89" s="741" t="s">
        <v>1655</v>
      </c>
      <c r="M89" s="743">
        <v>5085755</v>
      </c>
      <c r="N89" s="744">
        <v>0.7</v>
      </c>
      <c r="O89" s="745">
        <v>2179609.2857142859</v>
      </c>
      <c r="P89" s="744">
        <v>0.3</v>
      </c>
      <c r="Q89" s="745">
        <v>0</v>
      </c>
      <c r="R89" s="744">
        <v>0</v>
      </c>
      <c r="S89" s="745">
        <v>7265364.2857142854</v>
      </c>
      <c r="T89" s="740" t="s">
        <v>2026</v>
      </c>
      <c r="U89" s="739" t="s">
        <v>2027</v>
      </c>
      <c r="V89" s="801" t="s">
        <v>1707</v>
      </c>
      <c r="W89" s="764">
        <v>0</v>
      </c>
      <c r="X89" s="764">
        <v>1</v>
      </c>
      <c r="Y89" s="764"/>
      <c r="Z89" s="739"/>
      <c r="AA89" s="739"/>
      <c r="AB89" s="800"/>
      <c r="AC89" s="800"/>
    </row>
    <row r="90" spans="2:29" s="708" customFormat="1" ht="90" x14ac:dyDescent="0.3">
      <c r="B90" s="736">
        <v>4</v>
      </c>
      <c r="C90" s="737" t="s">
        <v>1970</v>
      </c>
      <c r="D90" s="738">
        <v>6</v>
      </c>
      <c r="E90" s="739" t="s">
        <v>2008</v>
      </c>
      <c r="F90" s="740" t="s">
        <v>2009</v>
      </c>
      <c r="G90" s="740" t="s">
        <v>2028</v>
      </c>
      <c r="H90" s="740" t="s">
        <v>2029</v>
      </c>
      <c r="I90" s="740" t="s">
        <v>2030</v>
      </c>
      <c r="J90" s="736" t="s">
        <v>1997</v>
      </c>
      <c r="K90" s="741" t="s">
        <v>1804</v>
      </c>
      <c r="L90" s="741" t="s">
        <v>1655</v>
      </c>
      <c r="M90" s="743">
        <v>973000</v>
      </c>
      <c r="N90" s="744">
        <v>0.7</v>
      </c>
      <c r="O90" s="745">
        <v>417000</v>
      </c>
      <c r="P90" s="744">
        <v>0.3</v>
      </c>
      <c r="Q90" s="745">
        <v>0</v>
      </c>
      <c r="R90" s="744">
        <v>0</v>
      </c>
      <c r="S90" s="745">
        <v>1390000</v>
      </c>
      <c r="T90" s="740" t="s">
        <v>2031</v>
      </c>
      <c r="U90" s="739" t="s">
        <v>2032</v>
      </c>
      <c r="V90" s="739" t="s">
        <v>1707</v>
      </c>
      <c r="W90" s="764" t="s">
        <v>2033</v>
      </c>
      <c r="X90" s="764">
        <v>980</v>
      </c>
      <c r="Y90" s="764"/>
      <c r="Z90" s="739"/>
      <c r="AA90" s="739"/>
      <c r="AB90" s="800"/>
      <c r="AC90" s="800"/>
    </row>
    <row r="91" spans="2:29" s="708" customFormat="1" ht="165" x14ac:dyDescent="0.3">
      <c r="B91" s="736">
        <v>4</v>
      </c>
      <c r="C91" s="737" t="s">
        <v>1970</v>
      </c>
      <c r="D91" s="738">
        <v>6</v>
      </c>
      <c r="E91" s="739" t="s">
        <v>2034</v>
      </c>
      <c r="F91" s="740" t="s">
        <v>2035</v>
      </c>
      <c r="G91" s="739" t="s">
        <v>2036</v>
      </c>
      <c r="H91" s="740" t="s">
        <v>2037</v>
      </c>
      <c r="I91" s="739" t="s">
        <v>2038</v>
      </c>
      <c r="J91" s="736" t="s">
        <v>1997</v>
      </c>
      <c r="K91" s="741" t="s">
        <v>1654</v>
      </c>
      <c r="L91" s="741" t="s">
        <v>1655</v>
      </c>
      <c r="M91" s="743">
        <v>39469458</v>
      </c>
      <c r="N91" s="744">
        <v>0.7</v>
      </c>
      <c r="O91" s="745">
        <v>16915482</v>
      </c>
      <c r="P91" s="744">
        <v>0.3</v>
      </c>
      <c r="Q91" s="745">
        <v>0</v>
      </c>
      <c r="R91" s="744">
        <v>0</v>
      </c>
      <c r="S91" s="745">
        <v>56384940</v>
      </c>
      <c r="T91" s="764" t="s">
        <v>2039</v>
      </c>
      <c r="U91" s="739" t="s">
        <v>2040</v>
      </c>
      <c r="V91" s="765" t="s">
        <v>2041</v>
      </c>
      <c r="W91" s="764">
        <v>3800</v>
      </c>
      <c r="X91" s="764" t="s">
        <v>2042</v>
      </c>
      <c r="Y91" s="764" t="s">
        <v>2043</v>
      </c>
      <c r="Z91" s="739" t="s">
        <v>2044</v>
      </c>
      <c r="AA91" s="739" t="s">
        <v>2041</v>
      </c>
      <c r="AB91" s="799">
        <v>0.7</v>
      </c>
      <c r="AC91" s="802">
        <v>0.75</v>
      </c>
    </row>
    <row r="92" spans="2:29" s="708" customFormat="1" ht="165" x14ac:dyDescent="0.3">
      <c r="B92" s="736">
        <v>4</v>
      </c>
      <c r="C92" s="737" t="s">
        <v>1970</v>
      </c>
      <c r="D92" s="738">
        <v>6</v>
      </c>
      <c r="E92" s="739" t="s">
        <v>2045</v>
      </c>
      <c r="F92" s="740" t="s">
        <v>2035</v>
      </c>
      <c r="G92" s="739" t="s">
        <v>2046</v>
      </c>
      <c r="H92" s="740" t="s">
        <v>2047</v>
      </c>
      <c r="I92" s="739" t="s">
        <v>2048</v>
      </c>
      <c r="J92" s="736" t="s">
        <v>1997</v>
      </c>
      <c r="K92" s="741" t="s">
        <v>1654</v>
      </c>
      <c r="L92" s="741" t="s">
        <v>1655</v>
      </c>
      <c r="M92" s="743">
        <v>87708324.486302316</v>
      </c>
      <c r="N92" s="763">
        <v>0.69839899932734895</v>
      </c>
      <c r="O92" s="745">
        <v>37876512.506272256</v>
      </c>
      <c r="P92" s="763">
        <v>0.30160100067265105</v>
      </c>
      <c r="Q92" s="745">
        <v>0</v>
      </c>
      <c r="R92" s="744">
        <v>0</v>
      </c>
      <c r="S92" s="745">
        <v>125584836.99257457</v>
      </c>
      <c r="T92" s="792" t="s">
        <v>2049</v>
      </c>
      <c r="U92" s="760" t="s">
        <v>2050</v>
      </c>
      <c r="V92" s="760" t="s">
        <v>2051</v>
      </c>
      <c r="W92" s="792">
        <v>2</v>
      </c>
      <c r="X92" s="792">
        <v>3</v>
      </c>
      <c r="Y92" s="792" t="s">
        <v>2052</v>
      </c>
      <c r="Z92" s="760" t="s">
        <v>2053</v>
      </c>
      <c r="AA92" s="760" t="s">
        <v>2054</v>
      </c>
      <c r="AB92" s="803">
        <v>0.22500000000000001</v>
      </c>
      <c r="AC92" s="804">
        <v>0.24</v>
      </c>
    </row>
    <row r="93" spans="2:29" s="708" customFormat="1" ht="45" x14ac:dyDescent="0.3">
      <c r="B93" s="748">
        <v>4</v>
      </c>
      <c r="C93" s="749"/>
      <c r="D93" s="750"/>
      <c r="E93" s="751"/>
      <c r="F93" s="752"/>
      <c r="G93" s="751" t="s">
        <v>2046</v>
      </c>
      <c r="H93" s="752"/>
      <c r="I93" s="751"/>
      <c r="J93" s="753"/>
      <c r="K93" s="754"/>
      <c r="L93" s="754"/>
      <c r="M93" s="756"/>
      <c r="N93" s="789"/>
      <c r="O93" s="758"/>
      <c r="P93" s="789"/>
      <c r="Q93" s="758"/>
      <c r="R93" s="757"/>
      <c r="S93" s="758"/>
      <c r="T93" s="792" t="s">
        <v>2055</v>
      </c>
      <c r="U93" s="760" t="s">
        <v>2056</v>
      </c>
      <c r="V93" s="761" t="s">
        <v>2041</v>
      </c>
      <c r="W93" s="792">
        <v>800</v>
      </c>
      <c r="X93" s="792">
        <v>3000</v>
      </c>
      <c r="Y93" s="792" t="s">
        <v>2057</v>
      </c>
      <c r="Z93" s="760" t="s">
        <v>2058</v>
      </c>
      <c r="AA93" s="761" t="s">
        <v>2041</v>
      </c>
      <c r="AB93" s="805">
        <v>0.69</v>
      </c>
      <c r="AC93" s="804">
        <v>0.75</v>
      </c>
    </row>
    <row r="94" spans="2:29" s="708" customFormat="1" ht="30" x14ac:dyDescent="0.3">
      <c r="B94" s="748">
        <v>4</v>
      </c>
      <c r="C94" s="749"/>
      <c r="D94" s="750"/>
      <c r="E94" s="751"/>
      <c r="F94" s="752"/>
      <c r="G94" s="751" t="s">
        <v>2046</v>
      </c>
      <c r="H94" s="752"/>
      <c r="I94" s="751"/>
      <c r="J94" s="753"/>
      <c r="K94" s="754"/>
      <c r="L94" s="754"/>
      <c r="M94" s="756"/>
      <c r="N94" s="789"/>
      <c r="O94" s="758"/>
      <c r="P94" s="789"/>
      <c r="Q94" s="758"/>
      <c r="R94" s="757"/>
      <c r="S94" s="758"/>
      <c r="T94" s="792" t="s">
        <v>2059</v>
      </c>
      <c r="U94" s="760" t="s">
        <v>2060</v>
      </c>
      <c r="V94" s="761" t="s">
        <v>2041</v>
      </c>
      <c r="W94" s="806" t="s">
        <v>2061</v>
      </c>
      <c r="X94" s="806" t="s">
        <v>2061</v>
      </c>
      <c r="Y94" s="807"/>
      <c r="Z94" s="760"/>
      <c r="AA94" s="761"/>
      <c r="AB94" s="805"/>
      <c r="AC94" s="804"/>
    </row>
    <row r="95" spans="2:29" s="708" customFormat="1" ht="45" x14ac:dyDescent="0.3">
      <c r="B95" s="748">
        <v>4</v>
      </c>
      <c r="C95" s="749"/>
      <c r="D95" s="750"/>
      <c r="E95" s="751"/>
      <c r="F95" s="752"/>
      <c r="G95" s="751" t="s">
        <v>2046</v>
      </c>
      <c r="H95" s="752"/>
      <c r="I95" s="751"/>
      <c r="J95" s="753"/>
      <c r="K95" s="754"/>
      <c r="L95" s="754"/>
      <c r="M95" s="756"/>
      <c r="N95" s="789"/>
      <c r="O95" s="758"/>
      <c r="P95" s="789"/>
      <c r="Q95" s="758"/>
      <c r="R95" s="757"/>
      <c r="S95" s="758"/>
      <c r="T95" s="792" t="s">
        <v>2062</v>
      </c>
      <c r="U95" s="760" t="s">
        <v>2063</v>
      </c>
      <c r="V95" s="760" t="s">
        <v>2064</v>
      </c>
      <c r="W95" s="792">
        <v>13</v>
      </c>
      <c r="X95" s="792">
        <v>15</v>
      </c>
      <c r="Y95" s="792" t="s">
        <v>2065</v>
      </c>
      <c r="Z95" s="760" t="s">
        <v>2066</v>
      </c>
      <c r="AA95" s="760" t="s">
        <v>2064</v>
      </c>
      <c r="AB95" s="808">
        <v>0</v>
      </c>
      <c r="AC95" s="809">
        <v>15</v>
      </c>
    </row>
    <row r="96" spans="2:29" s="708" customFormat="1" ht="165" x14ac:dyDescent="0.3">
      <c r="B96" s="736">
        <v>4</v>
      </c>
      <c r="C96" s="737" t="s">
        <v>1970</v>
      </c>
      <c r="D96" s="738">
        <v>6</v>
      </c>
      <c r="E96" s="739" t="s">
        <v>2045</v>
      </c>
      <c r="F96" s="740" t="s">
        <v>2035</v>
      </c>
      <c r="G96" s="739" t="s">
        <v>2067</v>
      </c>
      <c r="H96" s="740" t="s">
        <v>1686</v>
      </c>
      <c r="I96" s="739" t="s">
        <v>2068</v>
      </c>
      <c r="J96" s="736" t="s">
        <v>1997</v>
      </c>
      <c r="K96" s="741" t="s">
        <v>1654</v>
      </c>
      <c r="L96" s="741" t="s">
        <v>1655</v>
      </c>
      <c r="M96" s="743">
        <v>4903335</v>
      </c>
      <c r="N96" s="744">
        <v>0.7</v>
      </c>
      <c r="O96" s="745">
        <v>2101429.2857142859</v>
      </c>
      <c r="P96" s="744">
        <v>0.3</v>
      </c>
      <c r="Q96" s="745">
        <v>0</v>
      </c>
      <c r="R96" s="744">
        <v>0</v>
      </c>
      <c r="S96" s="745">
        <v>7004764.2857142854</v>
      </c>
      <c r="T96" s="792" t="s">
        <v>2069</v>
      </c>
      <c r="U96" s="739" t="s">
        <v>2070</v>
      </c>
      <c r="V96" s="765" t="s">
        <v>2071</v>
      </c>
      <c r="W96" s="764">
        <v>5</v>
      </c>
      <c r="X96" s="764">
        <v>30</v>
      </c>
      <c r="Z96" s="810"/>
      <c r="AA96" s="811"/>
      <c r="AB96" s="812"/>
      <c r="AC96" s="812"/>
    </row>
    <row r="97" spans="1:29" s="708" customFormat="1" ht="180" x14ac:dyDescent="0.3">
      <c r="B97" s="736">
        <v>4</v>
      </c>
      <c r="C97" s="737" t="s">
        <v>1970</v>
      </c>
      <c r="D97" s="738">
        <v>6</v>
      </c>
      <c r="E97" s="739" t="s">
        <v>2072</v>
      </c>
      <c r="F97" s="740" t="s">
        <v>2073</v>
      </c>
      <c r="G97" s="740" t="s">
        <v>2074</v>
      </c>
      <c r="H97" s="739" t="s">
        <v>2075</v>
      </c>
      <c r="I97" s="739" t="s">
        <v>2076</v>
      </c>
      <c r="J97" s="736" t="s">
        <v>1997</v>
      </c>
      <c r="K97" s="741" t="s">
        <v>1654</v>
      </c>
      <c r="L97" s="741" t="s">
        <v>1655</v>
      </c>
      <c r="M97" s="743">
        <v>8846597</v>
      </c>
      <c r="N97" s="744">
        <v>0.7</v>
      </c>
      <c r="O97" s="745">
        <v>3791398.7142857141</v>
      </c>
      <c r="P97" s="744">
        <v>0.3</v>
      </c>
      <c r="Q97" s="745">
        <v>0</v>
      </c>
      <c r="R97" s="744">
        <v>0</v>
      </c>
      <c r="S97" s="745">
        <v>12637995.714285715</v>
      </c>
      <c r="T97" s="764" t="s">
        <v>2077</v>
      </c>
      <c r="U97" s="739" t="s">
        <v>2078</v>
      </c>
      <c r="V97" s="765" t="s">
        <v>2041</v>
      </c>
      <c r="W97" s="746">
        <v>0</v>
      </c>
      <c r="X97" s="746">
        <v>84000</v>
      </c>
      <c r="Y97" s="746"/>
      <c r="Z97" s="810"/>
      <c r="AA97" s="811"/>
      <c r="AB97" s="812"/>
      <c r="AC97" s="812"/>
    </row>
    <row r="98" spans="1:29" s="708" customFormat="1" ht="60" x14ac:dyDescent="0.3">
      <c r="B98" s="748">
        <v>4</v>
      </c>
      <c r="C98" s="749"/>
      <c r="D98" s="750"/>
      <c r="E98" s="751"/>
      <c r="F98" s="752"/>
      <c r="G98" s="752" t="s">
        <v>2074</v>
      </c>
      <c r="H98" s="751"/>
      <c r="I98" s="751"/>
      <c r="J98" s="753"/>
      <c r="K98" s="754"/>
      <c r="L98" s="754"/>
      <c r="M98" s="756"/>
      <c r="N98" s="757"/>
      <c r="O98" s="758"/>
      <c r="P98" s="757"/>
      <c r="Q98" s="758"/>
      <c r="R98" s="757"/>
      <c r="S98" s="758"/>
      <c r="T98" s="764" t="s">
        <v>2079</v>
      </c>
      <c r="U98" s="739" t="s">
        <v>2080</v>
      </c>
      <c r="V98" s="764" t="s">
        <v>2041</v>
      </c>
      <c r="W98" s="764">
        <v>2100</v>
      </c>
      <c r="X98" s="746">
        <v>10000</v>
      </c>
      <c r="Y98" s="813" t="s">
        <v>2081</v>
      </c>
      <c r="Z98" s="739" t="s">
        <v>2082</v>
      </c>
      <c r="AA98" s="765" t="s">
        <v>2083</v>
      </c>
      <c r="AB98" s="799">
        <v>0.68</v>
      </c>
      <c r="AC98" s="799">
        <v>0.65</v>
      </c>
    </row>
    <row r="99" spans="1:29" s="710" customFormat="1" ht="180" x14ac:dyDescent="0.3">
      <c r="A99" s="708"/>
      <c r="B99" s="736">
        <v>4</v>
      </c>
      <c r="C99" s="738" t="s">
        <v>1970</v>
      </c>
      <c r="D99" s="738">
        <v>6</v>
      </c>
      <c r="E99" s="739" t="s">
        <v>2072</v>
      </c>
      <c r="F99" s="739" t="s">
        <v>2073</v>
      </c>
      <c r="G99" s="739" t="s">
        <v>2084</v>
      </c>
      <c r="H99" s="739" t="s">
        <v>2037</v>
      </c>
      <c r="I99" s="739" t="s">
        <v>2085</v>
      </c>
      <c r="J99" s="736" t="s">
        <v>1997</v>
      </c>
      <c r="K99" s="741" t="s">
        <v>1654</v>
      </c>
      <c r="L99" s="741" t="s">
        <v>1655</v>
      </c>
      <c r="M99" s="784">
        <v>20642061</v>
      </c>
      <c r="N99" s="814">
        <v>0.7</v>
      </c>
      <c r="O99" s="815">
        <v>8846597.5714285728</v>
      </c>
      <c r="P99" s="814">
        <v>0.3</v>
      </c>
      <c r="Q99" s="815">
        <v>0</v>
      </c>
      <c r="R99" s="814">
        <v>0</v>
      </c>
      <c r="S99" s="815">
        <v>29488658.571428575</v>
      </c>
      <c r="T99" s="764" t="s">
        <v>2086</v>
      </c>
      <c r="U99" s="739" t="s">
        <v>2087</v>
      </c>
      <c r="V99" s="740" t="s">
        <v>2088</v>
      </c>
      <c r="W99" s="747">
        <v>7500</v>
      </c>
      <c r="X99" s="759">
        <v>30000</v>
      </c>
      <c r="Y99" s="813" t="s">
        <v>2089</v>
      </c>
      <c r="Z99" s="739" t="s">
        <v>2090</v>
      </c>
      <c r="AA99" s="742" t="s">
        <v>2091</v>
      </c>
      <c r="AB99" s="802">
        <v>0.75</v>
      </c>
      <c r="AC99" s="799">
        <v>0.75</v>
      </c>
    </row>
    <row r="100" spans="1:29" s="708" customFormat="1" ht="150" x14ac:dyDescent="0.3">
      <c r="B100" s="736">
        <v>4</v>
      </c>
      <c r="C100" s="737" t="s">
        <v>1970</v>
      </c>
      <c r="D100" s="738">
        <v>6</v>
      </c>
      <c r="E100" s="739" t="s">
        <v>2092</v>
      </c>
      <c r="F100" s="740" t="s">
        <v>2093</v>
      </c>
      <c r="G100" s="740" t="s">
        <v>2094</v>
      </c>
      <c r="H100" s="740" t="s">
        <v>2095</v>
      </c>
      <c r="I100" s="739" t="s">
        <v>2096</v>
      </c>
      <c r="J100" s="736" t="s">
        <v>1997</v>
      </c>
      <c r="K100" s="741" t="s">
        <v>1654</v>
      </c>
      <c r="L100" s="741" t="s">
        <v>1655</v>
      </c>
      <c r="M100" s="768">
        <v>68445860.393697679</v>
      </c>
      <c r="N100" s="763">
        <v>0.69608313644820297</v>
      </c>
      <c r="O100" s="745">
        <v>29884147.632277366</v>
      </c>
      <c r="P100" s="763">
        <v>0.30391686355179703</v>
      </c>
      <c r="Q100" s="745">
        <v>0</v>
      </c>
      <c r="R100" s="744">
        <v>0</v>
      </c>
      <c r="S100" s="745">
        <v>98330008.025975049</v>
      </c>
      <c r="T100" s="764" t="s">
        <v>2097</v>
      </c>
      <c r="U100" s="764" t="s">
        <v>2098</v>
      </c>
      <c r="V100" s="764" t="s">
        <v>2041</v>
      </c>
      <c r="W100" s="764">
        <v>16000</v>
      </c>
      <c r="X100" s="764">
        <v>61923</v>
      </c>
      <c r="Y100" s="764" t="s">
        <v>2099</v>
      </c>
      <c r="Z100" s="764" t="s">
        <v>2100</v>
      </c>
      <c r="AA100" s="764" t="s">
        <v>2101</v>
      </c>
      <c r="AB100" s="816">
        <v>0.93</v>
      </c>
      <c r="AC100" s="816">
        <v>0.85</v>
      </c>
    </row>
    <row r="101" spans="1:29" s="708" customFormat="1" x14ac:dyDescent="0.3">
      <c r="B101" s="748">
        <v>4</v>
      </c>
      <c r="C101" s="749"/>
      <c r="D101" s="750"/>
      <c r="E101" s="751"/>
      <c r="F101" s="752"/>
      <c r="G101" s="752" t="s">
        <v>2094</v>
      </c>
      <c r="H101" s="751"/>
      <c r="I101" s="751"/>
      <c r="J101" s="753"/>
      <c r="K101" s="754"/>
      <c r="L101" s="754"/>
      <c r="M101" s="756"/>
      <c r="N101" s="757"/>
      <c r="O101" s="758"/>
      <c r="P101" s="757"/>
      <c r="Q101" s="758"/>
      <c r="R101" s="757"/>
      <c r="S101" s="758"/>
      <c r="T101" s="764" t="s">
        <v>2102</v>
      </c>
      <c r="U101" s="764" t="s">
        <v>2103</v>
      </c>
      <c r="V101" s="764" t="s">
        <v>2041</v>
      </c>
      <c r="W101" s="764">
        <v>500</v>
      </c>
      <c r="X101" s="764">
        <v>2077</v>
      </c>
      <c r="Y101" s="764"/>
      <c r="Z101" s="764"/>
      <c r="AA101" s="764"/>
      <c r="AB101" s="764"/>
      <c r="AC101" s="764"/>
    </row>
    <row r="102" spans="1:29" s="708" customFormat="1" x14ac:dyDescent="0.3">
      <c r="B102" s="748">
        <v>4</v>
      </c>
      <c r="C102" s="749"/>
      <c r="D102" s="750"/>
      <c r="E102" s="751"/>
      <c r="F102" s="752"/>
      <c r="G102" s="752" t="s">
        <v>2094</v>
      </c>
      <c r="H102" s="751"/>
      <c r="I102" s="751"/>
      <c r="J102" s="753"/>
      <c r="K102" s="754"/>
      <c r="L102" s="754"/>
      <c r="M102" s="756"/>
      <c r="N102" s="757"/>
      <c r="O102" s="758"/>
      <c r="P102" s="757"/>
      <c r="Q102" s="758"/>
      <c r="R102" s="757"/>
      <c r="S102" s="758"/>
      <c r="T102" s="764" t="s">
        <v>2104</v>
      </c>
      <c r="U102" s="764" t="s">
        <v>2105</v>
      </c>
      <c r="V102" s="764" t="s">
        <v>2106</v>
      </c>
      <c r="W102" s="764">
        <v>1250</v>
      </c>
      <c r="X102" s="764">
        <v>5000</v>
      </c>
      <c r="Y102" s="764"/>
      <c r="Z102" s="764"/>
      <c r="AA102" s="764"/>
      <c r="AB102" s="764"/>
      <c r="AC102" s="764"/>
    </row>
    <row r="103" spans="1:29" s="708" customFormat="1" ht="150" x14ac:dyDescent="0.3">
      <c r="B103" s="736">
        <v>4</v>
      </c>
      <c r="C103" s="737" t="s">
        <v>1970</v>
      </c>
      <c r="D103" s="738">
        <v>6</v>
      </c>
      <c r="E103" s="739" t="s">
        <v>2092</v>
      </c>
      <c r="F103" s="740" t="s">
        <v>2093</v>
      </c>
      <c r="G103" s="740" t="s">
        <v>2107</v>
      </c>
      <c r="H103" s="740" t="s">
        <v>2047</v>
      </c>
      <c r="I103" s="739" t="s">
        <v>2108</v>
      </c>
      <c r="J103" s="736" t="s">
        <v>1997</v>
      </c>
      <c r="K103" s="741" t="s">
        <v>1654</v>
      </c>
      <c r="L103" s="741" t="s">
        <v>1655</v>
      </c>
      <c r="M103" s="743">
        <v>13800000</v>
      </c>
      <c r="N103" s="744">
        <v>0.7</v>
      </c>
      <c r="O103" s="745">
        <v>5914285.7142857146</v>
      </c>
      <c r="P103" s="744">
        <v>0.3</v>
      </c>
      <c r="Q103" s="745">
        <v>0</v>
      </c>
      <c r="R103" s="744">
        <v>0</v>
      </c>
      <c r="S103" s="745">
        <v>19714285.714285716</v>
      </c>
      <c r="T103" s="764" t="s">
        <v>2109</v>
      </c>
      <c r="U103" s="739" t="s">
        <v>2110</v>
      </c>
      <c r="V103" s="739" t="s">
        <v>2111</v>
      </c>
      <c r="W103" s="740">
        <v>0</v>
      </c>
      <c r="X103" s="740">
        <v>1</v>
      </c>
      <c r="Y103" s="764"/>
      <c r="Z103" s="764"/>
      <c r="AA103" s="764"/>
      <c r="AB103" s="764"/>
      <c r="AC103" s="764"/>
    </row>
    <row r="104" spans="1:29" s="708" customFormat="1" ht="90" x14ac:dyDescent="0.3">
      <c r="B104" s="736">
        <v>4</v>
      </c>
      <c r="C104" s="737" t="s">
        <v>1970</v>
      </c>
      <c r="D104" s="738">
        <v>6</v>
      </c>
      <c r="E104" s="739" t="s">
        <v>2112</v>
      </c>
      <c r="F104" s="740" t="s">
        <v>2113</v>
      </c>
      <c r="G104" s="740" t="s">
        <v>2114</v>
      </c>
      <c r="H104" s="739" t="s">
        <v>2037</v>
      </c>
      <c r="I104" s="739" t="s">
        <v>2115</v>
      </c>
      <c r="J104" s="736" t="s">
        <v>1997</v>
      </c>
      <c r="K104" s="741" t="s">
        <v>1654</v>
      </c>
      <c r="L104" s="741" t="s">
        <v>1655</v>
      </c>
      <c r="M104" s="743">
        <v>21000000</v>
      </c>
      <c r="N104" s="744">
        <v>0.7</v>
      </c>
      <c r="O104" s="745">
        <v>9000000</v>
      </c>
      <c r="P104" s="744">
        <v>0.3</v>
      </c>
      <c r="Q104" s="745">
        <v>0</v>
      </c>
      <c r="R104" s="744">
        <v>0</v>
      </c>
      <c r="S104" s="745">
        <v>30000000</v>
      </c>
      <c r="T104" s="764" t="s">
        <v>2116</v>
      </c>
      <c r="U104" s="739" t="s">
        <v>2117</v>
      </c>
      <c r="V104" s="765" t="s">
        <v>2041</v>
      </c>
      <c r="W104" s="764">
        <v>2500</v>
      </c>
      <c r="X104" s="764">
        <v>10000</v>
      </c>
      <c r="Y104" s="764" t="s">
        <v>2118</v>
      </c>
      <c r="Z104" s="739" t="s">
        <v>2119</v>
      </c>
      <c r="AA104" s="765" t="s">
        <v>2101</v>
      </c>
      <c r="AB104" s="799">
        <v>0.7</v>
      </c>
      <c r="AC104" s="802">
        <v>0.75</v>
      </c>
    </row>
    <row r="105" spans="1:29" s="708" customFormat="1" ht="90" x14ac:dyDescent="0.3">
      <c r="B105" s="736">
        <v>4</v>
      </c>
      <c r="C105" s="737" t="s">
        <v>1970</v>
      </c>
      <c r="D105" s="738">
        <v>6</v>
      </c>
      <c r="E105" s="739" t="s">
        <v>2112</v>
      </c>
      <c r="F105" s="740" t="s">
        <v>2113</v>
      </c>
      <c r="G105" s="740" t="s">
        <v>2120</v>
      </c>
      <c r="H105" s="739" t="s">
        <v>2075</v>
      </c>
      <c r="I105" s="739" t="s">
        <v>2121</v>
      </c>
      <c r="J105" s="736" t="s">
        <v>1997</v>
      </c>
      <c r="K105" s="741" t="s">
        <v>1654</v>
      </c>
      <c r="L105" s="741" t="s">
        <v>1655</v>
      </c>
      <c r="M105" s="743">
        <v>2607397</v>
      </c>
      <c r="N105" s="744">
        <v>0.7</v>
      </c>
      <c r="O105" s="745">
        <v>1117455.857142857</v>
      </c>
      <c r="P105" s="744">
        <v>0.3</v>
      </c>
      <c r="Q105" s="745">
        <v>0</v>
      </c>
      <c r="R105" s="744">
        <v>0</v>
      </c>
      <c r="S105" s="745">
        <v>3724852.8571428573</v>
      </c>
      <c r="T105" s="764" t="s">
        <v>2122</v>
      </c>
      <c r="U105" s="817" t="s">
        <v>2123</v>
      </c>
      <c r="V105" s="765"/>
      <c r="W105" s="764"/>
      <c r="X105" s="764"/>
      <c r="Y105" s="764"/>
      <c r="Z105" s="764"/>
      <c r="AA105" s="764"/>
      <c r="AB105" s="764"/>
      <c r="AC105" s="764"/>
    </row>
    <row r="106" spans="1:29" s="708" customFormat="1" ht="90" x14ac:dyDescent="0.3">
      <c r="B106" s="736">
        <v>4</v>
      </c>
      <c r="C106" s="737" t="s">
        <v>1970</v>
      </c>
      <c r="D106" s="738">
        <v>6</v>
      </c>
      <c r="E106" s="739" t="s">
        <v>2112</v>
      </c>
      <c r="F106" s="740" t="s">
        <v>2113</v>
      </c>
      <c r="G106" s="740" t="s">
        <v>2124</v>
      </c>
      <c r="H106" s="739" t="s">
        <v>2125</v>
      </c>
      <c r="I106" s="739" t="s">
        <v>2115</v>
      </c>
      <c r="J106" s="736" t="s">
        <v>1997</v>
      </c>
      <c r="K106" s="741" t="s">
        <v>1654</v>
      </c>
      <c r="L106" s="741" t="s">
        <v>1655</v>
      </c>
      <c r="M106" s="818">
        <v>11190000</v>
      </c>
      <c r="N106" s="744">
        <v>0.7</v>
      </c>
      <c r="O106" s="745">
        <v>4795714.2857142864</v>
      </c>
      <c r="P106" s="744">
        <v>0.3</v>
      </c>
      <c r="Q106" s="745">
        <v>0</v>
      </c>
      <c r="R106" s="744">
        <v>0</v>
      </c>
      <c r="S106" s="745">
        <v>15985714.285714287</v>
      </c>
      <c r="T106" s="764" t="s">
        <v>2126</v>
      </c>
      <c r="U106" s="739" t="s">
        <v>2127</v>
      </c>
      <c r="V106" s="765" t="s">
        <v>2128</v>
      </c>
      <c r="W106" s="764">
        <v>0</v>
      </c>
      <c r="X106" s="764">
        <v>4</v>
      </c>
      <c r="Y106" s="764"/>
      <c r="Z106" s="764"/>
      <c r="AA106" s="764"/>
      <c r="AB106" s="764"/>
      <c r="AC106" s="764"/>
    </row>
    <row r="107" spans="1:29" s="708" customFormat="1" ht="90" x14ac:dyDescent="0.3">
      <c r="B107" s="736">
        <v>4</v>
      </c>
      <c r="C107" s="737" t="s">
        <v>1970</v>
      </c>
      <c r="D107" s="738">
        <v>6</v>
      </c>
      <c r="E107" s="739" t="s">
        <v>2112</v>
      </c>
      <c r="F107" s="740" t="s">
        <v>2113</v>
      </c>
      <c r="G107" s="740" t="s">
        <v>2129</v>
      </c>
      <c r="H107" s="740" t="s">
        <v>2130</v>
      </c>
      <c r="I107" s="740" t="s">
        <v>2131</v>
      </c>
      <c r="J107" s="736" t="s">
        <v>1997</v>
      </c>
      <c r="K107" s="741" t="s">
        <v>2132</v>
      </c>
      <c r="L107" s="741" t="s">
        <v>1655</v>
      </c>
      <c r="M107" s="743">
        <v>6658729</v>
      </c>
      <c r="N107" s="744">
        <v>0.7</v>
      </c>
      <c r="O107" s="745">
        <v>2853741</v>
      </c>
      <c r="P107" s="744">
        <v>0.3</v>
      </c>
      <c r="Q107" s="745">
        <v>0</v>
      </c>
      <c r="R107" s="744">
        <v>0</v>
      </c>
      <c r="S107" s="745">
        <v>9512470</v>
      </c>
      <c r="T107" s="764" t="s">
        <v>2133</v>
      </c>
      <c r="U107" s="740" t="s">
        <v>2134</v>
      </c>
      <c r="V107" s="739" t="s">
        <v>2135</v>
      </c>
      <c r="W107" s="764">
        <v>100</v>
      </c>
      <c r="X107" s="764">
        <v>500</v>
      </c>
      <c r="Y107" s="764" t="s">
        <v>2136</v>
      </c>
      <c r="Z107" s="739" t="s">
        <v>2137</v>
      </c>
      <c r="AA107" s="765" t="s">
        <v>68</v>
      </c>
      <c r="AB107" s="819">
        <v>55</v>
      </c>
      <c r="AC107" s="820">
        <v>70</v>
      </c>
    </row>
    <row r="108" spans="1:29" s="708" customFormat="1" ht="30" x14ac:dyDescent="0.3">
      <c r="B108" s="748">
        <v>4</v>
      </c>
      <c r="C108" s="749"/>
      <c r="D108" s="750"/>
      <c r="E108" s="751"/>
      <c r="F108" s="752"/>
      <c r="G108" s="752" t="s">
        <v>2129</v>
      </c>
      <c r="H108" s="752"/>
      <c r="I108" s="821"/>
      <c r="J108" s="753"/>
      <c r="K108" s="754"/>
      <c r="L108" s="754"/>
      <c r="M108" s="756"/>
      <c r="N108" s="757"/>
      <c r="O108" s="758"/>
      <c r="P108" s="757"/>
      <c r="Q108" s="758"/>
      <c r="R108" s="757"/>
      <c r="S108" s="758"/>
      <c r="T108" s="764" t="s">
        <v>2138</v>
      </c>
      <c r="U108" s="740" t="s">
        <v>2139</v>
      </c>
      <c r="V108" s="739" t="s">
        <v>2140</v>
      </c>
      <c r="W108" s="764">
        <v>150</v>
      </c>
      <c r="X108" s="764">
        <v>500</v>
      </c>
      <c r="Y108" s="764"/>
      <c r="Z108" s="739"/>
      <c r="AA108" s="739"/>
      <c r="AB108" s="799"/>
      <c r="AC108" s="799"/>
    </row>
    <row r="109" spans="1:29" s="708" customFormat="1" ht="150" x14ac:dyDescent="0.3">
      <c r="B109" s="736">
        <v>4</v>
      </c>
      <c r="C109" s="737" t="s">
        <v>1970</v>
      </c>
      <c r="D109" s="738">
        <v>6</v>
      </c>
      <c r="E109" s="739" t="s">
        <v>2112</v>
      </c>
      <c r="F109" s="740" t="s">
        <v>2113</v>
      </c>
      <c r="G109" s="740" t="s">
        <v>2141</v>
      </c>
      <c r="H109" s="740" t="s">
        <v>2142</v>
      </c>
      <c r="I109" s="740" t="s">
        <v>2143</v>
      </c>
      <c r="J109" s="736" t="s">
        <v>1997</v>
      </c>
      <c r="K109" s="741" t="s">
        <v>1722</v>
      </c>
      <c r="L109" s="741" t="s">
        <v>1655</v>
      </c>
      <c r="M109" s="743">
        <v>35368926</v>
      </c>
      <c r="N109" s="744">
        <v>0.7</v>
      </c>
      <c r="O109" s="745">
        <v>15158111.142857144</v>
      </c>
      <c r="P109" s="744">
        <v>0.3</v>
      </c>
      <c r="Q109" s="745">
        <v>0</v>
      </c>
      <c r="R109" s="744">
        <v>0</v>
      </c>
      <c r="S109" s="745">
        <v>50527037.142857142</v>
      </c>
      <c r="T109" s="764" t="s">
        <v>2144</v>
      </c>
      <c r="U109" s="740" t="s">
        <v>2145</v>
      </c>
      <c r="V109" s="739" t="s">
        <v>2041</v>
      </c>
      <c r="W109" s="764">
        <v>5117</v>
      </c>
      <c r="X109" s="764">
        <v>24597</v>
      </c>
      <c r="Y109" s="792" t="s">
        <v>2146</v>
      </c>
      <c r="Z109" s="760" t="s">
        <v>2147</v>
      </c>
      <c r="AA109" s="761" t="s">
        <v>2041</v>
      </c>
      <c r="AB109" s="808">
        <v>0</v>
      </c>
      <c r="AC109" s="808">
        <v>4960</v>
      </c>
    </row>
    <row r="110" spans="1:29" s="708" customFormat="1" ht="30" x14ac:dyDescent="0.3">
      <c r="B110" s="748">
        <v>4</v>
      </c>
      <c r="C110" s="749"/>
      <c r="D110" s="750"/>
      <c r="E110" s="751"/>
      <c r="F110" s="752"/>
      <c r="G110" s="752" t="s">
        <v>2141</v>
      </c>
      <c r="H110" s="821"/>
      <c r="I110" s="753"/>
      <c r="J110" s="754"/>
      <c r="K110" s="754"/>
      <c r="L110" s="756"/>
      <c r="M110" s="757"/>
      <c r="N110" s="758"/>
      <c r="O110" s="757"/>
      <c r="P110" s="758"/>
      <c r="Q110" s="757"/>
      <c r="R110" s="758"/>
      <c r="S110" s="821"/>
      <c r="T110" s="764" t="s">
        <v>2148</v>
      </c>
      <c r="U110" s="740" t="s">
        <v>2149</v>
      </c>
      <c r="V110" s="739" t="s">
        <v>1978</v>
      </c>
      <c r="W110" s="764">
        <v>14000</v>
      </c>
      <c r="X110" s="764">
        <v>49000</v>
      </c>
      <c r="Y110" s="764"/>
      <c r="Z110" s="739"/>
      <c r="AA110" s="739"/>
      <c r="AB110" s="799"/>
      <c r="AC110" s="799"/>
    </row>
    <row r="111" spans="1:29" s="708" customFormat="1" ht="30" x14ac:dyDescent="0.3">
      <c r="B111" s="748">
        <v>4</v>
      </c>
      <c r="C111" s="749"/>
      <c r="D111" s="750"/>
      <c r="E111" s="751"/>
      <c r="F111" s="752"/>
      <c r="G111" s="752" t="s">
        <v>2141</v>
      </c>
      <c r="H111" s="821"/>
      <c r="I111" s="753"/>
      <c r="J111" s="754"/>
      <c r="K111" s="754"/>
      <c r="L111" s="756"/>
      <c r="M111" s="757"/>
      <c r="N111" s="758"/>
      <c r="O111" s="757"/>
      <c r="P111" s="758"/>
      <c r="Q111" s="757"/>
      <c r="R111" s="758"/>
      <c r="S111" s="821"/>
      <c r="T111" s="764" t="s">
        <v>2150</v>
      </c>
      <c r="U111" s="740" t="s">
        <v>2151</v>
      </c>
      <c r="V111" s="739" t="s">
        <v>2106</v>
      </c>
      <c r="W111" s="764">
        <v>260</v>
      </c>
      <c r="X111" s="764">
        <v>1200</v>
      </c>
      <c r="Y111" s="764"/>
      <c r="Z111" s="739"/>
      <c r="AA111" s="739"/>
      <c r="AB111" s="799"/>
      <c r="AC111" s="799"/>
    </row>
    <row r="112" spans="1:29" s="708" customFormat="1" ht="45" x14ac:dyDescent="0.3">
      <c r="B112" s="748">
        <v>4</v>
      </c>
      <c r="C112" s="749"/>
      <c r="D112" s="750"/>
      <c r="E112" s="751"/>
      <c r="F112" s="752"/>
      <c r="G112" s="752" t="s">
        <v>2141</v>
      </c>
      <c r="H112" s="821"/>
      <c r="I112" s="753"/>
      <c r="J112" s="754"/>
      <c r="K112" s="754"/>
      <c r="L112" s="756"/>
      <c r="M112" s="757"/>
      <c r="N112" s="758"/>
      <c r="O112" s="757"/>
      <c r="P112" s="758"/>
      <c r="Q112" s="757"/>
      <c r="R112" s="758"/>
      <c r="S112" s="821"/>
      <c r="T112" s="764" t="s">
        <v>2152</v>
      </c>
      <c r="U112" s="740" t="s">
        <v>2153</v>
      </c>
      <c r="V112" s="739" t="s">
        <v>2041</v>
      </c>
      <c r="W112" s="764">
        <v>1000</v>
      </c>
      <c r="X112" s="764">
        <v>6200</v>
      </c>
      <c r="Y112" s="764"/>
      <c r="Z112" s="739"/>
      <c r="AA112" s="739"/>
      <c r="AB112" s="799"/>
      <c r="AC112" s="799"/>
    </row>
    <row r="113" spans="2:29" s="708" customFormat="1" ht="30" x14ac:dyDescent="0.3">
      <c r="B113" s="748">
        <v>4</v>
      </c>
      <c r="C113" s="749"/>
      <c r="D113" s="750"/>
      <c r="E113" s="751"/>
      <c r="F113" s="752"/>
      <c r="G113" s="752" t="s">
        <v>2141</v>
      </c>
      <c r="H113" s="821"/>
      <c r="I113" s="753"/>
      <c r="J113" s="754"/>
      <c r="K113" s="754"/>
      <c r="L113" s="756"/>
      <c r="M113" s="757"/>
      <c r="N113" s="758"/>
      <c r="O113" s="757"/>
      <c r="P113" s="758"/>
      <c r="Q113" s="757"/>
      <c r="R113" s="758"/>
      <c r="S113" s="821"/>
      <c r="T113" s="764" t="s">
        <v>2154</v>
      </c>
      <c r="U113" s="740" t="s">
        <v>2155</v>
      </c>
      <c r="V113" s="739" t="s">
        <v>2156</v>
      </c>
      <c r="W113" s="764">
        <v>2</v>
      </c>
      <c r="X113" s="764">
        <v>6</v>
      </c>
      <c r="Y113" s="764"/>
      <c r="Z113" s="739"/>
      <c r="AA113" s="739"/>
      <c r="AB113" s="799"/>
      <c r="AC113" s="799"/>
    </row>
    <row r="114" spans="2:29" s="708" customFormat="1" x14ac:dyDescent="0.3">
      <c r="B114" s="748">
        <v>4</v>
      </c>
      <c r="C114" s="749"/>
      <c r="D114" s="750"/>
      <c r="E114" s="751"/>
      <c r="F114" s="752"/>
      <c r="G114" s="752" t="s">
        <v>2141</v>
      </c>
      <c r="H114" s="821"/>
      <c r="I114" s="753"/>
      <c r="J114" s="754"/>
      <c r="K114" s="754"/>
      <c r="L114" s="756"/>
      <c r="M114" s="757"/>
      <c r="N114" s="758"/>
      <c r="O114" s="757"/>
      <c r="P114" s="758"/>
      <c r="Q114" s="757"/>
      <c r="R114" s="758"/>
      <c r="S114" s="821"/>
      <c r="T114" s="764" t="s">
        <v>2157</v>
      </c>
      <c r="U114" s="740" t="s">
        <v>2158</v>
      </c>
      <c r="V114" s="739" t="s">
        <v>1978</v>
      </c>
      <c r="W114" s="764">
        <v>5</v>
      </c>
      <c r="X114" s="764">
        <v>7</v>
      </c>
      <c r="Y114" s="764"/>
      <c r="Z114" s="739"/>
      <c r="AA114" s="739"/>
      <c r="AB114" s="799"/>
      <c r="AC114" s="799"/>
    </row>
    <row r="115" spans="2:29" s="708" customFormat="1" ht="30" x14ac:dyDescent="0.3">
      <c r="B115" s="748">
        <v>4</v>
      </c>
      <c r="C115" s="749"/>
      <c r="D115" s="750"/>
      <c r="E115" s="751"/>
      <c r="F115" s="752"/>
      <c r="G115" s="752" t="s">
        <v>2141</v>
      </c>
      <c r="H115" s="821"/>
      <c r="I115" s="753"/>
      <c r="J115" s="754"/>
      <c r="K115" s="754"/>
      <c r="L115" s="756"/>
      <c r="M115" s="757"/>
      <c r="N115" s="758"/>
      <c r="O115" s="757"/>
      <c r="P115" s="758"/>
      <c r="Q115" s="757"/>
      <c r="R115" s="758"/>
      <c r="S115" s="821"/>
      <c r="T115" s="764" t="s">
        <v>2159</v>
      </c>
      <c r="U115" s="740" t="s">
        <v>2160</v>
      </c>
      <c r="V115" s="739" t="s">
        <v>2156</v>
      </c>
      <c r="W115" s="764">
        <v>5</v>
      </c>
      <c r="X115" s="764">
        <v>10</v>
      </c>
      <c r="Y115" s="764"/>
      <c r="Z115" s="739"/>
      <c r="AA115" s="739"/>
      <c r="AB115" s="799"/>
      <c r="AC115" s="799"/>
    </row>
    <row r="116" spans="2:29" s="708" customFormat="1" ht="120" x14ac:dyDescent="0.3">
      <c r="B116" s="736">
        <v>4</v>
      </c>
      <c r="C116" s="737" t="s">
        <v>1970</v>
      </c>
      <c r="D116" s="738">
        <v>6</v>
      </c>
      <c r="E116" s="739" t="s">
        <v>2112</v>
      </c>
      <c r="F116" s="740" t="s">
        <v>2113</v>
      </c>
      <c r="G116" s="740" t="s">
        <v>2161</v>
      </c>
      <c r="H116" s="739" t="s">
        <v>2162</v>
      </c>
      <c r="I116" s="740" t="s">
        <v>2163</v>
      </c>
      <c r="J116" s="736" t="s">
        <v>1997</v>
      </c>
      <c r="K116" s="741" t="s">
        <v>1870</v>
      </c>
      <c r="L116" s="741" t="s">
        <v>1655</v>
      </c>
      <c r="M116" s="743">
        <v>2195788</v>
      </c>
      <c r="N116" s="744">
        <v>0.7</v>
      </c>
      <c r="O116" s="745">
        <v>941052</v>
      </c>
      <c r="P116" s="744">
        <v>0.3</v>
      </c>
      <c r="Q116" s="745">
        <v>0</v>
      </c>
      <c r="R116" s="744">
        <v>0</v>
      </c>
      <c r="S116" s="745">
        <v>3136840</v>
      </c>
      <c r="T116" s="764" t="s">
        <v>2164</v>
      </c>
      <c r="U116" s="740" t="s">
        <v>2165</v>
      </c>
      <c r="V116" s="739" t="s">
        <v>2166</v>
      </c>
      <c r="W116" s="764" t="s">
        <v>2167</v>
      </c>
      <c r="X116" s="793" t="s">
        <v>2168</v>
      </c>
      <c r="Y116" s="792"/>
      <c r="Z116" s="760"/>
      <c r="AA116" s="761"/>
      <c r="AB116" s="808"/>
      <c r="AC116" s="808"/>
    </row>
    <row r="117" spans="2:29" s="708" customFormat="1" ht="120" x14ac:dyDescent="0.3">
      <c r="B117" s="736">
        <v>4</v>
      </c>
      <c r="C117" s="737" t="s">
        <v>1970</v>
      </c>
      <c r="D117" s="738">
        <v>6</v>
      </c>
      <c r="E117" s="739" t="s">
        <v>2112</v>
      </c>
      <c r="F117" s="740" t="s">
        <v>2113</v>
      </c>
      <c r="G117" s="740" t="s">
        <v>2169</v>
      </c>
      <c r="H117" s="739" t="s">
        <v>2170</v>
      </c>
      <c r="I117" s="740" t="s">
        <v>2171</v>
      </c>
      <c r="J117" s="736" t="s">
        <v>1997</v>
      </c>
      <c r="K117" s="741" t="s">
        <v>1870</v>
      </c>
      <c r="L117" s="741" t="s">
        <v>1655</v>
      </c>
      <c r="M117" s="743">
        <v>1401098</v>
      </c>
      <c r="N117" s="744">
        <v>0.7</v>
      </c>
      <c r="O117" s="745">
        <v>600470.57142857148</v>
      </c>
      <c r="P117" s="744">
        <v>0.3</v>
      </c>
      <c r="Q117" s="745">
        <v>0</v>
      </c>
      <c r="R117" s="744">
        <v>0</v>
      </c>
      <c r="S117" s="745">
        <v>2001568.5714285714</v>
      </c>
      <c r="T117" s="764" t="s">
        <v>2172</v>
      </c>
      <c r="U117" s="740" t="s">
        <v>2173</v>
      </c>
      <c r="V117" s="739" t="s">
        <v>2041</v>
      </c>
      <c r="W117" s="764" t="s">
        <v>2174</v>
      </c>
      <c r="X117" s="764">
        <v>60</v>
      </c>
      <c r="Y117" s="792"/>
      <c r="Z117" s="760"/>
      <c r="AA117" s="761"/>
      <c r="AB117" s="808"/>
      <c r="AC117" s="808"/>
    </row>
    <row r="118" spans="2:29" s="708" customFormat="1" ht="90" x14ac:dyDescent="0.3">
      <c r="B118" s="736">
        <v>4</v>
      </c>
      <c r="C118" s="737" t="s">
        <v>1970</v>
      </c>
      <c r="D118" s="738">
        <v>6</v>
      </c>
      <c r="E118" s="739" t="s">
        <v>2112</v>
      </c>
      <c r="F118" s="740" t="s">
        <v>2113</v>
      </c>
      <c r="G118" s="740" t="s">
        <v>2175</v>
      </c>
      <c r="H118" s="740" t="s">
        <v>2176</v>
      </c>
      <c r="I118" s="740" t="s">
        <v>2177</v>
      </c>
      <c r="J118" s="736" t="s">
        <v>1997</v>
      </c>
      <c r="K118" s="741" t="s">
        <v>2132</v>
      </c>
      <c r="L118" s="741" t="s">
        <v>1655</v>
      </c>
      <c r="M118" s="743">
        <v>1770000</v>
      </c>
      <c r="N118" s="744">
        <v>0.7</v>
      </c>
      <c r="O118" s="745">
        <v>758571.42857142852</v>
      </c>
      <c r="P118" s="744">
        <v>0.3</v>
      </c>
      <c r="Q118" s="745">
        <v>0</v>
      </c>
      <c r="R118" s="744">
        <v>0</v>
      </c>
      <c r="S118" s="745">
        <v>2528571.4285714286</v>
      </c>
      <c r="T118" s="764" t="s">
        <v>2178</v>
      </c>
      <c r="U118" s="740" t="s">
        <v>2179</v>
      </c>
      <c r="V118" s="739" t="s">
        <v>2135</v>
      </c>
      <c r="W118" s="764">
        <v>405</v>
      </c>
      <c r="X118" s="764">
        <v>2025</v>
      </c>
      <c r="Y118" s="792"/>
      <c r="Z118" s="760"/>
      <c r="AA118" s="761"/>
      <c r="AB118" s="808"/>
      <c r="AC118" s="808"/>
    </row>
    <row r="119" spans="2:29" s="708" customFormat="1" ht="90" x14ac:dyDescent="0.3">
      <c r="B119" s="736">
        <v>4</v>
      </c>
      <c r="C119" s="737" t="s">
        <v>1970</v>
      </c>
      <c r="D119" s="738">
        <v>6</v>
      </c>
      <c r="E119" s="739" t="s">
        <v>2112</v>
      </c>
      <c r="F119" s="740" t="s">
        <v>2113</v>
      </c>
      <c r="G119" s="740" t="s">
        <v>2180</v>
      </c>
      <c r="H119" s="740" t="s">
        <v>1984</v>
      </c>
      <c r="I119" s="740" t="s">
        <v>2181</v>
      </c>
      <c r="J119" s="736" t="s">
        <v>1997</v>
      </c>
      <c r="K119" s="741" t="s">
        <v>1804</v>
      </c>
      <c r="L119" s="741" t="s">
        <v>1655</v>
      </c>
      <c r="M119" s="818">
        <v>30852834</v>
      </c>
      <c r="N119" s="744">
        <v>0.7</v>
      </c>
      <c r="O119" s="745">
        <v>13222643.142857144</v>
      </c>
      <c r="P119" s="744">
        <v>0.3</v>
      </c>
      <c r="Q119" s="745">
        <v>0</v>
      </c>
      <c r="R119" s="744">
        <v>0</v>
      </c>
      <c r="S119" s="745">
        <v>44075477.142857142</v>
      </c>
      <c r="T119" s="740" t="s">
        <v>2182</v>
      </c>
      <c r="U119" s="739" t="s">
        <v>2183</v>
      </c>
      <c r="V119" s="739" t="s">
        <v>2184</v>
      </c>
      <c r="W119" s="740">
        <v>0</v>
      </c>
      <c r="X119" s="740">
        <v>1</v>
      </c>
      <c r="Y119" s="740" t="s">
        <v>2185</v>
      </c>
      <c r="Z119" s="739" t="s">
        <v>2186</v>
      </c>
      <c r="AA119" s="739" t="s">
        <v>2187</v>
      </c>
      <c r="AB119" s="747">
        <v>0</v>
      </c>
      <c r="AC119" s="747">
        <v>1</v>
      </c>
    </row>
    <row r="120" spans="2:29" s="708" customFormat="1" ht="30" x14ac:dyDescent="0.3">
      <c r="B120" s="748">
        <v>4</v>
      </c>
      <c r="C120" s="749"/>
      <c r="D120" s="750"/>
      <c r="E120" s="751"/>
      <c r="F120" s="752"/>
      <c r="G120" s="752" t="s">
        <v>2180</v>
      </c>
      <c r="H120" s="752"/>
      <c r="I120" s="752"/>
      <c r="J120" s="753"/>
      <c r="K120" s="754"/>
      <c r="L120" s="754"/>
      <c r="M120" s="822"/>
      <c r="N120" s="757"/>
      <c r="O120" s="758"/>
      <c r="P120" s="757"/>
      <c r="Q120" s="758"/>
      <c r="R120" s="757"/>
      <c r="S120" s="758"/>
      <c r="T120" s="740" t="s">
        <v>2188</v>
      </c>
      <c r="U120" s="739" t="s">
        <v>2189</v>
      </c>
      <c r="V120" s="739" t="s">
        <v>2190</v>
      </c>
      <c r="W120" s="740">
        <v>2</v>
      </c>
      <c r="X120" s="740">
        <v>5</v>
      </c>
      <c r="Y120" s="740" t="s">
        <v>2191</v>
      </c>
      <c r="Z120" s="739" t="s">
        <v>2192</v>
      </c>
      <c r="AA120" s="739" t="s">
        <v>1978</v>
      </c>
      <c r="AB120" s="747">
        <v>0</v>
      </c>
      <c r="AC120" s="747">
        <v>5</v>
      </c>
    </row>
    <row r="121" spans="2:29" s="708" customFormat="1" ht="120" x14ac:dyDescent="0.3">
      <c r="B121" s="736">
        <v>4</v>
      </c>
      <c r="C121" s="737" t="s">
        <v>1970</v>
      </c>
      <c r="D121" s="738">
        <v>6</v>
      </c>
      <c r="E121" s="739" t="s">
        <v>2193</v>
      </c>
      <c r="F121" s="740" t="s">
        <v>2194</v>
      </c>
      <c r="G121" s="740" t="s">
        <v>2195</v>
      </c>
      <c r="H121" s="740" t="s">
        <v>2095</v>
      </c>
      <c r="I121" s="740" t="s">
        <v>2196</v>
      </c>
      <c r="J121" s="736" t="s">
        <v>1630</v>
      </c>
      <c r="K121" s="741" t="s">
        <v>1654</v>
      </c>
      <c r="L121" s="741" t="s">
        <v>1655</v>
      </c>
      <c r="M121" s="743">
        <v>67000000</v>
      </c>
      <c r="N121" s="744">
        <v>0.7</v>
      </c>
      <c r="O121" s="745">
        <v>15888571.428571429</v>
      </c>
      <c r="P121" s="823">
        <v>0.16600000000000001</v>
      </c>
      <c r="Q121" s="745">
        <v>12825714.285714287</v>
      </c>
      <c r="R121" s="823">
        <v>0.13400000000000001</v>
      </c>
      <c r="S121" s="745">
        <v>95714285.714285716</v>
      </c>
      <c r="T121" s="740" t="s">
        <v>2197</v>
      </c>
      <c r="U121" s="739" t="s">
        <v>2198</v>
      </c>
      <c r="V121" s="739" t="s">
        <v>2199</v>
      </c>
      <c r="W121" s="740">
        <v>200</v>
      </c>
      <c r="X121" s="740">
        <v>1700</v>
      </c>
      <c r="Y121" s="740" t="s">
        <v>2200</v>
      </c>
      <c r="Z121" s="739" t="s">
        <v>2201</v>
      </c>
      <c r="AA121" s="739" t="s">
        <v>2202</v>
      </c>
      <c r="AB121" s="747">
        <v>0</v>
      </c>
      <c r="AC121" s="747">
        <v>1530</v>
      </c>
    </row>
    <row r="122" spans="2:29" s="708" customFormat="1" ht="45" x14ac:dyDescent="0.3">
      <c r="B122" s="748">
        <v>4</v>
      </c>
      <c r="C122" s="750"/>
      <c r="D122" s="750"/>
      <c r="E122" s="751"/>
      <c r="F122" s="752"/>
      <c r="G122" s="752" t="s">
        <v>2195</v>
      </c>
      <c r="H122" s="752"/>
      <c r="I122" s="752"/>
      <c r="J122" s="753"/>
      <c r="K122" s="754"/>
      <c r="L122" s="754"/>
      <c r="M122" s="822"/>
      <c r="N122" s="757"/>
      <c r="O122" s="758"/>
      <c r="P122" s="757"/>
      <c r="Q122" s="758"/>
      <c r="R122" s="757"/>
      <c r="S122" s="758"/>
      <c r="T122" s="740" t="s">
        <v>2203</v>
      </c>
      <c r="U122" s="739" t="s">
        <v>2204</v>
      </c>
      <c r="V122" s="739" t="s">
        <v>1978</v>
      </c>
      <c r="W122" s="740">
        <v>0</v>
      </c>
      <c r="X122" s="740">
        <v>140</v>
      </c>
      <c r="Y122" s="740"/>
      <c r="Z122" s="739"/>
      <c r="AA122" s="739"/>
      <c r="AB122" s="747"/>
      <c r="AC122" s="747"/>
    </row>
    <row r="123" spans="2:29" s="708" customFormat="1" x14ac:dyDescent="0.3">
      <c r="B123" s="748">
        <v>4</v>
      </c>
      <c r="C123" s="750"/>
      <c r="D123" s="750"/>
      <c r="E123" s="751"/>
      <c r="F123" s="752"/>
      <c r="G123" s="752" t="s">
        <v>2195</v>
      </c>
      <c r="H123" s="752"/>
      <c r="I123" s="752"/>
      <c r="J123" s="753"/>
      <c r="K123" s="754"/>
      <c r="L123" s="754"/>
      <c r="M123" s="822"/>
      <c r="N123" s="757"/>
      <c r="O123" s="758"/>
      <c r="P123" s="757"/>
      <c r="Q123" s="758"/>
      <c r="R123" s="757"/>
      <c r="S123" s="758"/>
      <c r="T123" s="740" t="s">
        <v>2205</v>
      </c>
      <c r="U123" s="739" t="s">
        <v>2206</v>
      </c>
      <c r="V123" s="739" t="s">
        <v>1978</v>
      </c>
      <c r="W123" s="740">
        <v>0</v>
      </c>
      <c r="X123" s="740" t="s">
        <v>2207</v>
      </c>
      <c r="Y123" s="740"/>
      <c r="Z123" s="739"/>
      <c r="AA123" s="739"/>
      <c r="AB123" s="747"/>
      <c r="AC123" s="747"/>
    </row>
    <row r="124" spans="2:29" s="708" customFormat="1" ht="120" x14ac:dyDescent="0.3">
      <c r="B124" s="736">
        <v>4</v>
      </c>
      <c r="C124" s="737" t="s">
        <v>1970</v>
      </c>
      <c r="D124" s="738">
        <v>6</v>
      </c>
      <c r="E124" s="739" t="s">
        <v>2193</v>
      </c>
      <c r="F124" s="740" t="s">
        <v>2194</v>
      </c>
      <c r="G124" s="740" t="s">
        <v>2208</v>
      </c>
      <c r="H124" s="740" t="s">
        <v>2037</v>
      </c>
      <c r="I124" s="739" t="s">
        <v>2209</v>
      </c>
      <c r="J124" s="736" t="s">
        <v>1630</v>
      </c>
      <c r="K124" s="741" t="s">
        <v>1654</v>
      </c>
      <c r="L124" s="741" t="s">
        <v>1655</v>
      </c>
      <c r="M124" s="743">
        <v>5000000</v>
      </c>
      <c r="N124" s="744">
        <v>0.7</v>
      </c>
      <c r="O124" s="745">
        <v>2142857.1428571432</v>
      </c>
      <c r="P124" s="744">
        <v>0.3</v>
      </c>
      <c r="Q124" s="745">
        <v>0</v>
      </c>
      <c r="R124" s="823">
        <v>0</v>
      </c>
      <c r="S124" s="745">
        <v>7142857.1428571437</v>
      </c>
      <c r="T124" s="764" t="s">
        <v>2210</v>
      </c>
      <c r="U124" s="739" t="s">
        <v>2211</v>
      </c>
      <c r="V124" s="765" t="s">
        <v>2156</v>
      </c>
      <c r="W124" s="764" t="s">
        <v>2212</v>
      </c>
      <c r="X124" s="764" t="s">
        <v>2213</v>
      </c>
      <c r="Z124" s="739"/>
      <c r="AA124" s="739"/>
      <c r="AB124" s="793"/>
      <c r="AC124" s="793"/>
    </row>
    <row r="125" spans="2:29" s="708" customFormat="1" ht="225" x14ac:dyDescent="0.3">
      <c r="B125" s="736">
        <v>4</v>
      </c>
      <c r="C125" s="737" t="s">
        <v>1970</v>
      </c>
      <c r="D125" s="738">
        <v>6</v>
      </c>
      <c r="E125" s="739" t="s">
        <v>1174</v>
      </c>
      <c r="F125" s="740" t="s">
        <v>2214</v>
      </c>
      <c r="G125" s="740" t="s">
        <v>2215</v>
      </c>
      <c r="H125" s="740" t="s">
        <v>1974</v>
      </c>
      <c r="I125" s="739" t="s">
        <v>2216</v>
      </c>
      <c r="J125" s="736" t="s">
        <v>1997</v>
      </c>
      <c r="K125" s="741" t="s">
        <v>1804</v>
      </c>
      <c r="L125" s="741" t="s">
        <v>1655</v>
      </c>
      <c r="M125" s="743">
        <v>38660000</v>
      </c>
      <c r="N125" s="744">
        <v>0.7</v>
      </c>
      <c r="O125" s="745">
        <v>13807142.857142858</v>
      </c>
      <c r="P125" s="744">
        <v>0.25</v>
      </c>
      <c r="Q125" s="745">
        <v>2761428.5714285718</v>
      </c>
      <c r="R125" s="744">
        <v>0.05</v>
      </c>
      <c r="S125" s="745">
        <v>55228571.428571433</v>
      </c>
      <c r="T125" s="740" t="s">
        <v>2217</v>
      </c>
      <c r="U125" s="739" t="s">
        <v>2218</v>
      </c>
      <c r="V125" s="739" t="s">
        <v>1707</v>
      </c>
      <c r="W125" s="764">
        <v>900</v>
      </c>
      <c r="X125" s="746">
        <v>8770</v>
      </c>
      <c r="Y125" s="746" t="s">
        <v>2219</v>
      </c>
      <c r="Z125" s="739" t="s">
        <v>2220</v>
      </c>
      <c r="AA125" s="765" t="s">
        <v>68</v>
      </c>
      <c r="AB125" s="799">
        <v>0.7</v>
      </c>
      <c r="AC125" s="799">
        <v>0.7</v>
      </c>
    </row>
    <row r="126" spans="2:29" s="708" customFormat="1" ht="30" x14ac:dyDescent="0.3">
      <c r="B126" s="748">
        <v>4</v>
      </c>
      <c r="C126" s="749"/>
      <c r="D126" s="750"/>
      <c r="E126" s="751"/>
      <c r="F126" s="752"/>
      <c r="G126" s="752" t="s">
        <v>2215</v>
      </c>
      <c r="H126" s="752"/>
      <c r="I126" s="752"/>
      <c r="J126" s="753"/>
      <c r="K126" s="754"/>
      <c r="L126" s="754"/>
      <c r="M126" s="822"/>
      <c r="N126" s="757"/>
      <c r="O126" s="758"/>
      <c r="P126" s="757"/>
      <c r="Q126" s="758"/>
      <c r="R126" s="757"/>
      <c r="S126" s="758"/>
      <c r="T126" s="740"/>
      <c r="U126" s="739"/>
      <c r="V126" s="739"/>
      <c r="W126" s="740"/>
      <c r="X126" s="740"/>
      <c r="Y126" s="746" t="s">
        <v>2221</v>
      </c>
      <c r="Z126" s="739" t="s">
        <v>2222</v>
      </c>
      <c r="AA126" s="765" t="s">
        <v>68</v>
      </c>
      <c r="AB126" s="799">
        <v>0.7</v>
      </c>
      <c r="AC126" s="799">
        <v>0.7</v>
      </c>
    </row>
    <row r="127" spans="2:29" s="708" customFormat="1" ht="225" x14ac:dyDescent="0.3">
      <c r="B127" s="736">
        <v>4</v>
      </c>
      <c r="C127" s="737" t="s">
        <v>1970</v>
      </c>
      <c r="D127" s="738">
        <v>7</v>
      </c>
      <c r="E127" s="739" t="s">
        <v>1174</v>
      </c>
      <c r="F127" s="740" t="s">
        <v>2214</v>
      </c>
      <c r="G127" s="740" t="s">
        <v>2223</v>
      </c>
      <c r="H127" s="740" t="s">
        <v>2224</v>
      </c>
      <c r="I127" s="739" t="s">
        <v>2225</v>
      </c>
      <c r="J127" s="736" t="s">
        <v>1997</v>
      </c>
      <c r="K127" s="741" t="s">
        <v>1804</v>
      </c>
      <c r="L127" s="741" t="s">
        <v>1655</v>
      </c>
      <c r="M127" s="743">
        <v>5000000</v>
      </c>
      <c r="N127" s="744">
        <v>0.7</v>
      </c>
      <c r="O127" s="745">
        <v>2142857.1428571432</v>
      </c>
      <c r="P127" s="744">
        <v>0.3</v>
      </c>
      <c r="Q127" s="745">
        <v>0</v>
      </c>
      <c r="R127" s="744">
        <v>0</v>
      </c>
      <c r="S127" s="745">
        <v>7142857.1428571437</v>
      </c>
      <c r="T127" s="740" t="s">
        <v>2226</v>
      </c>
      <c r="U127" s="739" t="s">
        <v>2227</v>
      </c>
      <c r="V127" s="739" t="s">
        <v>1978</v>
      </c>
      <c r="W127" s="764">
        <v>22</v>
      </c>
      <c r="X127" s="764">
        <v>22</v>
      </c>
      <c r="Y127" s="746" t="s">
        <v>2228</v>
      </c>
      <c r="Z127" s="739" t="s">
        <v>2229</v>
      </c>
      <c r="AA127" s="765" t="s">
        <v>68</v>
      </c>
      <c r="AB127" s="799">
        <v>0.64</v>
      </c>
      <c r="AC127" s="799">
        <v>0.54</v>
      </c>
    </row>
    <row r="128" spans="2:29" s="708" customFormat="1" ht="225" x14ac:dyDescent="0.3">
      <c r="B128" s="736">
        <v>4</v>
      </c>
      <c r="C128" s="737" t="s">
        <v>1970</v>
      </c>
      <c r="D128" s="738">
        <v>6</v>
      </c>
      <c r="E128" s="739" t="s">
        <v>1174</v>
      </c>
      <c r="F128" s="740" t="s">
        <v>2214</v>
      </c>
      <c r="G128" s="740" t="s">
        <v>2230</v>
      </c>
      <c r="H128" s="739" t="s">
        <v>1984</v>
      </c>
      <c r="I128" s="739" t="s">
        <v>2231</v>
      </c>
      <c r="J128" s="736" t="s">
        <v>1997</v>
      </c>
      <c r="K128" s="741" t="s">
        <v>1804</v>
      </c>
      <c r="L128" s="741" t="s">
        <v>1655</v>
      </c>
      <c r="M128" s="743">
        <v>4500000</v>
      </c>
      <c r="N128" s="744">
        <v>0.7</v>
      </c>
      <c r="O128" s="745">
        <v>1607142.8571428573</v>
      </c>
      <c r="P128" s="744">
        <v>0.25</v>
      </c>
      <c r="Q128" s="745">
        <v>321428.57142857148</v>
      </c>
      <c r="R128" s="744">
        <v>0.05</v>
      </c>
      <c r="S128" s="745">
        <v>6428571.4285714291</v>
      </c>
      <c r="T128" s="740" t="s">
        <v>1986</v>
      </c>
      <c r="U128" s="739" t="s">
        <v>2218</v>
      </c>
      <c r="V128" s="739" t="s">
        <v>1978</v>
      </c>
      <c r="W128" s="764">
        <v>0</v>
      </c>
      <c r="X128" s="764">
        <v>45</v>
      </c>
      <c r="Y128" s="764" t="s">
        <v>2221</v>
      </c>
      <c r="Z128" s="739" t="s">
        <v>2222</v>
      </c>
      <c r="AA128" s="765" t="s">
        <v>68</v>
      </c>
      <c r="AB128" s="799">
        <v>0.7</v>
      </c>
      <c r="AC128" s="799">
        <v>0.7</v>
      </c>
    </row>
    <row r="129" spans="2:29" s="708" customFormat="1" ht="105" x14ac:dyDescent="0.3">
      <c r="B129" s="736">
        <v>4</v>
      </c>
      <c r="C129" s="737" t="s">
        <v>1970</v>
      </c>
      <c r="D129" s="738">
        <v>8</v>
      </c>
      <c r="E129" s="739" t="s">
        <v>2232</v>
      </c>
      <c r="F129" s="740" t="s">
        <v>2233</v>
      </c>
      <c r="G129" s="739" t="s">
        <v>2234</v>
      </c>
      <c r="H129" s="739" t="s">
        <v>2235</v>
      </c>
      <c r="I129" s="739" t="s">
        <v>2236</v>
      </c>
      <c r="J129" s="736" t="s">
        <v>1997</v>
      </c>
      <c r="K129" s="741" t="s">
        <v>1804</v>
      </c>
      <c r="L129" s="741" t="s">
        <v>1655</v>
      </c>
      <c r="M129" s="743">
        <v>15612146.950000001</v>
      </c>
      <c r="N129" s="744">
        <v>0.9</v>
      </c>
      <c r="O129" s="745">
        <v>1734682.9944444445</v>
      </c>
      <c r="P129" s="744">
        <v>0.1</v>
      </c>
      <c r="Q129" s="745">
        <v>0</v>
      </c>
      <c r="R129" s="744">
        <v>0</v>
      </c>
      <c r="S129" s="745">
        <v>17346829.944444444</v>
      </c>
      <c r="T129" s="740" t="s">
        <v>2237</v>
      </c>
      <c r="U129" s="739" t="s">
        <v>2238</v>
      </c>
      <c r="V129" s="739" t="s">
        <v>1877</v>
      </c>
      <c r="W129" s="740" t="s">
        <v>2239</v>
      </c>
      <c r="X129" s="740" t="s">
        <v>2239</v>
      </c>
      <c r="Y129" s="746" t="s">
        <v>2240</v>
      </c>
      <c r="Z129" s="739" t="s">
        <v>2241</v>
      </c>
      <c r="AA129" s="739" t="s">
        <v>1978</v>
      </c>
      <c r="AB129" s="747">
        <v>24113</v>
      </c>
      <c r="AC129" s="747" t="s">
        <v>2239</v>
      </c>
    </row>
    <row r="130" spans="2:29" s="708" customFormat="1" ht="90" x14ac:dyDescent="0.3">
      <c r="B130" s="741">
        <v>5</v>
      </c>
      <c r="C130" s="737" t="s">
        <v>2242</v>
      </c>
      <c r="D130" s="738">
        <v>9</v>
      </c>
      <c r="E130" s="739" t="s">
        <v>2243</v>
      </c>
      <c r="F130" s="740" t="s">
        <v>2244</v>
      </c>
      <c r="G130" s="740" t="s">
        <v>2245</v>
      </c>
      <c r="H130" s="739" t="s">
        <v>1726</v>
      </c>
      <c r="I130" s="739" t="s">
        <v>2246</v>
      </c>
      <c r="J130" s="736" t="s">
        <v>1630</v>
      </c>
      <c r="K130" s="741" t="s">
        <v>1728</v>
      </c>
      <c r="L130" s="741" t="s">
        <v>1655</v>
      </c>
      <c r="M130" s="743">
        <v>41716000</v>
      </c>
      <c r="N130" s="744">
        <v>0.7</v>
      </c>
      <c r="O130" s="745">
        <v>0</v>
      </c>
      <c r="P130" s="744">
        <v>0</v>
      </c>
      <c r="Q130" s="745">
        <v>17878285.714285713</v>
      </c>
      <c r="R130" s="744">
        <v>0.3</v>
      </c>
      <c r="S130" s="745">
        <v>59594285.714285716</v>
      </c>
      <c r="T130" s="740" t="s">
        <v>2247</v>
      </c>
      <c r="U130" s="739" t="s">
        <v>2248</v>
      </c>
      <c r="V130" s="765" t="s">
        <v>1140</v>
      </c>
      <c r="W130" s="746">
        <v>0</v>
      </c>
      <c r="X130" s="746">
        <v>80000</v>
      </c>
      <c r="Y130" s="746" t="s">
        <v>2249</v>
      </c>
      <c r="Z130" s="739" t="s">
        <v>2250</v>
      </c>
      <c r="AA130" s="739" t="s">
        <v>2251</v>
      </c>
      <c r="AB130" s="793">
        <v>0</v>
      </c>
      <c r="AC130" s="770">
        <v>232000</v>
      </c>
    </row>
    <row r="131" spans="2:29" s="708" customFormat="1" ht="45" x14ac:dyDescent="0.3">
      <c r="B131" s="824">
        <v>5</v>
      </c>
      <c r="C131" s="749"/>
      <c r="D131" s="750"/>
      <c r="E131" s="751"/>
      <c r="F131" s="752"/>
      <c r="G131" s="752" t="s">
        <v>2245</v>
      </c>
      <c r="H131" s="751"/>
      <c r="I131" s="751"/>
      <c r="J131" s="753"/>
      <c r="K131" s="754"/>
      <c r="L131" s="754"/>
      <c r="M131" s="756"/>
      <c r="N131" s="757"/>
      <c r="O131" s="758"/>
      <c r="P131" s="757"/>
      <c r="Q131" s="758"/>
      <c r="R131" s="757"/>
      <c r="S131" s="758"/>
      <c r="T131" s="740" t="s">
        <v>2252</v>
      </c>
      <c r="U131" s="739" t="s">
        <v>2253</v>
      </c>
      <c r="V131" s="765" t="s">
        <v>1842</v>
      </c>
      <c r="W131" s="746">
        <v>10</v>
      </c>
      <c r="X131" s="746">
        <v>40</v>
      </c>
      <c r="Y131" s="746" t="s">
        <v>2254</v>
      </c>
      <c r="Z131" s="740" t="s">
        <v>2255</v>
      </c>
      <c r="AA131" s="764" t="s">
        <v>1641</v>
      </c>
      <c r="AB131" s="793">
        <v>0</v>
      </c>
      <c r="AC131" s="770">
        <v>1300000</v>
      </c>
    </row>
    <row r="132" spans="2:29" s="708" customFormat="1" ht="30" x14ac:dyDescent="0.3">
      <c r="B132" s="824">
        <v>5</v>
      </c>
      <c r="C132" s="749"/>
      <c r="D132" s="750"/>
      <c r="E132" s="751"/>
      <c r="F132" s="752"/>
      <c r="G132" s="752" t="s">
        <v>2245</v>
      </c>
      <c r="H132" s="751"/>
      <c r="I132" s="751"/>
      <c r="J132" s="753"/>
      <c r="K132" s="754"/>
      <c r="L132" s="754"/>
      <c r="M132" s="756"/>
      <c r="N132" s="757"/>
      <c r="O132" s="758"/>
      <c r="P132" s="757"/>
      <c r="Q132" s="758"/>
      <c r="R132" s="757"/>
      <c r="S132" s="758"/>
      <c r="T132" s="740" t="s">
        <v>2256</v>
      </c>
      <c r="U132" s="739" t="s">
        <v>1967</v>
      </c>
      <c r="V132" s="765" t="s">
        <v>1259</v>
      </c>
      <c r="W132" s="746">
        <v>3</v>
      </c>
      <c r="X132" s="746">
        <v>10</v>
      </c>
      <c r="Y132" s="746" t="s">
        <v>1702</v>
      </c>
      <c r="Z132" s="739" t="s">
        <v>1703</v>
      </c>
      <c r="AA132" s="739" t="s">
        <v>1704</v>
      </c>
      <c r="AB132" s="793">
        <v>0</v>
      </c>
      <c r="AC132" s="770">
        <v>128000</v>
      </c>
    </row>
    <row r="133" spans="2:29" s="708" customFormat="1" ht="45" x14ac:dyDescent="0.3">
      <c r="B133" s="824">
        <v>5</v>
      </c>
      <c r="C133" s="749"/>
      <c r="D133" s="750"/>
      <c r="E133" s="751"/>
      <c r="F133" s="752"/>
      <c r="G133" s="752" t="s">
        <v>2245</v>
      </c>
      <c r="H133" s="751"/>
      <c r="I133" s="751"/>
      <c r="J133" s="753"/>
      <c r="K133" s="754"/>
      <c r="L133" s="754"/>
      <c r="M133" s="756"/>
      <c r="N133" s="757"/>
      <c r="O133" s="758"/>
      <c r="P133" s="757"/>
      <c r="Q133" s="758"/>
      <c r="R133" s="757"/>
      <c r="S133" s="758"/>
      <c r="T133" s="740" t="s">
        <v>2257</v>
      </c>
      <c r="U133" s="739" t="s">
        <v>2258</v>
      </c>
      <c r="V133" s="739" t="s">
        <v>1845</v>
      </c>
      <c r="W133" s="746">
        <v>0</v>
      </c>
      <c r="X133" s="746">
        <v>678588</v>
      </c>
      <c r="Y133" s="746" t="s">
        <v>2259</v>
      </c>
      <c r="Z133" s="739" t="s">
        <v>2260</v>
      </c>
      <c r="AA133" s="739" t="s">
        <v>2261</v>
      </c>
      <c r="AB133" s="793">
        <v>0</v>
      </c>
      <c r="AC133" s="770">
        <v>16</v>
      </c>
    </row>
    <row r="134" spans="2:29" s="708" customFormat="1" ht="60" x14ac:dyDescent="0.3">
      <c r="B134" s="824">
        <v>5</v>
      </c>
      <c r="C134" s="749"/>
      <c r="D134" s="750"/>
      <c r="E134" s="751"/>
      <c r="F134" s="752"/>
      <c r="G134" s="752" t="s">
        <v>2245</v>
      </c>
      <c r="H134" s="751"/>
      <c r="I134" s="751"/>
      <c r="J134" s="753"/>
      <c r="K134" s="754"/>
      <c r="L134" s="754"/>
      <c r="M134" s="756"/>
      <c r="N134" s="757"/>
      <c r="O134" s="758"/>
      <c r="P134" s="757"/>
      <c r="Q134" s="758"/>
      <c r="R134" s="757"/>
      <c r="S134" s="758"/>
      <c r="T134" s="740" t="s">
        <v>1932</v>
      </c>
      <c r="U134" s="739" t="s">
        <v>1933</v>
      </c>
      <c r="V134" s="739" t="s">
        <v>1934</v>
      </c>
      <c r="W134" s="746">
        <v>0</v>
      </c>
      <c r="X134" s="746">
        <v>4</v>
      </c>
      <c r="Y134" s="746" t="s">
        <v>2262</v>
      </c>
      <c r="Z134" s="739" t="s">
        <v>2263</v>
      </c>
      <c r="AA134" s="739" t="s">
        <v>2264</v>
      </c>
      <c r="AB134" s="793">
        <v>0</v>
      </c>
      <c r="AC134" s="770">
        <v>6</v>
      </c>
    </row>
    <row r="135" spans="2:29" s="708" customFormat="1" ht="30" x14ac:dyDescent="0.3">
      <c r="B135" s="824">
        <v>5</v>
      </c>
      <c r="C135" s="749"/>
      <c r="D135" s="750"/>
      <c r="E135" s="751"/>
      <c r="F135" s="752"/>
      <c r="G135" s="752" t="s">
        <v>2245</v>
      </c>
      <c r="H135" s="751"/>
      <c r="I135" s="751"/>
      <c r="J135" s="753"/>
      <c r="K135" s="754"/>
      <c r="L135" s="754"/>
      <c r="M135" s="756"/>
      <c r="N135" s="757"/>
      <c r="O135" s="758"/>
      <c r="P135" s="757"/>
      <c r="Q135" s="758"/>
      <c r="R135" s="757"/>
      <c r="S135" s="758"/>
      <c r="T135" s="740" t="s">
        <v>2265</v>
      </c>
      <c r="U135" s="739" t="s">
        <v>2266</v>
      </c>
      <c r="V135" s="739" t="s">
        <v>2264</v>
      </c>
      <c r="W135" s="746">
        <v>6</v>
      </c>
      <c r="X135" s="746">
        <v>26</v>
      </c>
      <c r="Y135" s="746"/>
      <c r="Z135" s="739"/>
      <c r="AA135" s="739"/>
      <c r="AB135" s="747"/>
      <c r="AC135" s="747"/>
    </row>
    <row r="136" spans="2:29" s="708" customFormat="1" ht="30" x14ac:dyDescent="0.3">
      <c r="B136" s="824">
        <v>5</v>
      </c>
      <c r="C136" s="749"/>
      <c r="D136" s="750"/>
      <c r="E136" s="751"/>
      <c r="F136" s="752"/>
      <c r="G136" s="752" t="s">
        <v>2245</v>
      </c>
      <c r="H136" s="751"/>
      <c r="I136" s="751"/>
      <c r="J136" s="753"/>
      <c r="K136" s="754"/>
      <c r="L136" s="754"/>
      <c r="M136" s="756"/>
      <c r="N136" s="757"/>
      <c r="O136" s="758"/>
      <c r="P136" s="757"/>
      <c r="Q136" s="758"/>
      <c r="R136" s="757"/>
      <c r="S136" s="758"/>
      <c r="T136" s="740" t="s">
        <v>2267</v>
      </c>
      <c r="U136" s="739" t="s">
        <v>2268</v>
      </c>
      <c r="V136" s="739" t="s">
        <v>2269</v>
      </c>
      <c r="W136" s="764">
        <v>0</v>
      </c>
      <c r="X136" s="764">
        <v>6</v>
      </c>
      <c r="Y136" s="746"/>
      <c r="Z136" s="739"/>
      <c r="AA136" s="739"/>
      <c r="AB136" s="747"/>
      <c r="AC136" s="747"/>
    </row>
    <row r="137" spans="2:29" s="708" customFormat="1" ht="90" x14ac:dyDescent="0.3">
      <c r="B137" s="741">
        <v>5</v>
      </c>
      <c r="C137" s="737" t="s">
        <v>2242</v>
      </c>
      <c r="D137" s="738">
        <v>9</v>
      </c>
      <c r="E137" s="739" t="s">
        <v>2270</v>
      </c>
      <c r="F137" s="740" t="s">
        <v>2271</v>
      </c>
      <c r="G137" s="740" t="s">
        <v>2272</v>
      </c>
      <c r="H137" s="739" t="s">
        <v>1726</v>
      </c>
      <c r="I137" s="739" t="s">
        <v>2273</v>
      </c>
      <c r="J137" s="736" t="s">
        <v>1630</v>
      </c>
      <c r="K137" s="741" t="s">
        <v>1728</v>
      </c>
      <c r="L137" s="741" t="s">
        <v>1655</v>
      </c>
      <c r="M137" s="743">
        <v>151190000</v>
      </c>
      <c r="N137" s="744">
        <v>0.7</v>
      </c>
      <c r="O137" s="745">
        <v>642856.99999999907</v>
      </c>
      <c r="P137" s="825">
        <v>2.9763866657847699E-3</v>
      </c>
      <c r="Q137" s="745">
        <v>64152857.285714291</v>
      </c>
      <c r="R137" s="825">
        <v>0.29702361333421523</v>
      </c>
      <c r="S137" s="745">
        <v>215985714.2857143</v>
      </c>
      <c r="T137" s="740" t="s">
        <v>2257</v>
      </c>
      <c r="U137" s="739" t="s">
        <v>2258</v>
      </c>
      <c r="V137" s="739" t="s">
        <v>1845</v>
      </c>
      <c r="W137" s="764">
        <v>0</v>
      </c>
      <c r="X137" s="770">
        <v>475000</v>
      </c>
      <c r="Y137" s="826" t="s">
        <v>1639</v>
      </c>
      <c r="Z137" s="739" t="s">
        <v>1640</v>
      </c>
      <c r="AA137" s="765" t="s">
        <v>1641</v>
      </c>
      <c r="AB137" s="793">
        <v>0</v>
      </c>
      <c r="AC137" s="770">
        <v>9300000</v>
      </c>
    </row>
    <row r="138" spans="2:29" s="708" customFormat="1" ht="60" x14ac:dyDescent="0.3">
      <c r="B138" s="824">
        <v>5</v>
      </c>
      <c r="C138" s="749"/>
      <c r="D138" s="750"/>
      <c r="E138" s="751"/>
      <c r="F138" s="752"/>
      <c r="G138" s="752" t="s">
        <v>2272</v>
      </c>
      <c r="H138" s="751"/>
      <c r="I138" s="751"/>
      <c r="J138" s="753"/>
      <c r="K138" s="754"/>
      <c r="L138" s="754"/>
      <c r="M138" s="773"/>
      <c r="N138" s="757"/>
      <c r="O138" s="758"/>
      <c r="P138" s="827"/>
      <c r="Q138" s="758"/>
      <c r="R138" s="827"/>
      <c r="S138" s="758"/>
      <c r="T138" s="740" t="s">
        <v>1932</v>
      </c>
      <c r="U138" s="739" t="s">
        <v>1933</v>
      </c>
      <c r="V138" s="739" t="s">
        <v>1934</v>
      </c>
      <c r="W138" s="764">
        <v>0</v>
      </c>
      <c r="X138" s="764">
        <v>15</v>
      </c>
      <c r="Y138" s="764" t="s">
        <v>2262</v>
      </c>
      <c r="Z138" s="739" t="s">
        <v>2263</v>
      </c>
      <c r="AA138" s="739" t="s">
        <v>2264</v>
      </c>
      <c r="AB138" s="793">
        <v>0</v>
      </c>
      <c r="AC138" s="793">
        <v>44</v>
      </c>
    </row>
    <row r="139" spans="2:29" s="708" customFormat="1" ht="30" x14ac:dyDescent="0.3">
      <c r="B139" s="824">
        <v>5</v>
      </c>
      <c r="C139" s="749"/>
      <c r="D139" s="750"/>
      <c r="E139" s="751"/>
      <c r="F139" s="752"/>
      <c r="G139" s="752" t="s">
        <v>2272</v>
      </c>
      <c r="H139" s="751"/>
      <c r="I139" s="751"/>
      <c r="J139" s="753"/>
      <c r="K139" s="754"/>
      <c r="L139" s="754"/>
      <c r="M139" s="773"/>
      <c r="N139" s="757"/>
      <c r="O139" s="758"/>
      <c r="P139" s="827"/>
      <c r="Q139" s="758"/>
      <c r="R139" s="827"/>
      <c r="S139" s="758"/>
      <c r="T139" s="740" t="s">
        <v>2265</v>
      </c>
      <c r="U139" s="739" t="s">
        <v>2266</v>
      </c>
      <c r="V139" s="739" t="s">
        <v>2264</v>
      </c>
      <c r="W139" s="764">
        <v>38</v>
      </c>
      <c r="X139" s="764">
        <v>127</v>
      </c>
      <c r="Y139" s="764" t="s">
        <v>2259</v>
      </c>
      <c r="Z139" s="739" t="s">
        <v>2260</v>
      </c>
      <c r="AA139" s="739" t="s">
        <v>2261</v>
      </c>
      <c r="AB139" s="793">
        <v>0</v>
      </c>
      <c r="AC139" s="793">
        <v>254</v>
      </c>
    </row>
    <row r="140" spans="2:29" s="708" customFormat="1" ht="30" x14ac:dyDescent="0.3">
      <c r="B140" s="824">
        <v>5</v>
      </c>
      <c r="C140" s="749"/>
      <c r="D140" s="750"/>
      <c r="E140" s="751"/>
      <c r="F140" s="752"/>
      <c r="G140" s="752" t="s">
        <v>2272</v>
      </c>
      <c r="H140" s="751"/>
      <c r="I140" s="751"/>
      <c r="J140" s="753"/>
      <c r="K140" s="754"/>
      <c r="L140" s="754"/>
      <c r="M140" s="773"/>
      <c r="N140" s="757"/>
      <c r="O140" s="758"/>
      <c r="P140" s="827"/>
      <c r="Q140" s="758"/>
      <c r="R140" s="827"/>
      <c r="S140" s="758"/>
      <c r="T140" s="740" t="s">
        <v>1632</v>
      </c>
      <c r="U140" s="739" t="s">
        <v>1723</v>
      </c>
      <c r="V140" s="765" t="s">
        <v>1634</v>
      </c>
      <c r="W140" s="764">
        <v>15</v>
      </c>
      <c r="X140" s="764">
        <v>160</v>
      </c>
      <c r="Y140" s="764" t="s">
        <v>2274</v>
      </c>
      <c r="Z140" s="739" t="s">
        <v>2275</v>
      </c>
      <c r="AA140" s="739" t="s">
        <v>2276</v>
      </c>
      <c r="AB140" s="793">
        <v>0</v>
      </c>
      <c r="AC140" s="793">
        <v>20</v>
      </c>
    </row>
    <row r="141" spans="2:29" s="708" customFormat="1" ht="45" x14ac:dyDescent="0.3">
      <c r="B141" s="824">
        <v>5</v>
      </c>
      <c r="C141" s="749"/>
      <c r="D141" s="750"/>
      <c r="E141" s="751"/>
      <c r="F141" s="752"/>
      <c r="G141" s="752" t="s">
        <v>2272</v>
      </c>
      <c r="H141" s="751"/>
      <c r="I141" s="751"/>
      <c r="J141" s="753"/>
      <c r="K141" s="754"/>
      <c r="L141" s="754"/>
      <c r="M141" s="773"/>
      <c r="N141" s="757"/>
      <c r="O141" s="758"/>
      <c r="P141" s="827"/>
      <c r="Q141" s="758"/>
      <c r="R141" s="827"/>
      <c r="S141" s="758"/>
      <c r="T141" s="740" t="s">
        <v>1637</v>
      </c>
      <c r="U141" s="739" t="s">
        <v>1638</v>
      </c>
      <c r="V141" s="765" t="s">
        <v>1634</v>
      </c>
      <c r="W141" s="764">
        <v>0</v>
      </c>
      <c r="X141" s="764">
        <v>10</v>
      </c>
      <c r="Y141" s="764" t="s">
        <v>2277</v>
      </c>
      <c r="Z141" s="739" t="s">
        <v>2278</v>
      </c>
      <c r="AA141" s="739" t="s">
        <v>1743</v>
      </c>
      <c r="AB141" s="793">
        <v>0</v>
      </c>
      <c r="AC141" s="793">
        <v>2000</v>
      </c>
    </row>
    <row r="142" spans="2:29" s="708" customFormat="1" ht="30" x14ac:dyDescent="0.3">
      <c r="B142" s="824">
        <v>5</v>
      </c>
      <c r="C142" s="749"/>
      <c r="D142" s="750"/>
      <c r="E142" s="751"/>
      <c r="F142" s="752"/>
      <c r="G142" s="752" t="s">
        <v>2272</v>
      </c>
      <c r="H142" s="751"/>
      <c r="I142" s="751"/>
      <c r="J142" s="753"/>
      <c r="K142" s="754"/>
      <c r="L142" s="754"/>
      <c r="M142" s="756"/>
      <c r="N142" s="757"/>
      <c r="O142" s="758"/>
      <c r="P142" s="827"/>
      <c r="Q142" s="758"/>
      <c r="R142" s="827"/>
      <c r="S142" s="758"/>
      <c r="T142" s="740" t="s">
        <v>1642</v>
      </c>
      <c r="U142" s="739" t="s">
        <v>1643</v>
      </c>
      <c r="V142" s="765" t="s">
        <v>1634</v>
      </c>
      <c r="W142" s="764">
        <v>15</v>
      </c>
      <c r="X142" s="764">
        <v>150</v>
      </c>
      <c r="Y142" s="746"/>
      <c r="Z142" s="739"/>
      <c r="AA142" s="739"/>
      <c r="AB142" s="747"/>
      <c r="AC142" s="747"/>
    </row>
    <row r="143" spans="2:29" s="708" customFormat="1" ht="30" x14ac:dyDescent="0.3">
      <c r="B143" s="824">
        <v>5</v>
      </c>
      <c r="C143" s="749"/>
      <c r="D143" s="750"/>
      <c r="E143" s="751"/>
      <c r="F143" s="752"/>
      <c r="G143" s="752" t="s">
        <v>2272</v>
      </c>
      <c r="H143" s="751"/>
      <c r="I143" s="751"/>
      <c r="J143" s="753"/>
      <c r="K143" s="754"/>
      <c r="L143" s="754"/>
      <c r="M143" s="756"/>
      <c r="N143" s="757"/>
      <c r="O143" s="758"/>
      <c r="P143" s="827"/>
      <c r="Q143" s="758"/>
      <c r="R143" s="827"/>
      <c r="S143" s="758"/>
      <c r="T143" s="740" t="s">
        <v>2267</v>
      </c>
      <c r="U143" s="739" t="s">
        <v>2268</v>
      </c>
      <c r="V143" s="739" t="s">
        <v>2269</v>
      </c>
      <c r="W143" s="764">
        <v>0</v>
      </c>
      <c r="X143" s="764">
        <v>64</v>
      </c>
      <c r="Y143" s="746"/>
      <c r="Z143" s="739"/>
      <c r="AA143" s="739"/>
      <c r="AB143" s="747"/>
      <c r="AC143" s="747"/>
    </row>
    <row r="144" spans="2:29" s="708" customFormat="1" x14ac:dyDescent="0.3">
      <c r="B144" s="824">
        <v>5</v>
      </c>
      <c r="C144" s="749"/>
      <c r="D144" s="750"/>
      <c r="E144" s="751"/>
      <c r="F144" s="752"/>
      <c r="G144" s="752" t="s">
        <v>2272</v>
      </c>
      <c r="H144" s="751"/>
      <c r="I144" s="751"/>
      <c r="J144" s="753"/>
      <c r="K144" s="754"/>
      <c r="L144" s="754"/>
      <c r="M144" s="756"/>
      <c r="N144" s="757"/>
      <c r="O144" s="758"/>
      <c r="P144" s="827"/>
      <c r="Q144" s="758"/>
      <c r="R144" s="827"/>
      <c r="S144" s="758"/>
      <c r="T144" s="740" t="s">
        <v>2279</v>
      </c>
      <c r="U144" s="739" t="s">
        <v>2280</v>
      </c>
      <c r="V144" s="765" t="s">
        <v>2281</v>
      </c>
      <c r="W144" s="764">
        <v>8</v>
      </c>
      <c r="X144" s="764">
        <v>20</v>
      </c>
      <c r="Y144" s="746"/>
      <c r="Z144" s="739"/>
      <c r="AA144" s="739"/>
      <c r="AB144" s="747"/>
      <c r="AC144" s="747"/>
    </row>
    <row r="145" spans="2:29" s="708" customFormat="1" ht="45" x14ac:dyDescent="0.3">
      <c r="B145" s="736">
        <v>6</v>
      </c>
      <c r="C145" s="737" t="s">
        <v>2282</v>
      </c>
      <c r="D145" s="738">
        <v>10</v>
      </c>
      <c r="E145" s="739"/>
      <c r="F145" s="740" t="s">
        <v>2282</v>
      </c>
      <c r="G145" s="740" t="s">
        <v>2283</v>
      </c>
      <c r="H145" s="739" t="s">
        <v>2284</v>
      </c>
      <c r="I145" s="739" t="s">
        <v>2285</v>
      </c>
      <c r="J145" s="736" t="s">
        <v>2286</v>
      </c>
      <c r="K145" s="741" t="s">
        <v>1445</v>
      </c>
      <c r="L145" s="742" t="s">
        <v>1631</v>
      </c>
      <c r="M145" s="743">
        <v>153000000</v>
      </c>
      <c r="N145" s="744">
        <v>0.5</v>
      </c>
      <c r="O145" s="745">
        <v>0</v>
      </c>
      <c r="P145" s="744">
        <v>0</v>
      </c>
      <c r="Q145" s="745">
        <v>153000000</v>
      </c>
      <c r="R145" s="744">
        <v>0.5</v>
      </c>
      <c r="S145" s="745">
        <v>306000000</v>
      </c>
      <c r="T145" s="739" t="s">
        <v>1632</v>
      </c>
      <c r="U145" s="739" t="s">
        <v>2287</v>
      </c>
      <c r="V145" s="739" t="s">
        <v>2288</v>
      </c>
      <c r="W145" s="746">
        <v>5</v>
      </c>
      <c r="X145" s="746">
        <v>20</v>
      </c>
      <c r="Y145" s="746" t="s">
        <v>2289</v>
      </c>
      <c r="Z145" s="739" t="s">
        <v>2290</v>
      </c>
      <c r="AA145" s="739" t="s">
        <v>2291</v>
      </c>
      <c r="AB145" s="747">
        <v>0</v>
      </c>
      <c r="AC145" s="747">
        <v>1000</v>
      </c>
    </row>
    <row r="146" spans="2:29" s="708" customFormat="1" ht="30" x14ac:dyDescent="0.3">
      <c r="B146" s="748">
        <v>6</v>
      </c>
      <c r="C146" s="749"/>
      <c r="D146" s="750"/>
      <c r="E146" s="751"/>
      <c r="F146" s="752"/>
      <c r="G146" s="752" t="s">
        <v>2283</v>
      </c>
      <c r="H146" s="751"/>
      <c r="I146" s="751"/>
      <c r="J146" s="753"/>
      <c r="K146" s="754"/>
      <c r="L146" s="755"/>
      <c r="M146" s="756"/>
      <c r="N146" s="757"/>
      <c r="O146" s="758"/>
      <c r="P146" s="757"/>
      <c r="Q146" s="758"/>
      <c r="R146" s="757"/>
      <c r="S146" s="758"/>
      <c r="T146" s="739" t="s">
        <v>1637</v>
      </c>
      <c r="U146" s="739" t="s">
        <v>1638</v>
      </c>
      <c r="V146" s="739" t="s">
        <v>2288</v>
      </c>
      <c r="W146" s="746">
        <v>5</v>
      </c>
      <c r="X146" s="746">
        <v>20</v>
      </c>
      <c r="Y146" s="746" t="s">
        <v>1639</v>
      </c>
      <c r="Z146" s="739" t="s">
        <v>1640</v>
      </c>
      <c r="AA146" s="739" t="s">
        <v>1877</v>
      </c>
      <c r="AB146" s="747">
        <v>0</v>
      </c>
      <c r="AC146" s="747">
        <v>153000000</v>
      </c>
    </row>
    <row r="147" spans="2:29" s="708" customFormat="1" ht="45" x14ac:dyDescent="0.3">
      <c r="B147" s="736">
        <v>6</v>
      </c>
      <c r="C147" s="737" t="s">
        <v>2282</v>
      </c>
      <c r="D147" s="738">
        <v>10</v>
      </c>
      <c r="E147" s="739"/>
      <c r="F147" s="740" t="s">
        <v>2282</v>
      </c>
      <c r="G147" s="740" t="s">
        <v>2292</v>
      </c>
      <c r="H147" s="739" t="s">
        <v>2293</v>
      </c>
      <c r="I147" s="739" t="s">
        <v>2294</v>
      </c>
      <c r="J147" s="736" t="s">
        <v>2286</v>
      </c>
      <c r="K147" s="741" t="s">
        <v>1445</v>
      </c>
      <c r="L147" s="742" t="s">
        <v>1631</v>
      </c>
      <c r="M147" s="743">
        <v>25000000</v>
      </c>
      <c r="N147" s="744">
        <v>0.7</v>
      </c>
      <c r="O147" s="745">
        <v>0</v>
      </c>
      <c r="P147" s="744">
        <v>0</v>
      </c>
      <c r="Q147" s="745">
        <v>10714285.714285715</v>
      </c>
      <c r="R147" s="744">
        <v>0.3</v>
      </c>
      <c r="S147" s="745">
        <v>35714285.714285716</v>
      </c>
      <c r="T147" s="739" t="s">
        <v>1632</v>
      </c>
      <c r="U147" s="739" t="s">
        <v>2287</v>
      </c>
      <c r="V147" s="739" t="s">
        <v>2288</v>
      </c>
      <c r="W147" s="746">
        <v>0</v>
      </c>
      <c r="X147" s="746">
        <v>8</v>
      </c>
      <c r="Y147" s="746" t="s">
        <v>2289</v>
      </c>
      <c r="Z147" s="739" t="s">
        <v>2290</v>
      </c>
      <c r="AA147" s="739" t="s">
        <v>2295</v>
      </c>
      <c r="AB147" s="747">
        <v>0</v>
      </c>
      <c r="AC147" s="828">
        <v>75</v>
      </c>
    </row>
    <row r="148" spans="2:29" s="708" customFormat="1" ht="30" x14ac:dyDescent="0.3">
      <c r="B148" s="748">
        <v>6</v>
      </c>
      <c r="C148" s="749"/>
      <c r="D148" s="750"/>
      <c r="E148" s="751"/>
      <c r="F148" s="752"/>
      <c r="G148" s="752" t="s">
        <v>2292</v>
      </c>
      <c r="H148" s="751"/>
      <c r="I148" s="756"/>
      <c r="J148" s="753"/>
      <c r="K148" s="754"/>
      <c r="L148" s="755"/>
      <c r="M148" s="756"/>
      <c r="N148" s="757"/>
      <c r="O148" s="758"/>
      <c r="P148" s="757"/>
      <c r="Q148" s="758"/>
      <c r="R148" s="757"/>
      <c r="S148" s="758"/>
      <c r="T148" s="739" t="s">
        <v>1637</v>
      </c>
      <c r="U148" s="739" t="s">
        <v>1638</v>
      </c>
      <c r="V148" s="739" t="s">
        <v>2288</v>
      </c>
      <c r="W148" s="746">
        <v>0</v>
      </c>
      <c r="X148" s="746">
        <v>8</v>
      </c>
      <c r="Y148" s="746" t="s">
        <v>1639</v>
      </c>
      <c r="Z148" s="739" t="s">
        <v>1640</v>
      </c>
      <c r="AA148" s="739" t="s">
        <v>1877</v>
      </c>
      <c r="AB148" s="747">
        <v>0</v>
      </c>
      <c r="AC148" s="759">
        <v>15000000</v>
      </c>
    </row>
    <row r="149" spans="2:29" s="708" customFormat="1" ht="45" x14ac:dyDescent="0.3">
      <c r="B149" s="736">
        <v>6</v>
      </c>
      <c r="C149" s="737" t="s">
        <v>2282</v>
      </c>
      <c r="D149" s="738">
        <v>10</v>
      </c>
      <c r="E149" s="739"/>
      <c r="F149" s="740" t="s">
        <v>2282</v>
      </c>
      <c r="G149" s="740" t="s">
        <v>2296</v>
      </c>
      <c r="H149" s="739" t="s">
        <v>1652</v>
      </c>
      <c r="I149" s="739" t="s">
        <v>2297</v>
      </c>
      <c r="J149" s="736" t="s">
        <v>2286</v>
      </c>
      <c r="K149" s="741" t="s">
        <v>1654</v>
      </c>
      <c r="L149" s="742" t="s">
        <v>1655</v>
      </c>
      <c r="M149" s="743">
        <v>25000000</v>
      </c>
      <c r="N149" s="744">
        <v>0.7</v>
      </c>
      <c r="O149" s="745">
        <v>7142857.1428571437</v>
      </c>
      <c r="P149" s="744">
        <v>0.2</v>
      </c>
      <c r="Q149" s="745">
        <v>3571428.5714285718</v>
      </c>
      <c r="R149" s="744">
        <v>0.1</v>
      </c>
      <c r="S149" s="745">
        <v>35714285.714285716</v>
      </c>
      <c r="T149" s="740" t="s">
        <v>1632</v>
      </c>
      <c r="U149" s="739" t="s">
        <v>2287</v>
      </c>
      <c r="V149" s="739" t="s">
        <v>2288</v>
      </c>
      <c r="W149" s="746">
        <v>60</v>
      </c>
      <c r="X149" s="746">
        <v>150</v>
      </c>
      <c r="Y149" s="746" t="s">
        <v>1670</v>
      </c>
      <c r="Z149" s="739" t="s">
        <v>2298</v>
      </c>
      <c r="AA149" s="739" t="s">
        <v>2295</v>
      </c>
      <c r="AB149" s="770">
        <v>0</v>
      </c>
      <c r="AC149" s="770">
        <v>40</v>
      </c>
    </row>
    <row r="150" spans="2:29" s="708" customFormat="1" ht="30" x14ac:dyDescent="0.3">
      <c r="B150" s="748">
        <v>6</v>
      </c>
      <c r="C150" s="749"/>
      <c r="D150" s="750"/>
      <c r="E150" s="751"/>
      <c r="F150" s="752"/>
      <c r="G150" s="752" t="s">
        <v>2296</v>
      </c>
      <c r="H150" s="751"/>
      <c r="I150" s="751"/>
      <c r="J150" s="753"/>
      <c r="K150" s="754"/>
      <c r="L150" s="755"/>
      <c r="M150" s="756"/>
      <c r="N150" s="757"/>
      <c r="O150" s="758"/>
      <c r="P150" s="757"/>
      <c r="Q150" s="758"/>
      <c r="R150" s="757"/>
      <c r="S150" s="758"/>
      <c r="T150" s="740" t="s">
        <v>1642</v>
      </c>
      <c r="U150" s="739" t="s">
        <v>1643</v>
      </c>
      <c r="V150" s="739" t="s">
        <v>2288</v>
      </c>
      <c r="W150" s="746">
        <v>60</v>
      </c>
      <c r="X150" s="746">
        <v>150</v>
      </c>
      <c r="Y150" s="746"/>
      <c r="Z150" s="739"/>
      <c r="AA150" s="739"/>
      <c r="AB150" s="747"/>
      <c r="AC150" s="747"/>
    </row>
    <row r="151" spans="2:29" s="708" customFormat="1" ht="45" x14ac:dyDescent="0.3">
      <c r="B151" s="736">
        <v>6</v>
      </c>
      <c r="C151" s="737" t="s">
        <v>2282</v>
      </c>
      <c r="D151" s="738">
        <v>10</v>
      </c>
      <c r="E151" s="739"/>
      <c r="F151" s="740" t="s">
        <v>2282</v>
      </c>
      <c r="G151" s="740" t="s">
        <v>2299</v>
      </c>
      <c r="H151" s="739" t="s">
        <v>2300</v>
      </c>
      <c r="I151" s="739" t="s">
        <v>2301</v>
      </c>
      <c r="J151" s="736" t="s">
        <v>2286</v>
      </c>
      <c r="K151" s="741" t="s">
        <v>1445</v>
      </c>
      <c r="L151" s="742" t="s">
        <v>1631</v>
      </c>
      <c r="M151" s="743">
        <v>25000000</v>
      </c>
      <c r="N151" s="744">
        <v>1</v>
      </c>
      <c r="O151" s="745">
        <v>0</v>
      </c>
      <c r="P151" s="744">
        <v>0</v>
      </c>
      <c r="Q151" s="745">
        <v>0</v>
      </c>
      <c r="R151" s="744">
        <v>0</v>
      </c>
      <c r="S151" s="745">
        <v>25000000</v>
      </c>
      <c r="T151" s="739" t="s">
        <v>2302</v>
      </c>
      <c r="U151" s="739" t="s">
        <v>2303</v>
      </c>
      <c r="V151" s="739" t="s">
        <v>2288</v>
      </c>
      <c r="W151" s="746">
        <v>10</v>
      </c>
      <c r="X151" s="746">
        <v>40</v>
      </c>
      <c r="Y151" s="746" t="s">
        <v>2304</v>
      </c>
      <c r="Z151" s="739" t="s">
        <v>2305</v>
      </c>
      <c r="AA151" s="739" t="s">
        <v>2306</v>
      </c>
      <c r="AB151" s="747">
        <v>0</v>
      </c>
      <c r="AC151" s="747">
        <v>40</v>
      </c>
    </row>
    <row r="152" spans="2:29" s="708" customFormat="1" ht="45" x14ac:dyDescent="0.3">
      <c r="B152" s="736">
        <v>6</v>
      </c>
      <c r="C152" s="737" t="s">
        <v>2282</v>
      </c>
      <c r="D152" s="738">
        <v>10</v>
      </c>
      <c r="E152" s="739"/>
      <c r="F152" s="740" t="s">
        <v>2282</v>
      </c>
      <c r="G152" s="740" t="s">
        <v>2307</v>
      </c>
      <c r="H152" s="739" t="s">
        <v>2308</v>
      </c>
      <c r="I152" s="739" t="s">
        <v>2309</v>
      </c>
      <c r="J152" s="736" t="s">
        <v>2286</v>
      </c>
      <c r="K152" s="741" t="s">
        <v>1445</v>
      </c>
      <c r="L152" s="742" t="s">
        <v>1631</v>
      </c>
      <c r="M152" s="743">
        <v>15000000</v>
      </c>
      <c r="N152" s="744">
        <v>0.7</v>
      </c>
      <c r="O152" s="745">
        <v>0</v>
      </c>
      <c r="P152" s="744">
        <v>0</v>
      </c>
      <c r="Q152" s="745">
        <v>6428571.4285714282</v>
      </c>
      <c r="R152" s="744">
        <v>0.3</v>
      </c>
      <c r="S152" s="745">
        <v>21428571.428571429</v>
      </c>
      <c r="T152" s="739" t="s">
        <v>1632</v>
      </c>
      <c r="U152" s="739" t="s">
        <v>2287</v>
      </c>
      <c r="V152" s="739" t="s">
        <v>2288</v>
      </c>
      <c r="W152" s="746">
        <v>15</v>
      </c>
      <c r="X152" s="746">
        <v>50</v>
      </c>
      <c r="Y152" s="746" t="s">
        <v>2310</v>
      </c>
      <c r="Z152" s="739" t="s">
        <v>2311</v>
      </c>
      <c r="AA152" s="739" t="s">
        <v>1634</v>
      </c>
      <c r="AB152" s="747">
        <v>0</v>
      </c>
      <c r="AC152" s="747">
        <v>30</v>
      </c>
    </row>
    <row r="153" spans="2:29" s="708" customFormat="1" ht="30" x14ac:dyDescent="0.3">
      <c r="B153" s="748">
        <v>6</v>
      </c>
      <c r="C153" s="749"/>
      <c r="D153" s="750"/>
      <c r="E153" s="751"/>
      <c r="F153" s="752"/>
      <c r="G153" s="752" t="s">
        <v>2307</v>
      </c>
      <c r="H153" s="751"/>
      <c r="I153" s="751"/>
      <c r="J153" s="753"/>
      <c r="K153" s="754"/>
      <c r="L153" s="755"/>
      <c r="M153" s="756"/>
      <c r="N153" s="757"/>
      <c r="O153" s="758"/>
      <c r="P153" s="757"/>
      <c r="Q153" s="758"/>
      <c r="R153" s="757"/>
      <c r="S153" s="758"/>
      <c r="T153" s="739" t="s">
        <v>1637</v>
      </c>
      <c r="U153" s="739" t="s">
        <v>1638</v>
      </c>
      <c r="V153" s="739" t="s">
        <v>2288</v>
      </c>
      <c r="W153" s="746">
        <v>15</v>
      </c>
      <c r="X153" s="746">
        <v>50</v>
      </c>
      <c r="Y153" s="746" t="s">
        <v>2312</v>
      </c>
      <c r="Z153" s="739" t="s">
        <v>2313</v>
      </c>
      <c r="AA153" s="739" t="s">
        <v>1634</v>
      </c>
      <c r="AB153" s="747">
        <v>0</v>
      </c>
      <c r="AC153" s="747">
        <v>20</v>
      </c>
    </row>
    <row r="154" spans="2:29" s="708" customFormat="1" ht="30" x14ac:dyDescent="0.3">
      <c r="B154" s="736">
        <v>6</v>
      </c>
      <c r="C154" s="737" t="s">
        <v>2282</v>
      </c>
      <c r="D154" s="738">
        <v>10</v>
      </c>
      <c r="E154" s="739"/>
      <c r="F154" s="740" t="s">
        <v>2282</v>
      </c>
      <c r="G154" s="740" t="s">
        <v>2314</v>
      </c>
      <c r="H154" s="739" t="s">
        <v>2315</v>
      </c>
      <c r="I154" s="739" t="s">
        <v>2316</v>
      </c>
      <c r="J154" s="736" t="s">
        <v>2286</v>
      </c>
      <c r="K154" s="741" t="s">
        <v>1804</v>
      </c>
      <c r="L154" s="741" t="s">
        <v>1655</v>
      </c>
      <c r="M154" s="743">
        <v>5000000</v>
      </c>
      <c r="N154" s="744">
        <v>0.7</v>
      </c>
      <c r="O154" s="745">
        <v>2142857.1428571432</v>
      </c>
      <c r="P154" s="744">
        <v>0.3</v>
      </c>
      <c r="Q154" s="745">
        <v>0</v>
      </c>
      <c r="R154" s="744">
        <v>0</v>
      </c>
      <c r="S154" s="745">
        <v>7142857.1428571437</v>
      </c>
      <c r="T154" s="740" t="s">
        <v>2317</v>
      </c>
      <c r="U154" s="739" t="s">
        <v>1999</v>
      </c>
      <c r="V154" s="739" t="s">
        <v>2318</v>
      </c>
      <c r="W154" s="746">
        <v>602</v>
      </c>
      <c r="X154" s="746">
        <v>1298</v>
      </c>
      <c r="Y154" s="746" t="s">
        <v>2319</v>
      </c>
      <c r="Z154" s="739" t="s">
        <v>2320</v>
      </c>
      <c r="AA154" s="739" t="s">
        <v>2135</v>
      </c>
      <c r="AB154" s="770">
        <v>0</v>
      </c>
      <c r="AC154" s="770">
        <v>1077</v>
      </c>
    </row>
    <row r="155" spans="2:29" s="708" customFormat="1" ht="45" x14ac:dyDescent="0.3">
      <c r="B155" s="736">
        <v>6</v>
      </c>
      <c r="C155" s="737" t="s">
        <v>2282</v>
      </c>
      <c r="D155" s="738">
        <v>10</v>
      </c>
      <c r="E155" s="739"/>
      <c r="F155" s="740" t="s">
        <v>2282</v>
      </c>
      <c r="G155" s="740" t="s">
        <v>2321</v>
      </c>
      <c r="H155" s="739" t="s">
        <v>2047</v>
      </c>
      <c r="I155" s="739" t="s">
        <v>2322</v>
      </c>
      <c r="J155" s="736" t="s">
        <v>2286</v>
      </c>
      <c r="K155" s="741" t="s">
        <v>1654</v>
      </c>
      <c r="L155" s="741" t="s">
        <v>1655</v>
      </c>
      <c r="M155" s="743">
        <v>25000000</v>
      </c>
      <c r="N155" s="744">
        <v>0.7</v>
      </c>
      <c r="O155" s="745">
        <v>10714285.714285715</v>
      </c>
      <c r="P155" s="744">
        <v>0.3</v>
      </c>
      <c r="Q155" s="745">
        <v>0</v>
      </c>
      <c r="R155" s="744">
        <v>0</v>
      </c>
      <c r="S155" s="745">
        <v>35714285.714285716</v>
      </c>
      <c r="T155" s="764" t="s">
        <v>2317</v>
      </c>
      <c r="U155" s="739" t="s">
        <v>1999</v>
      </c>
      <c r="V155" s="739" t="s">
        <v>2318</v>
      </c>
      <c r="W155" s="746">
        <v>3800</v>
      </c>
      <c r="X155" s="746">
        <v>13500</v>
      </c>
      <c r="Y155" s="746" t="s">
        <v>2323</v>
      </c>
      <c r="Z155" s="739" t="s">
        <v>2324</v>
      </c>
      <c r="AA155" s="739" t="s">
        <v>2135</v>
      </c>
      <c r="AB155" s="770">
        <v>0</v>
      </c>
      <c r="AC155" s="770">
        <f>X155*0.85</f>
        <v>11475</v>
      </c>
    </row>
    <row r="156" spans="2:29" s="708" customFormat="1" ht="45" x14ac:dyDescent="0.3">
      <c r="B156" s="748">
        <v>6</v>
      </c>
      <c r="C156" s="749"/>
      <c r="D156" s="750"/>
      <c r="E156" s="751"/>
      <c r="F156" s="752"/>
      <c r="G156" s="752" t="s">
        <v>2321</v>
      </c>
      <c r="H156" s="751"/>
      <c r="I156" s="751"/>
      <c r="J156" s="753"/>
      <c r="K156" s="754"/>
      <c r="L156" s="754"/>
      <c r="M156" s="756"/>
      <c r="N156" s="757"/>
      <c r="O156" s="758"/>
      <c r="P156" s="757"/>
      <c r="Q156" s="758"/>
      <c r="R156" s="757"/>
      <c r="S156" s="758"/>
      <c r="T156" s="740" t="s">
        <v>2325</v>
      </c>
      <c r="U156" s="739" t="s">
        <v>2326</v>
      </c>
      <c r="V156" s="739" t="s">
        <v>1707</v>
      </c>
      <c r="W156" s="746">
        <v>8</v>
      </c>
      <c r="X156" s="746">
        <v>20</v>
      </c>
      <c r="Y156" s="740" t="s">
        <v>2327</v>
      </c>
      <c r="Z156" s="739" t="s">
        <v>2328</v>
      </c>
      <c r="AA156" s="739" t="s">
        <v>1707</v>
      </c>
      <c r="AB156" s="770">
        <v>0</v>
      </c>
      <c r="AC156" s="770">
        <v>1300</v>
      </c>
    </row>
    <row r="157" spans="2:29" s="708" customFormat="1" ht="120" x14ac:dyDescent="0.3">
      <c r="B157" s="736">
        <v>6</v>
      </c>
      <c r="C157" s="737" t="s">
        <v>2282</v>
      </c>
      <c r="D157" s="738">
        <v>10</v>
      </c>
      <c r="E157" s="739"/>
      <c r="F157" s="740" t="s">
        <v>2282</v>
      </c>
      <c r="G157" s="740" t="s">
        <v>2329</v>
      </c>
      <c r="H157" s="739" t="s">
        <v>1898</v>
      </c>
      <c r="I157" s="739" t="s">
        <v>2330</v>
      </c>
      <c r="J157" s="736" t="s">
        <v>2286</v>
      </c>
      <c r="K157" s="741" t="s">
        <v>1812</v>
      </c>
      <c r="L157" s="741" t="s">
        <v>1438</v>
      </c>
      <c r="M157" s="743">
        <v>5584455.8200000003</v>
      </c>
      <c r="N157" s="763">
        <v>0.77561886388888901</v>
      </c>
      <c r="O157" s="745">
        <v>1615544.179999999</v>
      </c>
      <c r="P157" s="763">
        <v>0.22438113611111099</v>
      </c>
      <c r="Q157" s="745">
        <v>0</v>
      </c>
      <c r="R157" s="744">
        <v>0</v>
      </c>
      <c r="S157" s="745">
        <v>7199999.9999999991</v>
      </c>
      <c r="T157" s="764" t="s">
        <v>2331</v>
      </c>
      <c r="U157" s="739" t="s">
        <v>2332</v>
      </c>
      <c r="V157" s="739" t="s">
        <v>2333</v>
      </c>
      <c r="W157" s="746">
        <v>14</v>
      </c>
      <c r="X157" s="746">
        <v>67</v>
      </c>
      <c r="Y157" s="746" t="s">
        <v>2289</v>
      </c>
      <c r="Z157" s="739" t="s">
        <v>2290</v>
      </c>
      <c r="AA157" s="739" t="s">
        <v>2295</v>
      </c>
      <c r="AB157" s="770">
        <v>0</v>
      </c>
      <c r="AC157" s="770">
        <v>10</v>
      </c>
    </row>
    <row r="158" spans="2:29" s="708" customFormat="1" ht="30" x14ac:dyDescent="0.3">
      <c r="B158" s="748">
        <v>6</v>
      </c>
      <c r="C158" s="749"/>
      <c r="D158" s="750"/>
      <c r="E158" s="751"/>
      <c r="F158" s="752"/>
      <c r="G158" s="752" t="s">
        <v>2329</v>
      </c>
      <c r="H158" s="751"/>
      <c r="I158" s="751"/>
      <c r="J158" s="753"/>
      <c r="K158" s="754"/>
      <c r="L158" s="754"/>
      <c r="M158" s="756"/>
      <c r="N158" s="757"/>
      <c r="O158" s="758"/>
      <c r="P158" s="757"/>
      <c r="Q158" s="758"/>
      <c r="R158" s="757"/>
      <c r="S158" s="758"/>
      <c r="T158" s="764" t="s">
        <v>2334</v>
      </c>
      <c r="U158" s="739" t="s">
        <v>2335</v>
      </c>
      <c r="V158" s="739" t="s">
        <v>1904</v>
      </c>
      <c r="W158" s="746">
        <v>0</v>
      </c>
      <c r="X158" s="746">
        <v>10000</v>
      </c>
      <c r="Y158" s="746" t="s">
        <v>2336</v>
      </c>
      <c r="Z158" s="739" t="s">
        <v>2337</v>
      </c>
      <c r="AA158" s="739" t="s">
        <v>2338</v>
      </c>
      <c r="AB158" s="770">
        <v>0</v>
      </c>
      <c r="AC158" s="770">
        <v>41</v>
      </c>
    </row>
    <row r="159" spans="2:29" s="708" customFormat="1" ht="60" x14ac:dyDescent="0.3">
      <c r="B159" s="736">
        <v>6</v>
      </c>
      <c r="C159" s="737" t="s">
        <v>2282</v>
      </c>
      <c r="D159" s="738">
        <v>10</v>
      </c>
      <c r="E159" s="739"/>
      <c r="F159" s="740" t="s">
        <v>2282</v>
      </c>
      <c r="G159" s="740" t="s">
        <v>2339</v>
      </c>
      <c r="H159" s="739" t="s">
        <v>2340</v>
      </c>
      <c r="I159" s="739" t="s">
        <v>2341</v>
      </c>
      <c r="J159" s="736" t="s">
        <v>2286</v>
      </c>
      <c r="K159" s="741" t="s">
        <v>1804</v>
      </c>
      <c r="L159" s="741" t="s">
        <v>1438</v>
      </c>
      <c r="M159" s="743">
        <v>840000</v>
      </c>
      <c r="N159" s="744">
        <v>0.7</v>
      </c>
      <c r="O159" s="745">
        <v>360000</v>
      </c>
      <c r="P159" s="744">
        <v>0.3</v>
      </c>
      <c r="Q159" s="745">
        <v>0</v>
      </c>
      <c r="R159" s="744">
        <v>0</v>
      </c>
      <c r="S159" s="745">
        <v>1200000</v>
      </c>
      <c r="T159" s="740" t="s">
        <v>2342</v>
      </c>
      <c r="U159" s="739" t="s">
        <v>2343</v>
      </c>
      <c r="V159" s="739" t="s">
        <v>1743</v>
      </c>
      <c r="W159" s="746">
        <v>250</v>
      </c>
      <c r="X159" s="746">
        <v>1000</v>
      </c>
      <c r="Y159" s="746"/>
      <c r="Z159" s="739"/>
      <c r="AA159" s="739"/>
      <c r="AB159" s="747"/>
      <c r="AC159" s="747"/>
    </row>
    <row r="160" spans="2:29" s="708" customFormat="1" ht="30" x14ac:dyDescent="0.3">
      <c r="B160" s="736">
        <v>6</v>
      </c>
      <c r="C160" s="737" t="s">
        <v>2282</v>
      </c>
      <c r="D160" s="738">
        <v>10</v>
      </c>
      <c r="E160" s="739"/>
      <c r="F160" s="740" t="s">
        <v>2282</v>
      </c>
      <c r="G160" s="740" t="s">
        <v>2344</v>
      </c>
      <c r="H160" s="740" t="s">
        <v>2345</v>
      </c>
      <c r="I160" s="739" t="s">
        <v>2346</v>
      </c>
      <c r="J160" s="736" t="s">
        <v>2286</v>
      </c>
      <c r="K160" s="741" t="s">
        <v>1728</v>
      </c>
      <c r="L160" s="741" t="s">
        <v>1655</v>
      </c>
      <c r="M160" s="743">
        <v>15000000</v>
      </c>
      <c r="N160" s="744">
        <v>0.85</v>
      </c>
      <c r="O160" s="745">
        <v>0</v>
      </c>
      <c r="P160" s="744">
        <v>0</v>
      </c>
      <c r="Q160" s="745">
        <v>2647058.8235294116</v>
      </c>
      <c r="R160" s="744">
        <v>0.15</v>
      </c>
      <c r="S160" s="745">
        <v>17647058.823529411</v>
      </c>
      <c r="T160" s="740" t="s">
        <v>2347</v>
      </c>
      <c r="U160" s="739" t="s">
        <v>2348</v>
      </c>
      <c r="V160" s="739" t="s">
        <v>1877</v>
      </c>
      <c r="W160" s="746">
        <v>10000000</v>
      </c>
      <c r="X160" s="746">
        <v>18000000</v>
      </c>
      <c r="Y160" s="746" t="s">
        <v>2349</v>
      </c>
      <c r="Z160" s="739" t="s">
        <v>2350</v>
      </c>
      <c r="AA160" s="739" t="s">
        <v>2351</v>
      </c>
      <c r="AB160" s="770">
        <v>0</v>
      </c>
      <c r="AC160" s="770">
        <v>8</v>
      </c>
    </row>
    <row r="161" spans="2:29" s="708" customFormat="1" ht="30" x14ac:dyDescent="0.3">
      <c r="B161" s="736">
        <v>6</v>
      </c>
      <c r="C161" s="737" t="s">
        <v>2282</v>
      </c>
      <c r="D161" s="738">
        <v>10</v>
      </c>
      <c r="E161" s="739"/>
      <c r="F161" s="740" t="s">
        <v>2282</v>
      </c>
      <c r="G161" s="740" t="s">
        <v>2352</v>
      </c>
      <c r="H161" s="740" t="s">
        <v>2353</v>
      </c>
      <c r="I161" s="739" t="s">
        <v>2354</v>
      </c>
      <c r="J161" s="736" t="s">
        <v>2286</v>
      </c>
      <c r="K161" s="741" t="s">
        <v>1728</v>
      </c>
      <c r="L161" s="741" t="s">
        <v>1655</v>
      </c>
      <c r="M161" s="829">
        <v>16740431</v>
      </c>
      <c r="N161" s="744">
        <v>0.9</v>
      </c>
      <c r="O161" s="745">
        <v>0</v>
      </c>
      <c r="P161" s="744">
        <v>0</v>
      </c>
      <c r="Q161" s="745">
        <v>1860047.9688888891</v>
      </c>
      <c r="R161" s="744">
        <v>0.1</v>
      </c>
      <c r="S161" s="745">
        <v>18600479</v>
      </c>
      <c r="T161" s="740" t="s">
        <v>2355</v>
      </c>
      <c r="U161" s="739" t="s">
        <v>2356</v>
      </c>
      <c r="V161" s="739" t="s">
        <v>2357</v>
      </c>
      <c r="W161" s="746">
        <v>60</v>
      </c>
      <c r="X161" s="746">
        <v>200</v>
      </c>
      <c r="Y161" s="746" t="s">
        <v>2358</v>
      </c>
      <c r="Z161" s="739" t="s">
        <v>2359</v>
      </c>
      <c r="AA161" s="739" t="s">
        <v>1877</v>
      </c>
      <c r="AB161" s="770">
        <v>0</v>
      </c>
      <c r="AC161" s="770">
        <v>1900000</v>
      </c>
    </row>
    <row r="162" spans="2:29" s="708" customFormat="1" ht="60" x14ac:dyDescent="0.3">
      <c r="B162" s="736">
        <v>6</v>
      </c>
      <c r="C162" s="737" t="s">
        <v>2282</v>
      </c>
      <c r="D162" s="738">
        <v>10</v>
      </c>
      <c r="E162" s="739"/>
      <c r="F162" s="740" t="s">
        <v>2282</v>
      </c>
      <c r="G162" s="740" t="s">
        <v>2360</v>
      </c>
      <c r="H162" s="739" t="s">
        <v>2361</v>
      </c>
      <c r="I162" s="739" t="s">
        <v>2361</v>
      </c>
      <c r="J162" s="736" t="s">
        <v>2286</v>
      </c>
      <c r="K162" s="741" t="s">
        <v>1804</v>
      </c>
      <c r="L162" s="741" t="s">
        <v>1655</v>
      </c>
      <c r="M162" s="743">
        <v>5000000</v>
      </c>
      <c r="N162" s="744">
        <v>0.7</v>
      </c>
      <c r="O162" s="745">
        <v>2142857.1428571432</v>
      </c>
      <c r="P162" s="744">
        <v>0.3</v>
      </c>
      <c r="Q162" s="745">
        <v>0</v>
      </c>
      <c r="R162" s="744">
        <v>0</v>
      </c>
      <c r="S162" s="745">
        <v>7142857.1428571437</v>
      </c>
      <c r="T162" s="740" t="s">
        <v>2362</v>
      </c>
      <c r="U162" s="739" t="s">
        <v>1999</v>
      </c>
      <c r="V162" s="739" t="s">
        <v>1999</v>
      </c>
      <c r="W162" s="746">
        <v>250</v>
      </c>
      <c r="X162" s="746">
        <v>600</v>
      </c>
      <c r="Y162" s="746" t="s">
        <v>2363</v>
      </c>
      <c r="Z162" s="739" t="s">
        <v>2364</v>
      </c>
      <c r="AA162" s="739" t="s">
        <v>68</v>
      </c>
      <c r="AB162" s="770">
        <v>0</v>
      </c>
      <c r="AC162" s="830">
        <v>90</v>
      </c>
    </row>
    <row r="163" spans="2:29" s="708" customFormat="1" ht="45" x14ac:dyDescent="0.3">
      <c r="B163" s="736">
        <v>6</v>
      </c>
      <c r="C163" s="737" t="s">
        <v>2282</v>
      </c>
      <c r="D163" s="738">
        <v>10</v>
      </c>
      <c r="E163" s="739"/>
      <c r="F163" s="740" t="s">
        <v>2282</v>
      </c>
      <c r="G163" s="740" t="s">
        <v>2365</v>
      </c>
      <c r="H163" s="739" t="s">
        <v>2366</v>
      </c>
      <c r="I163" s="739" t="s">
        <v>2367</v>
      </c>
      <c r="J163" s="736" t="s">
        <v>2286</v>
      </c>
      <c r="K163" s="741" t="s">
        <v>1445</v>
      </c>
      <c r="L163" s="741" t="s">
        <v>1438</v>
      </c>
      <c r="M163" s="743">
        <v>20000000</v>
      </c>
      <c r="N163" s="744">
        <v>0.5</v>
      </c>
      <c r="O163" s="745">
        <v>0</v>
      </c>
      <c r="P163" s="744">
        <v>0</v>
      </c>
      <c r="Q163" s="745">
        <v>20000000</v>
      </c>
      <c r="R163" s="744">
        <v>0.5</v>
      </c>
      <c r="S163" s="745">
        <v>40000000</v>
      </c>
      <c r="T163" s="739" t="s">
        <v>1797</v>
      </c>
      <c r="U163" s="739" t="s">
        <v>2368</v>
      </c>
      <c r="V163" s="739" t="s">
        <v>1799</v>
      </c>
      <c r="W163" s="746">
        <v>0</v>
      </c>
      <c r="X163" s="746">
        <v>75</v>
      </c>
      <c r="Y163" s="746" t="s">
        <v>1784</v>
      </c>
      <c r="Z163" s="739" t="s">
        <v>1785</v>
      </c>
      <c r="AA163" s="739" t="s">
        <v>1786</v>
      </c>
      <c r="AB163" s="747">
        <v>1701000</v>
      </c>
      <c r="AC163" s="747">
        <v>1523000</v>
      </c>
    </row>
    <row r="164" spans="2:29" s="708" customFormat="1" ht="75" x14ac:dyDescent="0.3">
      <c r="B164" s="736">
        <v>6</v>
      </c>
      <c r="C164" s="737" t="s">
        <v>2282</v>
      </c>
      <c r="D164" s="738">
        <v>10</v>
      </c>
      <c r="E164" s="739"/>
      <c r="F164" s="740" t="s">
        <v>2282</v>
      </c>
      <c r="G164" s="740" t="s">
        <v>2369</v>
      </c>
      <c r="H164" s="739" t="s">
        <v>2370</v>
      </c>
      <c r="I164" s="739" t="s">
        <v>2371</v>
      </c>
      <c r="J164" s="736" t="s">
        <v>2286</v>
      </c>
      <c r="K164" s="741" t="s">
        <v>1812</v>
      </c>
      <c r="L164" s="741" t="s">
        <v>1438</v>
      </c>
      <c r="M164" s="743">
        <v>2710000</v>
      </c>
      <c r="N164" s="744">
        <v>0.7</v>
      </c>
      <c r="O164" s="745">
        <v>1161428.5714285716</v>
      </c>
      <c r="P164" s="744">
        <v>0.3</v>
      </c>
      <c r="Q164" s="745">
        <v>0</v>
      </c>
      <c r="R164" s="744">
        <v>0</v>
      </c>
      <c r="S164" s="745">
        <v>3871428.5714285718</v>
      </c>
      <c r="T164" s="765" t="s">
        <v>2331</v>
      </c>
      <c r="U164" s="739" t="s">
        <v>2332</v>
      </c>
      <c r="V164" s="739" t="s">
        <v>2333</v>
      </c>
      <c r="W164" s="746">
        <v>2</v>
      </c>
      <c r="X164" s="746">
        <v>10</v>
      </c>
      <c r="Y164" s="746" t="s">
        <v>2336</v>
      </c>
      <c r="Z164" s="739" t="s">
        <v>2337</v>
      </c>
      <c r="AA164" s="739" t="s">
        <v>2333</v>
      </c>
      <c r="AB164" s="770">
        <v>0</v>
      </c>
      <c r="AC164" s="770">
        <v>5</v>
      </c>
    </row>
    <row r="165" spans="2:29" s="708" customFormat="1" ht="45" x14ac:dyDescent="0.3">
      <c r="B165" s="748">
        <v>6</v>
      </c>
      <c r="C165" s="749"/>
      <c r="D165" s="750"/>
      <c r="E165" s="751"/>
      <c r="F165" s="752"/>
      <c r="G165" s="752" t="s">
        <v>2369</v>
      </c>
      <c r="H165" s="751"/>
      <c r="I165" s="751"/>
      <c r="J165" s="748"/>
      <c r="K165" s="824"/>
      <c r="L165" s="824"/>
      <c r="M165" s="756"/>
      <c r="N165" s="757"/>
      <c r="O165" s="758"/>
      <c r="P165" s="757"/>
      <c r="Q165" s="758"/>
      <c r="R165" s="757"/>
      <c r="S165" s="758"/>
      <c r="T165" s="739" t="s">
        <v>2372</v>
      </c>
      <c r="U165" s="739" t="s">
        <v>2373</v>
      </c>
      <c r="V165" s="739" t="s">
        <v>2374</v>
      </c>
      <c r="W165" s="746">
        <v>0</v>
      </c>
      <c r="X165" s="746">
        <v>1</v>
      </c>
      <c r="Y165" s="746" t="s">
        <v>2375</v>
      </c>
      <c r="Z165" s="739" t="s">
        <v>2376</v>
      </c>
      <c r="AA165" s="739" t="s">
        <v>2251</v>
      </c>
      <c r="AB165" s="770">
        <v>0</v>
      </c>
      <c r="AC165" s="770">
        <v>100000</v>
      </c>
    </row>
    <row r="166" spans="2:29" s="708" customFormat="1" ht="60" x14ac:dyDescent="0.3">
      <c r="B166" s="736">
        <v>6</v>
      </c>
      <c r="C166" s="737" t="s">
        <v>2282</v>
      </c>
      <c r="D166" s="738">
        <v>10</v>
      </c>
      <c r="E166" s="739"/>
      <c r="F166" s="740" t="s">
        <v>2282</v>
      </c>
      <c r="G166" s="740" t="s">
        <v>2377</v>
      </c>
      <c r="H166" s="739" t="s">
        <v>1860</v>
      </c>
      <c r="I166" s="739" t="s">
        <v>2378</v>
      </c>
      <c r="J166" s="736" t="s">
        <v>2286</v>
      </c>
      <c r="K166" s="741" t="s">
        <v>1812</v>
      </c>
      <c r="L166" s="741" t="s">
        <v>1438</v>
      </c>
      <c r="M166" s="743">
        <v>1410000</v>
      </c>
      <c r="N166" s="744">
        <v>0.7</v>
      </c>
      <c r="O166" s="745">
        <v>604285.71428571432</v>
      </c>
      <c r="P166" s="744">
        <v>0.3</v>
      </c>
      <c r="Q166" s="745">
        <v>0</v>
      </c>
      <c r="R166" s="744">
        <v>0</v>
      </c>
      <c r="S166" s="745">
        <v>2014285.7142857143</v>
      </c>
      <c r="T166" s="765" t="s">
        <v>2331</v>
      </c>
      <c r="U166" s="739" t="s">
        <v>2332</v>
      </c>
      <c r="V166" s="739" t="s">
        <v>2333</v>
      </c>
      <c r="W166" s="746">
        <v>4</v>
      </c>
      <c r="X166" s="746">
        <v>23</v>
      </c>
      <c r="Y166" s="746" t="s">
        <v>2336</v>
      </c>
      <c r="Z166" s="739" t="s">
        <v>2337</v>
      </c>
      <c r="AA166" s="739" t="s">
        <v>2333</v>
      </c>
      <c r="AB166" s="770">
        <v>0</v>
      </c>
      <c r="AC166" s="770">
        <v>14</v>
      </c>
    </row>
    <row r="167" spans="2:29" s="711" customFormat="1" ht="30" x14ac:dyDescent="0.3">
      <c r="B167" s="736">
        <v>7</v>
      </c>
      <c r="C167" s="737" t="s">
        <v>2379</v>
      </c>
      <c r="D167" s="738"/>
      <c r="E167" s="739"/>
      <c r="F167" s="740" t="s">
        <v>2380</v>
      </c>
      <c r="G167" s="740" t="s">
        <v>2381</v>
      </c>
      <c r="H167" s="739" t="s">
        <v>2382</v>
      </c>
      <c r="I167" s="739" t="s">
        <v>2383</v>
      </c>
      <c r="J167" s="736" t="s">
        <v>2384</v>
      </c>
      <c r="K167" s="741" t="s">
        <v>1728</v>
      </c>
      <c r="L167" s="741" t="s">
        <v>1655</v>
      </c>
      <c r="M167" s="781">
        <v>3225000</v>
      </c>
      <c r="N167" s="831">
        <v>0.72199999999999998</v>
      </c>
      <c r="O167" s="781">
        <v>0</v>
      </c>
      <c r="P167" s="780">
        <v>0</v>
      </c>
      <c r="Q167" s="781">
        <v>1241759.002770083</v>
      </c>
      <c r="R167" s="831">
        <v>0.27799999999999997</v>
      </c>
      <c r="S167" s="781">
        <v>4466759.002770083</v>
      </c>
      <c r="T167" s="740"/>
      <c r="U167" s="739" t="s">
        <v>2385</v>
      </c>
      <c r="V167" s="739"/>
      <c r="W167" s="746"/>
      <c r="X167" s="746"/>
      <c r="Y167" s="746"/>
      <c r="Z167" s="739" t="s">
        <v>2380</v>
      </c>
      <c r="AA167" s="739" t="s">
        <v>2380</v>
      </c>
      <c r="AB167" s="747" t="s">
        <v>2380</v>
      </c>
      <c r="AC167" s="747" t="s">
        <v>2380</v>
      </c>
    </row>
    <row r="168" spans="2:29" s="711" customFormat="1" ht="30" x14ac:dyDescent="0.3">
      <c r="B168" s="736">
        <v>7</v>
      </c>
      <c r="C168" s="737" t="s">
        <v>2379</v>
      </c>
      <c r="D168" s="738"/>
      <c r="E168" s="739"/>
      <c r="F168" s="740" t="s">
        <v>2380</v>
      </c>
      <c r="G168" s="740" t="s">
        <v>2386</v>
      </c>
      <c r="H168" s="739" t="s">
        <v>2379</v>
      </c>
      <c r="I168" s="739" t="s">
        <v>2387</v>
      </c>
      <c r="J168" s="736" t="s">
        <v>2384</v>
      </c>
      <c r="K168" s="741" t="s">
        <v>1728</v>
      </c>
      <c r="L168" s="741" t="s">
        <v>1655</v>
      </c>
      <c r="M168" s="779">
        <v>106864748</v>
      </c>
      <c r="N168" s="831">
        <v>0.72199999999999998</v>
      </c>
      <c r="O168" s="781">
        <v>41147368</v>
      </c>
      <c r="P168" s="831">
        <v>0.27800000008614245</v>
      </c>
      <c r="Q168" s="781">
        <v>0</v>
      </c>
      <c r="R168" s="780">
        <v>0</v>
      </c>
      <c r="S168" s="781">
        <v>148012115.07480001</v>
      </c>
      <c r="T168" s="832"/>
      <c r="U168" s="739"/>
      <c r="V168" s="739"/>
      <c r="W168" s="746"/>
      <c r="X168" s="746"/>
      <c r="Y168" s="746"/>
      <c r="Z168" s="739" t="s">
        <v>2380</v>
      </c>
      <c r="AA168" s="739" t="s">
        <v>2380</v>
      </c>
      <c r="AB168" s="747" t="s">
        <v>2380</v>
      </c>
      <c r="AC168" s="747" t="s">
        <v>2380</v>
      </c>
    </row>
    <row r="169" spans="2:29" s="711" customFormat="1" ht="30" x14ac:dyDescent="0.3">
      <c r="B169" s="736">
        <v>7</v>
      </c>
      <c r="C169" s="737" t="s">
        <v>2379</v>
      </c>
      <c r="D169" s="738"/>
      <c r="E169" s="739"/>
      <c r="F169" s="740" t="s">
        <v>2380</v>
      </c>
      <c r="G169" s="740" t="s">
        <v>2388</v>
      </c>
      <c r="H169" s="739" t="s">
        <v>2379</v>
      </c>
      <c r="I169" s="739" t="s">
        <v>2389</v>
      </c>
      <c r="J169" s="736" t="s">
        <v>2384</v>
      </c>
      <c r="K169" s="741" t="s">
        <v>1728</v>
      </c>
      <c r="L169" s="741" t="s">
        <v>1655</v>
      </c>
      <c r="M169" s="781">
        <v>624485.04599999997</v>
      </c>
      <c r="N169" s="780">
        <v>0.9</v>
      </c>
      <c r="O169" s="781">
        <v>69387.227333333343</v>
      </c>
      <c r="P169" s="780">
        <v>0.10000000000000002</v>
      </c>
      <c r="Q169" s="781">
        <v>0</v>
      </c>
      <c r="R169" s="780">
        <v>0</v>
      </c>
      <c r="S169" s="781">
        <v>693872.27333333332</v>
      </c>
      <c r="T169" s="740"/>
      <c r="U169" s="739"/>
      <c r="V169" s="739"/>
      <c r="W169" s="746"/>
      <c r="X169" s="746"/>
      <c r="Y169" s="746"/>
      <c r="Z169" s="739" t="s">
        <v>2380</v>
      </c>
      <c r="AA169" s="739" t="s">
        <v>2380</v>
      </c>
      <c r="AB169" s="747" t="s">
        <v>2380</v>
      </c>
      <c r="AC169" s="747" t="s">
        <v>2380</v>
      </c>
    </row>
    <row r="170" spans="2:29" x14ac:dyDescent="0.3">
      <c r="B170" s="710"/>
      <c r="C170" s="712"/>
      <c r="D170" s="833"/>
      <c r="E170" s="724"/>
      <c r="F170" s="786"/>
      <c r="G170" s="708"/>
      <c r="H170" s="712"/>
      <c r="I170" s="712"/>
      <c r="L170" s="834"/>
      <c r="M170" s="745">
        <v>3369336786.0707998</v>
      </c>
      <c r="N170" s="835">
        <v>0.65134429717983111</v>
      </c>
      <c r="O170" s="745">
        <v>608347012.76841497</v>
      </c>
      <c r="P170" s="835">
        <v>0.11760277545159795</v>
      </c>
      <c r="Q170" s="745">
        <v>1195212932.3394766</v>
      </c>
      <c r="R170" s="835">
        <v>0.23105292727437754</v>
      </c>
      <c r="S170" s="745">
        <v>5172896731.1786947</v>
      </c>
      <c r="T170" s="832"/>
    </row>
    <row r="171" spans="2:29" x14ac:dyDescent="0.3">
      <c r="H171" s="714"/>
      <c r="I171" s="712"/>
      <c r="M171" s="723"/>
      <c r="T171" s="708"/>
    </row>
    <row r="173" spans="2:29" x14ac:dyDescent="0.3">
      <c r="I173" s="719" t="s">
        <v>1409</v>
      </c>
      <c r="T173" s="708"/>
    </row>
    <row r="174" spans="2:29" x14ac:dyDescent="0.3">
      <c r="T174" s="708"/>
    </row>
    <row r="175" spans="2:29" x14ac:dyDescent="0.3">
      <c r="T175" s="708"/>
    </row>
    <row r="176" spans="2:29" x14ac:dyDescent="0.3">
      <c r="T176" s="708"/>
    </row>
    <row r="177" spans="13:20" x14ac:dyDescent="0.3">
      <c r="T177" s="708"/>
    </row>
    <row r="178" spans="13:20" x14ac:dyDescent="0.3">
      <c r="T178" s="708"/>
    </row>
    <row r="179" spans="13:20" x14ac:dyDescent="0.3">
      <c r="M179" s="723"/>
      <c r="N179" s="723"/>
      <c r="T179" s="836"/>
    </row>
  </sheetData>
  <autoFilter ref="A6:AC171" xr:uid="{00000000-0009-0000-0000-000000000000}"/>
  <mergeCells count="6">
    <mergeCell ref="Y5:AC5"/>
    <mergeCell ref="B5:C5"/>
    <mergeCell ref="E5:F5"/>
    <mergeCell ref="K5:L5"/>
    <mergeCell ref="M5:R5"/>
    <mergeCell ref="T5:X5"/>
  </mergeCells>
  <hyperlinks>
    <hyperlink ref="B3" r:id="rId1" location="meetmete-nimekiri-2021-2027" xr:uid="{3C23798E-3644-43C8-86B1-81A28DFE18E9}"/>
  </hyperlinks>
  <pageMargins left="0.70866141732283472" right="0.70866141732283472" top="0.74803149606299213" bottom="0.74803149606299213" header="0.31496062992125984" footer="0.31496062992125984"/>
  <pageSetup paperSize="8" scale="50" firstPageNumber="4294967295" fitToHeight="0" orientation="landscape" r:id="rId2"/>
  <headerFooter>
    <oddFooter>Lk &amp;P &amp;N-st</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49AE84-8CC3-415B-B519-DE3DDEC4C1BE}">
  <sheetPr codeName="Sheet6">
    <tabColor theme="8"/>
  </sheetPr>
  <dimension ref="B6:CD105"/>
  <sheetViews>
    <sheetView zoomScale="70" zoomScaleNormal="70" workbookViewId="0">
      <selection activeCell="J19" sqref="J19"/>
    </sheetView>
  </sheetViews>
  <sheetFormatPr defaultColWidth="9.1640625" defaultRowHeight="13.5" x14ac:dyDescent="0.3"/>
  <cols>
    <col min="4" max="4" width="78" customWidth="1"/>
    <col min="5" max="5" width="15.6640625" customWidth="1"/>
    <col min="6" max="7" width="9" customWidth="1"/>
    <col min="8" max="8" width="15.6640625" customWidth="1"/>
    <col min="9" max="10" width="17.6640625" customWidth="1"/>
    <col min="11" max="11" width="16.1640625" customWidth="1"/>
    <col min="12" max="12" width="12.1640625" customWidth="1"/>
    <col min="13" max="30" width="9" customWidth="1"/>
    <col min="31" max="34" width="9.1640625" customWidth="1"/>
    <col min="35" max="40" width="9.6640625" customWidth="1"/>
    <col min="41" max="50" width="9" customWidth="1"/>
    <col min="51" max="51" width="15.1640625" customWidth="1"/>
    <col min="52" max="61" width="9.6640625" bestFit="1" customWidth="1"/>
    <col min="73" max="78" width="9.1640625" bestFit="1" customWidth="1"/>
    <col min="79" max="82" width="9.6640625" bestFit="1" customWidth="1"/>
  </cols>
  <sheetData>
    <row r="6" spans="3:52" x14ac:dyDescent="0.3">
      <c r="C6" s="63" t="s">
        <v>666</v>
      </c>
      <c r="D6" s="485" t="s">
        <v>2390</v>
      </c>
    </row>
    <row r="7" spans="3:52" x14ac:dyDescent="0.3">
      <c r="D7" s="474" t="s">
        <v>2391</v>
      </c>
      <c r="E7" s="474"/>
    </row>
    <row r="8" spans="3:52" ht="36" customHeight="1" x14ac:dyDescent="0.3">
      <c r="D8" s="9"/>
      <c r="E8" s="9"/>
      <c r="F8" s="9" t="s">
        <v>2392</v>
      </c>
      <c r="G8" s="9" t="s">
        <v>2393</v>
      </c>
      <c r="H8" s="481" t="s">
        <v>484</v>
      </c>
      <c r="I8" s="2048" t="s">
        <v>2394</v>
      </c>
      <c r="J8" s="2048"/>
      <c r="K8" s="9" t="s">
        <v>2395</v>
      </c>
      <c r="L8" s="9" t="s">
        <v>2396</v>
      </c>
      <c r="M8" s="9" t="s">
        <v>2397</v>
      </c>
      <c r="N8" s="9" t="s">
        <v>1393</v>
      </c>
      <c r="O8" s="9"/>
      <c r="P8" s="9"/>
      <c r="Q8" s="9"/>
      <c r="R8" s="9"/>
      <c r="S8" s="9"/>
      <c r="T8" s="9"/>
      <c r="U8" s="2048" t="s">
        <v>2398</v>
      </c>
      <c r="V8" s="2048"/>
      <c r="W8" s="2048"/>
      <c r="X8" s="2048"/>
      <c r="Y8" s="2048"/>
      <c r="Z8" s="2048"/>
      <c r="AA8" s="2048"/>
      <c r="AB8" s="2048"/>
      <c r="AC8" s="2048"/>
      <c r="AD8" s="2048"/>
      <c r="AE8" s="2048" t="s">
        <v>2399</v>
      </c>
      <c r="AF8" s="2048"/>
      <c r="AG8" s="2048"/>
      <c r="AH8" s="2048"/>
      <c r="AI8" s="2048"/>
      <c r="AJ8" s="2048"/>
      <c r="AK8" s="2048"/>
      <c r="AL8" s="2048"/>
      <c r="AM8" s="2048"/>
      <c r="AN8" s="2048"/>
      <c r="AO8" s="2048"/>
      <c r="AP8" s="2048" t="s">
        <v>489</v>
      </c>
      <c r="AQ8" s="2048"/>
      <c r="AR8" s="2048"/>
      <c r="AS8" s="2048"/>
      <c r="AT8" s="2048"/>
      <c r="AU8" s="2048"/>
      <c r="AV8" s="2048"/>
      <c r="AW8" s="2048"/>
      <c r="AX8" s="2048"/>
      <c r="AY8" s="2048"/>
      <c r="AZ8" s="9"/>
    </row>
    <row r="9" spans="3:52" x14ac:dyDescent="0.3">
      <c r="D9" s="9"/>
      <c r="E9" s="9"/>
      <c r="F9" s="9"/>
      <c r="G9" s="9"/>
      <c r="H9" s="9" t="s">
        <v>2400</v>
      </c>
      <c r="I9" s="9" t="s">
        <v>2400</v>
      </c>
      <c r="J9" s="9" t="s">
        <v>452</v>
      </c>
      <c r="K9" s="9"/>
      <c r="L9" s="9"/>
      <c r="M9" s="9"/>
      <c r="N9" s="9"/>
      <c r="O9" s="9"/>
      <c r="P9" s="9"/>
      <c r="Q9" s="9"/>
      <c r="R9" s="9"/>
      <c r="S9" s="9"/>
      <c r="T9" s="9"/>
      <c r="U9" s="481"/>
      <c r="V9" s="481"/>
      <c r="W9" s="481"/>
      <c r="X9" s="481"/>
      <c r="Y9" s="481"/>
      <c r="Z9" s="481"/>
      <c r="AA9" s="481"/>
      <c r="AB9" s="481"/>
      <c r="AC9" s="481"/>
      <c r="AD9" s="481"/>
      <c r="AE9" s="481"/>
      <c r="AF9" s="481"/>
      <c r="AG9" s="481"/>
      <c r="AH9" s="481"/>
      <c r="AI9" s="481"/>
      <c r="AJ9" s="481"/>
      <c r="AK9" s="481"/>
      <c r="AL9" s="481"/>
      <c r="AM9" s="481"/>
      <c r="AN9" s="481"/>
      <c r="AO9" s="481"/>
      <c r="AP9" s="9"/>
      <c r="AQ9" s="9"/>
      <c r="AR9" s="9"/>
      <c r="AS9" s="9"/>
      <c r="AT9" s="9"/>
      <c r="AU9" s="9"/>
      <c r="AV9" s="9"/>
      <c r="AW9" s="9"/>
      <c r="AX9" s="9"/>
      <c r="AY9" s="9"/>
      <c r="AZ9" s="9"/>
    </row>
    <row r="10" spans="3:52" x14ac:dyDescent="0.3">
      <c r="D10" s="9"/>
      <c r="E10" s="9"/>
      <c r="F10" s="9"/>
      <c r="G10" s="9"/>
      <c r="H10" s="9" t="s">
        <v>77</v>
      </c>
      <c r="I10" s="9" t="s">
        <v>98</v>
      </c>
      <c r="J10" s="9" t="s">
        <v>98</v>
      </c>
      <c r="K10" s="9" t="s">
        <v>2401</v>
      </c>
      <c r="L10" s="9" t="s">
        <v>98</v>
      </c>
      <c r="M10" s="9" t="s">
        <v>98</v>
      </c>
      <c r="N10" s="9"/>
      <c r="O10" s="9"/>
      <c r="P10" s="9"/>
      <c r="Q10" s="9"/>
      <c r="R10" s="9"/>
      <c r="S10" s="9"/>
      <c r="T10" s="9"/>
      <c r="U10" s="9">
        <v>2021</v>
      </c>
      <c r="V10" s="9">
        <v>2022</v>
      </c>
      <c r="W10" s="9">
        <v>2023</v>
      </c>
      <c r="X10" s="9">
        <v>2024</v>
      </c>
      <c r="Y10" s="9">
        <v>2025</v>
      </c>
      <c r="Z10" s="9">
        <v>2026</v>
      </c>
      <c r="AA10" s="9">
        <v>2027</v>
      </c>
      <c r="AB10" s="9">
        <v>2028</v>
      </c>
      <c r="AC10" s="9">
        <v>2029</v>
      </c>
      <c r="AD10" s="9">
        <v>2030</v>
      </c>
      <c r="AE10" s="9">
        <v>2020</v>
      </c>
      <c r="AF10" s="9">
        <v>2021</v>
      </c>
      <c r="AG10" s="9">
        <v>2022</v>
      </c>
      <c r="AH10" s="9">
        <v>2023</v>
      </c>
      <c r="AI10" s="9">
        <v>2024</v>
      </c>
      <c r="AJ10" s="9">
        <v>2025</v>
      </c>
      <c r="AK10" s="9">
        <v>2026</v>
      </c>
      <c r="AL10" s="9">
        <v>2027</v>
      </c>
      <c r="AM10" s="9">
        <v>2028</v>
      </c>
      <c r="AN10" s="9">
        <v>2029</v>
      </c>
      <c r="AO10" s="9">
        <v>2030</v>
      </c>
      <c r="AP10" s="9">
        <v>2021</v>
      </c>
      <c r="AQ10" s="9">
        <v>2022</v>
      </c>
      <c r="AR10" s="9">
        <v>2023</v>
      </c>
      <c r="AS10" s="9">
        <v>2024</v>
      </c>
      <c r="AT10" s="9">
        <v>2025</v>
      </c>
      <c r="AU10" s="9">
        <v>2026</v>
      </c>
      <c r="AV10" s="9">
        <v>2027</v>
      </c>
      <c r="AW10" s="9">
        <v>2028</v>
      </c>
      <c r="AX10" s="9">
        <v>2029</v>
      </c>
      <c r="AY10" s="9">
        <v>2030</v>
      </c>
      <c r="AZ10" s="9"/>
    </row>
    <row r="11" spans="3:52" x14ac:dyDescent="0.3">
      <c r="C11" t="s">
        <v>681</v>
      </c>
      <c r="D11" s="475" t="s">
        <v>2402</v>
      </c>
      <c r="E11" s="475"/>
      <c r="F11" s="14">
        <v>2021</v>
      </c>
      <c r="G11" s="14">
        <v>2030</v>
      </c>
      <c r="H11" s="482">
        <f t="shared" ref="H11:H21" si="0">AVERAGE(AF11:AO11)</f>
        <v>39.325875611072327</v>
      </c>
      <c r="I11" s="14">
        <v>0.27600000000000002</v>
      </c>
      <c r="J11" s="478">
        <f>I11*10</f>
        <v>2.7600000000000002</v>
      </c>
      <c r="K11" s="229">
        <v>11.5</v>
      </c>
      <c r="L11" s="229">
        <f>20+33</f>
        <v>53</v>
      </c>
      <c r="M11" s="229">
        <v>0.27600000000000002</v>
      </c>
      <c r="N11" s="229"/>
      <c r="O11" s="229"/>
      <c r="P11" s="229"/>
      <c r="Q11" s="229"/>
      <c r="R11" s="229"/>
      <c r="S11" s="229"/>
      <c r="T11" s="229"/>
      <c r="U11" s="493">
        <f>MAX(AF11-AE11,0)</f>
        <v>0</v>
      </c>
      <c r="V11" s="492">
        <f t="shared" ref="V11:V21" si="1">AG11-AF11</f>
        <v>12.933510522805619</v>
      </c>
      <c r="W11" s="492">
        <f t="shared" ref="W11:W21" si="2">AH11-AG11</f>
        <v>6.4953159201729633</v>
      </c>
      <c r="X11" s="492">
        <f t="shared" ref="X11:X21" si="3">AI11-AH11</f>
        <v>0</v>
      </c>
      <c r="Y11" s="492">
        <f t="shared" ref="Y11:Y21" si="4">AJ11-AI11</f>
        <v>0</v>
      </c>
      <c r="Z11" s="492">
        <f t="shared" ref="Z11:Z21" si="5">AK11-AJ11</f>
        <v>0</v>
      </c>
      <c r="AA11" s="492">
        <f t="shared" ref="AA11:AA21" si="6">AL11-AK11</f>
        <v>0</v>
      </c>
      <c r="AB11" s="492">
        <f t="shared" ref="AB11:AB21" si="7">AM11-AL11</f>
        <v>0</v>
      </c>
      <c r="AC11" s="492">
        <f t="shared" ref="AC11:AC21" si="8">AN11-AM11</f>
        <v>0</v>
      </c>
      <c r="AD11" s="492">
        <f t="shared" ref="AD11:AD21" si="9">AO11-AN11</f>
        <v>0</v>
      </c>
      <c r="AE11" s="493" cm="1">
        <f t="array" ref="AE11:AE21">IFERROR(_xlfn.XLOOKUP(C11:C21,B73:B80,Y73:Y80),0)</f>
        <v>72.562324377431622</v>
      </c>
      <c r="AF11" s="502">
        <v>22.489463404408887</v>
      </c>
      <c r="AG11" s="502">
        <v>35.422973927214507</v>
      </c>
      <c r="AH11" s="502">
        <v>41.91828984738747</v>
      </c>
      <c r="AI11" s="502">
        <v>41.91828984738747</v>
      </c>
      <c r="AJ11" s="502">
        <v>41.91828984738747</v>
      </c>
      <c r="AK11" s="502">
        <v>41.91828984738747</v>
      </c>
      <c r="AL11" s="502">
        <v>41.91828984738747</v>
      </c>
      <c r="AM11" s="502">
        <v>41.91828984738747</v>
      </c>
      <c r="AN11" s="502">
        <v>41.91828984738747</v>
      </c>
      <c r="AO11" s="502">
        <v>41.91828984738747</v>
      </c>
      <c r="AP11" s="486">
        <v>6.6041682043893095</v>
      </c>
      <c r="AQ11" s="486">
        <v>10.402172515559425</v>
      </c>
      <c r="AR11" s="486">
        <v>12.309561682926589</v>
      </c>
      <c r="AS11" s="486">
        <v>12.309561682926592</v>
      </c>
      <c r="AT11" s="486">
        <v>12.309561682926599</v>
      </c>
      <c r="AU11" s="486">
        <v>12.309561682926592</v>
      </c>
      <c r="AV11" s="486">
        <v>12.309561682926599</v>
      </c>
      <c r="AW11" s="486">
        <v>12.309561682926571</v>
      </c>
      <c r="AX11" s="486">
        <v>12.309561682926599</v>
      </c>
      <c r="AY11" s="486">
        <v>12.309561682926613</v>
      </c>
    </row>
    <row r="12" spans="3:52" x14ac:dyDescent="0.3">
      <c r="C12" t="s">
        <v>685</v>
      </c>
      <c r="D12" s="475" t="s">
        <v>2403</v>
      </c>
      <c r="E12" s="475"/>
      <c r="F12" s="14">
        <v>2021</v>
      </c>
      <c r="G12" s="14">
        <v>2030</v>
      </c>
      <c r="H12" s="482">
        <f t="shared" si="0"/>
        <v>110.42449920005024</v>
      </c>
      <c r="I12" s="14">
        <v>1.2</v>
      </c>
      <c r="J12" s="478">
        <f t="shared" ref="J12:J21" si="10">I12*10</f>
        <v>12</v>
      </c>
      <c r="K12" s="229">
        <v>25.07</v>
      </c>
      <c r="L12" s="229">
        <f>196+27.9</f>
        <v>223.9</v>
      </c>
      <c r="M12" s="229">
        <v>1.2</v>
      </c>
      <c r="N12" s="229"/>
      <c r="O12" s="229"/>
      <c r="P12" s="229"/>
      <c r="Q12" s="229"/>
      <c r="R12" s="229"/>
      <c r="S12" s="229"/>
      <c r="T12" s="229"/>
      <c r="U12" s="493">
        <f t="shared" ref="U12:U21" si="11">MAX(AF12-AE12,0)</f>
        <v>0</v>
      </c>
      <c r="V12" s="492">
        <f t="shared" si="1"/>
        <v>0</v>
      </c>
      <c r="W12" s="492">
        <f t="shared" si="2"/>
        <v>0</v>
      </c>
      <c r="X12" s="492">
        <f t="shared" si="3"/>
        <v>0</v>
      </c>
      <c r="Y12" s="492">
        <f t="shared" si="4"/>
        <v>0</v>
      </c>
      <c r="Z12" s="492">
        <f t="shared" si="5"/>
        <v>0</v>
      </c>
      <c r="AA12" s="492">
        <f t="shared" si="6"/>
        <v>0</v>
      </c>
      <c r="AB12" s="492">
        <f t="shared" si="7"/>
        <v>0</v>
      </c>
      <c r="AC12" s="492">
        <f t="shared" si="8"/>
        <v>0</v>
      </c>
      <c r="AD12" s="492">
        <f t="shared" si="9"/>
        <v>0</v>
      </c>
      <c r="AE12" s="493">
        <v>177.58535036824924</v>
      </c>
      <c r="AF12" s="502">
        <v>110.42449920005025</v>
      </c>
      <c r="AG12" s="502">
        <v>110.42449920005025</v>
      </c>
      <c r="AH12" s="502">
        <v>110.42449920005025</v>
      </c>
      <c r="AI12" s="502">
        <v>110.42449920005025</v>
      </c>
      <c r="AJ12" s="502">
        <v>110.42449920005025</v>
      </c>
      <c r="AK12" s="502">
        <v>110.42449920005025</v>
      </c>
      <c r="AL12" s="502">
        <v>110.42449920005025</v>
      </c>
      <c r="AM12" s="502">
        <v>110.42449920005025</v>
      </c>
      <c r="AN12" s="502">
        <v>110.42449920005025</v>
      </c>
      <c r="AO12" s="502">
        <v>110.42449920005025</v>
      </c>
      <c r="AP12" s="486">
        <v>25.007400510422038</v>
      </c>
      <c r="AQ12" s="486">
        <v>25.007400510422038</v>
      </c>
      <c r="AR12" s="486">
        <v>25.00740051042203</v>
      </c>
      <c r="AS12" s="486">
        <v>25.007400510422045</v>
      </c>
      <c r="AT12" s="486">
        <v>25.007400510422073</v>
      </c>
      <c r="AU12" s="486">
        <v>25.007400510421988</v>
      </c>
      <c r="AV12" s="486">
        <v>25.007400510422087</v>
      </c>
      <c r="AW12" s="486">
        <v>25.007400510422002</v>
      </c>
      <c r="AX12" s="486">
        <v>25.007400510422059</v>
      </c>
      <c r="AY12" s="486">
        <v>25.007400510422087</v>
      </c>
    </row>
    <row r="13" spans="3:52" x14ac:dyDescent="0.3">
      <c r="C13" t="s">
        <v>687</v>
      </c>
      <c r="D13" s="475" t="s">
        <v>2404</v>
      </c>
      <c r="E13" s="475"/>
      <c r="F13" s="14">
        <v>2021</v>
      </c>
      <c r="G13" s="14">
        <v>2030</v>
      </c>
      <c r="H13" s="482">
        <f t="shared" si="0"/>
        <v>123.93425968575725</v>
      </c>
      <c r="I13" s="14">
        <v>2.1</v>
      </c>
      <c r="J13" s="478">
        <f t="shared" si="10"/>
        <v>21</v>
      </c>
      <c r="K13" s="229">
        <v>30.09</v>
      </c>
      <c r="L13" s="229">
        <f>390+10.8</f>
        <v>400.8</v>
      </c>
      <c r="M13" s="229">
        <v>2.1</v>
      </c>
      <c r="N13" s="229"/>
      <c r="O13" s="229"/>
      <c r="P13" s="229"/>
      <c r="Q13" s="229"/>
      <c r="R13" s="229"/>
      <c r="S13" s="229"/>
      <c r="T13" s="229"/>
      <c r="U13" s="493">
        <f t="shared" si="11"/>
        <v>0</v>
      </c>
      <c r="V13" s="492">
        <f t="shared" si="1"/>
        <v>66.741787642032023</v>
      </c>
      <c r="W13" s="492">
        <f t="shared" si="2"/>
        <v>33.854261985784291</v>
      </c>
      <c r="X13" s="492">
        <f t="shared" si="3"/>
        <v>0</v>
      </c>
      <c r="Y13" s="492">
        <f t="shared" si="4"/>
        <v>0</v>
      </c>
      <c r="Z13" s="492">
        <f t="shared" si="5"/>
        <v>0</v>
      </c>
      <c r="AA13" s="492">
        <f t="shared" si="6"/>
        <v>0</v>
      </c>
      <c r="AB13" s="492">
        <f t="shared" si="7"/>
        <v>0</v>
      </c>
      <c r="AC13" s="492">
        <f t="shared" si="8"/>
        <v>0</v>
      </c>
      <c r="AD13" s="492">
        <f t="shared" si="9"/>
        <v>0</v>
      </c>
      <c r="AE13" s="493">
        <v>201.0113411330039</v>
      </c>
      <c r="AF13" s="502">
        <v>36.783241219301011</v>
      </c>
      <c r="AG13" s="502">
        <v>103.52502886133303</v>
      </c>
      <c r="AH13" s="502">
        <v>137.37929084711732</v>
      </c>
      <c r="AI13" s="502">
        <v>137.37929084711732</v>
      </c>
      <c r="AJ13" s="502">
        <v>137.37929084711732</v>
      </c>
      <c r="AK13" s="502">
        <v>137.37929084711732</v>
      </c>
      <c r="AL13" s="502">
        <v>137.37929084711732</v>
      </c>
      <c r="AM13" s="502">
        <v>137.37929084711732</v>
      </c>
      <c r="AN13" s="502">
        <v>137.37929084711732</v>
      </c>
      <c r="AO13" s="502">
        <v>137.37929084711732</v>
      </c>
      <c r="AP13" s="486">
        <v>8.9315142270925332</v>
      </c>
      <c r="AQ13" s="486">
        <v>25.137405989388014</v>
      </c>
      <c r="AR13" s="486">
        <v>33.35772079990258</v>
      </c>
      <c r="AS13" s="486">
        <v>33.35772079990258</v>
      </c>
      <c r="AT13" s="486">
        <v>33.357720799902623</v>
      </c>
      <c r="AU13" s="486">
        <v>33.357720799902552</v>
      </c>
      <c r="AV13" s="486">
        <v>33.35772079990258</v>
      </c>
      <c r="AW13" s="486">
        <v>33.35772079990258</v>
      </c>
      <c r="AX13" s="486">
        <v>33.357720799902694</v>
      </c>
      <c r="AY13" s="486">
        <v>33.357720799902495</v>
      </c>
    </row>
    <row r="14" spans="3:52" x14ac:dyDescent="0.3">
      <c r="C14" t="s">
        <v>678</v>
      </c>
      <c r="D14" s="475" t="s">
        <v>2405</v>
      </c>
      <c r="E14" s="475"/>
      <c r="F14" s="14">
        <v>2021</v>
      </c>
      <c r="G14" s="14">
        <v>2030</v>
      </c>
      <c r="H14" s="482">
        <f t="shared" si="0"/>
        <v>85.72640390875786</v>
      </c>
      <c r="I14" s="14">
        <v>0.06</v>
      </c>
      <c r="J14" s="478">
        <f t="shared" si="10"/>
        <v>0.6</v>
      </c>
      <c r="K14" s="229">
        <v>17.3</v>
      </c>
      <c r="L14" s="229">
        <f>7.9+3.7</f>
        <v>11.600000000000001</v>
      </c>
      <c r="M14" s="229">
        <v>0.06</v>
      </c>
      <c r="N14" s="229"/>
      <c r="O14" s="229"/>
      <c r="P14" s="229"/>
      <c r="Q14" s="229"/>
      <c r="R14" s="229"/>
      <c r="S14" s="229"/>
      <c r="T14" s="229"/>
      <c r="U14" s="493">
        <f t="shared" si="11"/>
        <v>0</v>
      </c>
      <c r="V14" s="492">
        <f t="shared" si="1"/>
        <v>22.801327904922836</v>
      </c>
      <c r="W14" s="492">
        <f t="shared" si="2"/>
        <v>11.645418920568062</v>
      </c>
      <c r="X14" s="492">
        <f t="shared" si="3"/>
        <v>0</v>
      </c>
      <c r="Y14" s="492">
        <f t="shared" si="4"/>
        <v>0</v>
      </c>
      <c r="Z14" s="492">
        <f t="shared" si="5"/>
        <v>0</v>
      </c>
      <c r="AA14" s="492">
        <f t="shared" si="6"/>
        <v>0</v>
      </c>
      <c r="AB14" s="492">
        <f t="shared" si="7"/>
        <v>0</v>
      </c>
      <c r="AC14" s="492">
        <f t="shared" si="8"/>
        <v>0</v>
      </c>
      <c r="AD14" s="492">
        <f t="shared" si="9"/>
        <v>0</v>
      </c>
      <c r="AE14" s="493">
        <v>129.52929598371338</v>
      </c>
      <c r="AF14" s="502">
        <v>55.888873657872843</v>
      </c>
      <c r="AG14" s="502">
        <v>78.690201562795679</v>
      </c>
      <c r="AH14" s="502">
        <v>90.335620483363741</v>
      </c>
      <c r="AI14" s="502">
        <v>90.335620483363741</v>
      </c>
      <c r="AJ14" s="502">
        <v>90.335620483363741</v>
      </c>
      <c r="AK14" s="502">
        <v>90.335620483363741</v>
      </c>
      <c r="AL14" s="502">
        <v>90.335620483363741</v>
      </c>
      <c r="AM14" s="502">
        <v>90.335620483363741</v>
      </c>
      <c r="AN14" s="502">
        <v>90.335620483363741</v>
      </c>
      <c r="AO14" s="502">
        <v>90.335620483363741</v>
      </c>
      <c r="AP14" s="486">
        <v>11.298342680939278</v>
      </c>
      <c r="AQ14" s="486">
        <v>15.907797110586596</v>
      </c>
      <c r="AR14" s="486">
        <v>18.262003324029191</v>
      </c>
      <c r="AS14" s="486">
        <v>18.26200332402918</v>
      </c>
      <c r="AT14" s="486">
        <v>18.262003324029195</v>
      </c>
      <c r="AU14" s="486">
        <v>18.26200332402918</v>
      </c>
      <c r="AV14" s="486">
        <v>18.26200332402918</v>
      </c>
      <c r="AW14" s="486">
        <v>18.262003324029195</v>
      </c>
      <c r="AX14" s="486">
        <v>18.262003324029195</v>
      </c>
      <c r="AY14" s="486">
        <v>18.262003324029195</v>
      </c>
    </row>
    <row r="15" spans="3:52" x14ac:dyDescent="0.3">
      <c r="C15" t="s">
        <v>683</v>
      </c>
      <c r="D15" s="475" t="s">
        <v>2406</v>
      </c>
      <c r="E15" s="475"/>
      <c r="F15" s="14">
        <v>2021</v>
      </c>
      <c r="G15" s="14">
        <v>2030</v>
      </c>
      <c r="H15" s="482">
        <f t="shared" si="0"/>
        <v>203.34176579654655</v>
      </c>
      <c r="I15" s="14">
        <v>0.35199999999999998</v>
      </c>
      <c r="J15" s="478">
        <f t="shared" si="10"/>
        <v>3.5199999999999996</v>
      </c>
      <c r="K15" s="229">
        <v>44.13</v>
      </c>
      <c r="L15" s="229">
        <f>20.4+47.2</f>
        <v>67.599999999999994</v>
      </c>
      <c r="M15" s="229">
        <v>0.35199999999999998</v>
      </c>
      <c r="N15" s="229"/>
      <c r="O15" s="229"/>
      <c r="P15" s="229"/>
      <c r="Q15" s="229"/>
      <c r="R15" s="229"/>
      <c r="S15" s="229"/>
      <c r="T15" s="229"/>
      <c r="U15" s="493">
        <f t="shared" si="11"/>
        <v>29.880863798308724</v>
      </c>
      <c r="V15" s="492">
        <f t="shared" si="1"/>
        <v>19.959351195667409</v>
      </c>
      <c r="W15" s="492">
        <f t="shared" si="2"/>
        <v>11.08476697004167</v>
      </c>
      <c r="X15" s="492">
        <f t="shared" si="3"/>
        <v>0</v>
      </c>
      <c r="Y15" s="492">
        <f t="shared" si="4"/>
        <v>0</v>
      </c>
      <c r="Z15" s="492">
        <f t="shared" si="5"/>
        <v>0</v>
      </c>
      <c r="AA15" s="492">
        <f t="shared" si="6"/>
        <v>0</v>
      </c>
      <c r="AB15" s="492">
        <f t="shared" si="7"/>
        <v>0</v>
      </c>
      <c r="AC15" s="492">
        <f t="shared" si="8"/>
        <v>0</v>
      </c>
      <c r="AD15" s="492">
        <f t="shared" si="9"/>
        <v>0</v>
      </c>
      <c r="AE15" s="493">
        <v>146.62967234610386</v>
      </c>
      <c r="AF15" s="502">
        <v>176.51053614441258</v>
      </c>
      <c r="AG15" s="502">
        <v>196.46988734007999</v>
      </c>
      <c r="AH15" s="502">
        <v>207.55465431012166</v>
      </c>
      <c r="AI15" s="502">
        <v>207.55465431012166</v>
      </c>
      <c r="AJ15" s="502">
        <v>207.55465431012166</v>
      </c>
      <c r="AK15" s="502">
        <v>207.55465431012166</v>
      </c>
      <c r="AL15" s="502">
        <v>207.55465431012166</v>
      </c>
      <c r="AM15" s="502">
        <v>207.55465431012166</v>
      </c>
      <c r="AN15" s="502">
        <v>207.55465431012166</v>
      </c>
      <c r="AO15" s="502">
        <v>207.55465431012166</v>
      </c>
      <c r="AP15" s="486">
        <v>38.30278634333753</v>
      </c>
      <c r="AQ15" s="486">
        <v>42.633965552797349</v>
      </c>
      <c r="AR15" s="486">
        <v>45.039359985296414</v>
      </c>
      <c r="AS15" s="486">
        <v>45.0393599852964</v>
      </c>
      <c r="AT15" s="486">
        <v>45.039359985296386</v>
      </c>
      <c r="AU15" s="486">
        <v>45.039359985296443</v>
      </c>
      <c r="AV15" s="486">
        <v>45.039359985296358</v>
      </c>
      <c r="AW15" s="486">
        <v>45.039359985296414</v>
      </c>
      <c r="AX15" s="486">
        <v>45.039359985296414</v>
      </c>
      <c r="AY15" s="486">
        <v>45.039359985296414</v>
      </c>
    </row>
    <row r="16" spans="3:52" x14ac:dyDescent="0.3">
      <c r="C16" t="s">
        <v>694</v>
      </c>
      <c r="D16" s="475" t="s">
        <v>695</v>
      </c>
      <c r="E16" s="475"/>
      <c r="F16" s="14">
        <v>2021</v>
      </c>
      <c r="G16" s="14">
        <v>2030</v>
      </c>
      <c r="H16" s="482">
        <f t="shared" si="0"/>
        <v>28.579812841706435</v>
      </c>
      <c r="I16" s="14">
        <v>1.23E-2</v>
      </c>
      <c r="J16" s="478">
        <f t="shared" si="10"/>
        <v>0.123</v>
      </c>
      <c r="K16" s="229">
        <v>0.2</v>
      </c>
      <c r="L16" s="229">
        <v>2.2999999999999998</v>
      </c>
      <c r="M16" s="229">
        <v>1.23E-2</v>
      </c>
      <c r="N16" s="229"/>
      <c r="O16" s="229"/>
      <c r="P16" s="229"/>
      <c r="Q16" s="229"/>
      <c r="R16" s="229"/>
      <c r="S16" s="229"/>
      <c r="T16" s="229"/>
      <c r="U16" s="493">
        <f t="shared" si="11"/>
        <v>28.579812841706442</v>
      </c>
      <c r="V16" s="492">
        <f t="shared" si="1"/>
        <v>0</v>
      </c>
      <c r="W16" s="492">
        <f t="shared" si="2"/>
        <v>0</v>
      </c>
      <c r="X16" s="492">
        <f t="shared" si="3"/>
        <v>0</v>
      </c>
      <c r="Y16" s="492">
        <f t="shared" si="4"/>
        <v>0</v>
      </c>
      <c r="Z16" s="492">
        <f t="shared" si="5"/>
        <v>0</v>
      </c>
      <c r="AA16" s="492">
        <f t="shared" si="6"/>
        <v>0</v>
      </c>
      <c r="AB16" s="492">
        <f t="shared" si="7"/>
        <v>0</v>
      </c>
      <c r="AC16" s="492">
        <f t="shared" si="8"/>
        <v>0</v>
      </c>
      <c r="AD16" s="492">
        <f t="shared" si="9"/>
        <v>0</v>
      </c>
      <c r="AE16" s="493">
        <v>0</v>
      </c>
      <c r="AF16" s="502">
        <v>28.579812841706442</v>
      </c>
      <c r="AG16" s="502">
        <v>28.579812841706442</v>
      </c>
      <c r="AH16" s="502">
        <v>28.579812841706442</v>
      </c>
      <c r="AI16" s="502">
        <v>28.579812841706442</v>
      </c>
      <c r="AJ16" s="502">
        <v>28.579812841706442</v>
      </c>
      <c r="AK16" s="502">
        <v>28.579812841706442</v>
      </c>
      <c r="AL16" s="502">
        <v>28.579812841706442</v>
      </c>
      <c r="AM16" s="502">
        <v>28.579812841706442</v>
      </c>
      <c r="AN16" s="502">
        <v>28.579812841706442</v>
      </c>
      <c r="AO16" s="502">
        <v>28.579812841706442</v>
      </c>
      <c r="AP16" s="486">
        <v>0.19980718753893864</v>
      </c>
      <c r="AQ16" s="486">
        <v>0.19980718753893864</v>
      </c>
      <c r="AR16" s="486">
        <v>0.19980718753893872</v>
      </c>
      <c r="AS16" s="486">
        <v>0.19980718753893856</v>
      </c>
      <c r="AT16" s="486">
        <v>0.19980718753893889</v>
      </c>
      <c r="AU16" s="486">
        <v>0.19980718753893856</v>
      </c>
      <c r="AV16" s="486">
        <v>0.19980718753893867</v>
      </c>
      <c r="AW16" s="486">
        <v>0.19980718753893845</v>
      </c>
      <c r="AX16" s="486">
        <v>0.19980718753893933</v>
      </c>
      <c r="AY16" s="486">
        <v>0.19980718753893845</v>
      </c>
    </row>
    <row r="17" spans="2:82" x14ac:dyDescent="0.3">
      <c r="C17" t="s">
        <v>696</v>
      </c>
      <c r="D17" s="476" t="s">
        <v>697</v>
      </c>
      <c r="E17" s="476"/>
      <c r="F17" s="14">
        <v>2021</v>
      </c>
      <c r="G17" s="14">
        <v>2030</v>
      </c>
      <c r="H17" s="482">
        <f t="shared" si="0"/>
        <v>15.381839997101249</v>
      </c>
      <c r="I17" s="14">
        <v>5.2999999999999999E-2</v>
      </c>
      <c r="J17" s="478">
        <f t="shared" si="10"/>
        <v>0.53</v>
      </c>
      <c r="K17" s="229">
        <v>3.73</v>
      </c>
      <c r="L17" s="229">
        <v>10.199999999999999</v>
      </c>
      <c r="M17" s="229">
        <v>5.2999999999999999E-2</v>
      </c>
      <c r="N17" s="229"/>
      <c r="O17" s="229"/>
      <c r="P17" s="229"/>
      <c r="Q17" s="229"/>
      <c r="R17" s="229"/>
      <c r="S17" s="229"/>
      <c r="T17" s="229"/>
      <c r="U17" s="493">
        <f t="shared" si="11"/>
        <v>11.233062707157107</v>
      </c>
      <c r="V17" s="492">
        <f t="shared" si="1"/>
        <v>3.1854898585490883</v>
      </c>
      <c r="W17" s="492">
        <f t="shared" si="2"/>
        <v>1.6022955215624552</v>
      </c>
      <c r="X17" s="492">
        <f t="shared" si="3"/>
        <v>0</v>
      </c>
      <c r="Y17" s="492">
        <f t="shared" si="4"/>
        <v>0</v>
      </c>
      <c r="Z17" s="492">
        <f t="shared" si="5"/>
        <v>0</v>
      </c>
      <c r="AA17" s="492">
        <f t="shared" si="6"/>
        <v>0</v>
      </c>
      <c r="AB17" s="492">
        <f t="shared" si="7"/>
        <v>0</v>
      </c>
      <c r="AC17" s="492">
        <f t="shared" si="8"/>
        <v>0</v>
      </c>
      <c r="AD17" s="492">
        <f t="shared" si="9"/>
        <v>0</v>
      </c>
      <c r="AE17" s="493">
        <v>0</v>
      </c>
      <c r="AF17" s="502">
        <v>11.233062707157107</v>
      </c>
      <c r="AG17" s="502">
        <v>14.418552565706195</v>
      </c>
      <c r="AH17" s="502">
        <v>16.02084808726865</v>
      </c>
      <c r="AI17" s="502">
        <v>16.02084808726865</v>
      </c>
      <c r="AJ17" s="502">
        <v>16.02084808726865</v>
      </c>
      <c r="AK17" s="502">
        <v>16.02084808726865</v>
      </c>
      <c r="AL17" s="502">
        <v>16.02084808726865</v>
      </c>
      <c r="AM17" s="502">
        <v>16.02084808726865</v>
      </c>
      <c r="AN17" s="502">
        <v>16.02084808726865</v>
      </c>
      <c r="AO17" s="502">
        <v>16.02084808726865</v>
      </c>
      <c r="AP17" s="486">
        <v>2.7275535286474901</v>
      </c>
      <c r="AQ17" s="486">
        <v>3.5010375134400316</v>
      </c>
      <c r="AR17" s="486">
        <v>3.8900985306984124</v>
      </c>
      <c r="AS17" s="486">
        <v>3.8900985306984133</v>
      </c>
      <c r="AT17" s="486">
        <v>3.8900985306984115</v>
      </c>
      <c r="AU17" s="486">
        <v>3.8900985306984133</v>
      </c>
      <c r="AV17" s="486">
        <v>3.8900985306984097</v>
      </c>
      <c r="AW17" s="486">
        <v>3.8900985306984133</v>
      </c>
      <c r="AX17" s="486">
        <v>3.8900985306984097</v>
      </c>
      <c r="AY17" s="486">
        <v>3.8900985306984168</v>
      </c>
    </row>
    <row r="18" spans="2:82" x14ac:dyDescent="0.3">
      <c r="C18" t="s">
        <v>689</v>
      </c>
      <c r="D18" s="475" t="s">
        <v>2407</v>
      </c>
      <c r="E18" s="475"/>
      <c r="F18" s="14">
        <v>2021</v>
      </c>
      <c r="G18" s="14">
        <v>2030</v>
      </c>
      <c r="H18" s="482">
        <f t="shared" si="0"/>
        <v>67.86689413018199</v>
      </c>
      <c r="I18" s="14">
        <v>0.92300000000000004</v>
      </c>
      <c r="J18" s="478">
        <f t="shared" si="10"/>
        <v>9.23</v>
      </c>
      <c r="K18" s="229">
        <v>0.47</v>
      </c>
      <c r="L18" s="229">
        <v>17.7</v>
      </c>
      <c r="M18" s="229">
        <v>9.2299999999999993E-2</v>
      </c>
      <c r="N18" s="229"/>
      <c r="O18" s="229"/>
      <c r="P18" s="229"/>
      <c r="Q18" s="229"/>
      <c r="R18" s="229"/>
      <c r="S18" s="229"/>
      <c r="T18" s="229"/>
      <c r="U18" s="493">
        <f t="shared" si="11"/>
        <v>0</v>
      </c>
      <c r="V18" s="492">
        <f t="shared" si="1"/>
        <v>0</v>
      </c>
      <c r="W18" s="492">
        <f t="shared" si="2"/>
        <v>0</v>
      </c>
      <c r="X18" s="492">
        <f t="shared" si="3"/>
        <v>0</v>
      </c>
      <c r="Y18" s="492">
        <f t="shared" si="4"/>
        <v>0</v>
      </c>
      <c r="Z18" s="492">
        <f t="shared" si="5"/>
        <v>0</v>
      </c>
      <c r="AA18" s="492">
        <f t="shared" si="6"/>
        <v>0</v>
      </c>
      <c r="AB18" s="492">
        <f t="shared" si="7"/>
        <v>0</v>
      </c>
      <c r="AC18" s="492">
        <f t="shared" si="8"/>
        <v>0</v>
      </c>
      <c r="AD18" s="492">
        <f t="shared" si="9"/>
        <v>0</v>
      </c>
      <c r="AE18" s="493">
        <v>84.232142857142847</v>
      </c>
      <c r="AF18" s="502">
        <v>67.86689413018199</v>
      </c>
      <c r="AG18" s="502">
        <v>67.86689413018199</v>
      </c>
      <c r="AH18" s="502">
        <v>67.86689413018199</v>
      </c>
      <c r="AI18" s="502">
        <v>67.86689413018199</v>
      </c>
      <c r="AJ18" s="502">
        <v>67.86689413018199</v>
      </c>
      <c r="AK18" s="502">
        <v>67.86689413018199</v>
      </c>
      <c r="AL18" s="502">
        <v>67.86689413018199</v>
      </c>
      <c r="AM18" s="502">
        <v>67.86689413018199</v>
      </c>
      <c r="AN18" s="502">
        <v>67.86689413018199</v>
      </c>
      <c r="AO18" s="502">
        <v>67.86689413018199</v>
      </c>
      <c r="AP18" s="486">
        <v>0.47447103024292969</v>
      </c>
      <c r="AQ18" s="486">
        <v>0.47447103024292969</v>
      </c>
      <c r="AR18" s="486">
        <v>0.47447103024292958</v>
      </c>
      <c r="AS18" s="486">
        <v>0.4744710302429298</v>
      </c>
      <c r="AT18" s="486">
        <v>0.47447103024292936</v>
      </c>
      <c r="AU18" s="486">
        <v>0.4744710302429298</v>
      </c>
      <c r="AV18" s="486">
        <v>0.4744710302429298</v>
      </c>
      <c r="AW18" s="486">
        <v>0.4744710302429298</v>
      </c>
      <c r="AX18" s="486">
        <v>0.47447103024293025</v>
      </c>
      <c r="AY18" s="486">
        <v>0.47447103024292847</v>
      </c>
    </row>
    <row r="19" spans="2:82" x14ac:dyDescent="0.3">
      <c r="C19" t="s">
        <v>661</v>
      </c>
      <c r="D19" s="475" t="s">
        <v>2408</v>
      </c>
      <c r="E19" s="475"/>
      <c r="F19" s="14">
        <v>2021</v>
      </c>
      <c r="G19" s="14">
        <v>2030</v>
      </c>
      <c r="H19" s="482">
        <f t="shared" si="0"/>
        <v>16.412095818532794</v>
      </c>
      <c r="I19" s="14">
        <f>J19/10</f>
        <v>0.22000000000000003</v>
      </c>
      <c r="J19" s="966">
        <v>2.2000000000000002</v>
      </c>
      <c r="K19" s="229">
        <v>3.99</v>
      </c>
      <c r="L19" s="229">
        <f>19.5-0.755</f>
        <v>18.745000000000001</v>
      </c>
      <c r="M19" s="229">
        <v>0.1</v>
      </c>
      <c r="N19" s="229"/>
      <c r="O19" s="229"/>
      <c r="P19" s="229"/>
      <c r="Q19" s="229"/>
      <c r="R19" s="229"/>
      <c r="S19" s="229"/>
      <c r="T19" s="229"/>
      <c r="U19" s="493">
        <f t="shared" si="11"/>
        <v>0</v>
      </c>
      <c r="V19" s="492">
        <f t="shared" si="1"/>
        <v>0</v>
      </c>
      <c r="W19" s="492">
        <f t="shared" si="2"/>
        <v>0</v>
      </c>
      <c r="X19" s="492">
        <f t="shared" si="3"/>
        <v>0</v>
      </c>
      <c r="Y19" s="492">
        <f t="shared" si="4"/>
        <v>0</v>
      </c>
      <c r="Z19" s="492">
        <f t="shared" si="5"/>
        <v>0</v>
      </c>
      <c r="AA19" s="492">
        <f t="shared" si="6"/>
        <v>0</v>
      </c>
      <c r="AB19" s="492">
        <f t="shared" si="7"/>
        <v>0</v>
      </c>
      <c r="AC19" s="492">
        <f t="shared" si="8"/>
        <v>0</v>
      </c>
      <c r="AD19" s="492">
        <f t="shared" si="9"/>
        <v>0</v>
      </c>
      <c r="AE19" s="493">
        <v>44.210435779972855</v>
      </c>
      <c r="AF19" s="502">
        <v>16.412095818532791</v>
      </c>
      <c r="AG19" s="502">
        <v>16.412095818532791</v>
      </c>
      <c r="AH19" s="502">
        <v>16.412095818532791</v>
      </c>
      <c r="AI19" s="502">
        <v>16.412095818532791</v>
      </c>
      <c r="AJ19" s="502">
        <v>16.412095818532791</v>
      </c>
      <c r="AK19" s="502">
        <v>16.412095818532791</v>
      </c>
      <c r="AL19" s="502">
        <v>16.412095818532791</v>
      </c>
      <c r="AM19" s="502">
        <v>16.412095818532791</v>
      </c>
      <c r="AN19" s="502">
        <v>16.412095818532791</v>
      </c>
      <c r="AO19" s="502">
        <v>16.412095818532791</v>
      </c>
      <c r="AP19" s="486">
        <v>3.9850992582653362</v>
      </c>
      <c r="AQ19" s="486">
        <v>3.9850992582653362</v>
      </c>
      <c r="AR19" s="486">
        <v>3.9850992582653362</v>
      </c>
      <c r="AS19" s="486">
        <v>3.9850992582653362</v>
      </c>
      <c r="AT19" s="486">
        <v>3.9850992582653362</v>
      </c>
      <c r="AU19" s="486">
        <v>3.9850992582653362</v>
      </c>
      <c r="AV19" s="486">
        <v>3.9850992582653362</v>
      </c>
      <c r="AW19" s="486">
        <v>3.9850992582653362</v>
      </c>
      <c r="AX19" s="486">
        <v>3.9850992582653362</v>
      </c>
      <c r="AY19" s="486">
        <v>3.9850992582653362</v>
      </c>
    </row>
    <row r="20" spans="2:82" x14ac:dyDescent="0.3">
      <c r="C20" t="s">
        <v>815</v>
      </c>
      <c r="D20" s="475" t="s">
        <v>2409</v>
      </c>
      <c r="E20" s="475"/>
      <c r="F20" s="14">
        <v>2021</v>
      </c>
      <c r="G20" s="14">
        <v>2030</v>
      </c>
      <c r="H20" s="482">
        <f t="shared" si="0"/>
        <v>16.477228050090694</v>
      </c>
      <c r="I20" s="14">
        <v>27.6</v>
      </c>
      <c r="J20" s="478">
        <f t="shared" si="10"/>
        <v>276</v>
      </c>
      <c r="K20" s="229">
        <f>38580/8000</f>
        <v>4.8224999999999998</v>
      </c>
      <c r="L20" s="229">
        <f>61.9-1.2</f>
        <v>60.699999999999996</v>
      </c>
      <c r="M20" s="229">
        <v>0.32179999999999997</v>
      </c>
      <c r="N20" s="229">
        <v>2.2000000000000002</v>
      </c>
      <c r="O20" s="229"/>
      <c r="P20" s="229"/>
      <c r="Q20" s="229"/>
      <c r="R20" s="229"/>
      <c r="S20" s="229"/>
      <c r="T20" s="229"/>
      <c r="U20" s="493">
        <f t="shared" si="11"/>
        <v>0</v>
      </c>
      <c r="V20" s="492">
        <f t="shared" si="1"/>
        <v>0</v>
      </c>
      <c r="W20" s="492">
        <f t="shared" si="2"/>
        <v>20.59653506261337</v>
      </c>
      <c r="X20" s="492">
        <f t="shared" si="3"/>
        <v>0</v>
      </c>
      <c r="Y20" s="492">
        <f t="shared" si="4"/>
        <v>0</v>
      </c>
      <c r="Z20" s="492">
        <f t="shared" si="5"/>
        <v>0</v>
      </c>
      <c r="AA20" s="492">
        <f t="shared" si="6"/>
        <v>0</v>
      </c>
      <c r="AB20" s="492">
        <f t="shared" si="7"/>
        <v>0</v>
      </c>
      <c r="AC20" s="492">
        <f t="shared" si="8"/>
        <v>0</v>
      </c>
      <c r="AD20" s="492">
        <f t="shared" si="9"/>
        <v>0</v>
      </c>
      <c r="AE20" s="493">
        <v>0</v>
      </c>
      <c r="AF20" s="502">
        <v>0</v>
      </c>
      <c r="AG20" s="502">
        <v>0</v>
      </c>
      <c r="AH20" s="502">
        <v>20.59653506261337</v>
      </c>
      <c r="AI20" s="502">
        <v>20.59653506261337</v>
      </c>
      <c r="AJ20" s="502">
        <v>20.59653506261337</v>
      </c>
      <c r="AK20" s="502">
        <v>20.59653506261337</v>
      </c>
      <c r="AL20" s="502">
        <v>20.59653506261337</v>
      </c>
      <c r="AM20" s="502">
        <v>20.59653506261337</v>
      </c>
      <c r="AN20" s="502">
        <v>20.59653506261337</v>
      </c>
      <c r="AO20" s="502">
        <v>20.59653506261337</v>
      </c>
      <c r="AP20" s="486">
        <v>0</v>
      </c>
      <c r="AQ20" s="486">
        <v>0</v>
      </c>
      <c r="AR20" s="486">
        <v>4.8224431279011117</v>
      </c>
      <c r="AS20" s="486">
        <v>4.8224431279011117</v>
      </c>
      <c r="AT20" s="486">
        <v>4.8224431279011117</v>
      </c>
      <c r="AU20" s="486">
        <v>4.8224431279011117</v>
      </c>
      <c r="AV20" s="486">
        <v>4.8224431279011117</v>
      </c>
      <c r="AW20" s="486">
        <v>4.8224431279011117</v>
      </c>
      <c r="AX20" s="486">
        <v>4.8224431279011117</v>
      </c>
      <c r="AY20" s="486">
        <v>4.8224431279011117</v>
      </c>
    </row>
    <row r="21" spans="2:82" x14ac:dyDescent="0.3">
      <c r="C21" t="s">
        <v>813</v>
      </c>
      <c r="D21" s="475" t="s">
        <v>2410</v>
      </c>
      <c r="E21" s="475"/>
      <c r="F21" s="14">
        <v>2023</v>
      </c>
      <c r="G21" s="14">
        <v>2030</v>
      </c>
      <c r="H21" s="482">
        <f t="shared" si="0"/>
        <v>17.36214163539282</v>
      </c>
      <c r="I21" s="14">
        <v>14.2</v>
      </c>
      <c r="J21" s="478">
        <f t="shared" si="10"/>
        <v>142</v>
      </c>
      <c r="K21" s="229">
        <f>40650/8000</f>
        <v>5.0812499999999998</v>
      </c>
      <c r="L21" s="229">
        <f>61.8-7.8-5</f>
        <v>49</v>
      </c>
      <c r="M21" s="229">
        <v>0.32129999999999997</v>
      </c>
      <c r="N21" s="229">
        <v>2.2000000000000002</v>
      </c>
      <c r="O21" s="229"/>
      <c r="P21" s="229"/>
      <c r="Q21" s="229"/>
      <c r="R21" s="229"/>
      <c r="S21" s="229"/>
      <c r="T21" s="229"/>
      <c r="U21" s="493">
        <f t="shared" si="11"/>
        <v>0</v>
      </c>
      <c r="V21" s="492">
        <f t="shared" si="1"/>
        <v>0</v>
      </c>
      <c r="W21" s="492">
        <f t="shared" si="2"/>
        <v>21.702677044241021</v>
      </c>
      <c r="X21" s="492">
        <f t="shared" si="3"/>
        <v>0</v>
      </c>
      <c r="Y21" s="492">
        <f t="shared" si="4"/>
        <v>0</v>
      </c>
      <c r="Z21" s="492">
        <f t="shared" si="5"/>
        <v>0</v>
      </c>
      <c r="AA21" s="492">
        <f t="shared" si="6"/>
        <v>0</v>
      </c>
      <c r="AB21" s="492">
        <f t="shared" si="7"/>
        <v>0</v>
      </c>
      <c r="AC21" s="492">
        <f t="shared" si="8"/>
        <v>0</v>
      </c>
      <c r="AD21" s="492">
        <f t="shared" si="9"/>
        <v>0</v>
      </c>
      <c r="AE21" s="493">
        <v>0</v>
      </c>
      <c r="AF21" s="502">
        <v>0</v>
      </c>
      <c r="AG21" s="502">
        <v>0</v>
      </c>
      <c r="AH21" s="502">
        <v>21.702677044241021</v>
      </c>
      <c r="AI21" s="502">
        <v>21.702677044241021</v>
      </c>
      <c r="AJ21" s="502">
        <v>21.702677044241021</v>
      </c>
      <c r="AK21" s="502">
        <v>21.702677044241021</v>
      </c>
      <c r="AL21" s="502">
        <v>21.702677044241021</v>
      </c>
      <c r="AM21" s="502">
        <v>21.702677044241021</v>
      </c>
      <c r="AN21" s="502">
        <v>21.702677044241021</v>
      </c>
      <c r="AO21" s="502">
        <v>21.702677044241021</v>
      </c>
      <c r="AP21" s="486">
        <v>0</v>
      </c>
      <c r="AQ21" s="486">
        <v>0</v>
      </c>
      <c r="AR21" s="486">
        <v>5.0814336222520744</v>
      </c>
      <c r="AS21" s="486">
        <v>5.0814336222520744</v>
      </c>
      <c r="AT21" s="486">
        <v>5.0814336222520744</v>
      </c>
      <c r="AU21" s="486">
        <v>5.0814336222520744</v>
      </c>
      <c r="AV21" s="486">
        <v>5.0814336222520744</v>
      </c>
      <c r="AW21" s="486">
        <v>5.0814336222520744</v>
      </c>
      <c r="AX21" s="486">
        <v>5.0814336222520744</v>
      </c>
      <c r="AY21" s="486">
        <v>5.0814336222520744</v>
      </c>
    </row>
    <row r="23" spans="2:82" x14ac:dyDescent="0.3">
      <c r="C23" s="503" t="s">
        <v>821</v>
      </c>
      <c r="D23" s="474" t="s">
        <v>2411</v>
      </c>
      <c r="E23" s="474"/>
      <c r="F23" s="485" t="s">
        <v>2390</v>
      </c>
      <c r="K23" s="485" t="s">
        <v>2390</v>
      </c>
      <c r="U23">
        <f>(0.01163*1000)</f>
        <v>11.629999999999999</v>
      </c>
      <c r="V23" t="s">
        <v>2412</v>
      </c>
      <c r="AZ23">
        <v>1000</v>
      </c>
    </row>
    <row r="24" spans="2:82" ht="24" customHeight="1" x14ac:dyDescent="0.3">
      <c r="D24" s="9"/>
      <c r="E24" s="9"/>
      <c r="F24" s="9" t="s">
        <v>2392</v>
      </c>
      <c r="G24" s="9" t="s">
        <v>2393</v>
      </c>
      <c r="H24" s="481" t="s">
        <v>484</v>
      </c>
      <c r="I24" s="2048" t="s">
        <v>2394</v>
      </c>
      <c r="J24" s="2048"/>
      <c r="K24" s="2048" t="s">
        <v>2413</v>
      </c>
      <c r="L24" s="2048"/>
      <c r="M24" s="2048"/>
      <c r="N24" s="2048"/>
      <c r="O24" s="2048"/>
      <c r="P24" s="2048"/>
      <c r="Q24" s="2048"/>
      <c r="R24" s="2048"/>
      <c r="S24" s="2048"/>
      <c r="T24" s="2048"/>
      <c r="U24" s="2048" t="s">
        <v>2398</v>
      </c>
      <c r="V24" s="2048"/>
      <c r="W24" s="2048"/>
      <c r="X24" s="2048"/>
      <c r="Y24" s="2048"/>
      <c r="Z24" s="2048"/>
      <c r="AA24" s="2048"/>
      <c r="AB24" s="2048"/>
      <c r="AC24" s="2048"/>
      <c r="AD24" s="2048"/>
      <c r="AE24" s="2048" t="s">
        <v>2399</v>
      </c>
      <c r="AF24" s="2048"/>
      <c r="AG24" s="2048"/>
      <c r="AH24" s="2048"/>
      <c r="AI24" s="2048"/>
      <c r="AJ24" s="2048"/>
      <c r="AK24" s="2048"/>
      <c r="AL24" s="2048"/>
      <c r="AM24" s="2048"/>
      <c r="AN24" s="2048"/>
      <c r="AO24" s="2048" t="s">
        <v>2414</v>
      </c>
      <c r="AP24" s="2048"/>
      <c r="AQ24" s="2048"/>
      <c r="AR24" s="2048"/>
      <c r="AS24" s="2048"/>
      <c r="AT24" s="2048"/>
      <c r="AU24" s="2048"/>
      <c r="AV24" s="2048"/>
      <c r="AW24" s="2048"/>
      <c r="AX24" s="2048"/>
      <c r="AY24" s="481" t="s">
        <v>2415</v>
      </c>
      <c r="AZ24" s="2048" t="s">
        <v>286</v>
      </c>
      <c r="BA24" s="2048"/>
      <c r="BB24" s="2048"/>
      <c r="BC24" s="2048"/>
      <c r="BD24" s="2048"/>
      <c r="BE24" s="2048"/>
      <c r="BF24" s="2048"/>
      <c r="BG24" s="2048"/>
      <c r="BH24" s="2048"/>
      <c r="BI24" s="2048"/>
      <c r="BJ24" s="9" t="s">
        <v>2416</v>
      </c>
      <c r="BK24" s="2048" t="s">
        <v>2417</v>
      </c>
      <c r="BL24" s="2048"/>
      <c r="BM24" s="2048"/>
      <c r="BN24" s="2048"/>
      <c r="BO24" s="2048"/>
      <c r="BP24" s="2048"/>
      <c r="BQ24" s="2048"/>
      <c r="BR24" s="2048"/>
      <c r="BS24" s="2048"/>
      <c r="BT24" s="2048"/>
      <c r="BU24" s="2048" t="s">
        <v>489</v>
      </c>
      <c r="BV24" s="2048"/>
      <c r="BW24" s="2048"/>
      <c r="BX24" s="2048"/>
      <c r="BY24" s="2048"/>
      <c r="BZ24" s="2048"/>
      <c r="CA24" s="2048"/>
      <c r="CB24" s="2048"/>
      <c r="CC24" s="2048"/>
      <c r="CD24" s="2048"/>
    </row>
    <row r="25" spans="2:82" x14ac:dyDescent="0.3">
      <c r="D25" s="9"/>
      <c r="E25" s="9"/>
      <c r="F25" s="9"/>
      <c r="G25" s="9"/>
      <c r="H25" s="9" t="s">
        <v>2400</v>
      </c>
      <c r="I25" s="9" t="s">
        <v>2400</v>
      </c>
      <c r="J25" s="9" t="s">
        <v>452</v>
      </c>
      <c r="K25" s="481"/>
      <c r="L25" s="481"/>
      <c r="M25" s="481"/>
      <c r="N25" s="481"/>
      <c r="O25" s="481"/>
      <c r="P25" s="481"/>
      <c r="Q25" s="481"/>
      <c r="R25" s="481"/>
      <c r="S25" s="481"/>
      <c r="T25" s="481"/>
      <c r="U25" s="481"/>
      <c r="V25" s="481"/>
      <c r="W25" s="481"/>
      <c r="X25" s="481"/>
      <c r="Y25" s="481"/>
      <c r="Z25" s="481"/>
      <c r="AA25" s="481"/>
      <c r="AB25" s="481"/>
      <c r="AC25" s="481"/>
      <c r="AD25" s="481"/>
      <c r="AE25" s="481"/>
      <c r="AF25" s="481"/>
      <c r="AG25" s="481"/>
      <c r="AH25" s="481"/>
      <c r="AI25" s="481"/>
      <c r="AJ25" s="481"/>
      <c r="AK25" s="481"/>
      <c r="AL25" s="481"/>
      <c r="AM25" s="481"/>
      <c r="AN25" s="481"/>
      <c r="AO25" s="9" t="s">
        <v>98</v>
      </c>
      <c r="AP25" s="9" t="s">
        <v>98</v>
      </c>
      <c r="AQ25" s="9" t="s">
        <v>98</v>
      </c>
      <c r="AR25" s="9" t="s">
        <v>98</v>
      </c>
      <c r="AS25" s="9" t="s">
        <v>98</v>
      </c>
      <c r="AT25" s="9" t="s">
        <v>98</v>
      </c>
      <c r="AU25" s="9" t="s">
        <v>98</v>
      </c>
      <c r="AV25" s="9" t="s">
        <v>98</v>
      </c>
      <c r="AW25" s="9" t="s">
        <v>98</v>
      </c>
      <c r="AX25" s="9" t="s">
        <v>98</v>
      </c>
      <c r="AY25" s="9"/>
      <c r="AZ25" s="9" t="s">
        <v>98</v>
      </c>
      <c r="BA25" s="9" t="s">
        <v>98</v>
      </c>
      <c r="BB25" s="9" t="s">
        <v>98</v>
      </c>
      <c r="BC25" s="9" t="s">
        <v>98</v>
      </c>
      <c r="BD25" s="9" t="s">
        <v>98</v>
      </c>
      <c r="BE25" s="9" t="s">
        <v>98</v>
      </c>
      <c r="BF25" s="9" t="s">
        <v>98</v>
      </c>
      <c r="BG25" s="9" t="s">
        <v>98</v>
      </c>
      <c r="BH25" s="9" t="s">
        <v>98</v>
      </c>
      <c r="BI25" s="9" t="s">
        <v>98</v>
      </c>
      <c r="BJ25" s="9"/>
      <c r="BK25" s="9" t="s">
        <v>98</v>
      </c>
      <c r="BL25" s="9" t="s">
        <v>98</v>
      </c>
      <c r="BM25" s="9" t="s">
        <v>98</v>
      </c>
      <c r="BN25" s="9" t="s">
        <v>98</v>
      </c>
      <c r="BO25" s="9" t="s">
        <v>98</v>
      </c>
      <c r="BP25" s="9" t="s">
        <v>98</v>
      </c>
      <c r="BQ25" s="9" t="s">
        <v>98</v>
      </c>
      <c r="BR25" s="9" t="s">
        <v>98</v>
      </c>
      <c r="BS25" s="9" t="s">
        <v>98</v>
      </c>
      <c r="BT25" s="9" t="s">
        <v>98</v>
      </c>
      <c r="BU25" s="9" t="s">
        <v>2401</v>
      </c>
      <c r="BV25" s="9" t="s">
        <v>2401</v>
      </c>
      <c r="BW25" s="9" t="s">
        <v>2401</v>
      </c>
      <c r="BX25" s="9" t="s">
        <v>2401</v>
      </c>
      <c r="BY25" s="9" t="s">
        <v>2401</v>
      </c>
      <c r="BZ25" s="9" t="s">
        <v>2401</v>
      </c>
      <c r="CA25" s="9" t="s">
        <v>2401</v>
      </c>
      <c r="CB25" s="9" t="s">
        <v>2401</v>
      </c>
      <c r="CC25" s="9" t="s">
        <v>2401</v>
      </c>
      <c r="CD25" s="9" t="s">
        <v>2401</v>
      </c>
    </row>
    <row r="26" spans="2:82" x14ac:dyDescent="0.3">
      <c r="D26" s="9"/>
      <c r="E26" s="9"/>
      <c r="F26" s="9"/>
      <c r="G26" s="9"/>
      <c r="H26" s="9" t="s">
        <v>77</v>
      </c>
      <c r="I26" s="9" t="s">
        <v>98</v>
      </c>
      <c r="J26" s="9" t="s">
        <v>98</v>
      </c>
      <c r="K26" s="9">
        <v>2021</v>
      </c>
      <c r="L26" s="9">
        <v>2022</v>
      </c>
      <c r="M26" s="9">
        <v>2023</v>
      </c>
      <c r="N26" s="9">
        <v>2024</v>
      </c>
      <c r="O26" s="9">
        <v>2025</v>
      </c>
      <c r="P26" s="9">
        <v>2026</v>
      </c>
      <c r="Q26" s="9">
        <v>2027</v>
      </c>
      <c r="R26" s="9">
        <v>2028</v>
      </c>
      <c r="S26" s="9">
        <v>2029</v>
      </c>
      <c r="T26" s="9">
        <v>2030</v>
      </c>
      <c r="U26" s="9">
        <v>2021</v>
      </c>
      <c r="V26" s="9">
        <v>2022</v>
      </c>
      <c r="W26" s="9">
        <v>2023</v>
      </c>
      <c r="X26" s="9">
        <v>2024</v>
      </c>
      <c r="Y26" s="9">
        <v>2025</v>
      </c>
      <c r="Z26" s="9">
        <v>2026</v>
      </c>
      <c r="AA26" s="9">
        <v>2027</v>
      </c>
      <c r="AB26" s="9">
        <v>2028</v>
      </c>
      <c r="AC26" s="9">
        <v>2029</v>
      </c>
      <c r="AD26" s="9">
        <v>2030</v>
      </c>
      <c r="AE26" s="9">
        <v>2021</v>
      </c>
      <c r="AF26" s="9">
        <v>2022</v>
      </c>
      <c r="AG26" s="9">
        <v>2023</v>
      </c>
      <c r="AH26" s="9">
        <v>2024</v>
      </c>
      <c r="AI26" s="9">
        <v>2025</v>
      </c>
      <c r="AJ26" s="9">
        <v>2026</v>
      </c>
      <c r="AK26" s="9">
        <v>2027</v>
      </c>
      <c r="AL26" s="9">
        <v>2028</v>
      </c>
      <c r="AM26" s="9">
        <v>2029</v>
      </c>
      <c r="AN26" s="9">
        <v>2030</v>
      </c>
      <c r="AO26" s="9">
        <v>2021</v>
      </c>
      <c r="AP26" s="9">
        <v>2022</v>
      </c>
      <c r="AQ26" s="9">
        <v>2023</v>
      </c>
      <c r="AR26" s="9">
        <v>2024</v>
      </c>
      <c r="AS26" s="9">
        <v>2025</v>
      </c>
      <c r="AT26" s="9">
        <v>2026</v>
      </c>
      <c r="AU26" s="9">
        <v>2027</v>
      </c>
      <c r="AV26" s="9">
        <v>2028</v>
      </c>
      <c r="AW26" s="9">
        <v>2029</v>
      </c>
      <c r="AX26" s="9">
        <v>2030</v>
      </c>
      <c r="AY26" s="9"/>
      <c r="AZ26" s="9">
        <v>2021</v>
      </c>
      <c r="BA26" s="9">
        <v>2022</v>
      </c>
      <c r="BB26" s="9">
        <v>2023</v>
      </c>
      <c r="BC26" s="9">
        <v>2024</v>
      </c>
      <c r="BD26" s="9">
        <v>2025</v>
      </c>
      <c r="BE26" s="9">
        <v>2026</v>
      </c>
      <c r="BF26" s="9">
        <v>2027</v>
      </c>
      <c r="BG26" s="9">
        <v>2028</v>
      </c>
      <c r="BH26" s="9">
        <v>2029</v>
      </c>
      <c r="BI26" s="9">
        <v>2030</v>
      </c>
      <c r="BJ26" s="9"/>
      <c r="BK26" s="9">
        <v>2021</v>
      </c>
      <c r="BL26" s="9">
        <v>2022</v>
      </c>
      <c r="BM26" s="9">
        <v>2023</v>
      </c>
      <c r="BN26" s="9">
        <v>2024</v>
      </c>
      <c r="BO26" s="9">
        <v>2025</v>
      </c>
      <c r="BP26" s="9">
        <v>2026</v>
      </c>
      <c r="BQ26" s="9">
        <v>2027</v>
      </c>
      <c r="BR26" s="9">
        <v>2028</v>
      </c>
      <c r="BS26" s="9">
        <v>2029</v>
      </c>
      <c r="BT26" s="9">
        <v>2030</v>
      </c>
      <c r="BU26" s="9">
        <v>2021</v>
      </c>
      <c r="BV26" s="9">
        <v>2022</v>
      </c>
      <c r="BW26" s="9">
        <v>2023</v>
      </c>
      <c r="BX26" s="9">
        <v>2024</v>
      </c>
      <c r="BY26" s="9">
        <v>2025</v>
      </c>
      <c r="BZ26" s="9">
        <v>2026</v>
      </c>
      <c r="CA26" s="9">
        <v>2027</v>
      </c>
      <c r="CB26" s="9">
        <v>2028</v>
      </c>
      <c r="CC26" s="9">
        <v>2029</v>
      </c>
      <c r="CD26" s="9">
        <v>2030</v>
      </c>
    </row>
    <row r="27" spans="2:82" x14ac:dyDescent="0.3">
      <c r="B27">
        <v>1</v>
      </c>
      <c r="C27" t="s">
        <v>2418</v>
      </c>
      <c r="D27" s="475" t="s">
        <v>2419</v>
      </c>
      <c r="E27" s="475" t="s">
        <v>2420</v>
      </c>
      <c r="F27" s="14">
        <v>2021</v>
      </c>
      <c r="G27" s="14">
        <v>2030</v>
      </c>
      <c r="H27" s="492">
        <f t="shared" ref="H27:H42" si="12">AVERAGE(AE27:AN27)</f>
        <v>67.380999999999986</v>
      </c>
      <c r="I27" s="487">
        <f t="shared" ref="I27:I42" si="13">J27/10</f>
        <v>15.720992408467046</v>
      </c>
      <c r="J27" s="488">
        <v>157.20992408467046</v>
      </c>
      <c r="K27" s="486">
        <v>0.7615649183147033</v>
      </c>
      <c r="L27" s="486">
        <v>0.7615649183147033</v>
      </c>
      <c r="M27" s="486">
        <v>0.7615649183147033</v>
      </c>
      <c r="N27" s="486">
        <v>0.7615649183147033</v>
      </c>
      <c r="O27" s="486">
        <v>0.7615649183147033</v>
      </c>
      <c r="P27" s="486">
        <v>1.8316423043852099</v>
      </c>
      <c r="Q27" s="486">
        <v>1.8316423043852099</v>
      </c>
      <c r="R27" s="486">
        <v>1.8316423043852099</v>
      </c>
      <c r="S27" s="486">
        <v>1.8316423043852099</v>
      </c>
      <c r="T27" s="486">
        <v>1.8316423043852099</v>
      </c>
      <c r="U27" s="492">
        <f t="shared" ref="U27:U42" si="14">$U$23*K27</f>
        <v>8.8569999999999993</v>
      </c>
      <c r="V27" s="492">
        <f t="shared" ref="V27:V42" si="15">$U$23*L27</f>
        <v>8.8569999999999993</v>
      </c>
      <c r="W27" s="492">
        <f t="shared" ref="W27:W42" si="16">$U$23*M27</f>
        <v>8.8569999999999993</v>
      </c>
      <c r="X27" s="492">
        <f t="shared" ref="X27:X42" si="17">$U$23*N27</f>
        <v>8.8569999999999993</v>
      </c>
      <c r="Y27" s="492">
        <f t="shared" ref="Y27:Y42" si="18">$U$23*O27</f>
        <v>8.8569999999999993</v>
      </c>
      <c r="Z27" s="492">
        <f t="shared" ref="Z27:Z42" si="19">$U$23*P27</f>
        <v>21.301999999999989</v>
      </c>
      <c r="AA27" s="492">
        <f t="shared" ref="AA27:AA42" si="20">$U$23*Q27</f>
        <v>21.301999999999989</v>
      </c>
      <c r="AB27" s="492">
        <f t="shared" ref="AB27:AB42" si="21">$U$23*R27</f>
        <v>21.301999999999989</v>
      </c>
      <c r="AC27" s="492">
        <f t="shared" ref="AC27:AC42" si="22">$U$23*S27</f>
        <v>21.301999999999989</v>
      </c>
      <c r="AD27" s="492">
        <f t="shared" ref="AD27:AD42" si="23">$U$23*T27</f>
        <v>21.301999999999989</v>
      </c>
      <c r="AE27" s="484">
        <f t="shared" ref="AE27:AE42" si="24">U27</f>
        <v>8.8569999999999993</v>
      </c>
      <c r="AF27" s="483">
        <f t="shared" ref="AF27:AF42" si="25">V27+AE27</f>
        <v>17.713999999999999</v>
      </c>
      <c r="AG27" s="483">
        <f t="shared" ref="AG27:AG42" si="26">W27+AF27</f>
        <v>26.570999999999998</v>
      </c>
      <c r="AH27" s="483">
        <f t="shared" ref="AH27:AH42" si="27">X27+AG27</f>
        <v>35.427999999999997</v>
      </c>
      <c r="AI27" s="483">
        <f t="shared" ref="AI27:AI42" si="28">Y27+AH27</f>
        <v>44.284999999999997</v>
      </c>
      <c r="AJ27" s="483">
        <f t="shared" ref="AJ27:AJ42" si="29">Z27+AI27</f>
        <v>65.586999999999989</v>
      </c>
      <c r="AK27" s="483">
        <f t="shared" ref="AK27:AK42" si="30">AA27+AJ27</f>
        <v>86.888999999999982</v>
      </c>
      <c r="AL27" s="483">
        <f t="shared" ref="AL27:AL42" si="31">AB27+AK27</f>
        <v>108.19099999999997</v>
      </c>
      <c r="AM27" s="483">
        <f t="shared" ref="AM27:AM42" si="32">AC27+AL27</f>
        <v>129.49299999999997</v>
      </c>
      <c r="AN27" s="483">
        <f t="shared" ref="AN27:AN42" si="33">AD27+AM27</f>
        <v>150.79499999999996</v>
      </c>
      <c r="AO27" s="491">
        <v>2.1456931150247298</v>
      </c>
      <c r="AP27" s="491">
        <v>4.2913862300494596</v>
      </c>
      <c r="AQ27" s="491">
        <v>6.4370793450741894</v>
      </c>
      <c r="AR27" s="491">
        <v>8.5827724600989193</v>
      </c>
      <c r="AS27" s="491">
        <v>10.728465575123648</v>
      </c>
      <c r="AT27" s="491">
        <v>12.874158690148377</v>
      </c>
      <c r="AU27" s="491">
        <v>18.091666540215119</v>
      </c>
      <c r="AV27" s="491">
        <v>23.309174390281864</v>
      </c>
      <c r="AW27" s="491">
        <v>28.526682240348606</v>
      </c>
      <c r="AX27" s="491">
        <v>33.744190090415351</v>
      </c>
      <c r="AY27" s="512">
        <v>0</v>
      </c>
      <c r="AZ27" s="491">
        <v>29.002067517639684</v>
      </c>
      <c r="BA27" s="491">
        <v>29.002067517639684</v>
      </c>
      <c r="BB27" s="491">
        <v>29.002067517639684</v>
      </c>
      <c r="BC27" s="491">
        <v>29.002067517639684</v>
      </c>
      <c r="BD27" s="491">
        <v>29.002067517639684</v>
      </c>
      <c r="BE27" s="491">
        <v>70.004135035279361</v>
      </c>
      <c r="BF27" s="491">
        <v>70.004135035279361</v>
      </c>
      <c r="BG27" s="491">
        <v>70.004135035279361</v>
      </c>
      <c r="BH27" s="491">
        <v>70.004135035279361</v>
      </c>
      <c r="BI27" s="491">
        <v>70.004135035279361</v>
      </c>
      <c r="BJ27" s="513">
        <v>0.3</v>
      </c>
      <c r="BK27" s="486">
        <v>0</v>
      </c>
      <c r="BL27" s="486">
        <v>0</v>
      </c>
      <c r="BM27" s="486">
        <v>0</v>
      </c>
      <c r="BN27" s="486">
        <v>0</v>
      </c>
      <c r="BO27" s="486">
        <v>0</v>
      </c>
      <c r="BP27" s="486">
        <v>0</v>
      </c>
      <c r="BQ27" s="486">
        <v>0</v>
      </c>
      <c r="BR27" s="486">
        <v>0</v>
      </c>
      <c r="BS27" s="486">
        <v>0</v>
      </c>
      <c r="BT27" s="486">
        <v>0</v>
      </c>
      <c r="BU27" s="491">
        <v>4.5229746666666655</v>
      </c>
      <c r="BV27" s="491">
        <v>6.7844619999999987</v>
      </c>
      <c r="BW27" s="491">
        <v>9.045949333333331</v>
      </c>
      <c r="BX27" s="491">
        <v>11.307436666666664</v>
      </c>
      <c r="BY27" s="491">
        <v>13.568923999999997</v>
      </c>
      <c r="BZ27" s="491">
        <v>19.00803466666666</v>
      </c>
      <c r="CA27" s="491">
        <v>24.447145333333324</v>
      </c>
      <c r="CB27" s="491">
        <v>29.886255999999989</v>
      </c>
      <c r="CC27" s="491">
        <v>35.325366666666653</v>
      </c>
      <c r="CD27" s="491">
        <v>40.764477333333318</v>
      </c>
    </row>
    <row r="28" spans="2:82" x14ac:dyDescent="0.3">
      <c r="B28">
        <v>2</v>
      </c>
      <c r="C28" t="s">
        <v>2421</v>
      </c>
      <c r="D28" s="475" t="s">
        <v>2422</v>
      </c>
      <c r="E28" s="475" t="s">
        <v>2423</v>
      </c>
      <c r="F28" s="14">
        <v>2021</v>
      </c>
      <c r="G28" s="14">
        <v>2030</v>
      </c>
      <c r="H28" s="492">
        <f t="shared" si="12"/>
        <v>164.25599999999997</v>
      </c>
      <c r="I28" s="487">
        <f t="shared" si="13"/>
        <v>71.231999999999999</v>
      </c>
      <c r="J28" s="488">
        <v>712.31999999999994</v>
      </c>
      <c r="K28" s="486">
        <v>2.3133276010318142</v>
      </c>
      <c r="L28" s="486">
        <v>2.3133276010318142</v>
      </c>
      <c r="M28" s="486">
        <v>2.3133276010318138</v>
      </c>
      <c r="N28" s="486">
        <v>2.3133276010318151</v>
      </c>
      <c r="O28" s="486">
        <v>2.3133276010318138</v>
      </c>
      <c r="P28" s="486">
        <v>3.2467755803955276</v>
      </c>
      <c r="Q28" s="486">
        <v>3.2467755803955276</v>
      </c>
      <c r="R28" s="486">
        <v>3.2467755803955303</v>
      </c>
      <c r="S28" s="486">
        <v>3.2467755803955276</v>
      </c>
      <c r="T28" s="486">
        <v>3.2467755803955276</v>
      </c>
      <c r="U28" s="492">
        <f t="shared" si="14"/>
        <v>26.903999999999996</v>
      </c>
      <c r="V28" s="492">
        <f t="shared" si="15"/>
        <v>26.903999999999996</v>
      </c>
      <c r="W28" s="492">
        <f t="shared" si="16"/>
        <v>26.903999999999993</v>
      </c>
      <c r="X28" s="492">
        <f t="shared" si="17"/>
        <v>26.904000000000007</v>
      </c>
      <c r="Y28" s="492">
        <f t="shared" si="18"/>
        <v>26.903999999999993</v>
      </c>
      <c r="Z28" s="492">
        <f t="shared" si="19"/>
        <v>37.759999999999984</v>
      </c>
      <c r="AA28" s="492">
        <f t="shared" si="20"/>
        <v>37.759999999999984</v>
      </c>
      <c r="AB28" s="492">
        <f t="shared" si="21"/>
        <v>37.760000000000012</v>
      </c>
      <c r="AC28" s="492">
        <f t="shared" si="22"/>
        <v>37.759999999999984</v>
      </c>
      <c r="AD28" s="492">
        <f t="shared" si="23"/>
        <v>37.759999999999984</v>
      </c>
      <c r="AE28" s="484">
        <f t="shared" si="24"/>
        <v>26.903999999999996</v>
      </c>
      <c r="AF28" s="483">
        <f t="shared" si="25"/>
        <v>53.807999999999993</v>
      </c>
      <c r="AG28" s="483">
        <f t="shared" si="26"/>
        <v>80.711999999999989</v>
      </c>
      <c r="AH28" s="483">
        <f t="shared" si="27"/>
        <v>107.616</v>
      </c>
      <c r="AI28" s="483">
        <f t="shared" si="28"/>
        <v>134.51999999999998</v>
      </c>
      <c r="AJ28" s="483">
        <f t="shared" si="29"/>
        <v>172.27999999999997</v>
      </c>
      <c r="AK28" s="483">
        <f t="shared" si="30"/>
        <v>210.03999999999996</v>
      </c>
      <c r="AL28" s="483">
        <f t="shared" si="31"/>
        <v>247.79999999999998</v>
      </c>
      <c r="AM28" s="483">
        <f t="shared" si="32"/>
        <v>285.55999999999995</v>
      </c>
      <c r="AN28" s="483">
        <f t="shared" si="33"/>
        <v>323.31999999999994</v>
      </c>
      <c r="AO28" s="491">
        <v>3.7725288044880902</v>
      </c>
      <c r="AP28" s="491">
        <v>7.5450576089761805</v>
      </c>
      <c r="AQ28" s="491">
        <v>11.317586413464271</v>
      </c>
      <c r="AR28" s="491">
        <v>15.090115217952361</v>
      </c>
      <c r="AS28" s="491">
        <v>18.862644022440449</v>
      </c>
      <c r="AT28" s="491">
        <v>22.635172826928542</v>
      </c>
      <c r="AU28" s="491">
        <v>27.929950096385511</v>
      </c>
      <c r="AV28" s="491">
        <v>33.224727365842483</v>
      </c>
      <c r="AW28" s="491">
        <v>38.519504635299455</v>
      </c>
      <c r="AX28" s="491">
        <v>43.814281904756427</v>
      </c>
      <c r="AY28" s="512">
        <v>0</v>
      </c>
      <c r="AZ28" s="491">
        <v>136.80000000000001</v>
      </c>
      <c r="BA28" s="491">
        <v>136.80000000000001</v>
      </c>
      <c r="BB28" s="491">
        <v>136.80000000000001</v>
      </c>
      <c r="BC28" s="491">
        <v>136.80000000000001</v>
      </c>
      <c r="BD28" s="491">
        <v>136.80000000000001</v>
      </c>
      <c r="BE28" s="491">
        <v>192</v>
      </c>
      <c r="BF28" s="491">
        <v>192</v>
      </c>
      <c r="BG28" s="491">
        <v>192</v>
      </c>
      <c r="BH28" s="491">
        <v>192</v>
      </c>
      <c r="BI28" s="491">
        <v>192</v>
      </c>
      <c r="BJ28" s="513">
        <v>0.4</v>
      </c>
      <c r="BK28" s="486">
        <v>0</v>
      </c>
      <c r="BL28" s="486">
        <v>0</v>
      </c>
      <c r="BM28" s="486">
        <v>0</v>
      </c>
      <c r="BN28" s="486">
        <v>0</v>
      </c>
      <c r="BO28" s="486">
        <v>0</v>
      </c>
      <c r="BP28" s="486">
        <v>0</v>
      </c>
      <c r="BQ28" s="486">
        <v>0</v>
      </c>
      <c r="BR28" s="486">
        <v>0</v>
      </c>
      <c r="BS28" s="486">
        <v>0</v>
      </c>
      <c r="BT28" s="486">
        <v>0</v>
      </c>
      <c r="BU28" s="491">
        <v>13.738975999999997</v>
      </c>
      <c r="BV28" s="491">
        <v>20.608463999999998</v>
      </c>
      <c r="BW28" s="491">
        <v>27.477951999999995</v>
      </c>
      <c r="BX28" s="491">
        <v>34.347439999999999</v>
      </c>
      <c r="BY28" s="491">
        <v>41.216927999999996</v>
      </c>
      <c r="BZ28" s="491">
        <v>50.858314666666658</v>
      </c>
      <c r="CA28" s="491">
        <v>60.49970133333332</v>
      </c>
      <c r="CB28" s="491">
        <v>70.141087999999996</v>
      </c>
      <c r="CC28" s="491">
        <v>79.782474666666658</v>
      </c>
      <c r="CD28" s="491">
        <v>89.423861333333321</v>
      </c>
    </row>
    <row r="29" spans="2:82" x14ac:dyDescent="0.3">
      <c r="B29">
        <v>3</v>
      </c>
      <c r="C29" t="s">
        <v>2424</v>
      </c>
      <c r="D29" s="475" t="s">
        <v>2425</v>
      </c>
      <c r="E29" s="475" t="s">
        <v>2426</v>
      </c>
      <c r="F29" s="14">
        <v>2021</v>
      </c>
      <c r="G29" s="14">
        <v>2030</v>
      </c>
      <c r="H29" s="492">
        <f t="shared" si="12"/>
        <v>34.799999999999997</v>
      </c>
      <c r="I29" s="487">
        <f t="shared" si="13"/>
        <v>26.400000000000006</v>
      </c>
      <c r="J29" s="488">
        <v>264.00000000000006</v>
      </c>
      <c r="K29" s="486">
        <v>0.51590713671539123</v>
      </c>
      <c r="L29" s="486">
        <v>0.51590713671539123</v>
      </c>
      <c r="M29" s="486">
        <v>0.51590713671539123</v>
      </c>
      <c r="N29" s="486">
        <v>0.51590713671539123</v>
      </c>
      <c r="O29" s="486">
        <v>0.51590713671539123</v>
      </c>
      <c r="P29" s="486">
        <v>0.61908856405846968</v>
      </c>
      <c r="Q29" s="486">
        <v>0.61908856405846902</v>
      </c>
      <c r="R29" s="486">
        <v>0.61908856405846968</v>
      </c>
      <c r="S29" s="486">
        <v>0.61908856405846902</v>
      </c>
      <c r="T29" s="486">
        <v>0.61908856405846968</v>
      </c>
      <c r="U29" s="492">
        <f t="shared" si="14"/>
        <v>5.9999999999999991</v>
      </c>
      <c r="V29" s="492">
        <f t="shared" si="15"/>
        <v>5.9999999999999991</v>
      </c>
      <c r="W29" s="492">
        <f t="shared" si="16"/>
        <v>5.9999999999999991</v>
      </c>
      <c r="X29" s="492">
        <f t="shared" si="17"/>
        <v>5.9999999999999991</v>
      </c>
      <c r="Y29" s="492">
        <f t="shared" si="18"/>
        <v>5.9999999999999991</v>
      </c>
      <c r="Z29" s="492">
        <f t="shared" si="19"/>
        <v>7.200000000000002</v>
      </c>
      <c r="AA29" s="492">
        <f t="shared" si="20"/>
        <v>7.199999999999994</v>
      </c>
      <c r="AB29" s="492">
        <f t="shared" si="21"/>
        <v>7.200000000000002</v>
      </c>
      <c r="AC29" s="492">
        <f t="shared" si="22"/>
        <v>7.199999999999994</v>
      </c>
      <c r="AD29" s="492">
        <f t="shared" si="23"/>
        <v>7.200000000000002</v>
      </c>
      <c r="AE29" s="484">
        <f t="shared" si="24"/>
        <v>5.9999999999999991</v>
      </c>
      <c r="AF29" s="483">
        <f t="shared" si="25"/>
        <v>11.999999999999998</v>
      </c>
      <c r="AG29" s="483">
        <f t="shared" si="26"/>
        <v>17.999999999999996</v>
      </c>
      <c r="AH29" s="483">
        <f t="shared" si="27"/>
        <v>23.999999999999996</v>
      </c>
      <c r="AI29" s="483">
        <f t="shared" si="28"/>
        <v>29.999999999999996</v>
      </c>
      <c r="AJ29" s="483">
        <f t="shared" si="29"/>
        <v>37.199999999999996</v>
      </c>
      <c r="AK29" s="483">
        <f t="shared" si="30"/>
        <v>44.399999999999991</v>
      </c>
      <c r="AL29" s="483">
        <f t="shared" si="31"/>
        <v>51.599999999999994</v>
      </c>
      <c r="AM29" s="483">
        <f t="shared" si="32"/>
        <v>58.79999999999999</v>
      </c>
      <c r="AN29" s="483">
        <f t="shared" si="33"/>
        <v>65.999999999999986</v>
      </c>
      <c r="AO29" s="491">
        <v>0.624</v>
      </c>
      <c r="AP29" s="491">
        <v>1.248</v>
      </c>
      <c r="AQ29" s="491">
        <v>1.8720000000000001</v>
      </c>
      <c r="AR29" s="491">
        <v>2.496</v>
      </c>
      <c r="AS29" s="491">
        <v>3.12</v>
      </c>
      <c r="AT29" s="491">
        <v>3.8688000000000002</v>
      </c>
      <c r="AU29" s="491">
        <v>4.6176000000000004</v>
      </c>
      <c r="AV29" s="491">
        <v>5.3663999999999996</v>
      </c>
      <c r="AW29" s="491">
        <v>6.1151999999999997</v>
      </c>
      <c r="AX29" s="491">
        <v>6.8639999999999999</v>
      </c>
      <c r="AY29" s="512">
        <v>1</v>
      </c>
      <c r="AZ29" s="491">
        <v>24</v>
      </c>
      <c r="BA29" s="491">
        <v>24</v>
      </c>
      <c r="BB29" s="491">
        <v>24</v>
      </c>
      <c r="BC29" s="491">
        <v>24</v>
      </c>
      <c r="BD29" s="491">
        <v>24</v>
      </c>
      <c r="BE29" s="491">
        <v>28.8</v>
      </c>
      <c r="BF29" s="491">
        <v>28.8</v>
      </c>
      <c r="BG29" s="491">
        <v>28.8</v>
      </c>
      <c r="BH29" s="491">
        <v>28.8</v>
      </c>
      <c r="BI29" s="491">
        <v>28.8</v>
      </c>
      <c r="BJ29" s="513">
        <v>1</v>
      </c>
      <c r="BK29" s="486">
        <v>0</v>
      </c>
      <c r="BL29" s="486">
        <v>0</v>
      </c>
      <c r="BM29" s="486">
        <v>0</v>
      </c>
      <c r="BN29" s="486">
        <v>0</v>
      </c>
      <c r="BO29" s="486">
        <v>0</v>
      </c>
      <c r="BP29" s="486">
        <v>0</v>
      </c>
      <c r="BQ29" s="486">
        <v>0</v>
      </c>
      <c r="BR29" s="486">
        <v>0</v>
      </c>
      <c r="BS29" s="486">
        <v>0</v>
      </c>
      <c r="BT29" s="486">
        <v>0</v>
      </c>
      <c r="BU29" s="491">
        <v>1.8953202276312919</v>
      </c>
      <c r="BV29" s="491">
        <v>3.5805754045251565</v>
      </c>
      <c r="BW29" s="491">
        <v>5.0557655306815938</v>
      </c>
      <c r="BX29" s="491">
        <v>6.3208906061006029</v>
      </c>
      <c r="BY29" s="491">
        <v>7.3759506307821852</v>
      </c>
      <c r="BZ29" s="491">
        <v>8.4949771248838832</v>
      </c>
      <c r="CA29" s="491">
        <v>9.3619255581006691</v>
      </c>
      <c r="CB29" s="491">
        <v>9.9767959304325426</v>
      </c>
      <c r="CC29" s="491">
        <v>10.339588241879502</v>
      </c>
      <c r="CD29" s="491">
        <v>10.45030249244155</v>
      </c>
    </row>
    <row r="30" spans="2:82" x14ac:dyDescent="0.3">
      <c r="B30">
        <v>4</v>
      </c>
      <c r="C30" t="s">
        <v>2427</v>
      </c>
      <c r="D30" s="475" t="s">
        <v>2428</v>
      </c>
      <c r="E30" s="475" t="s">
        <v>2429</v>
      </c>
      <c r="F30" s="14">
        <v>2021</v>
      </c>
      <c r="G30" s="14">
        <v>2030</v>
      </c>
      <c r="H30" s="492">
        <f t="shared" si="12"/>
        <v>144.59999999999997</v>
      </c>
      <c r="I30" s="487">
        <f t="shared" si="13"/>
        <v>124.8</v>
      </c>
      <c r="J30" s="488">
        <v>1248</v>
      </c>
      <c r="K30" s="486">
        <v>1.75408426483233</v>
      </c>
      <c r="L30" s="486">
        <v>1.75408426483233</v>
      </c>
      <c r="M30" s="486">
        <v>1.7540842648323305</v>
      </c>
      <c r="N30" s="486">
        <v>1.7540842648323294</v>
      </c>
      <c r="O30" s="486">
        <v>1.7540842648323305</v>
      </c>
      <c r="P30" s="486">
        <v>3.6113499570077385</v>
      </c>
      <c r="Q30" s="486">
        <v>3.6113499570077385</v>
      </c>
      <c r="R30" s="486">
        <v>3.6113499570077385</v>
      </c>
      <c r="S30" s="486">
        <v>3.6113499570077385</v>
      </c>
      <c r="T30" s="486">
        <v>3.6113499570077385</v>
      </c>
      <c r="U30" s="492">
        <f t="shared" si="14"/>
        <v>20.399999999999995</v>
      </c>
      <c r="V30" s="492">
        <f t="shared" si="15"/>
        <v>20.399999999999995</v>
      </c>
      <c r="W30" s="492">
        <f t="shared" si="16"/>
        <v>20.400000000000002</v>
      </c>
      <c r="X30" s="492">
        <f t="shared" si="17"/>
        <v>20.399999999999988</v>
      </c>
      <c r="Y30" s="492">
        <f t="shared" si="18"/>
        <v>20.400000000000002</v>
      </c>
      <c r="Z30" s="492">
        <f t="shared" si="19"/>
        <v>41.999999999999993</v>
      </c>
      <c r="AA30" s="492">
        <f t="shared" si="20"/>
        <v>41.999999999999993</v>
      </c>
      <c r="AB30" s="492">
        <f t="shared" si="21"/>
        <v>41.999999999999993</v>
      </c>
      <c r="AC30" s="492">
        <f t="shared" si="22"/>
        <v>41.999999999999993</v>
      </c>
      <c r="AD30" s="492">
        <f t="shared" si="23"/>
        <v>41.999999999999993</v>
      </c>
      <c r="AE30" s="484">
        <f t="shared" si="24"/>
        <v>20.399999999999995</v>
      </c>
      <c r="AF30" s="483">
        <f t="shared" si="25"/>
        <v>40.79999999999999</v>
      </c>
      <c r="AG30" s="483">
        <f t="shared" si="26"/>
        <v>61.199999999999989</v>
      </c>
      <c r="AH30" s="483">
        <f t="shared" si="27"/>
        <v>81.59999999999998</v>
      </c>
      <c r="AI30" s="483">
        <f t="shared" si="28"/>
        <v>101.99999999999999</v>
      </c>
      <c r="AJ30" s="483">
        <f t="shared" si="29"/>
        <v>143.99999999999997</v>
      </c>
      <c r="AK30" s="483">
        <f t="shared" si="30"/>
        <v>185.99999999999997</v>
      </c>
      <c r="AL30" s="483">
        <f t="shared" si="31"/>
        <v>227.99999999999997</v>
      </c>
      <c r="AM30" s="483">
        <f t="shared" si="32"/>
        <v>269.99999999999994</v>
      </c>
      <c r="AN30" s="483">
        <f t="shared" si="33"/>
        <v>311.99999999999994</v>
      </c>
      <c r="AO30" s="491">
        <v>2.1215999999999999</v>
      </c>
      <c r="AP30" s="491">
        <v>4.2431999999999999</v>
      </c>
      <c r="AQ30" s="491">
        <v>6.3647999999999998</v>
      </c>
      <c r="AR30" s="491">
        <v>8.4863999999999997</v>
      </c>
      <c r="AS30" s="491">
        <v>10.608000000000001</v>
      </c>
      <c r="AT30" s="491">
        <v>14.976000000000001</v>
      </c>
      <c r="AU30" s="491">
        <v>19.344000000000001</v>
      </c>
      <c r="AV30" s="491">
        <v>23.712</v>
      </c>
      <c r="AW30" s="491">
        <v>28.08</v>
      </c>
      <c r="AX30" s="491">
        <v>32.448</v>
      </c>
      <c r="AY30" s="512">
        <v>1</v>
      </c>
      <c r="AZ30" s="491">
        <v>81.599999999999994</v>
      </c>
      <c r="BA30" s="491">
        <v>81.599999999999994</v>
      </c>
      <c r="BB30" s="491">
        <v>81.599999999999994</v>
      </c>
      <c r="BC30" s="491">
        <v>81.599999999999994</v>
      </c>
      <c r="BD30" s="491">
        <v>81.599999999999994</v>
      </c>
      <c r="BE30" s="491">
        <v>168</v>
      </c>
      <c r="BF30" s="491">
        <v>168</v>
      </c>
      <c r="BG30" s="491">
        <v>168</v>
      </c>
      <c r="BH30" s="491">
        <v>168</v>
      </c>
      <c r="BI30" s="491">
        <v>168</v>
      </c>
      <c r="BJ30" s="513">
        <v>1</v>
      </c>
      <c r="BK30" s="486">
        <v>0</v>
      </c>
      <c r="BL30" s="486">
        <v>0</v>
      </c>
      <c r="BM30" s="486">
        <v>0</v>
      </c>
      <c r="BN30" s="486">
        <v>0</v>
      </c>
      <c r="BO30" s="486">
        <v>0</v>
      </c>
      <c r="BP30" s="486">
        <v>0</v>
      </c>
      <c r="BQ30" s="486">
        <v>0</v>
      </c>
      <c r="BR30" s="486">
        <v>0</v>
      </c>
      <c r="BS30" s="486">
        <v>0</v>
      </c>
      <c r="BT30" s="486">
        <v>0</v>
      </c>
      <c r="BU30" s="491">
        <v>6.4440887739463921</v>
      </c>
      <c r="BV30" s="491">
        <v>12.173956375385531</v>
      </c>
      <c r="BW30" s="491">
        <v>17.18960280431742</v>
      </c>
      <c r="BX30" s="491">
        <v>21.49102806074205</v>
      </c>
      <c r="BY30" s="491">
        <v>25.078232144659427</v>
      </c>
      <c r="BZ30" s="491">
        <v>32.883782418905355</v>
      </c>
      <c r="CA30" s="491">
        <v>39.218877337989291</v>
      </c>
      <c r="CB30" s="491">
        <v>44.083516901911239</v>
      </c>
      <c r="CC30" s="491">
        <v>47.477701110671184</v>
      </c>
      <c r="CD30" s="491">
        <v>49.401429964269141</v>
      </c>
    </row>
    <row r="31" spans="2:82" x14ac:dyDescent="0.3">
      <c r="B31">
        <v>6</v>
      </c>
      <c r="C31" t="s">
        <v>2430</v>
      </c>
      <c r="D31" s="475" t="s">
        <v>2431</v>
      </c>
      <c r="E31" s="475" t="s">
        <v>667</v>
      </c>
      <c r="F31" s="14">
        <v>2021</v>
      </c>
      <c r="G31" s="14">
        <v>2030</v>
      </c>
      <c r="H31" s="492">
        <f t="shared" si="12"/>
        <v>178.24152778558806</v>
      </c>
      <c r="I31" s="487">
        <f t="shared" si="13"/>
        <v>17.353661538461534</v>
      </c>
      <c r="J31" s="488">
        <v>173.53661538461535</v>
      </c>
      <c r="K31" s="486">
        <v>2.4493854133551243</v>
      </c>
      <c r="L31" s="486">
        <v>2.5703967165149297</v>
      </c>
      <c r="M31" s="486">
        <v>2.6959277189493798</v>
      </c>
      <c r="N31" s="486">
        <v>2.8261287735577278</v>
      </c>
      <c r="O31" s="486">
        <v>2.9611549260721572</v>
      </c>
      <c r="P31" s="486">
        <v>3.101166055728827</v>
      </c>
      <c r="Q31" s="486">
        <v>3.2463270200395398</v>
      </c>
      <c r="R31" s="486">
        <v>3.3968078037809457</v>
      </c>
      <c r="S31" s="486">
        <v>3.552783672321921</v>
      </c>
      <c r="T31" s="486">
        <v>0.7283206528259899</v>
      </c>
      <c r="U31" s="492">
        <f t="shared" si="14"/>
        <v>28.486352357320094</v>
      </c>
      <c r="V31" s="492">
        <f t="shared" si="15"/>
        <v>29.893713813068629</v>
      </c>
      <c r="W31" s="492">
        <f t="shared" si="16"/>
        <v>31.353639371381284</v>
      </c>
      <c r="X31" s="492">
        <f t="shared" si="17"/>
        <v>32.867877636476372</v>
      </c>
      <c r="Y31" s="492">
        <f t="shared" si="18"/>
        <v>34.438231790219184</v>
      </c>
      <c r="Z31" s="492">
        <f t="shared" si="19"/>
        <v>36.066561228126254</v>
      </c>
      <c r="AA31" s="492">
        <f t="shared" si="20"/>
        <v>37.754783243059848</v>
      </c>
      <c r="AB31" s="492">
        <f t="shared" si="21"/>
        <v>39.504874757972395</v>
      </c>
      <c r="AC31" s="492">
        <f t="shared" si="22"/>
        <v>41.318874109103938</v>
      </c>
      <c r="AD31" s="492">
        <f t="shared" si="23"/>
        <v>8.4703691923662614</v>
      </c>
      <c r="AE31" s="484">
        <f t="shared" si="24"/>
        <v>28.486352357320094</v>
      </c>
      <c r="AF31" s="483">
        <f t="shared" si="25"/>
        <v>58.380066170388723</v>
      </c>
      <c r="AG31" s="483">
        <f t="shared" si="26"/>
        <v>89.733705541770007</v>
      </c>
      <c r="AH31" s="483">
        <f t="shared" si="27"/>
        <v>122.60158317824639</v>
      </c>
      <c r="AI31" s="483">
        <f t="shared" si="28"/>
        <v>157.03981496846558</v>
      </c>
      <c r="AJ31" s="483">
        <f t="shared" si="29"/>
        <v>193.10637619659184</v>
      </c>
      <c r="AK31" s="483">
        <f t="shared" si="30"/>
        <v>230.86115943965169</v>
      </c>
      <c r="AL31" s="483">
        <f t="shared" si="31"/>
        <v>270.36603419762406</v>
      </c>
      <c r="AM31" s="483">
        <f t="shared" si="32"/>
        <v>311.684908306728</v>
      </c>
      <c r="AN31" s="483">
        <f t="shared" si="33"/>
        <v>320.15527749909427</v>
      </c>
      <c r="AO31" s="491">
        <v>5.8653000000000004</v>
      </c>
      <c r="AP31" s="491">
        <v>11.730600000000001</v>
      </c>
      <c r="AQ31" s="491">
        <v>17.5959</v>
      </c>
      <c r="AR31" s="491">
        <v>23.461200000000002</v>
      </c>
      <c r="AS31" s="491">
        <v>29.326499999999999</v>
      </c>
      <c r="AT31" s="491">
        <v>35.191800000000001</v>
      </c>
      <c r="AU31" s="491">
        <v>41.057099999999998</v>
      </c>
      <c r="AV31" s="491">
        <v>46.922400000000003</v>
      </c>
      <c r="AW31" s="491">
        <v>52.787699999999994</v>
      </c>
      <c r="AX31" s="491">
        <v>58.652999999999999</v>
      </c>
      <c r="AY31" s="512">
        <v>0</v>
      </c>
      <c r="AZ31" s="491">
        <v>5</v>
      </c>
      <c r="BA31" s="491">
        <v>4</v>
      </c>
      <c r="BB31" s="491">
        <v>3.4</v>
      </c>
      <c r="BC31" s="491">
        <v>2.8</v>
      </c>
      <c r="BD31" s="491">
        <v>2.2000000000000002</v>
      </c>
      <c r="BE31" s="491">
        <v>0</v>
      </c>
      <c r="BF31" s="491">
        <v>0</v>
      </c>
      <c r="BG31" s="491">
        <v>0</v>
      </c>
      <c r="BH31" s="491">
        <v>0</v>
      </c>
      <c r="BI31" s="491">
        <v>0</v>
      </c>
      <c r="BJ31" s="513">
        <v>1</v>
      </c>
      <c r="BK31" s="486">
        <v>4.8792692307692302</v>
      </c>
      <c r="BL31" s="486">
        <v>7.3189038461538445</v>
      </c>
      <c r="BM31" s="486">
        <v>9.7585384615384605</v>
      </c>
      <c r="BN31" s="486">
        <v>12.198173076923075</v>
      </c>
      <c r="BO31" s="486">
        <v>14.637807692307689</v>
      </c>
      <c r="BP31" s="486">
        <v>17.077442307692305</v>
      </c>
      <c r="BQ31" s="486">
        <v>19.517076923076921</v>
      </c>
      <c r="BR31" s="486">
        <v>21.956711538461537</v>
      </c>
      <c r="BS31" s="486">
        <v>24.396346153846149</v>
      </c>
      <c r="BT31" s="486">
        <v>24.396346153846149</v>
      </c>
      <c r="BU31" s="491">
        <v>13.161554263027295</v>
      </c>
      <c r="BV31" s="491">
        <v>20.235889679404462</v>
      </c>
      <c r="BW31" s="491">
        <v>27.655715895186095</v>
      </c>
      <c r="BX31" s="491">
        <v>35.433885990707182</v>
      </c>
      <c r="BY31" s="491">
        <v>43.58367976856983</v>
      </c>
      <c r="BZ31" s="491">
        <v>52.118817056581427</v>
      </c>
      <c r="CA31" s="491">
        <v>61.05347140913824</v>
      </c>
      <c r="CB31" s="491">
        <v>70.402284218662501</v>
      </c>
      <c r="CC31" s="491">
        <v>80.180379249032327</v>
      </c>
      <c r="CD31" s="491">
        <v>82.184888730258109</v>
      </c>
    </row>
    <row r="32" spans="2:82" x14ac:dyDescent="0.3">
      <c r="B32">
        <v>7</v>
      </c>
      <c r="C32" t="s">
        <v>2432</v>
      </c>
      <c r="D32" s="475" t="s">
        <v>2433</v>
      </c>
      <c r="E32" s="475" t="s">
        <v>822</v>
      </c>
      <c r="F32" s="14">
        <v>2027</v>
      </c>
      <c r="G32" s="14">
        <v>2030</v>
      </c>
      <c r="H32" s="492">
        <f t="shared" si="12"/>
        <v>135.77777777777777</v>
      </c>
      <c r="I32" s="487">
        <f t="shared" si="13"/>
        <v>153.21423490277775</v>
      </c>
      <c r="J32" s="488">
        <v>1532.1423490277775</v>
      </c>
      <c r="K32" s="486">
        <v>0</v>
      </c>
      <c r="L32" s="486">
        <v>0</v>
      </c>
      <c r="M32" s="486">
        <v>0</v>
      </c>
      <c r="N32" s="486">
        <v>0</v>
      </c>
      <c r="O32" s="486">
        <v>0</v>
      </c>
      <c r="P32" s="486">
        <v>0</v>
      </c>
      <c r="Q32" s="486">
        <v>29.186968567880005</v>
      </c>
      <c r="R32" s="486">
        <v>0</v>
      </c>
      <c r="S32" s="486">
        <v>0</v>
      </c>
      <c r="T32" s="486">
        <v>0</v>
      </c>
      <c r="U32" s="492">
        <f t="shared" si="14"/>
        <v>0</v>
      </c>
      <c r="V32" s="492">
        <f t="shared" si="15"/>
        <v>0</v>
      </c>
      <c r="W32" s="492">
        <f t="shared" si="16"/>
        <v>0</v>
      </c>
      <c r="X32" s="492">
        <f t="shared" si="17"/>
        <v>0</v>
      </c>
      <c r="Y32" s="492">
        <f t="shared" si="18"/>
        <v>0</v>
      </c>
      <c r="Z32" s="492">
        <f t="shared" si="19"/>
        <v>0</v>
      </c>
      <c r="AA32" s="492">
        <f t="shared" si="20"/>
        <v>339.4444444444444</v>
      </c>
      <c r="AB32" s="492">
        <f t="shared" si="21"/>
        <v>0</v>
      </c>
      <c r="AC32" s="492">
        <f t="shared" si="22"/>
        <v>0</v>
      </c>
      <c r="AD32" s="492">
        <f t="shared" si="23"/>
        <v>0</v>
      </c>
      <c r="AE32" s="484">
        <f t="shared" si="24"/>
        <v>0</v>
      </c>
      <c r="AF32" s="483">
        <f t="shared" si="25"/>
        <v>0</v>
      </c>
      <c r="AG32" s="483">
        <f t="shared" si="26"/>
        <v>0</v>
      </c>
      <c r="AH32" s="483">
        <f t="shared" si="27"/>
        <v>0</v>
      </c>
      <c r="AI32" s="483">
        <f t="shared" si="28"/>
        <v>0</v>
      </c>
      <c r="AJ32" s="483">
        <f t="shared" si="29"/>
        <v>0</v>
      </c>
      <c r="AK32" s="483">
        <f t="shared" si="30"/>
        <v>339.4444444444444</v>
      </c>
      <c r="AL32" s="483">
        <f t="shared" si="31"/>
        <v>339.4444444444444</v>
      </c>
      <c r="AM32" s="483">
        <f t="shared" si="32"/>
        <v>339.4444444444444</v>
      </c>
      <c r="AN32" s="483">
        <f t="shared" si="33"/>
        <v>339.4444444444444</v>
      </c>
      <c r="AO32" s="491">
        <v>0</v>
      </c>
      <c r="AP32" s="491">
        <v>0</v>
      </c>
      <c r="AQ32" s="491">
        <v>0</v>
      </c>
      <c r="AR32" s="491">
        <v>0</v>
      </c>
      <c r="AS32" s="491">
        <v>0</v>
      </c>
      <c r="AT32" s="491">
        <v>0</v>
      </c>
      <c r="AU32" s="491">
        <v>53.135360416666671</v>
      </c>
      <c r="AV32" s="491">
        <v>53.135360416666671</v>
      </c>
      <c r="AW32" s="491">
        <v>53.135360416666671</v>
      </c>
      <c r="AX32" s="491">
        <v>53.135360416666671</v>
      </c>
      <c r="AY32" s="512">
        <v>1</v>
      </c>
      <c r="AZ32" s="491">
        <v>83</v>
      </c>
      <c r="BA32" s="491">
        <v>141</v>
      </c>
      <c r="BB32" s="491">
        <v>100</v>
      </c>
      <c r="BC32" s="491">
        <v>420</v>
      </c>
      <c r="BD32" s="491">
        <v>420</v>
      </c>
      <c r="BE32" s="491">
        <v>187.04</v>
      </c>
      <c r="BF32" s="491">
        <v>0</v>
      </c>
      <c r="BG32" s="491">
        <v>0</v>
      </c>
      <c r="BH32" s="491">
        <v>0</v>
      </c>
      <c r="BI32" s="491">
        <v>0</v>
      </c>
      <c r="BJ32" s="513">
        <v>1</v>
      </c>
      <c r="BK32" s="486">
        <v>0</v>
      </c>
      <c r="BL32" s="486">
        <v>0</v>
      </c>
      <c r="BM32" s="486">
        <v>0</v>
      </c>
      <c r="BN32" s="486">
        <v>0</v>
      </c>
      <c r="BO32" s="486">
        <v>0</v>
      </c>
      <c r="BP32" s="486">
        <v>0</v>
      </c>
      <c r="BQ32" s="486">
        <v>15.275587256944442</v>
      </c>
      <c r="BR32" s="486">
        <v>15.275587256944442</v>
      </c>
      <c r="BS32" s="486">
        <v>15.275587256944442</v>
      </c>
      <c r="BT32" s="486">
        <v>15.275587256944442</v>
      </c>
      <c r="BU32" s="491">
        <v>0</v>
      </c>
      <c r="BV32" s="491">
        <v>0</v>
      </c>
      <c r="BW32" s="491">
        <v>0</v>
      </c>
      <c r="BX32" s="491">
        <v>0</v>
      </c>
      <c r="BY32" s="491">
        <v>0</v>
      </c>
      <c r="BZ32" s="491">
        <v>0</v>
      </c>
      <c r="CA32" s="491">
        <v>80.329392000000013</v>
      </c>
      <c r="CB32" s="491">
        <v>80.329392000000013</v>
      </c>
      <c r="CC32" s="491">
        <v>80.329392000000013</v>
      </c>
      <c r="CD32" s="491">
        <v>80.329392000000013</v>
      </c>
    </row>
    <row r="33" spans="2:82" x14ac:dyDescent="0.3">
      <c r="B33">
        <v>8</v>
      </c>
      <c r="C33" t="s">
        <v>2434</v>
      </c>
      <c r="D33" s="475" t="s">
        <v>1540</v>
      </c>
      <c r="E33" s="475" t="s">
        <v>826</v>
      </c>
      <c r="F33" s="14">
        <v>2025</v>
      </c>
      <c r="G33" s="14">
        <v>2030</v>
      </c>
      <c r="H33" s="492">
        <f t="shared" si="12"/>
        <v>150.01081768150036</v>
      </c>
      <c r="I33" s="487">
        <f t="shared" si="13"/>
        <v>42.8</v>
      </c>
      <c r="J33" s="488">
        <v>428</v>
      </c>
      <c r="K33" s="486">
        <v>0</v>
      </c>
      <c r="L33" s="486">
        <v>0</v>
      </c>
      <c r="M33" s="486">
        <v>0</v>
      </c>
      <c r="N33" s="486">
        <v>0</v>
      </c>
      <c r="O33" s="486">
        <v>0</v>
      </c>
      <c r="P33" s="486">
        <v>25.797217142132482</v>
      </c>
      <c r="Q33" s="486">
        <v>0</v>
      </c>
      <c r="R33" s="486">
        <v>0</v>
      </c>
      <c r="S33" s="486">
        <v>0</v>
      </c>
      <c r="T33" s="486">
        <v>0</v>
      </c>
      <c r="U33" s="492">
        <f t="shared" si="14"/>
        <v>0</v>
      </c>
      <c r="V33" s="492">
        <f t="shared" si="15"/>
        <v>0</v>
      </c>
      <c r="W33" s="492">
        <f t="shared" si="16"/>
        <v>0</v>
      </c>
      <c r="X33" s="492">
        <f t="shared" si="17"/>
        <v>0</v>
      </c>
      <c r="Y33" s="492">
        <f t="shared" si="18"/>
        <v>0</v>
      </c>
      <c r="Z33" s="492">
        <f t="shared" si="19"/>
        <v>300.02163536300071</v>
      </c>
      <c r="AA33" s="492">
        <f t="shared" si="20"/>
        <v>0</v>
      </c>
      <c r="AB33" s="492">
        <f t="shared" si="21"/>
        <v>0</v>
      </c>
      <c r="AC33" s="492">
        <f t="shared" si="22"/>
        <v>0</v>
      </c>
      <c r="AD33" s="492">
        <f t="shared" si="23"/>
        <v>0</v>
      </c>
      <c r="AE33" s="484">
        <f t="shared" si="24"/>
        <v>0</v>
      </c>
      <c r="AF33" s="483">
        <f t="shared" si="25"/>
        <v>0</v>
      </c>
      <c r="AG33" s="483">
        <f t="shared" si="26"/>
        <v>0</v>
      </c>
      <c r="AH33" s="483">
        <f t="shared" si="27"/>
        <v>0</v>
      </c>
      <c r="AI33" s="483">
        <f t="shared" si="28"/>
        <v>0</v>
      </c>
      <c r="AJ33" s="483">
        <f t="shared" si="29"/>
        <v>300.02163536300071</v>
      </c>
      <c r="AK33" s="483">
        <f t="shared" si="30"/>
        <v>300.02163536300071</v>
      </c>
      <c r="AL33" s="483">
        <f t="shared" si="31"/>
        <v>300.02163536300071</v>
      </c>
      <c r="AM33" s="483">
        <f t="shared" si="32"/>
        <v>300.02163536300071</v>
      </c>
      <c r="AN33" s="483">
        <f t="shared" si="33"/>
        <v>300.02163536300071</v>
      </c>
      <c r="AO33" s="491">
        <v>0</v>
      </c>
      <c r="AP33" s="491">
        <v>0</v>
      </c>
      <c r="AQ33" s="491">
        <v>0</v>
      </c>
      <c r="AR33" s="491">
        <v>0</v>
      </c>
      <c r="AS33" s="491">
        <v>0</v>
      </c>
      <c r="AT33" s="491">
        <v>10</v>
      </c>
      <c r="AU33" s="491">
        <v>10</v>
      </c>
      <c r="AV33" s="491">
        <v>10</v>
      </c>
      <c r="AW33" s="491">
        <v>10</v>
      </c>
      <c r="AX33" s="491">
        <v>10</v>
      </c>
      <c r="AY33" s="512">
        <v>1</v>
      </c>
      <c r="AZ33" s="491">
        <v>53.5</v>
      </c>
      <c r="BA33" s="491">
        <v>53.5</v>
      </c>
      <c r="BB33" s="491">
        <v>53.5</v>
      </c>
      <c r="BC33" s="491">
        <v>53.5</v>
      </c>
      <c r="BD33" s="491">
        <v>53.5</v>
      </c>
      <c r="BE33" s="491">
        <v>53.5</v>
      </c>
      <c r="BF33" s="491">
        <v>53.5</v>
      </c>
      <c r="BG33" s="491">
        <v>53.5</v>
      </c>
      <c r="BH33" s="491">
        <v>0</v>
      </c>
      <c r="BI33" s="491">
        <v>0</v>
      </c>
      <c r="BJ33" s="513">
        <v>1</v>
      </c>
      <c r="BK33" s="486">
        <v>0</v>
      </c>
      <c r="BL33" s="486">
        <v>0</v>
      </c>
      <c r="BM33" s="486">
        <v>0</v>
      </c>
      <c r="BN33" s="486">
        <v>0</v>
      </c>
      <c r="BO33" s="486">
        <v>0</v>
      </c>
      <c r="BP33" s="486">
        <v>0</v>
      </c>
      <c r="BQ33" s="486">
        <v>0</v>
      </c>
      <c r="BR33" s="486">
        <v>0</v>
      </c>
      <c r="BS33" s="486">
        <v>0</v>
      </c>
      <c r="BT33" s="486">
        <v>0</v>
      </c>
      <c r="BU33" s="491">
        <v>0</v>
      </c>
      <c r="BV33" s="491">
        <v>0</v>
      </c>
      <c r="BW33" s="491">
        <v>0</v>
      </c>
      <c r="BX33" s="491">
        <v>0</v>
      </c>
      <c r="BY33" s="491">
        <v>0</v>
      </c>
      <c r="BZ33" s="491">
        <v>71</v>
      </c>
      <c r="CA33" s="491">
        <v>71</v>
      </c>
      <c r="CB33" s="491">
        <v>71</v>
      </c>
      <c r="CC33" s="491">
        <v>71</v>
      </c>
      <c r="CD33" s="491">
        <v>71</v>
      </c>
    </row>
    <row r="34" spans="2:82" x14ac:dyDescent="0.3">
      <c r="B34">
        <v>9</v>
      </c>
      <c r="C34" t="s">
        <v>2435</v>
      </c>
      <c r="D34" s="475" t="s">
        <v>2436</v>
      </c>
      <c r="E34" s="475" t="s">
        <v>838</v>
      </c>
      <c r="F34" s="14">
        <v>2021</v>
      </c>
      <c r="G34" s="14">
        <v>2030</v>
      </c>
      <c r="H34" s="492">
        <f t="shared" si="12"/>
        <v>25.925925925925998</v>
      </c>
      <c r="I34" s="487">
        <f t="shared" si="13"/>
        <v>6</v>
      </c>
      <c r="J34" s="488">
        <v>60</v>
      </c>
      <c r="K34" s="1421">
        <v>0</v>
      </c>
      <c r="L34" s="486">
        <v>0.92884515355137576</v>
      </c>
      <c r="M34" s="486">
        <v>0.92884515355137542</v>
      </c>
      <c r="N34" s="1421">
        <v>0.92884515355137576</v>
      </c>
      <c r="O34" s="486">
        <v>0</v>
      </c>
      <c r="P34" s="486">
        <v>0</v>
      </c>
      <c r="Q34" s="486">
        <v>0</v>
      </c>
      <c r="R34" s="486">
        <v>0</v>
      </c>
      <c r="S34" s="486">
        <v>0</v>
      </c>
      <c r="T34" s="486">
        <v>0</v>
      </c>
      <c r="U34" s="492">
        <f t="shared" si="14"/>
        <v>0</v>
      </c>
      <c r="V34" s="492">
        <f t="shared" si="15"/>
        <v>10.802469135802498</v>
      </c>
      <c r="W34" s="492">
        <f t="shared" si="16"/>
        <v>10.802469135802495</v>
      </c>
      <c r="X34" s="492">
        <f t="shared" si="17"/>
        <v>10.802469135802498</v>
      </c>
      <c r="Y34" s="492">
        <f t="shared" si="18"/>
        <v>0</v>
      </c>
      <c r="Z34" s="492">
        <f t="shared" si="19"/>
        <v>0</v>
      </c>
      <c r="AA34" s="492">
        <f t="shared" si="20"/>
        <v>0</v>
      </c>
      <c r="AB34" s="492">
        <f t="shared" si="21"/>
        <v>0</v>
      </c>
      <c r="AC34" s="492">
        <f t="shared" si="22"/>
        <v>0</v>
      </c>
      <c r="AD34" s="492">
        <f t="shared" si="23"/>
        <v>0</v>
      </c>
      <c r="AE34" s="484">
        <f t="shared" si="24"/>
        <v>0</v>
      </c>
      <c r="AF34" s="483">
        <f t="shared" si="25"/>
        <v>10.802469135802498</v>
      </c>
      <c r="AG34" s="483">
        <f t="shared" si="26"/>
        <v>21.604938271604993</v>
      </c>
      <c r="AH34" s="483">
        <f t="shared" si="27"/>
        <v>32.40740740740749</v>
      </c>
      <c r="AI34" s="483">
        <f t="shared" si="28"/>
        <v>32.40740740740749</v>
      </c>
      <c r="AJ34" s="483">
        <f t="shared" si="29"/>
        <v>32.40740740740749</v>
      </c>
      <c r="AK34" s="483">
        <f t="shared" si="30"/>
        <v>32.40740740740749</v>
      </c>
      <c r="AL34" s="483">
        <f t="shared" si="31"/>
        <v>32.40740740740749</v>
      </c>
      <c r="AM34" s="483">
        <f t="shared" si="32"/>
        <v>32.40740740740749</v>
      </c>
      <c r="AN34" s="483">
        <f t="shared" si="33"/>
        <v>32.40740740740749</v>
      </c>
      <c r="AO34" s="491">
        <v>2.6891252955082821</v>
      </c>
      <c r="AP34" s="491">
        <v>5.3782505910165641</v>
      </c>
      <c r="AQ34" s="491">
        <v>8.0673758865248466</v>
      </c>
      <c r="AR34" s="491">
        <v>8.0673758865248466</v>
      </c>
      <c r="AS34" s="491">
        <v>8.0673758865248466</v>
      </c>
      <c r="AT34" s="491">
        <v>8.0673758865248466</v>
      </c>
      <c r="AU34" s="491">
        <v>8.0673758865248466</v>
      </c>
      <c r="AV34" s="491">
        <v>8.0673758865248466</v>
      </c>
      <c r="AW34" s="491">
        <v>8.0673758865248466</v>
      </c>
      <c r="AX34" s="491">
        <v>8.0673758865248466</v>
      </c>
      <c r="AY34" s="512">
        <v>1</v>
      </c>
      <c r="AZ34" s="1422">
        <v>0</v>
      </c>
      <c r="BA34" s="491">
        <v>20</v>
      </c>
      <c r="BB34" s="491">
        <v>20</v>
      </c>
      <c r="BC34" s="1422">
        <v>20</v>
      </c>
      <c r="BD34" s="491">
        <v>0</v>
      </c>
      <c r="BE34" s="491">
        <v>0</v>
      </c>
      <c r="BF34" s="491">
        <v>0</v>
      </c>
      <c r="BG34" s="491">
        <v>0</v>
      </c>
      <c r="BH34" s="491">
        <v>0</v>
      </c>
      <c r="BI34" s="491">
        <v>0</v>
      </c>
      <c r="BJ34" s="513">
        <v>1</v>
      </c>
      <c r="BK34" s="486">
        <v>0</v>
      </c>
      <c r="BL34" s="486">
        <v>0</v>
      </c>
      <c r="BM34" s="486">
        <v>0</v>
      </c>
      <c r="BN34" s="486">
        <v>0</v>
      </c>
      <c r="BO34" s="486">
        <v>0</v>
      </c>
      <c r="BP34" s="486">
        <v>0</v>
      </c>
      <c r="BQ34" s="486">
        <v>0</v>
      </c>
      <c r="BR34" s="486">
        <v>0</v>
      </c>
      <c r="BS34" s="486">
        <v>0</v>
      </c>
      <c r="BT34" s="486">
        <v>0</v>
      </c>
      <c r="BU34" s="491">
        <v>2.562952840000007</v>
      </c>
      <c r="BV34" s="491">
        <v>5.125905680000014</v>
      </c>
      <c r="BW34" s="491">
        <v>7.6888585200000223</v>
      </c>
      <c r="BX34" s="491">
        <v>7.6888585200000223</v>
      </c>
      <c r="BY34" s="491">
        <v>7.6888585200000223</v>
      </c>
      <c r="BZ34" s="491">
        <v>7.6888585200000223</v>
      </c>
      <c r="CA34" s="491">
        <v>7.6888585200000223</v>
      </c>
      <c r="CB34" s="491">
        <v>7.6888585200000223</v>
      </c>
      <c r="CC34" s="491">
        <v>7.6888585200000223</v>
      </c>
      <c r="CD34" s="491">
        <v>7.6888585200000223</v>
      </c>
    </row>
    <row r="35" spans="2:82" x14ac:dyDescent="0.3">
      <c r="B35">
        <v>10</v>
      </c>
      <c r="C35" t="s">
        <v>2437</v>
      </c>
      <c r="D35" s="475" t="s">
        <v>2438</v>
      </c>
      <c r="E35" s="475" t="s">
        <v>842</v>
      </c>
      <c r="F35" s="14">
        <v>2024</v>
      </c>
      <c r="G35" s="14">
        <v>2030</v>
      </c>
      <c r="H35" s="492">
        <f t="shared" si="12"/>
        <v>156.04125255229673</v>
      </c>
      <c r="I35" s="487">
        <f t="shared" si="13"/>
        <v>10.5</v>
      </c>
      <c r="J35" s="488">
        <v>105</v>
      </c>
      <c r="K35" s="486">
        <v>0</v>
      </c>
      <c r="L35" s="486">
        <v>0</v>
      </c>
      <c r="M35" s="486">
        <v>0</v>
      </c>
      <c r="N35" s="486">
        <v>19.167332336604435</v>
      </c>
      <c r="O35" s="486">
        <v>0</v>
      </c>
      <c r="P35" s="486">
        <v>0</v>
      </c>
      <c r="Q35" s="486">
        <v>0</v>
      </c>
      <c r="R35" s="486">
        <v>0</v>
      </c>
      <c r="S35" s="486">
        <v>0</v>
      </c>
      <c r="T35" s="486">
        <v>0</v>
      </c>
      <c r="U35" s="492">
        <f t="shared" si="14"/>
        <v>0</v>
      </c>
      <c r="V35" s="492">
        <f t="shared" si="15"/>
        <v>0</v>
      </c>
      <c r="W35" s="492">
        <f t="shared" si="16"/>
        <v>0</v>
      </c>
      <c r="X35" s="492">
        <f t="shared" si="17"/>
        <v>222.91607507470957</v>
      </c>
      <c r="Y35" s="492">
        <f t="shared" si="18"/>
        <v>0</v>
      </c>
      <c r="Z35" s="492">
        <f t="shared" si="19"/>
        <v>0</v>
      </c>
      <c r="AA35" s="492">
        <f t="shared" si="20"/>
        <v>0</v>
      </c>
      <c r="AB35" s="492">
        <f t="shared" si="21"/>
        <v>0</v>
      </c>
      <c r="AC35" s="492">
        <f t="shared" si="22"/>
        <v>0</v>
      </c>
      <c r="AD35" s="492">
        <f t="shared" si="23"/>
        <v>0</v>
      </c>
      <c r="AE35" s="484">
        <f t="shared" si="24"/>
        <v>0</v>
      </c>
      <c r="AF35" s="483">
        <f t="shared" si="25"/>
        <v>0</v>
      </c>
      <c r="AG35" s="483">
        <f t="shared" si="26"/>
        <v>0</v>
      </c>
      <c r="AH35" s="483">
        <f t="shared" si="27"/>
        <v>222.91607507470957</v>
      </c>
      <c r="AI35" s="483">
        <f t="shared" si="28"/>
        <v>222.91607507470957</v>
      </c>
      <c r="AJ35" s="483">
        <f t="shared" si="29"/>
        <v>222.91607507470957</v>
      </c>
      <c r="AK35" s="483">
        <f t="shared" si="30"/>
        <v>222.91607507470957</v>
      </c>
      <c r="AL35" s="483">
        <f t="shared" si="31"/>
        <v>222.91607507470957</v>
      </c>
      <c r="AM35" s="483">
        <f t="shared" si="32"/>
        <v>222.91607507470957</v>
      </c>
      <c r="AN35" s="483">
        <f t="shared" si="33"/>
        <v>222.91607507470957</v>
      </c>
      <c r="AO35" s="491">
        <v>0</v>
      </c>
      <c r="AP35" s="491">
        <v>0</v>
      </c>
      <c r="AQ35" s="491">
        <v>0</v>
      </c>
      <c r="AR35" s="491">
        <v>27.416666666666664</v>
      </c>
      <c r="AS35" s="491">
        <v>27.416666666666664</v>
      </c>
      <c r="AT35" s="491">
        <v>27.416666666666664</v>
      </c>
      <c r="AU35" s="491">
        <v>27.416666666666664</v>
      </c>
      <c r="AV35" s="491">
        <v>27.416666666666664</v>
      </c>
      <c r="AW35" s="491">
        <v>27.416666666666664</v>
      </c>
      <c r="AX35" s="491">
        <v>27.416666666666664</v>
      </c>
      <c r="AY35" s="512">
        <v>1</v>
      </c>
      <c r="AZ35" s="491">
        <v>26.25</v>
      </c>
      <c r="BA35" s="491">
        <v>26.25</v>
      </c>
      <c r="BB35" s="491">
        <v>26.25</v>
      </c>
      <c r="BC35" s="491">
        <v>29.003916</v>
      </c>
      <c r="BD35" s="491">
        <v>2.7539160000000003</v>
      </c>
      <c r="BE35" s="491">
        <v>2.7539160000000003</v>
      </c>
      <c r="BF35" s="491">
        <v>2.7539160000000003</v>
      </c>
      <c r="BG35" s="491">
        <v>2.7539160000000003</v>
      </c>
      <c r="BH35" s="491">
        <v>2.7539160000000003</v>
      </c>
      <c r="BI35" s="491">
        <v>2.7539160000000003</v>
      </c>
      <c r="BJ35" s="513">
        <v>1</v>
      </c>
      <c r="BK35" s="486">
        <v>0</v>
      </c>
      <c r="BL35" s="486">
        <v>0</v>
      </c>
      <c r="BM35" s="486">
        <v>0</v>
      </c>
      <c r="BN35" s="486">
        <v>0</v>
      </c>
      <c r="BO35" s="486">
        <v>0</v>
      </c>
      <c r="BP35" s="486">
        <v>0</v>
      </c>
      <c r="BQ35" s="486">
        <v>0</v>
      </c>
      <c r="BR35" s="486">
        <v>0</v>
      </c>
      <c r="BS35" s="486">
        <v>0</v>
      </c>
      <c r="BT35" s="486">
        <v>0</v>
      </c>
      <c r="BU35" s="491">
        <v>0</v>
      </c>
      <c r="BV35" s="491">
        <v>0</v>
      </c>
      <c r="BW35" s="491">
        <v>0</v>
      </c>
      <c r="BX35" s="491">
        <v>52.753</v>
      </c>
      <c r="BY35" s="491">
        <v>52.753</v>
      </c>
      <c r="BZ35" s="491">
        <v>52.753</v>
      </c>
      <c r="CA35" s="491">
        <v>52.753</v>
      </c>
      <c r="CB35" s="491">
        <v>52.753</v>
      </c>
      <c r="CC35" s="491">
        <v>52.753</v>
      </c>
      <c r="CD35" s="491">
        <v>52.753</v>
      </c>
    </row>
    <row r="36" spans="2:82" x14ac:dyDescent="0.3">
      <c r="B36">
        <v>12</v>
      </c>
      <c r="C36" t="s">
        <v>2439</v>
      </c>
      <c r="D36" s="477" t="s">
        <v>2440</v>
      </c>
      <c r="E36" s="477" t="s">
        <v>2441</v>
      </c>
      <c r="F36" s="14">
        <v>2021</v>
      </c>
      <c r="G36" s="14">
        <v>2030</v>
      </c>
      <c r="H36" s="492">
        <f t="shared" si="12"/>
        <v>62.922681265129007</v>
      </c>
      <c r="I36" s="487">
        <f t="shared" si="13"/>
        <v>12.636000000000001</v>
      </c>
      <c r="J36" s="488">
        <v>126.36000000000001</v>
      </c>
      <c r="K36" s="486">
        <v>0.74995320885028172</v>
      </c>
      <c r="L36" s="486">
        <v>0.74995320885028172</v>
      </c>
      <c r="M36" s="486">
        <v>0.74995320885028172</v>
      </c>
      <c r="N36" s="486">
        <v>0.74995320885028172</v>
      </c>
      <c r="O36" s="486">
        <v>0.74995320885028172</v>
      </c>
      <c r="P36" s="486">
        <v>1.6070425903934606</v>
      </c>
      <c r="Q36" s="486">
        <v>1.6070425903934606</v>
      </c>
      <c r="R36" s="486">
        <v>1.6070425903934606</v>
      </c>
      <c r="S36" s="486">
        <v>1.6070425903934606</v>
      </c>
      <c r="T36" s="486">
        <v>1.6070425903934606</v>
      </c>
      <c r="U36" s="492">
        <f t="shared" si="14"/>
        <v>8.7219558189287749</v>
      </c>
      <c r="V36" s="492">
        <f t="shared" si="15"/>
        <v>8.7219558189287749</v>
      </c>
      <c r="W36" s="492">
        <f t="shared" si="16"/>
        <v>8.7219558189287749</v>
      </c>
      <c r="X36" s="492">
        <f t="shared" si="17"/>
        <v>8.7219558189287749</v>
      </c>
      <c r="Y36" s="492">
        <f t="shared" si="18"/>
        <v>8.7219558189287749</v>
      </c>
      <c r="Z36" s="492">
        <f t="shared" si="19"/>
        <v>18.689905326275944</v>
      </c>
      <c r="AA36" s="492">
        <f t="shared" si="20"/>
        <v>18.689905326275944</v>
      </c>
      <c r="AB36" s="492">
        <f t="shared" si="21"/>
        <v>18.689905326275944</v>
      </c>
      <c r="AC36" s="492">
        <f t="shared" si="22"/>
        <v>18.689905326275944</v>
      </c>
      <c r="AD36" s="492">
        <f t="shared" si="23"/>
        <v>18.689905326275944</v>
      </c>
      <c r="AE36" s="484">
        <f t="shared" si="24"/>
        <v>8.7219558189287749</v>
      </c>
      <c r="AF36" s="483">
        <f t="shared" si="25"/>
        <v>17.44391163785755</v>
      </c>
      <c r="AG36" s="483">
        <f t="shared" si="26"/>
        <v>26.165867456786323</v>
      </c>
      <c r="AH36" s="483">
        <f t="shared" si="27"/>
        <v>34.8878232757151</v>
      </c>
      <c r="AI36" s="483">
        <f t="shared" si="28"/>
        <v>43.609779094643876</v>
      </c>
      <c r="AJ36" s="483">
        <f t="shared" si="29"/>
        <v>62.299684420919817</v>
      </c>
      <c r="AK36" s="483">
        <f t="shared" si="30"/>
        <v>80.989589747195765</v>
      </c>
      <c r="AL36" s="483">
        <f t="shared" si="31"/>
        <v>99.679495073471713</v>
      </c>
      <c r="AM36" s="483">
        <f t="shared" si="32"/>
        <v>118.36940039974766</v>
      </c>
      <c r="AN36" s="483">
        <f t="shared" si="33"/>
        <v>137.05930572602361</v>
      </c>
      <c r="AO36" s="491">
        <v>1.4259332353960044</v>
      </c>
      <c r="AP36" s="491">
        <v>2.8518664707920087</v>
      </c>
      <c r="AQ36" s="491">
        <v>4.2777997061880129</v>
      </c>
      <c r="AR36" s="491">
        <v>5.7037329415840174</v>
      </c>
      <c r="AS36" s="491">
        <v>7.129666176980022</v>
      </c>
      <c r="AT36" s="491">
        <v>8.5555994123760257</v>
      </c>
      <c r="AU36" s="491">
        <v>11.61117063108175</v>
      </c>
      <c r="AV36" s="491">
        <v>14.666741849787472</v>
      </c>
      <c r="AW36" s="491">
        <v>17.722313068493197</v>
      </c>
      <c r="AX36" s="491">
        <v>20.777884287198923</v>
      </c>
      <c r="AY36" s="512">
        <v>0</v>
      </c>
      <c r="AZ36" s="491">
        <v>75.599999999999994</v>
      </c>
      <c r="BA36" s="491">
        <v>75.599999999999994</v>
      </c>
      <c r="BB36" s="491">
        <v>75.599999999999994</v>
      </c>
      <c r="BC36" s="491">
        <v>75.599999999999994</v>
      </c>
      <c r="BD36" s="491">
        <v>75.599999999999994</v>
      </c>
      <c r="BE36" s="491">
        <v>162</v>
      </c>
      <c r="BF36" s="491">
        <v>162</v>
      </c>
      <c r="BG36" s="491">
        <v>162</v>
      </c>
      <c r="BH36" s="491">
        <v>162</v>
      </c>
      <c r="BI36" s="491">
        <v>162</v>
      </c>
      <c r="BJ36" s="513">
        <v>0.1</v>
      </c>
      <c r="BK36" s="486">
        <v>0</v>
      </c>
      <c r="BL36" s="486">
        <v>0</v>
      </c>
      <c r="BM36" s="486">
        <v>0</v>
      </c>
      <c r="BN36" s="486">
        <v>0</v>
      </c>
      <c r="BO36" s="486">
        <v>0</v>
      </c>
      <c r="BP36" s="486">
        <v>0</v>
      </c>
      <c r="BQ36" s="486">
        <v>0</v>
      </c>
      <c r="BR36" s="486">
        <v>0</v>
      </c>
      <c r="BS36" s="486">
        <v>0</v>
      </c>
      <c r="BT36" s="486">
        <v>0</v>
      </c>
      <c r="BU36" s="491">
        <v>4.4540121048662948</v>
      </c>
      <c r="BV36" s="491">
        <v>6.6810181572994418</v>
      </c>
      <c r="BW36" s="491">
        <v>8.9080242097325897</v>
      </c>
      <c r="BX36" s="491">
        <v>11.135030262165737</v>
      </c>
      <c r="BY36" s="491">
        <v>13.362036314598884</v>
      </c>
      <c r="BZ36" s="491">
        <v>18.134192141241343</v>
      </c>
      <c r="CA36" s="491">
        <v>22.9063479678838</v>
      </c>
      <c r="CB36" s="491">
        <v>27.678503794526257</v>
      </c>
      <c r="CC36" s="491">
        <v>32.450659621168718</v>
      </c>
      <c r="CD36" s="491">
        <v>37.222815447811172</v>
      </c>
    </row>
    <row r="37" spans="2:82" x14ac:dyDescent="0.3">
      <c r="B37">
        <v>13</v>
      </c>
      <c r="C37" t="s">
        <v>824</v>
      </c>
      <c r="D37" s="477" t="s">
        <v>2442</v>
      </c>
      <c r="E37" s="477" t="s">
        <v>643</v>
      </c>
      <c r="F37" s="14">
        <v>2021</v>
      </c>
      <c r="G37" s="14">
        <v>2030</v>
      </c>
      <c r="H37" s="492">
        <f t="shared" si="12"/>
        <v>124.34006428421155</v>
      </c>
      <c r="I37" s="487">
        <f t="shared" si="13"/>
        <v>10.604471047097681</v>
      </c>
      <c r="J37" s="488">
        <v>106.04471047097681</v>
      </c>
      <c r="K37" s="486">
        <v>1.9614239036973347</v>
      </c>
      <c r="L37" s="486">
        <v>1.9555396319862415</v>
      </c>
      <c r="M37" s="486">
        <v>1.9496730130902842</v>
      </c>
      <c r="N37" s="486">
        <v>1.9438239940510145</v>
      </c>
      <c r="O37" s="486">
        <v>1.9379925220688581</v>
      </c>
      <c r="P37" s="486">
        <v>1.9321785445026536</v>
      </c>
      <c r="Q37" s="486">
        <v>1.9263820088691472</v>
      </c>
      <c r="R37" s="486">
        <v>1.9206028628425387</v>
      </c>
      <c r="S37" s="486">
        <v>1.9148410542540082</v>
      </c>
      <c r="T37" s="486">
        <v>1.9090965310912478</v>
      </c>
      <c r="U37" s="492">
        <f t="shared" si="14"/>
        <v>22.811360000000001</v>
      </c>
      <c r="V37" s="492">
        <f t="shared" si="15"/>
        <v>22.742925919999987</v>
      </c>
      <c r="W37" s="492">
        <f t="shared" si="16"/>
        <v>22.674697142240003</v>
      </c>
      <c r="X37" s="492">
        <f t="shared" si="17"/>
        <v>22.606673050813296</v>
      </c>
      <c r="Y37" s="492">
        <f t="shared" si="18"/>
        <v>22.538853031660818</v>
      </c>
      <c r="Z37" s="492">
        <f t="shared" si="19"/>
        <v>22.47123647256586</v>
      </c>
      <c r="AA37" s="492">
        <f t="shared" si="20"/>
        <v>22.403822763148181</v>
      </c>
      <c r="AB37" s="492">
        <f t="shared" si="21"/>
        <v>22.336611294858724</v>
      </c>
      <c r="AC37" s="492">
        <f t="shared" si="22"/>
        <v>22.269601460974112</v>
      </c>
      <c r="AD37" s="492">
        <f t="shared" si="23"/>
        <v>22.20279265659121</v>
      </c>
      <c r="AE37" s="484">
        <f t="shared" si="24"/>
        <v>22.811360000000001</v>
      </c>
      <c r="AF37" s="483">
        <f t="shared" si="25"/>
        <v>45.554285919999984</v>
      </c>
      <c r="AG37" s="483">
        <f t="shared" si="26"/>
        <v>68.22898306223999</v>
      </c>
      <c r="AH37" s="483">
        <f t="shared" si="27"/>
        <v>90.83565611305329</v>
      </c>
      <c r="AI37" s="483">
        <f t="shared" si="28"/>
        <v>113.37450914471411</v>
      </c>
      <c r="AJ37" s="483">
        <f t="shared" si="29"/>
        <v>135.84574561727996</v>
      </c>
      <c r="AK37" s="483">
        <f t="shared" si="30"/>
        <v>158.24956838042814</v>
      </c>
      <c r="AL37" s="483">
        <f t="shared" si="31"/>
        <v>180.58617967528687</v>
      </c>
      <c r="AM37" s="483">
        <f t="shared" si="32"/>
        <v>202.85578113626099</v>
      </c>
      <c r="AN37" s="483">
        <f t="shared" si="33"/>
        <v>225.0585737928522</v>
      </c>
      <c r="AO37" s="491">
        <v>5.7895672615816478</v>
      </c>
      <c r="AP37" s="491">
        <v>8.6713308890816538</v>
      </c>
      <c r="AQ37" s="491">
        <v>11.544449225699159</v>
      </c>
      <c r="AR37" s="491">
        <v>14.408948207306814</v>
      </c>
      <c r="AS37" s="491">
        <v>17.264853691969645</v>
      </c>
      <c r="AT37" s="491">
        <v>20.112191460178483</v>
      </c>
      <c r="AU37" s="491">
        <v>22.950987215082701</v>
      </c>
      <c r="AV37" s="491">
        <v>25.781266582722203</v>
      </c>
      <c r="AW37" s="491">
        <v>28.603055112258787</v>
      </c>
      <c r="AX37" s="491">
        <v>31.416378276206764</v>
      </c>
      <c r="AY37" s="512">
        <v>0</v>
      </c>
      <c r="AZ37" s="491">
        <v>0.12</v>
      </c>
      <c r="BA37" s="491">
        <v>0.12</v>
      </c>
      <c r="BB37" s="491">
        <v>0.12</v>
      </c>
      <c r="BC37" s="491">
        <v>0.12</v>
      </c>
      <c r="BD37" s="491">
        <v>0.12</v>
      </c>
      <c r="BE37" s="491">
        <v>0.12</v>
      </c>
      <c r="BF37" s="491">
        <v>0.12</v>
      </c>
      <c r="BG37" s="491">
        <v>0.12</v>
      </c>
      <c r="BH37" s="491">
        <v>0.12</v>
      </c>
      <c r="BI37" s="491">
        <v>0.12</v>
      </c>
      <c r="BJ37" s="513">
        <v>1</v>
      </c>
      <c r="BK37" s="486">
        <v>3.2539704649068826</v>
      </c>
      <c r="BL37" s="486">
        <v>4.8736379300303794</v>
      </c>
      <c r="BM37" s="486">
        <v>6.4884463927585072</v>
      </c>
      <c r="BN37" s="486">
        <v>8.0984104300984523</v>
      </c>
      <c r="BO37" s="486">
        <v>9.703544575326374</v>
      </c>
      <c r="BP37" s="486">
        <v>11.303863318118614</v>
      </c>
      <c r="BQ37" s="486">
        <v>12.89938110468248</v>
      </c>
      <c r="BR37" s="486">
        <v>14.490112337886648</v>
      </c>
      <c r="BS37" s="486">
        <v>16.076071377391205</v>
      </c>
      <c r="BT37" s="486">
        <v>17.657272539777253</v>
      </c>
      <c r="BU37" s="491">
        <v>10.812842067456002</v>
      </c>
      <c r="BV37" s="491">
        <v>16.194946389253634</v>
      </c>
      <c r="BW37" s="491">
        <v>21.560904398085874</v>
      </c>
      <c r="BX37" s="491">
        <v>26.910764532891619</v>
      </c>
      <c r="BY37" s="491">
        <v>32.244575087292944</v>
      </c>
      <c r="BZ37" s="491">
        <v>37.562384210031063</v>
      </c>
      <c r="CA37" s="491">
        <v>42.864239905400979</v>
      </c>
      <c r="CB37" s="491">
        <v>48.150190033684773</v>
      </c>
      <c r="CC37" s="491">
        <v>53.420282311583719</v>
      </c>
      <c r="CD37" s="491">
        <v>58.674564312648968</v>
      </c>
    </row>
    <row r="38" spans="2:82" x14ac:dyDescent="0.3">
      <c r="B38">
        <v>14</v>
      </c>
      <c r="C38" t="s">
        <v>828</v>
      </c>
      <c r="D38" s="477" t="s">
        <v>2443</v>
      </c>
      <c r="E38" s="477" t="s">
        <v>817</v>
      </c>
      <c r="F38" s="14">
        <v>2021</v>
      </c>
      <c r="G38" s="14">
        <v>2030</v>
      </c>
      <c r="H38" s="492">
        <f t="shared" si="12"/>
        <v>235.49999999999994</v>
      </c>
      <c r="I38" s="487">
        <f t="shared" si="13"/>
        <v>23.049057111111107</v>
      </c>
      <c r="J38" s="488">
        <v>230.49057111111108</v>
      </c>
      <c r="K38" s="486">
        <v>3.7498805770516856</v>
      </c>
      <c r="L38" s="486">
        <v>3.7498805770516874</v>
      </c>
      <c r="M38" s="486">
        <v>3.7498805770516839</v>
      </c>
      <c r="N38" s="486">
        <v>3.7498805770516861</v>
      </c>
      <c r="O38" s="486">
        <v>3.7498805770516888</v>
      </c>
      <c r="P38" s="486">
        <v>3.7498805770516839</v>
      </c>
      <c r="Q38" s="486">
        <v>3.7498805770516839</v>
      </c>
      <c r="R38" s="486">
        <v>3.7498805770516839</v>
      </c>
      <c r="S38" s="486">
        <v>3.7498805770516888</v>
      </c>
      <c r="T38" s="486">
        <v>0</v>
      </c>
      <c r="U38" s="492">
        <f t="shared" si="14"/>
        <v>43.6111111111111</v>
      </c>
      <c r="V38" s="492">
        <f t="shared" si="15"/>
        <v>43.611111111111121</v>
      </c>
      <c r="W38" s="492">
        <f t="shared" si="16"/>
        <v>43.611111111111079</v>
      </c>
      <c r="X38" s="492">
        <f t="shared" si="17"/>
        <v>43.611111111111107</v>
      </c>
      <c r="Y38" s="492">
        <f t="shared" si="18"/>
        <v>43.611111111111136</v>
      </c>
      <c r="Z38" s="492">
        <f t="shared" si="19"/>
        <v>43.611111111111079</v>
      </c>
      <c r="AA38" s="492">
        <f t="shared" si="20"/>
        <v>43.611111111111079</v>
      </c>
      <c r="AB38" s="492">
        <f t="shared" si="21"/>
        <v>43.611111111111079</v>
      </c>
      <c r="AC38" s="492">
        <f t="shared" si="22"/>
        <v>43.611111111111136</v>
      </c>
      <c r="AD38" s="492">
        <f t="shared" si="23"/>
        <v>0</v>
      </c>
      <c r="AE38" s="484">
        <f t="shared" si="24"/>
        <v>43.6111111111111</v>
      </c>
      <c r="AF38" s="483">
        <f t="shared" si="25"/>
        <v>87.222222222222229</v>
      </c>
      <c r="AG38" s="483">
        <f t="shared" si="26"/>
        <v>130.83333333333331</v>
      </c>
      <c r="AH38" s="483">
        <f t="shared" si="27"/>
        <v>174.44444444444443</v>
      </c>
      <c r="AI38" s="483">
        <f t="shared" si="28"/>
        <v>218.05555555555557</v>
      </c>
      <c r="AJ38" s="483">
        <f t="shared" si="29"/>
        <v>261.66666666666663</v>
      </c>
      <c r="AK38" s="483">
        <f t="shared" si="30"/>
        <v>305.27777777777771</v>
      </c>
      <c r="AL38" s="483">
        <f t="shared" si="31"/>
        <v>348.8888888888888</v>
      </c>
      <c r="AM38" s="483">
        <f t="shared" si="32"/>
        <v>392.49999999999994</v>
      </c>
      <c r="AN38" s="483">
        <f t="shared" si="33"/>
        <v>392.49999999999994</v>
      </c>
      <c r="AO38" s="491">
        <v>13.653439583333336</v>
      </c>
      <c r="AP38" s="491">
        <v>20.48015937500001</v>
      </c>
      <c r="AQ38" s="491">
        <v>27.306879166666672</v>
      </c>
      <c r="AR38" s="491">
        <v>34.133598958333344</v>
      </c>
      <c r="AS38" s="491">
        <v>40.960318750000006</v>
      </c>
      <c r="AT38" s="491">
        <v>47.787038541666675</v>
      </c>
      <c r="AU38" s="491">
        <v>54.613758333333337</v>
      </c>
      <c r="AV38" s="491">
        <v>61.440478125000006</v>
      </c>
      <c r="AW38" s="491">
        <v>68.267197916666689</v>
      </c>
      <c r="AX38" s="491">
        <v>68.267197916666689</v>
      </c>
      <c r="AY38" s="512">
        <v>0</v>
      </c>
      <c r="AZ38" s="491">
        <v>3.28</v>
      </c>
      <c r="BA38" s="491">
        <v>4.92</v>
      </c>
      <c r="BB38" s="491">
        <v>6.56</v>
      </c>
      <c r="BC38" s="491">
        <v>8.1999999999999993</v>
      </c>
      <c r="BD38" s="491">
        <v>9.8399999999999981</v>
      </c>
      <c r="BE38" s="491">
        <v>11.479999999999999</v>
      </c>
      <c r="BF38" s="491">
        <v>13.119999999999997</v>
      </c>
      <c r="BG38" s="491">
        <v>14.759999999999998</v>
      </c>
      <c r="BH38" s="491">
        <v>16.399999999999999</v>
      </c>
      <c r="BI38" s="491">
        <v>16.399999999999999</v>
      </c>
      <c r="BJ38" s="513">
        <v>1</v>
      </c>
      <c r="BK38" s="486">
        <v>3.9228303472222223</v>
      </c>
      <c r="BL38" s="486">
        <v>5.8842455208333346</v>
      </c>
      <c r="BM38" s="486">
        <v>7.8456606944444447</v>
      </c>
      <c r="BN38" s="486">
        <v>9.8070758680555556</v>
      </c>
      <c r="BO38" s="486">
        <v>11.768491041666666</v>
      </c>
      <c r="BP38" s="486">
        <v>13.729906215277778</v>
      </c>
      <c r="BQ38" s="486">
        <v>15.691321388888888</v>
      </c>
      <c r="BR38" s="486">
        <v>17.652736562499999</v>
      </c>
      <c r="BS38" s="486">
        <v>19.614151736111111</v>
      </c>
      <c r="BT38" s="486">
        <v>19.614151736111111</v>
      </c>
      <c r="BU38" s="491">
        <v>20.641104000000002</v>
      </c>
      <c r="BV38" s="491">
        <v>30.961656000000005</v>
      </c>
      <c r="BW38" s="491">
        <v>41.282208000000004</v>
      </c>
      <c r="BX38" s="491">
        <v>51.602760000000004</v>
      </c>
      <c r="BY38" s="491">
        <v>61.923312000000003</v>
      </c>
      <c r="BZ38" s="491">
        <v>72.243864000000002</v>
      </c>
      <c r="CA38" s="491">
        <v>82.564415999999994</v>
      </c>
      <c r="CB38" s="491">
        <v>92.884968000000001</v>
      </c>
      <c r="CC38" s="491">
        <v>103.20552000000001</v>
      </c>
      <c r="CD38" s="491">
        <v>103.20552000000001</v>
      </c>
    </row>
    <row r="39" spans="2:82" x14ac:dyDescent="0.3">
      <c r="B39">
        <v>16</v>
      </c>
      <c r="C39" t="s">
        <v>2444</v>
      </c>
      <c r="D39" s="477" t="s">
        <v>2445</v>
      </c>
      <c r="E39" s="477" t="s">
        <v>2446</v>
      </c>
      <c r="F39" s="14">
        <v>2021</v>
      </c>
      <c r="G39" s="14">
        <v>2030</v>
      </c>
      <c r="H39" s="492">
        <f t="shared" si="12"/>
        <v>301.55999999999995</v>
      </c>
      <c r="I39" s="487">
        <f t="shared" si="13"/>
        <v>22.622272444444441</v>
      </c>
      <c r="J39" s="488">
        <v>226.22272444444442</v>
      </c>
      <c r="K39" s="486">
        <v>4.8017579057991782</v>
      </c>
      <c r="L39" s="486">
        <v>4.8017579057991773</v>
      </c>
      <c r="M39" s="486">
        <v>4.8017579057991799</v>
      </c>
      <c r="N39" s="486">
        <v>4.8017579057991773</v>
      </c>
      <c r="O39" s="486">
        <v>4.8017579057991773</v>
      </c>
      <c r="P39" s="486">
        <v>4.8017579057991773</v>
      </c>
      <c r="Q39" s="486">
        <v>4.8017579057991817</v>
      </c>
      <c r="R39" s="486">
        <v>4.8017579057991773</v>
      </c>
      <c r="S39" s="486">
        <v>4.8017579057991773</v>
      </c>
      <c r="T39" s="486">
        <v>0</v>
      </c>
      <c r="U39" s="492">
        <f t="shared" si="14"/>
        <v>55.844444444444434</v>
      </c>
      <c r="V39" s="492">
        <f t="shared" si="15"/>
        <v>55.844444444444427</v>
      </c>
      <c r="W39" s="492">
        <f t="shared" si="16"/>
        <v>55.844444444444456</v>
      </c>
      <c r="X39" s="492">
        <f t="shared" si="17"/>
        <v>55.844444444444427</v>
      </c>
      <c r="Y39" s="492">
        <f t="shared" si="18"/>
        <v>55.844444444444427</v>
      </c>
      <c r="Z39" s="492">
        <f t="shared" si="19"/>
        <v>55.844444444444427</v>
      </c>
      <c r="AA39" s="492">
        <f t="shared" si="20"/>
        <v>55.844444444444477</v>
      </c>
      <c r="AB39" s="492">
        <f t="shared" si="21"/>
        <v>55.844444444444427</v>
      </c>
      <c r="AC39" s="492">
        <f t="shared" si="22"/>
        <v>55.844444444444427</v>
      </c>
      <c r="AD39" s="492">
        <f t="shared" si="23"/>
        <v>0</v>
      </c>
      <c r="AE39" s="484">
        <f t="shared" si="24"/>
        <v>55.844444444444434</v>
      </c>
      <c r="AF39" s="483">
        <f t="shared" si="25"/>
        <v>111.68888888888887</v>
      </c>
      <c r="AG39" s="483">
        <f t="shared" si="26"/>
        <v>167.53333333333333</v>
      </c>
      <c r="AH39" s="483">
        <f t="shared" si="27"/>
        <v>223.37777777777777</v>
      </c>
      <c r="AI39" s="483">
        <f t="shared" si="28"/>
        <v>279.22222222222217</v>
      </c>
      <c r="AJ39" s="483">
        <f t="shared" si="29"/>
        <v>335.06666666666661</v>
      </c>
      <c r="AK39" s="483">
        <f t="shared" si="30"/>
        <v>390.9111111111111</v>
      </c>
      <c r="AL39" s="483">
        <f t="shared" si="31"/>
        <v>446.75555555555553</v>
      </c>
      <c r="AM39" s="483">
        <f t="shared" si="32"/>
        <v>502.59999999999997</v>
      </c>
      <c r="AN39" s="483">
        <f t="shared" si="33"/>
        <v>502.59999999999997</v>
      </c>
      <c r="AO39" s="491">
        <v>17.483359833333335</v>
      </c>
      <c r="AP39" s="491">
        <v>26.225039750000001</v>
      </c>
      <c r="AQ39" s="491">
        <v>34.96671966666667</v>
      </c>
      <c r="AR39" s="491">
        <v>43.708399583333332</v>
      </c>
      <c r="AS39" s="491">
        <v>52.450079500000001</v>
      </c>
      <c r="AT39" s="491">
        <v>61.19175941666667</v>
      </c>
      <c r="AU39" s="491">
        <v>69.93343933333334</v>
      </c>
      <c r="AV39" s="491">
        <v>78.675119250000009</v>
      </c>
      <c r="AW39" s="491">
        <v>87.416799166666664</v>
      </c>
      <c r="AX39" s="491">
        <v>87.416799166666664</v>
      </c>
      <c r="AY39" s="512">
        <v>0</v>
      </c>
      <c r="AZ39" s="491">
        <v>2</v>
      </c>
      <c r="BA39" s="491">
        <v>3</v>
      </c>
      <c r="BB39" s="491">
        <v>4</v>
      </c>
      <c r="BC39" s="491">
        <v>5</v>
      </c>
      <c r="BD39" s="491">
        <v>6</v>
      </c>
      <c r="BE39" s="491">
        <v>7</v>
      </c>
      <c r="BF39" s="491">
        <v>8</v>
      </c>
      <c r="BG39" s="491">
        <v>9</v>
      </c>
      <c r="BH39" s="491">
        <v>10</v>
      </c>
      <c r="BI39" s="491">
        <v>10</v>
      </c>
      <c r="BJ39" s="513">
        <v>1</v>
      </c>
      <c r="BK39" s="486">
        <v>5.0694601388888882</v>
      </c>
      <c r="BL39" s="486">
        <v>7.604190208333331</v>
      </c>
      <c r="BM39" s="486">
        <v>10.138920277777776</v>
      </c>
      <c r="BN39" s="486">
        <v>12.673650347222219</v>
      </c>
      <c r="BO39" s="486">
        <v>15.208380416666662</v>
      </c>
      <c r="BP39" s="486">
        <v>17.743110486111107</v>
      </c>
      <c r="BQ39" s="486">
        <v>20.277840555555553</v>
      </c>
      <c r="BR39" s="486">
        <v>22.812570624999996</v>
      </c>
      <c r="BS39" s="486">
        <v>25.347300694444439</v>
      </c>
      <c r="BT39" s="486">
        <v>25.347300694444439</v>
      </c>
      <c r="BU39" s="491">
        <v>26.431130880000008</v>
      </c>
      <c r="BV39" s="491">
        <v>39.646696320000011</v>
      </c>
      <c r="BW39" s="491">
        <v>52.862261760000017</v>
      </c>
      <c r="BX39" s="491">
        <v>66.077827200000016</v>
      </c>
      <c r="BY39" s="491">
        <v>79.293392640000022</v>
      </c>
      <c r="BZ39" s="491">
        <v>92.508958080000014</v>
      </c>
      <c r="CA39" s="491">
        <v>105.72452352000003</v>
      </c>
      <c r="CB39" s="491">
        <v>118.94008896000003</v>
      </c>
      <c r="CC39" s="491">
        <v>132.15565440000003</v>
      </c>
      <c r="CD39" s="491">
        <v>132.15565440000003</v>
      </c>
    </row>
    <row r="40" spans="2:82" x14ac:dyDescent="0.3">
      <c r="B40">
        <v>20</v>
      </c>
      <c r="C40" t="s">
        <v>844</v>
      </c>
      <c r="D40" s="477" t="s">
        <v>2447</v>
      </c>
      <c r="E40" s="477" t="s">
        <v>834</v>
      </c>
      <c r="F40" s="14">
        <v>2021</v>
      </c>
      <c r="G40" s="14">
        <v>2030</v>
      </c>
      <c r="H40" s="492">
        <f t="shared" si="12"/>
        <v>142.25128439481284</v>
      </c>
      <c r="I40" s="487">
        <f t="shared" si="13"/>
        <v>2.5</v>
      </c>
      <c r="J40" s="488">
        <v>25</v>
      </c>
      <c r="K40" s="486">
        <v>0</v>
      </c>
      <c r="L40" s="486">
        <v>2.7180908454153596</v>
      </c>
      <c r="M40" s="486">
        <v>2.7180908454153596</v>
      </c>
      <c r="N40" s="486">
        <v>2.7180908454153609</v>
      </c>
      <c r="O40" s="486">
        <v>2.7180908454153583</v>
      </c>
      <c r="P40" s="486">
        <v>2.7180908454153596</v>
      </c>
      <c r="Q40" s="486">
        <v>2.7180908454153596</v>
      </c>
      <c r="R40" s="486">
        <v>2.7180908454153623</v>
      </c>
      <c r="S40" s="486">
        <v>2.7180908454153547</v>
      </c>
      <c r="T40" s="486">
        <v>2.7180908454153645</v>
      </c>
      <c r="U40" s="492">
        <f t="shared" si="14"/>
        <v>0</v>
      </c>
      <c r="V40" s="492">
        <f t="shared" si="15"/>
        <v>31.611396532180631</v>
      </c>
      <c r="W40" s="492">
        <f t="shared" si="16"/>
        <v>31.611396532180631</v>
      </c>
      <c r="X40" s="492">
        <f t="shared" si="17"/>
        <v>31.611396532180645</v>
      </c>
      <c r="Y40" s="492">
        <f t="shared" si="18"/>
        <v>31.611396532180613</v>
      </c>
      <c r="Z40" s="492">
        <f t="shared" si="19"/>
        <v>31.611396532180631</v>
      </c>
      <c r="AA40" s="492">
        <f t="shared" si="20"/>
        <v>31.611396532180631</v>
      </c>
      <c r="AB40" s="492">
        <f t="shared" si="21"/>
        <v>31.61139653218066</v>
      </c>
      <c r="AC40" s="492">
        <f t="shared" si="22"/>
        <v>31.611396532180574</v>
      </c>
      <c r="AD40" s="492">
        <f t="shared" si="23"/>
        <v>31.611396532180688</v>
      </c>
      <c r="AE40" s="484">
        <f t="shared" si="24"/>
        <v>0</v>
      </c>
      <c r="AF40" s="483">
        <f t="shared" si="25"/>
        <v>31.611396532180631</v>
      </c>
      <c r="AG40" s="483">
        <f t="shared" si="26"/>
        <v>63.222793064361262</v>
      </c>
      <c r="AH40" s="483">
        <f t="shared" si="27"/>
        <v>94.834189596541904</v>
      </c>
      <c r="AI40" s="483">
        <f t="shared" si="28"/>
        <v>126.44558612872251</v>
      </c>
      <c r="AJ40" s="483">
        <f t="shared" si="29"/>
        <v>158.05698266090315</v>
      </c>
      <c r="AK40" s="483">
        <f t="shared" si="30"/>
        <v>189.66837919308378</v>
      </c>
      <c r="AL40" s="483">
        <f t="shared" si="31"/>
        <v>221.27977572526444</v>
      </c>
      <c r="AM40" s="483">
        <f t="shared" si="32"/>
        <v>252.89117225744502</v>
      </c>
      <c r="AN40" s="483">
        <f t="shared" si="33"/>
        <v>284.50256878962568</v>
      </c>
      <c r="AO40" s="491">
        <v>0</v>
      </c>
      <c r="AP40" s="491">
        <v>0.99750000000000005</v>
      </c>
      <c r="AQ40" s="491">
        <v>1.9950000000000001</v>
      </c>
      <c r="AR40" s="491">
        <v>2.992500000000001</v>
      </c>
      <c r="AS40" s="491">
        <v>3.99</v>
      </c>
      <c r="AT40" s="491">
        <v>4.9874999999999998</v>
      </c>
      <c r="AU40" s="491">
        <v>5.9850000000000003</v>
      </c>
      <c r="AV40" s="491">
        <v>6.9825000000000017</v>
      </c>
      <c r="AW40" s="491">
        <v>7.979999999999996</v>
      </c>
      <c r="AX40" s="491">
        <v>8.9774999999999991</v>
      </c>
      <c r="AY40" s="512">
        <v>1</v>
      </c>
      <c r="AZ40" s="491">
        <v>2.5</v>
      </c>
      <c r="BA40" s="491">
        <v>2.5</v>
      </c>
      <c r="BB40" s="491">
        <v>2.5</v>
      </c>
      <c r="BC40" s="491">
        <v>2.5</v>
      </c>
      <c r="BD40" s="491">
        <v>2.5</v>
      </c>
      <c r="BE40" s="491">
        <v>2.5</v>
      </c>
      <c r="BF40" s="491">
        <v>2.5</v>
      </c>
      <c r="BG40" s="491">
        <v>2.5</v>
      </c>
      <c r="BH40" s="491">
        <v>2.5</v>
      </c>
      <c r="BI40" s="491">
        <v>2.5</v>
      </c>
      <c r="BJ40" s="513">
        <v>1</v>
      </c>
      <c r="BK40" s="486">
        <v>0</v>
      </c>
      <c r="BL40" s="486">
        <v>0</v>
      </c>
      <c r="BM40" s="486">
        <v>0</v>
      </c>
      <c r="BN40" s="486">
        <v>0</v>
      </c>
      <c r="BO40" s="486">
        <v>0</v>
      </c>
      <c r="BP40" s="486">
        <v>0</v>
      </c>
      <c r="BQ40" s="486">
        <v>0</v>
      </c>
      <c r="BR40" s="486">
        <v>0</v>
      </c>
      <c r="BS40" s="486">
        <v>0</v>
      </c>
      <c r="BT40" s="486">
        <v>0</v>
      </c>
      <c r="BU40" s="491">
        <v>0</v>
      </c>
      <c r="BV40" s="491">
        <v>7.5</v>
      </c>
      <c r="BW40" s="491">
        <v>15</v>
      </c>
      <c r="BX40" s="491">
        <v>22.500000000000004</v>
      </c>
      <c r="BY40" s="491">
        <v>30</v>
      </c>
      <c r="BZ40" s="491">
        <v>37.5</v>
      </c>
      <c r="CA40" s="491">
        <v>45</v>
      </c>
      <c r="CB40" s="491">
        <v>52.5</v>
      </c>
      <c r="CC40" s="491">
        <v>59.999999999999993</v>
      </c>
      <c r="CD40" s="491">
        <v>67.5</v>
      </c>
    </row>
    <row r="41" spans="2:82" x14ac:dyDescent="0.3">
      <c r="B41">
        <v>28</v>
      </c>
      <c r="C41" t="s">
        <v>2448</v>
      </c>
      <c r="D41" s="510" t="s">
        <v>2449</v>
      </c>
      <c r="E41" s="510" t="s">
        <v>795</v>
      </c>
      <c r="F41" s="14">
        <v>2021</v>
      </c>
      <c r="G41" s="14">
        <v>2030</v>
      </c>
      <c r="H41" s="492">
        <f t="shared" si="12"/>
        <v>31.804445474999994</v>
      </c>
      <c r="I41" s="487">
        <f t="shared" si="13"/>
        <v>4</v>
      </c>
      <c r="J41" s="488">
        <v>40</v>
      </c>
      <c r="K41" s="486">
        <v>0.49721637575236449</v>
      </c>
      <c r="L41" s="486">
        <v>0.49721637575236449</v>
      </c>
      <c r="M41" s="486">
        <v>0.4972163757523646</v>
      </c>
      <c r="N41" s="486">
        <v>0.49721637575236444</v>
      </c>
      <c r="O41" s="486">
        <v>0.49721637575236444</v>
      </c>
      <c r="P41" s="486">
        <v>0.49721637575236471</v>
      </c>
      <c r="Q41" s="486">
        <v>0.49721637575236471</v>
      </c>
      <c r="R41" s="486">
        <v>0.49721637575236471</v>
      </c>
      <c r="S41" s="486">
        <v>0.49721637575236471</v>
      </c>
      <c r="T41" s="486">
        <v>0.49721637575236471</v>
      </c>
      <c r="U41" s="492">
        <f t="shared" si="14"/>
        <v>5.7826264499999986</v>
      </c>
      <c r="V41" s="492">
        <f t="shared" si="15"/>
        <v>5.7826264499999986</v>
      </c>
      <c r="W41" s="492">
        <f t="shared" si="16"/>
        <v>5.7826264499999995</v>
      </c>
      <c r="X41" s="492">
        <f t="shared" si="17"/>
        <v>5.7826264499999978</v>
      </c>
      <c r="Y41" s="492">
        <f t="shared" si="18"/>
        <v>5.7826264499999978</v>
      </c>
      <c r="Z41" s="492">
        <f t="shared" si="19"/>
        <v>5.7826264500000013</v>
      </c>
      <c r="AA41" s="492">
        <f t="shared" si="20"/>
        <v>5.7826264500000013</v>
      </c>
      <c r="AB41" s="492">
        <f t="shared" si="21"/>
        <v>5.7826264500000013</v>
      </c>
      <c r="AC41" s="492">
        <f t="shared" si="22"/>
        <v>5.7826264500000013</v>
      </c>
      <c r="AD41" s="492">
        <f t="shared" si="23"/>
        <v>5.7826264500000013</v>
      </c>
      <c r="AE41" s="484">
        <f t="shared" si="24"/>
        <v>5.7826264499999986</v>
      </c>
      <c r="AF41" s="483">
        <f t="shared" si="25"/>
        <v>11.565252899999997</v>
      </c>
      <c r="AG41" s="483">
        <f t="shared" si="26"/>
        <v>17.347879349999996</v>
      </c>
      <c r="AH41" s="483">
        <f t="shared" si="27"/>
        <v>23.130505799999995</v>
      </c>
      <c r="AI41" s="483">
        <f t="shared" si="28"/>
        <v>28.913132249999993</v>
      </c>
      <c r="AJ41" s="483">
        <f t="shared" si="29"/>
        <v>34.695758699999992</v>
      </c>
      <c r="AK41" s="483">
        <f t="shared" si="30"/>
        <v>40.478385149999994</v>
      </c>
      <c r="AL41" s="483">
        <f t="shared" si="31"/>
        <v>46.261011599999996</v>
      </c>
      <c r="AM41" s="483">
        <f t="shared" si="32"/>
        <v>52.043638049999998</v>
      </c>
      <c r="AN41" s="483">
        <f t="shared" si="33"/>
        <v>57.826264500000001</v>
      </c>
      <c r="AO41" s="491">
        <v>0.28913132249999995</v>
      </c>
      <c r="AP41" s="491">
        <v>0.57826264499999991</v>
      </c>
      <c r="AQ41" s="491">
        <v>0.86739396749999986</v>
      </c>
      <c r="AR41" s="491">
        <v>1.1565252899999998</v>
      </c>
      <c r="AS41" s="491">
        <v>1.4456566124999999</v>
      </c>
      <c r="AT41" s="491">
        <v>1.7347879349999997</v>
      </c>
      <c r="AU41" s="491">
        <v>2.0239192574999998</v>
      </c>
      <c r="AV41" s="491">
        <v>2.3130505800000001</v>
      </c>
      <c r="AW41" s="491">
        <v>2.6021819025000004</v>
      </c>
      <c r="AX41" s="491">
        <v>2.8913132250000002</v>
      </c>
      <c r="AY41" s="512">
        <v>0</v>
      </c>
      <c r="AZ41" s="491">
        <v>4</v>
      </c>
      <c r="BA41" s="491">
        <v>4</v>
      </c>
      <c r="BB41" s="491">
        <v>4</v>
      </c>
      <c r="BC41" s="491">
        <v>4</v>
      </c>
      <c r="BD41" s="491">
        <v>4</v>
      </c>
      <c r="BE41" s="491">
        <v>4</v>
      </c>
      <c r="BF41" s="491">
        <v>4</v>
      </c>
      <c r="BG41" s="491">
        <v>4</v>
      </c>
      <c r="BH41" s="491">
        <v>4</v>
      </c>
      <c r="BI41" s="491">
        <v>4</v>
      </c>
      <c r="BJ41" s="513">
        <v>1</v>
      </c>
      <c r="BK41" s="486">
        <v>0</v>
      </c>
      <c r="BL41" s="486">
        <v>0</v>
      </c>
      <c r="BM41" s="486">
        <v>0</v>
      </c>
      <c r="BN41" s="486">
        <v>0</v>
      </c>
      <c r="BO41" s="486">
        <v>0</v>
      </c>
      <c r="BP41" s="486">
        <v>0</v>
      </c>
      <c r="BQ41" s="486">
        <v>0</v>
      </c>
      <c r="BR41" s="486">
        <v>0</v>
      </c>
      <c r="BS41" s="486">
        <v>0</v>
      </c>
      <c r="BT41" s="486">
        <v>0</v>
      </c>
      <c r="BU41" s="491">
        <v>1.8266548132534548</v>
      </c>
      <c r="BV41" s="491">
        <v>3.4508550067377697</v>
      </c>
      <c r="BW41" s="491">
        <v>4.8726005804529446</v>
      </c>
      <c r="BX41" s="491">
        <v>6.0918915343989788</v>
      </c>
      <c r="BY41" s="491">
        <v>7.1087278685758735</v>
      </c>
      <c r="BZ41" s="491">
        <v>7.9231095829836278</v>
      </c>
      <c r="CA41" s="491">
        <v>8.5350366776222444</v>
      </c>
      <c r="CB41" s="491">
        <v>8.9445091524917189</v>
      </c>
      <c r="CC41" s="491">
        <v>9.151527007592053</v>
      </c>
      <c r="CD41" s="491">
        <v>9.1560902429232485</v>
      </c>
    </row>
    <row r="42" spans="2:82" x14ac:dyDescent="0.3">
      <c r="B42">
        <v>30</v>
      </c>
      <c r="C42" t="s">
        <v>2450</v>
      </c>
      <c r="D42" s="477" t="s">
        <v>2451</v>
      </c>
      <c r="E42" s="477" t="s">
        <v>811</v>
      </c>
      <c r="F42" s="14">
        <v>2021</v>
      </c>
      <c r="G42" s="14">
        <v>2030</v>
      </c>
      <c r="H42" s="492">
        <f t="shared" si="12"/>
        <v>8.1423745992617569</v>
      </c>
      <c r="I42" s="487">
        <f t="shared" si="13"/>
        <v>2.2693474358974357</v>
      </c>
      <c r="J42" s="488">
        <v>22.693474358974356</v>
      </c>
      <c r="K42" s="486">
        <v>0</v>
      </c>
      <c r="L42" s="486">
        <v>0</v>
      </c>
      <c r="M42" s="486">
        <v>0</v>
      </c>
      <c r="N42" s="486">
        <v>0</v>
      </c>
      <c r="O42" s="486">
        <v>0.21970572666638213</v>
      </c>
      <c r="P42" s="486">
        <v>0.26822407463854153</v>
      </c>
      <c r="Q42" s="486">
        <v>0.31996935047111325</v>
      </c>
      <c r="R42" s="486">
        <v>0.45396238052177312</v>
      </c>
      <c r="S42" s="486">
        <v>0.47615556257800173</v>
      </c>
      <c r="T42" s="486">
        <v>0.74775154081866313</v>
      </c>
      <c r="U42" s="492">
        <f t="shared" si="14"/>
        <v>0</v>
      </c>
      <c r="V42" s="492">
        <f t="shared" si="15"/>
        <v>0</v>
      </c>
      <c r="W42" s="492">
        <f t="shared" si="16"/>
        <v>0</v>
      </c>
      <c r="X42" s="492">
        <f t="shared" si="17"/>
        <v>0</v>
      </c>
      <c r="Y42" s="492">
        <f t="shared" si="18"/>
        <v>2.555177601130024</v>
      </c>
      <c r="Z42" s="492">
        <f t="shared" si="19"/>
        <v>3.119445988046238</v>
      </c>
      <c r="AA42" s="492">
        <f t="shared" si="20"/>
        <v>3.7212435459790467</v>
      </c>
      <c r="AB42" s="492">
        <f t="shared" si="21"/>
        <v>5.2795824854682207</v>
      </c>
      <c r="AC42" s="492">
        <f t="shared" si="22"/>
        <v>5.5376891927821594</v>
      </c>
      <c r="AD42" s="492">
        <f t="shared" si="23"/>
        <v>8.6963504197210515</v>
      </c>
      <c r="AE42" s="484">
        <f t="shared" si="24"/>
        <v>0</v>
      </c>
      <c r="AF42" s="483">
        <f t="shared" si="25"/>
        <v>0</v>
      </c>
      <c r="AG42" s="483">
        <f t="shared" si="26"/>
        <v>0</v>
      </c>
      <c r="AH42" s="483">
        <f t="shared" si="27"/>
        <v>0</v>
      </c>
      <c r="AI42" s="483">
        <f t="shared" si="28"/>
        <v>2.555177601130024</v>
      </c>
      <c r="AJ42" s="483">
        <f t="shared" si="29"/>
        <v>5.674623589176262</v>
      </c>
      <c r="AK42" s="483">
        <f t="shared" si="30"/>
        <v>9.3958671351553082</v>
      </c>
      <c r="AL42" s="483">
        <f t="shared" si="31"/>
        <v>14.675449620623528</v>
      </c>
      <c r="AM42" s="483">
        <f t="shared" si="32"/>
        <v>20.213138813405688</v>
      </c>
      <c r="AN42" s="483">
        <f t="shared" si="33"/>
        <v>28.909489233126742</v>
      </c>
      <c r="AO42" s="491">
        <v>0</v>
      </c>
      <c r="AP42" s="491">
        <v>0</v>
      </c>
      <c r="AQ42" s="491">
        <v>0</v>
      </c>
      <c r="AR42" s="491">
        <v>0</v>
      </c>
      <c r="AS42" s="491">
        <v>-0.14363999999999999</v>
      </c>
      <c r="AT42" s="491">
        <v>-0.29792000000000007</v>
      </c>
      <c r="AU42" s="491">
        <v>-0.46284000000000008</v>
      </c>
      <c r="AV42" s="491">
        <v>-0.65968000000000016</v>
      </c>
      <c r="AW42" s="491">
        <v>-0.85652000000000017</v>
      </c>
      <c r="AX42" s="491">
        <v>-1.1172000000000002</v>
      </c>
      <c r="AY42" s="512">
        <v>0</v>
      </c>
      <c r="AZ42" s="491">
        <v>0</v>
      </c>
      <c r="BA42" s="491">
        <v>0</v>
      </c>
      <c r="BB42" s="491">
        <v>0</v>
      </c>
      <c r="BC42" s="491">
        <v>0</v>
      </c>
      <c r="BD42" s="491">
        <v>5.0095000000000001</v>
      </c>
      <c r="BE42" s="491">
        <v>4.8284999999999991</v>
      </c>
      <c r="BF42" s="491">
        <v>4.4569999999999999</v>
      </c>
      <c r="BG42" s="491">
        <v>4.3140000000000001</v>
      </c>
      <c r="BH42" s="491">
        <v>3.2709999999999999</v>
      </c>
      <c r="BI42" s="491">
        <v>2.2850000000000001</v>
      </c>
      <c r="BJ42" s="513">
        <v>1</v>
      </c>
      <c r="BK42" s="486">
        <v>0</v>
      </c>
      <c r="BL42" s="486">
        <v>0</v>
      </c>
      <c r="BM42" s="486">
        <v>0</v>
      </c>
      <c r="BN42" s="486">
        <v>0</v>
      </c>
      <c r="BO42" s="486">
        <v>5.9746153846153803E-2</v>
      </c>
      <c r="BP42" s="486">
        <v>0.12391794871794901</v>
      </c>
      <c r="BQ42" s="486">
        <v>0.192515384615385</v>
      </c>
      <c r="BR42" s="486">
        <v>0.274389743589744</v>
      </c>
      <c r="BS42" s="486">
        <v>0.35626410256410301</v>
      </c>
      <c r="BT42" s="486">
        <v>0.46469230769230802</v>
      </c>
      <c r="BU42" s="491">
        <v>0</v>
      </c>
      <c r="BV42" s="491">
        <v>0</v>
      </c>
      <c r="BW42" s="491">
        <v>0</v>
      </c>
      <c r="BX42" s="491">
        <v>0</v>
      </c>
      <c r="BY42" s="491">
        <v>0.60468175723637985</v>
      </c>
      <c r="BZ42" s="491">
        <v>1.3428974025291269</v>
      </c>
      <c r="CA42" s="491">
        <v>2.2235281991876499</v>
      </c>
      <c r="CB42" s="491">
        <v>3.4729392825407106</v>
      </c>
      <c r="CC42" s="491">
        <v>4.7834312149369325</v>
      </c>
      <c r="CD42" s="491">
        <v>6.8414190632237517</v>
      </c>
    </row>
    <row r="46" spans="2:82" x14ac:dyDescent="0.3">
      <c r="D46" s="63" t="s">
        <v>2452</v>
      </c>
    </row>
    <row r="47" spans="2:82" x14ac:dyDescent="0.3">
      <c r="D47" s="474" t="s">
        <v>2453</v>
      </c>
      <c r="E47" s="474"/>
    </row>
    <row r="48" spans="2:82" ht="12" customHeight="1" x14ac:dyDescent="0.3">
      <c r="D48" s="9"/>
      <c r="E48" s="9"/>
      <c r="F48" s="9" t="s">
        <v>2392</v>
      </c>
      <c r="G48" s="9" t="s">
        <v>2393</v>
      </c>
      <c r="H48" s="481" t="s">
        <v>484</v>
      </c>
      <c r="I48" s="2048" t="s">
        <v>2394</v>
      </c>
      <c r="J48" s="2048"/>
      <c r="K48" s="2048" t="s">
        <v>2413</v>
      </c>
      <c r="L48" s="2048"/>
      <c r="M48" s="2048"/>
      <c r="N48" s="2048"/>
      <c r="O48" s="2048"/>
      <c r="P48" s="2048"/>
      <c r="Q48" s="2048"/>
      <c r="R48" s="2048"/>
      <c r="S48" s="2048"/>
      <c r="T48" s="2048"/>
      <c r="U48" s="2048" t="s">
        <v>2398</v>
      </c>
      <c r="V48" s="2048"/>
      <c r="W48" s="2048"/>
      <c r="X48" s="2048"/>
      <c r="Y48" s="2048"/>
      <c r="Z48" s="2048"/>
      <c r="AA48" s="2048"/>
      <c r="AB48" s="2048"/>
      <c r="AC48" s="2048"/>
      <c r="AD48" s="2048"/>
      <c r="AE48" s="2048" t="s">
        <v>2399</v>
      </c>
      <c r="AF48" s="2048"/>
      <c r="AG48" s="2048"/>
      <c r="AH48" s="2048"/>
      <c r="AI48" s="2048"/>
      <c r="AJ48" s="2048"/>
      <c r="AK48" s="2048"/>
      <c r="AL48" s="2048"/>
      <c r="AM48" s="2048"/>
      <c r="AN48" s="2048"/>
      <c r="AP48" s="2048" t="s">
        <v>489</v>
      </c>
      <c r="AQ48" s="2048"/>
      <c r="AR48" s="2048"/>
      <c r="AS48" s="2048"/>
      <c r="AT48" s="2048"/>
      <c r="AU48" s="2048"/>
      <c r="AV48" s="2048"/>
      <c r="AW48" s="2048"/>
      <c r="AX48" s="2048"/>
      <c r="AY48" s="2048"/>
      <c r="AZ48" s="2048" t="s">
        <v>2454</v>
      </c>
      <c r="BA48" s="2048"/>
      <c r="BB48" s="2048"/>
      <c r="BC48" s="2048"/>
      <c r="BD48" s="2048"/>
      <c r="BE48" s="2048"/>
      <c r="BF48" s="2048"/>
      <c r="BG48" s="2048"/>
      <c r="BH48" s="2048"/>
      <c r="BI48" s="2048"/>
      <c r="BJ48" t="s">
        <v>2455</v>
      </c>
      <c r="BK48" s="2048" t="s">
        <v>2454</v>
      </c>
      <c r="BL48" s="2048"/>
      <c r="BM48" s="2048"/>
      <c r="BN48" s="2048"/>
      <c r="BO48" s="2048"/>
      <c r="BP48" s="2048"/>
      <c r="BQ48" s="2048"/>
      <c r="BR48" s="2048"/>
      <c r="BS48" s="2048"/>
      <c r="BT48" s="2048"/>
    </row>
    <row r="49" spans="3:72" x14ac:dyDescent="0.3">
      <c r="D49" s="9"/>
      <c r="E49" s="9"/>
      <c r="F49" s="9"/>
      <c r="G49" s="9"/>
      <c r="H49" s="9" t="s">
        <v>2400</v>
      </c>
      <c r="I49" s="9" t="s">
        <v>2400</v>
      </c>
      <c r="J49" s="9" t="s">
        <v>452</v>
      </c>
      <c r="K49" s="481"/>
      <c r="L49" s="481"/>
      <c r="M49" s="481"/>
      <c r="N49" s="481"/>
      <c r="O49" s="481"/>
      <c r="P49" s="481"/>
      <c r="Q49" s="481"/>
      <c r="R49" s="481"/>
      <c r="S49" s="481"/>
      <c r="T49" s="481"/>
      <c r="U49" s="481"/>
      <c r="V49" s="481"/>
      <c r="W49" s="481"/>
      <c r="X49" s="481"/>
      <c r="Y49" s="481"/>
      <c r="Z49" s="481"/>
      <c r="AA49" s="481"/>
      <c r="AB49" s="481"/>
      <c r="AC49" s="481"/>
      <c r="AD49" s="481"/>
      <c r="AE49" s="481"/>
      <c r="AF49" s="481"/>
      <c r="AG49" s="481"/>
      <c r="AH49" s="481"/>
      <c r="AI49" s="481"/>
      <c r="AJ49" s="481"/>
      <c r="AK49" s="481"/>
      <c r="AL49" s="481"/>
      <c r="AM49" s="481"/>
      <c r="AN49" s="481"/>
      <c r="AP49" s="9" t="s">
        <v>2401</v>
      </c>
      <c r="AQ49" s="9" t="s">
        <v>2401</v>
      </c>
      <c r="AR49" s="9" t="s">
        <v>2401</v>
      </c>
      <c r="AS49" s="9" t="s">
        <v>2401</v>
      </c>
      <c r="AT49" s="9" t="s">
        <v>2401</v>
      </c>
      <c r="AU49" s="9" t="s">
        <v>2401</v>
      </c>
      <c r="AV49" s="9" t="s">
        <v>2401</v>
      </c>
      <c r="AW49" s="9" t="s">
        <v>2401</v>
      </c>
      <c r="AX49" s="9" t="s">
        <v>2401</v>
      </c>
      <c r="AY49" s="9" t="s">
        <v>2401</v>
      </c>
      <c r="AZ49" s="9" t="s">
        <v>98</v>
      </c>
      <c r="BA49" s="9" t="s">
        <v>98</v>
      </c>
      <c r="BB49" s="9" t="s">
        <v>98</v>
      </c>
      <c r="BC49" s="9" t="s">
        <v>98</v>
      </c>
      <c r="BD49" s="9" t="s">
        <v>98</v>
      </c>
      <c r="BE49" s="9" t="s">
        <v>98</v>
      </c>
      <c r="BF49" s="9" t="s">
        <v>98</v>
      </c>
      <c r="BG49" s="9" t="s">
        <v>98</v>
      </c>
      <c r="BH49" s="9" t="s">
        <v>98</v>
      </c>
      <c r="BI49" s="9" t="s">
        <v>98</v>
      </c>
      <c r="BK49" s="9" t="s">
        <v>98</v>
      </c>
      <c r="BL49" s="9" t="s">
        <v>98</v>
      </c>
      <c r="BM49" s="9" t="s">
        <v>98</v>
      </c>
      <c r="BN49" s="9" t="s">
        <v>98</v>
      </c>
      <c r="BO49" s="9" t="s">
        <v>98</v>
      </c>
      <c r="BP49" s="9" t="s">
        <v>98</v>
      </c>
      <c r="BQ49" s="9" t="s">
        <v>98</v>
      </c>
      <c r="BR49" s="9" t="s">
        <v>98</v>
      </c>
      <c r="BS49" s="9" t="s">
        <v>98</v>
      </c>
      <c r="BT49" s="9" t="s">
        <v>98</v>
      </c>
    </row>
    <row r="50" spans="3:72" x14ac:dyDescent="0.3">
      <c r="D50" s="9"/>
      <c r="E50" s="9"/>
      <c r="F50" s="9"/>
      <c r="G50" s="9"/>
      <c r="H50" s="9" t="s">
        <v>77</v>
      </c>
      <c r="I50" s="9" t="s">
        <v>98</v>
      </c>
      <c r="J50" s="9" t="s">
        <v>98</v>
      </c>
      <c r="K50" s="9">
        <v>2021</v>
      </c>
      <c r="L50" s="9">
        <v>2022</v>
      </c>
      <c r="M50" s="9">
        <v>2023</v>
      </c>
      <c r="N50" s="9">
        <v>2024</v>
      </c>
      <c r="O50" s="9">
        <v>2025</v>
      </c>
      <c r="P50" s="9">
        <v>2026</v>
      </c>
      <c r="Q50" s="9">
        <v>2027</v>
      </c>
      <c r="R50" s="9">
        <v>2028</v>
      </c>
      <c r="S50" s="9">
        <v>2029</v>
      </c>
      <c r="T50" s="9">
        <v>2030</v>
      </c>
      <c r="U50" s="9">
        <v>2021</v>
      </c>
      <c r="V50" s="9">
        <v>2022</v>
      </c>
      <c r="W50" s="9">
        <v>2023</v>
      </c>
      <c r="X50" s="9">
        <v>2024</v>
      </c>
      <c r="Y50" s="9">
        <v>2025</v>
      </c>
      <c r="Z50" s="9">
        <v>2026</v>
      </c>
      <c r="AA50" s="9">
        <v>2027</v>
      </c>
      <c r="AB50" s="9">
        <v>2028</v>
      </c>
      <c r="AC50" s="9">
        <v>2029</v>
      </c>
      <c r="AD50" s="9">
        <v>2030</v>
      </c>
      <c r="AE50" s="9">
        <v>2021</v>
      </c>
      <c r="AF50" s="9">
        <v>2022</v>
      </c>
      <c r="AG50" s="9">
        <v>2023</v>
      </c>
      <c r="AH50" s="9">
        <v>2024</v>
      </c>
      <c r="AI50" s="9">
        <v>2025</v>
      </c>
      <c r="AJ50" s="9">
        <v>2026</v>
      </c>
      <c r="AK50" s="9">
        <v>2027</v>
      </c>
      <c r="AL50" s="9">
        <v>2028</v>
      </c>
      <c r="AM50" s="9">
        <v>2029</v>
      </c>
      <c r="AN50" s="9">
        <v>2030</v>
      </c>
      <c r="AP50" s="9">
        <v>2021</v>
      </c>
      <c r="AQ50" s="9">
        <v>2022</v>
      </c>
      <c r="AR50" s="9">
        <v>2023</v>
      </c>
      <c r="AS50" s="9">
        <v>2024</v>
      </c>
      <c r="AT50" s="9">
        <v>2025</v>
      </c>
      <c r="AU50" s="9">
        <v>2026</v>
      </c>
      <c r="AV50" s="9">
        <v>2027</v>
      </c>
      <c r="AW50" s="9">
        <v>2028</v>
      </c>
      <c r="AX50" s="9">
        <v>2029</v>
      </c>
      <c r="AY50" s="9">
        <v>2030</v>
      </c>
      <c r="AZ50" s="9">
        <v>2021</v>
      </c>
      <c r="BA50" s="9">
        <v>2022</v>
      </c>
      <c r="BB50" s="9">
        <v>2023</v>
      </c>
      <c r="BC50" s="9">
        <v>2024</v>
      </c>
      <c r="BD50" s="9">
        <v>2025</v>
      </c>
      <c r="BE50" s="9">
        <v>2026</v>
      </c>
      <c r="BF50" s="9">
        <v>2027</v>
      </c>
      <c r="BG50" s="9">
        <v>2028</v>
      </c>
      <c r="BH50" s="9">
        <v>2029</v>
      </c>
      <c r="BI50" s="9">
        <v>2030</v>
      </c>
      <c r="BK50" s="9">
        <v>2021</v>
      </c>
      <c r="BL50" s="9">
        <v>2022</v>
      </c>
      <c r="BM50" s="9">
        <v>2023</v>
      </c>
      <c r="BN50" s="9">
        <v>2024</v>
      </c>
      <c r="BO50" s="9">
        <v>2025</v>
      </c>
      <c r="BP50" s="9">
        <v>2026</v>
      </c>
      <c r="BQ50" s="9">
        <v>2027</v>
      </c>
      <c r="BR50" s="9">
        <v>2028</v>
      </c>
      <c r="BS50" s="9">
        <v>2029</v>
      </c>
      <c r="BT50" s="9">
        <v>2030</v>
      </c>
    </row>
    <row r="51" spans="3:72" x14ac:dyDescent="0.3">
      <c r="C51" t="s">
        <v>558</v>
      </c>
      <c r="D51" t="s">
        <v>2456</v>
      </c>
      <c r="E51" s="69"/>
      <c r="F51" s="14"/>
      <c r="G51" s="14"/>
      <c r="H51" s="492">
        <f t="shared" ref="H51:H63" si="34">AVERAGE(AE51:AN51)</f>
        <v>54.35199999999999</v>
      </c>
      <c r="I51" s="14"/>
      <c r="J51" s="14"/>
      <c r="K51" s="229"/>
      <c r="L51" s="229"/>
      <c r="M51" s="229"/>
      <c r="N51" s="229"/>
      <c r="O51" s="229"/>
      <c r="P51" s="229"/>
      <c r="Q51" s="229"/>
      <c r="R51" s="229"/>
      <c r="S51" s="229"/>
      <c r="T51" s="229"/>
      <c r="U51" s="486">
        <v>4.26</v>
      </c>
      <c r="V51" s="486">
        <v>4.8499999999999996</v>
      </c>
      <c r="W51" s="486">
        <v>2.73</v>
      </c>
      <c r="X51" s="486">
        <v>7.78</v>
      </c>
      <c r="Y51" s="486">
        <v>18.66</v>
      </c>
      <c r="Z51" s="486">
        <v>18.66</v>
      </c>
      <c r="AA51" s="486">
        <v>18.66</v>
      </c>
      <c r="AB51" s="486">
        <v>18.66</v>
      </c>
      <c r="AC51" s="486">
        <v>18.66</v>
      </c>
      <c r="AD51" s="486">
        <v>7.77</v>
      </c>
      <c r="AE51" s="479">
        <f>U51</f>
        <v>4.26</v>
      </c>
      <c r="AF51" s="489">
        <f t="shared" ref="AF51:AN51" si="35">V51+AE51</f>
        <v>9.11</v>
      </c>
      <c r="AG51" s="489">
        <f t="shared" si="35"/>
        <v>11.84</v>
      </c>
      <c r="AH51" s="489">
        <f t="shared" si="35"/>
        <v>19.62</v>
      </c>
      <c r="AI51" s="489">
        <f t="shared" si="35"/>
        <v>38.28</v>
      </c>
      <c r="AJ51" s="489">
        <f t="shared" si="35"/>
        <v>56.94</v>
      </c>
      <c r="AK51" s="489">
        <f t="shared" si="35"/>
        <v>75.599999999999994</v>
      </c>
      <c r="AL51" s="489">
        <f t="shared" si="35"/>
        <v>94.259999999999991</v>
      </c>
      <c r="AM51" s="489">
        <f t="shared" si="35"/>
        <v>112.91999999999999</v>
      </c>
      <c r="AN51" s="489">
        <f t="shared" si="35"/>
        <v>120.68999999999998</v>
      </c>
      <c r="AP51" s="14">
        <v>1.0554870000000001</v>
      </c>
      <c r="AQ51" s="14">
        <v>1.2018470000000001</v>
      </c>
      <c r="AR51" s="14">
        <v>1.7316180000000001</v>
      </c>
      <c r="AS51" s="14">
        <v>2.842332285714285</v>
      </c>
      <c r="AT51" s="14">
        <v>3.9530465714285699</v>
      </c>
      <c r="AU51" s="14">
        <v>5.0637608571428547</v>
      </c>
      <c r="AV51" s="14">
        <v>6.1744751428571396</v>
      </c>
      <c r="AW51" s="14">
        <v>7.2851894285714245</v>
      </c>
      <c r="AX51" s="14">
        <v>8.3959037142857103</v>
      </c>
      <c r="AY51" s="14">
        <v>9.506617999999996</v>
      </c>
      <c r="AZ51" s="527">
        <f>(U51*$K$65*1000)/1000000</f>
        <v>106.16616702623479</v>
      </c>
      <c r="BA51" s="527">
        <f t="shared" ref="BA51:BI51" si="36">(V51*$K$65*1000)/1000000</f>
        <v>120.86993194301378</v>
      </c>
      <c r="BB51" s="527">
        <f t="shared" si="36"/>
        <v>68.036064784418073</v>
      </c>
      <c r="BC51" s="527">
        <f t="shared" si="36"/>
        <v>193.89032381786544</v>
      </c>
      <c r="BD51" s="527">
        <f t="shared" si="36"/>
        <v>465.03771753745104</v>
      </c>
      <c r="BE51" s="527">
        <f t="shared" si="36"/>
        <v>465.03771753745104</v>
      </c>
      <c r="BF51" s="527">
        <f t="shared" si="36"/>
        <v>465.03771753745104</v>
      </c>
      <c r="BG51" s="527">
        <f t="shared" si="36"/>
        <v>465.03771753745104</v>
      </c>
      <c r="BH51" s="527">
        <f t="shared" si="36"/>
        <v>465.03771753745104</v>
      </c>
      <c r="BI51" s="527">
        <f t="shared" si="36"/>
        <v>193.64110746334373</v>
      </c>
    </row>
    <row r="52" spans="3:72" x14ac:dyDescent="0.3">
      <c r="C52" t="s">
        <v>631</v>
      </c>
      <c r="D52" t="s">
        <v>2457</v>
      </c>
      <c r="F52" s="14"/>
      <c r="G52" s="14"/>
      <c r="H52" s="492">
        <f t="shared" si="34"/>
        <v>109.11724702738586</v>
      </c>
      <c r="I52" s="14"/>
      <c r="J52" s="14"/>
      <c r="K52" s="229"/>
      <c r="L52" s="229"/>
      <c r="M52" s="229"/>
      <c r="N52" s="229"/>
      <c r="O52" s="229"/>
      <c r="P52" s="229"/>
      <c r="Q52" s="229"/>
      <c r="R52" s="229"/>
      <c r="S52" s="229"/>
      <c r="T52" s="229"/>
      <c r="U52" s="486">
        <v>59.509250000000002</v>
      </c>
      <c r="V52" s="486">
        <v>3.2802999999999969</v>
      </c>
      <c r="W52" s="486">
        <v>0</v>
      </c>
      <c r="X52" s="486">
        <v>21.207148648811742</v>
      </c>
      <c r="Y52" s="486">
        <v>21.207148648811742</v>
      </c>
      <c r="Z52" s="486">
        <v>21.207148648811746</v>
      </c>
      <c r="AA52" s="486">
        <v>21.207148648811739</v>
      </c>
      <c r="AB52" s="486">
        <v>0</v>
      </c>
      <c r="AC52" s="486">
        <v>0</v>
      </c>
      <c r="AD52" s="486">
        <v>0</v>
      </c>
      <c r="AE52" s="479">
        <f t="shared" ref="AE52:AE63" si="37">U52</f>
        <v>59.509250000000002</v>
      </c>
      <c r="AF52" s="489">
        <f t="shared" ref="AF52:AF63" si="38">V52+AE52</f>
        <v>62.789549999999998</v>
      </c>
      <c r="AG52" s="489">
        <f t="shared" ref="AG52:AG63" si="39">W52+AF52</f>
        <v>62.789549999999998</v>
      </c>
      <c r="AH52" s="489">
        <f t="shared" ref="AH52:AH63" si="40">X52+AG52</f>
        <v>83.996698648811744</v>
      </c>
      <c r="AI52" s="489">
        <f t="shared" ref="AI52:AI63" si="41">Y52+AH52</f>
        <v>105.20384729762348</v>
      </c>
      <c r="AJ52" s="489">
        <f t="shared" ref="AJ52:AJ63" si="42">Z52+AI52</f>
        <v>126.41099594643524</v>
      </c>
      <c r="AK52" s="489">
        <f t="shared" ref="AK52:AK63" si="43">AA52+AJ52</f>
        <v>147.61814459524697</v>
      </c>
      <c r="AL52" s="489">
        <f t="shared" ref="AL52:AL63" si="44">AB52+AK52</f>
        <v>147.61814459524697</v>
      </c>
      <c r="AM52" s="489">
        <f t="shared" ref="AM52:AM63" si="45">AC52+AL52</f>
        <v>147.61814459524697</v>
      </c>
      <c r="AN52" s="489">
        <f t="shared" ref="AN52:AN63" si="46">AD52+AM52</f>
        <v>147.61814459524697</v>
      </c>
    </row>
    <row r="53" spans="3:72" x14ac:dyDescent="0.3">
      <c r="C53" t="s">
        <v>592</v>
      </c>
      <c r="D53" t="s">
        <v>2458</v>
      </c>
      <c r="F53" s="14"/>
      <c r="G53" s="14"/>
      <c r="H53" s="492">
        <f t="shared" si="34"/>
        <v>10.816999999999998</v>
      </c>
      <c r="I53" s="14"/>
      <c r="J53" s="14"/>
      <c r="K53" s="229"/>
      <c r="L53" s="229"/>
      <c r="M53" s="229"/>
      <c r="N53" s="229"/>
      <c r="O53" s="229"/>
      <c r="P53" s="229"/>
      <c r="Q53" s="229"/>
      <c r="R53" s="229"/>
      <c r="S53" s="229"/>
      <c r="T53" s="229"/>
      <c r="U53" s="486">
        <v>7.46</v>
      </c>
      <c r="V53" s="486">
        <v>3.73</v>
      </c>
      <c r="W53" s="486">
        <v>0</v>
      </c>
      <c r="X53" s="486">
        <v>0</v>
      </c>
      <c r="Y53" s="486">
        <v>0</v>
      </c>
      <c r="Z53" s="486">
        <v>0</v>
      </c>
      <c r="AA53" s="486">
        <v>0</v>
      </c>
      <c r="AB53" s="486">
        <v>0</v>
      </c>
      <c r="AC53" s="486">
        <v>0</v>
      </c>
      <c r="AD53" s="486">
        <v>0</v>
      </c>
      <c r="AE53" s="479">
        <f t="shared" si="37"/>
        <v>7.46</v>
      </c>
      <c r="AF53" s="489">
        <f t="shared" si="38"/>
        <v>11.19</v>
      </c>
      <c r="AG53" s="489">
        <f t="shared" si="39"/>
        <v>11.19</v>
      </c>
      <c r="AH53" s="489">
        <f t="shared" si="40"/>
        <v>11.19</v>
      </c>
      <c r="AI53" s="489">
        <f t="shared" si="41"/>
        <v>11.19</v>
      </c>
      <c r="AJ53" s="489">
        <f t="shared" si="42"/>
        <v>11.19</v>
      </c>
      <c r="AK53" s="489">
        <f t="shared" si="43"/>
        <v>11.19</v>
      </c>
      <c r="AL53" s="489">
        <f t="shared" si="44"/>
        <v>11.19</v>
      </c>
      <c r="AM53" s="489">
        <f t="shared" si="45"/>
        <v>11.19</v>
      </c>
      <c r="AN53" s="489">
        <f t="shared" si="46"/>
        <v>11.19</v>
      </c>
    </row>
    <row r="54" spans="3:72" x14ac:dyDescent="0.3">
      <c r="C54" t="s">
        <v>600</v>
      </c>
      <c r="D54" t="s">
        <v>2459</v>
      </c>
      <c r="F54" s="14"/>
      <c r="G54" s="14"/>
      <c r="H54" s="492">
        <f t="shared" si="34"/>
        <v>0.24749099999999996</v>
      </c>
      <c r="I54" s="14"/>
      <c r="J54" s="14"/>
      <c r="K54" s="229"/>
      <c r="L54" s="229"/>
      <c r="M54" s="229"/>
      <c r="N54" s="229"/>
      <c r="O54" s="229"/>
      <c r="P54" s="229"/>
      <c r="Q54" s="229"/>
      <c r="R54" s="229"/>
      <c r="S54" s="229"/>
      <c r="T54" s="229"/>
      <c r="U54" s="486">
        <v>7.3889999999999983E-2</v>
      </c>
      <c r="V54" s="486">
        <v>0.13688999999999998</v>
      </c>
      <c r="W54" s="486">
        <v>6.3E-2</v>
      </c>
      <c r="X54" s="486">
        <v>0</v>
      </c>
      <c r="Y54" s="486">
        <v>0</v>
      </c>
      <c r="Z54" s="486">
        <v>0</v>
      </c>
      <c r="AA54" s="486">
        <v>0</v>
      </c>
      <c r="AB54" s="486">
        <v>0</v>
      </c>
      <c r="AC54" s="486">
        <v>0</v>
      </c>
      <c r="AD54" s="486">
        <v>0</v>
      </c>
      <c r="AE54" s="479">
        <f t="shared" si="37"/>
        <v>7.3889999999999983E-2</v>
      </c>
      <c r="AF54" s="489">
        <f t="shared" si="38"/>
        <v>0.21077999999999997</v>
      </c>
      <c r="AG54" s="489">
        <f t="shared" si="39"/>
        <v>0.27377999999999997</v>
      </c>
      <c r="AH54" s="489">
        <f t="shared" si="40"/>
        <v>0.27377999999999997</v>
      </c>
      <c r="AI54" s="489">
        <f t="shared" si="41"/>
        <v>0.27377999999999997</v>
      </c>
      <c r="AJ54" s="489">
        <f t="shared" si="42"/>
        <v>0.27377999999999997</v>
      </c>
      <c r="AK54" s="489">
        <f t="shared" si="43"/>
        <v>0.27377999999999997</v>
      </c>
      <c r="AL54" s="489">
        <f t="shared" si="44"/>
        <v>0.27377999999999997</v>
      </c>
      <c r="AM54" s="489">
        <f t="shared" si="45"/>
        <v>0.27377999999999997</v>
      </c>
      <c r="AN54" s="489">
        <f t="shared" si="46"/>
        <v>0.27377999999999997</v>
      </c>
      <c r="AP54" s="14">
        <v>3.6944999999999992E-2</v>
      </c>
      <c r="AQ54" s="14">
        <v>6.8444999999999992E-2</v>
      </c>
      <c r="AR54" s="14">
        <v>6.8444999999999992E-2</v>
      </c>
      <c r="AS54" s="14">
        <v>6.8444999999999992E-2</v>
      </c>
      <c r="AT54" s="14">
        <v>6.8444999999999992E-2</v>
      </c>
      <c r="AU54" s="14">
        <v>6.8444999999999992E-2</v>
      </c>
      <c r="AV54" s="14">
        <v>6.8444999999999992E-2</v>
      </c>
      <c r="AW54" s="14">
        <v>6.8444999999999992E-2</v>
      </c>
      <c r="AX54" s="14">
        <v>6.8444999999999992E-2</v>
      </c>
      <c r="AY54" s="14">
        <v>6.8444999999999992E-2</v>
      </c>
      <c r="AZ54" s="527">
        <f>(U54*$K$65*1000)/1000000</f>
        <v>1.841459643560678</v>
      </c>
      <c r="BA54" s="527">
        <f t="shared" ref="BA54:BA56" si="47">(V54*$K$65*1000)/1000000</f>
        <v>3.4115226770472487</v>
      </c>
      <c r="BB54" s="527">
        <f t="shared" ref="BB54:BB56" si="48">(W54*$K$65*1000)/1000000</f>
        <v>1.5700630334865708</v>
      </c>
      <c r="BC54" s="527">
        <f t="shared" ref="BC54:BC56" si="49">(X54*$K$65*1000)/1000000</f>
        <v>0</v>
      </c>
      <c r="BD54" s="527">
        <f t="shared" ref="BD54:BD56" si="50">(Y54*$K$65*1000)/1000000</f>
        <v>0</v>
      </c>
      <c r="BE54" s="527">
        <f t="shared" ref="BE54:BE56" si="51">(Z54*$K$65*1000)/1000000</f>
        <v>0</v>
      </c>
      <c r="BF54" s="527">
        <f t="shared" ref="BF54:BF56" si="52">(AA54*$K$65*1000)/1000000</f>
        <v>0</v>
      </c>
      <c r="BG54" s="527">
        <f t="shared" ref="BG54:BG56" si="53">(AB54*$K$65*1000)/1000000</f>
        <v>0</v>
      </c>
      <c r="BH54" s="527">
        <f t="shared" ref="BH54:BH56" si="54">(AC54*$K$65*1000)/1000000</f>
        <v>0</v>
      </c>
      <c r="BI54" s="527">
        <f t="shared" ref="BI54:BI56" si="55">(AD54*$K$65*1000)/1000000</f>
        <v>0</v>
      </c>
    </row>
    <row r="55" spans="3:72" x14ac:dyDescent="0.3">
      <c r="C55" t="s">
        <v>584</v>
      </c>
      <c r="D55" t="s">
        <v>2460</v>
      </c>
      <c r="F55" s="14"/>
      <c r="G55" s="14"/>
      <c r="H55" s="492">
        <f t="shared" si="34"/>
        <v>1.0196657199999999</v>
      </c>
      <c r="I55" s="14"/>
      <c r="J55" s="14"/>
      <c r="K55" s="229"/>
      <c r="L55" s="229"/>
      <c r="M55" s="229"/>
      <c r="N55" s="229"/>
      <c r="O55" s="229"/>
      <c r="P55" s="229"/>
      <c r="Q55" s="229"/>
      <c r="R55" s="229"/>
      <c r="S55" s="229"/>
      <c r="T55" s="229"/>
      <c r="U55" s="486">
        <v>0.47316880000000006</v>
      </c>
      <c r="V55" s="486">
        <v>0.48735880000000009</v>
      </c>
      <c r="W55" s="486">
        <v>7.8537999999999886E-2</v>
      </c>
      <c r="X55" s="486">
        <v>6.4348000000000072E-2</v>
      </c>
      <c r="Y55" s="486">
        <v>0</v>
      </c>
      <c r="Z55" s="486">
        <v>0</v>
      </c>
      <c r="AA55" s="486">
        <v>0</v>
      </c>
      <c r="AB55" s="486">
        <v>0</v>
      </c>
      <c r="AC55" s="486">
        <v>0</v>
      </c>
      <c r="AD55" s="486">
        <v>0</v>
      </c>
      <c r="AE55" s="479">
        <f t="shared" si="37"/>
        <v>0.47316880000000006</v>
      </c>
      <c r="AF55" s="489">
        <f t="shared" si="38"/>
        <v>0.96052760000000015</v>
      </c>
      <c r="AG55" s="489">
        <f t="shared" si="39"/>
        <v>1.0390656</v>
      </c>
      <c r="AH55" s="489">
        <f t="shared" si="40"/>
        <v>1.1034136000000001</v>
      </c>
      <c r="AI55" s="489">
        <f t="shared" si="41"/>
        <v>1.1034136000000001</v>
      </c>
      <c r="AJ55" s="489">
        <f t="shared" si="42"/>
        <v>1.1034136000000001</v>
      </c>
      <c r="AK55" s="489">
        <f t="shared" si="43"/>
        <v>1.1034136000000001</v>
      </c>
      <c r="AL55" s="489">
        <f t="shared" si="44"/>
        <v>1.1034136000000001</v>
      </c>
      <c r="AM55" s="489">
        <f t="shared" si="45"/>
        <v>1.1034136000000001</v>
      </c>
      <c r="AN55" s="489">
        <f t="shared" si="46"/>
        <v>1.1034136000000001</v>
      </c>
      <c r="AP55" s="14">
        <v>0.23658440000000003</v>
      </c>
      <c r="AQ55" s="14">
        <v>0.24367940000000002</v>
      </c>
      <c r="AR55" s="14">
        <v>0.27585340000000003</v>
      </c>
      <c r="AS55" s="14">
        <v>0.27585340000000003</v>
      </c>
      <c r="AT55" s="14">
        <v>0.27585340000000003</v>
      </c>
      <c r="AU55" s="14">
        <v>0.27585340000000003</v>
      </c>
      <c r="AV55" s="14">
        <v>0.27585340000000003</v>
      </c>
      <c r="AW55" s="14">
        <v>0.27585340000000003</v>
      </c>
      <c r="AX55" s="14">
        <v>0.27585340000000003</v>
      </c>
      <c r="AY55" s="14">
        <v>0.27585340000000003</v>
      </c>
      <c r="AZ55" s="527">
        <f>(U55*$K$65*1000)/1000000</f>
        <v>11.792140340939692</v>
      </c>
      <c r="BA55" s="527">
        <f t="shared" si="47"/>
        <v>12.145778348005956</v>
      </c>
      <c r="BB55" s="527">
        <f t="shared" si="48"/>
        <v>1.9572954051423512</v>
      </c>
      <c r="BC55" s="527">
        <f t="shared" si="49"/>
        <v>1.6036573980760949</v>
      </c>
      <c r="BD55" s="527">
        <f t="shared" si="50"/>
        <v>0</v>
      </c>
      <c r="BE55" s="527">
        <f t="shared" si="51"/>
        <v>0</v>
      </c>
      <c r="BF55" s="527">
        <f t="shared" si="52"/>
        <v>0</v>
      </c>
      <c r="BG55" s="527">
        <f t="shared" si="53"/>
        <v>0</v>
      </c>
      <c r="BH55" s="527">
        <f t="shared" si="54"/>
        <v>0</v>
      </c>
      <c r="BI55" s="527">
        <f t="shared" si="55"/>
        <v>0</v>
      </c>
    </row>
    <row r="56" spans="3:72" x14ac:dyDescent="0.3">
      <c r="C56" t="s">
        <v>608</v>
      </c>
      <c r="D56" t="s">
        <v>2461</v>
      </c>
      <c r="F56" s="14"/>
      <c r="G56" s="14"/>
      <c r="H56" s="492">
        <f t="shared" si="34"/>
        <v>15.52401766314814</v>
      </c>
      <c r="I56" s="14"/>
      <c r="J56" s="14"/>
      <c r="K56" s="229"/>
      <c r="L56" s="229"/>
      <c r="M56" s="229"/>
      <c r="N56" s="229"/>
      <c r="O56" s="229"/>
      <c r="P56" s="229"/>
      <c r="Q56" s="229"/>
      <c r="R56" s="229"/>
      <c r="S56" s="229"/>
      <c r="T56" s="229"/>
      <c r="U56" s="486">
        <v>0.23905999999999999</v>
      </c>
      <c r="V56" s="486">
        <v>0.5722974999999999</v>
      </c>
      <c r="W56" s="486">
        <v>0.3719174999999999</v>
      </c>
      <c r="X56" s="486">
        <v>5.8167919652592559</v>
      </c>
      <c r="Y56" s="486">
        <v>5.7781119652592556</v>
      </c>
      <c r="Z56" s="486">
        <v>5.7781119652592547</v>
      </c>
      <c r="AA56" s="486">
        <v>5.7781119652592565</v>
      </c>
      <c r="AB56" s="486">
        <v>5.7781119652592565</v>
      </c>
      <c r="AC56" s="486">
        <v>0</v>
      </c>
      <c r="AD56" s="486">
        <v>0</v>
      </c>
      <c r="AE56" s="479">
        <f t="shared" ref="AE56:AE57" si="56">U56</f>
        <v>0.23905999999999999</v>
      </c>
      <c r="AF56" s="489">
        <f t="shared" ref="AF56:AF57" si="57">V56+AE56</f>
        <v>0.81135749999999995</v>
      </c>
      <c r="AG56" s="489">
        <f t="shared" ref="AG56:AG57" si="58">W56+AF56</f>
        <v>1.1832749999999999</v>
      </c>
      <c r="AH56" s="489">
        <f t="shared" ref="AH56:AH57" si="59">X56+AG56</f>
        <v>7.000066965259256</v>
      </c>
      <c r="AI56" s="489">
        <f t="shared" ref="AI56:AI57" si="60">Y56+AH56</f>
        <v>12.778178930518511</v>
      </c>
      <c r="AJ56" s="489">
        <f t="shared" ref="AJ56:AJ57" si="61">Z56+AI56</f>
        <v>18.556290895777764</v>
      </c>
      <c r="AK56" s="489">
        <f t="shared" ref="AK56:AK57" si="62">AA56+AJ56</f>
        <v>24.33440286103702</v>
      </c>
      <c r="AL56" s="489">
        <f t="shared" ref="AL56:AL57" si="63">AB56+AK56</f>
        <v>30.112514826296277</v>
      </c>
      <c r="AM56" s="489">
        <f t="shared" ref="AM56:AM57" si="64">AC56+AL56</f>
        <v>30.112514826296277</v>
      </c>
      <c r="AN56" s="489">
        <f t="shared" ref="AN56:AN57" si="65">AD56+AM56</f>
        <v>30.112514826296277</v>
      </c>
      <c r="AP56" s="14">
        <v>0.9423975</v>
      </c>
      <c r="AQ56" s="14">
        <v>1.0568569999999999</v>
      </c>
      <c r="AR56" s="14">
        <v>1.1312405000000001</v>
      </c>
      <c r="AS56" s="14">
        <v>3.4502212861037025</v>
      </c>
      <c r="AT56" s="14">
        <v>2.311244786103702</v>
      </c>
      <c r="AU56" s="14">
        <v>3.4668671791555532</v>
      </c>
      <c r="AV56" s="14">
        <v>4.622489572207404</v>
      </c>
      <c r="AW56" s="14">
        <v>5.7781119652592556</v>
      </c>
      <c r="AX56" s="14">
        <v>5.7781119652592556</v>
      </c>
      <c r="AY56" s="14">
        <v>5.7781119652592556</v>
      </c>
      <c r="AZ56" s="527">
        <f>(U56*$K$65*1000)/1000000</f>
        <v>5.9577661711952326</v>
      </c>
      <c r="BA56" s="527">
        <f t="shared" si="47"/>
        <v>14.262589665186995</v>
      </c>
      <c r="BB56" s="527">
        <f t="shared" si="48"/>
        <v>9.2687923532816132</v>
      </c>
      <c r="BC56" s="527">
        <f t="shared" si="49"/>
        <v>144.96396885928982</v>
      </c>
      <c r="BD56" s="527">
        <f t="shared" si="50"/>
        <v>143.99999999999997</v>
      </c>
      <c r="BE56" s="527">
        <f t="shared" si="51"/>
        <v>143.99999999999997</v>
      </c>
      <c r="BF56" s="527">
        <f t="shared" si="52"/>
        <v>144</v>
      </c>
      <c r="BG56" s="527">
        <f t="shared" si="53"/>
        <v>144</v>
      </c>
      <c r="BH56" s="527">
        <f t="shared" si="54"/>
        <v>0</v>
      </c>
      <c r="BI56" s="527">
        <f t="shared" si="55"/>
        <v>0</v>
      </c>
    </row>
    <row r="57" spans="3:72" x14ac:dyDescent="0.3">
      <c r="C57" t="s">
        <v>625</v>
      </c>
      <c r="D57" t="s">
        <v>2462</v>
      </c>
      <c r="F57" s="14"/>
      <c r="G57" s="14"/>
      <c r="H57" s="492">
        <f t="shared" si="34"/>
        <v>0</v>
      </c>
      <c r="I57" s="14"/>
      <c r="J57" s="14"/>
      <c r="K57" s="229"/>
      <c r="L57" s="229"/>
      <c r="M57" s="229"/>
      <c r="N57" s="229"/>
      <c r="O57" s="229"/>
      <c r="P57" s="229"/>
      <c r="Q57" s="229"/>
      <c r="R57" s="229"/>
      <c r="S57" s="229"/>
      <c r="T57" s="229"/>
      <c r="U57" s="486">
        <v>0</v>
      </c>
      <c r="V57" s="486">
        <v>0</v>
      </c>
      <c r="W57" s="486">
        <v>0</v>
      </c>
      <c r="X57" s="486">
        <v>0</v>
      </c>
      <c r="Y57" s="486">
        <v>0</v>
      </c>
      <c r="Z57" s="486">
        <v>0</v>
      </c>
      <c r="AA57" s="486">
        <v>0</v>
      </c>
      <c r="AB57" s="486">
        <v>0</v>
      </c>
      <c r="AC57" s="486">
        <v>0</v>
      </c>
      <c r="AD57" s="486">
        <v>0</v>
      </c>
      <c r="AE57" s="479">
        <f t="shared" si="56"/>
        <v>0</v>
      </c>
      <c r="AF57" s="489">
        <f t="shared" si="57"/>
        <v>0</v>
      </c>
      <c r="AG57" s="489">
        <f t="shared" si="58"/>
        <v>0</v>
      </c>
      <c r="AH57" s="489">
        <f t="shared" si="59"/>
        <v>0</v>
      </c>
      <c r="AI57" s="489">
        <f t="shared" si="60"/>
        <v>0</v>
      </c>
      <c r="AJ57" s="489">
        <f t="shared" si="61"/>
        <v>0</v>
      </c>
      <c r="AK57" s="489">
        <f t="shared" si="62"/>
        <v>0</v>
      </c>
      <c r="AL57" s="489">
        <f t="shared" si="63"/>
        <v>0</v>
      </c>
      <c r="AM57" s="489">
        <f t="shared" si="64"/>
        <v>0</v>
      </c>
      <c r="AN57" s="489">
        <f t="shared" si="65"/>
        <v>0</v>
      </c>
      <c r="AP57" s="14">
        <v>0</v>
      </c>
      <c r="AQ57" s="14">
        <v>0</v>
      </c>
      <c r="AR57" s="14">
        <v>0</v>
      </c>
      <c r="AS57" s="14">
        <v>0</v>
      </c>
      <c r="AT57" s="14">
        <v>0</v>
      </c>
      <c r="AU57" s="14">
        <v>0</v>
      </c>
      <c r="AV57" s="14">
        <v>0</v>
      </c>
      <c r="AW57" s="14">
        <v>0</v>
      </c>
      <c r="AX57" s="14">
        <v>0</v>
      </c>
      <c r="AY57" s="14">
        <v>0</v>
      </c>
    </row>
    <row r="58" spans="3:72" x14ac:dyDescent="0.3">
      <c r="D58" t="s">
        <v>2463</v>
      </c>
      <c r="F58" s="14"/>
      <c r="G58" s="14"/>
      <c r="H58" s="492">
        <f t="shared" si="34"/>
        <v>26.279173252209034</v>
      </c>
      <c r="I58" s="14"/>
      <c r="J58" s="14"/>
      <c r="K58" s="229"/>
      <c r="L58" s="229"/>
      <c r="M58" s="229"/>
      <c r="N58" s="229"/>
      <c r="O58" s="229"/>
      <c r="P58" s="229"/>
      <c r="Q58" s="229"/>
      <c r="R58" s="229"/>
      <c r="S58" s="229"/>
      <c r="T58" s="229"/>
      <c r="U58" s="486">
        <v>0.7</v>
      </c>
      <c r="V58" s="486">
        <v>11.537000000000001</v>
      </c>
      <c r="W58" s="486">
        <v>3.9820000000000011</v>
      </c>
      <c r="X58" s="486">
        <v>9.2386717324684877</v>
      </c>
      <c r="Y58" s="486">
        <v>9.2386717324684877</v>
      </c>
      <c r="Z58" s="486">
        <v>0</v>
      </c>
      <c r="AA58" s="486">
        <v>0</v>
      </c>
      <c r="AB58" s="486">
        <v>0</v>
      </c>
      <c r="AC58" s="486">
        <v>0</v>
      </c>
      <c r="AD58" s="486">
        <v>0</v>
      </c>
      <c r="AE58" s="479">
        <f t="shared" si="37"/>
        <v>0.7</v>
      </c>
      <c r="AF58" s="489">
        <f t="shared" si="38"/>
        <v>12.237</v>
      </c>
      <c r="AG58" s="489">
        <f t="shared" si="39"/>
        <v>16.219000000000001</v>
      </c>
      <c r="AH58" s="489">
        <f t="shared" si="40"/>
        <v>25.457671732468491</v>
      </c>
      <c r="AI58" s="489">
        <f t="shared" si="41"/>
        <v>34.69634346493698</v>
      </c>
      <c r="AJ58" s="489">
        <f t="shared" si="42"/>
        <v>34.69634346493698</v>
      </c>
      <c r="AK58" s="489">
        <f t="shared" si="43"/>
        <v>34.69634346493698</v>
      </c>
      <c r="AL58" s="489">
        <f t="shared" si="44"/>
        <v>34.69634346493698</v>
      </c>
      <c r="AM58" s="489">
        <f t="shared" si="45"/>
        <v>34.69634346493698</v>
      </c>
      <c r="AN58" s="489">
        <f t="shared" si="46"/>
        <v>34.69634346493698</v>
      </c>
    </row>
    <row r="59" spans="3:72" x14ac:dyDescent="0.3">
      <c r="D59" t="s">
        <v>2464</v>
      </c>
      <c r="F59" s="14"/>
      <c r="G59" s="14"/>
      <c r="H59" s="492">
        <f t="shared" si="34"/>
        <v>0</v>
      </c>
      <c r="I59" s="14"/>
      <c r="J59" s="14"/>
      <c r="K59" s="229"/>
      <c r="L59" s="229"/>
      <c r="M59" s="229"/>
      <c r="N59" s="229"/>
      <c r="O59" s="229"/>
      <c r="P59" s="229"/>
      <c r="Q59" s="229"/>
      <c r="R59" s="229"/>
      <c r="S59" s="229"/>
      <c r="T59" s="229"/>
      <c r="U59" s="486">
        <v>0</v>
      </c>
      <c r="V59" s="486">
        <v>0</v>
      </c>
      <c r="W59" s="486">
        <v>0</v>
      </c>
      <c r="X59" s="486">
        <v>0</v>
      </c>
      <c r="Y59" s="486">
        <v>0</v>
      </c>
      <c r="Z59" s="486">
        <v>0</v>
      </c>
      <c r="AA59" s="486">
        <v>0</v>
      </c>
      <c r="AB59" s="486">
        <v>0</v>
      </c>
      <c r="AC59" s="486">
        <v>0</v>
      </c>
      <c r="AD59" s="486">
        <v>0</v>
      </c>
      <c r="AE59" s="479">
        <f t="shared" si="37"/>
        <v>0</v>
      </c>
      <c r="AF59" s="489">
        <f t="shared" si="38"/>
        <v>0</v>
      </c>
      <c r="AG59" s="489">
        <f t="shared" si="39"/>
        <v>0</v>
      </c>
      <c r="AH59" s="489">
        <f t="shared" si="40"/>
        <v>0</v>
      </c>
      <c r="AI59" s="489">
        <f t="shared" si="41"/>
        <v>0</v>
      </c>
      <c r="AJ59" s="489">
        <f t="shared" si="42"/>
        <v>0</v>
      </c>
      <c r="AK59" s="489">
        <f t="shared" si="43"/>
        <v>0</v>
      </c>
      <c r="AL59" s="489">
        <f t="shared" si="44"/>
        <v>0</v>
      </c>
      <c r="AM59" s="489">
        <f t="shared" si="45"/>
        <v>0</v>
      </c>
      <c r="AN59" s="489">
        <f t="shared" si="46"/>
        <v>0</v>
      </c>
    </row>
    <row r="60" spans="3:72" x14ac:dyDescent="0.3">
      <c r="C60" t="s">
        <v>710</v>
      </c>
      <c r="D60" t="s">
        <v>2465</v>
      </c>
      <c r="F60" s="14"/>
      <c r="G60" s="14"/>
      <c r="H60" s="492">
        <f t="shared" si="34"/>
        <v>0.62140000000000017</v>
      </c>
      <c r="I60" s="14"/>
      <c r="J60" s="14"/>
      <c r="K60" s="229"/>
      <c r="L60" s="229"/>
      <c r="M60" s="229"/>
      <c r="N60" s="229"/>
      <c r="O60" s="229"/>
      <c r="P60" s="229"/>
      <c r="Q60" s="229"/>
      <c r="R60" s="229"/>
      <c r="S60" s="229"/>
      <c r="T60" s="229"/>
      <c r="U60" s="486">
        <v>9.9400000000000002E-2</v>
      </c>
      <c r="V60" s="486">
        <v>0.57999999999999996</v>
      </c>
      <c r="W60" s="486">
        <v>0</v>
      </c>
      <c r="X60" s="486">
        <v>0</v>
      </c>
      <c r="Y60" s="486">
        <v>0</v>
      </c>
      <c r="Z60" s="486">
        <v>0</v>
      </c>
      <c r="AA60" s="486">
        <v>0</v>
      </c>
      <c r="AB60" s="486">
        <v>0</v>
      </c>
      <c r="AC60" s="486">
        <v>0</v>
      </c>
      <c r="AD60" s="486">
        <v>0</v>
      </c>
      <c r="AE60" s="479">
        <f t="shared" si="37"/>
        <v>9.9400000000000002E-2</v>
      </c>
      <c r="AF60" s="489">
        <f t="shared" si="38"/>
        <v>0.6794</v>
      </c>
      <c r="AG60" s="489">
        <f t="shared" si="39"/>
        <v>0.6794</v>
      </c>
      <c r="AH60" s="489">
        <f t="shared" si="40"/>
        <v>0.6794</v>
      </c>
      <c r="AI60" s="489">
        <f t="shared" si="41"/>
        <v>0.6794</v>
      </c>
      <c r="AJ60" s="489">
        <f t="shared" si="42"/>
        <v>0.6794</v>
      </c>
      <c r="AK60" s="489">
        <f t="shared" si="43"/>
        <v>0.6794</v>
      </c>
      <c r="AL60" s="489">
        <f t="shared" si="44"/>
        <v>0.6794</v>
      </c>
      <c r="AM60" s="489">
        <f t="shared" si="45"/>
        <v>0.6794</v>
      </c>
      <c r="AN60" s="489">
        <f t="shared" si="46"/>
        <v>0.6794</v>
      </c>
    </row>
    <row r="61" spans="3:72" x14ac:dyDescent="0.3">
      <c r="C61" t="s">
        <v>613</v>
      </c>
      <c r="D61" t="s">
        <v>617</v>
      </c>
      <c r="F61" s="14"/>
      <c r="G61" s="14"/>
      <c r="H61" s="492">
        <f t="shared" si="34"/>
        <v>0</v>
      </c>
      <c r="I61" s="14"/>
      <c r="J61" s="14"/>
      <c r="K61" s="229"/>
      <c r="L61" s="229"/>
      <c r="M61" s="229"/>
      <c r="N61" s="229"/>
      <c r="O61" s="229"/>
      <c r="P61" s="229"/>
      <c r="Q61" s="229"/>
      <c r="R61" s="229"/>
      <c r="S61" s="229"/>
      <c r="T61" s="229"/>
      <c r="U61" s="486">
        <v>0</v>
      </c>
      <c r="V61" s="486">
        <v>0</v>
      </c>
      <c r="W61" s="486">
        <v>0</v>
      </c>
      <c r="X61" s="486">
        <v>0</v>
      </c>
      <c r="Y61" s="486">
        <v>0</v>
      </c>
      <c r="Z61" s="486">
        <v>0</v>
      </c>
      <c r="AA61" s="486">
        <v>0</v>
      </c>
      <c r="AB61" s="486">
        <v>0</v>
      </c>
      <c r="AC61" s="486">
        <v>0</v>
      </c>
      <c r="AD61" s="486">
        <v>0</v>
      </c>
      <c r="AE61" s="479">
        <f t="shared" si="37"/>
        <v>0</v>
      </c>
      <c r="AF61" s="489">
        <f t="shared" si="38"/>
        <v>0</v>
      </c>
      <c r="AG61" s="489">
        <f t="shared" si="39"/>
        <v>0</v>
      </c>
      <c r="AH61" s="489">
        <f t="shared" si="40"/>
        <v>0</v>
      </c>
      <c r="AI61" s="489">
        <f t="shared" si="41"/>
        <v>0</v>
      </c>
      <c r="AJ61" s="489">
        <f t="shared" si="42"/>
        <v>0</v>
      </c>
      <c r="AK61" s="489">
        <f t="shared" si="43"/>
        <v>0</v>
      </c>
      <c r="AL61" s="489">
        <f t="shared" si="44"/>
        <v>0</v>
      </c>
      <c r="AM61" s="489">
        <f t="shared" si="45"/>
        <v>0</v>
      </c>
      <c r="AN61" s="489">
        <f t="shared" si="46"/>
        <v>0</v>
      </c>
      <c r="AP61" s="14">
        <v>0</v>
      </c>
      <c r="AQ61" s="14">
        <v>0</v>
      </c>
      <c r="AR61" s="14">
        <v>0</v>
      </c>
      <c r="AS61" s="14">
        <v>0</v>
      </c>
      <c r="AT61" s="14">
        <v>0</v>
      </c>
      <c r="AU61" s="14">
        <v>0</v>
      </c>
      <c r="AV61" s="14">
        <v>0</v>
      </c>
      <c r="AW61" s="14">
        <v>0</v>
      </c>
      <c r="AX61" s="14">
        <v>0</v>
      </c>
      <c r="AY61" s="14">
        <v>0</v>
      </c>
    </row>
    <row r="62" spans="3:72" x14ac:dyDescent="0.3">
      <c r="D62" t="s">
        <v>2466</v>
      </c>
      <c r="F62" s="14"/>
      <c r="G62" s="14"/>
      <c r="H62" s="492">
        <f t="shared" si="34"/>
        <v>8.6109090909090931</v>
      </c>
      <c r="I62" s="14"/>
      <c r="J62" s="14"/>
      <c r="K62" s="229"/>
      <c r="L62" s="229"/>
      <c r="M62" s="229"/>
      <c r="N62" s="229"/>
      <c r="O62" s="229"/>
      <c r="P62" s="229"/>
      <c r="Q62" s="229"/>
      <c r="R62" s="229"/>
      <c r="S62" s="229"/>
      <c r="T62" s="229"/>
      <c r="U62" s="486">
        <v>0</v>
      </c>
      <c r="V62" s="486">
        <v>0</v>
      </c>
      <c r="W62" s="486">
        <v>0</v>
      </c>
      <c r="X62" s="486">
        <v>1.0763636363636366</v>
      </c>
      <c r="Y62" s="486">
        <v>2.1527272727272733</v>
      </c>
      <c r="Z62" s="486">
        <v>3.2290909090909099</v>
      </c>
      <c r="AA62" s="486">
        <v>4.3054545454545465</v>
      </c>
      <c r="AB62" s="486">
        <v>5.3818181818181827</v>
      </c>
      <c r="AC62" s="486">
        <v>5.3818181818181827</v>
      </c>
      <c r="AD62" s="486">
        <v>5.3818181818181827</v>
      </c>
      <c r="AE62" s="479">
        <f t="shared" si="37"/>
        <v>0</v>
      </c>
      <c r="AF62" s="489">
        <f t="shared" si="38"/>
        <v>0</v>
      </c>
      <c r="AG62" s="489">
        <f t="shared" si="39"/>
        <v>0</v>
      </c>
      <c r="AH62" s="489">
        <f t="shared" si="40"/>
        <v>1.0763636363636366</v>
      </c>
      <c r="AI62" s="489">
        <f t="shared" si="41"/>
        <v>3.2290909090909099</v>
      </c>
      <c r="AJ62" s="489">
        <f t="shared" si="42"/>
        <v>6.4581818181818198</v>
      </c>
      <c r="AK62" s="489">
        <f t="shared" si="43"/>
        <v>10.763636363636365</v>
      </c>
      <c r="AL62" s="489">
        <f t="shared" si="44"/>
        <v>16.145454545454548</v>
      </c>
      <c r="AM62" s="489">
        <f t="shared" si="45"/>
        <v>21.527272727272731</v>
      </c>
      <c r="AN62" s="489">
        <f t="shared" si="46"/>
        <v>26.909090909090914</v>
      </c>
    </row>
    <row r="63" spans="3:72" x14ac:dyDescent="0.3">
      <c r="D63" t="s">
        <v>2467</v>
      </c>
      <c r="F63" s="14"/>
      <c r="G63" s="14"/>
      <c r="H63" s="492">
        <f t="shared" si="34"/>
        <v>22.590223560690752</v>
      </c>
      <c r="I63" s="14"/>
      <c r="J63" s="14"/>
      <c r="K63" s="229"/>
      <c r="L63" s="229"/>
      <c r="M63" s="229"/>
      <c r="N63" s="229"/>
      <c r="O63" s="229"/>
      <c r="P63" s="229"/>
      <c r="Q63" s="229"/>
      <c r="R63" s="229"/>
      <c r="S63" s="229"/>
      <c r="T63" s="229"/>
      <c r="U63" s="486">
        <v>0</v>
      </c>
      <c r="V63" s="486">
        <v>0</v>
      </c>
      <c r="W63" s="486">
        <v>0</v>
      </c>
      <c r="X63" s="486">
        <v>4.6102497062634189</v>
      </c>
      <c r="Y63" s="486">
        <v>9.2204994125268378</v>
      </c>
      <c r="Z63" s="486">
        <v>9.2204994125268378</v>
      </c>
      <c r="AA63" s="486">
        <v>9.2204994125268378</v>
      </c>
      <c r="AB63" s="486">
        <v>9.2204994125268378</v>
      </c>
      <c r="AC63" s="486">
        <v>9.2204994125268378</v>
      </c>
      <c r="AD63" s="486">
        <v>9.2204994125268378</v>
      </c>
      <c r="AE63" s="479">
        <f t="shared" si="37"/>
        <v>0</v>
      </c>
      <c r="AF63" s="489">
        <f t="shared" si="38"/>
        <v>0</v>
      </c>
      <c r="AG63" s="489">
        <f t="shared" si="39"/>
        <v>0</v>
      </c>
      <c r="AH63" s="489">
        <f t="shared" si="40"/>
        <v>4.6102497062634189</v>
      </c>
      <c r="AI63" s="489">
        <f t="shared" si="41"/>
        <v>13.830749118790257</v>
      </c>
      <c r="AJ63" s="489">
        <f t="shared" si="42"/>
        <v>23.051248531317093</v>
      </c>
      <c r="AK63" s="489">
        <f t="shared" si="43"/>
        <v>32.271747943843934</v>
      </c>
      <c r="AL63" s="489">
        <f t="shared" si="44"/>
        <v>41.492247356370768</v>
      </c>
      <c r="AM63" s="489">
        <f t="shared" si="45"/>
        <v>50.712746768897603</v>
      </c>
      <c r="AN63" s="489">
        <f t="shared" si="46"/>
        <v>59.933246181424437</v>
      </c>
    </row>
    <row r="64" spans="3:72" x14ac:dyDescent="0.3">
      <c r="F64" s="14"/>
      <c r="G64" s="14"/>
      <c r="H64" s="492"/>
      <c r="I64" s="14"/>
      <c r="J64" s="14"/>
      <c r="K64" s="229"/>
      <c r="L64" s="229"/>
      <c r="M64" s="229"/>
      <c r="N64" s="229"/>
      <c r="O64" s="229"/>
      <c r="P64" s="229"/>
      <c r="Q64" s="229"/>
      <c r="R64" s="229"/>
      <c r="S64" s="229"/>
      <c r="T64" s="229"/>
      <c r="U64" s="486"/>
      <c r="V64" s="486"/>
      <c r="W64" s="486"/>
      <c r="X64" s="486"/>
      <c r="Y64" s="486"/>
      <c r="Z64" s="486"/>
      <c r="AA64" s="486"/>
      <c r="AB64" s="486"/>
      <c r="AC64" s="486"/>
      <c r="AD64" s="486"/>
      <c r="AE64" s="479"/>
      <c r="AF64" s="609"/>
      <c r="AG64" s="609"/>
      <c r="AH64" s="609"/>
      <c r="AI64" s="609"/>
      <c r="AJ64" s="609"/>
      <c r="AK64" s="609"/>
      <c r="AL64" s="609"/>
      <c r="AM64" s="609"/>
      <c r="AN64" s="609"/>
    </row>
    <row r="65" spans="2:40" x14ac:dyDescent="0.3">
      <c r="D65" t="s">
        <v>2468</v>
      </c>
      <c r="F65" s="14"/>
      <c r="G65" s="14"/>
      <c r="H65" s="492"/>
      <c r="I65" s="14"/>
      <c r="J65" s="14"/>
      <c r="K65" s="610">
        <v>24921.635452167793</v>
      </c>
      <c r="L65" s="229"/>
      <c r="M65" s="229"/>
      <c r="N65" s="229"/>
      <c r="O65" s="229"/>
      <c r="P65" s="229"/>
      <c r="Q65" s="229"/>
      <c r="R65" s="229"/>
      <c r="S65" s="229"/>
      <c r="T65" s="229"/>
      <c r="U65" s="486"/>
      <c r="V65" s="486"/>
      <c r="W65" s="486"/>
      <c r="X65" s="486"/>
      <c r="Y65" s="486"/>
      <c r="Z65" s="486"/>
      <c r="AA65" s="486"/>
      <c r="AB65" s="486"/>
      <c r="AC65" s="486"/>
      <c r="AD65" s="486"/>
      <c r="AE65" s="479"/>
      <c r="AF65" s="609"/>
      <c r="AG65" s="609"/>
      <c r="AH65" s="609"/>
      <c r="AI65" s="609"/>
      <c r="AJ65" s="609"/>
      <c r="AK65" s="609"/>
      <c r="AL65" s="609"/>
      <c r="AM65" s="609"/>
      <c r="AN65" s="609"/>
    </row>
    <row r="66" spans="2:40" ht="33.950000000000003" customHeight="1" x14ac:dyDescent="0.3"/>
    <row r="69" spans="2:40" x14ac:dyDescent="0.3">
      <c r="D69" s="63" t="s">
        <v>2469</v>
      </c>
      <c r="E69" s="63"/>
    </row>
    <row r="70" spans="2:40" x14ac:dyDescent="0.3">
      <c r="D70" t="s">
        <v>2470</v>
      </c>
      <c r="I70" t="s">
        <v>2471</v>
      </c>
      <c r="S70" t="s">
        <v>452</v>
      </c>
    </row>
    <row r="71" spans="2:40" x14ac:dyDescent="0.3">
      <c r="D71" s="496"/>
      <c r="E71" s="496"/>
      <c r="F71" s="496"/>
      <c r="G71" s="496"/>
      <c r="H71" s="496"/>
      <c r="I71" s="496">
        <v>2014</v>
      </c>
      <c r="J71" s="496">
        <v>2015</v>
      </c>
      <c r="K71" s="496">
        <v>2016</v>
      </c>
      <c r="L71" s="496">
        <v>2017</v>
      </c>
      <c r="M71" s="496">
        <v>2018</v>
      </c>
      <c r="N71" s="496">
        <v>2019</v>
      </c>
      <c r="O71" s="496">
        <v>2020</v>
      </c>
      <c r="P71" s="496" t="s">
        <v>1419</v>
      </c>
      <c r="Q71" s="496"/>
      <c r="R71" s="496" t="s">
        <v>2472</v>
      </c>
      <c r="S71" s="496">
        <v>2014</v>
      </c>
      <c r="T71" s="496">
        <v>2015</v>
      </c>
      <c r="U71" s="496">
        <v>2016</v>
      </c>
      <c r="V71" s="496">
        <v>2017</v>
      </c>
      <c r="W71" s="496">
        <v>2018</v>
      </c>
      <c r="X71" s="496">
        <v>2019</v>
      </c>
      <c r="Y71" s="496">
        <v>2020</v>
      </c>
    </row>
    <row r="72" spans="2:40" x14ac:dyDescent="0.3">
      <c r="D72" s="496" t="s">
        <v>2473</v>
      </c>
      <c r="E72" s="496"/>
      <c r="F72" s="496"/>
      <c r="G72" s="496"/>
      <c r="H72" s="496"/>
      <c r="I72" s="496" t="s">
        <v>2474</v>
      </c>
      <c r="J72" s="496" t="s">
        <v>2474</v>
      </c>
      <c r="K72" s="496" t="s">
        <v>2474</v>
      </c>
      <c r="L72" s="496" t="s">
        <v>2474</v>
      </c>
      <c r="M72" s="496" t="s">
        <v>2474</v>
      </c>
      <c r="N72" s="496" t="s">
        <v>2474</v>
      </c>
      <c r="O72" s="496" t="s">
        <v>2474</v>
      </c>
      <c r="P72" s="496"/>
      <c r="Q72" s="496"/>
      <c r="R72" s="496"/>
      <c r="S72" s="496"/>
      <c r="T72" s="496"/>
      <c r="U72" s="496"/>
      <c r="V72" s="496"/>
      <c r="W72" s="496"/>
      <c r="X72" s="496"/>
      <c r="Y72" s="496"/>
    </row>
    <row r="73" spans="2:40" x14ac:dyDescent="0.3">
      <c r="B73" t="s">
        <v>678</v>
      </c>
      <c r="C73" t="s">
        <v>2475</v>
      </c>
      <c r="D73" t="s">
        <v>679</v>
      </c>
      <c r="E73" t="s">
        <v>2476</v>
      </c>
      <c r="I73" s="504">
        <v>5.0434322309135</v>
      </c>
      <c r="J73" s="504">
        <v>1.50950892810594</v>
      </c>
      <c r="K73" s="504">
        <v>4.6758303597706607</v>
      </c>
      <c r="L73" s="504">
        <v>-2.0210383679300392E-2</v>
      </c>
      <c r="M73" s="504">
        <v>2.9807114075646997</v>
      </c>
      <c r="N73" s="504">
        <v>2.1186309524591991</v>
      </c>
      <c r="O73" s="504">
        <v>-5.170388793181699</v>
      </c>
      <c r="P73" s="853">
        <f>AVERAGEIFS(J73:O73,J73:O73,"&lt;&gt;"&amp;0)*11.63</f>
        <v>11.812363189698234</v>
      </c>
      <c r="Q73" s="482">
        <f>P73</f>
        <v>11.812363189698234</v>
      </c>
      <c r="R73" t="s">
        <v>2477</v>
      </c>
      <c r="S73" s="500">
        <f>I73*11.63</f>
        <v>58.655116845524006</v>
      </c>
      <c r="T73" s="492">
        <f>(J73*11.63)+S73</f>
        <v>76.210705679396085</v>
      </c>
      <c r="U73" s="492">
        <f t="shared" ref="U73:Y73" si="66">(K73*11.63)+T73</f>
        <v>130.59061276352887</v>
      </c>
      <c r="V73" s="492">
        <f t="shared" si="66"/>
        <v>130.35556600133862</v>
      </c>
      <c r="W73" s="492">
        <f t="shared" si="66"/>
        <v>165.02123967131607</v>
      </c>
      <c r="X73" s="492">
        <f t="shared" si="66"/>
        <v>189.66091764841656</v>
      </c>
      <c r="Y73" s="492">
        <f t="shared" si="66"/>
        <v>129.52929598371338</v>
      </c>
    </row>
    <row r="74" spans="2:40" x14ac:dyDescent="0.3">
      <c r="B74" t="s">
        <v>681</v>
      </c>
      <c r="C74" t="s">
        <v>2478</v>
      </c>
      <c r="D74" t="s">
        <v>682</v>
      </c>
      <c r="E74" t="s">
        <v>2476</v>
      </c>
      <c r="I74" s="504">
        <v>9.0779219179789603</v>
      </c>
      <c r="J74" s="504">
        <v>5.6130639857050468E-2</v>
      </c>
      <c r="K74" s="504">
        <v>0.97110664232058852</v>
      </c>
      <c r="L74" s="504">
        <v>0.21354528285550067</v>
      </c>
      <c r="M74" s="504">
        <v>-0.40007328717346979</v>
      </c>
      <c r="N74" s="504">
        <v>-0.62411420307189935</v>
      </c>
      <c r="O74" s="504">
        <v>-3.055280158937701</v>
      </c>
      <c r="P74" s="853">
        <f t="shared" ref="P74:P104" si="67">AVERAGEIFS(J74:O74,J74:O74,"&lt;&gt;"&amp;0)*11.63</f>
        <v>-5.5023179214439484</v>
      </c>
      <c r="Q74" s="482">
        <v>0</v>
      </c>
      <c r="R74" t="s">
        <v>2477</v>
      </c>
      <c r="S74" s="500">
        <f t="shared" ref="S74:S104" si="68">I74*11.63</f>
        <v>105.57623190609532</v>
      </c>
      <c r="T74" s="492">
        <f t="shared" ref="T74:T104" si="69">(J74*11.63)+S74</f>
        <v>106.22903124763282</v>
      </c>
      <c r="U74" s="492">
        <f t="shared" ref="U74:U104" si="70">(K74*11.63)+T74</f>
        <v>117.52300149782127</v>
      </c>
      <c r="V74" s="492">
        <f t="shared" ref="V74:V104" si="71">(L74*11.63)+U74</f>
        <v>120.00653313743074</v>
      </c>
      <c r="W74" s="492">
        <f t="shared" ref="W74:W104" si="72">(M74*11.63)+V74</f>
        <v>115.35368080760328</v>
      </c>
      <c r="X74" s="492">
        <f t="shared" ref="X74:X104" si="73">(N74*11.63)+W74</f>
        <v>108.09523262587709</v>
      </c>
      <c r="Y74" s="492">
        <f t="shared" ref="Y74:Y104" si="74">(O74*11.63)+X74</f>
        <v>72.562324377431622</v>
      </c>
    </row>
    <row r="75" spans="2:40" x14ac:dyDescent="0.3">
      <c r="B75" t="s">
        <v>683</v>
      </c>
      <c r="C75" t="s">
        <v>2479</v>
      </c>
      <c r="D75" t="s">
        <v>684</v>
      </c>
      <c r="E75" t="s">
        <v>2476</v>
      </c>
      <c r="I75" s="504">
        <v>10.6303884546312</v>
      </c>
      <c r="J75" s="504">
        <v>-0.86120917537125941</v>
      </c>
      <c r="K75" s="504">
        <v>2.14965672319736</v>
      </c>
      <c r="L75" s="504">
        <v>0.3450232057979985</v>
      </c>
      <c r="M75" s="504">
        <v>2.2312485173143006</v>
      </c>
      <c r="N75" s="504">
        <v>-1.4031101908711001</v>
      </c>
      <c r="O75" s="504">
        <v>-0.48411513176609944</v>
      </c>
      <c r="P75" s="853">
        <f t="shared" si="67"/>
        <v>3.83304243645716</v>
      </c>
      <c r="Q75" s="482">
        <f t="shared" ref="Q75:Q78" si="75">P75</f>
        <v>3.83304243645716</v>
      </c>
      <c r="R75" t="s">
        <v>2477</v>
      </c>
      <c r="S75" s="500">
        <f t="shared" si="68"/>
        <v>123.63141772736087</v>
      </c>
      <c r="T75" s="492">
        <f t="shared" si="69"/>
        <v>113.61555501779313</v>
      </c>
      <c r="U75" s="492">
        <f t="shared" si="70"/>
        <v>138.61606270857843</v>
      </c>
      <c r="V75" s="492">
        <f t="shared" si="71"/>
        <v>142.62868259200914</v>
      </c>
      <c r="W75" s="492">
        <f t="shared" si="72"/>
        <v>168.57810284837447</v>
      </c>
      <c r="X75" s="492">
        <f t="shared" si="73"/>
        <v>152.25993132854359</v>
      </c>
      <c r="Y75" s="492">
        <f t="shared" si="74"/>
        <v>146.62967234610386</v>
      </c>
    </row>
    <row r="76" spans="2:40" x14ac:dyDescent="0.3">
      <c r="B76" t="s">
        <v>685</v>
      </c>
      <c r="C76" t="s">
        <v>2480</v>
      </c>
      <c r="D76" t="s">
        <v>686</v>
      </c>
      <c r="E76" t="s">
        <v>2476</v>
      </c>
      <c r="I76" s="504">
        <v>6.4713716198449296</v>
      </c>
      <c r="J76" s="504">
        <v>0.5845425315902002</v>
      </c>
      <c r="K76" s="504">
        <v>3.9053184259222702</v>
      </c>
      <c r="L76" s="504">
        <v>4.4459392898661001</v>
      </c>
      <c r="M76" s="504">
        <v>-0.99823182756209938</v>
      </c>
      <c r="N76" s="504">
        <v>2.1249329466174007</v>
      </c>
      <c r="O76" s="504">
        <v>-1.2642813810983018</v>
      </c>
      <c r="P76" s="853">
        <f t="shared" si="67"/>
        <v>17.053883071575445</v>
      </c>
      <c r="Q76" s="482">
        <f t="shared" si="75"/>
        <v>17.053883071575445</v>
      </c>
      <c r="R76" t="s">
        <v>2477</v>
      </c>
      <c r="S76" s="500">
        <f t="shared" si="68"/>
        <v>75.262051938796532</v>
      </c>
      <c r="T76" s="492">
        <f t="shared" si="69"/>
        <v>82.060281581190566</v>
      </c>
      <c r="U76" s="492">
        <f t="shared" si="70"/>
        <v>127.47913487466657</v>
      </c>
      <c r="V76" s="492">
        <f t="shared" si="71"/>
        <v>179.18540881580932</v>
      </c>
      <c r="W76" s="492">
        <f t="shared" si="72"/>
        <v>167.57597266126211</v>
      </c>
      <c r="X76" s="492">
        <f t="shared" si="73"/>
        <v>192.28894283042249</v>
      </c>
      <c r="Y76" s="492">
        <f t="shared" si="74"/>
        <v>177.58535036824924</v>
      </c>
    </row>
    <row r="77" spans="2:40" x14ac:dyDescent="0.3">
      <c r="B77" t="s">
        <v>687</v>
      </c>
      <c r="C77" t="s">
        <v>2481</v>
      </c>
      <c r="D77" t="s">
        <v>688</v>
      </c>
      <c r="E77" t="s">
        <v>2476</v>
      </c>
      <c r="I77" s="504">
        <v>12.627047722365401</v>
      </c>
      <c r="J77" s="504">
        <v>2.8063933684401992</v>
      </c>
      <c r="K77" s="504">
        <v>12.394804923984902</v>
      </c>
      <c r="L77" s="504">
        <v>0.82530251083369777</v>
      </c>
      <c r="M77" s="504">
        <v>2.6329897142425018</v>
      </c>
      <c r="N77" s="504">
        <v>4.5785302112381956</v>
      </c>
      <c r="O77" s="504">
        <v>-18.581204209230098</v>
      </c>
      <c r="P77" s="853">
        <f t="shared" si="67"/>
        <v>9.0264626869823843</v>
      </c>
      <c r="Q77" s="482">
        <f t="shared" si="75"/>
        <v>9.0264626869823843</v>
      </c>
      <c r="R77" t="s">
        <v>2477</v>
      </c>
      <c r="S77" s="500">
        <f t="shared" si="68"/>
        <v>146.85256501110962</v>
      </c>
      <c r="T77" s="492">
        <f t="shared" si="69"/>
        <v>179.49091988606915</v>
      </c>
      <c r="U77" s="492">
        <f t="shared" si="70"/>
        <v>323.64250115201355</v>
      </c>
      <c r="V77" s="492">
        <f t="shared" si="71"/>
        <v>333.24076935300945</v>
      </c>
      <c r="W77" s="492">
        <f t="shared" si="72"/>
        <v>363.86243972964974</v>
      </c>
      <c r="X77" s="492">
        <f t="shared" si="73"/>
        <v>417.11074608634993</v>
      </c>
      <c r="Y77" s="492">
        <f t="shared" si="74"/>
        <v>201.0113411330039</v>
      </c>
    </row>
    <row r="78" spans="2:40" x14ac:dyDescent="0.3">
      <c r="B78" t="s">
        <v>689</v>
      </c>
      <c r="C78" t="s">
        <v>2482</v>
      </c>
      <c r="D78" t="s">
        <v>690</v>
      </c>
      <c r="E78" t="s">
        <v>2476</v>
      </c>
      <c r="I78" s="504">
        <v>6.3426892683126601</v>
      </c>
      <c r="J78" s="504">
        <v>1.0329096261720503</v>
      </c>
      <c r="K78" s="504">
        <v>-6.8285468615707501E-3</v>
      </c>
      <c r="L78" s="504">
        <v>-1.30954823731728</v>
      </c>
      <c r="M78" s="504">
        <v>1.4711861196413203</v>
      </c>
      <c r="N78" s="504">
        <v>0.54031310649798048</v>
      </c>
      <c r="O78" s="504">
        <v>-0.82806072964010013</v>
      </c>
      <c r="P78" s="853">
        <f t="shared" si="67"/>
        <v>1.7444444444444358</v>
      </c>
      <c r="Q78" s="482">
        <f t="shared" si="75"/>
        <v>1.7444444444444358</v>
      </c>
      <c r="R78" t="s">
        <v>2477</v>
      </c>
      <c r="S78" s="500">
        <f t="shared" si="68"/>
        <v>73.765476190476235</v>
      </c>
      <c r="T78" s="492">
        <f t="shared" si="69"/>
        <v>85.778215142857178</v>
      </c>
      <c r="U78" s="492">
        <f t="shared" si="70"/>
        <v>85.698799142857112</v>
      </c>
      <c r="V78" s="492">
        <f t="shared" si="71"/>
        <v>70.468753142857139</v>
      </c>
      <c r="W78" s="492">
        <f t="shared" si="72"/>
        <v>87.578647714285694</v>
      </c>
      <c r="X78" s="492">
        <f t="shared" si="73"/>
        <v>93.862489142857214</v>
      </c>
      <c r="Y78" s="492">
        <f t="shared" si="74"/>
        <v>84.232142857142847</v>
      </c>
    </row>
    <row r="79" spans="2:40" x14ac:dyDescent="0.3">
      <c r="C79" t="s">
        <v>2483</v>
      </c>
      <c r="D79" t="s">
        <v>693</v>
      </c>
      <c r="E79" t="s">
        <v>693</v>
      </c>
      <c r="I79" s="504">
        <v>10.464650221399801</v>
      </c>
      <c r="J79" s="504">
        <v>1.8169074400463998</v>
      </c>
      <c r="K79" s="504">
        <v>2.3714783308239991</v>
      </c>
      <c r="L79" s="504">
        <v>1.641582299004801</v>
      </c>
      <c r="M79" s="504">
        <v>-2.9079454022134001</v>
      </c>
      <c r="N79" s="504">
        <v>-0.54185471001409979</v>
      </c>
      <c r="O79" s="504">
        <v>1.1679443030171992</v>
      </c>
      <c r="P79" s="853">
        <f t="shared" si="67"/>
        <v>6.8774242652554625</v>
      </c>
      <c r="Q79" s="499">
        <f t="shared" ref="Q79:Q104" si="76">IF(O79&lt;=0,0,P79)</f>
        <v>6.8774242652554625</v>
      </c>
      <c r="R79" t="s">
        <v>2484</v>
      </c>
      <c r="S79" s="500">
        <f t="shared" si="68"/>
        <v>121.70388207487969</v>
      </c>
      <c r="T79" s="492">
        <f t="shared" si="69"/>
        <v>142.83451560261932</v>
      </c>
      <c r="U79" s="492">
        <f t="shared" si="70"/>
        <v>170.41480859010244</v>
      </c>
      <c r="V79" s="492">
        <f t="shared" si="71"/>
        <v>189.50641072752828</v>
      </c>
      <c r="W79" s="492">
        <f t="shared" si="72"/>
        <v>155.68700569978643</v>
      </c>
      <c r="X79" s="492">
        <f t="shared" si="73"/>
        <v>149.38523542232244</v>
      </c>
      <c r="Y79" s="492">
        <f t="shared" si="74"/>
        <v>162.96842766641245</v>
      </c>
    </row>
    <row r="80" spans="2:40" x14ac:dyDescent="0.3">
      <c r="B80" t="s">
        <v>661</v>
      </c>
      <c r="C80" t="s">
        <v>2485</v>
      </c>
      <c r="D80" t="s">
        <v>2486</v>
      </c>
      <c r="E80" t="s">
        <v>662</v>
      </c>
      <c r="I80" s="505">
        <v>0</v>
      </c>
      <c r="J80" s="505">
        <v>0</v>
      </c>
      <c r="K80" s="505">
        <v>0</v>
      </c>
      <c r="L80" s="505">
        <v>0</v>
      </c>
      <c r="M80" s="505">
        <v>1.3725958392238</v>
      </c>
      <c r="N80" s="505">
        <v>1.3178747205330299</v>
      </c>
      <c r="O80" s="505">
        <v>1.1109426629407499</v>
      </c>
      <c r="P80" s="853">
        <f t="shared" si="67"/>
        <v>14.736811926657619</v>
      </c>
      <c r="Q80" s="499">
        <f t="shared" si="76"/>
        <v>14.736811926657619</v>
      </c>
      <c r="R80" t="s">
        <v>2484</v>
      </c>
      <c r="S80" s="500">
        <f t="shared" si="68"/>
        <v>0</v>
      </c>
      <c r="T80" s="492">
        <f t="shared" si="69"/>
        <v>0</v>
      </c>
      <c r="U80" s="492">
        <f t="shared" si="70"/>
        <v>0</v>
      </c>
      <c r="V80" s="492">
        <f t="shared" si="71"/>
        <v>0</v>
      </c>
      <c r="W80" s="492">
        <f t="shared" si="72"/>
        <v>15.963289610172795</v>
      </c>
      <c r="X80" s="492">
        <f t="shared" si="73"/>
        <v>31.290172609971933</v>
      </c>
      <c r="Y80" s="492">
        <f t="shared" si="74"/>
        <v>44.210435779972855</v>
      </c>
    </row>
    <row r="81" spans="3:25" x14ac:dyDescent="0.3">
      <c r="C81" t="s">
        <v>2487</v>
      </c>
      <c r="D81" t="s">
        <v>2488</v>
      </c>
      <c r="E81" t="s">
        <v>559</v>
      </c>
      <c r="I81" s="505">
        <v>0</v>
      </c>
      <c r="J81" s="505">
        <v>0</v>
      </c>
      <c r="K81" s="505">
        <v>0.50065400657054804</v>
      </c>
      <c r="L81" s="505">
        <v>1.4100594383393199</v>
      </c>
      <c r="M81" s="505">
        <v>2.13071914161717</v>
      </c>
      <c r="N81" s="505">
        <v>2.56657544949852</v>
      </c>
      <c r="O81" s="505">
        <v>0.48545030754658203</v>
      </c>
      <c r="P81" s="853">
        <f t="shared" si="67"/>
        <v>16.499384107148799</v>
      </c>
      <c r="Q81" s="499">
        <f t="shared" si="76"/>
        <v>16.499384107148799</v>
      </c>
      <c r="R81" t="s">
        <v>2489</v>
      </c>
      <c r="S81" s="500">
        <f t="shared" si="68"/>
        <v>0</v>
      </c>
      <c r="T81" s="492">
        <f t="shared" si="69"/>
        <v>0</v>
      </c>
      <c r="U81" s="492">
        <f t="shared" si="70"/>
        <v>5.8226060964154742</v>
      </c>
      <c r="V81" s="492">
        <f t="shared" si="71"/>
        <v>22.221597364301765</v>
      </c>
      <c r="W81" s="492">
        <f t="shared" si="72"/>
        <v>47.001860981309449</v>
      </c>
      <c r="X81" s="492">
        <f t="shared" si="73"/>
        <v>76.851133458977245</v>
      </c>
      <c r="Y81" s="492">
        <f t="shared" si="74"/>
        <v>82.496920535743996</v>
      </c>
    </row>
    <row r="82" spans="3:25" x14ac:dyDescent="0.3">
      <c r="C82" t="s">
        <v>2490</v>
      </c>
      <c r="D82" t="s">
        <v>2491</v>
      </c>
      <c r="E82" t="s">
        <v>1416</v>
      </c>
      <c r="I82" s="505">
        <v>0</v>
      </c>
      <c r="J82" s="505">
        <v>0</v>
      </c>
      <c r="K82" s="505">
        <v>0</v>
      </c>
      <c r="L82" s="505">
        <v>0</v>
      </c>
      <c r="M82" s="505">
        <v>0.73855460017196894</v>
      </c>
      <c r="N82" s="505">
        <v>2.2588452278589899</v>
      </c>
      <c r="O82" s="505">
        <v>5.8851728288908003</v>
      </c>
      <c r="P82" s="853">
        <f t="shared" si="67"/>
        <v>34.434773333333354</v>
      </c>
      <c r="Q82" s="499">
        <f t="shared" si="76"/>
        <v>34.434773333333354</v>
      </c>
      <c r="R82" t="s">
        <v>2489</v>
      </c>
      <c r="S82" s="500">
        <f t="shared" si="68"/>
        <v>0</v>
      </c>
      <c r="T82" s="492">
        <f t="shared" si="69"/>
        <v>0</v>
      </c>
      <c r="U82" s="492">
        <f t="shared" si="70"/>
        <v>0</v>
      </c>
      <c r="V82" s="492">
        <f t="shared" si="71"/>
        <v>0</v>
      </c>
      <c r="W82" s="492">
        <f t="shared" si="72"/>
        <v>8.5893899999999999</v>
      </c>
      <c r="X82" s="492">
        <f t="shared" si="73"/>
        <v>34.859760000000051</v>
      </c>
      <c r="Y82" s="492">
        <f t="shared" si="74"/>
        <v>103.30432000000006</v>
      </c>
    </row>
    <row r="83" spans="3:25" x14ac:dyDescent="0.3">
      <c r="C83" t="s">
        <v>2492</v>
      </c>
      <c r="D83" t="s">
        <v>2493</v>
      </c>
      <c r="E83" t="s">
        <v>593</v>
      </c>
      <c r="I83" s="505">
        <v>0</v>
      </c>
      <c r="J83" s="505">
        <v>0</v>
      </c>
      <c r="K83" s="505">
        <v>0</v>
      </c>
      <c r="L83" s="505">
        <v>2.4935511607910598E-3</v>
      </c>
      <c r="M83" s="505">
        <v>1.42734307824592E-2</v>
      </c>
      <c r="N83" s="505">
        <v>0.22941014617368899</v>
      </c>
      <c r="O83" s="505">
        <v>0.20221496130696501</v>
      </c>
      <c r="P83" s="853">
        <f t="shared" si="67"/>
        <v>1.3037000000000019</v>
      </c>
      <c r="Q83" s="499">
        <f t="shared" si="76"/>
        <v>1.3037000000000019</v>
      </c>
      <c r="R83" t="s">
        <v>2489</v>
      </c>
      <c r="S83" s="500">
        <f t="shared" si="68"/>
        <v>0</v>
      </c>
      <c r="T83" s="492">
        <f t="shared" si="69"/>
        <v>0</v>
      </c>
      <c r="U83" s="492">
        <f t="shared" si="70"/>
        <v>0</v>
      </c>
      <c r="V83" s="492">
        <f t="shared" si="71"/>
        <v>2.9000000000000029E-2</v>
      </c>
      <c r="W83" s="492">
        <f t="shared" si="72"/>
        <v>0.19500000000000053</v>
      </c>
      <c r="X83" s="492">
        <f t="shared" si="73"/>
        <v>2.8630400000000038</v>
      </c>
      <c r="Y83" s="492">
        <f t="shared" si="74"/>
        <v>5.2148000000000074</v>
      </c>
    </row>
    <row r="84" spans="3:25" x14ac:dyDescent="0.3">
      <c r="C84" t="s">
        <v>2494</v>
      </c>
      <c r="D84" t="s">
        <v>2495</v>
      </c>
      <c r="E84" t="s">
        <v>609</v>
      </c>
      <c r="I84" s="505">
        <v>0</v>
      </c>
      <c r="J84" s="505">
        <v>0</v>
      </c>
      <c r="K84" s="505">
        <v>4.7970765262252803E-3</v>
      </c>
      <c r="L84" s="505">
        <v>6.9346732588134105E-2</v>
      </c>
      <c r="M84" s="505">
        <v>9.6312983662940693E-2</v>
      </c>
      <c r="N84" s="505">
        <v>0.16357652622527899</v>
      </c>
      <c r="O84" s="505">
        <v>0.101138435081685</v>
      </c>
      <c r="P84" s="853">
        <f t="shared" si="67"/>
        <v>1.0122094999999984</v>
      </c>
      <c r="Q84" s="499">
        <f t="shared" si="76"/>
        <v>1.0122094999999984</v>
      </c>
      <c r="R84" t="s">
        <v>2489</v>
      </c>
      <c r="S84" s="500">
        <f t="shared" si="68"/>
        <v>0</v>
      </c>
      <c r="T84" s="492">
        <f t="shared" si="69"/>
        <v>0</v>
      </c>
      <c r="U84" s="492">
        <f t="shared" si="70"/>
        <v>5.5790000000000013E-2</v>
      </c>
      <c r="V84" s="492">
        <f t="shared" si="71"/>
        <v>0.86229249999999968</v>
      </c>
      <c r="W84" s="492">
        <f t="shared" si="72"/>
        <v>1.9824125000000001</v>
      </c>
      <c r="X84" s="492">
        <f t="shared" si="73"/>
        <v>3.8848074999999946</v>
      </c>
      <c r="Y84" s="492">
        <f t="shared" si="74"/>
        <v>5.061047499999991</v>
      </c>
    </row>
    <row r="85" spans="3:25" x14ac:dyDescent="0.3">
      <c r="C85" t="s">
        <v>2496</v>
      </c>
      <c r="D85" t="s">
        <v>2497</v>
      </c>
      <c r="E85" t="s">
        <v>585</v>
      </c>
      <c r="I85" s="505">
        <v>0</v>
      </c>
      <c r="J85" s="505">
        <v>0</v>
      </c>
      <c r="K85" s="505">
        <v>0</v>
      </c>
      <c r="L85" s="505">
        <v>0</v>
      </c>
      <c r="M85" s="505">
        <v>2.1059776440240752E-2</v>
      </c>
      <c r="N85" s="505">
        <v>1.7196663800515904E-2</v>
      </c>
      <c r="O85" s="505">
        <v>3.3631401547721401E-2</v>
      </c>
      <c r="P85" s="853">
        <f t="shared" si="67"/>
        <v>0.27868519999999997</v>
      </c>
      <c r="Q85" s="499">
        <f t="shared" si="76"/>
        <v>0.27868519999999997</v>
      </c>
      <c r="R85" t="s">
        <v>2489</v>
      </c>
      <c r="S85" s="500">
        <f t="shared" si="68"/>
        <v>0</v>
      </c>
      <c r="T85" s="492">
        <f t="shared" si="69"/>
        <v>0</v>
      </c>
      <c r="U85" s="492">
        <f t="shared" si="70"/>
        <v>0</v>
      </c>
      <c r="V85" s="492">
        <f t="shared" si="71"/>
        <v>0</v>
      </c>
      <c r="W85" s="492">
        <f t="shared" si="72"/>
        <v>0.24492519999999995</v>
      </c>
      <c r="X85" s="492">
        <f t="shared" si="73"/>
        <v>0.44492239999999994</v>
      </c>
      <c r="Y85" s="492">
        <f t="shared" si="74"/>
        <v>0.8360555999999999</v>
      </c>
    </row>
    <row r="86" spans="3:25" x14ac:dyDescent="0.3">
      <c r="C86" t="s">
        <v>2498</v>
      </c>
      <c r="D86" t="s">
        <v>2499</v>
      </c>
      <c r="E86" t="s">
        <v>601</v>
      </c>
      <c r="I86" s="505">
        <v>0</v>
      </c>
      <c r="J86" s="505">
        <v>0</v>
      </c>
      <c r="K86" s="505">
        <v>0</v>
      </c>
      <c r="L86" s="505">
        <v>0</v>
      </c>
      <c r="M86" s="505">
        <v>0</v>
      </c>
      <c r="N86" s="505">
        <v>2.9862080825451415E-2</v>
      </c>
      <c r="O86" s="505">
        <v>2.812932072226999E-2</v>
      </c>
      <c r="P86" s="853">
        <f t="shared" si="67"/>
        <v>0.33722000000000002</v>
      </c>
      <c r="Q86" s="499">
        <f t="shared" si="76"/>
        <v>0.33722000000000002</v>
      </c>
      <c r="R86" t="s">
        <v>2489</v>
      </c>
      <c r="S86" s="500">
        <f t="shared" si="68"/>
        <v>0</v>
      </c>
      <c r="T86" s="492">
        <f t="shared" si="69"/>
        <v>0</v>
      </c>
      <c r="U86" s="492">
        <f t="shared" si="70"/>
        <v>0</v>
      </c>
      <c r="V86" s="492">
        <f t="shared" si="71"/>
        <v>0</v>
      </c>
      <c r="W86" s="492">
        <f t="shared" si="72"/>
        <v>0</v>
      </c>
      <c r="X86" s="492">
        <f t="shared" si="73"/>
        <v>0.34729599999999999</v>
      </c>
      <c r="Y86" s="492">
        <f t="shared" si="74"/>
        <v>0.67443999999999993</v>
      </c>
    </row>
    <row r="87" spans="3:25" x14ac:dyDescent="0.3">
      <c r="C87" t="s">
        <v>2500</v>
      </c>
      <c r="D87" t="s">
        <v>2501</v>
      </c>
      <c r="E87" t="s">
        <v>614</v>
      </c>
      <c r="I87" s="505">
        <v>0</v>
      </c>
      <c r="J87" s="505">
        <v>0</v>
      </c>
      <c r="K87" s="505">
        <v>0</v>
      </c>
      <c r="L87" s="505">
        <v>0</v>
      </c>
      <c r="M87" s="505">
        <v>0</v>
      </c>
      <c r="N87" s="505">
        <v>0.17280019759243301</v>
      </c>
      <c r="O87" s="505">
        <v>0.25526322063628498</v>
      </c>
      <c r="P87" s="853">
        <f t="shared" si="67"/>
        <v>2.489188776999995</v>
      </c>
      <c r="Q87" s="499">
        <f t="shared" si="76"/>
        <v>2.489188776999995</v>
      </c>
      <c r="R87" t="s">
        <v>2489</v>
      </c>
      <c r="S87" s="500">
        <f t="shared" si="68"/>
        <v>0</v>
      </c>
      <c r="T87" s="492">
        <f t="shared" si="69"/>
        <v>0</v>
      </c>
      <c r="U87" s="492">
        <f t="shared" si="70"/>
        <v>0</v>
      </c>
      <c r="V87" s="492">
        <f t="shared" si="71"/>
        <v>0</v>
      </c>
      <c r="W87" s="492">
        <f t="shared" si="72"/>
        <v>0</v>
      </c>
      <c r="X87" s="492">
        <f t="shared" si="73"/>
        <v>2.009666297999996</v>
      </c>
      <c r="Y87" s="492">
        <f t="shared" si="74"/>
        <v>4.9783775539999908</v>
      </c>
    </row>
    <row r="88" spans="3:25" x14ac:dyDescent="0.3">
      <c r="C88" t="s">
        <v>2502</v>
      </c>
      <c r="D88" t="s">
        <v>2503</v>
      </c>
      <c r="E88" t="s">
        <v>620</v>
      </c>
      <c r="I88" s="505">
        <v>0</v>
      </c>
      <c r="J88" s="505">
        <v>0</v>
      </c>
      <c r="K88" s="505">
        <v>0</v>
      </c>
      <c r="L88" s="505">
        <v>0</v>
      </c>
      <c r="M88" s="505">
        <v>5.1166450558899401E-2</v>
      </c>
      <c r="N88" s="505">
        <v>0.29380019174548599</v>
      </c>
      <c r="O88" s="505">
        <v>0.18691935339638899</v>
      </c>
      <c r="P88" s="853">
        <f t="shared" si="67"/>
        <v>2.0619447100000023</v>
      </c>
      <c r="Q88" s="499">
        <f t="shared" si="76"/>
        <v>2.0619447100000023</v>
      </c>
      <c r="R88" t="s">
        <v>2489</v>
      </c>
      <c r="S88" s="500">
        <f t="shared" si="68"/>
        <v>0</v>
      </c>
      <c r="T88" s="492">
        <f t="shared" si="69"/>
        <v>0</v>
      </c>
      <c r="U88" s="492">
        <f t="shared" si="70"/>
        <v>0</v>
      </c>
      <c r="V88" s="492">
        <f t="shared" si="71"/>
        <v>0</v>
      </c>
      <c r="W88" s="492">
        <f t="shared" si="72"/>
        <v>0.59506582000000008</v>
      </c>
      <c r="X88" s="492">
        <f t="shared" si="73"/>
        <v>4.0119620500000028</v>
      </c>
      <c r="Y88" s="492">
        <f t="shared" si="74"/>
        <v>6.185834130000007</v>
      </c>
    </row>
    <row r="89" spans="3:25" x14ac:dyDescent="0.3">
      <c r="C89" t="s">
        <v>2504</v>
      </c>
      <c r="D89" t="s">
        <v>2505</v>
      </c>
      <c r="E89" t="s">
        <v>644</v>
      </c>
      <c r="I89" s="505">
        <v>0.82995644742835195</v>
      </c>
      <c r="J89" s="505">
        <v>0.82571777072138397</v>
      </c>
      <c r="K89" s="505">
        <v>0.780799571729482</v>
      </c>
      <c r="L89" s="505">
        <v>0.74418211462205996</v>
      </c>
      <c r="M89" s="505">
        <v>0.72010407610608596</v>
      </c>
      <c r="N89" s="505">
        <v>0.74241599932748903</v>
      </c>
      <c r="O89" s="505">
        <v>0.75942957666518196</v>
      </c>
      <c r="P89" s="853">
        <f t="shared" si="67"/>
        <v>8.8633181899444455</v>
      </c>
      <c r="Q89" s="499">
        <f t="shared" si="76"/>
        <v>8.8633181899444455</v>
      </c>
      <c r="R89" t="s">
        <v>2484</v>
      </c>
      <c r="S89" s="500">
        <f t="shared" si="68"/>
        <v>9.6523934835917338</v>
      </c>
      <c r="T89" s="492">
        <f t="shared" si="69"/>
        <v>19.25549115708143</v>
      </c>
      <c r="U89" s="492">
        <f t="shared" si="70"/>
        <v>28.336190176295304</v>
      </c>
      <c r="V89" s="492">
        <f t="shared" si="71"/>
        <v>36.99102816934986</v>
      </c>
      <c r="W89" s="492">
        <f t="shared" si="72"/>
        <v>45.365838574463638</v>
      </c>
      <c r="X89" s="492">
        <f t="shared" si="73"/>
        <v>54.000136646642332</v>
      </c>
      <c r="Y89" s="492">
        <f t="shared" si="74"/>
        <v>62.8323026232584</v>
      </c>
    </row>
    <row r="90" spans="3:25" x14ac:dyDescent="0.3">
      <c r="C90" t="s">
        <v>2506</v>
      </c>
      <c r="D90" t="s">
        <v>2507</v>
      </c>
      <c r="E90" t="s">
        <v>699</v>
      </c>
      <c r="I90" s="505">
        <v>5.7443176837562504</v>
      </c>
      <c r="J90" s="505">
        <v>6.9024189828899001</v>
      </c>
      <c r="K90" s="505">
        <v>8.5251491969809106</v>
      </c>
      <c r="L90" s="505">
        <v>9.1216120929535602</v>
      </c>
      <c r="M90" s="505">
        <v>9.3458245931852204</v>
      </c>
      <c r="N90" s="505">
        <v>9.2168048301758994</v>
      </c>
      <c r="O90" s="505">
        <v>8.6557743983882194</v>
      </c>
      <c r="P90" s="853">
        <f t="shared" si="67"/>
        <v>100.34283383664871</v>
      </c>
      <c r="Q90" s="499">
        <f t="shared" si="76"/>
        <v>100.34283383664871</v>
      </c>
      <c r="R90" t="s">
        <v>2484</v>
      </c>
      <c r="S90" s="500">
        <f t="shared" si="68"/>
        <v>66.806414662085203</v>
      </c>
      <c r="T90" s="492">
        <f t="shared" si="69"/>
        <v>147.08154743309473</v>
      </c>
      <c r="U90" s="492">
        <f t="shared" si="70"/>
        <v>246.22903259398271</v>
      </c>
      <c r="V90" s="492">
        <f t="shared" si="71"/>
        <v>352.31338123503264</v>
      </c>
      <c r="W90" s="492">
        <f t="shared" si="72"/>
        <v>461.00532125377674</v>
      </c>
      <c r="X90" s="492">
        <f t="shared" si="73"/>
        <v>568.19676142872243</v>
      </c>
      <c r="Y90" s="492">
        <f t="shared" si="74"/>
        <v>668.86341768197747</v>
      </c>
    </row>
    <row r="91" spans="3:25" x14ac:dyDescent="0.3">
      <c r="C91" t="s">
        <v>2508</v>
      </c>
      <c r="D91" t="s">
        <v>2509</v>
      </c>
      <c r="E91" t="s">
        <v>640</v>
      </c>
      <c r="I91" s="505">
        <v>0</v>
      </c>
      <c r="J91" s="505">
        <v>0</v>
      </c>
      <c r="K91" s="505">
        <v>0</v>
      </c>
      <c r="L91" s="505">
        <v>0</v>
      </c>
      <c r="M91" s="505">
        <v>0</v>
      </c>
      <c r="N91" s="505">
        <v>1.7891659501289801</v>
      </c>
      <c r="O91" s="505">
        <v>3.14703353396389</v>
      </c>
      <c r="P91" s="853">
        <f t="shared" si="67"/>
        <v>28.70400000000004</v>
      </c>
      <c r="Q91" s="499">
        <f t="shared" si="76"/>
        <v>28.70400000000004</v>
      </c>
      <c r="S91" s="500">
        <f t="shared" si="68"/>
        <v>0</v>
      </c>
      <c r="T91" s="492">
        <f t="shared" si="69"/>
        <v>0</v>
      </c>
      <c r="U91" s="492">
        <f t="shared" si="70"/>
        <v>0</v>
      </c>
      <c r="V91" s="492">
        <f t="shared" si="71"/>
        <v>0</v>
      </c>
      <c r="W91" s="492">
        <f t="shared" si="72"/>
        <v>0</v>
      </c>
      <c r="X91" s="492">
        <f t="shared" si="73"/>
        <v>20.808000000000039</v>
      </c>
      <c r="Y91" s="492">
        <f t="shared" si="74"/>
        <v>57.408000000000087</v>
      </c>
    </row>
    <row r="92" spans="3:25" x14ac:dyDescent="0.3">
      <c r="C92" t="s">
        <v>2510</v>
      </c>
      <c r="D92" t="s">
        <v>2431</v>
      </c>
      <c r="E92" t="s">
        <v>668</v>
      </c>
      <c r="I92" s="505">
        <v>0.15482533963886499</v>
      </c>
      <c r="J92" s="505">
        <v>0</v>
      </c>
      <c r="K92" s="505">
        <v>0</v>
      </c>
      <c r="L92" s="505">
        <v>0</v>
      </c>
      <c r="M92" s="505">
        <v>0</v>
      </c>
      <c r="N92" s="505">
        <v>0</v>
      </c>
      <c r="O92" s="505">
        <v>8.8866399345840508E-3</v>
      </c>
      <c r="P92" s="853">
        <f t="shared" si="67"/>
        <v>0.10335162243921252</v>
      </c>
      <c r="Q92" s="499">
        <f t="shared" si="76"/>
        <v>0.10335162243921252</v>
      </c>
      <c r="S92" s="500">
        <f t="shared" si="68"/>
        <v>1.8006187</v>
      </c>
      <c r="T92" s="492">
        <f t="shared" si="69"/>
        <v>1.8006187</v>
      </c>
      <c r="U92" s="492">
        <f t="shared" si="70"/>
        <v>1.8006187</v>
      </c>
      <c r="V92" s="492">
        <f t="shared" si="71"/>
        <v>1.8006187</v>
      </c>
      <c r="W92" s="492">
        <f t="shared" si="72"/>
        <v>1.8006187</v>
      </c>
      <c r="X92" s="492">
        <f t="shared" si="73"/>
        <v>1.8006187</v>
      </c>
      <c r="Y92" s="492">
        <f t="shared" si="74"/>
        <v>1.9039703224392126</v>
      </c>
    </row>
    <row r="93" spans="3:25" x14ac:dyDescent="0.3">
      <c r="C93" t="s">
        <v>2511</v>
      </c>
      <c r="D93" t="s">
        <v>2512</v>
      </c>
      <c r="E93" t="s">
        <v>570</v>
      </c>
      <c r="I93" s="505">
        <v>0</v>
      </c>
      <c r="J93" s="505">
        <v>0</v>
      </c>
      <c r="K93" s="505">
        <v>7.0808254514187399E-4</v>
      </c>
      <c r="L93" s="505">
        <v>0.198530610490112</v>
      </c>
      <c r="M93" s="505">
        <v>0.16700520206362901</v>
      </c>
      <c r="N93" s="505">
        <v>0.15569948409286299</v>
      </c>
      <c r="O93" s="505">
        <v>0.22533546861564899</v>
      </c>
      <c r="P93" s="853">
        <f t="shared" si="67"/>
        <v>1.7381706000000003</v>
      </c>
      <c r="Q93" s="499">
        <f t="shared" si="76"/>
        <v>1.7381706000000003</v>
      </c>
      <c r="R93" t="s">
        <v>2484</v>
      </c>
      <c r="S93" s="500">
        <f t="shared" si="68"/>
        <v>0</v>
      </c>
      <c r="T93" s="492">
        <f t="shared" si="69"/>
        <v>0</v>
      </c>
      <c r="U93" s="492">
        <f t="shared" si="70"/>
        <v>8.2349999999999958E-3</v>
      </c>
      <c r="V93" s="492">
        <f t="shared" si="71"/>
        <v>2.3171460000000028</v>
      </c>
      <c r="W93" s="492">
        <f t="shared" si="72"/>
        <v>4.2594165000000084</v>
      </c>
      <c r="X93" s="492">
        <f t="shared" si="73"/>
        <v>6.0702015000000049</v>
      </c>
      <c r="Y93" s="492">
        <f t="shared" si="74"/>
        <v>8.6908530000000024</v>
      </c>
    </row>
    <row r="94" spans="3:25" x14ac:dyDescent="0.3">
      <c r="C94" t="s">
        <v>2513</v>
      </c>
      <c r="D94" t="s">
        <v>2514</v>
      </c>
      <c r="I94" s="505">
        <v>0</v>
      </c>
      <c r="J94" s="505">
        <v>0</v>
      </c>
      <c r="K94" s="505">
        <v>0</v>
      </c>
      <c r="L94" s="505">
        <v>0</v>
      </c>
      <c r="M94" s="505">
        <v>0</v>
      </c>
      <c r="N94" s="505">
        <v>0</v>
      </c>
      <c r="O94" s="505">
        <v>0</v>
      </c>
      <c r="P94" s="853"/>
      <c r="Q94" s="499">
        <f t="shared" si="76"/>
        <v>0</v>
      </c>
      <c r="R94" t="s">
        <v>2484</v>
      </c>
      <c r="S94" s="500">
        <f t="shared" si="68"/>
        <v>0</v>
      </c>
      <c r="T94" s="492">
        <f t="shared" si="69"/>
        <v>0</v>
      </c>
      <c r="U94" s="492">
        <f t="shared" si="70"/>
        <v>0</v>
      </c>
      <c r="V94" s="492">
        <f t="shared" si="71"/>
        <v>0</v>
      </c>
      <c r="W94" s="492">
        <f t="shared" si="72"/>
        <v>0</v>
      </c>
      <c r="X94" s="492">
        <f t="shared" si="73"/>
        <v>0</v>
      </c>
      <c r="Y94" s="492">
        <f t="shared" si="74"/>
        <v>0</v>
      </c>
    </row>
    <row r="95" spans="3:25" x14ac:dyDescent="0.3">
      <c r="C95" t="s">
        <v>2515</v>
      </c>
      <c r="D95" t="s">
        <v>2516</v>
      </c>
      <c r="E95" t="s">
        <v>581</v>
      </c>
      <c r="I95" s="505">
        <v>5.74376612209802E-3</v>
      </c>
      <c r="J95" s="505">
        <v>6.0309544282029198E-2</v>
      </c>
      <c r="K95" s="505">
        <v>3.7334479793637201E-2</v>
      </c>
      <c r="L95" s="505">
        <v>1.7231298366294098E-2</v>
      </c>
      <c r="M95" s="505">
        <v>2.87188306104901E-3</v>
      </c>
      <c r="N95" s="505">
        <v>2.87188306104901E-3</v>
      </c>
      <c r="O95" s="505">
        <v>4.0206362854686199E-2</v>
      </c>
      <c r="P95" s="853">
        <f t="shared" si="67"/>
        <v>0.31173333333333353</v>
      </c>
      <c r="Q95" s="499">
        <f t="shared" si="76"/>
        <v>0.31173333333333353</v>
      </c>
      <c r="R95" t="s">
        <v>2484</v>
      </c>
      <c r="S95" s="500">
        <f t="shared" si="68"/>
        <v>6.6799999999999984E-2</v>
      </c>
      <c r="T95" s="492">
        <f t="shared" si="69"/>
        <v>0.76819999999999955</v>
      </c>
      <c r="U95" s="492">
        <f t="shared" si="70"/>
        <v>1.2024000000000004</v>
      </c>
      <c r="V95" s="492">
        <f t="shared" si="71"/>
        <v>1.4028000000000007</v>
      </c>
      <c r="W95" s="492">
        <f t="shared" si="72"/>
        <v>1.4362000000000008</v>
      </c>
      <c r="X95" s="492">
        <f t="shared" si="73"/>
        <v>1.4696000000000009</v>
      </c>
      <c r="Y95" s="492">
        <f t="shared" si="74"/>
        <v>1.9372000000000014</v>
      </c>
    </row>
    <row r="96" spans="3:25" x14ac:dyDescent="0.3">
      <c r="C96" t="s">
        <v>2517</v>
      </c>
      <c r="D96" t="s">
        <v>2518</v>
      </c>
      <c r="E96" t="s">
        <v>575</v>
      </c>
      <c r="I96" s="505">
        <v>0</v>
      </c>
      <c r="J96" s="505">
        <v>0</v>
      </c>
      <c r="K96" s="505">
        <v>0</v>
      </c>
      <c r="L96" s="505">
        <v>0</v>
      </c>
      <c r="M96" s="505">
        <v>0</v>
      </c>
      <c r="N96" s="505">
        <v>0</v>
      </c>
      <c r="O96" s="505">
        <v>3.1454858125537402E-2</v>
      </c>
      <c r="P96" s="853">
        <f t="shared" si="67"/>
        <v>0.36582000000000003</v>
      </c>
      <c r="Q96" s="499">
        <f t="shared" si="76"/>
        <v>0.36582000000000003</v>
      </c>
      <c r="S96" s="500">
        <f t="shared" si="68"/>
        <v>0</v>
      </c>
      <c r="T96" s="492">
        <f t="shared" si="69"/>
        <v>0</v>
      </c>
      <c r="U96" s="492">
        <f t="shared" si="70"/>
        <v>0</v>
      </c>
      <c r="V96" s="492">
        <f t="shared" si="71"/>
        <v>0</v>
      </c>
      <c r="W96" s="492">
        <f t="shared" si="72"/>
        <v>0</v>
      </c>
      <c r="X96" s="492">
        <f t="shared" si="73"/>
        <v>0</v>
      </c>
      <c r="Y96" s="492">
        <f t="shared" si="74"/>
        <v>0.36582000000000003</v>
      </c>
    </row>
    <row r="97" spans="3:25" x14ac:dyDescent="0.3">
      <c r="C97" t="s">
        <v>2519</v>
      </c>
      <c r="D97" t="s">
        <v>2520</v>
      </c>
      <c r="E97" t="s">
        <v>711</v>
      </c>
      <c r="I97" s="505">
        <v>0</v>
      </c>
      <c r="J97" s="505">
        <v>9.3968679105760969E-2</v>
      </c>
      <c r="K97" s="505">
        <v>2.5855287446259673E-2</v>
      </c>
      <c r="L97" s="505">
        <v>1.8626927515047291E-2</v>
      </c>
      <c r="M97" s="505">
        <v>2.5021245915735166E-2</v>
      </c>
      <c r="N97" s="505">
        <v>0</v>
      </c>
      <c r="O97" s="505">
        <v>0</v>
      </c>
      <c r="P97" s="853">
        <f t="shared" si="67"/>
        <v>0.47529524699999998</v>
      </c>
      <c r="Q97" s="499">
        <f t="shared" si="76"/>
        <v>0</v>
      </c>
      <c r="R97" t="s">
        <v>2484</v>
      </c>
      <c r="S97" s="500">
        <f t="shared" si="68"/>
        <v>0</v>
      </c>
      <c r="T97" s="492">
        <f t="shared" si="69"/>
        <v>1.0928557380000001</v>
      </c>
      <c r="U97" s="492">
        <f t="shared" si="70"/>
        <v>1.3935527310000002</v>
      </c>
      <c r="V97" s="492">
        <f t="shared" si="71"/>
        <v>1.6101838980000003</v>
      </c>
      <c r="W97" s="492">
        <f t="shared" si="72"/>
        <v>1.9011809880000003</v>
      </c>
      <c r="X97" s="492">
        <f t="shared" si="73"/>
        <v>1.9011809880000003</v>
      </c>
      <c r="Y97" s="492">
        <f t="shared" si="74"/>
        <v>1.9011809880000003</v>
      </c>
    </row>
    <row r="98" spans="3:25" x14ac:dyDescent="0.3">
      <c r="C98" t="s">
        <v>2521</v>
      </c>
      <c r="D98" t="s">
        <v>2522</v>
      </c>
      <c r="E98" t="s">
        <v>676</v>
      </c>
      <c r="I98" s="505">
        <v>0</v>
      </c>
      <c r="J98" s="505">
        <v>0</v>
      </c>
      <c r="K98" s="505">
        <v>0</v>
      </c>
      <c r="L98" s="505">
        <v>0</v>
      </c>
      <c r="M98" s="505">
        <v>1.61815563198624E-2</v>
      </c>
      <c r="N98" s="505">
        <v>0</v>
      </c>
      <c r="O98" s="505">
        <v>0</v>
      </c>
      <c r="P98" s="853">
        <f t="shared" si="67"/>
        <v>0.18819149999999973</v>
      </c>
      <c r="Q98" s="499">
        <f t="shared" si="76"/>
        <v>0</v>
      </c>
      <c r="R98" t="s">
        <v>2484</v>
      </c>
      <c r="S98" s="500">
        <f t="shared" si="68"/>
        <v>0</v>
      </c>
      <c r="T98" s="492">
        <f t="shared" si="69"/>
        <v>0</v>
      </c>
      <c r="U98" s="492">
        <f t="shared" si="70"/>
        <v>0</v>
      </c>
      <c r="V98" s="492">
        <f t="shared" si="71"/>
        <v>0</v>
      </c>
      <c r="W98" s="492">
        <f t="shared" si="72"/>
        <v>0.18819149999999973</v>
      </c>
      <c r="X98" s="492">
        <f t="shared" si="73"/>
        <v>0.18819149999999973</v>
      </c>
      <c r="Y98" s="492">
        <f t="shared" si="74"/>
        <v>0.18819149999999973</v>
      </c>
    </row>
    <row r="99" spans="3:25" x14ac:dyDescent="0.3">
      <c r="C99" t="s">
        <v>2523</v>
      </c>
      <c r="D99" t="s">
        <v>2524</v>
      </c>
      <c r="E99" t="s">
        <v>673</v>
      </c>
      <c r="I99" s="505">
        <v>0</v>
      </c>
      <c r="J99" s="505">
        <v>0</v>
      </c>
      <c r="K99" s="505">
        <v>0</v>
      </c>
      <c r="L99" s="505">
        <v>0</v>
      </c>
      <c r="M99" s="505">
        <v>2.21989667713458E-2</v>
      </c>
      <c r="N99" s="505">
        <v>1.16705528629594</v>
      </c>
      <c r="O99" s="505">
        <v>0.575628299386436</v>
      </c>
      <c r="P99" s="853">
        <f t="shared" si="67"/>
        <v>6.8418613616789292</v>
      </c>
      <c r="Q99" s="499">
        <f t="shared" si="76"/>
        <v>6.8418613616789292</v>
      </c>
      <c r="R99" t="s">
        <v>2484</v>
      </c>
      <c r="S99" s="500">
        <f t="shared" si="68"/>
        <v>0</v>
      </c>
      <c r="T99" s="492">
        <f t="shared" si="69"/>
        <v>0</v>
      </c>
      <c r="U99" s="492">
        <f t="shared" si="70"/>
        <v>0</v>
      </c>
      <c r="V99" s="492">
        <f t="shared" si="71"/>
        <v>0</v>
      </c>
      <c r="W99" s="492">
        <f t="shared" si="72"/>
        <v>0.25817398355075166</v>
      </c>
      <c r="X99" s="492">
        <f t="shared" si="73"/>
        <v>13.831026963172535</v>
      </c>
      <c r="Y99" s="492">
        <f t="shared" si="74"/>
        <v>20.525584085036787</v>
      </c>
    </row>
    <row r="100" spans="3:25" x14ac:dyDescent="0.3">
      <c r="C100" t="s">
        <v>2525</v>
      </c>
      <c r="D100" t="s">
        <v>629</v>
      </c>
      <c r="E100" t="s">
        <v>626</v>
      </c>
      <c r="I100" s="505">
        <v>0</v>
      </c>
      <c r="J100" s="505">
        <v>0</v>
      </c>
      <c r="K100" s="505">
        <v>0</v>
      </c>
      <c r="L100" s="505">
        <v>1.30276870163371E-2</v>
      </c>
      <c r="M100" s="505">
        <v>4.4946345657781599E-2</v>
      </c>
      <c r="N100" s="505">
        <v>7.7428374892519303E-2</v>
      </c>
      <c r="O100" s="505">
        <v>0.102607738607051</v>
      </c>
      <c r="P100" s="853">
        <f t="shared" si="67"/>
        <v>0.69201450000000087</v>
      </c>
      <c r="Q100" s="499">
        <f t="shared" si="76"/>
        <v>0.69201450000000087</v>
      </c>
      <c r="R100" t="s">
        <v>2484</v>
      </c>
      <c r="S100" s="500">
        <f t="shared" si="68"/>
        <v>0</v>
      </c>
      <c r="T100" s="492">
        <f t="shared" si="69"/>
        <v>0</v>
      </c>
      <c r="U100" s="492">
        <f t="shared" si="70"/>
        <v>0</v>
      </c>
      <c r="V100" s="492">
        <f t="shared" si="71"/>
        <v>0.15151200000000048</v>
      </c>
      <c r="W100" s="492">
        <f t="shared" si="72"/>
        <v>0.67423800000000056</v>
      </c>
      <c r="X100" s="492">
        <f t="shared" si="73"/>
        <v>1.5747300000000002</v>
      </c>
      <c r="Y100" s="492">
        <f t="shared" si="74"/>
        <v>2.7680580000000035</v>
      </c>
    </row>
    <row r="101" spans="3:25" x14ac:dyDescent="0.3">
      <c r="C101" t="s">
        <v>2526</v>
      </c>
      <c r="D101" t="s">
        <v>2527</v>
      </c>
      <c r="E101" t="s">
        <v>705</v>
      </c>
      <c r="I101" s="505">
        <v>0</v>
      </c>
      <c r="J101" s="505">
        <v>0</v>
      </c>
      <c r="K101" s="505">
        <v>0</v>
      </c>
      <c r="L101" s="505">
        <v>0</v>
      </c>
      <c r="M101" s="505">
        <v>0</v>
      </c>
      <c r="N101" s="505">
        <v>0</v>
      </c>
      <c r="O101" s="505">
        <v>8.5984522785898507E-2</v>
      </c>
      <c r="P101" s="853">
        <f t="shared" si="67"/>
        <v>0.99999999999999967</v>
      </c>
      <c r="Q101" s="499">
        <f t="shared" si="76"/>
        <v>0.99999999999999967</v>
      </c>
      <c r="S101" s="500">
        <f t="shared" si="68"/>
        <v>0</v>
      </c>
      <c r="T101" s="492">
        <f t="shared" si="69"/>
        <v>0</v>
      </c>
      <c r="U101" s="492">
        <f t="shared" si="70"/>
        <v>0</v>
      </c>
      <c r="V101" s="492">
        <f t="shared" si="71"/>
        <v>0</v>
      </c>
      <c r="W101" s="492">
        <f t="shared" si="72"/>
        <v>0</v>
      </c>
      <c r="X101" s="492">
        <f t="shared" si="73"/>
        <v>0</v>
      </c>
      <c r="Y101" s="492">
        <f t="shared" si="74"/>
        <v>0.99999999999999967</v>
      </c>
    </row>
    <row r="102" spans="3:25" x14ac:dyDescent="0.3">
      <c r="C102" t="s">
        <v>2528</v>
      </c>
      <c r="D102" t="s">
        <v>2529</v>
      </c>
      <c r="I102" s="505">
        <v>0</v>
      </c>
      <c r="J102" s="505">
        <v>0</v>
      </c>
      <c r="K102" s="505">
        <v>2.7723361340958E-2</v>
      </c>
      <c r="L102" s="505">
        <v>0.95622160146155299</v>
      </c>
      <c r="M102" s="505">
        <v>1.6614107102955</v>
      </c>
      <c r="N102" s="505">
        <v>1.39610742751648</v>
      </c>
      <c r="O102" s="505">
        <v>1.0280861306430999</v>
      </c>
      <c r="P102" s="853">
        <f t="shared" si="67"/>
        <v>11.791771511905157</v>
      </c>
      <c r="Q102" s="499">
        <f t="shared" si="76"/>
        <v>11.791771511905157</v>
      </c>
      <c r="R102" t="s">
        <v>2484</v>
      </c>
      <c r="S102" s="500">
        <f t="shared" si="68"/>
        <v>0</v>
      </c>
      <c r="T102" s="492">
        <f t="shared" si="69"/>
        <v>0</v>
      </c>
      <c r="U102" s="492">
        <f t="shared" si="70"/>
        <v>0.32242269239534155</v>
      </c>
      <c r="V102" s="492">
        <f t="shared" si="71"/>
        <v>11.443279917393204</v>
      </c>
      <c r="W102" s="492">
        <f t="shared" si="72"/>
        <v>30.765486478129873</v>
      </c>
      <c r="X102" s="492">
        <f t="shared" si="73"/>
        <v>47.002215860146535</v>
      </c>
      <c r="Y102" s="492">
        <f t="shared" si="74"/>
        <v>58.958857559525789</v>
      </c>
    </row>
    <row r="103" spans="3:25" x14ac:dyDescent="0.3">
      <c r="C103" t="s">
        <v>2530</v>
      </c>
      <c r="D103" t="s">
        <v>2531</v>
      </c>
      <c r="E103" t="s">
        <v>658</v>
      </c>
      <c r="I103" s="505">
        <v>0</v>
      </c>
      <c r="J103" s="505">
        <v>0</v>
      </c>
      <c r="K103" s="505">
        <v>0</v>
      </c>
      <c r="L103" s="505">
        <v>0</v>
      </c>
      <c r="M103" s="505">
        <v>8.1444539982803103E-3</v>
      </c>
      <c r="N103" s="505">
        <v>1.62889079965606E-2</v>
      </c>
      <c r="O103" s="506">
        <v>1.62889079965606E-2</v>
      </c>
      <c r="P103" s="853">
        <f t="shared" si="67"/>
        <v>0.15786666666666652</v>
      </c>
      <c r="Q103" s="499">
        <f t="shared" si="76"/>
        <v>0.15786666666666652</v>
      </c>
      <c r="R103" t="s">
        <v>2484</v>
      </c>
      <c r="S103" s="500">
        <f t="shared" si="68"/>
        <v>0</v>
      </c>
      <c r="T103" s="492">
        <f t="shared" si="69"/>
        <v>0</v>
      </c>
      <c r="U103" s="492">
        <f t="shared" si="70"/>
        <v>0</v>
      </c>
      <c r="V103" s="492">
        <f t="shared" si="71"/>
        <v>0</v>
      </c>
      <c r="W103" s="492">
        <f t="shared" si="72"/>
        <v>9.4720000000000013E-2</v>
      </c>
      <c r="X103" s="492">
        <f t="shared" si="73"/>
        <v>0.2841599999999998</v>
      </c>
      <c r="Y103" s="492">
        <f t="shared" si="74"/>
        <v>0.47359999999999958</v>
      </c>
    </row>
    <row r="104" spans="3:25" x14ac:dyDescent="0.3">
      <c r="C104" t="s">
        <v>2532</v>
      </c>
      <c r="D104" t="s">
        <v>2533</v>
      </c>
      <c r="E104" t="s">
        <v>708</v>
      </c>
      <c r="I104" s="505">
        <v>1.40424670679278</v>
      </c>
      <c r="J104" s="505">
        <v>1.29961802579536</v>
      </c>
      <c r="K104" s="505">
        <v>1.08977660619089</v>
      </c>
      <c r="L104" s="505">
        <v>1.15158800859845</v>
      </c>
      <c r="M104" s="505">
        <v>1.23630733684437</v>
      </c>
      <c r="N104" s="505">
        <v>1.23630733684437</v>
      </c>
      <c r="O104" s="505">
        <v>1.23630733684437</v>
      </c>
      <c r="P104" s="853">
        <f t="shared" si="67"/>
        <v>14.052731848750025</v>
      </c>
      <c r="Q104" s="499">
        <f t="shared" si="76"/>
        <v>14.052731848750025</v>
      </c>
      <c r="R104" t="s">
        <v>2484</v>
      </c>
      <c r="S104" s="500">
        <f t="shared" si="68"/>
        <v>16.331389200000032</v>
      </c>
      <c r="T104" s="492">
        <f t="shared" si="69"/>
        <v>31.445946840000069</v>
      </c>
      <c r="U104" s="492">
        <f t="shared" si="70"/>
        <v>44.120048770000125</v>
      </c>
      <c r="V104" s="492">
        <f t="shared" si="71"/>
        <v>57.513017310000102</v>
      </c>
      <c r="W104" s="492">
        <f t="shared" si="72"/>
        <v>71.891271637500125</v>
      </c>
      <c r="X104" s="492">
        <f t="shared" si="73"/>
        <v>86.269525965000156</v>
      </c>
      <c r="Y104" s="492">
        <f t="shared" si="74"/>
        <v>100.64778029250019</v>
      </c>
    </row>
    <row r="105" spans="3:25" x14ac:dyDescent="0.3">
      <c r="C105" t="s">
        <v>2534</v>
      </c>
      <c r="I105" s="497">
        <v>800.1</v>
      </c>
      <c r="J105" s="497">
        <v>893.01</v>
      </c>
      <c r="K105" s="498">
        <v>1221.81</v>
      </c>
      <c r="L105" s="498">
        <v>1324.76</v>
      </c>
      <c r="M105" s="498">
        <v>1429.21</v>
      </c>
      <c r="N105" s="498">
        <v>1568.41</v>
      </c>
      <c r="O105" s="498">
        <v>1255.99</v>
      </c>
    </row>
  </sheetData>
  <sortState xmlns:xlrd2="http://schemas.microsoft.com/office/spreadsheetml/2017/richdata2" ref="B27:BI42">
    <sortCondition ref="B27:B42"/>
  </sortState>
  <mergeCells count="19">
    <mergeCell ref="AE8:AO8"/>
    <mergeCell ref="I8:J8"/>
    <mergeCell ref="I48:J48"/>
    <mergeCell ref="K48:T48"/>
    <mergeCell ref="K24:T24"/>
    <mergeCell ref="U24:AD24"/>
    <mergeCell ref="I24:J24"/>
    <mergeCell ref="U48:AD48"/>
    <mergeCell ref="U8:AD8"/>
    <mergeCell ref="BU24:CD24"/>
    <mergeCell ref="AZ24:BI24"/>
    <mergeCell ref="AO24:AX24"/>
    <mergeCell ref="AE48:AN48"/>
    <mergeCell ref="AE24:AN24"/>
    <mergeCell ref="AP8:AY8"/>
    <mergeCell ref="AP48:AY48"/>
    <mergeCell ref="AZ48:BI48"/>
    <mergeCell ref="BK48:BT48"/>
    <mergeCell ref="BK24:BT24"/>
  </mergeCells>
  <phoneticPr fontId="0" type="noConversion"/>
  <hyperlinks>
    <hyperlink ref="D7" r:id="rId1" display="https://energiatalgud.ee/sites/default/files/2022-04/1. Riikliku energias%C3%A4%C3%A4stukohustuse t%C3%A4itmiseks sobilike finantsmeetmete arvutusmetoodikate v%C3%A4ljat%C3%B6%C3%B6tamine ja energias%C3%A4%C3%A4stu potentsiaali hindamine.pdf" xr:uid="{92D19E99-9683-42F5-AB99-A2480B226C5D}"/>
    <hyperlink ref="D23" r:id="rId2" xr:uid="{BC3CB251-97EE-4A43-B46E-B0F04E9B8112}"/>
    <hyperlink ref="K23" r:id="rId3" xr:uid="{090E9F10-711D-4741-9975-08E864E7417B}"/>
    <hyperlink ref="D47" r:id="rId4" display="https://energiatalgud.ee/sites/default/files/2022-04/EL struktuurivahenditest rahastatud meetmete m%C3%B5ju riigi energiamajanduse eesm%C3%A4rkide t%C3%A4itmisele - L%C3%B5pparuanne.pdf" xr:uid="{12221ACE-1E56-4315-BD11-C13F52D71835}"/>
    <hyperlink ref="C23" r:id="rId5" xr:uid="{AB54DD1E-B3CB-4B87-AEA3-6CB9AF76871A}"/>
    <hyperlink ref="F23" r:id="rId6" xr:uid="{98B3EC7B-5924-430F-9E16-9E8920BFB3F3}"/>
    <hyperlink ref="D6" r:id="rId7" xr:uid="{229F7A81-4030-471E-820E-230FEFA3744B}"/>
  </hyperlinks>
  <pageMargins left="0.7" right="0.7" top="0.75" bottom="0.75" header="0.3" footer="0.3"/>
  <pageSetup orientation="portrait" horizontalDpi="1200" verticalDpi="1200" r:id="rId8"/>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2:S56"/>
  <sheetViews>
    <sheetView workbookViewId="0"/>
  </sheetViews>
  <sheetFormatPr defaultColWidth="9.1640625" defaultRowHeight="13.5" x14ac:dyDescent="0.3"/>
  <cols>
    <col min="1" max="3" width="4.1640625" customWidth="1"/>
    <col min="4" max="4" width="19.83203125" customWidth="1"/>
    <col min="5" max="5" width="10.1640625" customWidth="1"/>
    <col min="18" max="18" width="9.1640625" customWidth="1"/>
    <col min="21" max="21" width="10.1640625" customWidth="1"/>
    <col min="24" max="24" width="11" customWidth="1"/>
  </cols>
  <sheetData>
    <row r="2" spans="2:19" ht="18.75" thickBot="1" x14ac:dyDescent="0.4">
      <c r="B2" s="2" t="s">
        <v>2535</v>
      </c>
      <c r="C2" s="2"/>
      <c r="D2" s="2"/>
      <c r="E2" s="2"/>
      <c r="F2" s="2"/>
      <c r="G2" s="2"/>
      <c r="H2" s="2"/>
      <c r="I2" s="2"/>
      <c r="J2" s="2"/>
      <c r="K2" s="2"/>
      <c r="L2" s="2"/>
      <c r="M2" s="2"/>
      <c r="N2" s="2"/>
      <c r="O2" s="2"/>
      <c r="P2" s="2"/>
      <c r="Q2" s="2"/>
      <c r="R2" s="2"/>
      <c r="S2" s="2"/>
    </row>
    <row r="3" spans="2:19" ht="14.25" thickTop="1" x14ac:dyDescent="0.3"/>
    <row r="4" spans="2:19" ht="19.5" thickBot="1" x14ac:dyDescent="0.35">
      <c r="C4" s="1" t="s">
        <v>2536</v>
      </c>
      <c r="D4" s="1"/>
      <c r="E4" s="1"/>
      <c r="F4" s="1"/>
      <c r="G4" s="1"/>
      <c r="H4" s="1"/>
      <c r="I4" s="1"/>
      <c r="J4" s="1"/>
      <c r="K4" s="1"/>
      <c r="L4" s="1"/>
      <c r="M4" s="1"/>
      <c r="N4" s="1"/>
      <c r="O4" s="1"/>
      <c r="P4" s="1"/>
      <c r="Q4" s="1"/>
      <c r="R4" s="1"/>
      <c r="S4" s="1"/>
    </row>
    <row r="6" spans="2:19" ht="15" x14ac:dyDescent="0.3">
      <c r="D6" s="5" t="s">
        <v>2537</v>
      </c>
      <c r="E6" s="5"/>
      <c r="F6" s="5"/>
      <c r="G6" s="5"/>
      <c r="H6" s="5"/>
      <c r="I6" s="5"/>
      <c r="J6" s="5"/>
      <c r="K6" s="5"/>
      <c r="L6" s="5"/>
      <c r="M6" s="5"/>
      <c r="N6" s="5"/>
      <c r="O6" s="5"/>
      <c r="P6" s="5"/>
      <c r="Q6" s="5"/>
      <c r="R6" s="5"/>
      <c r="S6" s="5"/>
    </row>
    <row r="10" spans="2:19" x14ac:dyDescent="0.3">
      <c r="D10" s="6" t="s">
        <v>34</v>
      </c>
      <c r="E10" s="6" t="s">
        <v>2538</v>
      </c>
      <c r="F10" s="6" t="s">
        <v>2539</v>
      </c>
      <c r="G10" s="6" t="s">
        <v>2540</v>
      </c>
      <c r="H10" s="6" t="s">
        <v>2541</v>
      </c>
      <c r="I10" s="6" t="s">
        <v>2542</v>
      </c>
      <c r="J10" s="6" t="s">
        <v>2543</v>
      </c>
    </row>
    <row r="11" spans="2:19" x14ac:dyDescent="0.3">
      <c r="D11" s="7">
        <v>2006</v>
      </c>
      <c r="E11" s="7">
        <v>4</v>
      </c>
      <c r="F11" s="7">
        <v>6</v>
      </c>
      <c r="G11" s="7">
        <v>3</v>
      </c>
      <c r="H11" s="7">
        <v>7</v>
      </c>
      <c r="I11" s="7">
        <v>8</v>
      </c>
      <c r="J11" s="7">
        <v>9</v>
      </c>
    </row>
    <row r="12" spans="2:19" x14ac:dyDescent="0.3">
      <c r="D12" s="7">
        <v>2007</v>
      </c>
      <c r="E12" s="7">
        <v>5</v>
      </c>
      <c r="F12" s="7">
        <v>23</v>
      </c>
      <c r="G12" s="7">
        <v>7</v>
      </c>
      <c r="H12" s="7">
        <v>23</v>
      </c>
      <c r="I12" s="7">
        <v>5</v>
      </c>
      <c r="J12" s="7">
        <v>9</v>
      </c>
    </row>
    <row r="13" spans="2:19" x14ac:dyDescent="0.3">
      <c r="D13" s="7">
        <v>2008</v>
      </c>
      <c r="E13" s="7">
        <v>6</v>
      </c>
      <c r="F13" s="7">
        <v>4</v>
      </c>
      <c r="G13" s="7">
        <v>6</v>
      </c>
      <c r="H13" s="7">
        <v>4</v>
      </c>
      <c r="I13" s="7">
        <v>8</v>
      </c>
      <c r="J13" s="7">
        <v>3</v>
      </c>
    </row>
    <row r="15" spans="2:19" x14ac:dyDescent="0.3">
      <c r="D15" t="s">
        <v>2544</v>
      </c>
      <c r="N15" t="s">
        <v>2545</v>
      </c>
    </row>
    <row r="35" spans="4:14" x14ac:dyDescent="0.3">
      <c r="D35" s="4"/>
    </row>
    <row r="36" spans="4:14" x14ac:dyDescent="0.3">
      <c r="N36" t="s">
        <v>2546</v>
      </c>
    </row>
    <row r="49" spans="4:4" x14ac:dyDescent="0.3">
      <c r="D49" s="3"/>
    </row>
    <row r="56" spans="4:4" x14ac:dyDescent="0.3">
      <c r="D56" t="s">
        <v>2547</v>
      </c>
    </row>
  </sheetData>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097D5-532A-4831-A153-A346AF134240}">
  <sheetPr codeName="Sheet9"/>
  <dimension ref="C2:T45"/>
  <sheetViews>
    <sheetView workbookViewId="0"/>
  </sheetViews>
  <sheetFormatPr defaultColWidth="9.1640625" defaultRowHeight="13.5" x14ac:dyDescent="0.3"/>
  <cols>
    <col min="1" max="2" width="3.1640625" customWidth="1"/>
    <col min="3" max="3" width="4.1640625" customWidth="1"/>
    <col min="4" max="4" width="20.1640625" customWidth="1"/>
    <col min="5" max="5" width="15.1640625" customWidth="1"/>
    <col min="6" max="6" width="12.83203125" customWidth="1"/>
  </cols>
  <sheetData>
    <row r="2" spans="3:20" ht="18.75" thickBot="1" x14ac:dyDescent="0.4">
      <c r="C2" s="2" t="s">
        <v>2548</v>
      </c>
      <c r="D2" s="2"/>
      <c r="E2" s="2"/>
      <c r="F2" s="2"/>
      <c r="G2" s="2"/>
      <c r="H2" s="2"/>
      <c r="I2" s="2"/>
      <c r="J2" s="2"/>
      <c r="K2" s="2"/>
      <c r="L2" s="2"/>
      <c r="M2" s="2"/>
      <c r="N2" s="2"/>
      <c r="O2" s="2"/>
      <c r="P2" s="2"/>
      <c r="Q2" s="2"/>
      <c r="R2" s="2"/>
      <c r="S2" s="2"/>
      <c r="T2" s="2"/>
    </row>
    <row r="3" spans="3:20" ht="14.25" thickTop="1" x14ac:dyDescent="0.3"/>
    <row r="4" spans="3:20" x14ac:dyDescent="0.3">
      <c r="D4" t="s">
        <v>2549</v>
      </c>
      <c r="O4" s="28" t="s">
        <v>2550</v>
      </c>
      <c r="P4" s="28"/>
      <c r="Q4" s="28"/>
      <c r="R4" s="28"/>
      <c r="S4" s="28"/>
      <c r="T4" s="28"/>
    </row>
    <row r="5" spans="3:20" x14ac:dyDescent="0.3">
      <c r="P5" t="s">
        <v>2551</v>
      </c>
    </row>
    <row r="6" spans="3:20" x14ac:dyDescent="0.3">
      <c r="D6" t="s">
        <v>2552</v>
      </c>
      <c r="O6" s="28"/>
      <c r="P6" s="29" t="s">
        <v>2553</v>
      </c>
      <c r="Q6" s="30"/>
      <c r="R6" s="31"/>
      <c r="S6" s="32"/>
      <c r="T6" s="33" t="s">
        <v>2554</v>
      </c>
    </row>
    <row r="7" spans="3:20" x14ac:dyDescent="0.3">
      <c r="O7" s="34" t="s">
        <v>2555</v>
      </c>
      <c r="P7" s="34">
        <v>0</v>
      </c>
      <c r="Q7" s="35">
        <v>37.25</v>
      </c>
      <c r="R7" s="35">
        <v>74.5</v>
      </c>
      <c r="S7" s="35">
        <v>111.75</v>
      </c>
      <c r="T7" s="34">
        <v>149</v>
      </c>
    </row>
    <row r="8" spans="3:20" x14ac:dyDescent="0.3">
      <c r="E8" s="9" t="s">
        <v>2556</v>
      </c>
      <c r="F8" s="9"/>
      <c r="G8" s="11" t="s">
        <v>2557</v>
      </c>
      <c r="H8" s="10"/>
      <c r="O8" s="34" t="s">
        <v>2558</v>
      </c>
      <c r="P8" s="34">
        <v>44</v>
      </c>
      <c r="Q8" s="35">
        <v>84.25</v>
      </c>
      <c r="R8" s="35">
        <v>124.5</v>
      </c>
      <c r="S8" s="35">
        <v>164.75</v>
      </c>
      <c r="T8" s="34">
        <v>205</v>
      </c>
    </row>
    <row r="9" spans="3:20" x14ac:dyDescent="0.3">
      <c r="D9" s="13" t="s">
        <v>2559</v>
      </c>
      <c r="E9" s="12"/>
      <c r="F9" s="12"/>
      <c r="G9" s="12"/>
      <c r="H9" s="12"/>
      <c r="O9" s="34" t="s">
        <v>2560</v>
      </c>
      <c r="P9" s="34">
        <v>84</v>
      </c>
      <c r="Q9" s="35">
        <v>126.75</v>
      </c>
      <c r="R9" s="35">
        <v>169.5</v>
      </c>
      <c r="S9" s="35">
        <v>212.25</v>
      </c>
      <c r="T9" s="34">
        <v>255</v>
      </c>
    </row>
    <row r="10" spans="3:20" x14ac:dyDescent="0.3">
      <c r="D10" s="12"/>
      <c r="E10" s="12"/>
      <c r="F10" s="12"/>
      <c r="G10" s="12"/>
      <c r="H10" s="12"/>
      <c r="O10" s="28"/>
      <c r="P10" s="28"/>
      <c r="Q10" s="28"/>
      <c r="R10" s="28"/>
      <c r="S10" s="28"/>
      <c r="T10" s="28"/>
    </row>
    <row r="11" spans="3:20" x14ac:dyDescent="0.3">
      <c r="D11" s="12"/>
      <c r="E11" s="12"/>
      <c r="F11" s="12"/>
      <c r="G11" s="12"/>
      <c r="H11" s="12"/>
      <c r="O11" s="28"/>
      <c r="P11" s="28"/>
      <c r="Q11" s="28"/>
      <c r="R11" s="28"/>
      <c r="S11" s="28"/>
      <c r="T11" s="28"/>
    </row>
    <row r="12" spans="3:20" x14ac:dyDescent="0.3">
      <c r="O12" s="28"/>
      <c r="P12" s="28" t="s">
        <v>2550</v>
      </c>
      <c r="Q12" s="28"/>
      <c r="R12" s="28"/>
      <c r="S12" s="28"/>
      <c r="T12" s="28"/>
    </row>
    <row r="13" spans="3:20" x14ac:dyDescent="0.3">
      <c r="D13" s="7" t="s">
        <v>2561</v>
      </c>
      <c r="E13" s="7" t="s">
        <v>2562</v>
      </c>
      <c r="F13" s="7"/>
      <c r="G13" s="7"/>
      <c r="H13" s="7"/>
      <c r="O13" s="28"/>
      <c r="P13" s="36" t="s">
        <v>2553</v>
      </c>
      <c r="Q13" s="37"/>
      <c r="R13" s="38"/>
      <c r="S13" s="39"/>
      <c r="T13" s="40" t="s">
        <v>2554</v>
      </c>
    </row>
    <row r="14" spans="3:20" x14ac:dyDescent="0.3">
      <c r="O14" s="34" t="s">
        <v>2555</v>
      </c>
      <c r="P14" s="34">
        <v>0</v>
      </c>
      <c r="Q14" s="35">
        <v>0</v>
      </c>
      <c r="R14" s="35">
        <v>0</v>
      </c>
      <c r="S14" s="35">
        <v>0</v>
      </c>
      <c r="T14" s="34">
        <v>0</v>
      </c>
    </row>
    <row r="15" spans="3:20" x14ac:dyDescent="0.3">
      <c r="D15" s="14" t="s">
        <v>2563</v>
      </c>
      <c r="E15" t="s">
        <v>2564</v>
      </c>
      <c r="O15" s="34" t="s">
        <v>2558</v>
      </c>
      <c r="P15" s="34">
        <v>89</v>
      </c>
      <c r="Q15" s="35">
        <v>111.75</v>
      </c>
      <c r="R15" s="35">
        <v>134.5</v>
      </c>
      <c r="S15" s="35">
        <v>157.25</v>
      </c>
      <c r="T15" s="34">
        <v>180</v>
      </c>
    </row>
    <row r="16" spans="3:20" x14ac:dyDescent="0.3">
      <c r="D16" s="15" t="s">
        <v>2565</v>
      </c>
      <c r="E16" t="s">
        <v>2566</v>
      </c>
      <c r="O16" s="34" t="s">
        <v>2560</v>
      </c>
      <c r="P16" s="34">
        <v>98</v>
      </c>
      <c r="Q16" s="35">
        <v>123.5</v>
      </c>
      <c r="R16" s="35">
        <v>149</v>
      </c>
      <c r="S16" s="35">
        <v>174.5</v>
      </c>
      <c r="T16" s="34">
        <v>200</v>
      </c>
    </row>
    <row r="17" spans="4:20" x14ac:dyDescent="0.3">
      <c r="D17" s="16" t="s">
        <v>2567</v>
      </c>
      <c r="E17" t="s">
        <v>2568</v>
      </c>
      <c r="O17" s="28"/>
      <c r="P17" s="28"/>
      <c r="Q17" s="28"/>
      <c r="R17" s="28"/>
      <c r="S17" s="28"/>
      <c r="T17" s="28"/>
    </row>
    <row r="18" spans="4:20" x14ac:dyDescent="0.3">
      <c r="O18" s="28"/>
      <c r="P18" s="28"/>
      <c r="Q18" s="28"/>
      <c r="R18" s="28"/>
      <c r="S18" s="28"/>
      <c r="T18" s="28"/>
    </row>
    <row r="19" spans="4:20" x14ac:dyDescent="0.3">
      <c r="D19" s="17" t="s">
        <v>2569</v>
      </c>
      <c r="E19" t="s">
        <v>2570</v>
      </c>
      <c r="O19" s="28"/>
      <c r="P19" s="28" t="s">
        <v>2550</v>
      </c>
      <c r="Q19" s="28"/>
      <c r="R19" s="28"/>
      <c r="S19" s="28"/>
      <c r="T19" s="28"/>
    </row>
    <row r="20" spans="4:20" x14ac:dyDescent="0.3">
      <c r="O20" s="28"/>
      <c r="P20" s="41" t="s">
        <v>2553</v>
      </c>
      <c r="Q20" s="42"/>
      <c r="R20" s="43"/>
      <c r="S20" s="44"/>
      <c r="T20" s="45" t="s">
        <v>2554</v>
      </c>
    </row>
    <row r="21" spans="4:20" x14ac:dyDescent="0.3">
      <c r="D21" s="24" t="s">
        <v>2571</v>
      </c>
      <c r="E21" t="s">
        <v>2572</v>
      </c>
      <c r="O21" s="34" t="s">
        <v>2555</v>
      </c>
      <c r="P21" s="34">
        <v>240</v>
      </c>
      <c r="Q21" s="35">
        <v>243</v>
      </c>
      <c r="R21" s="35">
        <v>246</v>
      </c>
      <c r="S21" s="35">
        <v>249</v>
      </c>
      <c r="T21" s="34">
        <v>252</v>
      </c>
    </row>
    <row r="22" spans="4:20" x14ac:dyDescent="0.3">
      <c r="D22" s="25" t="s">
        <v>2573</v>
      </c>
      <c r="E22" t="s">
        <v>2572</v>
      </c>
      <c r="O22" s="34" t="s">
        <v>2558</v>
      </c>
      <c r="P22" s="34">
        <v>78</v>
      </c>
      <c r="Q22" s="35">
        <v>113.25</v>
      </c>
      <c r="R22" s="35">
        <v>148.5</v>
      </c>
      <c r="S22" s="35">
        <v>183.75</v>
      </c>
      <c r="T22" s="34">
        <v>219</v>
      </c>
    </row>
    <row r="23" spans="4:20" x14ac:dyDescent="0.3">
      <c r="D23" s="26" t="s">
        <v>2574</v>
      </c>
      <c r="E23" t="s">
        <v>2572</v>
      </c>
      <c r="O23" s="34" t="s">
        <v>2560</v>
      </c>
      <c r="P23" s="34">
        <v>48</v>
      </c>
      <c r="Q23" s="35">
        <v>89.5</v>
      </c>
      <c r="R23" s="35">
        <v>131</v>
      </c>
      <c r="S23" s="35">
        <v>172.5</v>
      </c>
      <c r="T23" s="34">
        <v>214</v>
      </c>
    </row>
    <row r="24" spans="4:20" x14ac:dyDescent="0.3">
      <c r="D24" s="27" t="s">
        <v>2575</v>
      </c>
      <c r="E24" t="s">
        <v>2572</v>
      </c>
      <c r="O24" s="28"/>
      <c r="P24" s="28"/>
      <c r="Q24" s="28"/>
      <c r="R24" s="28"/>
      <c r="S24" s="28"/>
      <c r="T24" s="28"/>
    </row>
    <row r="25" spans="4:20" x14ac:dyDescent="0.3">
      <c r="D25" s="59" t="s">
        <v>2576</v>
      </c>
      <c r="E25" t="s">
        <v>2572</v>
      </c>
      <c r="O25" s="28"/>
      <c r="P25" s="28" t="s">
        <v>2550</v>
      </c>
      <c r="Q25" s="28"/>
      <c r="R25" s="28"/>
      <c r="S25" s="28"/>
      <c r="T25" s="28"/>
    </row>
    <row r="26" spans="4:20" x14ac:dyDescent="0.3">
      <c r="O26" s="28"/>
      <c r="P26" s="46" t="s">
        <v>2553</v>
      </c>
      <c r="Q26" s="47"/>
      <c r="R26" s="48"/>
      <c r="S26" s="49"/>
      <c r="T26" s="50" t="s">
        <v>2554</v>
      </c>
    </row>
    <row r="27" spans="4:20" x14ac:dyDescent="0.3">
      <c r="E27" t="s">
        <v>2577</v>
      </c>
      <c r="O27" s="34" t="s">
        <v>2555</v>
      </c>
      <c r="P27" s="34">
        <v>178</v>
      </c>
      <c r="Q27" s="35">
        <v>193.25</v>
      </c>
      <c r="R27" s="35">
        <v>208.5</v>
      </c>
      <c r="S27" s="35">
        <v>223.75</v>
      </c>
      <c r="T27" s="34">
        <v>239</v>
      </c>
    </row>
    <row r="28" spans="4:20" x14ac:dyDescent="0.3">
      <c r="E28" t="s">
        <v>2578</v>
      </c>
      <c r="O28" s="34" t="s">
        <v>2558</v>
      </c>
      <c r="P28" s="34">
        <v>206</v>
      </c>
      <c r="Q28" s="35">
        <v>215.75</v>
      </c>
      <c r="R28" s="35">
        <v>225.5</v>
      </c>
      <c r="S28" s="35">
        <v>235.25</v>
      </c>
      <c r="T28" s="34">
        <v>245</v>
      </c>
    </row>
    <row r="29" spans="4:20" x14ac:dyDescent="0.3">
      <c r="E29" t="s">
        <v>2579</v>
      </c>
      <c r="O29" s="34" t="s">
        <v>2560</v>
      </c>
      <c r="P29" s="34">
        <v>205</v>
      </c>
      <c r="Q29" s="35">
        <v>215</v>
      </c>
      <c r="R29" s="35">
        <v>225</v>
      </c>
      <c r="S29" s="35">
        <v>235</v>
      </c>
      <c r="T29" s="34">
        <v>245</v>
      </c>
    </row>
    <row r="30" spans="4:20" x14ac:dyDescent="0.3">
      <c r="O30" s="28"/>
      <c r="P30" s="28"/>
      <c r="Q30" s="28"/>
      <c r="R30" s="28"/>
      <c r="S30" s="28"/>
      <c r="T30" s="28"/>
    </row>
    <row r="31" spans="4:20" x14ac:dyDescent="0.3">
      <c r="D31" s="55" t="s">
        <v>2580</v>
      </c>
      <c r="E31" t="s">
        <v>2581</v>
      </c>
      <c r="O31" s="28"/>
      <c r="P31" s="28" t="s">
        <v>2550</v>
      </c>
      <c r="Q31" s="28"/>
      <c r="R31" s="28"/>
      <c r="S31" s="28"/>
      <c r="T31" s="28"/>
    </row>
    <row r="32" spans="4:20" x14ac:dyDescent="0.3">
      <c r="D32" s="56" t="s">
        <v>2582</v>
      </c>
      <c r="E32" t="s">
        <v>2583</v>
      </c>
      <c r="O32" s="28"/>
      <c r="P32" s="51" t="s">
        <v>2553</v>
      </c>
      <c r="Q32" s="52"/>
      <c r="R32" s="53"/>
      <c r="S32" s="54"/>
      <c r="T32" s="8" t="s">
        <v>2554</v>
      </c>
    </row>
    <row r="33" spans="4:20" x14ac:dyDescent="0.3">
      <c r="D33" s="57" t="s">
        <v>2584</v>
      </c>
      <c r="E33" t="s">
        <v>2585</v>
      </c>
      <c r="O33" s="34" t="s">
        <v>2555</v>
      </c>
      <c r="P33" s="34">
        <v>255</v>
      </c>
      <c r="Q33" s="35">
        <v>217.25</v>
      </c>
      <c r="R33" s="35">
        <v>179.5</v>
      </c>
      <c r="S33" s="35">
        <v>141.75</v>
      </c>
      <c r="T33" s="34">
        <v>104</v>
      </c>
    </row>
    <row r="34" spans="4:20" x14ac:dyDescent="0.3">
      <c r="D34" s="58" t="s">
        <v>2586</v>
      </c>
      <c r="E34" t="s">
        <v>2587</v>
      </c>
      <c r="O34" s="34" t="s">
        <v>2558</v>
      </c>
      <c r="P34" s="34">
        <v>227</v>
      </c>
      <c r="Q34" s="35">
        <v>187.75</v>
      </c>
      <c r="R34" s="35">
        <v>148.5</v>
      </c>
      <c r="S34" s="35">
        <v>109.25</v>
      </c>
      <c r="T34" s="34">
        <v>70</v>
      </c>
    </row>
    <row r="35" spans="4:20" x14ac:dyDescent="0.3">
      <c r="O35" s="34" t="s">
        <v>2560</v>
      </c>
      <c r="P35" s="34">
        <v>166</v>
      </c>
      <c r="Q35" s="35">
        <v>124.5</v>
      </c>
      <c r="R35" s="35">
        <v>83</v>
      </c>
      <c r="S35" s="35">
        <v>41.5</v>
      </c>
      <c r="T35" s="34">
        <v>0</v>
      </c>
    </row>
    <row r="36" spans="4:20" x14ac:dyDescent="0.3">
      <c r="D36" t="s">
        <v>2588</v>
      </c>
    </row>
    <row r="38" spans="4:20" ht="54" x14ac:dyDescent="0.3">
      <c r="E38" s="10" t="s">
        <v>2</v>
      </c>
      <c r="F38" s="10" t="s">
        <v>2589</v>
      </c>
      <c r="G38" s="10" t="s">
        <v>2590</v>
      </c>
      <c r="H38" s="10" t="s">
        <v>2591</v>
      </c>
      <c r="I38" s="10" t="s">
        <v>2592</v>
      </c>
      <c r="J38" s="10" t="s">
        <v>1618</v>
      </c>
    </row>
    <row r="39" spans="4:20" x14ac:dyDescent="0.3">
      <c r="E39" s="13" t="s">
        <v>2593</v>
      </c>
      <c r="F39" s="19">
        <v>75</v>
      </c>
      <c r="G39" s="19">
        <v>2</v>
      </c>
      <c r="H39" s="20">
        <f>F39*G39</f>
        <v>150</v>
      </c>
      <c r="I39" s="19">
        <v>3</v>
      </c>
      <c r="J39" s="21">
        <f>H39*I39</f>
        <v>450</v>
      </c>
    </row>
    <row r="40" spans="4:20" x14ac:dyDescent="0.3">
      <c r="E40" s="13" t="s">
        <v>2594</v>
      </c>
      <c r="F40" s="19">
        <v>400</v>
      </c>
      <c r="G40" s="19">
        <v>2</v>
      </c>
      <c r="H40" s="20">
        <f t="shared" ref="H40:H41" si="0">F40*G40</f>
        <v>800</v>
      </c>
      <c r="I40" s="19">
        <v>1</v>
      </c>
      <c r="J40" s="21">
        <f t="shared" ref="J40:J41" si="1">H40*I40</f>
        <v>800</v>
      </c>
    </row>
    <row r="41" spans="4:20" x14ac:dyDescent="0.3">
      <c r="E41" s="13" t="s">
        <v>2595</v>
      </c>
      <c r="F41" s="19">
        <v>500</v>
      </c>
      <c r="G41" s="19">
        <v>1</v>
      </c>
      <c r="H41" s="20">
        <f t="shared" si="0"/>
        <v>500</v>
      </c>
      <c r="I41" s="19">
        <v>2</v>
      </c>
      <c r="J41" s="21">
        <f t="shared" si="1"/>
        <v>1000</v>
      </c>
    </row>
    <row r="42" spans="4:20" x14ac:dyDescent="0.3">
      <c r="E42" s="12"/>
      <c r="F42" s="19"/>
      <c r="G42" s="19"/>
      <c r="H42" s="19"/>
      <c r="I42" s="19"/>
      <c r="J42" s="19"/>
    </row>
    <row r="43" spans="4:20" x14ac:dyDescent="0.3">
      <c r="E43" s="18" t="s">
        <v>2596</v>
      </c>
      <c r="F43" s="19"/>
      <c r="G43" s="19"/>
      <c r="H43" s="19"/>
      <c r="I43" s="19"/>
      <c r="J43" s="22">
        <f>SUM(J39:J42)</f>
        <v>2250</v>
      </c>
    </row>
    <row r="44" spans="4:20" x14ac:dyDescent="0.3">
      <c r="E44" s="13" t="s">
        <v>2597</v>
      </c>
      <c r="F44" s="19"/>
      <c r="G44" s="19"/>
      <c r="H44" s="19"/>
      <c r="I44" s="19"/>
      <c r="J44" s="19">
        <v>2500</v>
      </c>
    </row>
    <row r="45" spans="4:20" x14ac:dyDescent="0.3">
      <c r="E45" s="12" t="s">
        <v>1618</v>
      </c>
      <c r="F45" s="19"/>
      <c r="G45" s="19"/>
      <c r="H45" s="19"/>
      <c r="I45" s="19"/>
      <c r="J45" s="23">
        <f>J43+J44</f>
        <v>4750</v>
      </c>
    </row>
  </sheetData>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A854C6-C379-4F2F-BCFB-9878FC1BFF3F}">
  <sheetPr codeName="Sheet3">
    <tabColor theme="0" tint="-0.249977111117893"/>
  </sheetPr>
  <dimension ref="A2:AM860"/>
  <sheetViews>
    <sheetView topLeftCell="A191" zoomScale="85" zoomScaleNormal="85" workbookViewId="0">
      <selection activeCell="B419" sqref="B419"/>
    </sheetView>
  </sheetViews>
  <sheetFormatPr defaultColWidth="9" defaultRowHeight="13.5" outlineLevelRow="1" x14ac:dyDescent="0.3"/>
  <cols>
    <col min="1" max="1" width="9" style="554"/>
    <col min="2" max="2" width="62.83203125" style="554" customWidth="1"/>
    <col min="3" max="3" width="15.1640625" style="554" customWidth="1"/>
    <col min="4" max="4" width="12.6640625" style="554" customWidth="1"/>
    <col min="5" max="5" width="11.83203125" style="554" customWidth="1"/>
    <col min="6" max="6" width="12.83203125" style="554" customWidth="1"/>
    <col min="7" max="7" width="14.1640625" style="554" customWidth="1"/>
    <col min="8" max="9" width="15.1640625" style="554" customWidth="1"/>
    <col min="10" max="11" width="17.1640625" style="554" customWidth="1"/>
    <col min="12" max="12" width="13.6640625" style="554" customWidth="1"/>
    <col min="13" max="13" width="12.6640625" style="554" customWidth="1"/>
    <col min="14" max="14" width="14.1640625" style="554" customWidth="1"/>
    <col min="15" max="15" width="11" style="554" customWidth="1"/>
    <col min="16" max="23" width="17.1640625" style="554" customWidth="1"/>
    <col min="24" max="32" width="17.1640625" style="554" bestFit="1" customWidth="1"/>
    <col min="33" max="52" width="10.1640625" style="554" bestFit="1" customWidth="1"/>
    <col min="53" max="16384" width="9" style="554"/>
  </cols>
  <sheetData>
    <row r="2" spans="2:34" ht="19.5" thickBot="1" x14ac:dyDescent="0.35">
      <c r="B2" s="1" t="s">
        <v>2598</v>
      </c>
      <c r="C2" s="588"/>
      <c r="D2" s="588"/>
      <c r="E2" s="588"/>
      <c r="F2" s="588"/>
      <c r="G2" s="588"/>
      <c r="H2" s="588"/>
      <c r="I2" s="588"/>
      <c r="J2" s="588"/>
      <c r="K2" s="588"/>
      <c r="L2" s="588"/>
      <c r="M2" s="588"/>
      <c r="N2" s="588"/>
      <c r="O2" s="588"/>
      <c r="P2" s="588"/>
      <c r="Q2" s="588"/>
      <c r="R2" s="588"/>
      <c r="S2" s="588"/>
      <c r="T2" s="588"/>
      <c r="U2" s="588"/>
      <c r="V2" s="588"/>
      <c r="W2" s="588"/>
      <c r="X2" s="588"/>
      <c r="Y2" s="588"/>
      <c r="Z2" s="588"/>
      <c r="AA2" s="588"/>
      <c r="AB2" s="588"/>
      <c r="AC2" s="588"/>
      <c r="AD2" s="588"/>
      <c r="AE2" s="588"/>
      <c r="AF2" s="588"/>
      <c r="AG2" s="588"/>
      <c r="AH2" s="588"/>
    </row>
    <row r="4" spans="2:34" ht="15" x14ac:dyDescent="0.3">
      <c r="B4" s="1007" t="s">
        <v>2599</v>
      </c>
      <c r="C4" s="1007"/>
      <c r="D4" s="1007"/>
      <c r="E4" s="1007"/>
      <c r="F4" s="1007"/>
      <c r="G4" s="1007"/>
      <c r="H4" s="1007"/>
      <c r="I4" s="1007"/>
      <c r="J4" s="1007"/>
      <c r="K4" s="1007"/>
      <c r="L4" s="1007"/>
      <c r="M4" s="1007"/>
    </row>
    <row r="6" spans="2:34" x14ac:dyDescent="0.3">
      <c r="B6" s="860" t="s">
        <v>2600</v>
      </c>
      <c r="C6" s="2146" t="s">
        <v>2601</v>
      </c>
      <c r="D6" s="2146"/>
      <c r="E6" s="2146"/>
      <c r="F6" s="2146"/>
      <c r="G6" s="2146"/>
      <c r="H6" s="2146"/>
      <c r="I6" s="2146"/>
      <c r="J6" s="2146"/>
      <c r="K6" s="2146"/>
      <c r="L6" s="2146"/>
    </row>
    <row r="8" spans="2:34" x14ac:dyDescent="0.3">
      <c r="B8" s="556"/>
      <c r="C8" s="556">
        <v>2021</v>
      </c>
      <c r="D8" s="556">
        <v>2022</v>
      </c>
      <c r="E8" s="556">
        <v>2023</v>
      </c>
      <c r="F8" s="556">
        <v>2024</v>
      </c>
      <c r="G8" s="556">
        <v>2025</v>
      </c>
      <c r="H8" s="556">
        <v>2026</v>
      </c>
      <c r="I8" s="556">
        <v>2027</v>
      </c>
      <c r="J8" s="556">
        <v>2028</v>
      </c>
      <c r="K8" s="556">
        <v>2029</v>
      </c>
      <c r="L8" s="556">
        <v>2030</v>
      </c>
      <c r="M8" s="556">
        <v>2031</v>
      </c>
      <c r="N8" s="556">
        <v>2032</v>
      </c>
      <c r="O8" s="556">
        <v>2033</v>
      </c>
      <c r="P8" s="556">
        <v>2034</v>
      </c>
      <c r="Q8" s="556">
        <v>2035</v>
      </c>
    </row>
    <row r="9" spans="2:34" x14ac:dyDescent="0.3">
      <c r="B9" s="625" t="s">
        <v>2602</v>
      </c>
      <c r="C9" s="625"/>
      <c r="D9" s="625"/>
      <c r="E9" s="625"/>
      <c r="F9" s="625"/>
      <c r="G9" s="625"/>
      <c r="H9" s="625"/>
      <c r="I9" s="625"/>
      <c r="J9" s="625"/>
      <c r="K9" s="625"/>
      <c r="L9" s="625"/>
      <c r="M9" s="625"/>
      <c r="N9" s="625"/>
      <c r="O9" s="625"/>
      <c r="P9" s="625"/>
      <c r="Q9" s="625"/>
    </row>
    <row r="10" spans="2:34" x14ac:dyDescent="0.3">
      <c r="B10" s="563" t="str">
        <f>B22</f>
        <v>Industry</v>
      </c>
      <c r="C10" s="633" t="s">
        <v>2603</v>
      </c>
      <c r="D10" s="557"/>
      <c r="E10" s="558">
        <f>Baseline!AF253</f>
        <v>1.4999999999999999E-2</v>
      </c>
      <c r="F10" s="558">
        <f>Baseline!AG253</f>
        <v>1.4999999999999999E-2</v>
      </c>
      <c r="G10" s="558">
        <f>Baseline!AH253</f>
        <v>1.4999999999999999E-2</v>
      </c>
      <c r="H10" s="558">
        <f>Baseline!AI253</f>
        <v>1.4999999999999999E-2</v>
      </c>
      <c r="I10" s="558">
        <f>Baseline!AJ253</f>
        <v>1.4999999999999999E-2</v>
      </c>
      <c r="J10" s="558">
        <f>Baseline!AK253</f>
        <v>1.4999999999999999E-2</v>
      </c>
      <c r="K10" s="558">
        <f>Baseline!AL253</f>
        <v>1.4999999999999999E-2</v>
      </c>
      <c r="L10" s="558">
        <f>Baseline!AM253</f>
        <v>1.4999999999999999E-2</v>
      </c>
      <c r="M10" s="558">
        <f>Baseline!AN253</f>
        <v>1.4999999999999999E-2</v>
      </c>
      <c r="N10" s="558">
        <f>Baseline!AO253</f>
        <v>1.4999999999999999E-2</v>
      </c>
      <c r="O10" s="558">
        <f>Baseline!AP253</f>
        <v>1.4999999999999999E-2</v>
      </c>
      <c r="P10" s="558">
        <f>Baseline!AQ253</f>
        <v>1.4999999999999999E-2</v>
      </c>
      <c r="Q10" s="558">
        <f>Baseline!AR253</f>
        <v>1.4999999999999999E-2</v>
      </c>
    </row>
    <row r="11" spans="2:34" x14ac:dyDescent="0.3">
      <c r="B11" s="563" t="str">
        <f>B23</f>
        <v>Households</v>
      </c>
      <c r="C11" s="633" t="s">
        <v>2604</v>
      </c>
      <c r="D11" s="557"/>
      <c r="E11" s="559">
        <v>0</v>
      </c>
      <c r="F11" s="559">
        <v>0</v>
      </c>
      <c r="G11" s="559">
        <v>0</v>
      </c>
      <c r="H11" s="559">
        <v>0</v>
      </c>
      <c r="I11" s="559">
        <v>0</v>
      </c>
      <c r="J11" s="559">
        <v>0</v>
      </c>
      <c r="K11" s="559">
        <v>0</v>
      </c>
      <c r="L11" s="559">
        <v>0</v>
      </c>
      <c r="M11" s="559">
        <v>0</v>
      </c>
      <c r="N11" s="559">
        <v>0</v>
      </c>
      <c r="O11" s="559">
        <v>0</v>
      </c>
      <c r="P11" s="559">
        <v>0</v>
      </c>
      <c r="Q11" s="559">
        <v>0</v>
      </c>
    </row>
    <row r="12" spans="2:34" x14ac:dyDescent="0.3">
      <c r="B12" s="563" t="s">
        <v>2605</v>
      </c>
      <c r="C12" s="633" t="s">
        <v>2603</v>
      </c>
      <c r="D12" s="557"/>
      <c r="E12" s="561">
        <f>Baseline!AE642</f>
        <v>2.001260924247461E-2</v>
      </c>
      <c r="F12" s="561">
        <f>Baseline!AF642</f>
        <v>2.0111499487469417E-2</v>
      </c>
      <c r="G12" s="561">
        <f>Baseline!AG642</f>
        <v>2.020921946941066E-2</v>
      </c>
      <c r="H12" s="561">
        <f>Baseline!AH642</f>
        <v>2.0305678177018935E-2</v>
      </c>
      <c r="I12" s="561">
        <f>Baseline!AI642</f>
        <v>1.5749152151762862E-2</v>
      </c>
      <c r="J12" s="561">
        <f>Baseline!AJ642</f>
        <v>1.5779676633610074E-2</v>
      </c>
      <c r="K12" s="561">
        <f>Baseline!AK642</f>
        <v>1.5811166130498221E-2</v>
      </c>
      <c r="L12" s="561">
        <f>Baseline!AL642</f>
        <v>1.5843323402138794E-2</v>
      </c>
      <c r="M12" s="561">
        <f>Baseline!AM642</f>
        <v>1.587592727043793E-2</v>
      </c>
      <c r="N12" s="561">
        <f>Baseline!AN642</f>
        <v>1.5908810048780583E-2</v>
      </c>
      <c r="O12" s="561">
        <f>Baseline!AO642</f>
        <v>1.5941842563029239E-2</v>
      </c>
      <c r="P12" s="561">
        <f>Baseline!AP642</f>
        <v>1.5974923942905936E-2</v>
      </c>
      <c r="Q12" s="561">
        <f>Baseline!AQ642</f>
        <v>1.6007974500306735E-2</v>
      </c>
    </row>
    <row r="13" spans="2:34" x14ac:dyDescent="0.3">
      <c r="B13" s="563" t="s">
        <v>2606</v>
      </c>
      <c r="C13" s="633" t="s">
        <v>2603</v>
      </c>
      <c r="D13" s="557"/>
      <c r="E13" s="559">
        <f>Baseline!AE824</f>
        <v>2.0636409294576358E-2</v>
      </c>
      <c r="F13" s="559">
        <f>Baseline!AF824</f>
        <v>2.075179105387296E-2</v>
      </c>
      <c r="G13" s="559">
        <f>Baseline!AG824</f>
        <v>2.0865758306201528E-2</v>
      </c>
      <c r="H13" s="559">
        <f>Baseline!AH824</f>
        <v>2.0978290557885484E-2</v>
      </c>
      <c r="I13" s="559">
        <f>Baseline!AI824</f>
        <v>2.0273150493677609E-2</v>
      </c>
      <c r="J13" s="559">
        <f>Baseline!AJ824</f>
        <v>2.0378730769279159E-2</v>
      </c>
      <c r="K13" s="559">
        <f>Baseline!AK824</f>
        <v>2.0481842856770502E-2</v>
      </c>
      <c r="L13" s="559">
        <f>Baseline!AL824</f>
        <v>2.0582851032133639E-2</v>
      </c>
      <c r="M13" s="559">
        <f>Baseline!AM824</f>
        <v>2.0681994103616638E-2</v>
      </c>
      <c r="N13" s="559">
        <f>Baseline!AN824</f>
        <v>2.0779435849417938E-2</v>
      </c>
      <c r="O13" s="559">
        <f>Baseline!AO824</f>
        <v>2.0875293014890238E-2</v>
      </c>
      <c r="P13" s="559">
        <f>Baseline!AP824</f>
        <v>2.0969651709319029E-2</v>
      </c>
      <c r="Q13" s="559">
        <f>Baseline!AQ824</f>
        <v>2.1062577444225315E-2</v>
      </c>
    </row>
    <row r="14" spans="2:34" x14ac:dyDescent="0.3">
      <c r="B14" s="563" t="str">
        <f t="shared" ref="B14:B17" si="0">B24</f>
        <v>Services</v>
      </c>
      <c r="C14" s="633" t="s">
        <v>2607</v>
      </c>
      <c r="D14" s="557"/>
      <c r="E14" s="560">
        <f t="shared" ref="E14:L14" si="1">((E71-SUM(E22:E23,E25:E27))-(D71-SUM(D22:D23,D25:D27)))/(D71-SUM(D22:D23,D25:D27))</f>
        <v>-1.2639519472403049E-2</v>
      </c>
      <c r="F14" s="560">
        <f t="shared" si="1"/>
        <v>7.4255751997082425E-2</v>
      </c>
      <c r="G14" s="560">
        <f t="shared" si="1"/>
        <v>7.1087636644973085E-2</v>
      </c>
      <c r="H14" s="560">
        <f t="shared" si="1"/>
        <v>6.9162649806184612E-2</v>
      </c>
      <c r="I14" s="560">
        <f t="shared" si="1"/>
        <v>5.950303162980014E-2</v>
      </c>
      <c r="J14" s="560">
        <f t="shared" si="1"/>
        <v>4.5824787018247881E-2</v>
      </c>
      <c r="K14" s="560">
        <f t="shared" si="1"/>
        <v>5.7809289230111666E-2</v>
      </c>
      <c r="L14" s="560">
        <f t="shared" si="1"/>
        <v>5.6306668226768407E-2</v>
      </c>
      <c r="M14" s="560">
        <f t="shared" ref="M14" si="2">((M71-SUM(M22:M23,M25:M27))-(L71-SUM(L22:L23,L25:L27)))/(L71-SUM(L22:L23,L25:L27))</f>
        <v>5.5894596213200247E-2</v>
      </c>
      <c r="N14" s="560">
        <f t="shared" ref="N14" si="3">((N71-SUM(N22:N23,N25:N27))-(M71-SUM(M22:M23,M25:M27)))/(M71-SUM(M22:M23,M25:M27))</f>
        <v>5.5051359218831697E-2</v>
      </c>
      <c r="O14" s="560">
        <f t="shared" ref="O14" si="4">((O71-SUM(O22:O23,O25:O27))-(N71-SUM(N22:N23,N25:N27)))/(N71-SUM(N22:N23,N25:N27))</f>
        <v>5.4271217278894064E-2</v>
      </c>
      <c r="P14" s="560">
        <f t="shared" ref="P14" si="5">((P71-SUM(P22:P23,P25:P27))-(O71-SUM(O22:O23,O25:O27)))/(O71-SUM(O22:O23,O25:O27))</f>
        <v>5.2716316908697915E-2</v>
      </c>
      <c r="Q14" s="560">
        <f t="shared" ref="Q14" si="6">((Q71-SUM(Q22:Q23,Q25:Q27))-(P71-SUM(P22:P23,P25:P27)))/(P71-SUM(P22:P23,P25:P27))</f>
        <v>4.9772558155308164E-2</v>
      </c>
    </row>
    <row r="15" spans="2:34" x14ac:dyDescent="0.3">
      <c r="B15" s="563" t="str">
        <f t="shared" si="0"/>
        <v>Transport</v>
      </c>
      <c r="C15" s="633" t="s">
        <v>2603</v>
      </c>
      <c r="D15" s="557"/>
      <c r="E15" s="558">
        <f>(Baseline!AE1260-Baseline!AD1260)/Baseline!AD1260</f>
        <v>9.9999999999999447E-3</v>
      </c>
      <c r="F15" s="558">
        <f>(Baseline!AF1260-Baseline!AE1260)/Baseline!AE1260</f>
        <v>1.0000000000000044E-2</v>
      </c>
      <c r="G15" s="558">
        <f>(Baseline!AG1260-Baseline!AF1260)/Baseline!AF1260</f>
        <v>1.0000000000000096E-2</v>
      </c>
      <c r="H15" s="558">
        <f>(Baseline!AH1260-Baseline!AG1260)/Baseline!AG1260</f>
        <v>9.9999999999999464E-3</v>
      </c>
      <c r="I15" s="558">
        <f>(Baseline!AI1260-Baseline!AH1260)/Baseline!AH1260</f>
        <v>1.0000000000000061E-2</v>
      </c>
      <c r="J15" s="558">
        <f>(Baseline!AJ1260-Baseline!AI1260)/Baseline!AI1260</f>
        <v>9.9999999999999898E-3</v>
      </c>
      <c r="K15" s="558">
        <f>(Baseline!AK1260-Baseline!AJ1260)/Baseline!AJ1260</f>
        <v>1.0000000000000077E-2</v>
      </c>
      <c r="L15" s="558">
        <f>(Baseline!AL1260-Baseline!AK1260)/Baseline!AK1260</f>
        <v>1.000000000000003E-2</v>
      </c>
      <c r="M15" s="558">
        <f>(Baseline!AM1260-Baseline!AL1260)/Baseline!AL1260</f>
        <v>9.9999999999999672E-3</v>
      </c>
      <c r="N15" s="558">
        <f>(Baseline!AN1260-Baseline!AM1260)/Baseline!AM1260</f>
        <v>9.9999999999999464E-3</v>
      </c>
      <c r="O15" s="558">
        <f>(Baseline!AO1260-Baseline!AN1260)/Baseline!AN1260</f>
        <v>9.9999999999999811E-3</v>
      </c>
      <c r="P15" s="558">
        <f>(Baseline!AP1260-Baseline!AO1260)/Baseline!AO1260</f>
        <v>9.9999999999999603E-3</v>
      </c>
      <c r="Q15" s="558">
        <f>(Baseline!AQ1260-Baseline!AP1260)/Baseline!AP1260</f>
        <v>9.9999999999999915E-3</v>
      </c>
    </row>
    <row r="16" spans="2:34" x14ac:dyDescent="0.3">
      <c r="B16" s="563" t="str">
        <f t="shared" si="0"/>
        <v>Agriculture, fishing and forestry</v>
      </c>
      <c r="C16" s="633" t="s">
        <v>2603</v>
      </c>
      <c r="D16" s="557"/>
      <c r="E16" s="558">
        <f>(Baseline!AE1309-Baseline!AD1309)/Baseline!AD1309</f>
        <v>0</v>
      </c>
      <c r="F16" s="558">
        <f>(Baseline!AF1309-Baseline!AE1309)/Baseline!AE1309</f>
        <v>0</v>
      </c>
      <c r="G16" s="558">
        <f>(Baseline!AG1309-Baseline!AF1309)/Baseline!AF1309</f>
        <v>0</v>
      </c>
      <c r="H16" s="558">
        <f>(Baseline!AH1309-Baseline!AG1309)/Baseline!AG1309</f>
        <v>0</v>
      </c>
      <c r="I16" s="558">
        <f>(Baseline!AI1309-Baseline!AH1309)/Baseline!AH1309</f>
        <v>0</v>
      </c>
      <c r="J16" s="558">
        <f>(Baseline!AJ1309-Baseline!AI1309)/Baseline!AI1309</f>
        <v>0</v>
      </c>
      <c r="K16" s="558">
        <f>(Baseline!AK1309-Baseline!AJ1309)/Baseline!AJ1309</f>
        <v>0</v>
      </c>
      <c r="L16" s="558">
        <f>(Baseline!AL1309-Baseline!AK1309)/Baseline!AK1309</f>
        <v>0</v>
      </c>
      <c r="M16" s="558">
        <f>(Baseline!AM1309-Baseline!AL1309)/Baseline!AL1309</f>
        <v>0</v>
      </c>
      <c r="N16" s="558">
        <f>(Baseline!AN1309-Baseline!AM1309)/Baseline!AM1309</f>
        <v>0</v>
      </c>
      <c r="O16" s="558">
        <f>(Baseline!AO1309-Baseline!AN1309)/Baseline!AN1309</f>
        <v>0</v>
      </c>
      <c r="P16" s="558">
        <f>(Baseline!AP1309-Baseline!AO1309)/Baseline!AO1309</f>
        <v>0</v>
      </c>
      <c r="Q16" s="558">
        <f>(Baseline!AQ1309-Baseline!AP1309)/Baseline!AP1309</f>
        <v>0</v>
      </c>
    </row>
    <row r="17" spans="2:17" x14ac:dyDescent="0.3">
      <c r="B17" s="563" t="str">
        <f t="shared" si="0"/>
        <v>Net taxes on products</v>
      </c>
      <c r="C17" s="633"/>
      <c r="D17" s="557"/>
      <c r="E17" s="557"/>
      <c r="F17" s="557"/>
      <c r="G17" s="557"/>
      <c r="H17" s="557"/>
      <c r="I17" s="557"/>
      <c r="J17" s="561">
        <f t="shared" ref="J17:L17" si="7">(SUM(J22,J26)-SUM(I22,I26))/SUM(I22,I26)</f>
        <v>1.3272630972057732E-2</v>
      </c>
      <c r="K17" s="561">
        <f t="shared" si="7"/>
        <v>1.3295257391601409E-2</v>
      </c>
      <c r="L17" s="561">
        <f t="shared" si="7"/>
        <v>1.3317625000252275E-2</v>
      </c>
      <c r="M17" s="561">
        <f t="shared" ref="M17" si="8">(SUM(M22,M26)-SUM(L22,L26))/SUM(L22,L26)</f>
        <v>1.3339735776581157E-2</v>
      </c>
      <c r="N17" s="561">
        <f t="shared" ref="N17" si="9">(SUM(N22,N26)-SUM(M22,M26))/SUM(M22,M26)</f>
        <v>1.3361591710260311E-2</v>
      </c>
      <c r="O17" s="561">
        <f t="shared" ref="O17" si="10">(SUM(O22,O26)-SUM(N22,N26))/SUM(N22,N26)</f>
        <v>1.3383194801201608E-2</v>
      </c>
      <c r="P17" s="561">
        <f t="shared" ref="P17" si="11">(SUM(P22,P26)-SUM(O22,O26))/SUM(O22,O26)</f>
        <v>1.3404547058711134E-2</v>
      </c>
      <c r="Q17" s="561">
        <f t="shared" ref="Q17" si="12">(SUM(Q22,Q26)-SUM(P22,P26))/SUM(P22,P26)</f>
        <v>1.3425650500661978E-2</v>
      </c>
    </row>
    <row r="18" spans="2:17" x14ac:dyDescent="0.3">
      <c r="B18" s="563" t="s">
        <v>2608</v>
      </c>
      <c r="C18" s="633" t="s">
        <v>2603</v>
      </c>
      <c r="D18" s="557"/>
      <c r="E18" s="558">
        <f>Baseline!AE643</f>
        <v>0.70213345682705641</v>
      </c>
      <c r="F18" s="558">
        <f>Baseline!AF643</f>
        <v>0.70214044145300647</v>
      </c>
      <c r="G18" s="558">
        <f>Baseline!AG643</f>
        <v>0.702144153549767</v>
      </c>
      <c r="H18" s="558">
        <f>Baseline!AH643</f>
        <v>0.70214461301528852</v>
      </c>
      <c r="I18" s="558">
        <f>Baseline!AI643</f>
        <v>0.70195973398170874</v>
      </c>
      <c r="J18" s="558">
        <f>Baseline!AJ643</f>
        <v>0.70176302940267443</v>
      </c>
      <c r="K18" s="558">
        <f>Baseline!AK643</f>
        <v>0.70155463226626447</v>
      </c>
      <c r="L18" s="558">
        <f>Baseline!AL643</f>
        <v>0.70133467521899862</v>
      </c>
      <c r="M18" s="558">
        <f>Baseline!AM643</f>
        <v>0.70110329049605702</v>
      </c>
      <c r="N18" s="558">
        <f>Baseline!AN643</f>
        <v>0.70086060985420207</v>
      </c>
      <c r="O18" s="558">
        <f>Baseline!AO643</f>
        <v>0.70060676450739401</v>
      </c>
      <c r="P18" s="558">
        <f>Baseline!AP643</f>
        <v>0.70034188506507422</v>
      </c>
      <c r="Q18" s="558">
        <f>Baseline!AQ643</f>
        <v>0.70006610147309778</v>
      </c>
    </row>
    <row r="19" spans="2:17" x14ac:dyDescent="0.3">
      <c r="B19" s="563" t="s">
        <v>2609</v>
      </c>
      <c r="C19" s="633" t="s">
        <v>2603</v>
      </c>
      <c r="D19" s="557"/>
      <c r="E19" s="560">
        <f>1-E18</f>
        <v>0.29786654317294359</v>
      </c>
      <c r="F19" s="560">
        <f t="shared" ref="F19:L19" si="13">1-F18</f>
        <v>0.29785955854699353</v>
      </c>
      <c r="G19" s="560">
        <f t="shared" si="13"/>
        <v>0.297855846450233</v>
      </c>
      <c r="H19" s="560">
        <f t="shared" si="13"/>
        <v>0.29785538698471148</v>
      </c>
      <c r="I19" s="560">
        <f t="shared" si="13"/>
        <v>0.29804026601829126</v>
      </c>
      <c r="J19" s="560">
        <f t="shared" si="13"/>
        <v>0.29823697059732557</v>
      </c>
      <c r="K19" s="560">
        <f t="shared" si="13"/>
        <v>0.29844536773373553</v>
      </c>
      <c r="L19" s="560">
        <f t="shared" si="13"/>
        <v>0.29866532478100138</v>
      </c>
      <c r="M19" s="560">
        <f t="shared" ref="M19:Q19" si="14">1-M18</f>
        <v>0.29889670950394298</v>
      </c>
      <c r="N19" s="560">
        <f t="shared" si="14"/>
        <v>0.29913939014579793</v>
      </c>
      <c r="O19" s="560">
        <f t="shared" si="14"/>
        <v>0.29939323549260599</v>
      </c>
      <c r="P19" s="560">
        <f t="shared" si="14"/>
        <v>0.29965811493492578</v>
      </c>
      <c r="Q19" s="560">
        <f t="shared" si="14"/>
        <v>0.29993389852690222</v>
      </c>
    </row>
    <row r="20" spans="2:17" x14ac:dyDescent="0.3">
      <c r="B20" s="625" t="s">
        <v>2610</v>
      </c>
      <c r="C20" s="625"/>
      <c r="D20" s="625"/>
      <c r="E20" s="625"/>
      <c r="F20" s="625"/>
      <c r="G20" s="625"/>
      <c r="H20" s="625"/>
      <c r="I20" s="625"/>
      <c r="J20" s="625"/>
      <c r="K20" s="625"/>
      <c r="L20" s="625"/>
      <c r="M20" s="625"/>
      <c r="N20" s="625"/>
      <c r="O20" s="625"/>
      <c r="P20" s="625"/>
      <c r="Q20" s="625"/>
    </row>
    <row r="21" spans="2:17" x14ac:dyDescent="0.3">
      <c r="B21" s="563" t="s">
        <v>2611</v>
      </c>
      <c r="C21" s="562">
        <f>SUM(C22:C27)</f>
        <v>31444.800000000003</v>
      </c>
      <c r="D21" s="562">
        <f>SUM(D22:D27)</f>
        <v>36181.399999999994</v>
      </c>
      <c r="E21" s="562">
        <f t="shared" ref="E21:L21" si="15">E69</f>
        <v>38583.458419817434</v>
      </c>
      <c r="F21" s="562">
        <f t="shared" si="15"/>
        <v>40355.72599511216</v>
      </c>
      <c r="G21" s="562">
        <f t="shared" si="15"/>
        <v>42143.142908748698</v>
      </c>
      <c r="H21" s="562">
        <f t="shared" si="15"/>
        <v>43929.277837904345</v>
      </c>
      <c r="I21" s="562">
        <f t="shared" si="15"/>
        <v>45649.930269971068</v>
      </c>
      <c r="J21" s="562">
        <f t="shared" si="15"/>
        <v>47359.071714519014</v>
      </c>
      <c r="K21" s="562">
        <f t="shared" si="15"/>
        <v>49113.686944676636</v>
      </c>
      <c r="L21" s="562">
        <f t="shared" si="15"/>
        <v>50917.49967242511</v>
      </c>
      <c r="M21" s="562">
        <f t="shared" ref="M21:Q21" si="16">M69</f>
        <v>52800.035554639304</v>
      </c>
      <c r="N21" s="562">
        <f t="shared" si="16"/>
        <v>54751.09732243976</v>
      </c>
      <c r="O21" s="562">
        <f t="shared" si="16"/>
        <v>56773.550890947961</v>
      </c>
      <c r="P21" s="562">
        <f t="shared" si="16"/>
        <v>58842.182787320482</v>
      </c>
      <c r="Q21" s="562">
        <f t="shared" si="16"/>
        <v>60904.227217566986</v>
      </c>
    </row>
    <row r="22" spans="2:17" x14ac:dyDescent="0.3">
      <c r="B22" s="563" t="s">
        <v>50</v>
      </c>
      <c r="C22" s="564">
        <f>SUM(C36:C39)</f>
        <v>5420</v>
      </c>
      <c r="D22" s="564">
        <f>SUM(D36:D39)</f>
        <v>6492.0000000000009</v>
      </c>
      <c r="E22" s="565">
        <f>D22*(1+E10)</f>
        <v>6589.38</v>
      </c>
      <c r="F22" s="565">
        <f t="shared" ref="F22:L22" si="17">E22*(1+F10)</f>
        <v>6688.2206999999999</v>
      </c>
      <c r="G22" s="565">
        <f t="shared" si="17"/>
        <v>6788.5440104999989</v>
      </c>
      <c r="H22" s="565">
        <f t="shared" si="17"/>
        <v>6890.3721706574979</v>
      </c>
      <c r="I22" s="565">
        <f t="shared" si="17"/>
        <v>6993.7277532173593</v>
      </c>
      <c r="J22" s="565">
        <f t="shared" si="17"/>
        <v>7098.6336695156187</v>
      </c>
      <c r="K22" s="565">
        <f t="shared" si="17"/>
        <v>7205.1131745583525</v>
      </c>
      <c r="L22" s="565">
        <f t="shared" si="17"/>
        <v>7313.1898721767275</v>
      </c>
      <c r="M22" s="565">
        <f t="shared" ref="M22" si="18">L22*(1+M10)</f>
        <v>7422.8877202593776</v>
      </c>
      <c r="N22" s="565">
        <f t="shared" ref="N22" si="19">M22*(1+N10)</f>
        <v>7534.2310360632673</v>
      </c>
      <c r="O22" s="565">
        <f t="shared" ref="O22" si="20">N22*(1+O10)</f>
        <v>7647.2445016042157</v>
      </c>
      <c r="P22" s="565">
        <f t="shared" ref="P22" si="21">O22*(1+P10)</f>
        <v>7761.9531691282782</v>
      </c>
      <c r="Q22" s="565">
        <f t="shared" ref="Q22" si="22">P22*(1+Q10)</f>
        <v>7878.3824666652017</v>
      </c>
    </row>
    <row r="23" spans="2:17" x14ac:dyDescent="0.3">
      <c r="B23" s="563" t="s">
        <v>51</v>
      </c>
      <c r="C23" s="566">
        <f>C54+C29*E18</f>
        <v>1311.4979346113807</v>
      </c>
      <c r="D23" s="566">
        <f>D54+D29*E18</f>
        <v>1561.8404048342836</v>
      </c>
      <c r="E23" s="565">
        <f>($D23*(1+E11))+(E29*E18)</f>
        <v>3136.6599044363256</v>
      </c>
      <c r="F23" s="565">
        <f t="shared" ref="F23:L23" si="23">($D23*(1+F11))+(F29*F18)</f>
        <v>3168.6482147008637</v>
      </c>
      <c r="G23" s="565">
        <f t="shared" si="23"/>
        <v>3201.4434322148736</v>
      </c>
      <c r="H23" s="565">
        <f t="shared" si="23"/>
        <v>3235.0662586156909</v>
      </c>
      <c r="I23" s="565">
        <f t="shared" si="23"/>
        <v>3263.2261105239249</v>
      </c>
      <c r="J23" s="565">
        <f t="shared" si="23"/>
        <v>3291.9221180928585</v>
      </c>
      <c r="K23" s="565">
        <f t="shared" si="23"/>
        <v>3321.1657523260933</v>
      </c>
      <c r="L23" s="565">
        <f t="shared" si="23"/>
        <v>3350.9685773156461</v>
      </c>
      <c r="M23" s="565">
        <f t="shared" ref="M23:Q23" si="24">($D23*(1+M11))+(M29*M18)</f>
        <v>3381.342270926943</v>
      </c>
      <c r="N23" s="565">
        <f t="shared" si="24"/>
        <v>3412.2986461173473</v>
      </c>
      <c r="O23" s="565">
        <f t="shared" si="24"/>
        <v>3443.8496704057934</v>
      </c>
      <c r="P23" s="565">
        <f t="shared" si="24"/>
        <v>3476.0074829944824</v>
      </c>
      <c r="Q23" s="565">
        <f t="shared" si="24"/>
        <v>3508.7844097050884</v>
      </c>
    </row>
    <row r="24" spans="2:17" x14ac:dyDescent="0.3">
      <c r="B24" s="563" t="s">
        <v>52</v>
      </c>
      <c r="C24" s="564">
        <f>SUM(C43:C53,C41)+C29*E19</f>
        <v>18426.402065388622</v>
      </c>
      <c r="D24" s="564">
        <f>SUM(D43:D53,D41)+D29*E19</f>
        <v>20843.859595165712</v>
      </c>
      <c r="E24" s="565">
        <f>($D24*(1+E14))+(E29*E19)</f>
        <v>21248.489949199702</v>
      </c>
      <c r="F24" s="565">
        <f t="shared" ref="F24:L24" si="25">($D24*(1+F14))+(F29*F19)</f>
        <v>23073.270444544414</v>
      </c>
      <c r="G24" s="565">
        <f t="shared" si="25"/>
        <v>23021.134619786437</v>
      </c>
      <c r="H24" s="565">
        <f t="shared" si="25"/>
        <v>22995.272009480243</v>
      </c>
      <c r="I24" s="565">
        <f t="shared" si="25"/>
        <v>22806.512112395372</v>
      </c>
      <c r="J24" s="565">
        <f t="shared" si="25"/>
        <v>22534.279384592355</v>
      </c>
      <c r="K24" s="565">
        <f t="shared" si="25"/>
        <v>22797.255405137079</v>
      </c>
      <c r="L24" s="565">
        <f t="shared" si="25"/>
        <v>22779.41309724022</v>
      </c>
      <c r="M24" s="565">
        <f t="shared" ref="M24:Q24" si="26">($D24*(1+M14))+(M29*M19)</f>
        <v>22784.61485722665</v>
      </c>
      <c r="N24" s="565">
        <f t="shared" si="26"/>
        <v>22781.149873946517</v>
      </c>
      <c r="O24" s="565">
        <f t="shared" si="26"/>
        <v>22779.328163544229</v>
      </c>
      <c r="P24" s="565">
        <f t="shared" si="26"/>
        <v>22761.693512873651</v>
      </c>
      <c r="Q24" s="565">
        <f t="shared" si="26"/>
        <v>22715.453762736557</v>
      </c>
    </row>
    <row r="25" spans="2:17" x14ac:dyDescent="0.3">
      <c r="B25" s="563" t="s">
        <v>53</v>
      </c>
      <c r="C25" s="566">
        <f>C42</f>
        <v>1772.9</v>
      </c>
      <c r="D25" s="566">
        <f>D42</f>
        <v>2029.8</v>
      </c>
      <c r="E25" s="565">
        <f>D25*(1+E15)</f>
        <v>2050.098</v>
      </c>
      <c r="F25" s="565">
        <f t="shared" ref="F25:L25" si="27">E25*(1+F15)</f>
        <v>2070.5989799999998</v>
      </c>
      <c r="G25" s="565">
        <f t="shared" si="27"/>
        <v>2091.3049698</v>
      </c>
      <c r="H25" s="565">
        <f t="shared" si="27"/>
        <v>2112.2180194980001</v>
      </c>
      <c r="I25" s="565">
        <f t="shared" si="27"/>
        <v>2133.3401996929801</v>
      </c>
      <c r="J25" s="565">
        <f t="shared" si="27"/>
        <v>2154.6736016899099</v>
      </c>
      <c r="K25" s="565">
        <f t="shared" si="27"/>
        <v>2176.220337706809</v>
      </c>
      <c r="L25" s="565">
        <f t="shared" si="27"/>
        <v>2197.9825410838771</v>
      </c>
      <c r="M25" s="565">
        <f t="shared" ref="M25:M27" si="28">L25*(1+M15)</f>
        <v>2219.9623664947158</v>
      </c>
      <c r="N25" s="565">
        <f t="shared" ref="N25:N27" si="29">M25*(1+N15)</f>
        <v>2242.1619901596628</v>
      </c>
      <c r="O25" s="565">
        <f t="shared" ref="O25:O27" si="30">N25*(1+O15)</f>
        <v>2264.5836100612596</v>
      </c>
      <c r="P25" s="565">
        <f t="shared" ref="P25:P27" si="31">O25*(1+P15)</f>
        <v>2287.2294461618721</v>
      </c>
      <c r="Q25" s="565">
        <f t="shared" ref="Q25:Q27" si="32">P25*(1+Q15)</f>
        <v>2310.101740623491</v>
      </c>
    </row>
    <row r="26" spans="2:17" x14ac:dyDescent="0.3">
      <c r="B26" s="563" t="s">
        <v>54</v>
      </c>
      <c r="C26" s="564">
        <f>C35</f>
        <v>635.4</v>
      </c>
      <c r="D26" s="564">
        <f>D35</f>
        <v>910.2</v>
      </c>
      <c r="E26" s="565">
        <f>D26*(1+E16)</f>
        <v>910.2</v>
      </c>
      <c r="F26" s="565">
        <f t="shared" ref="F26:L26" si="33">E26*(1+F16)</f>
        <v>910.2</v>
      </c>
      <c r="G26" s="565">
        <f t="shared" si="33"/>
        <v>910.2</v>
      </c>
      <c r="H26" s="565">
        <f t="shared" si="33"/>
        <v>910.2</v>
      </c>
      <c r="I26" s="565">
        <f t="shared" si="33"/>
        <v>910.2</v>
      </c>
      <c r="J26" s="565">
        <f t="shared" si="33"/>
        <v>910.2</v>
      </c>
      <c r="K26" s="565">
        <f t="shared" si="33"/>
        <v>910.2</v>
      </c>
      <c r="L26" s="565">
        <f t="shared" si="33"/>
        <v>910.2</v>
      </c>
      <c r="M26" s="565">
        <f t="shared" si="28"/>
        <v>910.2</v>
      </c>
      <c r="N26" s="565">
        <f t="shared" si="29"/>
        <v>910.2</v>
      </c>
      <c r="O26" s="565">
        <f t="shared" si="30"/>
        <v>910.2</v>
      </c>
      <c r="P26" s="565">
        <f t="shared" si="31"/>
        <v>910.2</v>
      </c>
      <c r="Q26" s="565">
        <f t="shared" si="32"/>
        <v>910.2</v>
      </c>
    </row>
    <row r="27" spans="2:17" x14ac:dyDescent="0.3">
      <c r="B27" s="563" t="s">
        <v>2612</v>
      </c>
      <c r="C27" s="566">
        <f>C56</f>
        <v>3878.6</v>
      </c>
      <c r="D27" s="566">
        <f>D56</f>
        <v>4343.7</v>
      </c>
      <c r="E27" s="567">
        <f>SUM(E91:E93)</f>
        <v>4643.8999999999996</v>
      </c>
      <c r="F27" s="567">
        <f t="shared" ref="F27:I27" si="34">SUM(F91:F93)</f>
        <v>4837.7</v>
      </c>
      <c r="G27" s="567">
        <f t="shared" si="34"/>
        <v>5020.3</v>
      </c>
      <c r="H27" s="567">
        <f t="shared" si="34"/>
        <v>5174.2999999999993</v>
      </c>
      <c r="I27" s="567">
        <f t="shared" si="34"/>
        <v>5350.4</v>
      </c>
      <c r="J27" s="565">
        <f t="shared" ref="J27:L27" si="35">I27*(1+J17)</f>
        <v>5421.4138847528966</v>
      </c>
      <c r="K27" s="565">
        <f t="shared" si="35"/>
        <v>5493.4929777770885</v>
      </c>
      <c r="L27" s="565">
        <f t="shared" si="35"/>
        <v>5566.6532571966427</v>
      </c>
      <c r="M27" s="565">
        <f t="shared" si="28"/>
        <v>5640.910940807491</v>
      </c>
      <c r="N27" s="565">
        <f t="shared" si="29"/>
        <v>5716.2824896725006</v>
      </c>
      <c r="O27" s="565">
        <f t="shared" si="30"/>
        <v>5792.7846117704848</v>
      </c>
      <c r="P27" s="565">
        <f t="shared" si="31"/>
        <v>5870.4342656999406</v>
      </c>
      <c r="Q27" s="565">
        <f t="shared" si="32"/>
        <v>5949.2486644383389</v>
      </c>
    </row>
    <row r="28" spans="2:17" x14ac:dyDescent="0.3">
      <c r="B28" s="563" t="s">
        <v>2613</v>
      </c>
      <c r="C28" s="605">
        <f>SUM(C22:C26)</f>
        <v>27566.200000000004</v>
      </c>
      <c r="D28" s="605">
        <f t="shared" ref="D28:L28" si="36">SUM(D22:D26)</f>
        <v>31837.699999999997</v>
      </c>
      <c r="E28" s="605">
        <f t="shared" si="36"/>
        <v>33934.827853636023</v>
      </c>
      <c r="F28" s="605">
        <f t="shared" si="36"/>
        <v>35910.93833924528</v>
      </c>
      <c r="G28" s="605">
        <f t="shared" si="36"/>
        <v>36012.627032301309</v>
      </c>
      <c r="H28" s="605">
        <f t="shared" si="36"/>
        <v>36143.128458251434</v>
      </c>
      <c r="I28" s="605">
        <f t="shared" si="36"/>
        <v>36107.006175829636</v>
      </c>
      <c r="J28" s="605">
        <f t="shared" si="36"/>
        <v>35989.708773890736</v>
      </c>
      <c r="K28" s="605">
        <f t="shared" si="36"/>
        <v>36409.954669728329</v>
      </c>
      <c r="L28" s="605">
        <f t="shared" si="36"/>
        <v>36551.754087816465</v>
      </c>
      <c r="M28" s="605">
        <f t="shared" ref="M28:Q28" si="37">SUM(M22:M26)</f>
        <v>36719.00721490768</v>
      </c>
      <c r="N28" s="605">
        <f t="shared" si="37"/>
        <v>36880.04154628679</v>
      </c>
      <c r="O28" s="605">
        <f t="shared" si="37"/>
        <v>37045.205945615489</v>
      </c>
      <c r="P28" s="605">
        <f t="shared" si="37"/>
        <v>37197.083611158283</v>
      </c>
      <c r="Q28" s="605">
        <f t="shared" si="37"/>
        <v>37322.922379730335</v>
      </c>
    </row>
    <row r="29" spans="2:17" x14ac:dyDescent="0.3">
      <c r="B29" s="563" t="s">
        <v>2614</v>
      </c>
      <c r="C29" s="576">
        <f>C40</f>
        <v>1845.8</v>
      </c>
      <c r="D29" s="576">
        <f t="shared" ref="D29" si="38">D40</f>
        <v>2198.5</v>
      </c>
      <c r="E29" s="621">
        <f>D29*(1+SUMPRODUCT(E12:E13,E18:E19))</f>
        <v>2242.9062228691637</v>
      </c>
      <c r="F29" s="621">
        <f t="shared" ref="F29:L29" si="39">E29*(1+SUMPRODUCT(F12:F13,F18:F19))</f>
        <v>2288.4421904846545</v>
      </c>
      <c r="G29" s="621">
        <f t="shared" si="39"/>
        <v>2335.1373348213415</v>
      </c>
      <c r="H29" s="621">
        <f t="shared" si="39"/>
        <v>2383.0217063062114</v>
      </c>
      <c r="I29" s="621">
        <f t="shared" si="39"/>
        <v>2423.7653861410445</v>
      </c>
      <c r="J29" s="621">
        <f t="shared" si="39"/>
        <v>2465.3360760984847</v>
      </c>
      <c r="K29" s="621">
        <f t="shared" si="39"/>
        <v>2507.7524494544059</v>
      </c>
      <c r="L29" s="621">
        <f t="shared" si="39"/>
        <v>2551.0333877655344</v>
      </c>
      <c r="M29" s="621">
        <f t="shared" ref="M29" si="40">L29*(1+SUMPRODUCT(M12:M13,M18:M19))</f>
        <v>2595.1980125571699</v>
      </c>
      <c r="N29" s="621">
        <f t="shared" ref="N29" si="41">M29*(1+SUMPRODUCT(N12:N13,N18:N19))</f>
        <v>2640.2657179835073</v>
      </c>
      <c r="O29" s="621">
        <f t="shared" ref="O29" si="42">N29*(1+SUMPRODUCT(O12:O13,O18:O19))</f>
        <v>2686.2562009300264</v>
      </c>
      <c r="P29" s="621">
        <f t="shared" ref="P29" si="43">O29*(1+SUMPRODUCT(P12:P13,P18:P19))</f>
        <v>2733.1894878489788</v>
      </c>
      <c r="Q29" s="621">
        <f t="shared" ref="Q29" si="44">P29*(1+SUMPRODUCT(Q12:Q13,Q18:Q19))</f>
        <v>2781.0859585601888</v>
      </c>
    </row>
    <row r="32" spans="2:17" ht="15" x14ac:dyDescent="0.3">
      <c r="B32" s="1007" t="s">
        <v>2601</v>
      </c>
      <c r="C32" s="1007"/>
      <c r="D32" s="1007"/>
      <c r="E32" s="1007"/>
      <c r="F32" s="1007"/>
      <c r="G32" s="1007"/>
      <c r="H32" s="1007"/>
      <c r="I32" s="1007"/>
      <c r="J32" s="1007"/>
      <c r="K32" s="1007"/>
      <c r="L32" s="1007"/>
    </row>
    <row r="33" spans="2:12" x14ac:dyDescent="0.3">
      <c r="B33" s="967"/>
      <c r="C33" s="967"/>
      <c r="D33" s="967"/>
      <c r="E33" s="967"/>
      <c r="F33" s="967"/>
      <c r="G33" s="967"/>
      <c r="H33" s="967"/>
      <c r="I33" s="967"/>
      <c r="J33" s="967"/>
      <c r="K33" s="967"/>
      <c r="L33" s="967"/>
    </row>
    <row r="34" spans="2:12" x14ac:dyDescent="0.3">
      <c r="B34" s="556"/>
      <c r="C34" s="556">
        <v>2021</v>
      </c>
      <c r="D34" s="556">
        <v>2022</v>
      </c>
      <c r="E34" s="967"/>
      <c r="F34" s="967"/>
      <c r="G34" s="967"/>
      <c r="H34" s="967"/>
      <c r="I34" s="967"/>
      <c r="J34" s="967"/>
      <c r="K34" s="967"/>
      <c r="L34" s="967"/>
    </row>
    <row r="35" spans="2:12" outlineLevel="1" x14ac:dyDescent="0.3">
      <c r="B35" s="970" t="s">
        <v>2615</v>
      </c>
      <c r="C35" s="1444">
        <v>635.4</v>
      </c>
      <c r="D35" s="1444">
        <v>910.2</v>
      </c>
    </row>
    <row r="36" spans="2:12" outlineLevel="1" x14ac:dyDescent="0.3">
      <c r="B36" s="970" t="s">
        <v>2616</v>
      </c>
      <c r="C36" s="1444">
        <v>206.9</v>
      </c>
      <c r="D36" s="1444">
        <v>245.8</v>
      </c>
    </row>
    <row r="37" spans="2:12" outlineLevel="1" x14ac:dyDescent="0.3">
      <c r="B37" s="970" t="s">
        <v>2617</v>
      </c>
      <c r="C37" s="1444">
        <v>3999.4</v>
      </c>
      <c r="D37" s="1444">
        <v>4617.3</v>
      </c>
    </row>
    <row r="38" spans="2:12" outlineLevel="1" x14ac:dyDescent="0.3">
      <c r="B38" s="970" t="s">
        <v>2618</v>
      </c>
      <c r="C38" s="1444">
        <v>855.3</v>
      </c>
      <c r="D38" s="1444">
        <v>1320.1</v>
      </c>
    </row>
    <row r="39" spans="2:12" outlineLevel="1" x14ac:dyDescent="0.3">
      <c r="B39" s="970" t="s">
        <v>2619</v>
      </c>
      <c r="C39" s="1444">
        <v>358.4</v>
      </c>
      <c r="D39" s="1444">
        <v>308.8</v>
      </c>
    </row>
    <row r="40" spans="2:12" outlineLevel="1" x14ac:dyDescent="0.3">
      <c r="B40" s="970" t="s">
        <v>2620</v>
      </c>
      <c r="C40" s="1444">
        <v>1845.8</v>
      </c>
      <c r="D40" s="1444">
        <v>2198.5</v>
      </c>
    </row>
    <row r="41" spans="2:12" outlineLevel="1" x14ac:dyDescent="0.3">
      <c r="B41" s="970" t="s">
        <v>2621</v>
      </c>
      <c r="C41" s="1444">
        <v>3310.4</v>
      </c>
      <c r="D41" s="1444">
        <v>3789.8</v>
      </c>
    </row>
    <row r="42" spans="2:12" outlineLevel="1" x14ac:dyDescent="0.3">
      <c r="B42" s="970" t="s">
        <v>2622</v>
      </c>
      <c r="C42" s="1444">
        <v>1772.9</v>
      </c>
      <c r="D42" s="1444">
        <v>2029.8</v>
      </c>
    </row>
    <row r="43" spans="2:12" outlineLevel="1" x14ac:dyDescent="0.3">
      <c r="B43" s="970" t="s">
        <v>2623</v>
      </c>
      <c r="C43" s="1444">
        <v>341.3</v>
      </c>
      <c r="D43" s="1444">
        <v>524.29999999999995</v>
      </c>
    </row>
    <row r="44" spans="2:12" outlineLevel="1" x14ac:dyDescent="0.3">
      <c r="B44" s="970" t="s">
        <v>2624</v>
      </c>
      <c r="C44" s="1444">
        <v>2331.3000000000002</v>
      </c>
      <c r="D44" s="1444">
        <v>2547.3000000000002</v>
      </c>
    </row>
    <row r="45" spans="2:12" outlineLevel="1" x14ac:dyDescent="0.3">
      <c r="B45" s="970" t="s">
        <v>2625</v>
      </c>
      <c r="C45" s="1444">
        <v>1268.7</v>
      </c>
      <c r="D45" s="1444">
        <v>1451</v>
      </c>
    </row>
    <row r="46" spans="2:12" outlineLevel="1" x14ac:dyDescent="0.3">
      <c r="B46" s="970" t="s">
        <v>2626</v>
      </c>
      <c r="C46" s="1444">
        <v>2802.8</v>
      </c>
      <c r="D46" s="1444">
        <v>3175.2</v>
      </c>
    </row>
    <row r="47" spans="2:12" outlineLevel="1" x14ac:dyDescent="0.3">
      <c r="B47" s="970" t="s">
        <v>2627</v>
      </c>
      <c r="C47" s="1444">
        <v>1761.7</v>
      </c>
      <c r="D47" s="1444">
        <v>1887.4</v>
      </c>
    </row>
    <row r="48" spans="2:12" outlineLevel="1" x14ac:dyDescent="0.3">
      <c r="B48" s="970" t="s">
        <v>2628</v>
      </c>
      <c r="C48" s="1444">
        <v>1012.2</v>
      </c>
      <c r="D48" s="1444">
        <v>1169.7</v>
      </c>
    </row>
    <row r="49" spans="2:32" outlineLevel="1" x14ac:dyDescent="0.3">
      <c r="B49" s="970" t="s">
        <v>2629</v>
      </c>
      <c r="C49" s="1444">
        <v>1667</v>
      </c>
      <c r="D49" s="1444">
        <v>1881.8</v>
      </c>
    </row>
    <row r="50" spans="2:32" outlineLevel="1" x14ac:dyDescent="0.3">
      <c r="B50" s="970" t="s">
        <v>2630</v>
      </c>
      <c r="C50" s="1444">
        <v>1322.6</v>
      </c>
      <c r="D50" s="1444">
        <v>1463.8</v>
      </c>
    </row>
    <row r="51" spans="2:32" outlineLevel="1" x14ac:dyDescent="0.3">
      <c r="B51" s="970" t="s">
        <v>2631</v>
      </c>
      <c r="C51" s="1444">
        <v>1394.6</v>
      </c>
      <c r="D51" s="1444">
        <v>1481.3</v>
      </c>
    </row>
    <row r="52" spans="2:32" outlineLevel="1" x14ac:dyDescent="0.3">
      <c r="B52" s="970" t="s">
        <v>2632</v>
      </c>
      <c r="C52" s="1444">
        <v>416.1</v>
      </c>
      <c r="D52" s="1444">
        <v>508.9</v>
      </c>
    </row>
    <row r="53" spans="2:32" outlineLevel="1" x14ac:dyDescent="0.3">
      <c r="B53" s="970" t="s">
        <v>2633</v>
      </c>
      <c r="C53" s="1444">
        <v>247.9</v>
      </c>
      <c r="D53" s="1444">
        <v>308.5</v>
      </c>
    </row>
    <row r="54" spans="2:32" outlineLevel="1" x14ac:dyDescent="0.3">
      <c r="B54" s="970" t="s">
        <v>2634</v>
      </c>
      <c r="C54" s="1444">
        <v>15.5</v>
      </c>
      <c r="D54" s="1444">
        <v>18.2</v>
      </c>
    </row>
    <row r="55" spans="2:32" outlineLevel="1" x14ac:dyDescent="0.3">
      <c r="B55" s="970" t="s">
        <v>2635</v>
      </c>
      <c r="C55" s="1444">
        <v>27566.3</v>
      </c>
      <c r="D55" s="1444">
        <v>31837.7</v>
      </c>
    </row>
    <row r="56" spans="2:32" outlineLevel="1" x14ac:dyDescent="0.3">
      <c r="B56" s="970" t="s">
        <v>2612</v>
      </c>
      <c r="C56" s="1444">
        <v>3878.6</v>
      </c>
      <c r="D56" s="1444">
        <v>4343.7</v>
      </c>
    </row>
    <row r="57" spans="2:32" outlineLevel="1" x14ac:dyDescent="0.3">
      <c r="B57" s="970" t="s">
        <v>2636</v>
      </c>
      <c r="C57" s="1444">
        <v>31444.9</v>
      </c>
      <c r="D57" s="1444">
        <v>36181.4</v>
      </c>
    </row>
    <row r="58" spans="2:32" outlineLevel="1" x14ac:dyDescent="0.3">
      <c r="C58" s="569">
        <f>SUM(C91:C93,)</f>
        <v>3863.5</v>
      </c>
    </row>
    <row r="59" spans="2:32" outlineLevel="1" x14ac:dyDescent="0.3">
      <c r="C59" s="569"/>
    </row>
    <row r="60" spans="2:32" ht="15" outlineLevel="1" x14ac:dyDescent="0.3">
      <c r="B60" s="1008" t="s">
        <v>2637</v>
      </c>
      <c r="C60" s="1009"/>
      <c r="D60" s="1007"/>
      <c r="E60" s="1007"/>
      <c r="F60" s="1007"/>
      <c r="G60" s="1007"/>
      <c r="H60" s="1007"/>
      <c r="I60" s="1007"/>
      <c r="J60" s="1007"/>
      <c r="K60" s="1007"/>
      <c r="L60" s="1007"/>
      <c r="M60" s="1007"/>
      <c r="N60" s="1007"/>
      <c r="O60" s="1007"/>
      <c r="P60" s="1007"/>
      <c r="Q60" s="1007"/>
      <c r="R60" s="1007"/>
      <c r="S60" s="1007"/>
      <c r="T60" s="1007"/>
      <c r="U60" s="1007"/>
      <c r="V60" s="1007"/>
      <c r="W60" s="1007"/>
      <c r="X60" s="1007"/>
      <c r="Y60" s="1007"/>
      <c r="Z60" s="1007"/>
      <c r="AA60" s="1007"/>
      <c r="AB60" s="1007"/>
      <c r="AC60" s="1007"/>
      <c r="AD60" s="1007"/>
      <c r="AE60" s="1007"/>
      <c r="AF60" s="1007"/>
    </row>
    <row r="61" spans="2:32" outlineLevel="1" x14ac:dyDescent="0.3">
      <c r="C61" s="569"/>
    </row>
    <row r="62" spans="2:32" x14ac:dyDescent="0.3">
      <c r="B62" s="2158" t="s">
        <v>2638</v>
      </c>
      <c r="C62" s="2147" t="s">
        <v>2639</v>
      </c>
      <c r="D62" s="2148"/>
      <c r="E62" s="2148"/>
      <c r="F62" s="554" t="s">
        <v>2640</v>
      </c>
    </row>
    <row r="63" spans="2:32" x14ac:dyDescent="0.3">
      <c r="B63" s="2158"/>
      <c r="C63" s="2149" t="s">
        <v>2641</v>
      </c>
      <c r="D63" s="2150"/>
      <c r="E63" s="2150"/>
    </row>
    <row r="64" spans="2:32" x14ac:dyDescent="0.3">
      <c r="B64" s="2158"/>
      <c r="C64" s="2151" t="s">
        <v>2642</v>
      </c>
      <c r="D64" s="2152"/>
      <c r="E64" s="2152"/>
    </row>
    <row r="66" spans="1:32" x14ac:dyDescent="0.3">
      <c r="B66" s="571"/>
      <c r="C66" s="571">
        <v>2021</v>
      </c>
      <c r="D66" s="571">
        <v>2022</v>
      </c>
      <c r="E66" s="571">
        <v>2023</v>
      </c>
      <c r="F66" s="571">
        <v>2024</v>
      </c>
      <c r="G66" s="571">
        <v>2025</v>
      </c>
      <c r="H66" s="571">
        <v>2026</v>
      </c>
      <c r="I66" s="571">
        <v>2027</v>
      </c>
      <c r="J66" s="571">
        <v>2028</v>
      </c>
      <c r="K66" s="571">
        <v>2029</v>
      </c>
      <c r="L66" s="571">
        <v>2030</v>
      </c>
      <c r="M66" s="571">
        <v>2031</v>
      </c>
      <c r="N66" s="571">
        <v>2032</v>
      </c>
      <c r="O66" s="571">
        <v>2033</v>
      </c>
      <c r="P66" s="571">
        <v>2034</v>
      </c>
      <c r="Q66" s="571">
        <v>2035</v>
      </c>
      <c r="R66" s="571">
        <v>2036</v>
      </c>
      <c r="S66" s="571">
        <v>2037</v>
      </c>
      <c r="T66" s="571">
        <v>2038</v>
      </c>
      <c r="U66" s="571">
        <v>2039</v>
      </c>
      <c r="V66" s="571">
        <v>2040</v>
      </c>
      <c r="W66" s="571">
        <v>2041</v>
      </c>
      <c r="X66" s="571">
        <v>2042</v>
      </c>
      <c r="Y66" s="571">
        <v>2043</v>
      </c>
      <c r="Z66" s="571">
        <v>2044</v>
      </c>
      <c r="AA66" s="571">
        <v>2045</v>
      </c>
      <c r="AB66" s="571">
        <v>2046</v>
      </c>
      <c r="AC66" s="571">
        <v>2047</v>
      </c>
      <c r="AD66" s="571">
        <v>2048</v>
      </c>
      <c r="AE66" s="571">
        <v>2049</v>
      </c>
      <c r="AF66" s="571">
        <v>2050</v>
      </c>
    </row>
    <row r="67" spans="1:32" x14ac:dyDescent="0.3">
      <c r="B67" s="571"/>
      <c r="C67" s="571"/>
      <c r="D67" s="571"/>
      <c r="E67" s="571"/>
      <c r="F67" s="571"/>
      <c r="G67" s="571"/>
      <c r="H67" s="571"/>
      <c r="I67" s="571"/>
      <c r="J67" s="571"/>
      <c r="K67" s="571"/>
      <c r="L67" s="571"/>
      <c r="M67" s="571"/>
      <c r="N67" s="571"/>
      <c r="O67" s="571"/>
      <c r="P67" s="571"/>
      <c r="Q67" s="571"/>
      <c r="R67" s="571"/>
      <c r="S67" s="571"/>
      <c r="T67" s="571"/>
      <c r="U67" s="571"/>
      <c r="V67" s="571"/>
      <c r="W67" s="571"/>
      <c r="X67" s="571"/>
      <c r="Y67" s="571"/>
      <c r="Z67" s="571"/>
      <c r="AA67" s="571"/>
      <c r="AB67" s="571"/>
      <c r="AC67" s="571"/>
      <c r="AD67" s="571"/>
      <c r="AE67" s="571"/>
      <c r="AF67" s="571"/>
    </row>
    <row r="68" spans="1:32" x14ac:dyDescent="0.3">
      <c r="B68" s="554" t="s">
        <v>2643</v>
      </c>
      <c r="C68" s="553">
        <v>1323391</v>
      </c>
      <c r="D68" s="553">
        <v>1322814</v>
      </c>
      <c r="E68" s="553">
        <v>1322197</v>
      </c>
      <c r="F68" s="553">
        <v>1321480</v>
      </c>
      <c r="G68" s="553">
        <v>1320618</v>
      </c>
      <c r="H68" s="553">
        <v>1319602</v>
      </c>
      <c r="I68" s="553">
        <v>1318407</v>
      </c>
      <c r="J68" s="553">
        <v>1317049</v>
      </c>
      <c r="K68" s="553">
        <v>1315540</v>
      </c>
      <c r="L68" s="553">
        <v>1313906</v>
      </c>
      <c r="M68" s="553">
        <v>1312183</v>
      </c>
      <c r="N68" s="553">
        <v>1310375</v>
      </c>
      <c r="O68" s="553">
        <v>1308527</v>
      </c>
      <c r="P68" s="553">
        <v>1306675</v>
      </c>
      <c r="Q68" s="553">
        <v>1304849</v>
      </c>
      <c r="R68" s="553">
        <v>1303091</v>
      </c>
      <c r="S68" s="553">
        <v>1301407</v>
      </c>
      <c r="T68" s="553">
        <v>1299811</v>
      </c>
      <c r="U68" s="553">
        <v>1298291</v>
      </c>
      <c r="V68" s="553">
        <v>1296836</v>
      </c>
      <c r="W68" s="553">
        <v>1295401</v>
      </c>
      <c r="X68" s="553">
        <v>1293928</v>
      </c>
      <c r="Y68" s="553">
        <v>1292386</v>
      </c>
      <c r="Z68" s="553">
        <v>1290757</v>
      </c>
      <c r="AA68" s="553">
        <v>1289005</v>
      </c>
      <c r="AB68" s="553">
        <v>1287114</v>
      </c>
      <c r="AC68" s="553">
        <v>1285071</v>
      </c>
      <c r="AD68" s="553">
        <v>1282892</v>
      </c>
      <c r="AE68" s="553">
        <v>1280568</v>
      </c>
      <c r="AF68" s="553">
        <v>1278110</v>
      </c>
    </row>
    <row r="69" spans="1:32" x14ac:dyDescent="0.3">
      <c r="B69" s="572" t="s">
        <v>2644</v>
      </c>
      <c r="C69" s="573">
        <v>31444.9</v>
      </c>
      <c r="D69" s="573">
        <v>36469.082180857062</v>
      </c>
      <c r="E69" s="573">
        <v>38583.458419817434</v>
      </c>
      <c r="F69" s="573">
        <v>40355.72599511216</v>
      </c>
      <c r="G69" s="573">
        <v>42143.142908748698</v>
      </c>
      <c r="H69" s="573">
        <v>43929.277837904345</v>
      </c>
      <c r="I69" s="573">
        <v>45649.930269971068</v>
      </c>
      <c r="J69" s="573">
        <v>47359.071714519014</v>
      </c>
      <c r="K69" s="573">
        <v>49113.686944676636</v>
      </c>
      <c r="L69" s="573">
        <v>50917.49967242511</v>
      </c>
      <c r="M69" s="573">
        <v>52800.035554639304</v>
      </c>
      <c r="N69" s="573">
        <v>54751.09732243976</v>
      </c>
      <c r="O69" s="573">
        <v>56773.550890947961</v>
      </c>
      <c r="P69" s="573">
        <v>58842.182787320482</v>
      </c>
      <c r="Q69" s="573">
        <v>60904.227217566986</v>
      </c>
      <c r="R69" s="573">
        <v>62991.86710628555</v>
      </c>
      <c r="S69" s="573">
        <v>65155.638755200955</v>
      </c>
      <c r="T69" s="573">
        <v>67415.993221678102</v>
      </c>
      <c r="U69" s="573">
        <v>69733.789235730073</v>
      </c>
      <c r="V69" s="573">
        <v>72131.162476942976</v>
      </c>
      <c r="W69" s="573">
        <v>74641.098864726009</v>
      </c>
      <c r="X69" s="573">
        <v>77228.608199358176</v>
      </c>
      <c r="Y69" s="573">
        <v>79888.88521922259</v>
      </c>
      <c r="Z69" s="573">
        <v>82579.14685525831</v>
      </c>
      <c r="AA69" s="573">
        <v>85385.440469781955</v>
      </c>
      <c r="AB69" s="573">
        <v>88262.0292106181</v>
      </c>
      <c r="AC69" s="573">
        <v>91222.517819288463</v>
      </c>
      <c r="AD69" s="573">
        <v>94260.241172741575</v>
      </c>
      <c r="AE69" s="573">
        <v>97373.556604606812</v>
      </c>
      <c r="AF69" s="573">
        <v>100572.96683094106</v>
      </c>
    </row>
    <row r="70" spans="1:32" x14ac:dyDescent="0.3">
      <c r="B70" s="572" t="s">
        <v>2645</v>
      </c>
      <c r="C70" s="573">
        <v>26039.300000000003</v>
      </c>
      <c r="D70" s="573">
        <v>26301.280397563285</v>
      </c>
      <c r="E70" s="573">
        <v>26443.391038802532</v>
      </c>
      <c r="F70" s="573">
        <v>27238.034298540009</v>
      </c>
      <c r="G70" s="573">
        <v>27926.311687747784</v>
      </c>
      <c r="H70" s="573">
        <v>28494.249209700276</v>
      </c>
      <c r="I70" s="573">
        <v>29029.736991943788</v>
      </c>
      <c r="J70" s="573">
        <v>29526.093595506285</v>
      </c>
      <c r="K70" s="573">
        <v>30019.619055978448</v>
      </c>
      <c r="L70" s="573">
        <v>30511.91997502535</v>
      </c>
      <c r="M70" s="573">
        <v>31019.622666927025</v>
      </c>
      <c r="N70" s="573">
        <v>31535.153667128005</v>
      </c>
      <c r="O70" s="573">
        <v>32058.85520808163</v>
      </c>
      <c r="P70" s="573">
        <v>32575.459849384781</v>
      </c>
      <c r="Q70" s="573">
        <v>33055.904534966699</v>
      </c>
      <c r="R70" s="573">
        <v>33518.603646381503</v>
      </c>
      <c r="S70" s="573">
        <v>33990.164922642703</v>
      </c>
      <c r="T70" s="573">
        <v>34479.743830031082</v>
      </c>
      <c r="U70" s="573">
        <v>34965.85774272745</v>
      </c>
      <c r="V70" s="573">
        <v>35458.771186210819</v>
      </c>
      <c r="W70" s="573">
        <v>35973.161087169996</v>
      </c>
      <c r="X70" s="573">
        <v>36490.399188269621</v>
      </c>
      <c r="Y70" s="573">
        <v>37007.231381402649</v>
      </c>
      <c r="Z70" s="573">
        <v>37503.383809156207</v>
      </c>
      <c r="AA70" s="573">
        <v>38017.51395893062</v>
      </c>
      <c r="AB70" s="573">
        <v>38527.748225088661</v>
      </c>
      <c r="AC70" s="573">
        <v>39039.262292523999</v>
      </c>
      <c r="AD70" s="573">
        <v>39548.309322143723</v>
      </c>
      <c r="AE70" s="573">
        <v>40053.478316056782</v>
      </c>
      <c r="AF70" s="573">
        <v>40558.351418026527</v>
      </c>
    </row>
    <row r="71" spans="1:32" x14ac:dyDescent="0.3">
      <c r="A71" s="575">
        <f>C55/C57</f>
        <v>0.87665408381009313</v>
      </c>
      <c r="B71" s="572" t="s">
        <v>2646</v>
      </c>
      <c r="C71" s="576">
        <f t="shared" ref="C71:I71" si="45">C69-SUM(C91:C93)</f>
        <v>27581.4</v>
      </c>
      <c r="D71" s="576">
        <f t="shared" si="45"/>
        <v>32159.482180857063</v>
      </c>
      <c r="E71" s="576">
        <f t="shared" si="45"/>
        <v>33939.558419817433</v>
      </c>
      <c r="F71" s="576">
        <f t="shared" si="45"/>
        <v>35518.025995112162</v>
      </c>
      <c r="G71" s="576">
        <f t="shared" si="45"/>
        <v>37122.842908748695</v>
      </c>
      <c r="H71" s="576">
        <f t="shared" si="45"/>
        <v>38754.977837904342</v>
      </c>
      <c r="I71" s="576">
        <f t="shared" si="45"/>
        <v>40299.530269971066</v>
      </c>
      <c r="J71" s="564">
        <f t="shared" ref="J71:AF71" si="46">J69*$A$71</f>
        <v>41517.523623988163</v>
      </c>
      <c r="K71" s="564">
        <f t="shared" si="46"/>
        <v>43055.714231021229</v>
      </c>
      <c r="L71" s="564">
        <f t="shared" si="46"/>
        <v>44637.034025230554</v>
      </c>
      <c r="M71" s="564">
        <f t="shared" si="46"/>
        <v>46287.366794292662</v>
      </c>
      <c r="N71" s="564">
        <f t="shared" si="46"/>
        <v>47997.773060800668</v>
      </c>
      <c r="O71" s="564">
        <f t="shared" si="46"/>
        <v>49770.76524094968</v>
      </c>
      <c r="P71" s="564">
        <f t="shared" si="46"/>
        <v>51584.239840804468</v>
      </c>
      <c r="Q71" s="564">
        <f t="shared" si="46"/>
        <v>53391.939511577926</v>
      </c>
      <c r="R71" s="564">
        <f t="shared" si="46"/>
        <v>55222.077545547902</v>
      </c>
      <c r="S71" s="564">
        <f t="shared" si="46"/>
        <v>57118.956798002087</v>
      </c>
      <c r="T71" s="564">
        <f t="shared" si="46"/>
        <v>59100.505771897668</v>
      </c>
      <c r="U71" s="564">
        <f t="shared" si="46"/>
        <v>61132.411113055081</v>
      </c>
      <c r="V71" s="564">
        <f t="shared" si="46"/>
        <v>63234.078155381416</v>
      </c>
      <c r="W71" s="564">
        <f t="shared" si="46"/>
        <v>65434.424139834962</v>
      </c>
      <c r="X71" s="564">
        <f t="shared" si="46"/>
        <v>67702.774764936985</v>
      </c>
      <c r="Y71" s="564">
        <f t="shared" si="46"/>
        <v>70034.917478467265</v>
      </c>
      <c r="Z71" s="564">
        <f t="shared" si="46"/>
        <v>72393.346328215601</v>
      </c>
      <c r="AA71" s="564">
        <f t="shared" si="46"/>
        <v>74853.495085757953</v>
      </c>
      <c r="AB71" s="564">
        <f t="shared" si="46"/>
        <v>77375.268352854095</v>
      </c>
      <c r="AC71" s="564">
        <f t="shared" si="46"/>
        <v>79970.592781718224</v>
      </c>
      <c r="AD71" s="564">
        <f t="shared" si="46"/>
        <v>82633.625365008178</v>
      </c>
      <c r="AE71" s="564">
        <f t="shared" si="46"/>
        <v>85362.926052541821</v>
      </c>
      <c r="AF71" s="564">
        <f t="shared" si="46"/>
        <v>88167.702093241518</v>
      </c>
    </row>
    <row r="72" spans="1:32" x14ac:dyDescent="0.3">
      <c r="B72" s="572" t="s">
        <v>2647</v>
      </c>
      <c r="C72" s="577">
        <v>1548</v>
      </c>
      <c r="D72" s="577">
        <v>1685</v>
      </c>
      <c r="E72" s="577">
        <v>1837</v>
      </c>
      <c r="F72" s="577">
        <v>1942</v>
      </c>
      <c r="G72" s="577">
        <v>2022</v>
      </c>
      <c r="H72" s="577">
        <v>2109</v>
      </c>
      <c r="I72" s="577">
        <v>2197</v>
      </c>
      <c r="J72" s="573">
        <v>2294.410554235671</v>
      </c>
      <c r="K72" s="573">
        <v>2388.4792500950239</v>
      </c>
      <c r="L72" s="573">
        <v>2486.1934473653187</v>
      </c>
      <c r="M72" s="573">
        <v>2587.6853253070863</v>
      </c>
      <c r="N72" s="573">
        <v>2693.0914801587282</v>
      </c>
      <c r="O72" s="573">
        <v>2802.5530579084043</v>
      </c>
      <c r="P72" s="573">
        <v>2916.2158904976382</v>
      </c>
      <c r="Q72" s="573">
        <v>3034.2306355250607</v>
      </c>
      <c r="R72" s="573">
        <v>3156.7529195193652</v>
      </c>
      <c r="S72" s="573">
        <v>3283.9434848511373</v>
      </c>
      <c r="T72" s="573">
        <v>3415.9683403538534</v>
      </c>
      <c r="U72" s="573">
        <v>3551.6474940904741</v>
      </c>
      <c r="V72" s="573">
        <v>3692.2409844510662</v>
      </c>
      <c r="W72" s="573">
        <v>3837.9048668331548</v>
      </c>
      <c r="X72" s="573">
        <v>3988.7987666590311</v>
      </c>
      <c r="Y72" s="573">
        <v>4145.0899281579868</v>
      </c>
      <c r="Z72" s="573">
        <v>4306.9473938887586</v>
      </c>
      <c r="AA72" s="573">
        <v>4474.5438339723205</v>
      </c>
      <c r="AB72" s="573">
        <v>4648.0965772528643</v>
      </c>
      <c r="AC72" s="573">
        <v>4827.7869209765049</v>
      </c>
      <c r="AD72" s="573">
        <v>5013.8097276867202</v>
      </c>
      <c r="AE72" s="573">
        <v>5206.3636074238129</v>
      </c>
      <c r="AF72" s="573">
        <v>5405.6486356970927</v>
      </c>
    </row>
    <row r="73" spans="1:32" x14ac:dyDescent="0.3">
      <c r="B73" s="572" t="s">
        <v>2648</v>
      </c>
      <c r="C73" s="574">
        <v>6.9060773480662974E-2</v>
      </c>
      <c r="D73" s="578">
        <f>(D72-C72)/C72</f>
        <v>8.8501291989664083E-2</v>
      </c>
      <c r="E73" s="578">
        <f t="shared" ref="E73:I73" si="47">(E72-D72)/D72</f>
        <v>9.0207715133531152E-2</v>
      </c>
      <c r="F73" s="578">
        <f t="shared" si="47"/>
        <v>5.7158410451823627E-2</v>
      </c>
      <c r="G73" s="578">
        <f t="shared" si="47"/>
        <v>4.1194644696189497E-2</v>
      </c>
      <c r="H73" s="578">
        <f t="shared" si="47"/>
        <v>4.3026706231454007E-2</v>
      </c>
      <c r="I73" s="578">
        <f t="shared" si="47"/>
        <v>4.1725936462778571E-2</v>
      </c>
      <c r="J73" s="578">
        <f t="shared" ref="J73" si="48">(J72-I72)/I72</f>
        <v>4.4337985541953139E-2</v>
      </c>
      <c r="K73" s="578">
        <f t="shared" ref="K73" si="49">(K72-J72)/J72</f>
        <v>4.0999068665237032E-2</v>
      </c>
      <c r="L73" s="578">
        <f t="shared" ref="L73" si="50">(L72-K72)/K72</f>
        <v>4.0910632682451521E-2</v>
      </c>
      <c r="M73" s="578">
        <f t="shared" ref="M73" si="51">(M72-L72)/L72</f>
        <v>4.0822196699665941E-2</v>
      </c>
      <c r="N73" s="578">
        <f t="shared" ref="N73" si="52">(N72-M72)/M72</f>
        <v>4.0733760716880521E-2</v>
      </c>
      <c r="O73" s="578">
        <f t="shared" ref="O73" si="53">(O72-N72)/N72</f>
        <v>4.0645324734094997E-2</v>
      </c>
      <c r="P73" s="578">
        <f t="shared" ref="P73" si="54">(P72-O72)/O72</f>
        <v>4.055688875130966E-2</v>
      </c>
      <c r="Q73" s="578">
        <f t="shared" ref="Q73" si="55">(Q72-P72)/P72</f>
        <v>4.0468452768523913E-2</v>
      </c>
      <c r="R73" s="578">
        <f t="shared" ref="R73" si="56">(R72-Q72)/Q72</f>
        <v>4.0380016785738652E-2</v>
      </c>
      <c r="S73" s="578">
        <f t="shared" ref="S73" si="57">(S72-R72)/R72</f>
        <v>4.0291580802952962E-2</v>
      </c>
      <c r="T73" s="578">
        <f t="shared" ref="T73" si="58">(T72-S72)/S72</f>
        <v>4.0203144820167569E-2</v>
      </c>
      <c r="U73" s="578">
        <f t="shared" ref="U73" si="59">(U72-T72)/T72</f>
        <v>3.9719089938218217E-2</v>
      </c>
      <c r="V73" s="578">
        <f t="shared" ref="V73" si="60">(V72-U72)/U72</f>
        <v>3.9585429183082846E-2</v>
      </c>
      <c r="W73" s="578">
        <f t="shared" ref="W73" si="61">(W72-V72)/V72</f>
        <v>3.9451347567917412E-2</v>
      </c>
      <c r="X73" s="578">
        <f t="shared" ref="X73" si="62">(X72-W72)/W72</f>
        <v>3.9316737923831446E-2</v>
      </c>
      <c r="Y73" s="578">
        <f t="shared" ref="Y73" si="63">(Y72-X72)/X72</f>
        <v>3.9182513493871557E-2</v>
      </c>
      <c r="Z73" s="578">
        <f t="shared" ref="Z73" si="64">(Z72-Y72)/Y72</f>
        <v>3.9047998604628271E-2</v>
      </c>
      <c r="AA73" s="578">
        <f t="shared" ref="AA73" si="65">(AA72-Z72)/Z72</f>
        <v>3.8913045541575202E-2</v>
      </c>
      <c r="AB73" s="578">
        <f t="shared" ref="AB73" si="66">(AB72-AA72)/AA72</f>
        <v>3.8786689709657103E-2</v>
      </c>
      <c r="AC73" s="578">
        <f t="shared" ref="AC73" si="67">(AC72-AB72)/AB72</f>
        <v>3.8658909241047194E-2</v>
      </c>
      <c r="AD73" s="578">
        <f t="shared" ref="AD73" si="68">(AD72-AC72)/AC72</f>
        <v>3.8531693663188614E-2</v>
      </c>
      <c r="AE73" s="578">
        <f t="shared" ref="AE73" si="69">(AE72-AD72)/AD72</f>
        <v>3.840470424591353E-2</v>
      </c>
      <c r="AF73" s="578">
        <f t="shared" ref="AF73" si="70">(AF72-AE72)/AE72</f>
        <v>3.8277201382768765E-2</v>
      </c>
    </row>
    <row r="74" spans="1:32" x14ac:dyDescent="0.3">
      <c r="B74" s="572" t="s">
        <v>2649</v>
      </c>
      <c r="C74" s="577">
        <v>650.5</v>
      </c>
      <c r="D74" s="577">
        <v>677.4</v>
      </c>
      <c r="E74" s="577">
        <v>679.2</v>
      </c>
      <c r="F74" s="577">
        <v>683.3</v>
      </c>
      <c r="G74" s="577">
        <v>685.4</v>
      </c>
      <c r="H74" s="577">
        <v>685.7</v>
      </c>
      <c r="I74" s="577">
        <v>685.7</v>
      </c>
      <c r="J74" s="579">
        <v>670.40077048021942</v>
      </c>
      <c r="K74" s="579">
        <v>667.85705838006504</v>
      </c>
      <c r="L74" s="579">
        <v>665.17299172607909</v>
      </c>
      <c r="M74" s="579">
        <v>662.71256873394532</v>
      </c>
      <c r="N74" s="579">
        <v>660.30437843289576</v>
      </c>
      <c r="O74" s="579">
        <v>657.95269452091168</v>
      </c>
      <c r="P74" s="579">
        <v>655.34736559679754</v>
      </c>
      <c r="Q74" s="579">
        <v>651.93050565537055</v>
      </c>
      <c r="R74" s="579">
        <v>648.10645315649003</v>
      </c>
      <c r="S74" s="579">
        <v>644.40483093774014</v>
      </c>
      <c r="T74" s="579">
        <v>640.99044485643606</v>
      </c>
      <c r="U74" s="579">
        <v>637.69918974006896</v>
      </c>
      <c r="V74" s="579">
        <v>634.50543716444372</v>
      </c>
      <c r="W74" s="579">
        <v>631.6642156616731</v>
      </c>
      <c r="X74" s="579">
        <v>628.83765072599783</v>
      </c>
      <c r="Y74" s="579">
        <v>625.97193049157909</v>
      </c>
      <c r="Z74" s="579">
        <v>622.73500643526052</v>
      </c>
      <c r="AA74" s="579">
        <v>619.77993412426633</v>
      </c>
      <c r="AB74" s="579">
        <v>616.73872713368473</v>
      </c>
      <c r="AC74" s="579">
        <v>613.70041423338523</v>
      </c>
      <c r="AD74" s="579">
        <v>610.60893257837859</v>
      </c>
      <c r="AE74" s="579">
        <v>607.4478409888236</v>
      </c>
      <c r="AF74" s="579">
        <v>604.27677624121952</v>
      </c>
    </row>
    <row r="75" spans="1:32" x14ac:dyDescent="0.3">
      <c r="B75" s="611" t="s">
        <v>2650</v>
      </c>
      <c r="C75" s="615">
        <f t="shared" ref="C75:AF75" si="71">C69*($P$121/100)</f>
        <v>15027.51771</v>
      </c>
      <c r="D75" s="615">
        <f t="shared" si="71"/>
        <v>17428.57437423159</v>
      </c>
      <c r="E75" s="615">
        <f t="shared" si="71"/>
        <v>18439.034778830752</v>
      </c>
      <c r="F75" s="615">
        <f t="shared" si="71"/>
        <v>19286.001453064102</v>
      </c>
      <c r="G75" s="615">
        <f t="shared" si="71"/>
        <v>20140.207996091001</v>
      </c>
      <c r="H75" s="615">
        <f t="shared" si="71"/>
        <v>20993.801878734484</v>
      </c>
      <c r="I75" s="615">
        <f t="shared" si="71"/>
        <v>21816.101676019174</v>
      </c>
      <c r="J75" s="615">
        <f t="shared" si="71"/>
        <v>22632.900372368636</v>
      </c>
      <c r="K75" s="615">
        <f t="shared" si="71"/>
        <v>23471.430990860965</v>
      </c>
      <c r="L75" s="615">
        <f t="shared" si="71"/>
        <v>24333.473093451961</v>
      </c>
      <c r="M75" s="615">
        <f t="shared" si="71"/>
        <v>25233.136991562122</v>
      </c>
      <c r="N75" s="615">
        <f t="shared" si="71"/>
        <v>26165.54941039396</v>
      </c>
      <c r="O75" s="615">
        <f t="shared" si="71"/>
        <v>27132.079970784031</v>
      </c>
      <c r="P75" s="615">
        <f t="shared" si="71"/>
        <v>28120.679154060457</v>
      </c>
      <c r="Q75" s="615">
        <f t="shared" si="71"/>
        <v>29106.130187275263</v>
      </c>
      <c r="R75" s="615">
        <f t="shared" si="71"/>
        <v>30103.813290093865</v>
      </c>
      <c r="S75" s="615">
        <f t="shared" si="71"/>
        <v>31137.879761110536</v>
      </c>
      <c r="T75" s="615">
        <f t="shared" si="71"/>
        <v>32218.103160639963</v>
      </c>
      <c r="U75" s="615">
        <f t="shared" si="71"/>
        <v>33325.777875755404</v>
      </c>
      <c r="V75" s="615">
        <f t="shared" si="71"/>
        <v>34471.482547731044</v>
      </c>
      <c r="W75" s="615">
        <f t="shared" si="71"/>
        <v>35670.981147452556</v>
      </c>
      <c r="X75" s="615">
        <f t="shared" si="71"/>
        <v>36907.551858473271</v>
      </c>
      <c r="Y75" s="615">
        <f t="shared" si="71"/>
        <v>38178.898246266472</v>
      </c>
      <c r="Z75" s="615">
        <f t="shared" si="71"/>
        <v>39464.574282127949</v>
      </c>
      <c r="AA75" s="615">
        <f t="shared" si="71"/>
        <v>40805.702000508798</v>
      </c>
      <c r="AB75" s="615">
        <f t="shared" si="71"/>
        <v>42180.423759754391</v>
      </c>
      <c r="AC75" s="615">
        <f t="shared" si="71"/>
        <v>43595.241265837954</v>
      </c>
      <c r="AD75" s="615">
        <f t="shared" si="71"/>
        <v>45046.969256453194</v>
      </c>
      <c r="AE75" s="615">
        <f t="shared" si="71"/>
        <v>46534.822701341596</v>
      </c>
      <c r="AF75" s="615">
        <f t="shared" si="71"/>
        <v>48063.82084850673</v>
      </c>
    </row>
    <row r="76" spans="1:32" x14ac:dyDescent="0.3">
      <c r="B76" s="611" t="s">
        <v>2651</v>
      </c>
      <c r="C76" s="615">
        <f>C75-SUM(C87:C90)</f>
        <v>8667.8177099999994</v>
      </c>
      <c r="D76" s="615">
        <f t="shared" ref="D76:AF76" si="72">D75-SUM(D87:D90)</f>
        <v>10403.874374231589</v>
      </c>
      <c r="E76" s="615">
        <f t="shared" si="72"/>
        <v>10982.034778830752</v>
      </c>
      <c r="F76" s="615">
        <f t="shared" si="72"/>
        <v>11500.001453064102</v>
      </c>
      <c r="G76" s="615">
        <f t="shared" si="72"/>
        <v>11983.207996091001</v>
      </c>
      <c r="H76" s="615">
        <f t="shared" si="72"/>
        <v>12464.801878734484</v>
      </c>
      <c r="I76" s="615">
        <f t="shared" si="72"/>
        <v>12947.101676019174</v>
      </c>
      <c r="J76" s="615">
        <f t="shared" si="72"/>
        <v>13649.604626428732</v>
      </c>
      <c r="K76" s="615">
        <f t="shared" si="72"/>
        <v>14372.366557551464</v>
      </c>
      <c r="L76" s="615">
        <f t="shared" si="72"/>
        <v>15117.148049390362</v>
      </c>
      <c r="M76" s="615">
        <f t="shared" si="72"/>
        <v>15898.040186790673</v>
      </c>
      <c r="N76" s="615">
        <f t="shared" si="72"/>
        <v>16710.150220604748</v>
      </c>
      <c r="O76" s="615">
        <f t="shared" si="72"/>
        <v>17554.828046350944</v>
      </c>
      <c r="P76" s="615">
        <f t="shared" si="72"/>
        <v>18420.004165836923</v>
      </c>
      <c r="Q76" s="615">
        <f t="shared" si="72"/>
        <v>19280.441569116047</v>
      </c>
      <c r="R76" s="615">
        <f t="shared" si="72"/>
        <v>20151.499978058706</v>
      </c>
      <c r="S76" s="615">
        <f t="shared" si="72"/>
        <v>21057.309929306892</v>
      </c>
      <c r="T76" s="615">
        <f t="shared" si="72"/>
        <v>22007.623953661521</v>
      </c>
      <c r="U76" s="615">
        <f t="shared" si="72"/>
        <v>22983.715137672498</v>
      </c>
      <c r="V76" s="615">
        <f t="shared" si="72"/>
        <v>23996.140547588551</v>
      </c>
      <c r="W76" s="615">
        <f t="shared" si="72"/>
        <v>25060.642301230248</v>
      </c>
      <c r="X76" s="615">
        <f t="shared" si="72"/>
        <v>26160.476447463036</v>
      </c>
      <c r="Y76" s="615">
        <f t="shared" si="72"/>
        <v>27293.324131820245</v>
      </c>
      <c r="Z76" s="615">
        <f t="shared" si="72"/>
        <v>28438.716616729558</v>
      </c>
      <c r="AA76" s="615">
        <f t="shared" si="72"/>
        <v>29637.752935122367</v>
      </c>
      <c r="AB76" s="615">
        <f t="shared" si="72"/>
        <v>30868.552147401315</v>
      </c>
      <c r="AC76" s="615">
        <f t="shared" si="72"/>
        <v>32137.592361353825</v>
      </c>
      <c r="AD76" s="615">
        <f t="shared" si="72"/>
        <v>33441.664412375474</v>
      </c>
      <c r="AE76" s="615">
        <f t="shared" si="72"/>
        <v>34779.959059878172</v>
      </c>
      <c r="AF76" s="615">
        <f t="shared" si="72"/>
        <v>36157.471029534805</v>
      </c>
    </row>
    <row r="77" spans="1:32" x14ac:dyDescent="0.3">
      <c r="B77" s="572" t="s">
        <v>2652</v>
      </c>
      <c r="C77" s="564">
        <f t="shared" ref="C77:AF77" si="73">C71*1000000/(C74*1000)</f>
        <v>42400.307455803231</v>
      </c>
      <c r="D77" s="564">
        <f t="shared" si="73"/>
        <v>47474.877739676798</v>
      </c>
      <c r="E77" s="564">
        <f t="shared" si="73"/>
        <v>49969.903444960881</v>
      </c>
      <c r="F77" s="564">
        <f t="shared" si="73"/>
        <v>51980.134633560898</v>
      </c>
      <c r="G77" s="564">
        <f t="shared" si="73"/>
        <v>54162.303631089431</v>
      </c>
      <c r="H77" s="564">
        <f t="shared" si="73"/>
        <v>56518.853489724868</v>
      </c>
      <c r="I77" s="564">
        <f t="shared" si="73"/>
        <v>58771.372713972683</v>
      </c>
      <c r="J77" s="564">
        <f t="shared" si="73"/>
        <v>61929.409171544452</v>
      </c>
      <c r="K77" s="564">
        <f t="shared" si="73"/>
        <v>64468.457270566163</v>
      </c>
      <c r="L77" s="564">
        <f t="shared" si="73"/>
        <v>67105.902645566617</v>
      </c>
      <c r="M77" s="564">
        <f t="shared" si="73"/>
        <v>69845.313003072573</v>
      </c>
      <c r="N77" s="564">
        <f t="shared" si="73"/>
        <v>72690.375270135366</v>
      </c>
      <c r="O77" s="564">
        <f t="shared" si="73"/>
        <v>75644.899178033273</v>
      </c>
      <c r="P77" s="564">
        <f t="shared" si="73"/>
        <v>78712.82093860078</v>
      </c>
      <c r="Q77" s="564">
        <f t="shared" si="73"/>
        <v>81898.207015031847</v>
      </c>
      <c r="R77" s="564">
        <f t="shared" si="73"/>
        <v>85205.257989020727</v>
      </c>
      <c r="S77" s="564">
        <f t="shared" si="73"/>
        <v>88638.312526121794</v>
      </c>
      <c r="T77" s="564">
        <f t="shared" si="73"/>
        <v>92201.851441224717</v>
      </c>
      <c r="U77" s="564">
        <f t="shared" si="73"/>
        <v>95864.025071088952</v>
      </c>
      <c r="V77" s="564">
        <f t="shared" si="73"/>
        <v>99658.843646745838</v>
      </c>
      <c r="W77" s="564">
        <f t="shared" si="73"/>
        <v>103590.51932567036</v>
      </c>
      <c r="X77" s="564">
        <f t="shared" si="73"/>
        <v>107663.36062539133</v>
      </c>
      <c r="Y77" s="564">
        <f t="shared" si="73"/>
        <v>111881.88170589131</v>
      </c>
      <c r="Z77" s="564">
        <f t="shared" si="73"/>
        <v>116250.64526662612</v>
      </c>
      <c r="AA77" s="564">
        <f t="shared" si="73"/>
        <v>120774.31192012383</v>
      </c>
      <c r="AB77" s="564">
        <f t="shared" si="73"/>
        <v>125458.74768146702</v>
      </c>
      <c r="AC77" s="564">
        <f t="shared" si="73"/>
        <v>130308.84602158028</v>
      </c>
      <c r="AD77" s="564">
        <f t="shared" si="73"/>
        <v>135329.86655808744</v>
      </c>
      <c r="AE77" s="564">
        <f t="shared" si="73"/>
        <v>140527.17005888975</v>
      </c>
      <c r="AF77" s="564">
        <f t="shared" si="73"/>
        <v>145906.15684698449</v>
      </c>
    </row>
    <row r="78" spans="1:32" x14ac:dyDescent="0.3">
      <c r="B78" s="572" t="s">
        <v>2653</v>
      </c>
      <c r="C78" s="580">
        <v>8.5999999999999993E-2</v>
      </c>
      <c r="D78" s="580">
        <v>-5.2000000000000005E-2</v>
      </c>
      <c r="E78" s="580">
        <v>-1.8000000000000002E-2</v>
      </c>
      <c r="F78" s="580">
        <v>2.4E-2</v>
      </c>
      <c r="G78" s="580">
        <v>2.2000000000000002E-2</v>
      </c>
      <c r="H78" s="580">
        <v>2.2000000000000002E-2</v>
      </c>
      <c r="I78" s="580">
        <v>0.02</v>
      </c>
      <c r="J78" s="574">
        <v>2.0674024164728078E-2</v>
      </c>
      <c r="K78" s="574">
        <v>2.0587322220820603E-2</v>
      </c>
      <c r="L78" s="574">
        <v>2.0500620276913351E-2</v>
      </c>
      <c r="M78" s="574">
        <v>2.0413918333005876E-2</v>
      </c>
      <c r="N78" s="574">
        <v>2.0327216389098623E-2</v>
      </c>
      <c r="O78" s="574">
        <v>2.0240514445191149E-2</v>
      </c>
      <c r="P78" s="574">
        <v>2.0153812501283896E-2</v>
      </c>
      <c r="Q78" s="574">
        <v>2.0067110557376422E-2</v>
      </c>
      <c r="R78" s="574">
        <v>1.9980408613469169E-2</v>
      </c>
      <c r="S78" s="574">
        <v>1.9893706669561695E-2</v>
      </c>
      <c r="T78" s="574">
        <v>1.9807004725654442E-2</v>
      </c>
      <c r="U78" s="574">
        <v>1.9332441115900156E-2</v>
      </c>
      <c r="V78" s="574">
        <v>1.9201401159885112E-2</v>
      </c>
      <c r="W78" s="574">
        <v>1.9069948595997532E-2</v>
      </c>
      <c r="X78" s="574">
        <v>1.8937978356697638E-2</v>
      </c>
      <c r="Y78" s="574">
        <v>1.8806385778305401E-2</v>
      </c>
      <c r="Z78" s="574">
        <v>1.867450843591012E-2</v>
      </c>
      <c r="AA78" s="574">
        <v>1.8542201511348111E-2</v>
      </c>
      <c r="AB78" s="574">
        <v>1.8418323244761892E-2</v>
      </c>
      <c r="AC78" s="574">
        <v>1.829304827553635E-2</v>
      </c>
      <c r="AD78" s="574">
        <v>1.8168327120773098E-2</v>
      </c>
      <c r="AE78" s="574">
        <v>1.8043827692072023E-2</v>
      </c>
      <c r="AF78" s="574">
        <v>1.7918824885067464E-2</v>
      </c>
    </row>
    <row r="79" spans="1:32" x14ac:dyDescent="0.3">
      <c r="B79" s="572" t="s">
        <v>2654</v>
      </c>
      <c r="C79" s="567">
        <f t="shared" ref="C79:AF79" si="74">C69/C$74*1000</f>
        <v>48339.584934665647</v>
      </c>
      <c r="D79" s="567">
        <f t="shared" si="74"/>
        <v>53836.849986502901</v>
      </c>
      <c r="E79" s="567">
        <f t="shared" si="74"/>
        <v>56807.212043311883</v>
      </c>
      <c r="F79" s="567">
        <f t="shared" si="74"/>
        <v>59060.040970455382</v>
      </c>
      <c r="G79" s="567">
        <f t="shared" si="74"/>
        <v>61486.931585568571</v>
      </c>
      <c r="H79" s="567">
        <f t="shared" si="74"/>
        <v>64064.864864961848</v>
      </c>
      <c r="I79" s="567">
        <f t="shared" si="74"/>
        <v>66574.201939581544</v>
      </c>
      <c r="J79" s="567">
        <f t="shared" si="74"/>
        <v>70642.925545259903</v>
      </c>
      <c r="K79" s="567">
        <f t="shared" si="74"/>
        <v>73539.219700403235</v>
      </c>
      <c r="L79" s="567">
        <f t="shared" si="74"/>
        <v>76547.755705320553</v>
      </c>
      <c r="M79" s="567">
        <f t="shared" si="74"/>
        <v>79672.603245641134</v>
      </c>
      <c r="N79" s="567">
        <f t="shared" si="74"/>
        <v>82917.96800194004</v>
      </c>
      <c r="O79" s="567">
        <f t="shared" si="74"/>
        <v>86288.195737670205</v>
      </c>
      <c r="P79" s="567">
        <f t="shared" si="74"/>
        <v>89787.776492754114</v>
      </c>
      <c r="Q79" s="567">
        <f t="shared" si="74"/>
        <v>93421.348884941937</v>
      </c>
      <c r="R79" s="567">
        <f t="shared" si="74"/>
        <v>97193.704521062231</v>
      </c>
      <c r="S79" s="567">
        <f t="shared" si="74"/>
        <v>101109.79252031095</v>
      </c>
      <c r="T79" s="567">
        <f t="shared" si="74"/>
        <v>105174.72415174206</v>
      </c>
      <c r="U79" s="567">
        <f t="shared" si="74"/>
        <v>109352.16847955241</v>
      </c>
      <c r="V79" s="567">
        <f t="shared" si="74"/>
        <v>113680.92100091629</v>
      </c>
      <c r="W79" s="567">
        <f t="shared" si="74"/>
        <v>118165.78652716441</v>
      </c>
      <c r="X79" s="567">
        <f t="shared" si="74"/>
        <v>122811.67978761635</v>
      </c>
      <c r="Y79" s="567">
        <f t="shared" si="74"/>
        <v>127623.75008809967</v>
      </c>
      <c r="Z79" s="567">
        <f t="shared" si="74"/>
        <v>132607.20210345721</v>
      </c>
      <c r="AA79" s="567">
        <f t="shared" si="74"/>
        <v>137767.35219804989</v>
      </c>
      <c r="AB79" s="567">
        <f t="shared" si="74"/>
        <v>143110.89173987668</v>
      </c>
      <c r="AC79" s="567">
        <f t="shared" si="74"/>
        <v>148643.40271505387</v>
      </c>
      <c r="AD79" s="567">
        <f t="shared" si="74"/>
        <v>154370.88477352436</v>
      </c>
      <c r="AE79" s="567">
        <f t="shared" si="74"/>
        <v>160299.45294743153</v>
      </c>
      <c r="AF79" s="567">
        <f t="shared" si="74"/>
        <v>166435.2673894481</v>
      </c>
    </row>
    <row r="80" spans="1:32" x14ac:dyDescent="0.3">
      <c r="B80" s="572" t="s">
        <v>2655</v>
      </c>
      <c r="C80" s="567">
        <f t="shared" ref="C80:AF80" si="75">C70/C$74*1000</f>
        <v>40029.669485011531</v>
      </c>
      <c r="D80" s="567">
        <f t="shared" si="75"/>
        <v>38826.808971897379</v>
      </c>
      <c r="E80" s="567">
        <f t="shared" si="75"/>
        <v>38933.143461134474</v>
      </c>
      <c r="F80" s="567">
        <f t="shared" si="75"/>
        <v>39862.482509205343</v>
      </c>
      <c r="G80" s="567">
        <f t="shared" si="75"/>
        <v>40744.54579478813</v>
      </c>
      <c r="H80" s="567">
        <f t="shared" si="75"/>
        <v>41554.979159545386</v>
      </c>
      <c r="I80" s="567">
        <f t="shared" si="75"/>
        <v>42335.915111482842</v>
      </c>
      <c r="J80" s="567">
        <f t="shared" si="75"/>
        <v>44042.451762631841</v>
      </c>
      <c r="K80" s="567">
        <f t="shared" si="75"/>
        <v>44949.167908464093</v>
      </c>
      <c r="L80" s="567">
        <f t="shared" si="75"/>
        <v>45870.653731518738</v>
      </c>
      <c r="M80" s="567">
        <f t="shared" si="75"/>
        <v>46807.053510675541</v>
      </c>
      <c r="N80" s="567">
        <f t="shared" si="75"/>
        <v>47758.510615923173</v>
      </c>
      <c r="O80" s="567">
        <f t="shared" si="75"/>
        <v>48725.167439925586</v>
      </c>
      <c r="P80" s="567">
        <f t="shared" si="75"/>
        <v>49707.165328603507</v>
      </c>
      <c r="Q80" s="567">
        <f t="shared" si="75"/>
        <v>50704.644510746381</v>
      </c>
      <c r="R80" s="567">
        <f t="shared" si="75"/>
        <v>51717.744026671789</v>
      </c>
      <c r="S80" s="567">
        <f t="shared" si="75"/>
        <v>52746.601655949875</v>
      </c>
      <c r="T80" s="567">
        <f t="shared" si="75"/>
        <v>53791.353844211488</v>
      </c>
      <c r="U80" s="567">
        <f t="shared" si="75"/>
        <v>54831.272024949256</v>
      </c>
      <c r="V80" s="567">
        <f t="shared" si="75"/>
        <v>55884.109275207091</v>
      </c>
      <c r="W80" s="567">
        <f t="shared" si="75"/>
        <v>56949.816366418403</v>
      </c>
      <c r="X80" s="567">
        <f t="shared" si="75"/>
        <v>58028.330756183539</v>
      </c>
      <c r="Y80" s="567">
        <f t="shared" si="75"/>
        <v>59119.633930455435</v>
      </c>
      <c r="Z80" s="567">
        <f t="shared" si="75"/>
        <v>60223.664033017638</v>
      </c>
      <c r="AA80" s="567">
        <f t="shared" si="75"/>
        <v>61340.343347269583</v>
      </c>
      <c r="AB80" s="567">
        <f t="shared" si="75"/>
        <v>62470.129618984276</v>
      </c>
      <c r="AC80" s="567">
        <f t="shared" si="75"/>
        <v>63612.898715883362</v>
      </c>
      <c r="AD80" s="567">
        <f t="shared" si="75"/>
        <v>64768.638668854139</v>
      </c>
      <c r="AE80" s="567">
        <f t="shared" si="75"/>
        <v>65937.312824845023</v>
      </c>
      <c r="AF80" s="567">
        <f t="shared" si="75"/>
        <v>67118.831986745354</v>
      </c>
    </row>
    <row r="81" spans="2:32" x14ac:dyDescent="0.3">
      <c r="B81" s="572" t="s">
        <v>2656</v>
      </c>
      <c r="D81" s="606" t="s">
        <v>2657</v>
      </c>
      <c r="E81" s="606" t="s">
        <v>2658</v>
      </c>
      <c r="F81" s="606" t="s">
        <v>2659</v>
      </c>
      <c r="G81" s="606" t="s">
        <v>2660</v>
      </c>
      <c r="H81" s="606" t="s">
        <v>2661</v>
      </c>
      <c r="I81" s="606" t="s">
        <v>2662</v>
      </c>
      <c r="J81" s="567"/>
      <c r="K81" s="567"/>
      <c r="L81" s="567"/>
      <c r="M81" s="567"/>
      <c r="N81" s="567"/>
      <c r="O81" s="567"/>
      <c r="P81" s="567"/>
      <c r="Q81" s="567"/>
      <c r="R81" s="567"/>
      <c r="S81" s="567"/>
      <c r="T81" s="567"/>
      <c r="U81" s="567"/>
      <c r="V81" s="567"/>
      <c r="W81" s="567"/>
      <c r="X81" s="567"/>
      <c r="Y81" s="567"/>
      <c r="Z81" s="567"/>
      <c r="AA81" s="567"/>
      <c r="AB81" s="567"/>
      <c r="AC81" s="567"/>
      <c r="AD81" s="567"/>
      <c r="AE81" s="567"/>
      <c r="AF81" s="567"/>
    </row>
    <row r="82" spans="2:32" x14ac:dyDescent="0.3">
      <c r="B82" s="572" t="s">
        <v>2663</v>
      </c>
      <c r="D82" s="606" t="s">
        <v>2664</v>
      </c>
      <c r="E82" s="606" t="s">
        <v>2665</v>
      </c>
      <c r="F82" s="606" t="s">
        <v>2666</v>
      </c>
      <c r="G82" s="606" t="s">
        <v>2667</v>
      </c>
      <c r="H82" s="606" t="s">
        <v>2668</v>
      </c>
      <c r="I82" s="606" t="s">
        <v>2669</v>
      </c>
      <c r="J82" s="567"/>
      <c r="K82" s="567"/>
      <c r="L82" s="567"/>
      <c r="M82" s="567"/>
      <c r="N82" s="567"/>
      <c r="O82" s="567"/>
      <c r="P82" s="567"/>
      <c r="Q82" s="567"/>
      <c r="R82" s="567"/>
      <c r="S82" s="567"/>
      <c r="T82" s="567"/>
      <c r="U82" s="567"/>
      <c r="V82" s="567"/>
      <c r="W82" s="567"/>
      <c r="X82" s="567"/>
      <c r="Y82" s="567"/>
      <c r="Z82" s="567"/>
      <c r="AA82" s="567"/>
      <c r="AB82" s="567"/>
      <c r="AC82" s="567"/>
      <c r="AD82" s="567"/>
      <c r="AE82" s="567"/>
      <c r="AF82" s="567"/>
    </row>
    <row r="83" spans="2:32" x14ac:dyDescent="0.3">
      <c r="B83" s="572" t="s">
        <v>2670</v>
      </c>
      <c r="C83" s="581">
        <v>12331.6</v>
      </c>
      <c r="D83" s="581">
        <v>13926.4</v>
      </c>
      <c r="E83" s="581">
        <v>15209.5</v>
      </c>
      <c r="F83" s="581">
        <v>15711.6</v>
      </c>
      <c r="G83" s="581">
        <v>16403.3</v>
      </c>
      <c r="H83" s="581">
        <v>16729.900000000001</v>
      </c>
      <c r="I83" s="581">
        <v>16945.5</v>
      </c>
      <c r="J83" s="566">
        <f>I83*(1+J85)</f>
        <v>17163.878460122294</v>
      </c>
      <c r="K83" s="566">
        <f t="shared" ref="K83:AF83" si="76">J83*(1+K85)</f>
        <v>17385.071186677884</v>
      </c>
      <c r="L83" s="566">
        <f t="shared" si="76"/>
        <v>17609.114447417502</v>
      </c>
      <c r="M83" s="566">
        <f t="shared" si="76"/>
        <v>17836.044977478243</v>
      </c>
      <c r="N83" s="566">
        <f t="shared" si="76"/>
        <v>18065.899985406821</v>
      </c>
      <c r="O83" s="566">
        <f t="shared" si="76"/>
        <v>18298.717159260443</v>
      </c>
      <c r="P83" s="566">
        <f t="shared" si="76"/>
        <v>18534.534672786318</v>
      </c>
      <c r="Q83" s="566">
        <f t="shared" si="76"/>
        <v>18773.391191680796</v>
      </c>
      <c r="R83" s="566">
        <f t="shared" si="76"/>
        <v>19015.325879929165</v>
      </c>
      <c r="S83" s="566">
        <f t="shared" si="76"/>
        <v>19260.378406227155</v>
      </c>
      <c r="T83" s="566">
        <f t="shared" si="76"/>
        <v>19508.588950485195</v>
      </c>
      <c r="U83" s="566">
        <f t="shared" si="76"/>
        <v>19759.998210416492</v>
      </c>
      <c r="V83" s="566">
        <f t="shared" si="76"/>
        <v>20014.64740821001</v>
      </c>
      <c r="W83" s="566">
        <f t="shared" si="76"/>
        <v>20272.578297289449</v>
      </c>
      <c r="X83" s="566">
        <f t="shared" si="76"/>
        <v>20533.833169159308</v>
      </c>
      <c r="Y83" s="566">
        <f t="shared" si="76"/>
        <v>20798.454860339218</v>
      </c>
      <c r="Z83" s="566">
        <f t="shared" si="76"/>
        <v>21066.486759387575</v>
      </c>
      <c r="AA83" s="566">
        <f t="shared" si="76"/>
        <v>21337.972814015753</v>
      </c>
      <c r="AB83" s="566">
        <f t="shared" si="76"/>
        <v>21612.957538293947</v>
      </c>
      <c r="AC83" s="566">
        <f t="shared" si="76"/>
        <v>21891.486019949916</v>
      </c>
      <c r="AD83" s="566">
        <f t="shared" si="76"/>
        <v>22173.603927761749</v>
      </c>
      <c r="AE83" s="566">
        <f t="shared" si="76"/>
        <v>22459.357519045941</v>
      </c>
      <c r="AF83" s="566">
        <f t="shared" si="76"/>
        <v>22748.793647241942</v>
      </c>
    </row>
    <row r="84" spans="2:32" x14ac:dyDescent="0.3">
      <c r="B84" s="572" t="s">
        <v>2671</v>
      </c>
      <c r="C84" s="582">
        <f t="shared" ref="C84:AF84" si="77">C83/C69</f>
        <v>0.39216534318760754</v>
      </c>
      <c r="D84" s="582">
        <f t="shared" si="77"/>
        <v>0.38186867250830042</v>
      </c>
      <c r="E84" s="582">
        <f t="shared" si="77"/>
        <v>0.39419742612258984</v>
      </c>
      <c r="F84" s="582">
        <f t="shared" si="77"/>
        <v>0.38932765084942272</v>
      </c>
      <c r="G84" s="582">
        <f t="shared" si="77"/>
        <v>0.38922820814569004</v>
      </c>
      <c r="H84" s="582">
        <f t="shared" si="77"/>
        <v>0.38083712784289431</v>
      </c>
      <c r="I84" s="582">
        <f t="shared" si="77"/>
        <v>0.37120538629052191</v>
      </c>
      <c r="J84" s="582">
        <f t="shared" si="77"/>
        <v>0.36242007790157577</v>
      </c>
      <c r="K84" s="582">
        <f t="shared" si="77"/>
        <v>0.35397609644458239</v>
      </c>
      <c r="L84" s="582">
        <f t="shared" si="77"/>
        <v>0.34583619699916052</v>
      </c>
      <c r="M84" s="582">
        <f t="shared" si="77"/>
        <v>0.33780365467786261</v>
      </c>
      <c r="N84" s="582">
        <f t="shared" si="77"/>
        <v>0.32996416270916462</v>
      </c>
      <c r="O84" s="582">
        <f t="shared" si="77"/>
        <v>0.32231059837016485</v>
      </c>
      <c r="P84" s="582">
        <f t="shared" si="77"/>
        <v>0.31498720466876023</v>
      </c>
      <c r="Q84" s="582">
        <f t="shared" si="77"/>
        <v>0.30824446921585552</v>
      </c>
      <c r="R84" s="582">
        <f t="shared" si="77"/>
        <v>0.30186953893341173</v>
      </c>
      <c r="S84" s="582">
        <f t="shared" si="77"/>
        <v>0.29560570311636647</v>
      </c>
      <c r="T84" s="582">
        <f t="shared" si="77"/>
        <v>0.28937627435580177</v>
      </c>
      <c r="U84" s="582">
        <f t="shared" si="77"/>
        <v>0.28336332252961666</v>
      </c>
      <c r="V84" s="582">
        <f t="shared" si="77"/>
        <v>0.27747573615783294</v>
      </c>
      <c r="W84" s="582">
        <f t="shared" si="77"/>
        <v>0.27160074818874202</v>
      </c>
      <c r="X84" s="582">
        <f t="shared" si="77"/>
        <v>0.26588376571740369</v>
      </c>
      <c r="Y84" s="582">
        <f t="shared" si="77"/>
        <v>0.26034228420219291</v>
      </c>
      <c r="Z84" s="582">
        <f t="shared" si="77"/>
        <v>0.25510661664151285</v>
      </c>
      <c r="AA84" s="582">
        <f t="shared" si="77"/>
        <v>0.2499017712693922</v>
      </c>
      <c r="AB84" s="582">
        <f t="shared" si="77"/>
        <v>0.24487265624404955</v>
      </c>
      <c r="AC84" s="582">
        <f t="shared" si="77"/>
        <v>0.23997897167579704</v>
      </c>
      <c r="AD84" s="582">
        <f t="shared" si="77"/>
        <v>0.23523814125540313</v>
      </c>
      <c r="AE84" s="582">
        <f t="shared" si="77"/>
        <v>0.23065150644793611</v>
      </c>
      <c r="AF84" s="582">
        <f t="shared" si="77"/>
        <v>0.22619193172934543</v>
      </c>
    </row>
    <row r="85" spans="2:32" x14ac:dyDescent="0.3">
      <c r="B85" s="583" t="s">
        <v>2672</v>
      </c>
      <c r="C85" s="584"/>
      <c r="D85" s="585">
        <f>(D83-C83)/C83</f>
        <v>0.12932628369392449</v>
      </c>
      <c r="E85" s="585">
        <f t="shared" ref="E85:I85" si="78">(E83-D83)/D83</f>
        <v>9.2134363511029438E-2</v>
      </c>
      <c r="F85" s="585">
        <f t="shared" si="78"/>
        <v>3.3012262073046472E-2</v>
      </c>
      <c r="G85" s="585">
        <f t="shared" si="78"/>
        <v>4.4024796965299456E-2</v>
      </c>
      <c r="H85" s="585">
        <f t="shared" si="78"/>
        <v>1.9910627739540349E-2</v>
      </c>
      <c r="I85" s="585">
        <f t="shared" si="78"/>
        <v>1.288710631862704E-2</v>
      </c>
      <c r="J85" s="602">
        <f>I85</f>
        <v>1.288710631862704E-2</v>
      </c>
      <c r="K85" s="602">
        <f t="shared" ref="K85:AF85" si="79">J85</f>
        <v>1.288710631862704E-2</v>
      </c>
      <c r="L85" s="602">
        <f t="shared" si="79"/>
        <v>1.288710631862704E-2</v>
      </c>
      <c r="M85" s="602">
        <f t="shared" si="79"/>
        <v>1.288710631862704E-2</v>
      </c>
      <c r="N85" s="602">
        <f t="shared" si="79"/>
        <v>1.288710631862704E-2</v>
      </c>
      <c r="O85" s="602">
        <f t="shared" si="79"/>
        <v>1.288710631862704E-2</v>
      </c>
      <c r="P85" s="602">
        <f t="shared" si="79"/>
        <v>1.288710631862704E-2</v>
      </c>
      <c r="Q85" s="602">
        <f t="shared" si="79"/>
        <v>1.288710631862704E-2</v>
      </c>
      <c r="R85" s="602">
        <f t="shared" si="79"/>
        <v>1.288710631862704E-2</v>
      </c>
      <c r="S85" s="602">
        <f t="shared" si="79"/>
        <v>1.288710631862704E-2</v>
      </c>
      <c r="T85" s="602">
        <f t="shared" si="79"/>
        <v>1.288710631862704E-2</v>
      </c>
      <c r="U85" s="602">
        <f t="shared" si="79"/>
        <v>1.288710631862704E-2</v>
      </c>
      <c r="V85" s="602">
        <f t="shared" si="79"/>
        <v>1.288710631862704E-2</v>
      </c>
      <c r="W85" s="602">
        <f t="shared" si="79"/>
        <v>1.288710631862704E-2</v>
      </c>
      <c r="X85" s="602">
        <f t="shared" si="79"/>
        <v>1.288710631862704E-2</v>
      </c>
      <c r="Y85" s="602">
        <f t="shared" si="79"/>
        <v>1.288710631862704E-2</v>
      </c>
      <c r="Z85" s="602">
        <f t="shared" si="79"/>
        <v>1.288710631862704E-2</v>
      </c>
      <c r="AA85" s="602">
        <f t="shared" si="79"/>
        <v>1.288710631862704E-2</v>
      </c>
      <c r="AB85" s="602">
        <f t="shared" si="79"/>
        <v>1.288710631862704E-2</v>
      </c>
      <c r="AC85" s="602">
        <f t="shared" si="79"/>
        <v>1.288710631862704E-2</v>
      </c>
      <c r="AD85" s="602">
        <f t="shared" si="79"/>
        <v>1.288710631862704E-2</v>
      </c>
      <c r="AE85" s="602">
        <f t="shared" si="79"/>
        <v>1.288710631862704E-2</v>
      </c>
      <c r="AF85" s="602">
        <f t="shared" si="79"/>
        <v>1.288710631862704E-2</v>
      </c>
    </row>
    <row r="86" spans="2:32" x14ac:dyDescent="0.3">
      <c r="B86" s="572" t="s">
        <v>2673</v>
      </c>
      <c r="C86" s="577">
        <v>10787.8</v>
      </c>
      <c r="D86" s="577">
        <v>11948.5</v>
      </c>
      <c r="E86" s="577">
        <v>12730.7</v>
      </c>
      <c r="F86" s="577">
        <v>13287.6</v>
      </c>
      <c r="G86" s="577">
        <v>13869</v>
      </c>
      <c r="H86" s="577">
        <v>14421.1</v>
      </c>
      <c r="I86" s="577">
        <v>14964.4</v>
      </c>
      <c r="J86" s="566">
        <f>($I$86/$I$83)*J83</f>
        <v>15157.247813794464</v>
      </c>
      <c r="K86" s="566">
        <f t="shared" ref="K86:AF86" si="80">($I$86/$I$83)*K83</f>
        <v>15352.58087786861</v>
      </c>
      <c r="L86" s="566">
        <f t="shared" si="80"/>
        <v>15550.431219907025</v>
      </c>
      <c r="M86" s="566">
        <f t="shared" si="80"/>
        <v>15750.831280338463</v>
      </c>
      <c r="N86" s="566">
        <f t="shared" si="80"/>
        <v>15953.813917654943</v>
      </c>
      <c r="O86" s="566">
        <f t="shared" si="80"/>
        <v>16159.412413799355</v>
      </c>
      <c r="P86" s="566">
        <f t="shared" si="80"/>
        <v>16367.660479622531</v>
      </c>
      <c r="Q86" s="566">
        <f t="shared" si="80"/>
        <v>16578.592260410616</v>
      </c>
      <c r="R86" s="566">
        <f t="shared" si="80"/>
        <v>16792.242341483699</v>
      </c>
      <c r="S86" s="566">
        <f t="shared" si="80"/>
        <v>17008.645753866553</v>
      </c>
      <c r="T86" s="566">
        <f t="shared" si="80"/>
        <v>17227.837980032495</v>
      </c>
      <c r="U86" s="566">
        <f t="shared" si="80"/>
        <v>17449.854959721259</v>
      </c>
      <c r="V86" s="566">
        <f t="shared" si="80"/>
        <v>17674.733095831809</v>
      </c>
      <c r="W86" s="566">
        <f t="shared" si="80"/>
        <v>17902.509260391151</v>
      </c>
      <c r="X86" s="566">
        <f t="shared" si="80"/>
        <v>18133.220800600015</v>
      </c>
      <c r="Y86" s="566">
        <f t="shared" si="80"/>
        <v>18366.905544956491</v>
      </c>
      <c r="Z86" s="566">
        <f t="shared" si="80"/>
        <v>18603.601809458527</v>
      </c>
      <c r="AA86" s="566">
        <f t="shared" si="80"/>
        <v>18843.348403886423</v>
      </c>
      <c r="AB86" s="566">
        <f t="shared" si="80"/>
        <v>19086.184638166236</v>
      </c>
      <c r="AC86" s="566">
        <f t="shared" si="80"/>
        <v>19332.150328815234</v>
      </c>
      <c r="AD86" s="566">
        <f t="shared" si="80"/>
        <v>19581.285805470357</v>
      </c>
      <c r="AE86" s="566">
        <f t="shared" si="80"/>
        <v>19833.631917500876</v>
      </c>
      <c r="AF86" s="566">
        <f t="shared" si="80"/>
        <v>20089.230040706225</v>
      </c>
    </row>
    <row r="87" spans="2:32" x14ac:dyDescent="0.3">
      <c r="B87" s="572" t="s">
        <v>2674</v>
      </c>
      <c r="C87" s="577">
        <v>791.2</v>
      </c>
      <c r="D87" s="577">
        <v>753.8</v>
      </c>
      <c r="E87" s="577">
        <v>630</v>
      </c>
      <c r="F87" s="577">
        <v>564</v>
      </c>
      <c r="G87" s="577">
        <v>595</v>
      </c>
      <c r="H87" s="577">
        <v>634</v>
      </c>
      <c r="I87" s="577">
        <v>673</v>
      </c>
      <c r="J87" s="567">
        <f>($I87/$I$86)*J$86</f>
        <v>681.67302255243612</v>
      </c>
      <c r="K87" s="567">
        <f t="shared" ref="K87:AF99" si="81">($I87/$I$86)*K$86</f>
        <v>690.45781526860912</v>
      </c>
      <c r="L87" s="567">
        <f t="shared" si="81"/>
        <v>699.35581854250279</v>
      </c>
      <c r="M87" s="567">
        <f t="shared" si="81"/>
        <v>708.36849133061037</v>
      </c>
      <c r="N87" s="567">
        <f t="shared" si="81"/>
        <v>717.49731139115352</v>
      </c>
      <c r="O87" s="567">
        <f t="shared" si="81"/>
        <v>726.74377552638032</v>
      </c>
      <c r="P87" s="567">
        <f t="shared" si="81"/>
        <v>736.10939982798936</v>
      </c>
      <c r="Q87" s="567">
        <f t="shared" si="81"/>
        <v>745.59571992571341</v>
      </c>
      <c r="R87" s="567">
        <f t="shared" si="81"/>
        <v>755.20429123910947</v>
      </c>
      <c r="S87" s="567">
        <f t="shared" si="81"/>
        <v>764.93668923259133</v>
      </c>
      <c r="T87" s="567">
        <f t="shared" si="81"/>
        <v>774.79450967375033</v>
      </c>
      <c r="U87" s="567">
        <f t="shared" si="81"/>
        <v>784.77936889500461</v>
      </c>
      <c r="V87" s="567">
        <f t="shared" si="81"/>
        <v>794.89290405861959</v>
      </c>
      <c r="W87" s="567">
        <f t="shared" si="81"/>
        <v>805.13677342514529</v>
      </c>
      <c r="X87" s="567">
        <f t="shared" si="81"/>
        <v>815.51265662531148</v>
      </c>
      <c r="Y87" s="567">
        <f t="shared" si="81"/>
        <v>826.02225493542801</v>
      </c>
      <c r="Z87" s="567">
        <f t="shared" si="81"/>
        <v>836.667291556333</v>
      </c>
      <c r="AA87" s="567">
        <f t="shared" si="81"/>
        <v>847.44951189593723</v>
      </c>
      <c r="AB87" s="567">
        <f t="shared" si="81"/>
        <v>858.37068385540863</v>
      </c>
      <c r="AC87" s="567">
        <f t="shared" si="81"/>
        <v>869.43259811904613</v>
      </c>
      <c r="AD87" s="567">
        <f t="shared" si="81"/>
        <v>880.63706844788635</v>
      </c>
      <c r="AE87" s="567">
        <f t="shared" si="81"/>
        <v>891.98593197709829</v>
      </c>
      <c r="AF87" s="567">
        <f t="shared" si="81"/>
        <v>903.48104951720677</v>
      </c>
    </row>
    <row r="88" spans="2:32" x14ac:dyDescent="0.3">
      <c r="B88" s="572" t="s">
        <v>2675</v>
      </c>
      <c r="C88" s="577">
        <v>1355</v>
      </c>
      <c r="D88" s="577">
        <v>1525.7</v>
      </c>
      <c r="E88" s="577">
        <v>1646</v>
      </c>
      <c r="F88" s="577">
        <v>1801</v>
      </c>
      <c r="G88" s="577">
        <v>1898</v>
      </c>
      <c r="H88" s="577">
        <v>1979</v>
      </c>
      <c r="I88" s="577">
        <v>2060</v>
      </c>
      <c r="J88" s="567">
        <f t="shared" ref="J88:Y113" si="82">($I88/$I$86)*J$86</f>
        <v>2086.5474390163722</v>
      </c>
      <c r="K88" s="567">
        <f t="shared" si="82"/>
        <v>2113.436997701835</v>
      </c>
      <c r="L88" s="567">
        <f t="shared" si="82"/>
        <v>2140.6730849889386</v>
      </c>
      <c r="M88" s="567">
        <f t="shared" si="82"/>
        <v>2168.2601666286146</v>
      </c>
      <c r="N88" s="567">
        <f t="shared" si="82"/>
        <v>2196.2027659224013</v>
      </c>
      <c r="O88" s="567">
        <f t="shared" si="82"/>
        <v>2224.5054644641064</v>
      </c>
      <c r="P88" s="567">
        <f t="shared" si="82"/>
        <v>2253.1729028910227</v>
      </c>
      <c r="Q88" s="567">
        <f t="shared" si="82"/>
        <v>2282.2097816448286</v>
      </c>
      <c r="R88" s="567">
        <f t="shared" si="82"/>
        <v>2311.6208617422967</v>
      </c>
      <c r="S88" s="567">
        <f t="shared" si="82"/>
        <v>2341.4109655559264</v>
      </c>
      <c r="T88" s="567">
        <f t="shared" si="82"/>
        <v>2371.5849776046443</v>
      </c>
      <c r="U88" s="567">
        <f t="shared" si="82"/>
        <v>2402.1478453546947</v>
      </c>
      <c r="V88" s="567">
        <f t="shared" si="82"/>
        <v>2433.104580030842</v>
      </c>
      <c r="W88" s="567">
        <f t="shared" si="82"/>
        <v>2464.4602574380378</v>
      </c>
      <c r="X88" s="567">
        <f t="shared" si="82"/>
        <v>2496.2200187936724</v>
      </c>
      <c r="Y88" s="567">
        <f t="shared" si="82"/>
        <v>2528.3890715705525</v>
      </c>
      <c r="Z88" s="567">
        <f t="shared" si="81"/>
        <v>2560.9726903507371</v>
      </c>
      <c r="AA88" s="567">
        <f t="shared" si="81"/>
        <v>2593.9762176903873</v>
      </c>
      <c r="AB88" s="567">
        <f t="shared" si="81"/>
        <v>2627.4050649957535</v>
      </c>
      <c r="AC88" s="567">
        <f t="shared" si="81"/>
        <v>2661.2647134104532</v>
      </c>
      <c r="AD88" s="567">
        <f t="shared" si="81"/>
        <v>2695.5607147141845</v>
      </c>
      <c r="AE88" s="567">
        <f t="shared" si="81"/>
        <v>2730.2986922330201</v>
      </c>
      <c r="AF88" s="567">
        <f t="shared" si="81"/>
        <v>2765.4843417614356</v>
      </c>
    </row>
    <row r="89" spans="2:32" x14ac:dyDescent="0.3">
      <c r="B89" s="572" t="s">
        <v>2676</v>
      </c>
      <c r="C89" s="577">
        <v>481.2</v>
      </c>
      <c r="D89" s="577">
        <v>596.1</v>
      </c>
      <c r="E89" s="577">
        <v>671</v>
      </c>
      <c r="F89" s="577">
        <v>651</v>
      </c>
      <c r="G89" s="577">
        <v>654</v>
      </c>
      <c r="H89" s="577">
        <v>686</v>
      </c>
      <c r="I89" s="577">
        <v>696</v>
      </c>
      <c r="J89" s="567">
        <f t="shared" si="82"/>
        <v>704.96942599776446</v>
      </c>
      <c r="K89" s="567">
        <f t="shared" si="81"/>
        <v>714.05444194197912</v>
      </c>
      <c r="L89" s="567">
        <f t="shared" si="81"/>
        <v>723.25653745257341</v>
      </c>
      <c r="M89" s="567">
        <f t="shared" si="81"/>
        <v>732.57722134636674</v>
      </c>
      <c r="N89" s="567">
        <f t="shared" si="81"/>
        <v>742.01802188446186</v>
      </c>
      <c r="O89" s="567">
        <f t="shared" si="81"/>
        <v>751.58048702282429</v>
      </c>
      <c r="P89" s="567">
        <f t="shared" si="81"/>
        <v>761.26618466609295</v>
      </c>
      <c r="Q89" s="567">
        <f t="shared" si="81"/>
        <v>771.07670292466048</v>
      </c>
      <c r="R89" s="567">
        <f t="shared" si="81"/>
        <v>781.01365037506719</v>
      </c>
      <c r="S89" s="567">
        <f t="shared" si="81"/>
        <v>791.07865632374978</v>
      </c>
      <c r="T89" s="567">
        <f t="shared" si="81"/>
        <v>801.27337107419055</v>
      </c>
      <c r="U89" s="567">
        <f t="shared" si="81"/>
        <v>811.59946619750849</v>
      </c>
      <c r="V89" s="567">
        <f t="shared" si="81"/>
        <v>822.05863480653682</v>
      </c>
      <c r="W89" s="567">
        <f t="shared" si="81"/>
        <v>832.65259183343403</v>
      </c>
      <c r="X89" s="567">
        <f t="shared" si="81"/>
        <v>843.38307431087185</v>
      </c>
      <c r="Y89" s="567">
        <f t="shared" si="81"/>
        <v>854.25184165684675</v>
      </c>
      <c r="Z89" s="567">
        <f t="shared" si="81"/>
        <v>865.26067596316159</v>
      </c>
      <c r="AA89" s="567">
        <f t="shared" si="81"/>
        <v>876.411382287626</v>
      </c>
      <c r="AB89" s="567">
        <f t="shared" si="81"/>
        <v>887.70578895002143</v>
      </c>
      <c r="AC89" s="567">
        <f t="shared" si="81"/>
        <v>899.14574783188118</v>
      </c>
      <c r="AD89" s="567">
        <f t="shared" si="81"/>
        <v>910.73313468013214</v>
      </c>
      <c r="AE89" s="567">
        <f t="shared" si="81"/>
        <v>922.46984941465143</v>
      </c>
      <c r="AF89" s="567">
        <f t="shared" si="81"/>
        <v>934.35781643978589</v>
      </c>
    </row>
    <row r="90" spans="2:32" x14ac:dyDescent="0.3">
      <c r="B90" s="572" t="s">
        <v>2677</v>
      </c>
      <c r="C90" s="577">
        <v>3732.3</v>
      </c>
      <c r="D90" s="577">
        <v>4149.1000000000004</v>
      </c>
      <c r="E90" s="577">
        <v>4510</v>
      </c>
      <c r="F90" s="577">
        <v>4770</v>
      </c>
      <c r="G90" s="577">
        <v>5010</v>
      </c>
      <c r="H90" s="577">
        <v>5230</v>
      </c>
      <c r="I90" s="577">
        <v>5440</v>
      </c>
      <c r="J90" s="567">
        <f t="shared" si="82"/>
        <v>5510.105858373332</v>
      </c>
      <c r="K90" s="567">
        <f t="shared" si="81"/>
        <v>5581.1151783970781</v>
      </c>
      <c r="L90" s="567">
        <f t="shared" si="81"/>
        <v>5653.0396030775855</v>
      </c>
      <c r="M90" s="567">
        <f t="shared" si="81"/>
        <v>5725.8909254658556</v>
      </c>
      <c r="N90" s="567">
        <f t="shared" si="81"/>
        <v>5799.6810905911962</v>
      </c>
      <c r="O90" s="567">
        <f t="shared" si="81"/>
        <v>5874.4221974197762</v>
      </c>
      <c r="P90" s="567">
        <f t="shared" si="81"/>
        <v>5950.126500838428</v>
      </c>
      <c r="Q90" s="567">
        <f t="shared" si="81"/>
        <v>6026.8064136640132</v>
      </c>
      <c r="R90" s="567">
        <f t="shared" si="81"/>
        <v>6104.4745086786861</v>
      </c>
      <c r="S90" s="567">
        <f t="shared" si="81"/>
        <v>6183.1435206913775</v>
      </c>
      <c r="T90" s="567">
        <f t="shared" si="81"/>
        <v>6262.8263486258575</v>
      </c>
      <c r="U90" s="567">
        <f t="shared" si="81"/>
        <v>6343.5360576356989</v>
      </c>
      <c r="V90" s="567">
        <f t="shared" si="81"/>
        <v>6425.2858812464947</v>
      </c>
      <c r="W90" s="567">
        <f t="shared" si="81"/>
        <v>6508.0892235256915</v>
      </c>
      <c r="X90" s="567">
        <f t="shared" si="81"/>
        <v>6591.959661280378</v>
      </c>
      <c r="Y90" s="567">
        <f t="shared" si="81"/>
        <v>6676.9109462834003</v>
      </c>
      <c r="Z90" s="567">
        <f t="shared" si="81"/>
        <v>6762.9570075281599</v>
      </c>
      <c r="AA90" s="567">
        <f t="shared" si="81"/>
        <v>6850.111953512479</v>
      </c>
      <c r="AB90" s="567">
        <f t="shared" si="81"/>
        <v>6938.3900745518922</v>
      </c>
      <c r="AC90" s="567">
        <f t="shared" si="81"/>
        <v>7027.8058451227498</v>
      </c>
      <c r="AD90" s="567">
        <f t="shared" si="81"/>
        <v>7118.3739262355157</v>
      </c>
      <c r="AE90" s="567">
        <f t="shared" si="81"/>
        <v>7210.1091678386547</v>
      </c>
      <c r="AF90" s="567">
        <f t="shared" si="81"/>
        <v>7303.0266112534991</v>
      </c>
    </row>
    <row r="91" spans="2:32" x14ac:dyDescent="0.3">
      <c r="B91" s="572" t="s">
        <v>2678</v>
      </c>
      <c r="C91" s="577">
        <v>5</v>
      </c>
      <c r="D91" s="577">
        <v>5.0999999999999996</v>
      </c>
      <c r="E91" s="577">
        <v>5.0999999999999996</v>
      </c>
      <c r="F91" s="577">
        <v>5.0999999999999996</v>
      </c>
      <c r="G91" s="577">
        <v>5.0999999999999996</v>
      </c>
      <c r="H91" s="577">
        <v>5.2</v>
      </c>
      <c r="I91" s="577">
        <v>5.2</v>
      </c>
      <c r="J91" s="567">
        <f t="shared" si="82"/>
        <v>5.2670129528568612</v>
      </c>
      <c r="K91" s="567">
        <f t="shared" si="81"/>
        <v>5.334889508761913</v>
      </c>
      <c r="L91" s="567">
        <f t="shared" si="81"/>
        <v>5.4036407970594569</v>
      </c>
      <c r="M91" s="567">
        <f t="shared" si="81"/>
        <v>5.4732780905188321</v>
      </c>
      <c r="N91" s="567">
        <f t="shared" si="81"/>
        <v>5.5438128071827615</v>
      </c>
      <c r="O91" s="567">
        <f t="shared" si="81"/>
        <v>5.6152565122394922</v>
      </c>
      <c r="P91" s="567">
        <f t="shared" si="81"/>
        <v>5.6876209199190857</v>
      </c>
      <c r="Q91" s="567">
        <f t="shared" si="81"/>
        <v>5.7609178954141305</v>
      </c>
      <c r="R91" s="567">
        <f t="shared" si="81"/>
        <v>5.835159456825215</v>
      </c>
      <c r="S91" s="567">
        <f t="shared" si="81"/>
        <v>5.9103577771314644</v>
      </c>
      <c r="T91" s="567">
        <f t="shared" si="81"/>
        <v>5.9865251861864808</v>
      </c>
      <c r="U91" s="567">
        <f t="shared" si="81"/>
        <v>6.0636741727400061</v>
      </c>
      <c r="V91" s="567">
        <f t="shared" si="81"/>
        <v>6.14181738648562</v>
      </c>
      <c r="W91" s="567">
        <f t="shared" si="81"/>
        <v>6.2209676401348526</v>
      </c>
      <c r="X91" s="567">
        <f t="shared" si="81"/>
        <v>6.3011379115180084</v>
      </c>
      <c r="Y91" s="567">
        <f t="shared" si="81"/>
        <v>6.3823413457120743</v>
      </c>
      <c r="Z91" s="567">
        <f t="shared" si="81"/>
        <v>6.4645912571960347</v>
      </c>
      <c r="AA91" s="567">
        <f t="shared" si="81"/>
        <v>6.5479011320339877</v>
      </c>
      <c r="AB91" s="567">
        <f t="shared" si="81"/>
        <v>6.6322846300863674</v>
      </c>
      <c r="AC91" s="567">
        <f t="shared" si="81"/>
        <v>6.7177555872496875</v>
      </c>
      <c r="AD91" s="567">
        <f t="shared" si="81"/>
        <v>6.8043280177251253</v>
      </c>
      <c r="AE91" s="567">
        <f t="shared" si="81"/>
        <v>6.8920161163163618</v>
      </c>
      <c r="AF91" s="567">
        <f t="shared" si="81"/>
        <v>6.980834260757022</v>
      </c>
    </row>
    <row r="92" spans="2:32" x14ac:dyDescent="0.3">
      <c r="B92" s="572" t="s">
        <v>2679</v>
      </c>
      <c r="C92" s="577">
        <v>2877.1</v>
      </c>
      <c r="D92" s="577">
        <v>3308.8</v>
      </c>
      <c r="E92" s="577">
        <v>3635</v>
      </c>
      <c r="F92" s="577">
        <v>3785</v>
      </c>
      <c r="G92" s="577">
        <v>3925</v>
      </c>
      <c r="H92" s="577">
        <v>4030</v>
      </c>
      <c r="I92" s="577">
        <v>4150</v>
      </c>
      <c r="J92" s="567">
        <f t="shared" si="82"/>
        <v>4203.4814912223028</v>
      </c>
      <c r="K92" s="567">
        <f t="shared" si="81"/>
        <v>4257.6522041080652</v>
      </c>
      <c r="L92" s="567">
        <f t="shared" si="81"/>
        <v>4312.5210207301434</v>
      </c>
      <c r="M92" s="567">
        <f t="shared" si="81"/>
        <v>4368.0969376256071</v>
      </c>
      <c r="N92" s="567">
        <f t="shared" si="81"/>
        <v>4424.3890672708576</v>
      </c>
      <c r="O92" s="567">
        <f t="shared" si="81"/>
        <v>4481.4066395757482</v>
      </c>
      <c r="P92" s="567">
        <f t="shared" si="81"/>
        <v>4539.1590033969633</v>
      </c>
      <c r="Q92" s="567">
        <f t="shared" si="81"/>
        <v>4597.6556280708928</v>
      </c>
      <c r="R92" s="567">
        <f t="shared" si="81"/>
        <v>4656.9061049662778</v>
      </c>
      <c r="S92" s="567">
        <f t="shared" si="81"/>
        <v>4716.9201490568421</v>
      </c>
      <c r="T92" s="567">
        <f t="shared" si="81"/>
        <v>4777.7076005142108</v>
      </c>
      <c r="U92" s="567">
        <f t="shared" si="81"/>
        <v>4839.2784263213516</v>
      </c>
      <c r="V92" s="567">
        <f t="shared" si="81"/>
        <v>4901.6427219067928</v>
      </c>
      <c r="W92" s="567">
        <f t="shared" si="81"/>
        <v>4964.810712799931</v>
      </c>
      <c r="X92" s="567">
        <f t="shared" si="81"/>
        <v>5028.7927563076419</v>
      </c>
      <c r="Y92" s="567">
        <f t="shared" si="81"/>
        <v>5093.5993432125206</v>
      </c>
      <c r="Z92" s="567">
        <f t="shared" si="81"/>
        <v>5159.2410994929896</v>
      </c>
      <c r="AA92" s="567">
        <f t="shared" si="81"/>
        <v>5225.7287880655867</v>
      </c>
      <c r="AB92" s="567">
        <f t="shared" si="81"/>
        <v>5293.0733105496975</v>
      </c>
      <c r="AC92" s="567">
        <f t="shared" si="81"/>
        <v>5361.2857090550397</v>
      </c>
      <c r="AD92" s="567">
        <f t="shared" si="81"/>
        <v>5430.3771679921674</v>
      </c>
      <c r="AE92" s="567">
        <f t="shared" si="81"/>
        <v>5500.3590159063269</v>
      </c>
      <c r="AF92" s="567">
        <f t="shared" si="81"/>
        <v>5571.2427273349313</v>
      </c>
    </row>
    <row r="93" spans="2:32" x14ac:dyDescent="0.3">
      <c r="B93" s="572" t="s">
        <v>2680</v>
      </c>
      <c r="C93" s="577">
        <v>981.4</v>
      </c>
      <c r="D93" s="577">
        <v>995.7</v>
      </c>
      <c r="E93" s="577">
        <v>1003.8</v>
      </c>
      <c r="F93" s="577">
        <v>1047.5999999999999</v>
      </c>
      <c r="G93" s="577">
        <v>1090.2</v>
      </c>
      <c r="H93" s="577">
        <v>1139.0999999999999</v>
      </c>
      <c r="I93" s="577">
        <v>1195.2</v>
      </c>
      <c r="J93" s="567">
        <f t="shared" si="82"/>
        <v>1210.6026694720233</v>
      </c>
      <c r="K93" s="567">
        <f t="shared" si="81"/>
        <v>1226.2038347831228</v>
      </c>
      <c r="L93" s="567">
        <f t="shared" si="81"/>
        <v>1242.0060539702813</v>
      </c>
      <c r="M93" s="567">
        <f t="shared" si="81"/>
        <v>1258.0119180361746</v>
      </c>
      <c r="N93" s="567">
        <f t="shared" si="81"/>
        <v>1274.2240513740069</v>
      </c>
      <c r="O93" s="567">
        <f t="shared" si="81"/>
        <v>1290.6451121978155</v>
      </c>
      <c r="P93" s="567">
        <f t="shared" si="81"/>
        <v>1307.2777929783254</v>
      </c>
      <c r="Q93" s="567">
        <f t="shared" si="81"/>
        <v>1324.124820884417</v>
      </c>
      <c r="R93" s="567">
        <f t="shared" si="81"/>
        <v>1341.1889582302879</v>
      </c>
      <c r="S93" s="567">
        <f t="shared" si="81"/>
        <v>1358.4730029283703</v>
      </c>
      <c r="T93" s="567">
        <f t="shared" si="81"/>
        <v>1375.9797889480926</v>
      </c>
      <c r="U93" s="567">
        <f t="shared" si="81"/>
        <v>1393.7121867805492</v>
      </c>
      <c r="V93" s="567">
        <f t="shared" si="81"/>
        <v>1411.6731039091565</v>
      </c>
      <c r="W93" s="567">
        <f t="shared" si="81"/>
        <v>1429.8654852863799</v>
      </c>
      <c r="X93" s="567">
        <f t="shared" si="81"/>
        <v>1448.2923138166007</v>
      </c>
      <c r="Y93" s="567">
        <f t="shared" si="81"/>
        <v>1466.9566108452059</v>
      </c>
      <c r="Z93" s="567">
        <f t="shared" si="81"/>
        <v>1485.8614366539809</v>
      </c>
      <c r="AA93" s="567">
        <f t="shared" si="81"/>
        <v>1505.0098909628889</v>
      </c>
      <c r="AB93" s="567">
        <f t="shared" si="81"/>
        <v>1524.4051134383128</v>
      </c>
      <c r="AC93" s="567">
        <f t="shared" si="81"/>
        <v>1544.0502842078513</v>
      </c>
      <c r="AD93" s="567">
        <f t="shared" si="81"/>
        <v>1563.9486243817441</v>
      </c>
      <c r="AE93" s="567">
        <f t="shared" si="81"/>
        <v>1584.1033965810223</v>
      </c>
      <c r="AF93" s="567">
        <f t="shared" si="81"/>
        <v>1604.5179054724601</v>
      </c>
    </row>
    <row r="94" spans="2:32" x14ac:dyDescent="0.3">
      <c r="B94" s="572" t="s">
        <v>2681</v>
      </c>
      <c r="C94" s="577">
        <v>223.3</v>
      </c>
      <c r="D94" s="577">
        <v>240.8</v>
      </c>
      <c r="E94" s="577">
        <v>246</v>
      </c>
      <c r="F94" s="577">
        <v>253</v>
      </c>
      <c r="G94" s="577">
        <v>258</v>
      </c>
      <c r="H94" s="577">
        <v>263</v>
      </c>
      <c r="I94" s="577">
        <v>268</v>
      </c>
      <c r="J94" s="567">
        <f t="shared" si="82"/>
        <v>271.45374449339204</v>
      </c>
      <c r="K94" s="567">
        <f t="shared" si="81"/>
        <v>274.95199775926778</v>
      </c>
      <c r="L94" s="567">
        <f t="shared" si="81"/>
        <v>278.49533338691043</v>
      </c>
      <c r="M94" s="567">
        <f t="shared" si="81"/>
        <v>282.08433235750903</v>
      </c>
      <c r="N94" s="567">
        <f t="shared" si="81"/>
        <v>285.71958313941917</v>
      </c>
      <c r="O94" s="567">
        <f t="shared" si="81"/>
        <v>289.40168178465069</v>
      </c>
      <c r="P94" s="567">
        <f t="shared" si="81"/>
        <v>293.13123202659898</v>
      </c>
      <c r="Q94" s="567">
        <f t="shared" si="81"/>
        <v>296.90884537903588</v>
      </c>
      <c r="R94" s="567">
        <f t="shared" si="81"/>
        <v>300.73514123637642</v>
      </c>
      <c r="S94" s="567">
        <f t="shared" si="81"/>
        <v>304.61074697523696</v>
      </c>
      <c r="T94" s="567">
        <f t="shared" si="81"/>
        <v>308.53629805730321</v>
      </c>
      <c r="U94" s="567">
        <f t="shared" si="81"/>
        <v>312.51243813352335</v>
      </c>
      <c r="V94" s="567">
        <f t="shared" si="81"/>
        <v>316.53981914964345</v>
      </c>
      <c r="W94" s="567">
        <f t="shared" si="81"/>
        <v>320.61910145310389</v>
      </c>
      <c r="X94" s="567">
        <f t="shared" si="81"/>
        <v>324.7509539013127</v>
      </c>
      <c r="Y94" s="567">
        <f t="shared" si="81"/>
        <v>328.93605397131455</v>
      </c>
      <c r="Z94" s="567">
        <f t="shared" si="81"/>
        <v>333.17508787087252</v>
      </c>
      <c r="AA94" s="567">
        <f t="shared" si="81"/>
        <v>337.46875065098237</v>
      </c>
      <c r="AB94" s="567">
        <f t="shared" si="81"/>
        <v>341.81774631983581</v>
      </c>
      <c r="AC94" s="567">
        <f t="shared" si="81"/>
        <v>346.22278795825309</v>
      </c>
      <c r="AD94" s="567">
        <f t="shared" si="81"/>
        <v>350.68459783660256</v>
      </c>
      <c r="AE94" s="567">
        <f t="shared" si="81"/>
        <v>355.20390753322783</v>
      </c>
      <c r="AF94" s="567">
        <f t="shared" si="81"/>
        <v>359.78145805440033</v>
      </c>
    </row>
    <row r="95" spans="2:32" x14ac:dyDescent="0.3">
      <c r="B95" s="572" t="s">
        <v>2682</v>
      </c>
      <c r="C95" s="577">
        <v>242.4</v>
      </c>
      <c r="D95" s="577">
        <v>246.3</v>
      </c>
      <c r="E95" s="577">
        <v>256</v>
      </c>
      <c r="F95" s="577">
        <v>256</v>
      </c>
      <c r="G95" s="577">
        <v>254</v>
      </c>
      <c r="H95" s="577">
        <v>253</v>
      </c>
      <c r="I95" s="577">
        <v>251</v>
      </c>
      <c r="J95" s="567">
        <f t="shared" si="82"/>
        <v>254.23466368597539</v>
      </c>
      <c r="K95" s="567">
        <f t="shared" si="81"/>
        <v>257.51101282677695</v>
      </c>
      <c r="L95" s="567">
        <f t="shared" si="81"/>
        <v>260.82958462729295</v>
      </c>
      <c r="M95" s="567">
        <f t="shared" si="81"/>
        <v>264.1909232154282</v>
      </c>
      <c r="N95" s="567">
        <f t="shared" si="81"/>
        <v>267.59557973132172</v>
      </c>
      <c r="O95" s="567">
        <f t="shared" si="81"/>
        <v>271.0441124177139</v>
      </c>
      <c r="P95" s="567">
        <f t="shared" si="81"/>
        <v>274.53708671147893</v>
      </c>
      <c r="Q95" s="567">
        <f t="shared" si="81"/>
        <v>278.07507533633589</v>
      </c>
      <c r="R95" s="567">
        <f t="shared" si="81"/>
        <v>281.65865839675553</v>
      </c>
      <c r="S95" s="567">
        <f t="shared" si="81"/>
        <v>285.28842347307642</v>
      </c>
      <c r="T95" s="567">
        <f t="shared" si="81"/>
        <v>288.96496571784741</v>
      </c>
      <c r="U95" s="567">
        <f t="shared" si="81"/>
        <v>292.68888795341178</v>
      </c>
      <c r="V95" s="567">
        <f t="shared" si="81"/>
        <v>296.46080077074816</v>
      </c>
      <c r="W95" s="567">
        <f t="shared" si="81"/>
        <v>300.2813226295861</v>
      </c>
      <c r="X95" s="567">
        <f t="shared" si="81"/>
        <v>304.15107995981151</v>
      </c>
      <c r="Y95" s="567">
        <f t="shared" si="81"/>
        <v>308.07070726417891</v>
      </c>
      <c r="Z95" s="567">
        <f t="shared" si="81"/>
        <v>312.04084722234705</v>
      </c>
      <c r="AA95" s="567">
        <f t="shared" si="81"/>
        <v>316.06215079625588</v>
      </c>
      <c r="AB95" s="567">
        <f t="shared" si="81"/>
        <v>320.13527733686112</v>
      </c>
      <c r="AC95" s="567">
        <f t="shared" si="81"/>
        <v>324.26089469224451</v>
      </c>
      <c r="AD95" s="567">
        <f t="shared" si="81"/>
        <v>328.4396793171166</v>
      </c>
      <c r="AE95" s="567">
        <f t="shared" si="81"/>
        <v>332.67231638373204</v>
      </c>
      <c r="AF95" s="567">
        <f t="shared" si="81"/>
        <v>336.95949989423309</v>
      </c>
    </row>
    <row r="96" spans="2:32" x14ac:dyDescent="0.3">
      <c r="B96" s="572" t="s">
        <v>2683</v>
      </c>
      <c r="C96" s="577">
        <v>506.8</v>
      </c>
      <c r="D96" s="577">
        <v>500.3</v>
      </c>
      <c r="E96" s="577">
        <v>493</v>
      </c>
      <c r="F96" s="577">
        <v>528</v>
      </c>
      <c r="G96" s="577">
        <v>563</v>
      </c>
      <c r="H96" s="577">
        <v>601</v>
      </c>
      <c r="I96" s="577">
        <v>644</v>
      </c>
      <c r="J96" s="567">
        <f t="shared" si="82"/>
        <v>652.29929646919584</v>
      </c>
      <c r="K96" s="567">
        <f t="shared" si="81"/>
        <v>660.70554685435991</v>
      </c>
      <c r="L96" s="567">
        <f t="shared" si="81"/>
        <v>669.2201294819788</v>
      </c>
      <c r="M96" s="567">
        <f t="shared" si="81"/>
        <v>677.84444044117834</v>
      </c>
      <c r="N96" s="567">
        <f t="shared" si="81"/>
        <v>686.57989381263417</v>
      </c>
      <c r="O96" s="567">
        <f t="shared" si="81"/>
        <v>695.42792190042928</v>
      </c>
      <c r="P96" s="567">
        <f t="shared" si="81"/>
        <v>704.38997546690211</v>
      </c>
      <c r="Q96" s="567">
        <f t="shared" si="81"/>
        <v>713.4675239705191</v>
      </c>
      <c r="R96" s="567">
        <f t="shared" si="81"/>
        <v>722.66205580681492</v>
      </c>
      <c r="S96" s="567">
        <f t="shared" si="81"/>
        <v>731.97507855243509</v>
      </c>
      <c r="T96" s="567">
        <f t="shared" si="81"/>
        <v>741.40811921232569</v>
      </c>
      <c r="U96" s="567">
        <f t="shared" si="81"/>
        <v>750.96272447010836</v>
      </c>
      <c r="V96" s="567">
        <f t="shared" si="81"/>
        <v>760.64046094168054</v>
      </c>
      <c r="W96" s="567">
        <f t="shared" si="81"/>
        <v>770.44291543208556</v>
      </c>
      <c r="X96" s="567">
        <f t="shared" si="81"/>
        <v>780.3716951956917</v>
      </c>
      <c r="Y96" s="567">
        <f t="shared" si="81"/>
        <v>790.428428199726</v>
      </c>
      <c r="Z96" s="567">
        <f t="shared" si="81"/>
        <v>800.61476339120122</v>
      </c>
      <c r="AA96" s="567">
        <f t="shared" si="81"/>
        <v>810.93237096728603</v>
      </c>
      <c r="AB96" s="567">
        <f t="shared" si="81"/>
        <v>821.38294264915771</v>
      </c>
      <c r="AC96" s="567">
        <f t="shared" si="81"/>
        <v>831.96819195938428</v>
      </c>
      <c r="AD96" s="567">
        <f t="shared" si="81"/>
        <v>842.68985450288085</v>
      </c>
      <c r="AE96" s="567">
        <f t="shared" si="81"/>
        <v>853.54968825148774</v>
      </c>
      <c r="AF96" s="567">
        <f t="shared" si="81"/>
        <v>864.54947383221565</v>
      </c>
    </row>
    <row r="97" spans="2:32" x14ac:dyDescent="0.3">
      <c r="B97" s="572" t="s">
        <v>2684</v>
      </c>
      <c r="C97" s="577">
        <v>0.4</v>
      </c>
      <c r="D97" s="577">
        <v>0.3</v>
      </c>
      <c r="E97" s="577">
        <v>0.4</v>
      </c>
      <c r="F97" s="577">
        <v>0.4</v>
      </c>
      <c r="G97" s="577">
        <v>0.4</v>
      </c>
      <c r="H97" s="577">
        <v>0.4</v>
      </c>
      <c r="I97" s="577">
        <v>0.4</v>
      </c>
      <c r="J97" s="567">
        <f t="shared" si="82"/>
        <v>0.40515484252745088</v>
      </c>
      <c r="K97" s="567">
        <f t="shared" si="81"/>
        <v>0.41037611605860869</v>
      </c>
      <c r="L97" s="567">
        <f t="shared" si="81"/>
        <v>0.41566467669688129</v>
      </c>
      <c r="M97" s="567">
        <f t="shared" si="81"/>
        <v>0.42102139157837171</v>
      </c>
      <c r="N97" s="567">
        <f t="shared" si="81"/>
        <v>0.42644713901405851</v>
      </c>
      <c r="O97" s="567">
        <f t="shared" si="81"/>
        <v>0.43194280863380707</v>
      </c>
      <c r="P97" s="567">
        <f t="shared" si="81"/>
        <v>0.43750930153223738</v>
      </c>
      <c r="Q97" s="567">
        <f t="shared" si="81"/>
        <v>0.44314753041647154</v>
      </c>
      <c r="R97" s="567">
        <f t="shared" si="81"/>
        <v>0.44885841975578572</v>
      </c>
      <c r="S97" s="567">
        <f t="shared" si="81"/>
        <v>0.45464290593318951</v>
      </c>
      <c r="T97" s="567">
        <f t="shared" si="81"/>
        <v>0.46050193739896006</v>
      </c>
      <c r="U97" s="567">
        <f t="shared" si="81"/>
        <v>0.4664364748261543</v>
      </c>
      <c r="V97" s="567">
        <f t="shared" si="81"/>
        <v>0.47244749126812463</v>
      </c>
      <c r="W97" s="567">
        <f t="shared" si="81"/>
        <v>0.47853597231806561</v>
      </c>
      <c r="X97" s="567">
        <f t="shared" si="81"/>
        <v>0.48470291627061601</v>
      </c>
      <c r="Y97" s="567">
        <f t="shared" si="81"/>
        <v>0.49094933428554416</v>
      </c>
      <c r="Z97" s="567">
        <f t="shared" si="81"/>
        <v>0.49727625055354113</v>
      </c>
      <c r="AA97" s="567">
        <f t="shared" si="81"/>
        <v>0.50368470246415287</v>
      </c>
      <c r="AB97" s="567">
        <f t="shared" si="81"/>
        <v>0.51017574077587435</v>
      </c>
      <c r="AC97" s="567">
        <f t="shared" si="81"/>
        <v>0.51675042978843755</v>
      </c>
      <c r="AD97" s="567">
        <f t="shared" si="81"/>
        <v>0.52340984751731734</v>
      </c>
      <c r="AE97" s="567">
        <f t="shared" si="81"/>
        <v>0.53015508587048932</v>
      </c>
      <c r="AF97" s="567">
        <f t="shared" si="81"/>
        <v>0.53698725082746324</v>
      </c>
    </row>
    <row r="98" spans="2:32" x14ac:dyDescent="0.3">
      <c r="B98" s="572" t="s">
        <v>2685</v>
      </c>
      <c r="C98" s="577">
        <v>8.5</v>
      </c>
      <c r="D98" s="577">
        <v>7.9</v>
      </c>
      <c r="E98" s="577">
        <v>8.4</v>
      </c>
      <c r="F98" s="577">
        <v>10.199999999999999</v>
      </c>
      <c r="G98" s="577">
        <v>14.8</v>
      </c>
      <c r="H98" s="577">
        <v>21.7</v>
      </c>
      <c r="I98" s="577">
        <v>31.8</v>
      </c>
      <c r="J98" s="567">
        <f t="shared" si="82"/>
        <v>32.209809980932341</v>
      </c>
      <c r="K98" s="567">
        <f t="shared" si="81"/>
        <v>32.624901226659389</v>
      </c>
      <c r="L98" s="567">
        <f t="shared" si="81"/>
        <v>33.04534179740206</v>
      </c>
      <c r="M98" s="567">
        <f t="shared" si="81"/>
        <v>33.471200630480546</v>
      </c>
      <c r="N98" s="567">
        <f t="shared" si="81"/>
        <v>33.902547551617651</v>
      </c>
      <c r="O98" s="567">
        <f t="shared" si="81"/>
        <v>34.339453286387659</v>
      </c>
      <c r="P98" s="567">
        <f t="shared" si="81"/>
        <v>34.781989471812864</v>
      </c>
      <c r="Q98" s="567">
        <f t="shared" si="81"/>
        <v>35.230228668109483</v>
      </c>
      <c r="R98" s="567">
        <f t="shared" si="81"/>
        <v>35.684244370584963</v>
      </c>
      <c r="S98" s="567">
        <f t="shared" si="81"/>
        <v>36.144111021688566</v>
      </c>
      <c r="T98" s="567">
        <f t="shared" si="81"/>
        <v>36.609904023217325</v>
      </c>
      <c r="U98" s="567">
        <f t="shared" si="81"/>
        <v>37.081699748679263</v>
      </c>
      <c r="V98" s="567">
        <f t="shared" si="81"/>
        <v>37.559575555815904</v>
      </c>
      <c r="W98" s="567">
        <f t="shared" si="81"/>
        <v>38.043609799286209</v>
      </c>
      <c r="X98" s="567">
        <f t="shared" si="81"/>
        <v>38.533881843513967</v>
      </c>
      <c r="Y98" s="567">
        <f t="shared" si="81"/>
        <v>39.030472075700757</v>
      </c>
      <c r="Z98" s="567">
        <f t="shared" si="81"/>
        <v>39.53346191900652</v>
      </c>
      <c r="AA98" s="567">
        <f t="shared" si="81"/>
        <v>40.042933845900151</v>
      </c>
      <c r="AB98" s="567">
        <f t="shared" si="81"/>
        <v>40.558971391682014</v>
      </c>
      <c r="AC98" s="567">
        <f t="shared" si="81"/>
        <v>41.081659168180778</v>
      </c>
      <c r="AD98" s="567">
        <f t="shared" si="81"/>
        <v>41.611082877626721</v>
      </c>
      <c r="AE98" s="567">
        <f t="shared" si="81"/>
        <v>42.147329326703897</v>
      </c>
      <c r="AF98" s="567">
        <f t="shared" si="81"/>
        <v>42.690486440783324</v>
      </c>
    </row>
    <row r="99" spans="2:32" x14ac:dyDescent="0.3">
      <c r="B99" s="572" t="s">
        <v>2686</v>
      </c>
      <c r="C99" s="577">
        <v>0</v>
      </c>
      <c r="D99" s="577">
        <v>0</v>
      </c>
      <c r="E99" s="577">
        <v>0</v>
      </c>
      <c r="F99" s="577">
        <v>0</v>
      </c>
      <c r="G99" s="577">
        <v>0</v>
      </c>
      <c r="H99" s="577">
        <v>0</v>
      </c>
      <c r="I99" s="577">
        <v>0</v>
      </c>
      <c r="J99" s="567">
        <f t="shared" si="82"/>
        <v>0</v>
      </c>
      <c r="K99" s="567">
        <f t="shared" si="81"/>
        <v>0</v>
      </c>
      <c r="L99" s="567">
        <f t="shared" si="81"/>
        <v>0</v>
      </c>
      <c r="M99" s="567">
        <f t="shared" si="81"/>
        <v>0</v>
      </c>
      <c r="N99" s="567">
        <f t="shared" si="81"/>
        <v>0</v>
      </c>
      <c r="O99" s="567">
        <f t="shared" si="81"/>
        <v>0</v>
      </c>
      <c r="P99" s="567">
        <f t="shared" si="81"/>
        <v>0</v>
      </c>
      <c r="Q99" s="567">
        <f t="shared" ref="K99:AF110" si="83">($I99/$I$86)*Q$86</f>
        <v>0</v>
      </c>
      <c r="R99" s="567">
        <f t="shared" si="83"/>
        <v>0</v>
      </c>
      <c r="S99" s="567">
        <f t="shared" si="83"/>
        <v>0</v>
      </c>
      <c r="T99" s="567">
        <f t="shared" si="83"/>
        <v>0</v>
      </c>
      <c r="U99" s="567">
        <f t="shared" si="83"/>
        <v>0</v>
      </c>
      <c r="V99" s="567">
        <f t="shared" si="83"/>
        <v>0</v>
      </c>
      <c r="W99" s="567">
        <f t="shared" si="83"/>
        <v>0</v>
      </c>
      <c r="X99" s="567">
        <f t="shared" si="83"/>
        <v>0</v>
      </c>
      <c r="Y99" s="567">
        <f t="shared" si="83"/>
        <v>0</v>
      </c>
      <c r="Z99" s="567">
        <f t="shared" si="83"/>
        <v>0</v>
      </c>
      <c r="AA99" s="567">
        <f t="shared" si="83"/>
        <v>0</v>
      </c>
      <c r="AB99" s="567">
        <f t="shared" si="83"/>
        <v>0</v>
      </c>
      <c r="AC99" s="567">
        <f t="shared" si="83"/>
        <v>0</v>
      </c>
      <c r="AD99" s="567">
        <f t="shared" si="83"/>
        <v>0</v>
      </c>
      <c r="AE99" s="567">
        <f t="shared" si="83"/>
        <v>0</v>
      </c>
      <c r="AF99" s="567">
        <f t="shared" si="83"/>
        <v>0</v>
      </c>
    </row>
    <row r="100" spans="2:32" x14ac:dyDescent="0.3">
      <c r="B100" s="572" t="s">
        <v>2687</v>
      </c>
      <c r="C100" s="577">
        <v>33</v>
      </c>
      <c r="D100" s="577">
        <v>47.1</v>
      </c>
      <c r="E100" s="577">
        <v>48.5</v>
      </c>
      <c r="F100" s="577">
        <v>50.2</v>
      </c>
      <c r="G100" s="577">
        <v>51.9</v>
      </c>
      <c r="H100" s="577">
        <v>53.8</v>
      </c>
      <c r="I100" s="577">
        <v>55.7</v>
      </c>
      <c r="J100" s="567">
        <f t="shared" si="82"/>
        <v>56.417811821947538</v>
      </c>
      <c r="K100" s="567">
        <f t="shared" si="83"/>
        <v>57.144874161161262</v>
      </c>
      <c r="L100" s="567">
        <f t="shared" si="83"/>
        <v>57.881306230040721</v>
      </c>
      <c r="M100" s="567">
        <f t="shared" si="83"/>
        <v>58.627228777288259</v>
      </c>
      <c r="N100" s="567">
        <f t="shared" si="83"/>
        <v>59.382764107707651</v>
      </c>
      <c r="O100" s="567">
        <f t="shared" si="83"/>
        <v>60.148036102257635</v>
      </c>
      <c r="P100" s="567">
        <f t="shared" si="83"/>
        <v>60.923170238364051</v>
      </c>
      <c r="Q100" s="567">
        <f t="shared" si="83"/>
        <v>61.708293610493662</v>
      </c>
      <c r="R100" s="567">
        <f t="shared" si="83"/>
        <v>62.503534950993163</v>
      </c>
      <c r="S100" s="567">
        <f t="shared" si="83"/>
        <v>63.309024651196644</v>
      </c>
      <c r="T100" s="567">
        <f t="shared" si="83"/>
        <v>64.1248947828052</v>
      </c>
      <c r="U100" s="567">
        <f t="shared" si="83"/>
        <v>64.951279119541994</v>
      </c>
      <c r="V100" s="567">
        <f t="shared" si="83"/>
        <v>65.788313159086357</v>
      </c>
      <c r="W100" s="567">
        <f t="shared" si="83"/>
        <v>66.63613414529064</v>
      </c>
      <c r="X100" s="567">
        <f t="shared" si="83"/>
        <v>67.494881090683279</v>
      </c>
      <c r="Y100" s="567">
        <f t="shared" si="83"/>
        <v>68.364694799262026</v>
      </c>
      <c r="Z100" s="567">
        <f t="shared" si="83"/>
        <v>69.245717889580604</v>
      </c>
      <c r="AA100" s="567">
        <f t="shared" si="83"/>
        <v>70.138094818133297</v>
      </c>
      <c r="AB100" s="567">
        <f t="shared" si="83"/>
        <v>71.041971903040519</v>
      </c>
      <c r="AC100" s="567">
        <f t="shared" si="83"/>
        <v>71.957497348039922</v>
      </c>
      <c r="AD100" s="567">
        <f t="shared" si="83"/>
        <v>72.884821266786446</v>
      </c>
      <c r="AE100" s="567">
        <f t="shared" si="83"/>
        <v>73.824095707465645</v>
      </c>
      <c r="AF100" s="567">
        <f t="shared" si="83"/>
        <v>74.775474677724247</v>
      </c>
    </row>
    <row r="101" spans="2:32" x14ac:dyDescent="0.3">
      <c r="B101" s="572" t="s">
        <v>2688</v>
      </c>
      <c r="C101" s="577">
        <v>62.3</v>
      </c>
      <c r="D101" s="577">
        <v>84.7</v>
      </c>
      <c r="E101" s="577">
        <v>58.3</v>
      </c>
      <c r="F101" s="577">
        <v>59.7</v>
      </c>
      <c r="G101" s="577">
        <v>61.8</v>
      </c>
      <c r="H101" s="577">
        <v>63.7</v>
      </c>
      <c r="I101" s="577">
        <v>65.599999999999994</v>
      </c>
      <c r="J101" s="567">
        <f t="shared" si="82"/>
        <v>66.445394174501928</v>
      </c>
      <c r="K101" s="567">
        <f t="shared" si="83"/>
        <v>67.301683033611823</v>
      </c>
      <c r="L101" s="567">
        <f t="shared" si="83"/>
        <v>68.169006978288522</v>
      </c>
      <c r="M101" s="567">
        <f t="shared" si="83"/>
        <v>69.047508218852954</v>
      </c>
      <c r="N101" s="567">
        <f t="shared" si="83"/>
        <v>69.937330798305595</v>
      </c>
      <c r="O101" s="567">
        <f t="shared" si="83"/>
        <v>70.83862061594435</v>
      </c>
      <c r="P101" s="567">
        <f t="shared" si="83"/>
        <v>71.751525451286923</v>
      </c>
      <c r="Q101" s="567">
        <f t="shared" si="83"/>
        <v>72.676194988301319</v>
      </c>
      <c r="R101" s="567">
        <f t="shared" si="83"/>
        <v>73.612780839948854</v>
      </c>
      <c r="S101" s="567">
        <f t="shared" si="83"/>
        <v>74.561436573043068</v>
      </c>
      <c r="T101" s="567">
        <f t="shared" si="83"/>
        <v>75.522317733429446</v>
      </c>
      <c r="U101" s="567">
        <f t="shared" si="83"/>
        <v>76.495581871489293</v>
      </c>
      <c r="V101" s="567">
        <f t="shared" si="83"/>
        <v>77.481388567972431</v>
      </c>
      <c r="W101" s="567">
        <f t="shared" si="83"/>
        <v>78.479899460162741</v>
      </c>
      <c r="X101" s="567">
        <f t="shared" si="83"/>
        <v>79.491278268381009</v>
      </c>
      <c r="Y101" s="567">
        <f t="shared" si="83"/>
        <v>80.515690822829228</v>
      </c>
      <c r="Z101" s="567">
        <f t="shared" si="83"/>
        <v>81.553305090780739</v>
      </c>
      <c r="AA101" s="567">
        <f t="shared" si="83"/>
        <v>82.604291204121068</v>
      </c>
      <c r="AB101" s="567">
        <f t="shared" si="83"/>
        <v>83.668821487243392</v>
      </c>
      <c r="AC101" s="567">
        <f t="shared" si="83"/>
        <v>84.747070485303738</v>
      </c>
      <c r="AD101" s="567">
        <f t="shared" si="83"/>
        <v>85.839214992840027</v>
      </c>
      <c r="AE101" s="567">
        <f t="shared" si="83"/>
        <v>86.945434082760244</v>
      </c>
      <c r="AF101" s="567">
        <f t="shared" si="83"/>
        <v>88.065909135703947</v>
      </c>
    </row>
    <row r="102" spans="2:32" x14ac:dyDescent="0.3">
      <c r="B102" s="572" t="s">
        <v>2689</v>
      </c>
      <c r="C102" s="577">
        <v>229.9</v>
      </c>
      <c r="D102" s="577">
        <v>261</v>
      </c>
      <c r="E102" s="577">
        <v>283</v>
      </c>
      <c r="F102" s="577">
        <v>300</v>
      </c>
      <c r="G102" s="577">
        <v>315</v>
      </c>
      <c r="H102" s="577">
        <v>328</v>
      </c>
      <c r="I102" s="577">
        <v>342</v>
      </c>
      <c r="J102" s="567">
        <f t="shared" si="82"/>
        <v>346.40739036097051</v>
      </c>
      <c r="K102" s="567">
        <f t="shared" si="83"/>
        <v>350.87157923011046</v>
      </c>
      <c r="L102" s="567">
        <f t="shared" si="83"/>
        <v>355.39329857583351</v>
      </c>
      <c r="M102" s="567">
        <f t="shared" si="83"/>
        <v>359.97328979950782</v>
      </c>
      <c r="N102" s="567">
        <f t="shared" si="83"/>
        <v>364.61230385702004</v>
      </c>
      <c r="O102" s="567">
        <f t="shared" si="83"/>
        <v>369.31110138190502</v>
      </c>
      <c r="P102" s="567">
        <f t="shared" si="83"/>
        <v>374.07045281006293</v>
      </c>
      <c r="Q102" s="567">
        <f t="shared" si="83"/>
        <v>378.89113850608317</v>
      </c>
      <c r="R102" s="567">
        <f t="shared" si="83"/>
        <v>383.77394889119682</v>
      </c>
      <c r="S102" s="567">
        <f t="shared" si="83"/>
        <v>388.71968457287704</v>
      </c>
      <c r="T102" s="567">
        <f t="shared" si="83"/>
        <v>393.72915647611086</v>
      </c>
      <c r="U102" s="567">
        <f t="shared" si="83"/>
        <v>398.80318597636199</v>
      </c>
      <c r="V102" s="567">
        <f t="shared" si="83"/>
        <v>403.94260503424653</v>
      </c>
      <c r="W102" s="567">
        <f t="shared" si="83"/>
        <v>409.14825633194607</v>
      </c>
      <c r="X102" s="567">
        <f t="shared" si="83"/>
        <v>414.42099341137668</v>
      </c>
      <c r="Y102" s="567">
        <f t="shared" si="83"/>
        <v>419.76168081414028</v>
      </c>
      <c r="Z102" s="567">
        <f t="shared" si="83"/>
        <v>425.17119422327767</v>
      </c>
      <c r="AA102" s="567">
        <f t="shared" si="83"/>
        <v>430.65042060685073</v>
      </c>
      <c r="AB102" s="567">
        <f t="shared" si="83"/>
        <v>436.2002583633726</v>
      </c>
      <c r="AC102" s="567">
        <f t="shared" si="83"/>
        <v>441.82161746911407</v>
      </c>
      <c r="AD102" s="567">
        <f t="shared" si="83"/>
        <v>447.5154196273063</v>
      </c>
      <c r="AE102" s="567">
        <f t="shared" si="83"/>
        <v>453.28259841926842</v>
      </c>
      <c r="AF102" s="567">
        <f t="shared" si="83"/>
        <v>459.12409945748107</v>
      </c>
    </row>
    <row r="103" spans="2:32" x14ac:dyDescent="0.3">
      <c r="B103" s="572" t="s">
        <v>2690</v>
      </c>
      <c r="C103" s="577">
        <v>180.1</v>
      </c>
      <c r="D103" s="577">
        <v>162.4</v>
      </c>
      <c r="E103" s="577">
        <v>181</v>
      </c>
      <c r="F103" s="577">
        <v>192</v>
      </c>
      <c r="G103" s="577">
        <v>198</v>
      </c>
      <c r="H103" s="577">
        <v>204</v>
      </c>
      <c r="I103" s="577">
        <v>210</v>
      </c>
      <c r="J103" s="567">
        <f t="shared" si="82"/>
        <v>212.70629232691172</v>
      </c>
      <c r="K103" s="567">
        <f t="shared" si="83"/>
        <v>215.44746093076958</v>
      </c>
      <c r="L103" s="567">
        <f t="shared" si="83"/>
        <v>218.22395526586268</v>
      </c>
      <c r="M103" s="567">
        <f t="shared" si="83"/>
        <v>221.03623057864516</v>
      </c>
      <c r="N103" s="567">
        <f t="shared" si="83"/>
        <v>223.88474798238073</v>
      </c>
      <c r="O103" s="567">
        <f t="shared" si="83"/>
        <v>226.76997453274871</v>
      </c>
      <c r="P103" s="567">
        <f t="shared" si="83"/>
        <v>229.69238330442462</v>
      </c>
      <c r="Q103" s="567">
        <f t="shared" si="83"/>
        <v>232.65245346864756</v>
      </c>
      <c r="R103" s="567">
        <f t="shared" si="83"/>
        <v>235.65067037178753</v>
      </c>
      <c r="S103" s="567">
        <f t="shared" si="83"/>
        <v>238.68752561492451</v>
      </c>
      <c r="T103" s="567">
        <f t="shared" si="83"/>
        <v>241.76351713445405</v>
      </c>
      <c r="U103" s="567">
        <f t="shared" si="83"/>
        <v>244.87914928373104</v>
      </c>
      <c r="V103" s="567">
        <f t="shared" si="83"/>
        <v>248.03493291576544</v>
      </c>
      <c r="W103" s="567">
        <f t="shared" si="83"/>
        <v>251.23138546698445</v>
      </c>
      <c r="X103" s="567">
        <f t="shared" si="83"/>
        <v>254.46903104207342</v>
      </c>
      <c r="Y103" s="567">
        <f t="shared" si="83"/>
        <v>257.7484004999107</v>
      </c>
      <c r="Z103" s="567">
        <f t="shared" si="83"/>
        <v>261.07003154060914</v>
      </c>
      <c r="AA103" s="567">
        <f t="shared" si="83"/>
        <v>264.43446879368025</v>
      </c>
      <c r="AB103" s="567">
        <f t="shared" si="83"/>
        <v>267.84226390733409</v>
      </c>
      <c r="AC103" s="567">
        <f t="shared" si="83"/>
        <v>271.29397563892968</v>
      </c>
      <c r="AD103" s="567">
        <f t="shared" si="83"/>
        <v>274.79016994659162</v>
      </c>
      <c r="AE103" s="567">
        <f t="shared" si="83"/>
        <v>278.3314200820069</v>
      </c>
      <c r="AF103" s="567">
        <f t="shared" si="83"/>
        <v>281.91830668441821</v>
      </c>
    </row>
    <row r="104" spans="2:32" x14ac:dyDescent="0.3">
      <c r="B104" s="572" t="s">
        <v>2691</v>
      </c>
      <c r="C104" s="577">
        <v>59.3</v>
      </c>
      <c r="D104" s="577">
        <v>59</v>
      </c>
      <c r="E104" s="577">
        <v>59</v>
      </c>
      <c r="F104" s="577">
        <v>62</v>
      </c>
      <c r="G104" s="577">
        <v>65</v>
      </c>
      <c r="H104" s="577">
        <v>68.3</v>
      </c>
      <c r="I104" s="577">
        <v>71.7</v>
      </c>
      <c r="J104" s="567">
        <f t="shared" si="82"/>
        <v>72.624005523045568</v>
      </c>
      <c r="K104" s="567">
        <f t="shared" si="83"/>
        <v>73.55991880350561</v>
      </c>
      <c r="L104" s="567">
        <f t="shared" si="83"/>
        <v>74.50789329791597</v>
      </c>
      <c r="M104" s="567">
        <f t="shared" si="83"/>
        <v>75.468084440423127</v>
      </c>
      <c r="N104" s="567">
        <f t="shared" si="83"/>
        <v>76.440649668269998</v>
      </c>
      <c r="O104" s="567">
        <f t="shared" si="83"/>
        <v>77.425748447609919</v>
      </c>
      <c r="P104" s="567">
        <f t="shared" si="83"/>
        <v>78.423542299653548</v>
      </c>
      <c r="Q104" s="567">
        <f t="shared" si="83"/>
        <v>79.434194827152524</v>
      </c>
      <c r="R104" s="567">
        <f t="shared" si="83"/>
        <v>80.457871741224594</v>
      </c>
      <c r="S104" s="567">
        <f t="shared" si="83"/>
        <v>81.49474088852422</v>
      </c>
      <c r="T104" s="567">
        <f t="shared" si="83"/>
        <v>82.544972278763595</v>
      </c>
      <c r="U104" s="567">
        <f t="shared" si="83"/>
        <v>83.608738112588156</v>
      </c>
      <c r="V104" s="567">
        <f t="shared" si="83"/>
        <v>84.686212809811337</v>
      </c>
      <c r="W104" s="567">
        <f t="shared" si="83"/>
        <v>85.777573038013259</v>
      </c>
      <c r="X104" s="567">
        <f t="shared" si="83"/>
        <v>86.882997741507921</v>
      </c>
      <c r="Y104" s="567">
        <f t="shared" si="83"/>
        <v>88.002668170683791</v>
      </c>
      <c r="Z104" s="567">
        <f t="shared" si="83"/>
        <v>89.136767911722245</v>
      </c>
      <c r="AA104" s="567">
        <f t="shared" si="83"/>
        <v>90.285482916699408</v>
      </c>
      <c r="AB104" s="567">
        <f t="shared" si="83"/>
        <v>91.449001534075492</v>
      </c>
      <c r="AC104" s="567">
        <f t="shared" si="83"/>
        <v>92.627514539577419</v>
      </c>
      <c r="AD104" s="567">
        <f t="shared" si="83"/>
        <v>93.821215167479124</v>
      </c>
      <c r="AE104" s="567">
        <f t="shared" si="83"/>
        <v>95.030299142285216</v>
      </c>
      <c r="AF104" s="567">
        <f t="shared" si="83"/>
        <v>96.254964710822776</v>
      </c>
    </row>
    <row r="105" spans="2:32" x14ac:dyDescent="0.3">
      <c r="B105" s="572" t="s">
        <v>2692</v>
      </c>
      <c r="C105" s="577">
        <v>1543.8</v>
      </c>
      <c r="D105" s="577">
        <v>1977.9</v>
      </c>
      <c r="E105" s="577">
        <v>2478.8000000000002</v>
      </c>
      <c r="F105" s="577">
        <v>2424</v>
      </c>
      <c r="G105" s="577">
        <v>2534.1999999999998</v>
      </c>
      <c r="H105" s="577">
        <v>2308.8000000000002</v>
      </c>
      <c r="I105" s="577">
        <v>1981.1</v>
      </c>
      <c r="J105" s="567">
        <f t="shared" si="82"/>
        <v>2006.630646327832</v>
      </c>
      <c r="K105" s="567">
        <f t="shared" si="83"/>
        <v>2032.490308809274</v>
      </c>
      <c r="L105" s="567">
        <f t="shared" si="83"/>
        <v>2058.6832275104784</v>
      </c>
      <c r="M105" s="567">
        <f t="shared" si="83"/>
        <v>2085.2136971397804</v>
      </c>
      <c r="N105" s="567">
        <f t="shared" si="83"/>
        <v>2112.0860677518781</v>
      </c>
      <c r="O105" s="567">
        <f t="shared" si="83"/>
        <v>2139.3047454610878</v>
      </c>
      <c r="P105" s="567">
        <f t="shared" si="83"/>
        <v>2166.8741931637883</v>
      </c>
      <c r="Q105" s="567">
        <f t="shared" si="83"/>
        <v>2194.7989312701793</v>
      </c>
      <c r="R105" s="567">
        <f t="shared" si="83"/>
        <v>2223.0835384454676</v>
      </c>
      <c r="S105" s="567">
        <f t="shared" si="83"/>
        <v>2251.7326523606043</v>
      </c>
      <c r="T105" s="567">
        <f t="shared" si="83"/>
        <v>2280.7509704526992</v>
      </c>
      <c r="U105" s="567">
        <f t="shared" si="83"/>
        <v>2310.1432506952356</v>
      </c>
      <c r="V105" s="567">
        <f t="shared" si="83"/>
        <v>2339.9143123782037</v>
      </c>
      <c r="W105" s="567">
        <f t="shared" si="83"/>
        <v>2370.0690368982991</v>
      </c>
      <c r="X105" s="567">
        <f t="shared" si="83"/>
        <v>2400.6123685592934</v>
      </c>
      <c r="Y105" s="567">
        <f t="shared" si="83"/>
        <v>2431.5493153827283</v>
      </c>
      <c r="Z105" s="567">
        <f t="shared" si="83"/>
        <v>2462.8849499290509</v>
      </c>
      <c r="AA105" s="567">
        <f t="shared" si="83"/>
        <v>2494.6244101293328</v>
      </c>
      <c r="AB105" s="567">
        <f t="shared" si="83"/>
        <v>2526.7729001277116</v>
      </c>
      <c r="AC105" s="567">
        <f t="shared" si="83"/>
        <v>2559.3356911346837</v>
      </c>
      <c r="AD105" s="567">
        <f t="shared" si="83"/>
        <v>2592.3181222913931</v>
      </c>
      <c r="AE105" s="567">
        <f t="shared" si="83"/>
        <v>2625.7256015450657</v>
      </c>
      <c r="AF105" s="567">
        <f t="shared" si="83"/>
        <v>2659.563606535718</v>
      </c>
    </row>
    <row r="106" spans="2:32" x14ac:dyDescent="0.3">
      <c r="B106" s="572" t="s">
        <v>2693</v>
      </c>
      <c r="C106" s="577">
        <v>952.7</v>
      </c>
      <c r="D106" s="577">
        <v>1058.2</v>
      </c>
      <c r="E106" s="577">
        <v>1483</v>
      </c>
      <c r="F106" s="577">
        <v>1445.9</v>
      </c>
      <c r="G106" s="577">
        <v>1586.3</v>
      </c>
      <c r="H106" s="577">
        <v>1421.9</v>
      </c>
      <c r="I106" s="577">
        <v>1108.7</v>
      </c>
      <c r="J106" s="567">
        <f t="shared" si="82"/>
        <v>1122.987934775462</v>
      </c>
      <c r="K106" s="567">
        <f t="shared" si="83"/>
        <v>1137.4599996854488</v>
      </c>
      <c r="L106" s="567">
        <f t="shared" si="83"/>
        <v>1152.1185676345808</v>
      </c>
      <c r="M106" s="567">
        <f t="shared" si="83"/>
        <v>1166.9660421073518</v>
      </c>
      <c r="N106" s="567">
        <f t="shared" si="83"/>
        <v>1182.0048575622168</v>
      </c>
      <c r="O106" s="567">
        <f t="shared" si="83"/>
        <v>1197.2374798307549</v>
      </c>
      <c r="P106" s="567">
        <f t="shared" si="83"/>
        <v>1212.6664065219791</v>
      </c>
      <c r="Q106" s="567">
        <f t="shared" si="83"/>
        <v>1228.2941674318552</v>
      </c>
      <c r="R106" s="567">
        <f t="shared" si="83"/>
        <v>1244.1233249580991</v>
      </c>
      <c r="S106" s="567">
        <f t="shared" si="83"/>
        <v>1260.1564745203182</v>
      </c>
      <c r="T106" s="567">
        <f t="shared" si="83"/>
        <v>1276.3962449855676</v>
      </c>
      <c r="U106" s="567">
        <f t="shared" si="83"/>
        <v>1292.8452990993933</v>
      </c>
      <c r="V106" s="567">
        <f t="shared" si="83"/>
        <v>1309.5063339224243</v>
      </c>
      <c r="W106" s="567">
        <f t="shared" si="83"/>
        <v>1326.3820812725983</v>
      </c>
      <c r="X106" s="567">
        <f t="shared" si="83"/>
        <v>1343.4753081730801</v>
      </c>
      <c r="Y106" s="567">
        <f t="shared" si="83"/>
        <v>1360.7888173059571</v>
      </c>
      <c r="Z106" s="567">
        <f t="shared" si="83"/>
        <v>1378.3254474717778</v>
      </c>
      <c r="AA106" s="567">
        <f t="shared" si="83"/>
        <v>1396.0880740550158</v>
      </c>
      <c r="AB106" s="567">
        <f t="shared" si="83"/>
        <v>1414.0796094955299</v>
      </c>
      <c r="AC106" s="567">
        <f t="shared" si="83"/>
        <v>1432.3030037661017</v>
      </c>
      <c r="AD106" s="567">
        <f t="shared" si="83"/>
        <v>1450.7612448561244</v>
      </c>
      <c r="AE106" s="567">
        <f t="shared" si="83"/>
        <v>1469.4573592615288</v>
      </c>
      <c r="AF106" s="567">
        <f t="shared" si="83"/>
        <v>1488.3944124810212</v>
      </c>
    </row>
    <row r="107" spans="2:32" x14ac:dyDescent="0.3">
      <c r="B107" s="572" t="s">
        <v>2694</v>
      </c>
      <c r="C107" s="577">
        <v>89.1</v>
      </c>
      <c r="D107" s="577">
        <v>91.7</v>
      </c>
      <c r="E107" s="577">
        <v>92.2</v>
      </c>
      <c r="F107" s="577">
        <v>93.8</v>
      </c>
      <c r="G107" s="577">
        <v>93.2</v>
      </c>
      <c r="H107" s="577">
        <v>95</v>
      </c>
      <c r="I107" s="577">
        <v>95</v>
      </c>
      <c r="J107" s="567">
        <f t="shared" si="82"/>
        <v>96.22427510026958</v>
      </c>
      <c r="K107" s="567">
        <f t="shared" si="83"/>
        <v>97.464327563919568</v>
      </c>
      <c r="L107" s="567">
        <f t="shared" si="83"/>
        <v>98.720360715509301</v>
      </c>
      <c r="M107" s="567">
        <f t="shared" si="83"/>
        <v>99.99258049986328</v>
      </c>
      <c r="N107" s="567">
        <f t="shared" si="83"/>
        <v>101.2811955158389</v>
      </c>
      <c r="O107" s="567">
        <f t="shared" si="83"/>
        <v>102.58641705052916</v>
      </c>
      <c r="P107" s="567">
        <f t="shared" si="83"/>
        <v>103.90845911390637</v>
      </c>
      <c r="Q107" s="567">
        <f t="shared" si="83"/>
        <v>105.24753847391199</v>
      </c>
      <c r="R107" s="567">
        <f t="shared" si="83"/>
        <v>106.60387469199911</v>
      </c>
      <c r="S107" s="567">
        <f t="shared" si="83"/>
        <v>107.97769015913251</v>
      </c>
      <c r="T107" s="567">
        <f t="shared" si="83"/>
        <v>109.36921013225302</v>
      </c>
      <c r="U107" s="567">
        <f t="shared" si="83"/>
        <v>110.77866277121164</v>
      </c>
      <c r="V107" s="567">
        <f t="shared" si="83"/>
        <v>112.20627917617959</v>
      </c>
      <c r="W107" s="567">
        <f t="shared" si="83"/>
        <v>113.65229342554058</v>
      </c>
      <c r="X107" s="567">
        <f t="shared" si="83"/>
        <v>115.1169426142713</v>
      </c>
      <c r="Y107" s="567">
        <f t="shared" si="83"/>
        <v>116.60046689281673</v>
      </c>
      <c r="Z107" s="567">
        <f t="shared" si="83"/>
        <v>118.10310950646601</v>
      </c>
      <c r="AA107" s="567">
        <f t="shared" si="83"/>
        <v>119.6251168352363</v>
      </c>
      <c r="AB107" s="567">
        <f t="shared" si="83"/>
        <v>121.16673843427016</v>
      </c>
      <c r="AC107" s="567">
        <f t="shared" si="83"/>
        <v>122.7282270747539</v>
      </c>
      <c r="AD107" s="567">
        <f t="shared" si="83"/>
        <v>124.30983878536286</v>
      </c>
      <c r="AE107" s="567">
        <f t="shared" si="83"/>
        <v>125.91183289424121</v>
      </c>
      <c r="AF107" s="567">
        <f t="shared" si="83"/>
        <v>127.5344720715225</v>
      </c>
    </row>
    <row r="108" spans="2:32" x14ac:dyDescent="0.3">
      <c r="B108" s="572" t="s">
        <v>2695</v>
      </c>
      <c r="C108" s="577">
        <v>206</v>
      </c>
      <c r="D108" s="577">
        <v>336.9</v>
      </c>
      <c r="E108" s="577">
        <v>421</v>
      </c>
      <c r="F108" s="577">
        <v>418.2</v>
      </c>
      <c r="G108" s="577">
        <v>393.7</v>
      </c>
      <c r="H108" s="577">
        <v>346.7</v>
      </c>
      <c r="I108" s="577">
        <v>345.3</v>
      </c>
      <c r="J108" s="567">
        <f t="shared" si="82"/>
        <v>349.749917811822</v>
      </c>
      <c r="K108" s="567">
        <f t="shared" si="83"/>
        <v>354.25718218759397</v>
      </c>
      <c r="L108" s="567">
        <f t="shared" si="83"/>
        <v>358.82253215858276</v>
      </c>
      <c r="M108" s="567">
        <f t="shared" si="83"/>
        <v>363.44671628002942</v>
      </c>
      <c r="N108" s="567">
        <f t="shared" si="83"/>
        <v>368.13049275388607</v>
      </c>
      <c r="O108" s="567">
        <f t="shared" si="83"/>
        <v>372.87462955313396</v>
      </c>
      <c r="P108" s="567">
        <f t="shared" si="83"/>
        <v>377.67990454770393</v>
      </c>
      <c r="Q108" s="567">
        <f t="shared" si="83"/>
        <v>382.54710563201911</v>
      </c>
      <c r="R108" s="567">
        <f t="shared" si="83"/>
        <v>387.47703085418209</v>
      </c>
      <c r="S108" s="567">
        <f t="shared" si="83"/>
        <v>392.47048854682589</v>
      </c>
      <c r="T108" s="567">
        <f t="shared" si="83"/>
        <v>397.52829745965232</v>
      </c>
      <c r="U108" s="567">
        <f t="shared" si="83"/>
        <v>402.65128689367776</v>
      </c>
      <c r="V108" s="567">
        <f t="shared" si="83"/>
        <v>407.8402968372086</v>
      </c>
      <c r="W108" s="567">
        <f t="shared" si="83"/>
        <v>413.09617810357014</v>
      </c>
      <c r="X108" s="567">
        <f t="shared" si="83"/>
        <v>418.41979247060931</v>
      </c>
      <c r="Y108" s="567">
        <f t="shared" si="83"/>
        <v>423.81201282199601</v>
      </c>
      <c r="Z108" s="567">
        <f t="shared" si="83"/>
        <v>429.27372329034444</v>
      </c>
      <c r="AA108" s="567">
        <f t="shared" si="83"/>
        <v>434.80581940218002</v>
      </c>
      <c r="AB108" s="567">
        <f t="shared" si="83"/>
        <v>440.40920822477364</v>
      </c>
      <c r="AC108" s="567">
        <f t="shared" si="83"/>
        <v>446.08480851486871</v>
      </c>
      <c r="AD108" s="567">
        <f t="shared" si="83"/>
        <v>451.8335508693242</v>
      </c>
      <c r="AE108" s="567">
        <f t="shared" si="83"/>
        <v>457.65637787769998</v>
      </c>
      <c r="AF108" s="567">
        <f t="shared" si="83"/>
        <v>463.55424427680765</v>
      </c>
    </row>
    <row r="109" spans="2:32" x14ac:dyDescent="0.3">
      <c r="B109" s="572" t="s">
        <v>2696</v>
      </c>
      <c r="C109" s="577">
        <v>34.5</v>
      </c>
      <c r="D109" s="577">
        <v>55.7</v>
      </c>
      <c r="E109" s="577">
        <v>26.8</v>
      </c>
      <c r="F109" s="577">
        <v>48.3</v>
      </c>
      <c r="G109" s="577">
        <v>22.6</v>
      </c>
      <c r="H109" s="577">
        <v>22.6</v>
      </c>
      <c r="I109" s="577">
        <v>19.600000000000001</v>
      </c>
      <c r="J109" s="567">
        <f t="shared" si="82"/>
        <v>19.852587283845093</v>
      </c>
      <c r="K109" s="567">
        <f t="shared" si="83"/>
        <v>20.108429686871826</v>
      </c>
      <c r="L109" s="567">
        <f t="shared" si="83"/>
        <v>20.367569158147184</v>
      </c>
      <c r="M109" s="567">
        <f t="shared" si="83"/>
        <v>20.630048187340215</v>
      </c>
      <c r="N109" s="567">
        <f t="shared" si="83"/>
        <v>20.89590981168887</v>
      </c>
      <c r="O109" s="567">
        <f t="shared" si="83"/>
        <v>21.165197623056546</v>
      </c>
      <c r="P109" s="567">
        <f t="shared" si="83"/>
        <v>21.437955775079633</v>
      </c>
      <c r="Q109" s="567">
        <f t="shared" si="83"/>
        <v>21.714228990407108</v>
      </c>
      <c r="R109" s="567">
        <f t="shared" si="83"/>
        <v>21.994062568033502</v>
      </c>
      <c r="S109" s="567">
        <f t="shared" si="83"/>
        <v>22.277502390726287</v>
      </c>
      <c r="T109" s="567">
        <f t="shared" si="83"/>
        <v>22.564594932549046</v>
      </c>
      <c r="U109" s="567">
        <f t="shared" si="83"/>
        <v>22.855387266481564</v>
      </c>
      <c r="V109" s="567">
        <f t="shared" si="83"/>
        <v>23.149927072138105</v>
      </c>
      <c r="W109" s="567">
        <f t="shared" si="83"/>
        <v>23.448262643585213</v>
      </c>
      <c r="X109" s="567">
        <f t="shared" si="83"/>
        <v>23.750442897260186</v>
      </c>
      <c r="Y109" s="567">
        <f t="shared" si="83"/>
        <v>24.056517379991664</v>
      </c>
      <c r="Z109" s="567">
        <f t="shared" si="83"/>
        <v>24.366536277123519</v>
      </c>
      <c r="AA109" s="567">
        <f t="shared" si="83"/>
        <v>24.680550420743494</v>
      </c>
      <c r="AB109" s="567">
        <f t="shared" si="83"/>
        <v>24.998611298017845</v>
      </c>
      <c r="AC109" s="567">
        <f t="shared" si="83"/>
        <v>25.32077105963344</v>
      </c>
      <c r="AD109" s="567">
        <f t="shared" si="83"/>
        <v>25.647082528348548</v>
      </c>
      <c r="AE109" s="567">
        <f t="shared" si="83"/>
        <v>25.977599207653977</v>
      </c>
      <c r="AF109" s="567">
        <f t="shared" si="83"/>
        <v>26.312375290545699</v>
      </c>
    </row>
    <row r="110" spans="2:32" x14ac:dyDescent="0.3">
      <c r="B110" s="572" t="s">
        <v>2697</v>
      </c>
      <c r="C110" s="577">
        <v>17.3</v>
      </c>
      <c r="D110" s="577">
        <v>22.7</v>
      </c>
      <c r="E110" s="577">
        <v>20</v>
      </c>
      <c r="F110" s="577">
        <v>19.899999999999999</v>
      </c>
      <c r="G110" s="577">
        <v>19.899999999999999</v>
      </c>
      <c r="H110" s="577">
        <v>19.899999999999999</v>
      </c>
      <c r="I110" s="577">
        <v>19.899999999999999</v>
      </c>
      <c r="J110" s="567">
        <f t="shared" si="82"/>
        <v>20.156453415740678</v>
      </c>
      <c r="K110" s="567">
        <f t="shared" si="83"/>
        <v>20.41621177391578</v>
      </c>
      <c r="L110" s="567">
        <f t="shared" si="83"/>
        <v>20.679317665669842</v>
      </c>
      <c r="M110" s="567">
        <f t="shared" si="83"/>
        <v>20.945814231023991</v>
      </c>
      <c r="N110" s="567">
        <f t="shared" si="83"/>
        <v>21.215745165949411</v>
      </c>
      <c r="O110" s="567">
        <f t="shared" si="83"/>
        <v>21.489154729531897</v>
      </c>
      <c r="P110" s="567">
        <f t="shared" si="83"/>
        <v>21.766087751228806</v>
      </c>
      <c r="Q110" s="567">
        <f t="shared" si="83"/>
        <v>22.046589638219459</v>
      </c>
      <c r="R110" s="567">
        <f t="shared" si="83"/>
        <v>22.330706382850337</v>
      </c>
      <c r="S110" s="567">
        <f t="shared" si="83"/>
        <v>22.618484570176179</v>
      </c>
      <c r="T110" s="567">
        <f t="shared" si="83"/>
        <v>22.909971385598261</v>
      </c>
      <c r="U110" s="567">
        <f t="shared" si="83"/>
        <v>23.205214622601176</v>
      </c>
      <c r="V110" s="567">
        <f t="shared" si="83"/>
        <v>23.504262690589197</v>
      </c>
      <c r="W110" s="567">
        <f t="shared" si="83"/>
        <v>23.807164622823759</v>
      </c>
      <c r="X110" s="567">
        <f t="shared" si="83"/>
        <v>24.113970084463144</v>
      </c>
      <c r="Y110" s="567">
        <f t="shared" si="83"/>
        <v>24.42472938070582</v>
      </c>
      <c r="Z110" s="567">
        <f t="shared" si="83"/>
        <v>24.73949346503867</v>
      </c>
      <c r="AA110" s="567">
        <f t="shared" si="83"/>
        <v>25.058313947591603</v>
      </c>
      <c r="AB110" s="567">
        <f t="shared" si="83"/>
        <v>25.381243103599751</v>
      </c>
      <c r="AC110" s="567">
        <f t="shared" si="83"/>
        <v>25.708333881974763</v>
      </c>
      <c r="AD110" s="567">
        <f t="shared" ref="K110:AF113" si="84">($I110/$I$86)*AD$86</f>
        <v>26.039639913986534</v>
      </c>
      <c r="AE110" s="567">
        <f t="shared" si="84"/>
        <v>26.375215522056841</v>
      </c>
      <c r="AF110" s="567">
        <f t="shared" si="84"/>
        <v>26.715115728666291</v>
      </c>
    </row>
    <row r="111" spans="2:32" x14ac:dyDescent="0.3">
      <c r="B111" s="572" t="s">
        <v>2698</v>
      </c>
      <c r="C111" s="577">
        <v>120</v>
      </c>
      <c r="D111" s="577">
        <v>198</v>
      </c>
      <c r="E111" s="577">
        <v>176</v>
      </c>
      <c r="F111" s="577">
        <v>155.9</v>
      </c>
      <c r="G111" s="577">
        <v>150</v>
      </c>
      <c r="H111" s="577">
        <v>145.5</v>
      </c>
      <c r="I111" s="577">
        <v>145.5</v>
      </c>
      <c r="J111" s="567">
        <f t="shared" si="82"/>
        <v>147.37507396936024</v>
      </c>
      <c r="K111" s="567">
        <f t="shared" si="84"/>
        <v>149.27431221631892</v>
      </c>
      <c r="L111" s="567">
        <f t="shared" si="84"/>
        <v>151.19802614849056</v>
      </c>
      <c r="M111" s="567">
        <f t="shared" si="84"/>
        <v>153.1465311866327</v>
      </c>
      <c r="N111" s="567">
        <f t="shared" si="84"/>
        <v>155.12014681636379</v>
      </c>
      <c r="O111" s="567">
        <f t="shared" si="84"/>
        <v>157.11919664054733</v>
      </c>
      <c r="P111" s="567">
        <f t="shared" si="84"/>
        <v>159.14400843235134</v>
      </c>
      <c r="Q111" s="567">
        <f t="shared" si="84"/>
        <v>161.19491418899153</v>
      </c>
      <c r="R111" s="567">
        <f t="shared" si="84"/>
        <v>163.27225018616707</v>
      </c>
      <c r="S111" s="567">
        <f t="shared" si="84"/>
        <v>165.37635703319771</v>
      </c>
      <c r="T111" s="567">
        <f t="shared" si="84"/>
        <v>167.50757972887172</v>
      </c>
      <c r="U111" s="567">
        <f t="shared" si="84"/>
        <v>169.66626771801364</v>
      </c>
      <c r="V111" s="567">
        <f t="shared" si="84"/>
        <v>171.85277494878034</v>
      </c>
      <c r="W111" s="567">
        <f t="shared" si="84"/>
        <v>174.06745993069634</v>
      </c>
      <c r="X111" s="567">
        <f t="shared" si="84"/>
        <v>176.31068579343656</v>
      </c>
      <c r="Y111" s="567">
        <f t="shared" si="84"/>
        <v>178.58282034636667</v>
      </c>
      <c r="Z111" s="567">
        <f t="shared" si="84"/>
        <v>180.88423613885058</v>
      </c>
      <c r="AA111" s="567">
        <f t="shared" si="84"/>
        <v>183.21531052133562</v>
      </c>
      <c r="AB111" s="567">
        <f t="shared" si="84"/>
        <v>185.5764257072243</v>
      </c>
      <c r="AC111" s="567">
        <f t="shared" si="84"/>
        <v>187.96796883554416</v>
      </c>
      <c r="AD111" s="567">
        <f t="shared" si="84"/>
        <v>190.39033203442418</v>
      </c>
      <c r="AE111" s="567">
        <f t="shared" si="84"/>
        <v>192.84391248539049</v>
      </c>
      <c r="AF111" s="567">
        <f t="shared" si="84"/>
        <v>195.32911248848973</v>
      </c>
    </row>
    <row r="112" spans="2:32" x14ac:dyDescent="0.3">
      <c r="B112" s="572" t="s">
        <v>2699</v>
      </c>
      <c r="C112" s="577">
        <v>13.3</v>
      </c>
      <c r="D112" s="577">
        <v>13.3</v>
      </c>
      <c r="E112" s="577">
        <v>14.1</v>
      </c>
      <c r="F112" s="577">
        <v>14.1</v>
      </c>
      <c r="G112" s="577">
        <v>14.1</v>
      </c>
      <c r="H112" s="577">
        <v>14.1</v>
      </c>
      <c r="I112" s="577">
        <v>14.1</v>
      </c>
      <c r="J112" s="567">
        <f t="shared" si="82"/>
        <v>14.281708199092641</v>
      </c>
      <c r="K112" s="567">
        <f t="shared" si="84"/>
        <v>14.465758091065956</v>
      </c>
      <c r="L112" s="567">
        <f t="shared" si="84"/>
        <v>14.652179853565064</v>
      </c>
      <c r="M112" s="567">
        <f t="shared" si="84"/>
        <v>14.841004053137601</v>
      </c>
      <c r="N112" s="567">
        <f t="shared" si="84"/>
        <v>15.032261650245562</v>
      </c>
      <c r="O112" s="567">
        <f t="shared" si="84"/>
        <v>15.225984004341697</v>
      </c>
      <c r="P112" s="567">
        <f t="shared" si="84"/>
        <v>15.422202879011365</v>
      </c>
      <c r="Q112" s="567">
        <f t="shared" si="84"/>
        <v>15.62095044718062</v>
      </c>
      <c r="R112" s="567">
        <f t="shared" si="84"/>
        <v>15.822259296391445</v>
      </c>
      <c r="S112" s="567">
        <f t="shared" si="84"/>
        <v>16.026162434144929</v>
      </c>
      <c r="T112" s="567">
        <f t="shared" si="84"/>
        <v>16.232693293313343</v>
      </c>
      <c r="U112" s="567">
        <f t="shared" si="84"/>
        <v>16.441885737621938</v>
      </c>
      <c r="V112" s="567">
        <f t="shared" si="84"/>
        <v>16.65377406720139</v>
      </c>
      <c r="W112" s="567">
        <f t="shared" si="84"/>
        <v>16.868393024211812</v>
      </c>
      <c r="X112" s="567">
        <f t="shared" si="84"/>
        <v>17.085777798539212</v>
      </c>
      <c r="Y112" s="567">
        <f t="shared" si="84"/>
        <v>17.305964033565431</v>
      </c>
      <c r="Z112" s="567">
        <f t="shared" si="84"/>
        <v>17.528987832012323</v>
      </c>
      <c r="AA112" s="567">
        <f t="shared" si="84"/>
        <v>17.754885761861388</v>
      </c>
      <c r="AB112" s="567">
        <f t="shared" si="84"/>
        <v>17.983694862349573</v>
      </c>
      <c r="AC112" s="567">
        <f t="shared" si="84"/>
        <v>18.215452650042419</v>
      </c>
      <c r="AD112" s="567">
        <f t="shared" si="84"/>
        <v>18.450197124985433</v>
      </c>
      <c r="AE112" s="567">
        <f t="shared" si="84"/>
        <v>18.687966776934747</v>
      </c>
      <c r="AF112" s="567">
        <f t="shared" si="84"/>
        <v>18.928800591668075</v>
      </c>
    </row>
    <row r="113" spans="2:33" x14ac:dyDescent="0.3">
      <c r="B113" s="572" t="s">
        <v>2700</v>
      </c>
      <c r="C113" s="577">
        <v>110.8</v>
      </c>
      <c r="D113" s="577">
        <v>201.4</v>
      </c>
      <c r="E113" s="577">
        <v>245.9</v>
      </c>
      <c r="F113" s="577">
        <v>227.8</v>
      </c>
      <c r="G113" s="577">
        <v>254.3</v>
      </c>
      <c r="H113" s="577">
        <v>243</v>
      </c>
      <c r="I113" s="577">
        <v>232.8</v>
      </c>
      <c r="J113" s="567">
        <f t="shared" si="82"/>
        <v>235.80011835097642</v>
      </c>
      <c r="K113" s="567">
        <f t="shared" si="84"/>
        <v>238.83889954611027</v>
      </c>
      <c r="L113" s="567">
        <f t="shared" si="84"/>
        <v>241.91684183758491</v>
      </c>
      <c r="M113" s="567">
        <f t="shared" si="84"/>
        <v>245.03444989861234</v>
      </c>
      <c r="N113" s="567">
        <f t="shared" si="84"/>
        <v>248.19223490618208</v>
      </c>
      <c r="O113" s="567">
        <f t="shared" si="84"/>
        <v>251.3907146248757</v>
      </c>
      <c r="P113" s="567">
        <f t="shared" si="84"/>
        <v>254.63041349176214</v>
      </c>
      <c r="Q113" s="567">
        <f t="shared" si="84"/>
        <v>257.91186270238643</v>
      </c>
      <c r="R113" s="567">
        <f t="shared" si="84"/>
        <v>261.23560029786728</v>
      </c>
      <c r="S113" s="567">
        <f t="shared" si="84"/>
        <v>264.6021712531163</v>
      </c>
      <c r="T113" s="567">
        <f t="shared" si="84"/>
        <v>268.01212756619475</v>
      </c>
      <c r="U113" s="567">
        <f t="shared" si="84"/>
        <v>271.46602834882179</v>
      </c>
      <c r="V113" s="567">
        <f t="shared" si="84"/>
        <v>274.96443991804853</v>
      </c>
      <c r="W113" s="567">
        <f t="shared" si="84"/>
        <v>278.50793588911415</v>
      </c>
      <c r="X113" s="567">
        <f t="shared" si="84"/>
        <v>282.09709726949853</v>
      </c>
      <c r="Y113" s="567">
        <f t="shared" si="84"/>
        <v>285.73251255418671</v>
      </c>
      <c r="Z113" s="567">
        <f t="shared" si="84"/>
        <v>289.41477782216094</v>
      </c>
      <c r="AA113" s="567">
        <f t="shared" si="84"/>
        <v>293.14449683413699</v>
      </c>
      <c r="AB113" s="567">
        <f t="shared" si="84"/>
        <v>296.92228113155892</v>
      </c>
      <c r="AC113" s="567">
        <f t="shared" si="84"/>
        <v>300.74875013687063</v>
      </c>
      <c r="AD113" s="567">
        <f t="shared" si="84"/>
        <v>304.62453125507869</v>
      </c>
      <c r="AE113" s="567">
        <f t="shared" si="84"/>
        <v>308.55025997662477</v>
      </c>
      <c r="AF113" s="567">
        <f t="shared" si="84"/>
        <v>312.52657998158361</v>
      </c>
    </row>
    <row r="114" spans="2:33" x14ac:dyDescent="0.3">
      <c r="C114" s="569"/>
    </row>
    <row r="116" spans="2:33" ht="15" x14ac:dyDescent="0.3">
      <c r="B116" s="1010" t="s">
        <v>2701</v>
      </c>
      <c r="C116" s="1007"/>
      <c r="D116" s="1007"/>
      <c r="E116" s="1007"/>
      <c r="F116" s="1007"/>
      <c r="G116" s="1007"/>
      <c r="H116" s="1007"/>
      <c r="I116" s="1007"/>
      <c r="J116" s="1007"/>
      <c r="K116" s="1007"/>
      <c r="L116" s="1007"/>
      <c r="M116" s="1007"/>
      <c r="N116" s="1007"/>
      <c r="O116" s="1007"/>
      <c r="P116" s="1007"/>
    </row>
    <row r="117" spans="2:33" ht="16.5" x14ac:dyDescent="0.3">
      <c r="B117" s="635"/>
      <c r="D117" s="636"/>
      <c r="E117" s="636"/>
      <c r="F117" s="636"/>
      <c r="G117" s="636"/>
      <c r="H117" s="636"/>
      <c r="I117" s="636"/>
      <c r="J117" s="636"/>
      <c r="K117" s="636"/>
      <c r="L117" s="636"/>
      <c r="M117" s="636"/>
      <c r="N117" s="636"/>
      <c r="O117" s="636"/>
    </row>
    <row r="118" spans="2:33" ht="16.5" x14ac:dyDescent="0.3">
      <c r="B118" s="860" t="s">
        <v>2600</v>
      </c>
      <c r="C118" s="2146" t="s">
        <v>2702</v>
      </c>
      <c r="D118" s="2146"/>
      <c r="E118" s="2146"/>
      <c r="F118" s="2146"/>
      <c r="G118" s="2146"/>
      <c r="H118" s="2146"/>
      <c r="I118" s="2146"/>
      <c r="J118" s="2146"/>
      <c r="K118" s="2146"/>
      <c r="L118" s="2146"/>
      <c r="M118" s="636"/>
      <c r="N118" s="636"/>
      <c r="O118" s="636"/>
    </row>
    <row r="119" spans="2:33" ht="16.5" x14ac:dyDescent="0.3">
      <c r="B119" s="635"/>
      <c r="D119" s="636"/>
      <c r="E119" s="636"/>
      <c r="F119" s="636"/>
      <c r="G119" s="636"/>
      <c r="H119" s="636"/>
      <c r="I119" s="636"/>
      <c r="J119" s="636"/>
      <c r="K119" s="636"/>
      <c r="L119" s="636"/>
      <c r="M119" s="636"/>
      <c r="N119" s="636"/>
      <c r="O119" s="636"/>
    </row>
    <row r="120" spans="2:33" x14ac:dyDescent="0.3">
      <c r="B120" s="556" t="s">
        <v>2703</v>
      </c>
      <c r="C120" s="556" t="s">
        <v>2704</v>
      </c>
      <c r="D120" s="556" t="s">
        <v>2705</v>
      </c>
      <c r="E120" s="556" t="s">
        <v>2706</v>
      </c>
      <c r="F120" s="556" t="s">
        <v>2707</v>
      </c>
      <c r="G120" s="556" t="s">
        <v>2708</v>
      </c>
      <c r="H120" s="556" t="s">
        <v>2709</v>
      </c>
      <c r="I120" s="556" t="s">
        <v>2710</v>
      </c>
      <c r="J120" s="556" t="s">
        <v>2711</v>
      </c>
      <c r="K120" s="556" t="s">
        <v>2712</v>
      </c>
      <c r="L120" s="556" t="s">
        <v>2713</v>
      </c>
      <c r="M120" s="556" t="s">
        <v>2714</v>
      </c>
      <c r="N120" s="556" t="s">
        <v>2715</v>
      </c>
      <c r="O120" s="556" t="s">
        <v>2716</v>
      </c>
      <c r="P120" s="556" t="s">
        <v>476</v>
      </c>
    </row>
    <row r="121" spans="2:33" ht="15" x14ac:dyDescent="0.35">
      <c r="B121" s="572" t="s">
        <v>453</v>
      </c>
      <c r="C121" s="969">
        <v>46.6</v>
      </c>
      <c r="D121" s="969">
        <v>44.7</v>
      </c>
      <c r="E121" s="969">
        <v>44.6</v>
      </c>
      <c r="F121" s="969">
        <v>45.1</v>
      </c>
      <c r="G121" s="969">
        <v>45.7</v>
      </c>
      <c r="H121" s="969">
        <v>47.3</v>
      </c>
      <c r="I121" s="969">
        <v>47.7</v>
      </c>
      <c r="J121" s="969">
        <v>47.5</v>
      </c>
      <c r="K121" s="969">
        <v>48.1</v>
      </c>
      <c r="L121" s="969">
        <v>48.7</v>
      </c>
      <c r="M121" s="969">
        <v>50.9</v>
      </c>
      <c r="N121" s="969">
        <v>48.7</v>
      </c>
      <c r="O121" s="969">
        <v>48.2</v>
      </c>
      <c r="P121" s="637">
        <f>AVERAGE(F121:O121)</f>
        <v>47.79</v>
      </c>
    </row>
    <row r="122" spans="2:33" ht="15" x14ac:dyDescent="0.35">
      <c r="B122" s="572" t="s">
        <v>454</v>
      </c>
      <c r="C122" s="969">
        <v>17.100000000000001</v>
      </c>
      <c r="D122" s="969">
        <v>15.8</v>
      </c>
      <c r="E122" s="969">
        <v>15.9</v>
      </c>
      <c r="F122" s="969">
        <v>16.5</v>
      </c>
      <c r="G122" s="969">
        <v>16.100000000000001</v>
      </c>
      <c r="H122" s="969">
        <v>16.7</v>
      </c>
      <c r="I122" s="969">
        <v>16.2</v>
      </c>
      <c r="J122" s="969">
        <v>15.8</v>
      </c>
      <c r="K122" s="969">
        <v>15.7</v>
      </c>
      <c r="L122" s="969">
        <v>16</v>
      </c>
      <c r="M122" s="969">
        <v>17.399999999999999</v>
      </c>
      <c r="N122" s="969">
        <v>17.100000000000001</v>
      </c>
      <c r="O122" s="969">
        <v>16</v>
      </c>
      <c r="P122" s="637">
        <f t="shared" ref="P122:P125" si="85">AVERAGE(F122:O122)</f>
        <v>16.350000000000001</v>
      </c>
    </row>
    <row r="123" spans="2:33" ht="15" x14ac:dyDescent="0.35">
      <c r="B123" s="572" t="s">
        <v>456</v>
      </c>
      <c r="C123" s="969">
        <v>13.9</v>
      </c>
      <c r="D123" s="969">
        <v>13.6</v>
      </c>
      <c r="E123" s="969">
        <v>13.9</v>
      </c>
      <c r="F123" s="969">
        <v>13.5</v>
      </c>
      <c r="G123" s="969">
        <v>13.9</v>
      </c>
      <c r="H123" s="969">
        <v>14.4</v>
      </c>
      <c r="I123" s="969">
        <v>14.8</v>
      </c>
      <c r="J123" s="969">
        <v>14.2</v>
      </c>
      <c r="K123" s="969">
        <v>14</v>
      </c>
      <c r="L123" s="969">
        <v>14.1</v>
      </c>
      <c r="M123" s="969">
        <v>13.1</v>
      </c>
      <c r="N123" s="969">
        <v>13.3</v>
      </c>
      <c r="O123" s="969">
        <v>12.9</v>
      </c>
      <c r="P123" s="637">
        <f t="shared" si="85"/>
        <v>13.819999999999999</v>
      </c>
    </row>
    <row r="124" spans="2:33" ht="15" x14ac:dyDescent="0.35">
      <c r="B124" s="572" t="s">
        <v>2717</v>
      </c>
      <c r="C124" s="969">
        <v>2.1</v>
      </c>
      <c r="D124" s="969">
        <v>1.9</v>
      </c>
      <c r="E124" s="969">
        <v>1.9</v>
      </c>
      <c r="F124" s="969">
        <v>1.7</v>
      </c>
      <c r="G124" s="969">
        <v>1.3</v>
      </c>
      <c r="H124" s="969">
        <v>1.3</v>
      </c>
      <c r="I124" s="969">
        <v>1.2</v>
      </c>
      <c r="J124" s="969">
        <v>1.2</v>
      </c>
      <c r="K124" s="969">
        <v>1.2</v>
      </c>
      <c r="L124" s="969">
        <v>1.2</v>
      </c>
      <c r="M124" s="969">
        <v>2.5</v>
      </c>
      <c r="N124" s="969">
        <v>1.8</v>
      </c>
      <c r="O124" s="969">
        <v>1.5</v>
      </c>
      <c r="P124" s="637">
        <f t="shared" si="85"/>
        <v>1.49</v>
      </c>
    </row>
    <row r="125" spans="2:33" ht="15" x14ac:dyDescent="0.35">
      <c r="B125" s="572" t="s">
        <v>2718</v>
      </c>
      <c r="C125" s="969">
        <v>24.5</v>
      </c>
      <c r="D125" s="969">
        <v>27.8</v>
      </c>
      <c r="E125" s="969">
        <v>27.5</v>
      </c>
      <c r="F125" s="969">
        <v>26.6</v>
      </c>
      <c r="G125" s="969">
        <v>25.7</v>
      </c>
      <c r="H125" s="969">
        <v>22.9</v>
      </c>
      <c r="I125" s="969">
        <v>22.5</v>
      </c>
      <c r="J125" s="969">
        <v>23.7</v>
      </c>
      <c r="K125" s="969">
        <v>23.4</v>
      </c>
      <c r="L125" s="969">
        <v>22.4</v>
      </c>
      <c r="M125" s="969">
        <v>21.2</v>
      </c>
      <c r="N125" s="969">
        <v>22.6</v>
      </c>
      <c r="O125" s="969">
        <v>24.5</v>
      </c>
      <c r="P125" s="637">
        <f t="shared" si="85"/>
        <v>23.549999999999997</v>
      </c>
    </row>
    <row r="128" spans="2:33" ht="19.5" thickBot="1" x14ac:dyDescent="0.35">
      <c r="B128" s="1165" t="s">
        <v>2719</v>
      </c>
      <c r="C128" s="588"/>
      <c r="D128" s="588"/>
      <c r="E128" s="588"/>
      <c r="F128" s="588"/>
      <c r="G128" s="588"/>
      <c r="H128" s="588"/>
      <c r="I128" s="588"/>
      <c r="J128" s="588"/>
      <c r="K128" s="588"/>
      <c r="L128" s="588"/>
      <c r="M128" s="588"/>
      <c r="N128" s="588"/>
      <c r="O128" s="588"/>
      <c r="P128" s="588"/>
      <c r="Q128" s="588"/>
      <c r="R128" s="588"/>
      <c r="S128" s="588"/>
      <c r="T128" s="588"/>
      <c r="U128" s="588"/>
      <c r="V128" s="588"/>
      <c r="W128" s="588"/>
      <c r="X128" s="588"/>
      <c r="Y128" s="588"/>
      <c r="Z128" s="588"/>
      <c r="AA128" s="588"/>
      <c r="AB128" s="588"/>
      <c r="AC128" s="588"/>
      <c r="AD128" s="588"/>
      <c r="AE128" s="588"/>
      <c r="AF128" s="588"/>
      <c r="AG128" s="588"/>
    </row>
    <row r="130" spans="2:9" ht="15" x14ac:dyDescent="0.3">
      <c r="B130" s="1007" t="s">
        <v>2720</v>
      </c>
      <c r="C130" s="1007"/>
      <c r="D130" s="1007"/>
      <c r="E130" s="1007"/>
      <c r="F130" s="1007"/>
      <c r="G130" s="1007"/>
      <c r="H130" s="1007"/>
      <c r="I130" s="1007"/>
    </row>
    <row r="131" spans="2:9" x14ac:dyDescent="0.3">
      <c r="B131" s="860" t="s">
        <v>2600</v>
      </c>
      <c r="C131" s="2162" t="s">
        <v>2721</v>
      </c>
      <c r="D131" s="2163"/>
      <c r="E131" s="2163"/>
      <c r="F131" s="2163"/>
      <c r="G131" s="2163"/>
      <c r="H131" s="2163"/>
      <c r="I131" s="2164"/>
    </row>
    <row r="133" spans="2:9" x14ac:dyDescent="0.3">
      <c r="B133" s="612" t="s">
        <v>2722</v>
      </c>
      <c r="C133" s="585" cm="1">
        <f t="array" ref="C133:G133">TRANSPOSE(Baseline!AD6:AD10)/Baseline!AD11</f>
        <v>0.15185814422852076</v>
      </c>
      <c r="D133" s="585">
        <v>0.33446675526470854</v>
      </c>
      <c r="E133" s="585">
        <v>0.17149527776605353</v>
      </c>
      <c r="F133" s="585">
        <v>0.31081271243871134</v>
      </c>
      <c r="G133" s="585">
        <v>3.1367110302005889E-2</v>
      </c>
    </row>
    <row r="134" spans="2:9" x14ac:dyDescent="0.3">
      <c r="B134" s="595"/>
      <c r="C134" s="595" t="s">
        <v>50</v>
      </c>
      <c r="D134" s="595" t="s">
        <v>51</v>
      </c>
      <c r="E134" s="595" t="s">
        <v>52</v>
      </c>
      <c r="F134" s="595" t="s">
        <v>53</v>
      </c>
      <c r="G134" s="595" t="s">
        <v>54</v>
      </c>
      <c r="H134" s="595" t="s">
        <v>2723</v>
      </c>
      <c r="I134" s="595" t="s">
        <v>470</v>
      </c>
    </row>
    <row r="135" spans="2:9" x14ac:dyDescent="0.3">
      <c r="B135" s="638" t="s">
        <v>388</v>
      </c>
      <c r="C135" s="639">
        <f t="shared" ref="C135:C140" si="86">S156</f>
        <v>0.10317241638291583</v>
      </c>
      <c r="D135" s="600">
        <v>0</v>
      </c>
      <c r="E135" s="600">
        <v>0</v>
      </c>
      <c r="F135" s="639">
        <f>SUM(S238:S241)</f>
        <v>0.89766686718609423</v>
      </c>
      <c r="G135" s="585">
        <f>Baseline!AD1296/Baseline!AD1309</f>
        <v>0.75525651808242222</v>
      </c>
      <c r="H135" s="582">
        <f>SUMPRODUCT($C$133:$G$133,C135:G135)</f>
        <v>0.31836406005295242</v>
      </c>
      <c r="I135" s="640">
        <f t="shared" ref="I135:I140" si="87">H135/$H$141</f>
        <v>0.31835925931701969</v>
      </c>
    </row>
    <row r="136" spans="2:9" x14ac:dyDescent="0.3">
      <c r="B136" s="638" t="s">
        <v>389</v>
      </c>
      <c r="C136" s="639">
        <f t="shared" si="86"/>
        <v>0.23872907169427657</v>
      </c>
      <c r="D136" s="600">
        <v>0</v>
      </c>
      <c r="E136" s="600">
        <v>0</v>
      </c>
      <c r="F136" s="639">
        <f>S242</f>
        <v>2.0574367766823833E-2</v>
      </c>
      <c r="G136" s="585">
        <f>Baseline!AD1300/Baseline!AD1309</f>
        <v>3.4763106251752177E-2</v>
      </c>
      <c r="H136" s="582">
        <f t="shared" ref="H136:H140" si="88">SUMPRODUCT($C$133:$G$133,C136:G136)</f>
        <v>4.3738147041447489E-2</v>
      </c>
      <c r="I136" s="640">
        <f t="shared" si="87"/>
        <v>4.3737487496855368E-2</v>
      </c>
    </row>
    <row r="137" spans="2:9" x14ac:dyDescent="0.3">
      <c r="B137" s="638" t="s">
        <v>390</v>
      </c>
      <c r="C137" s="639">
        <f t="shared" si="86"/>
        <v>3.2568433019642524E-3</v>
      </c>
      <c r="D137" s="600">
        <v>0</v>
      </c>
      <c r="E137" s="600">
        <v>0</v>
      </c>
      <c r="F137" s="600">
        <v>0</v>
      </c>
      <c r="G137" s="585">
        <f>Baseline!AD1301/Baseline!AD1309</f>
        <v>3.3641715727502097E-3</v>
      </c>
      <c r="H137" s="582">
        <f t="shared" si="88"/>
        <v>6.0010252067670773E-4</v>
      </c>
      <c r="I137" s="640">
        <f t="shared" si="87"/>
        <v>6.0009347149655263E-4</v>
      </c>
    </row>
    <row r="138" spans="2:9" x14ac:dyDescent="0.3">
      <c r="B138" s="638" t="s">
        <v>391</v>
      </c>
      <c r="C138" s="639">
        <f t="shared" si="86"/>
        <v>4.5216233578577056E-2</v>
      </c>
      <c r="D138" s="600">
        <v>0</v>
      </c>
      <c r="E138" s="600">
        <v>0</v>
      </c>
      <c r="F138" s="639">
        <f>SUM(S243:S245)</f>
        <v>6.4936780001525515E-2</v>
      </c>
      <c r="G138" s="585">
        <f>Baseline!AD1307/Baseline!AD1309</f>
        <v>2.9436501261564336E-2</v>
      </c>
      <c r="H138" s="582">
        <f t="shared" si="88"/>
        <v>2.7972968031532677E-2</v>
      </c>
      <c r="I138" s="640">
        <f t="shared" si="87"/>
        <v>2.7972546216228675E-2</v>
      </c>
    </row>
    <row r="139" spans="2:9" x14ac:dyDescent="0.3">
      <c r="B139" s="638" t="s">
        <v>392</v>
      </c>
      <c r="C139" s="639">
        <f t="shared" si="86"/>
        <v>9.7069623729229393E-2</v>
      </c>
      <c r="D139" s="641">
        <f>AVERAGE(Baseline!AD669:'Baseline'!AL669)/AVERAGE(Baseline!AD696:'Baseline'!AL696)</f>
        <v>0.81424863687308147</v>
      </c>
      <c r="E139" s="642">
        <f>AVERAGE(Baseline!AD869:AL869)/AVERAGE(Baseline!AD916:AL916)</f>
        <v>0.47804953523320071</v>
      </c>
      <c r="F139" s="600">
        <v>0</v>
      </c>
      <c r="G139" s="585">
        <f>Baseline!AD1306/Baseline!AD1309</f>
        <v>1.9624334174376225E-2</v>
      </c>
      <c r="H139" s="582">
        <f t="shared" si="88"/>
        <v>0.3696787089595347</v>
      </c>
      <c r="I139" s="640">
        <f t="shared" si="87"/>
        <v>0.36967313442998079</v>
      </c>
    </row>
    <row r="140" spans="2:9" x14ac:dyDescent="0.3">
      <c r="B140" s="638" t="s">
        <v>393</v>
      </c>
      <c r="C140" s="639">
        <f t="shared" si="86"/>
        <v>0.51265511199796931</v>
      </c>
      <c r="D140" s="642">
        <f>AVERAGE(Baseline!AD683:'Baseline'!AL683)/AVERAGE(Baseline!AD696:'Baseline'!AL696)</f>
        <v>0.18575136312691845</v>
      </c>
      <c r="E140" s="641">
        <f>AVERAGE(Baseline!AD891:AL891)/AVERAGE(Baseline!AD916:AL916)</f>
        <v>0.52195046476679907</v>
      </c>
      <c r="F140" s="602">
        <f>S246</f>
        <v>1.6821985045556383E-2</v>
      </c>
      <c r="G140" s="585">
        <f>Baseline!AD1305/Baseline!AD1309</f>
        <v>0.15755536865713485</v>
      </c>
      <c r="H140" s="582">
        <f t="shared" si="88"/>
        <v>0.23966109301159044</v>
      </c>
      <c r="I140" s="640">
        <f t="shared" si="87"/>
        <v>0.23965747906841889</v>
      </c>
    </row>
    <row r="141" spans="2:9" x14ac:dyDescent="0.3">
      <c r="C141" s="643">
        <f t="shared" ref="C141:G141" si="89">SUM(C135:C140)</f>
        <v>1.0000993006849324</v>
      </c>
      <c r="D141" s="643">
        <f t="shared" si="89"/>
        <v>0.99999999999999989</v>
      </c>
      <c r="E141" s="643">
        <f t="shared" si="89"/>
        <v>0.99999999999999978</v>
      </c>
      <c r="F141" s="643">
        <f t="shared" si="89"/>
        <v>1</v>
      </c>
      <c r="G141" s="643">
        <f t="shared" si="89"/>
        <v>1.0000000000000002</v>
      </c>
      <c r="H141" s="643">
        <f>SUM(H135:H140)</f>
        <v>1.0000150796177345</v>
      </c>
      <c r="I141" s="643">
        <f>SUM(I135:I140)</f>
        <v>1</v>
      </c>
    </row>
    <row r="142" spans="2:9" hidden="1" x14ac:dyDescent="0.3">
      <c r="B142" s="868" t="s">
        <v>389</v>
      </c>
      <c r="C142" s="971" cm="1">
        <f t="array" ref="C142:G142">(TRANSPOSE(Baseline!AD$6:AD$10)*C136:G136)/(I136*Baseline!AD$11)</f>
        <v>0.82887600261667604</v>
      </c>
      <c r="D142" s="971">
        <v>0</v>
      </c>
      <c r="E142" s="971">
        <v>0</v>
      </c>
      <c r="F142" s="971">
        <v>0.14620810243793447</v>
      </c>
      <c r="G142" s="971">
        <v>2.4930974563124139E-2</v>
      </c>
    </row>
    <row r="143" spans="2:9" x14ac:dyDescent="0.3">
      <c r="B143" s="638" t="s">
        <v>2724</v>
      </c>
      <c r="C143" s="971" cm="1">
        <f t="array" ref="C143:G143">_xlfn.ANCHORARRAY(C142)/SUM(_xlfn.ANCHORARRAY(C142))</f>
        <v>0.82886350367188644</v>
      </c>
      <c r="D143" s="971">
        <v>0</v>
      </c>
      <c r="E143" s="971">
        <v>0</v>
      </c>
      <c r="F143" s="971">
        <v>0.14620589770888645</v>
      </c>
      <c r="G143" s="971">
        <v>2.4930598619227064E-2</v>
      </c>
      <c r="H143" s="972">
        <f>SUM(_xlfn.ANCHORARRAY(C143))</f>
        <v>1</v>
      </c>
    </row>
    <row r="144" spans="2:9" hidden="1" x14ac:dyDescent="0.3">
      <c r="B144" s="638" t="s">
        <v>2725</v>
      </c>
      <c r="C144" s="971" cm="1">
        <f t="array" ref="C144:G144">(TRANSPOSE(Baseline!AD$6:AD$10)*C139:G139)/(I139*Baseline!AD$11)</f>
        <v>3.9875261542095086E-2</v>
      </c>
      <c r="D144" s="971">
        <v>0.73670243842194805</v>
      </c>
      <c r="E144" s="971">
        <v>0.2217722365926455</v>
      </c>
      <c r="F144" s="971">
        <v>0</v>
      </c>
      <c r="G144" s="971">
        <v>1.6651430610456622E-3</v>
      </c>
      <c r="H144" s="972">
        <f t="shared" ref="H144:H152" si="90">SUM(_xlfn.ANCHORARRAY(C144))</f>
        <v>1.0000150796177343</v>
      </c>
    </row>
    <row r="145" spans="2:19" x14ac:dyDescent="0.3">
      <c r="B145" s="638" t="s">
        <v>2726</v>
      </c>
      <c r="C145" s="971" cm="1">
        <f t="array" ref="C145:G145">_xlfn.ANCHORARRAY(C144)/SUM(_xlfn.ANCHORARRAY(C144))</f>
        <v>3.9874660247461273E-2</v>
      </c>
      <c r="D145" s="971">
        <v>0.73669132939831261</v>
      </c>
      <c r="E145" s="971">
        <v>0.2217688924025227</v>
      </c>
      <c r="F145" s="971">
        <v>0</v>
      </c>
      <c r="G145" s="971">
        <v>1.665117951703468E-3</v>
      </c>
      <c r="H145" s="972">
        <f t="shared" si="90"/>
        <v>1</v>
      </c>
    </row>
    <row r="146" spans="2:19" x14ac:dyDescent="0.3">
      <c r="B146" s="638" t="s">
        <v>2727</v>
      </c>
      <c r="C146" s="971" cm="1">
        <f t="array" ref="C146:G146">(TRANSPOSE(Baseline!AD$6:AD$10)*C140:G140)/(I140*Baseline!AD$11)</f>
        <v>0.32484216324019144</v>
      </c>
      <c r="D146" s="971">
        <v>0.25923520497902114</v>
      </c>
      <c r="E146" s="971">
        <v>0.37349988109383597</v>
      </c>
      <c r="F146" s="971">
        <v>2.1816497531963762E-2</v>
      </c>
      <c r="G146" s="971">
        <v>2.0621332772722115E-2</v>
      </c>
      <c r="H146" s="972">
        <f t="shared" si="90"/>
        <v>1.0000150796177345</v>
      </c>
    </row>
    <row r="147" spans="2:19" hidden="1" x14ac:dyDescent="0.3">
      <c r="B147" s="638" t="s">
        <v>2728</v>
      </c>
      <c r="C147" s="971" cm="1">
        <f t="array" ref="C147:G147">(TRANSPOSE(Baseline!AD$6:AD$10)*C136:G136)/(I136*Baseline!AD$11)</f>
        <v>0.82887600261667604</v>
      </c>
      <c r="D147" s="1162">
        <v>0</v>
      </c>
      <c r="E147" s="1162">
        <v>0</v>
      </c>
      <c r="F147" s="1162">
        <v>0.14620810243793447</v>
      </c>
      <c r="G147" s="1162">
        <v>2.4930974563124139E-2</v>
      </c>
      <c r="H147" s="972">
        <f t="shared" si="90"/>
        <v>1.0000150796177347</v>
      </c>
    </row>
    <row r="148" spans="2:19" x14ac:dyDescent="0.3">
      <c r="B148" s="638" t="s">
        <v>2729</v>
      </c>
      <c r="C148" s="971" cm="1">
        <f t="array" ref="C148:G148">_xlfn.ANCHORARRAY(C147)/SUM(_xlfn.ANCHORARRAY(C147))</f>
        <v>0.82886350367188644</v>
      </c>
      <c r="D148" s="1162">
        <v>0</v>
      </c>
      <c r="E148" s="1162">
        <v>0</v>
      </c>
      <c r="F148" s="1162">
        <v>0.14620589770888645</v>
      </c>
      <c r="G148" s="1162">
        <v>2.4930598619227064E-2</v>
      </c>
      <c r="H148" s="972">
        <f t="shared" si="90"/>
        <v>1</v>
      </c>
    </row>
    <row r="149" spans="2:19" hidden="1" x14ac:dyDescent="0.3">
      <c r="B149" s="638" t="s">
        <v>2730</v>
      </c>
      <c r="C149" s="971" cm="1">
        <f t="array" ref="C149:G149">(TRANSPOSE(Baseline!AD$6:AD$10)*C135:G135)/(I135*Baseline!AD$11)</f>
        <v>4.9213494594420405E-2</v>
      </c>
      <c r="D149" s="1162">
        <v>0</v>
      </c>
      <c r="E149" s="1162">
        <v>0</v>
      </c>
      <c r="F149" s="1162">
        <v>0.87638812345218486</v>
      </c>
      <c r="G149" s="1162">
        <v>7.4413461571129352E-2</v>
      </c>
      <c r="H149" s="972">
        <f t="shared" si="90"/>
        <v>1.0000150796177345</v>
      </c>
    </row>
    <row r="150" spans="2:19" x14ac:dyDescent="0.3">
      <c r="B150" s="638" t="s">
        <v>2731</v>
      </c>
      <c r="C150" s="971" cm="1">
        <f t="array" ref="C150:G150">_xlfn.ANCHORARRAY(C149)/SUM(_xlfn.ANCHORARRAY(C149))</f>
        <v>4.9212752484925272E-2</v>
      </c>
      <c r="D150" s="1162">
        <v>0</v>
      </c>
      <c r="E150" s="1162">
        <v>0</v>
      </c>
      <c r="F150" s="1162">
        <v>0.87637490805357932</v>
      </c>
      <c r="G150" s="1162">
        <v>7.4412339461495544E-2</v>
      </c>
      <c r="H150" s="972">
        <f t="shared" si="90"/>
        <v>1.0000000000000002</v>
      </c>
    </row>
    <row r="151" spans="2:19" hidden="1" x14ac:dyDescent="0.3">
      <c r="B151" s="638" t="s">
        <v>391</v>
      </c>
      <c r="C151" s="971" cm="1">
        <f t="array" ref="C151:G151">(TRANSPOSE(Baseline!AD$6:AD$10)*C138:G138)/(I138*Baseline!AD$11)</f>
        <v>0.24547115829814475</v>
      </c>
      <c r="D151" s="1162">
        <v>0</v>
      </c>
      <c r="E151" s="1162">
        <v>0</v>
      </c>
      <c r="F151" s="1162">
        <v>0.72153520002410265</v>
      </c>
      <c r="G151" s="1162">
        <v>3.3008721295487084E-2</v>
      </c>
      <c r="H151" s="972">
        <f t="shared" si="90"/>
        <v>1.0000150796177345</v>
      </c>
    </row>
    <row r="152" spans="2:19" x14ac:dyDescent="0.3">
      <c r="B152" s="638" t="s">
        <v>2732</v>
      </c>
      <c r="C152" s="971" cm="1">
        <f t="array" ref="C152:G152">_xlfn.ANCHORARRAY(C151)/SUM(_xlfn.ANCHORARRAY(C151))</f>
        <v>0.24546745674273082</v>
      </c>
      <c r="D152" s="1162">
        <v>0</v>
      </c>
      <c r="E152" s="1162">
        <v>0</v>
      </c>
      <c r="F152" s="1162">
        <v>0.72152431971317521</v>
      </c>
      <c r="G152" s="1162">
        <v>3.3008223544093947E-2</v>
      </c>
      <c r="H152" s="972">
        <f t="shared" si="90"/>
        <v>1</v>
      </c>
    </row>
    <row r="153" spans="2:19" x14ac:dyDescent="0.3">
      <c r="B153" s="849"/>
    </row>
    <row r="154" spans="2:19" x14ac:dyDescent="0.3">
      <c r="B154" s="861" t="str">
        <f>B155&amp;" - share of energy use based on energy source"</f>
        <v>Industry - share of energy use based on energy source</v>
      </c>
      <c r="D154" s="554" t="s">
        <v>2733</v>
      </c>
    </row>
    <row r="155" spans="2:19" x14ac:dyDescent="0.3">
      <c r="B155" s="556" t="s">
        <v>50</v>
      </c>
      <c r="C155" s="556">
        <v>2020</v>
      </c>
      <c r="D155" s="556">
        <v>2021</v>
      </c>
      <c r="E155" s="556">
        <v>2022</v>
      </c>
      <c r="F155" s="556">
        <v>2023</v>
      </c>
      <c r="G155" s="556">
        <v>2024</v>
      </c>
      <c r="H155" s="556">
        <v>2025</v>
      </c>
      <c r="I155" s="556">
        <v>2026</v>
      </c>
      <c r="J155" s="556">
        <v>2027</v>
      </c>
      <c r="K155" s="556">
        <v>2028</v>
      </c>
      <c r="L155" s="556">
        <v>2029</v>
      </c>
      <c r="M155" s="556">
        <v>2030</v>
      </c>
      <c r="N155" s="556">
        <v>2031</v>
      </c>
      <c r="O155" s="556">
        <v>2032</v>
      </c>
      <c r="P155" s="556">
        <v>2033</v>
      </c>
      <c r="Q155" s="556">
        <v>2034</v>
      </c>
      <c r="R155" s="556">
        <v>2035</v>
      </c>
      <c r="S155" s="556" t="s">
        <v>476</v>
      </c>
    </row>
    <row r="156" spans="2:19" x14ac:dyDescent="0.3">
      <c r="B156" s="638" t="s">
        <v>388</v>
      </c>
      <c r="C156" s="513">
        <v>0.15793478897149213</v>
      </c>
      <c r="D156" s="513">
        <v>9.79599570517274E-2</v>
      </c>
      <c r="E156" s="513">
        <v>0.10383755447483105</v>
      </c>
      <c r="F156" s="513">
        <v>0.10591430556432767</v>
      </c>
      <c r="G156" s="513">
        <v>0.10517290542537737</v>
      </c>
      <c r="H156" s="513">
        <v>0.10443669508739972</v>
      </c>
      <c r="I156" s="513">
        <v>0.10391451161196272</v>
      </c>
      <c r="J156" s="513">
        <v>0.1033949390539029</v>
      </c>
      <c r="K156" s="513">
        <v>0.10287796435863339</v>
      </c>
      <c r="L156" s="513">
        <v>0.10236357453684022</v>
      </c>
      <c r="M156" s="513">
        <v>0.10185175666415602</v>
      </c>
      <c r="N156" s="1174">
        <f>M156</f>
        <v>0.10185175666415602</v>
      </c>
      <c r="O156" s="1174">
        <f t="shared" ref="O156:R156" si="91">N156</f>
        <v>0.10185175666415602</v>
      </c>
      <c r="P156" s="1174">
        <f t="shared" si="91"/>
        <v>0.10185175666415602</v>
      </c>
      <c r="Q156" s="1174">
        <f t="shared" si="91"/>
        <v>0.10185175666415602</v>
      </c>
      <c r="R156" s="1174">
        <f t="shared" si="91"/>
        <v>0.10185175666415602</v>
      </c>
      <c r="S156" s="602">
        <f t="shared" ref="S156:S161" si="92">AVERAGE(D156:M156)</f>
        <v>0.10317241638291583</v>
      </c>
    </row>
    <row r="157" spans="2:19" x14ac:dyDescent="0.3">
      <c r="B157" s="638" t="s">
        <v>389</v>
      </c>
      <c r="C157" s="513">
        <v>0.23210208979687411</v>
      </c>
      <c r="D157" s="513">
        <v>0.26084759679151137</v>
      </c>
      <c r="E157" s="513">
        <v>0.25041369291985088</v>
      </c>
      <c r="F157" s="513">
        <v>0.24540541906145386</v>
      </c>
      <c r="G157" s="513">
        <v>0.24295136487083932</v>
      </c>
      <c r="H157" s="513">
        <v>0.23930709439777673</v>
      </c>
      <c r="I157" s="513">
        <v>0.23571748798181008</v>
      </c>
      <c r="J157" s="513">
        <v>0.23336031310199198</v>
      </c>
      <c r="K157" s="513">
        <v>0.22985990840546211</v>
      </c>
      <c r="L157" s="513">
        <v>0.22641200977938017</v>
      </c>
      <c r="M157" s="513">
        <v>0.22301582963268946</v>
      </c>
      <c r="N157" s="1174">
        <f t="shared" ref="N157:R161" si="93">M157</f>
        <v>0.22301582963268946</v>
      </c>
      <c r="O157" s="1174">
        <f t="shared" si="93"/>
        <v>0.22301582963268946</v>
      </c>
      <c r="P157" s="1174">
        <f t="shared" si="93"/>
        <v>0.22301582963268946</v>
      </c>
      <c r="Q157" s="1174">
        <f t="shared" si="93"/>
        <v>0.22301582963268946</v>
      </c>
      <c r="R157" s="1174">
        <f t="shared" si="93"/>
        <v>0.22301582963268946</v>
      </c>
      <c r="S157" s="602">
        <f t="shared" si="92"/>
        <v>0.23872907169427657</v>
      </c>
    </row>
    <row r="158" spans="2:19" x14ac:dyDescent="0.3">
      <c r="B158" s="638" t="s">
        <v>390</v>
      </c>
      <c r="C158" s="513">
        <v>2.4878534215301763E-2</v>
      </c>
      <c r="D158" s="513">
        <v>5.6843301964251876E-4</v>
      </c>
      <c r="E158" s="513">
        <v>2E-3</v>
      </c>
      <c r="F158" s="513">
        <v>4.0000000000000001E-3</v>
      </c>
      <c r="G158" s="513">
        <v>5.0000000000000001E-3</v>
      </c>
      <c r="H158" s="513">
        <v>5.0000000000000001E-3</v>
      </c>
      <c r="I158" s="513">
        <v>5.0000000000000001E-3</v>
      </c>
      <c r="J158" s="513">
        <v>4.0000000000000001E-3</v>
      </c>
      <c r="K158" s="513">
        <v>3.0000000000000001E-3</v>
      </c>
      <c r="L158" s="513">
        <v>1E-3</v>
      </c>
      <c r="M158" s="513">
        <v>3.0000000000000001E-3</v>
      </c>
      <c r="N158" s="1174">
        <f t="shared" si="93"/>
        <v>3.0000000000000001E-3</v>
      </c>
      <c r="O158" s="1174">
        <f t="shared" si="93"/>
        <v>3.0000000000000001E-3</v>
      </c>
      <c r="P158" s="1174">
        <f t="shared" si="93"/>
        <v>3.0000000000000001E-3</v>
      </c>
      <c r="Q158" s="1174">
        <f t="shared" si="93"/>
        <v>3.0000000000000001E-3</v>
      </c>
      <c r="R158" s="1174">
        <f t="shared" si="93"/>
        <v>3.0000000000000001E-3</v>
      </c>
      <c r="S158" s="602">
        <f t="shared" si="92"/>
        <v>3.2568433019642524E-3</v>
      </c>
    </row>
    <row r="159" spans="2:19" x14ac:dyDescent="0.3">
      <c r="B159" s="638" t="s">
        <v>391</v>
      </c>
      <c r="C159" s="513">
        <v>4.5835040683720664E-2</v>
      </c>
      <c r="D159" s="513">
        <v>2.9747994694625152E-2</v>
      </c>
      <c r="E159" s="513">
        <v>3.2722794164087673E-2</v>
      </c>
      <c r="F159" s="513">
        <v>3.5995073580496445E-2</v>
      </c>
      <c r="G159" s="513">
        <v>3.7794827259521269E-2</v>
      </c>
      <c r="H159" s="513">
        <v>4.1574309985473401E-2</v>
      </c>
      <c r="I159" s="513">
        <v>4.5731740984020747E-2</v>
      </c>
      <c r="J159" s="513">
        <v>5.0304915082422824E-2</v>
      </c>
      <c r="K159" s="513">
        <v>5.5335406590665111E-2</v>
      </c>
      <c r="L159" s="513">
        <v>6.0868947249731624E-2</v>
      </c>
      <c r="M159" s="513">
        <v>6.208632619472626E-2</v>
      </c>
      <c r="N159" s="1174">
        <f t="shared" si="93"/>
        <v>6.208632619472626E-2</v>
      </c>
      <c r="O159" s="1174">
        <f t="shared" si="93"/>
        <v>6.208632619472626E-2</v>
      </c>
      <c r="P159" s="1174">
        <f t="shared" si="93"/>
        <v>6.208632619472626E-2</v>
      </c>
      <c r="Q159" s="1174">
        <f t="shared" si="93"/>
        <v>6.208632619472626E-2</v>
      </c>
      <c r="R159" s="1174">
        <f t="shared" si="93"/>
        <v>6.208632619472626E-2</v>
      </c>
      <c r="S159" s="602">
        <f t="shared" si="92"/>
        <v>4.5216233578577056E-2</v>
      </c>
    </row>
    <row r="160" spans="2:19" x14ac:dyDescent="0.3">
      <c r="B160" s="638" t="s">
        <v>392</v>
      </c>
      <c r="C160" s="513">
        <v>9.0616402271263843E-2</v>
      </c>
      <c r="D160" s="513">
        <v>0.1084183667024569</v>
      </c>
      <c r="E160" s="513">
        <v>0.10624999936840776</v>
      </c>
      <c r="F160" s="513">
        <v>0.10306249938735552</v>
      </c>
      <c r="G160" s="513">
        <v>0.10100124939960842</v>
      </c>
      <c r="H160" s="513">
        <v>9.8981224411616248E-2</v>
      </c>
      <c r="I160" s="513">
        <v>9.6011787679267754E-2</v>
      </c>
      <c r="J160" s="513">
        <v>9.3131434048889725E-2</v>
      </c>
      <c r="K160" s="513">
        <v>9.0337491027423028E-2</v>
      </c>
      <c r="L160" s="513">
        <v>8.762736629660034E-2</v>
      </c>
      <c r="M160" s="513">
        <v>8.5874818970668329E-2</v>
      </c>
      <c r="N160" s="1174">
        <f t="shared" si="93"/>
        <v>8.5874818970668329E-2</v>
      </c>
      <c r="O160" s="1174">
        <f t="shared" si="93"/>
        <v>8.5874818970668329E-2</v>
      </c>
      <c r="P160" s="1174">
        <f t="shared" si="93"/>
        <v>8.5874818970668329E-2</v>
      </c>
      <c r="Q160" s="1174">
        <f t="shared" si="93"/>
        <v>8.5874818970668329E-2</v>
      </c>
      <c r="R160" s="1174">
        <f t="shared" si="93"/>
        <v>8.5874818970668329E-2</v>
      </c>
      <c r="S160" s="602">
        <f t="shared" si="92"/>
        <v>9.7069623729229393E-2</v>
      </c>
    </row>
    <row r="161" spans="2:19" x14ac:dyDescent="0.3">
      <c r="B161" s="638" t="s">
        <v>393</v>
      </c>
      <c r="C161" s="513">
        <v>0.44863314406134752</v>
      </c>
      <c r="D161" s="513">
        <v>0.50243163013958181</v>
      </c>
      <c r="E161" s="513">
        <v>0.50494378829027964</v>
      </c>
      <c r="F161" s="513">
        <v>0.50595367586686024</v>
      </c>
      <c r="G161" s="513">
        <v>0.50848344424619452</v>
      </c>
      <c r="H161" s="513">
        <v>0.51102586146742546</v>
      </c>
      <c r="I161" s="513">
        <v>0.51358099077476249</v>
      </c>
      <c r="J161" s="513">
        <v>0.5161488957286362</v>
      </c>
      <c r="K161" s="513">
        <v>0.5187296402072793</v>
      </c>
      <c r="L161" s="513">
        <v>0.52132328840831565</v>
      </c>
      <c r="M161" s="513">
        <v>0.52392990485035718</v>
      </c>
      <c r="N161" s="1174">
        <f t="shared" si="93"/>
        <v>0.52392990485035718</v>
      </c>
      <c r="O161" s="1174">
        <f t="shared" si="93"/>
        <v>0.52392990485035718</v>
      </c>
      <c r="P161" s="1174">
        <f t="shared" si="93"/>
        <v>0.52392990485035718</v>
      </c>
      <c r="Q161" s="1174">
        <f t="shared" si="93"/>
        <v>0.52392990485035718</v>
      </c>
      <c r="R161" s="1174">
        <f t="shared" si="93"/>
        <v>0.52392990485035718</v>
      </c>
      <c r="S161" s="602">
        <f t="shared" si="92"/>
        <v>0.51265511199796931</v>
      </c>
    </row>
    <row r="162" spans="2:19" x14ac:dyDescent="0.3">
      <c r="B162" s="849"/>
    </row>
    <row r="163" spans="2:19" x14ac:dyDescent="0.3">
      <c r="B163" s="861" t="str">
        <f>B164&amp;" - share of energy use based on energy source"</f>
        <v>Households - share of energy use based on energy source</v>
      </c>
    </row>
    <row r="164" spans="2:19" x14ac:dyDescent="0.3">
      <c r="B164" s="556" t="s">
        <v>51</v>
      </c>
      <c r="C164" s="556">
        <v>2020</v>
      </c>
      <c r="D164" s="556">
        <v>2021</v>
      </c>
      <c r="E164" s="556">
        <v>2022</v>
      </c>
      <c r="F164" s="556">
        <v>2023</v>
      </c>
      <c r="G164" s="556">
        <v>2024</v>
      </c>
      <c r="H164" s="556">
        <v>2025</v>
      </c>
      <c r="I164" s="556">
        <v>2026</v>
      </c>
      <c r="J164" s="556">
        <v>2027</v>
      </c>
      <c r="K164" s="556">
        <v>2028</v>
      </c>
      <c r="L164" s="556">
        <v>2029</v>
      </c>
      <c r="M164" s="556">
        <v>2030</v>
      </c>
      <c r="N164" s="556">
        <v>2031</v>
      </c>
      <c r="O164" s="556">
        <v>2032</v>
      </c>
      <c r="P164" s="556">
        <v>2033</v>
      </c>
      <c r="Q164" s="556">
        <v>2034</v>
      </c>
      <c r="R164" s="556">
        <v>2035</v>
      </c>
    </row>
    <row r="165" spans="2:19" x14ac:dyDescent="0.3">
      <c r="B165" s="638" t="s">
        <v>388</v>
      </c>
      <c r="C165" s="858">
        <v>0</v>
      </c>
      <c r="D165" s="858">
        <v>0</v>
      </c>
      <c r="E165" s="858">
        <v>0</v>
      </c>
      <c r="F165" s="858">
        <v>0</v>
      </c>
      <c r="G165" s="858">
        <v>0</v>
      </c>
      <c r="H165" s="858">
        <v>0</v>
      </c>
      <c r="I165" s="858">
        <v>0</v>
      </c>
      <c r="J165" s="858">
        <v>0</v>
      </c>
      <c r="K165" s="858">
        <v>0</v>
      </c>
      <c r="L165" s="858">
        <v>0</v>
      </c>
      <c r="M165" s="858">
        <v>0</v>
      </c>
      <c r="N165" s="1174">
        <f>M165</f>
        <v>0</v>
      </c>
      <c r="O165" s="1174">
        <f t="shared" ref="O165:R165" si="94">N165</f>
        <v>0</v>
      </c>
      <c r="P165" s="1174">
        <f t="shared" si="94"/>
        <v>0</v>
      </c>
      <c r="Q165" s="1174">
        <f t="shared" si="94"/>
        <v>0</v>
      </c>
      <c r="R165" s="1174">
        <f t="shared" si="94"/>
        <v>0</v>
      </c>
    </row>
    <row r="166" spans="2:19" x14ac:dyDescent="0.3">
      <c r="B166" s="638" t="s">
        <v>389</v>
      </c>
      <c r="C166" s="858">
        <v>0</v>
      </c>
      <c r="D166" s="858">
        <v>0</v>
      </c>
      <c r="E166" s="858">
        <v>0</v>
      </c>
      <c r="F166" s="858">
        <v>0</v>
      </c>
      <c r="G166" s="858">
        <v>0</v>
      </c>
      <c r="H166" s="858">
        <v>0</v>
      </c>
      <c r="I166" s="858">
        <v>0</v>
      </c>
      <c r="J166" s="858">
        <v>0</v>
      </c>
      <c r="K166" s="858">
        <v>0</v>
      </c>
      <c r="L166" s="858">
        <v>0</v>
      </c>
      <c r="M166" s="858">
        <v>0</v>
      </c>
      <c r="N166" s="1174">
        <f t="shared" ref="N166:R166" si="95">M166</f>
        <v>0</v>
      </c>
      <c r="O166" s="1174">
        <f t="shared" si="95"/>
        <v>0</v>
      </c>
      <c r="P166" s="1174">
        <f t="shared" si="95"/>
        <v>0</v>
      </c>
      <c r="Q166" s="1174">
        <f t="shared" si="95"/>
        <v>0</v>
      </c>
      <c r="R166" s="1174">
        <f t="shared" si="95"/>
        <v>0</v>
      </c>
    </row>
    <row r="167" spans="2:19" x14ac:dyDescent="0.3">
      <c r="B167" s="638" t="s">
        <v>390</v>
      </c>
      <c r="C167" s="858">
        <v>0</v>
      </c>
      <c r="D167" s="858">
        <v>0</v>
      </c>
      <c r="E167" s="858">
        <v>0</v>
      </c>
      <c r="F167" s="858">
        <v>0</v>
      </c>
      <c r="G167" s="858">
        <v>0</v>
      </c>
      <c r="H167" s="858">
        <v>0</v>
      </c>
      <c r="I167" s="858">
        <v>0</v>
      </c>
      <c r="J167" s="858">
        <v>0</v>
      </c>
      <c r="K167" s="858">
        <v>0</v>
      </c>
      <c r="L167" s="858">
        <v>0</v>
      </c>
      <c r="M167" s="858">
        <v>0</v>
      </c>
      <c r="N167" s="1174">
        <f t="shared" ref="N167:R167" si="96">M167</f>
        <v>0</v>
      </c>
      <c r="O167" s="1174">
        <f t="shared" si="96"/>
        <v>0</v>
      </c>
      <c r="P167" s="1174">
        <f t="shared" si="96"/>
        <v>0</v>
      </c>
      <c r="Q167" s="1174">
        <f t="shared" si="96"/>
        <v>0</v>
      </c>
      <c r="R167" s="1174">
        <f t="shared" si="96"/>
        <v>0</v>
      </c>
    </row>
    <row r="168" spans="2:19" x14ac:dyDescent="0.3">
      <c r="B168" s="638" t="s">
        <v>391</v>
      </c>
      <c r="C168" s="858">
        <v>0</v>
      </c>
      <c r="D168" s="858">
        <v>0</v>
      </c>
      <c r="E168" s="858">
        <v>0</v>
      </c>
      <c r="F168" s="858">
        <v>0</v>
      </c>
      <c r="G168" s="858">
        <v>0</v>
      </c>
      <c r="H168" s="858">
        <v>0</v>
      </c>
      <c r="I168" s="858">
        <v>0</v>
      </c>
      <c r="J168" s="858">
        <v>0</v>
      </c>
      <c r="K168" s="858">
        <v>0</v>
      </c>
      <c r="L168" s="858">
        <v>0</v>
      </c>
      <c r="M168" s="858">
        <v>0</v>
      </c>
      <c r="N168" s="1174">
        <f t="shared" ref="N168:R168" si="97">M168</f>
        <v>0</v>
      </c>
      <c r="O168" s="1174">
        <f t="shared" si="97"/>
        <v>0</v>
      </c>
      <c r="P168" s="1174">
        <f t="shared" si="97"/>
        <v>0</v>
      </c>
      <c r="Q168" s="1174">
        <f t="shared" si="97"/>
        <v>0</v>
      </c>
      <c r="R168" s="1174">
        <f t="shared" si="97"/>
        <v>0</v>
      </c>
    </row>
    <row r="169" spans="2:19" x14ac:dyDescent="0.3">
      <c r="B169" s="638" t="s">
        <v>392</v>
      </c>
      <c r="C169" s="972">
        <f>Baseline!AB669/Baseline!AB696</f>
        <v>0.82172150538041389</v>
      </c>
      <c r="D169" s="972">
        <f>Baseline!AC669/Baseline!AC696</f>
        <v>0.82039476241261811</v>
      </c>
      <c r="E169" s="582">
        <f>Baseline!AD669/Baseline!AD696</f>
        <v>0.81914436706734561</v>
      </c>
      <c r="F169" s="582">
        <f>Baseline!AE669/Baseline!AE696</f>
        <v>0.81788810109642007</v>
      </c>
      <c r="G169" s="582">
        <f>Baseline!AF669/Baseline!AF696</f>
        <v>0.81662626213247225</v>
      </c>
      <c r="H169" s="582">
        <f>Baseline!AG669/Baseline!AG696</f>
        <v>0.81535915368451084</v>
      </c>
      <c r="I169" s="582">
        <f>Baseline!AH669/Baseline!AH696</f>
        <v>0.81408708489003123</v>
      </c>
      <c r="J169" s="582">
        <f>Baseline!AI669/Baseline!AI696</f>
        <v>0.81299364490511272</v>
      </c>
      <c r="K169" s="582">
        <f>Baseline!AJ669/Baseline!AJ696</f>
        <v>0.81189705842469995</v>
      </c>
      <c r="L169" s="582">
        <f>Baseline!AK669/Baseline!AK696</f>
        <v>0.8107974793142626</v>
      </c>
      <c r="M169" s="582">
        <f>Baseline!AL669/Baseline!AL696</f>
        <v>0.8096950632107125</v>
      </c>
      <c r="N169" s="1174">
        <f t="shared" ref="N169:R169" si="98">M169</f>
        <v>0.8096950632107125</v>
      </c>
      <c r="O169" s="1174">
        <f t="shared" si="98"/>
        <v>0.8096950632107125</v>
      </c>
      <c r="P169" s="1174">
        <f t="shared" si="98"/>
        <v>0.8096950632107125</v>
      </c>
      <c r="Q169" s="1174">
        <f t="shared" si="98"/>
        <v>0.8096950632107125</v>
      </c>
      <c r="R169" s="1174">
        <f t="shared" si="98"/>
        <v>0.8096950632107125</v>
      </c>
    </row>
    <row r="170" spans="2:19" x14ac:dyDescent="0.3">
      <c r="B170" s="638" t="s">
        <v>393</v>
      </c>
      <c r="C170" s="582">
        <f>Baseline!AB683/Baseline!AB696</f>
        <v>0.178278494619586</v>
      </c>
      <c r="D170" s="582">
        <f>Baseline!AC683/Baseline!AC696</f>
        <v>0.17960523758738176</v>
      </c>
      <c r="E170" s="972">
        <f>Baseline!AD683/Baseline!AD696</f>
        <v>0.18085563293265439</v>
      </c>
      <c r="F170" s="972">
        <f>Baseline!AE683/Baseline!AE696</f>
        <v>0.18211189890357996</v>
      </c>
      <c r="G170" s="972">
        <f>Baseline!AF683/Baseline!AF696</f>
        <v>0.18337373786752778</v>
      </c>
      <c r="H170" s="972">
        <f>Baseline!AG683/Baseline!AG696</f>
        <v>0.18464084631548913</v>
      </c>
      <c r="I170" s="972">
        <f>Baseline!AH683/Baseline!AH696</f>
        <v>0.18591291510996885</v>
      </c>
      <c r="J170" s="972">
        <f>Baseline!AI683/Baseline!AI696</f>
        <v>0.18700635509488725</v>
      </c>
      <c r="K170" s="972">
        <f>Baseline!AJ683/Baseline!AJ696</f>
        <v>0.18810294157530003</v>
      </c>
      <c r="L170" s="972">
        <f>Baseline!AK683/Baseline!AK696</f>
        <v>0.1892025206857374</v>
      </c>
      <c r="M170" s="972">
        <f>Baseline!AL683/Baseline!AL696</f>
        <v>0.19030493678928753</v>
      </c>
      <c r="N170" s="1174">
        <f t="shared" ref="N170:R170" si="99">M170</f>
        <v>0.19030493678928753</v>
      </c>
      <c r="O170" s="1174">
        <f t="shared" si="99"/>
        <v>0.19030493678928753</v>
      </c>
      <c r="P170" s="1174">
        <f t="shared" si="99"/>
        <v>0.19030493678928753</v>
      </c>
      <c r="Q170" s="1174">
        <f t="shared" si="99"/>
        <v>0.19030493678928753</v>
      </c>
      <c r="R170" s="1174">
        <f t="shared" si="99"/>
        <v>0.19030493678928753</v>
      </c>
    </row>
    <row r="171" spans="2:19" x14ac:dyDescent="0.3">
      <c r="B171" s="849"/>
    </row>
    <row r="172" spans="2:19" x14ac:dyDescent="0.3">
      <c r="B172" s="861" t="str">
        <f>B173&amp;" - share of energy use based on energy source"</f>
        <v>Services - share of energy use based on energy source</v>
      </c>
    </row>
    <row r="173" spans="2:19" x14ac:dyDescent="0.3">
      <c r="B173" s="556" t="s">
        <v>52</v>
      </c>
      <c r="C173" s="556">
        <v>2020</v>
      </c>
      <c r="D173" s="556">
        <v>2021</v>
      </c>
      <c r="E173" s="556">
        <v>2022</v>
      </c>
      <c r="F173" s="556">
        <v>2023</v>
      </c>
      <c r="G173" s="556">
        <v>2024</v>
      </c>
      <c r="H173" s="556">
        <v>2025</v>
      </c>
      <c r="I173" s="556">
        <v>2026</v>
      </c>
      <c r="J173" s="556">
        <v>2027</v>
      </c>
      <c r="K173" s="556">
        <v>2028</v>
      </c>
      <c r="L173" s="556">
        <v>2029</v>
      </c>
      <c r="M173" s="556">
        <v>2030</v>
      </c>
      <c r="N173" s="556">
        <v>2031</v>
      </c>
      <c r="O173" s="556">
        <v>2032</v>
      </c>
      <c r="P173" s="556">
        <v>2033</v>
      </c>
      <c r="Q173" s="556">
        <v>2034</v>
      </c>
      <c r="R173" s="556">
        <v>2035</v>
      </c>
    </row>
    <row r="174" spans="2:19" x14ac:dyDescent="0.3">
      <c r="B174" s="638" t="s">
        <v>388</v>
      </c>
      <c r="C174" s="858">
        <v>0</v>
      </c>
      <c r="D174" s="858">
        <v>0</v>
      </c>
      <c r="E174" s="858">
        <v>0</v>
      </c>
      <c r="F174" s="858">
        <v>0</v>
      </c>
      <c r="G174" s="858">
        <v>0</v>
      </c>
      <c r="H174" s="858">
        <v>0</v>
      </c>
      <c r="I174" s="858">
        <v>0</v>
      </c>
      <c r="J174" s="858">
        <v>0</v>
      </c>
      <c r="K174" s="858">
        <v>0</v>
      </c>
      <c r="L174" s="858">
        <v>0</v>
      </c>
      <c r="M174" s="858">
        <v>0</v>
      </c>
      <c r="N174" s="1174">
        <f>M174</f>
        <v>0</v>
      </c>
      <c r="O174" s="1174">
        <f t="shared" ref="O174:R174" si="100">N174</f>
        <v>0</v>
      </c>
      <c r="P174" s="1174">
        <f t="shared" si="100"/>
        <v>0</v>
      </c>
      <c r="Q174" s="1174">
        <f t="shared" si="100"/>
        <v>0</v>
      </c>
      <c r="R174" s="1174">
        <f t="shared" si="100"/>
        <v>0</v>
      </c>
    </row>
    <row r="175" spans="2:19" x14ac:dyDescent="0.3">
      <c r="B175" s="638" t="s">
        <v>389</v>
      </c>
      <c r="C175" s="858">
        <v>0</v>
      </c>
      <c r="D175" s="858">
        <v>0</v>
      </c>
      <c r="E175" s="858">
        <v>0</v>
      </c>
      <c r="F175" s="858">
        <v>0</v>
      </c>
      <c r="G175" s="858">
        <v>0</v>
      </c>
      <c r="H175" s="858">
        <v>0</v>
      </c>
      <c r="I175" s="858">
        <v>0</v>
      </c>
      <c r="J175" s="858">
        <v>0</v>
      </c>
      <c r="K175" s="858">
        <v>0</v>
      </c>
      <c r="L175" s="858">
        <v>0</v>
      </c>
      <c r="M175" s="858">
        <v>0</v>
      </c>
      <c r="N175" s="1174">
        <f t="shared" ref="N175:R175" si="101">M175</f>
        <v>0</v>
      </c>
      <c r="O175" s="1174">
        <f t="shared" si="101"/>
        <v>0</v>
      </c>
      <c r="P175" s="1174">
        <f t="shared" si="101"/>
        <v>0</v>
      </c>
      <c r="Q175" s="1174">
        <f t="shared" si="101"/>
        <v>0</v>
      </c>
      <c r="R175" s="1174">
        <f t="shared" si="101"/>
        <v>0</v>
      </c>
    </row>
    <row r="176" spans="2:19" x14ac:dyDescent="0.3">
      <c r="B176" s="638" t="s">
        <v>390</v>
      </c>
      <c r="C176" s="858">
        <v>0</v>
      </c>
      <c r="D176" s="858">
        <v>0</v>
      </c>
      <c r="E176" s="858">
        <v>0</v>
      </c>
      <c r="F176" s="858">
        <v>0</v>
      </c>
      <c r="G176" s="858">
        <v>0</v>
      </c>
      <c r="H176" s="858">
        <v>0</v>
      </c>
      <c r="I176" s="858">
        <v>0</v>
      </c>
      <c r="J176" s="858">
        <v>0</v>
      </c>
      <c r="K176" s="858">
        <v>0</v>
      </c>
      <c r="L176" s="858">
        <v>0</v>
      </c>
      <c r="M176" s="858">
        <v>0</v>
      </c>
      <c r="N176" s="1174">
        <f t="shared" ref="N176:R176" si="102">M176</f>
        <v>0</v>
      </c>
      <c r="O176" s="1174">
        <f t="shared" si="102"/>
        <v>0</v>
      </c>
      <c r="P176" s="1174">
        <f t="shared" si="102"/>
        <v>0</v>
      </c>
      <c r="Q176" s="1174">
        <f t="shared" si="102"/>
        <v>0</v>
      </c>
      <c r="R176" s="1174">
        <f t="shared" si="102"/>
        <v>0</v>
      </c>
    </row>
    <row r="177" spans="2:18" x14ac:dyDescent="0.3">
      <c r="B177" s="638" t="s">
        <v>391</v>
      </c>
      <c r="C177" s="858">
        <v>0</v>
      </c>
      <c r="D177" s="858">
        <v>0</v>
      </c>
      <c r="E177" s="858">
        <v>0</v>
      </c>
      <c r="F177" s="858">
        <v>0</v>
      </c>
      <c r="G177" s="858">
        <v>0</v>
      </c>
      <c r="H177" s="858">
        <v>0</v>
      </c>
      <c r="I177" s="858">
        <v>0</v>
      </c>
      <c r="J177" s="858">
        <v>0</v>
      </c>
      <c r="K177" s="858">
        <v>0</v>
      </c>
      <c r="L177" s="858">
        <v>0</v>
      </c>
      <c r="M177" s="858">
        <v>0</v>
      </c>
      <c r="N177" s="1174">
        <f t="shared" ref="N177:R177" si="103">M177</f>
        <v>0</v>
      </c>
      <c r="O177" s="1174">
        <f t="shared" si="103"/>
        <v>0</v>
      </c>
      <c r="P177" s="1174">
        <f t="shared" si="103"/>
        <v>0</v>
      </c>
      <c r="Q177" s="1174">
        <f t="shared" si="103"/>
        <v>0</v>
      </c>
      <c r="R177" s="1174">
        <f t="shared" si="103"/>
        <v>0</v>
      </c>
    </row>
    <row r="178" spans="2:18" x14ac:dyDescent="0.3">
      <c r="B178" s="638" t="s">
        <v>392</v>
      </c>
      <c r="C178" s="972">
        <f>Baseline!AB891/Baseline!AB916</f>
        <v>0.51168746957597733</v>
      </c>
      <c r="D178" s="972">
        <f>Baseline!AC891/Baseline!AC916</f>
        <v>0.51339713757412919</v>
      </c>
      <c r="E178" s="972">
        <f>Baseline!AD891/Baseline!AD916</f>
        <v>0.51510643370834386</v>
      </c>
      <c r="F178" s="972">
        <f>Baseline!AE891/Baseline!AE916</f>
        <v>0.51681527898678248</v>
      </c>
      <c r="G178" s="972">
        <f>Baseline!AF891/Baseline!AF916</f>
        <v>0.51852321723181871</v>
      </c>
      <c r="H178" s="972">
        <f>Baseline!AG891/Baseline!AG916</f>
        <v>0.520229794414235</v>
      </c>
      <c r="I178" s="972">
        <f>Baseline!AH891/Baseline!AH916</f>
        <v>0.52193455911258346</v>
      </c>
      <c r="J178" s="972">
        <f>Baseline!AI891/Baseline!AI916</f>
        <v>0.52359064637890007</v>
      </c>
      <c r="K178" s="972">
        <f>Baseline!AJ891/Baseline!AJ916</f>
        <v>0.52524481193315009</v>
      </c>
      <c r="L178" s="972">
        <f>Baseline!AK891/Baseline!AK916</f>
        <v>0.52689665263246088</v>
      </c>
      <c r="M178" s="972">
        <f>Baseline!AL891/Baseline!AL916</f>
        <v>0.52854576880561299</v>
      </c>
      <c r="N178" s="1174">
        <f t="shared" ref="N178:R178" si="104">M178</f>
        <v>0.52854576880561299</v>
      </c>
      <c r="O178" s="1174">
        <f t="shared" si="104"/>
        <v>0.52854576880561299</v>
      </c>
      <c r="P178" s="1174">
        <f t="shared" si="104"/>
        <v>0.52854576880561299</v>
      </c>
      <c r="Q178" s="1174">
        <f t="shared" si="104"/>
        <v>0.52854576880561299</v>
      </c>
      <c r="R178" s="1174">
        <f t="shared" si="104"/>
        <v>0.52854576880561299</v>
      </c>
    </row>
    <row r="179" spans="2:18" x14ac:dyDescent="0.3">
      <c r="B179" s="638" t="s">
        <v>393</v>
      </c>
      <c r="C179" s="582">
        <f>1-C178</f>
        <v>0.48831253042402267</v>
      </c>
      <c r="D179" s="582">
        <f t="shared" ref="D179:M179" si="105">1-D178</f>
        <v>0.48660286242587081</v>
      </c>
      <c r="E179" s="582">
        <f t="shared" si="105"/>
        <v>0.48489356629165614</v>
      </c>
      <c r="F179" s="582">
        <f t="shared" si="105"/>
        <v>0.48318472101321752</v>
      </c>
      <c r="G179" s="582">
        <f t="shared" si="105"/>
        <v>0.48147678276818129</v>
      </c>
      <c r="H179" s="582">
        <f t="shared" si="105"/>
        <v>0.479770205585765</v>
      </c>
      <c r="I179" s="582">
        <f t="shared" si="105"/>
        <v>0.47806544088741654</v>
      </c>
      <c r="J179" s="582">
        <f t="shared" si="105"/>
        <v>0.47640935362109993</v>
      </c>
      <c r="K179" s="582">
        <f t="shared" si="105"/>
        <v>0.47475518806684991</v>
      </c>
      <c r="L179" s="582">
        <f t="shared" si="105"/>
        <v>0.47310334736753912</v>
      </c>
      <c r="M179" s="582">
        <f t="shared" si="105"/>
        <v>0.47145423119438701</v>
      </c>
      <c r="N179" s="1174">
        <f t="shared" ref="N179:R179" si="106">M179</f>
        <v>0.47145423119438701</v>
      </c>
      <c r="O179" s="1174">
        <f t="shared" si="106"/>
        <v>0.47145423119438701</v>
      </c>
      <c r="P179" s="1174">
        <f t="shared" si="106"/>
        <v>0.47145423119438701</v>
      </c>
      <c r="Q179" s="1174">
        <f t="shared" si="106"/>
        <v>0.47145423119438701</v>
      </c>
      <c r="R179" s="1174">
        <f t="shared" si="106"/>
        <v>0.47145423119438701</v>
      </c>
    </row>
    <row r="180" spans="2:18" x14ac:dyDescent="0.3">
      <c r="B180" s="849"/>
    </row>
    <row r="181" spans="2:18" x14ac:dyDescent="0.3">
      <c r="B181" s="861" t="str">
        <f>B182&amp;" - share of energy use based on energy source"</f>
        <v>Transport - share of energy use based on energy source</v>
      </c>
    </row>
    <row r="182" spans="2:18" x14ac:dyDescent="0.3">
      <c r="B182" s="556" t="s">
        <v>53</v>
      </c>
      <c r="C182" s="556">
        <v>2020</v>
      </c>
      <c r="D182" s="556">
        <v>2021</v>
      </c>
      <c r="E182" s="556">
        <v>2022</v>
      </c>
      <c r="F182" s="556">
        <v>2023</v>
      </c>
      <c r="G182" s="556">
        <v>2024</v>
      </c>
      <c r="H182" s="556">
        <v>2025</v>
      </c>
      <c r="I182" s="556">
        <v>2026</v>
      </c>
      <c r="J182" s="556">
        <v>2027</v>
      </c>
      <c r="K182" s="556">
        <v>2028</v>
      </c>
      <c r="L182" s="556">
        <v>2029</v>
      </c>
      <c r="M182" s="556">
        <v>2030</v>
      </c>
      <c r="N182" s="556">
        <v>2031</v>
      </c>
      <c r="O182" s="556">
        <v>2032</v>
      </c>
      <c r="P182" s="556">
        <v>2033</v>
      </c>
      <c r="Q182" s="556">
        <v>2034</v>
      </c>
      <c r="R182" s="556">
        <v>2035</v>
      </c>
    </row>
    <row r="183" spans="2:18" x14ac:dyDescent="0.3">
      <c r="B183" s="638" t="s">
        <v>388</v>
      </c>
      <c r="C183" s="582">
        <f>SUM(C238:C241)</f>
        <v>0.91752421307506038</v>
      </c>
      <c r="D183" s="582">
        <f t="shared" ref="D183:M183" si="107">SUM(D238:D241)</f>
        <v>0.91244463494784966</v>
      </c>
      <c r="E183" s="582">
        <f t="shared" si="107"/>
        <v>0.90857208172596071</v>
      </c>
      <c r="F183" s="582">
        <f t="shared" si="107"/>
        <v>0.90493100157165296</v>
      </c>
      <c r="G183" s="582">
        <f t="shared" si="107"/>
        <v>0.9015150267752533</v>
      </c>
      <c r="H183" s="582">
        <f t="shared" si="107"/>
        <v>0.89831798354079129</v>
      </c>
      <c r="I183" s="582">
        <f t="shared" si="107"/>
        <v>0.89533388618299858</v>
      </c>
      <c r="J183" s="582">
        <f t="shared" si="107"/>
        <v>0.89255693149847359</v>
      </c>
      <c r="K183" s="582">
        <f t="shared" si="107"/>
        <v>0.88998149330578091</v>
      </c>
      <c r="L183" s="582">
        <f t="shared" si="107"/>
        <v>0.88760211714942183</v>
      </c>
      <c r="M183" s="582">
        <f t="shared" si="107"/>
        <v>0.88541351516275946</v>
      </c>
      <c r="N183" s="1174">
        <f>M183</f>
        <v>0.88541351516275946</v>
      </c>
      <c r="O183" s="1174">
        <f t="shared" ref="O183:R183" si="108">N183</f>
        <v>0.88541351516275946</v>
      </c>
      <c r="P183" s="1174">
        <f t="shared" si="108"/>
        <v>0.88541351516275946</v>
      </c>
      <c r="Q183" s="1174">
        <f t="shared" si="108"/>
        <v>0.88541351516275946</v>
      </c>
      <c r="R183" s="1174">
        <f t="shared" si="108"/>
        <v>0.88541351516275946</v>
      </c>
    </row>
    <row r="184" spans="2:18" x14ac:dyDescent="0.3">
      <c r="B184" s="638" t="s">
        <v>389</v>
      </c>
      <c r="C184" s="972">
        <f>C242</f>
        <v>1.9703389830508473E-2</v>
      </c>
      <c r="D184" s="972">
        <f t="shared" ref="D184:M184" si="109">D242</f>
        <v>2.0574367766823833E-2</v>
      </c>
      <c r="E184" s="972">
        <f t="shared" si="109"/>
        <v>2.0574367766823833E-2</v>
      </c>
      <c r="F184" s="972">
        <f t="shared" si="109"/>
        <v>2.0574367766823833E-2</v>
      </c>
      <c r="G184" s="972">
        <f t="shared" si="109"/>
        <v>2.0574367766823833E-2</v>
      </c>
      <c r="H184" s="972">
        <f t="shared" si="109"/>
        <v>2.0574367766823833E-2</v>
      </c>
      <c r="I184" s="972">
        <f t="shared" si="109"/>
        <v>2.0574367766823833E-2</v>
      </c>
      <c r="J184" s="972">
        <f t="shared" si="109"/>
        <v>2.0574367766823833E-2</v>
      </c>
      <c r="K184" s="972">
        <f t="shared" si="109"/>
        <v>2.0574367766823833E-2</v>
      </c>
      <c r="L184" s="972">
        <f t="shared" si="109"/>
        <v>2.0574367766823833E-2</v>
      </c>
      <c r="M184" s="972">
        <f t="shared" si="109"/>
        <v>2.0574367766823833E-2</v>
      </c>
      <c r="N184" s="1174">
        <f t="shared" ref="N184:R184" si="110">M184</f>
        <v>2.0574367766823833E-2</v>
      </c>
      <c r="O184" s="1174">
        <f t="shared" si="110"/>
        <v>2.0574367766823833E-2</v>
      </c>
      <c r="P184" s="1174">
        <f t="shared" si="110"/>
        <v>2.0574367766823833E-2</v>
      </c>
      <c r="Q184" s="1174">
        <f t="shared" si="110"/>
        <v>2.0574367766823833E-2</v>
      </c>
      <c r="R184" s="1174">
        <f t="shared" si="110"/>
        <v>2.0574367766823833E-2</v>
      </c>
    </row>
    <row r="185" spans="2:18" x14ac:dyDescent="0.3">
      <c r="B185" s="638" t="s">
        <v>390</v>
      </c>
      <c r="C185" s="858">
        <v>0</v>
      </c>
      <c r="D185" s="858">
        <v>0</v>
      </c>
      <c r="E185" s="858">
        <v>0</v>
      </c>
      <c r="F185" s="858">
        <v>0</v>
      </c>
      <c r="G185" s="858">
        <v>0</v>
      </c>
      <c r="H185" s="858">
        <v>0</v>
      </c>
      <c r="I185" s="858">
        <v>0</v>
      </c>
      <c r="J185" s="858">
        <v>0</v>
      </c>
      <c r="K185" s="858">
        <v>0</v>
      </c>
      <c r="L185" s="858">
        <v>0</v>
      </c>
      <c r="M185" s="858">
        <v>0</v>
      </c>
      <c r="N185" s="1174">
        <f t="shared" ref="N185:R185" si="111">M185</f>
        <v>0</v>
      </c>
      <c r="O185" s="1174">
        <f t="shared" si="111"/>
        <v>0</v>
      </c>
      <c r="P185" s="1174">
        <f t="shared" si="111"/>
        <v>0</v>
      </c>
      <c r="Q185" s="1174">
        <f t="shared" si="111"/>
        <v>0</v>
      </c>
      <c r="R185" s="1174">
        <f t="shared" si="111"/>
        <v>0</v>
      </c>
    </row>
    <row r="186" spans="2:18" x14ac:dyDescent="0.3">
      <c r="B186" s="638" t="s">
        <v>391</v>
      </c>
      <c r="C186" s="582">
        <f>SUM(C243:C245)</f>
        <v>5.9957627118644052E-2</v>
      </c>
      <c r="D186" s="582">
        <f t="shared" ref="D186:M186" si="112">SUM(D243:D245)</f>
        <v>6.3894842120302914E-2</v>
      </c>
      <c r="E186" s="582">
        <f t="shared" si="112"/>
        <v>6.4108015430775822E-2</v>
      </c>
      <c r="F186" s="582">
        <f t="shared" si="112"/>
        <v>6.4328272610372911E-2</v>
      </c>
      <c r="G186" s="582">
        <f t="shared" si="112"/>
        <v>6.4555496828118286E-2</v>
      </c>
      <c r="H186" s="582">
        <f t="shared" si="112"/>
        <v>6.4789575519288461E-2</v>
      </c>
      <c r="I186" s="582">
        <f t="shared" si="112"/>
        <v>6.5030400264060206E-2</v>
      </c>
      <c r="J186" s="582">
        <f t="shared" si="112"/>
        <v>6.527786666986074E-2</v>
      </c>
      <c r="K186" s="582">
        <f t="shared" si="112"/>
        <v>6.5531874257309261E-2</v>
      </c>
      <c r="L186" s="582">
        <f t="shared" si="112"/>
        <v>6.5792326349642979E-2</v>
      </c>
      <c r="M186" s="582">
        <f t="shared" si="112"/>
        <v>6.6059129965523572E-2</v>
      </c>
      <c r="N186" s="1174">
        <f t="shared" ref="N186:R186" si="113">M186</f>
        <v>6.6059129965523572E-2</v>
      </c>
      <c r="O186" s="1174">
        <f t="shared" si="113"/>
        <v>6.6059129965523572E-2</v>
      </c>
      <c r="P186" s="1174">
        <f t="shared" si="113"/>
        <v>6.6059129965523572E-2</v>
      </c>
      <c r="Q186" s="1174">
        <f t="shared" si="113"/>
        <v>6.6059129965523572E-2</v>
      </c>
      <c r="R186" s="1174">
        <f t="shared" si="113"/>
        <v>6.6059129965523572E-2</v>
      </c>
    </row>
    <row r="187" spans="2:18" x14ac:dyDescent="0.3">
      <c r="B187" s="638" t="s">
        <v>392</v>
      </c>
      <c r="C187" s="858">
        <v>0</v>
      </c>
      <c r="D187" s="858">
        <v>0</v>
      </c>
      <c r="E187" s="858">
        <v>0</v>
      </c>
      <c r="F187" s="858">
        <v>0</v>
      </c>
      <c r="G187" s="858">
        <v>0</v>
      </c>
      <c r="H187" s="858">
        <v>0</v>
      </c>
      <c r="I187" s="858">
        <v>0</v>
      </c>
      <c r="J187" s="858">
        <v>0</v>
      </c>
      <c r="K187" s="858">
        <v>0</v>
      </c>
      <c r="L187" s="858">
        <v>0</v>
      </c>
      <c r="M187" s="858">
        <v>0</v>
      </c>
      <c r="N187" s="1174">
        <f t="shared" ref="N187:R187" si="114">M187</f>
        <v>0</v>
      </c>
      <c r="O187" s="1174">
        <f t="shared" si="114"/>
        <v>0</v>
      </c>
      <c r="P187" s="1174">
        <f t="shared" si="114"/>
        <v>0</v>
      </c>
      <c r="Q187" s="1174">
        <f t="shared" si="114"/>
        <v>0</v>
      </c>
      <c r="R187" s="1174">
        <f t="shared" si="114"/>
        <v>0</v>
      </c>
    </row>
    <row r="188" spans="2:18" x14ac:dyDescent="0.3">
      <c r="B188" s="638" t="s">
        <v>393</v>
      </c>
      <c r="C188" s="972">
        <f>C246</f>
        <v>2.8147699757869247E-3</v>
      </c>
      <c r="D188" s="972">
        <f t="shared" ref="D188:M188" si="115">D246</f>
        <v>3.0861551650235752E-3</v>
      </c>
      <c r="E188" s="972">
        <f t="shared" si="115"/>
        <v>6.7455350764397126E-3</v>
      </c>
      <c r="F188" s="972">
        <f t="shared" si="115"/>
        <v>1.0166358051150182E-2</v>
      </c>
      <c r="G188" s="972">
        <f t="shared" si="115"/>
        <v>1.3355108629804602E-2</v>
      </c>
      <c r="H188" s="972">
        <f t="shared" si="115"/>
        <v>1.6318073173096415E-2</v>
      </c>
      <c r="I188" s="972">
        <f t="shared" si="115"/>
        <v>1.906134578611729E-2</v>
      </c>
      <c r="J188" s="972">
        <f t="shared" si="115"/>
        <v>2.1590834064841746E-2</v>
      </c>
      <c r="K188" s="972">
        <f t="shared" si="115"/>
        <v>2.3912264670085892E-2</v>
      </c>
      <c r="L188" s="972">
        <f t="shared" si="115"/>
        <v>2.6031188734111255E-2</v>
      </c>
      <c r="M188" s="972">
        <f t="shared" si="115"/>
        <v>2.7952987104893134E-2</v>
      </c>
      <c r="N188" s="1174">
        <f t="shared" ref="N188:R188" si="116">M188</f>
        <v>2.7952987104893134E-2</v>
      </c>
      <c r="O188" s="1174">
        <f t="shared" si="116"/>
        <v>2.7952987104893134E-2</v>
      </c>
      <c r="P188" s="1174">
        <f t="shared" si="116"/>
        <v>2.7952987104893134E-2</v>
      </c>
      <c r="Q188" s="1174">
        <f t="shared" si="116"/>
        <v>2.7952987104893134E-2</v>
      </c>
      <c r="R188" s="1174">
        <f t="shared" si="116"/>
        <v>2.7952987104893134E-2</v>
      </c>
    </row>
    <row r="189" spans="2:18" x14ac:dyDescent="0.3">
      <c r="B189" s="849"/>
    </row>
    <row r="190" spans="2:18" x14ac:dyDescent="0.3">
      <c r="B190" s="861" t="str">
        <f>B191&amp;" - share of energy use based on energy source"</f>
        <v>Agriculture/fishery - share of energy use based on energy source</v>
      </c>
    </row>
    <row r="191" spans="2:18" x14ac:dyDescent="0.3">
      <c r="B191" s="556" t="s">
        <v>2734</v>
      </c>
      <c r="C191" s="556">
        <v>2020</v>
      </c>
      <c r="D191" s="556">
        <v>2021</v>
      </c>
      <c r="E191" s="556">
        <v>2022</v>
      </c>
      <c r="F191" s="556">
        <v>2023</v>
      </c>
      <c r="G191" s="556">
        <v>2024</v>
      </c>
      <c r="H191" s="556">
        <v>2025</v>
      </c>
      <c r="I191" s="556">
        <v>2026</v>
      </c>
      <c r="J191" s="556">
        <v>2027</v>
      </c>
      <c r="K191" s="556">
        <v>2028</v>
      </c>
      <c r="L191" s="556">
        <v>2029</v>
      </c>
      <c r="M191" s="556">
        <v>2030</v>
      </c>
      <c r="N191" s="556">
        <v>2031</v>
      </c>
      <c r="O191" s="556">
        <v>2032</v>
      </c>
      <c r="P191" s="556">
        <v>2033</v>
      </c>
      <c r="Q191" s="556">
        <v>2034</v>
      </c>
      <c r="R191" s="556">
        <v>2035</v>
      </c>
    </row>
    <row r="192" spans="2:18" x14ac:dyDescent="0.3">
      <c r="B192" s="638" t="s">
        <v>388</v>
      </c>
      <c r="C192" s="582" cm="1">
        <f t="array" ref="C192:C197">$G$135:$G$140</f>
        <v>0.75525651808242222</v>
      </c>
      <c r="D192" s="582" cm="1">
        <f t="array" ref="D192:D197">$G$135:$G$140</f>
        <v>0.75525651808242222</v>
      </c>
      <c r="E192" s="582" cm="1">
        <f t="array" ref="E192:E197">$G$135:$G$140</f>
        <v>0.75525651808242222</v>
      </c>
      <c r="F192" s="582" cm="1">
        <f t="array" ref="F192:F197">$G$135:$G$140</f>
        <v>0.75525651808242222</v>
      </c>
      <c r="G192" s="582" cm="1">
        <f t="array" ref="G192:G197">$G$135:$G$140</f>
        <v>0.75525651808242222</v>
      </c>
      <c r="H192" s="582" cm="1">
        <f t="array" ref="H192:H197">$G$135:$G$140</f>
        <v>0.75525651808242222</v>
      </c>
      <c r="I192" s="582" cm="1">
        <f t="array" ref="I192:I197">$G$135:$G$140</f>
        <v>0.75525651808242222</v>
      </c>
      <c r="J192" s="582" cm="1">
        <f t="array" ref="J192:J197">$G$135:$G$140</f>
        <v>0.75525651808242222</v>
      </c>
      <c r="K192" s="582" cm="1">
        <f t="array" ref="K192:K197">$G$135:$G$140</f>
        <v>0.75525651808242222</v>
      </c>
      <c r="L192" s="582" cm="1">
        <f t="array" ref="L192:L197">$G$135:$G$140</f>
        <v>0.75525651808242222</v>
      </c>
      <c r="M192" s="582" cm="1">
        <f t="array" ref="M192:M197">$G$135:$G$140</f>
        <v>0.75525651808242222</v>
      </c>
      <c r="N192" s="1174">
        <f>M192</f>
        <v>0.75525651808242222</v>
      </c>
      <c r="O192" s="1174">
        <f t="shared" ref="O192:R192" si="117">N192</f>
        <v>0.75525651808242222</v>
      </c>
      <c r="P192" s="1174">
        <f t="shared" si="117"/>
        <v>0.75525651808242222</v>
      </c>
      <c r="Q192" s="1174">
        <f t="shared" si="117"/>
        <v>0.75525651808242222</v>
      </c>
      <c r="R192" s="1174">
        <f t="shared" si="117"/>
        <v>0.75525651808242222</v>
      </c>
    </row>
    <row r="193" spans="2:18" x14ac:dyDescent="0.3">
      <c r="B193" s="638" t="s">
        <v>389</v>
      </c>
      <c r="C193" s="582">
        <v>3.4763106251752177E-2</v>
      </c>
      <c r="D193" s="582">
        <v>3.4763106251752177E-2</v>
      </c>
      <c r="E193" s="582">
        <v>3.4763106251752177E-2</v>
      </c>
      <c r="F193" s="582">
        <v>3.4763106251752177E-2</v>
      </c>
      <c r="G193" s="582">
        <v>3.4763106251752177E-2</v>
      </c>
      <c r="H193" s="582">
        <v>3.4763106251752177E-2</v>
      </c>
      <c r="I193" s="582">
        <v>3.4763106251752177E-2</v>
      </c>
      <c r="J193" s="582">
        <v>3.4763106251752177E-2</v>
      </c>
      <c r="K193" s="582">
        <v>3.4763106251752177E-2</v>
      </c>
      <c r="L193" s="582">
        <v>3.4763106251752177E-2</v>
      </c>
      <c r="M193" s="582">
        <v>3.4763106251752177E-2</v>
      </c>
      <c r="N193" s="1174">
        <f t="shared" ref="N193:R193" si="118">M193</f>
        <v>3.4763106251752177E-2</v>
      </c>
      <c r="O193" s="1174">
        <f t="shared" si="118"/>
        <v>3.4763106251752177E-2</v>
      </c>
      <c r="P193" s="1174">
        <f t="shared" si="118"/>
        <v>3.4763106251752177E-2</v>
      </c>
      <c r="Q193" s="1174">
        <f t="shared" si="118"/>
        <v>3.4763106251752177E-2</v>
      </c>
      <c r="R193" s="1174">
        <f t="shared" si="118"/>
        <v>3.4763106251752177E-2</v>
      </c>
    </row>
    <row r="194" spans="2:18" x14ac:dyDescent="0.3">
      <c r="B194" s="638" t="s">
        <v>390</v>
      </c>
      <c r="C194" s="582">
        <v>3.3641715727502097E-3</v>
      </c>
      <c r="D194" s="582">
        <v>3.3641715727502097E-3</v>
      </c>
      <c r="E194" s="582">
        <v>3.3641715727502097E-3</v>
      </c>
      <c r="F194" s="582">
        <v>3.3641715727502097E-3</v>
      </c>
      <c r="G194" s="582">
        <v>3.3641715727502097E-3</v>
      </c>
      <c r="H194" s="582">
        <v>3.3641715727502097E-3</v>
      </c>
      <c r="I194" s="582">
        <v>3.3641715727502097E-3</v>
      </c>
      <c r="J194" s="582">
        <v>3.3641715727502097E-3</v>
      </c>
      <c r="K194" s="582">
        <v>3.3641715727502097E-3</v>
      </c>
      <c r="L194" s="582">
        <v>3.3641715727502097E-3</v>
      </c>
      <c r="M194" s="582">
        <v>3.3641715727502097E-3</v>
      </c>
      <c r="N194" s="1174">
        <f t="shared" ref="N194:R194" si="119">M194</f>
        <v>3.3641715727502097E-3</v>
      </c>
      <c r="O194" s="1174">
        <f t="shared" si="119"/>
        <v>3.3641715727502097E-3</v>
      </c>
      <c r="P194" s="1174">
        <f t="shared" si="119"/>
        <v>3.3641715727502097E-3</v>
      </c>
      <c r="Q194" s="1174">
        <f t="shared" si="119"/>
        <v>3.3641715727502097E-3</v>
      </c>
      <c r="R194" s="1174">
        <f t="shared" si="119"/>
        <v>3.3641715727502097E-3</v>
      </c>
    </row>
    <row r="195" spans="2:18" x14ac:dyDescent="0.3">
      <c r="B195" s="638" t="s">
        <v>391</v>
      </c>
      <c r="C195" s="582">
        <v>2.9436501261564336E-2</v>
      </c>
      <c r="D195" s="582">
        <v>2.9436501261564336E-2</v>
      </c>
      <c r="E195" s="582">
        <v>2.9436501261564336E-2</v>
      </c>
      <c r="F195" s="582">
        <v>2.9436501261564336E-2</v>
      </c>
      <c r="G195" s="582">
        <v>2.9436501261564336E-2</v>
      </c>
      <c r="H195" s="582">
        <v>2.9436501261564336E-2</v>
      </c>
      <c r="I195" s="582">
        <v>2.9436501261564336E-2</v>
      </c>
      <c r="J195" s="582">
        <v>2.9436501261564336E-2</v>
      </c>
      <c r="K195" s="582">
        <v>2.9436501261564336E-2</v>
      </c>
      <c r="L195" s="582">
        <v>2.9436501261564336E-2</v>
      </c>
      <c r="M195" s="582">
        <v>2.9436501261564336E-2</v>
      </c>
      <c r="N195" s="1174">
        <f t="shared" ref="N195:R195" si="120">M195</f>
        <v>2.9436501261564336E-2</v>
      </c>
      <c r="O195" s="1174">
        <f t="shared" si="120"/>
        <v>2.9436501261564336E-2</v>
      </c>
      <c r="P195" s="1174">
        <f t="shared" si="120"/>
        <v>2.9436501261564336E-2</v>
      </c>
      <c r="Q195" s="1174">
        <f t="shared" si="120"/>
        <v>2.9436501261564336E-2</v>
      </c>
      <c r="R195" s="1174">
        <f t="shared" si="120"/>
        <v>2.9436501261564336E-2</v>
      </c>
    </row>
    <row r="196" spans="2:18" x14ac:dyDescent="0.3">
      <c r="B196" s="638" t="s">
        <v>392</v>
      </c>
      <c r="C196" s="582">
        <v>1.9624334174376225E-2</v>
      </c>
      <c r="D196" s="582">
        <v>1.9624334174376225E-2</v>
      </c>
      <c r="E196" s="582">
        <v>1.9624334174376225E-2</v>
      </c>
      <c r="F196" s="582">
        <v>1.9624334174376225E-2</v>
      </c>
      <c r="G196" s="582">
        <v>1.9624334174376225E-2</v>
      </c>
      <c r="H196" s="582">
        <v>1.9624334174376225E-2</v>
      </c>
      <c r="I196" s="582">
        <v>1.9624334174376225E-2</v>
      </c>
      <c r="J196" s="582">
        <v>1.9624334174376225E-2</v>
      </c>
      <c r="K196" s="582">
        <v>1.9624334174376225E-2</v>
      </c>
      <c r="L196" s="582">
        <v>1.9624334174376225E-2</v>
      </c>
      <c r="M196" s="582">
        <v>1.9624334174376225E-2</v>
      </c>
      <c r="N196" s="1174">
        <f t="shared" ref="N196:R196" si="121">M196</f>
        <v>1.9624334174376225E-2</v>
      </c>
      <c r="O196" s="1174">
        <f t="shared" si="121"/>
        <v>1.9624334174376225E-2</v>
      </c>
      <c r="P196" s="1174">
        <f t="shared" si="121"/>
        <v>1.9624334174376225E-2</v>
      </c>
      <c r="Q196" s="1174">
        <f t="shared" si="121"/>
        <v>1.9624334174376225E-2</v>
      </c>
      <c r="R196" s="1174">
        <f t="shared" si="121"/>
        <v>1.9624334174376225E-2</v>
      </c>
    </row>
    <row r="197" spans="2:18" x14ac:dyDescent="0.3">
      <c r="B197" s="638" t="s">
        <v>393</v>
      </c>
      <c r="C197" s="582">
        <v>0.15755536865713485</v>
      </c>
      <c r="D197" s="582">
        <v>0.15755536865713485</v>
      </c>
      <c r="E197" s="582">
        <v>0.15755536865713485</v>
      </c>
      <c r="F197" s="582">
        <v>0.15755536865713485</v>
      </c>
      <c r="G197" s="582">
        <v>0.15755536865713485</v>
      </c>
      <c r="H197" s="582">
        <v>0.15755536865713485</v>
      </c>
      <c r="I197" s="582">
        <v>0.15755536865713485</v>
      </c>
      <c r="J197" s="582">
        <v>0.15755536865713485</v>
      </c>
      <c r="K197" s="582">
        <v>0.15755536865713485</v>
      </c>
      <c r="L197" s="582">
        <v>0.15755536865713485</v>
      </c>
      <c r="M197" s="582">
        <v>0.15755536865713485</v>
      </c>
      <c r="N197" s="1174">
        <f t="shared" ref="N197:R197" si="122">M197</f>
        <v>0.15755536865713485</v>
      </c>
      <c r="O197" s="1174">
        <f t="shared" si="122"/>
        <v>0.15755536865713485</v>
      </c>
      <c r="P197" s="1174">
        <f t="shared" si="122"/>
        <v>0.15755536865713485</v>
      </c>
      <c r="Q197" s="1174">
        <f t="shared" si="122"/>
        <v>0.15755536865713485</v>
      </c>
      <c r="R197" s="1174">
        <f t="shared" si="122"/>
        <v>0.15755536865713485</v>
      </c>
    </row>
    <row r="198" spans="2:18" x14ac:dyDescent="0.3">
      <c r="B198" s="849"/>
    </row>
    <row r="199" spans="2:18" x14ac:dyDescent="0.3">
      <c r="B199" s="861" t="str">
        <f>B200&amp;" - share of energy use based on energy source"</f>
        <v>Cross-sectoral - share of energy use based on energy source</v>
      </c>
    </row>
    <row r="200" spans="2:18" x14ac:dyDescent="0.3">
      <c r="B200" s="556" t="s">
        <v>470</v>
      </c>
      <c r="C200" s="556">
        <v>2020</v>
      </c>
      <c r="D200" s="556">
        <v>2021</v>
      </c>
      <c r="E200" s="556">
        <v>2022</v>
      </c>
      <c r="F200" s="556">
        <v>2023</v>
      </c>
      <c r="G200" s="556">
        <v>2024</v>
      </c>
      <c r="H200" s="556">
        <v>2025</v>
      </c>
      <c r="I200" s="556">
        <v>2026</v>
      </c>
      <c r="J200" s="556">
        <v>2027</v>
      </c>
      <c r="K200" s="556">
        <v>2028</v>
      </c>
      <c r="L200" s="556">
        <v>2029</v>
      </c>
      <c r="M200" s="556">
        <v>2030</v>
      </c>
      <c r="N200" s="556">
        <v>2031</v>
      </c>
      <c r="O200" s="556">
        <v>2032</v>
      </c>
      <c r="P200" s="556">
        <v>2033</v>
      </c>
      <c r="Q200" s="556">
        <v>2034</v>
      </c>
      <c r="R200" s="556">
        <v>2035</v>
      </c>
    </row>
    <row r="201" spans="2:18" x14ac:dyDescent="0.3">
      <c r="B201" s="638" t="s">
        <v>388</v>
      </c>
      <c r="C201" s="582">
        <f>Baseline!AB14/Baseline!AB$20</f>
        <v>0.32727284790568911</v>
      </c>
      <c r="D201" s="582">
        <f>Baseline!AC14/Baseline!AC$20</f>
        <v>0.323858274716397</v>
      </c>
      <c r="E201" s="602">
        <f>Baseline!AD14/Baseline!AD$20</f>
        <v>0.33067920673170592</v>
      </c>
      <c r="F201" s="602">
        <f>Baseline!AE14/Baseline!AE$20</f>
        <v>0.33035799594210874</v>
      </c>
      <c r="G201" s="602">
        <f>Baseline!AF14/Baseline!AF$20</f>
        <v>0.33000166274684611</v>
      </c>
      <c r="H201" s="602">
        <f>Baseline!AG14/Baseline!AG$20</f>
        <v>0.32968480128504685</v>
      </c>
      <c r="I201" s="602">
        <f>Baseline!AH14/Baseline!AH$20</f>
        <v>0.32940625529206141</v>
      </c>
      <c r="J201" s="602">
        <f>Baseline!AI14/Baseline!AI$20</f>
        <v>0.32911597006943927</v>
      </c>
      <c r="K201" s="602">
        <f>Baseline!AJ14/Baseline!AJ$20</f>
        <v>0.32886882002877926</v>
      </c>
      <c r="L201" s="602">
        <f>Baseline!AK14/Baseline!AK$20</f>
        <v>0.32866361165084806</v>
      </c>
      <c r="M201" s="602">
        <f>Baseline!AL14/Baseline!AL$20</f>
        <v>0.32849917331824363</v>
      </c>
      <c r="N201" s="1174">
        <f>M201</f>
        <v>0.32849917331824363</v>
      </c>
      <c r="O201" s="1174">
        <f t="shared" ref="O201:R201" si="123">N201</f>
        <v>0.32849917331824363</v>
      </c>
      <c r="P201" s="1174">
        <f t="shared" si="123"/>
        <v>0.32849917331824363</v>
      </c>
      <c r="Q201" s="1174">
        <f t="shared" si="123"/>
        <v>0.32849917331824363</v>
      </c>
      <c r="R201" s="1174">
        <f t="shared" si="123"/>
        <v>0.32849917331824363</v>
      </c>
    </row>
    <row r="202" spans="2:18" x14ac:dyDescent="0.3">
      <c r="B202" s="638" t="s">
        <v>389</v>
      </c>
      <c r="C202" s="582">
        <f>Baseline!AB15/Baseline!AB$20</f>
        <v>4.2502040740034192E-2</v>
      </c>
      <c r="D202" s="582">
        <f>Baseline!AC15/Baseline!AC$20</f>
        <v>4.4516078392565904E-2</v>
      </c>
      <c r="E202" s="602">
        <f>Baseline!AD15/Baseline!AD$20</f>
        <v>4.2132439739297332E-2</v>
      </c>
      <c r="F202" s="602">
        <f>Baseline!AE15/Baseline!AE$20</f>
        <v>4.2317880168697815E-2</v>
      </c>
      <c r="G202" s="602">
        <f>Baseline!AF15/Baseline!AF$20</f>
        <v>4.25852512468975E-2</v>
      </c>
      <c r="H202" s="602">
        <f>Baseline!AG15/Baseline!AG$20</f>
        <v>4.2850986321664938E-2</v>
      </c>
      <c r="I202" s="602">
        <f>Baseline!AH15/Baseline!AH$20</f>
        <v>4.311505191850034E-2</v>
      </c>
      <c r="J202" s="602">
        <f>Baseline!AI15/Baseline!AI$20</f>
        <v>4.3370969319612158E-2</v>
      </c>
      <c r="K202" s="602">
        <f>Baseline!AJ15/Baseline!AJ$20</f>
        <v>4.3626006621844036E-2</v>
      </c>
      <c r="L202" s="602">
        <f>Baseline!AK15/Baseline!AK$20</f>
        <v>4.3880141981291726E-2</v>
      </c>
      <c r="M202" s="602">
        <f>Baseline!AL15/Baseline!AL$20</f>
        <v>4.4133353956846262E-2</v>
      </c>
      <c r="N202" s="1174">
        <f t="shared" ref="N202:R202" si="124">M202</f>
        <v>4.4133353956846262E-2</v>
      </c>
      <c r="O202" s="1174">
        <f t="shared" si="124"/>
        <v>4.4133353956846262E-2</v>
      </c>
      <c r="P202" s="1174">
        <f t="shared" si="124"/>
        <v>4.4133353956846262E-2</v>
      </c>
      <c r="Q202" s="1174">
        <f t="shared" si="124"/>
        <v>4.4133353956846262E-2</v>
      </c>
      <c r="R202" s="1174">
        <f t="shared" si="124"/>
        <v>4.4133353956846262E-2</v>
      </c>
    </row>
    <row r="203" spans="2:18" x14ac:dyDescent="0.3">
      <c r="B203" s="638" t="s">
        <v>390</v>
      </c>
      <c r="C203" s="582">
        <f>Baseline!AB16/Baseline!AB$20</f>
        <v>3.8435542507248713E-3</v>
      </c>
      <c r="D203" s="582">
        <f>Baseline!AC16/Baseline!AC$20</f>
        <v>1.8798263548037083E-4</v>
      </c>
      <c r="E203" s="602">
        <f>Baseline!AD16/Baseline!AD$20</f>
        <v>3.9512710042052994E-3</v>
      </c>
      <c r="F203" s="602">
        <f>Baseline!AE16/Baseline!AE$20</f>
        <v>3.9698142752849601E-3</v>
      </c>
      <c r="G203" s="602">
        <f>Baseline!AF16/Baseline!AF$20</f>
        <v>3.9978345397034161E-3</v>
      </c>
      <c r="H203" s="602">
        <f>Baseline!AG16/Baseline!AG$20</f>
        <v>4.0257305073168308E-3</v>
      </c>
      <c r="I203" s="602">
        <f>Baseline!AH16/Baseline!AH$20</f>
        <v>4.0534985094976628E-3</v>
      </c>
      <c r="J203" s="602">
        <f>Baseline!AI16/Baseline!AI$20</f>
        <v>4.0805284739163904E-3</v>
      </c>
      <c r="K203" s="602">
        <f>Baseline!AJ16/Baseline!AJ$20</f>
        <v>4.1075028589699298E-3</v>
      </c>
      <c r="L203" s="602">
        <f>Baseline!AK16/Baseline!AK$20</f>
        <v>4.1344192486369993E-3</v>
      </c>
      <c r="M203" s="602">
        <f>Baseline!AL16/Baseline!AL$20</f>
        <v>4.1612752600988928E-3</v>
      </c>
      <c r="N203" s="1174">
        <f t="shared" ref="N203:R203" si="125">M203</f>
        <v>4.1612752600988928E-3</v>
      </c>
      <c r="O203" s="1174">
        <f t="shared" si="125"/>
        <v>4.1612752600988928E-3</v>
      </c>
      <c r="P203" s="1174">
        <f t="shared" si="125"/>
        <v>4.1612752600988928E-3</v>
      </c>
      <c r="Q203" s="1174">
        <f t="shared" si="125"/>
        <v>4.1612752600988928E-3</v>
      </c>
      <c r="R203" s="1174">
        <f t="shared" si="125"/>
        <v>4.1612752600988928E-3</v>
      </c>
    </row>
    <row r="204" spans="2:18" x14ac:dyDescent="0.3">
      <c r="B204" s="638" t="s">
        <v>391</v>
      </c>
      <c r="C204" s="582">
        <f>Baseline!AB17/Baseline!AB$20</f>
        <v>2.6441156272388033E-2</v>
      </c>
      <c r="D204" s="582">
        <f>Baseline!AC17/Baseline!AC$20</f>
        <v>2.5180721600299195E-2</v>
      </c>
      <c r="E204" s="602">
        <f>Baseline!AD17/Baseline!AD$20</f>
        <v>2.7803242016474751E-2</v>
      </c>
      <c r="F204" s="602">
        <f>Baseline!AE17/Baseline!AE$20</f>
        <v>2.7960657414072356E-2</v>
      </c>
      <c r="G204" s="602">
        <f>Baseline!AF17/Baseline!AF$20</f>
        <v>2.8126837352291392E-2</v>
      </c>
      <c r="H204" s="602">
        <f>Baseline!AG17/Baseline!AG$20</f>
        <v>2.8293658706289273E-2</v>
      </c>
      <c r="I204" s="602">
        <f>Baseline!AH17/Baseline!AH$20</f>
        <v>2.8461077991601684E-2</v>
      </c>
      <c r="J204" s="602">
        <f>Baseline!AI17/Baseline!AI$20</f>
        <v>2.8624797962528883E-2</v>
      </c>
      <c r="K204" s="602">
        <f>Baseline!AJ17/Baseline!AJ$20</f>
        <v>2.8789595328025334E-2</v>
      </c>
      <c r="L204" s="602">
        <f>Baseline!AK17/Baseline!AK$20</f>
        <v>2.8955433721201927E-2</v>
      </c>
      <c r="M204" s="602">
        <f>Baseline!AL17/Baseline!AL$20</f>
        <v>2.9122277365144191E-2</v>
      </c>
      <c r="N204" s="1174">
        <f t="shared" ref="N204:R204" si="126">M204</f>
        <v>2.9122277365144191E-2</v>
      </c>
      <c r="O204" s="1174">
        <f t="shared" si="126"/>
        <v>2.9122277365144191E-2</v>
      </c>
      <c r="P204" s="1174">
        <f t="shared" si="126"/>
        <v>2.9122277365144191E-2</v>
      </c>
      <c r="Q204" s="1174">
        <f t="shared" si="126"/>
        <v>2.9122277365144191E-2</v>
      </c>
      <c r="R204" s="1174">
        <f t="shared" si="126"/>
        <v>2.9122277365144191E-2</v>
      </c>
    </row>
    <row r="205" spans="2:18" x14ac:dyDescent="0.3">
      <c r="B205" s="638" t="s">
        <v>392</v>
      </c>
      <c r="C205" s="582">
        <f>Baseline!AB18/Baseline!AB$20</f>
        <v>0.37752194232506964</v>
      </c>
      <c r="D205" s="582">
        <f>Baseline!AC18/Baseline!AC$20</f>
        <v>0.37898472772065867</v>
      </c>
      <c r="E205" s="602">
        <f>Baseline!AD18/Baseline!AD$20</f>
        <v>0.37277679541213693</v>
      </c>
      <c r="F205" s="602">
        <f>Baseline!AE18/Baseline!AE$20</f>
        <v>0.37096819022833433</v>
      </c>
      <c r="G205" s="602">
        <f>Baseline!AF18/Baseline!AF$20</f>
        <v>0.36906060287333087</v>
      </c>
      <c r="H205" s="602">
        <f>Baseline!AG18/Baseline!AG$20</f>
        <v>0.36717716005641132</v>
      </c>
      <c r="I205" s="602">
        <f>Baseline!AH18/Baseline!AH$20</f>
        <v>0.3653180217943105</v>
      </c>
      <c r="J205" s="602">
        <f>Baseline!AI18/Baseline!AI$20</f>
        <v>0.36361393388574853</v>
      </c>
      <c r="K205" s="602">
        <f>Baseline!AJ18/Baseline!AJ$20</f>
        <v>0.36192532410730566</v>
      </c>
      <c r="L205" s="602">
        <f>Baseline!AK18/Baseline!AK$20</f>
        <v>0.36025229709085038</v>
      </c>
      <c r="M205" s="602">
        <f>Baseline!AL18/Baseline!AL$20</f>
        <v>0.35859495188693508</v>
      </c>
      <c r="N205" s="1174">
        <f t="shared" ref="N205:R205" si="127">M205</f>
        <v>0.35859495188693508</v>
      </c>
      <c r="O205" s="1174">
        <f t="shared" si="127"/>
        <v>0.35859495188693508</v>
      </c>
      <c r="P205" s="1174">
        <f t="shared" si="127"/>
        <v>0.35859495188693508</v>
      </c>
      <c r="Q205" s="1174">
        <f t="shared" si="127"/>
        <v>0.35859495188693508</v>
      </c>
      <c r="R205" s="1174">
        <f t="shared" si="127"/>
        <v>0.35859495188693508</v>
      </c>
    </row>
    <row r="206" spans="2:18" x14ac:dyDescent="0.3">
      <c r="B206" s="638" t="s">
        <v>393</v>
      </c>
      <c r="C206" s="582">
        <f>Baseline!AB19/Baseline!AB$20</f>
        <v>0.2224184585060941</v>
      </c>
      <c r="D206" s="582">
        <f>Baseline!AC19/Baseline!AC$20</f>
        <v>0.22727221493459895</v>
      </c>
      <c r="E206" s="602">
        <f>Baseline!AD19/Baseline!AD$20</f>
        <v>0.22265704509617978</v>
      </c>
      <c r="F206" s="602">
        <f>Baseline!AE19/Baseline!AE$20</f>
        <v>0.22442546197150184</v>
      </c>
      <c r="G206" s="602">
        <f>Baseline!AF19/Baseline!AF$20</f>
        <v>0.22622781124093069</v>
      </c>
      <c r="H206" s="602">
        <f>Baseline!AG19/Baseline!AG$20</f>
        <v>0.22796766312327074</v>
      </c>
      <c r="I206" s="602">
        <f>Baseline!AH19/Baseline!AH$20</f>
        <v>0.2296460944940284</v>
      </c>
      <c r="J206" s="602">
        <f>Baseline!AI19/Baseline!AI$20</f>
        <v>0.23119380028875472</v>
      </c>
      <c r="K206" s="602">
        <f>Baseline!AJ19/Baseline!AJ$20</f>
        <v>0.23268275105507571</v>
      </c>
      <c r="L206" s="602">
        <f>Baseline!AK19/Baseline!AK$20</f>
        <v>0.23411409630717084</v>
      </c>
      <c r="M206" s="602">
        <f>Baseline!AL19/Baseline!AL$20</f>
        <v>0.23548896821273185</v>
      </c>
      <c r="N206" s="1174">
        <f t="shared" ref="N206:R206" si="128">M206</f>
        <v>0.23548896821273185</v>
      </c>
      <c r="O206" s="1174">
        <f t="shared" si="128"/>
        <v>0.23548896821273185</v>
      </c>
      <c r="P206" s="1174">
        <f t="shared" si="128"/>
        <v>0.23548896821273185</v>
      </c>
      <c r="Q206" s="1174">
        <f t="shared" si="128"/>
        <v>0.23548896821273185</v>
      </c>
      <c r="R206" s="1174">
        <f t="shared" si="128"/>
        <v>0.23548896821273185</v>
      </c>
    </row>
    <row r="207" spans="2:18" x14ac:dyDescent="0.3">
      <c r="B207" s="849"/>
    </row>
    <row r="208" spans="2:18" x14ac:dyDescent="0.3">
      <c r="B208" s="849"/>
    </row>
    <row r="209" spans="1:14" ht="15" x14ac:dyDescent="0.3">
      <c r="B209" s="1011" t="s">
        <v>2735</v>
      </c>
      <c r="C209" s="1007"/>
      <c r="D209" s="1007"/>
      <c r="E209"/>
      <c r="F209"/>
      <c r="G209" s="1011" t="s">
        <v>2736</v>
      </c>
      <c r="H209" s="1007"/>
      <c r="I209" s="1007"/>
      <c r="J209"/>
      <c r="K209" s="1012" t="s">
        <v>2737</v>
      </c>
      <c r="L209" s="1007"/>
      <c r="M209"/>
    </row>
    <row r="210" spans="1:14" x14ac:dyDescent="0.3">
      <c r="B210" s="860" t="s">
        <v>2600</v>
      </c>
      <c r="C210" s="2167" t="s">
        <v>2738</v>
      </c>
      <c r="D210" s="2168"/>
      <c r="E210"/>
      <c r="F210"/>
      <c r="G210" s="860" t="s">
        <v>2600</v>
      </c>
      <c r="H210" s="2167" t="s">
        <v>2738</v>
      </c>
      <c r="I210" s="2168"/>
      <c r="J210"/>
      <c r="K210" s="968" t="s">
        <v>2600</v>
      </c>
      <c r="L210" s="1164" t="s">
        <v>2739</v>
      </c>
      <c r="M210"/>
    </row>
    <row r="211" spans="1:14" x14ac:dyDescent="0.3">
      <c r="B211" s="849"/>
      <c r="E211"/>
      <c r="F211"/>
      <c r="G211" s="849"/>
      <c r="J211"/>
      <c r="K211" s="963"/>
      <c r="M211"/>
    </row>
    <row r="212" spans="1:14" ht="40.5" x14ac:dyDescent="0.3">
      <c r="B212" s="571" t="s">
        <v>2740</v>
      </c>
      <c r="C212" s="556" t="s">
        <v>2741</v>
      </c>
      <c r="D212" s="556" t="s">
        <v>2742</v>
      </c>
      <c r="E212"/>
      <c r="F212"/>
      <c r="G212" s="571" t="s">
        <v>2740</v>
      </c>
      <c r="H212" s="556" t="s">
        <v>2741</v>
      </c>
      <c r="I212" s="556" t="s">
        <v>2742</v>
      </c>
      <c r="J212"/>
      <c r="K212" s="556" t="s">
        <v>2743</v>
      </c>
      <c r="L212" s="556">
        <v>2020</v>
      </c>
      <c r="M212"/>
    </row>
    <row r="213" spans="1:14" x14ac:dyDescent="0.3">
      <c r="A213" s="973" t="s">
        <v>1327</v>
      </c>
      <c r="B213" s="572" t="s">
        <v>1327</v>
      </c>
      <c r="C213" s="570">
        <v>874</v>
      </c>
      <c r="D213" s="602">
        <f t="shared" ref="D213:D219" si="129">C213/C$219</f>
        <v>2.3437919013140251E-2</v>
      </c>
      <c r="E213"/>
      <c r="F213"/>
      <c r="G213" s="572" t="s">
        <v>2744</v>
      </c>
      <c r="H213" s="570">
        <v>17652</v>
      </c>
      <c r="I213" s="602">
        <f>H213/H$217</f>
        <v>0.98935096962223967</v>
      </c>
      <c r="J213"/>
      <c r="K213" s="648" t="s">
        <v>2745</v>
      </c>
      <c r="L213" s="858">
        <v>0.58399999999999996</v>
      </c>
      <c r="M213"/>
    </row>
    <row r="214" spans="1:14" x14ac:dyDescent="0.3">
      <c r="A214" s="973" t="s">
        <v>2728</v>
      </c>
      <c r="B214" s="572" t="s">
        <v>2746</v>
      </c>
      <c r="C214" s="570">
        <v>8404</v>
      </c>
      <c r="D214" s="602">
        <f t="shared" si="129"/>
        <v>0.22536873156342183</v>
      </c>
      <c r="G214" s="572" t="s">
        <v>2747</v>
      </c>
      <c r="H214" s="570">
        <v>0</v>
      </c>
      <c r="I214" s="602">
        <f>H214/H$217</f>
        <v>0</v>
      </c>
      <c r="K214" s="648" t="s">
        <v>2748</v>
      </c>
      <c r="L214" s="603">
        <v>0.157</v>
      </c>
    </row>
    <row r="215" spans="1:14" x14ac:dyDescent="0.3">
      <c r="A215" s="973" t="s">
        <v>2749</v>
      </c>
      <c r="B215" s="572" t="s">
        <v>2749</v>
      </c>
      <c r="C215" s="570">
        <v>78</v>
      </c>
      <c r="D215" s="602">
        <f t="shared" si="129"/>
        <v>2.091713596138375E-3</v>
      </c>
      <c r="G215" s="572" t="s">
        <v>2750</v>
      </c>
      <c r="H215" s="570">
        <v>177</v>
      </c>
      <c r="I215" s="602">
        <f>H215/H$217</f>
        <v>9.9204125098083171E-3</v>
      </c>
      <c r="K215" s="648" t="s">
        <v>389</v>
      </c>
      <c r="L215" s="603">
        <v>0.20100000000000001</v>
      </c>
    </row>
    <row r="216" spans="1:14" x14ac:dyDescent="0.3">
      <c r="A216" s="973" t="s">
        <v>2730</v>
      </c>
      <c r="B216" s="572" t="s">
        <v>2751</v>
      </c>
      <c r="C216" s="570">
        <v>27208</v>
      </c>
      <c r="D216" s="602">
        <f t="shared" si="129"/>
        <v>0.72963260927862694</v>
      </c>
      <c r="G216" s="572" t="s">
        <v>2752</v>
      </c>
      <c r="H216" s="570">
        <v>13</v>
      </c>
      <c r="I216" s="602">
        <f>H216/H$217</f>
        <v>7.2861786795202328E-4</v>
      </c>
      <c r="K216" s="648" t="s">
        <v>2753</v>
      </c>
      <c r="L216" s="603">
        <f>0.259-L215</f>
        <v>5.7999999999999996E-2</v>
      </c>
    </row>
    <row r="217" spans="1:14" x14ac:dyDescent="0.3">
      <c r="A217" s="973" t="s">
        <v>2754</v>
      </c>
      <c r="B217" s="572" t="s">
        <v>2754</v>
      </c>
      <c r="C217" s="570">
        <v>726</v>
      </c>
      <c r="D217" s="602">
        <f t="shared" si="129"/>
        <v>1.9469026548672566E-2</v>
      </c>
      <c r="G217" s="572" t="s">
        <v>55</v>
      </c>
      <c r="H217" s="570">
        <f>SUM(H213:H216)</f>
        <v>17842</v>
      </c>
      <c r="I217" s="602">
        <f>H217/H$217</f>
        <v>1</v>
      </c>
      <c r="K217" s="648" t="s">
        <v>55</v>
      </c>
      <c r="L217" s="1013">
        <f>SUM(L213:L216)</f>
        <v>1</v>
      </c>
    </row>
    <row r="218" spans="1:14" x14ac:dyDescent="0.3">
      <c r="A218" s="973"/>
      <c r="B218" s="572" t="s">
        <v>2755</v>
      </c>
      <c r="C218" s="974">
        <f>SUM(C216:C217)</f>
        <v>27934</v>
      </c>
      <c r="D218" s="582">
        <f t="shared" si="129"/>
        <v>0.74910163582729949</v>
      </c>
      <c r="K218" s="963"/>
      <c r="L218" s="965"/>
    </row>
    <row r="219" spans="1:14" x14ac:dyDescent="0.3">
      <c r="B219" s="572" t="s">
        <v>55</v>
      </c>
      <c r="C219" s="570">
        <f>SUM(C213:C217)</f>
        <v>37290</v>
      </c>
      <c r="D219" s="602">
        <f t="shared" si="129"/>
        <v>1</v>
      </c>
    </row>
    <row r="220" spans="1:14" x14ac:dyDescent="0.3">
      <c r="B220" s="849"/>
    </row>
    <row r="221" spans="1:14" x14ac:dyDescent="0.3">
      <c r="B221" s="849"/>
    </row>
    <row r="222" spans="1:14" ht="15" x14ac:dyDescent="0.3">
      <c r="B222" s="1011" t="s">
        <v>2756</v>
      </c>
      <c r="C222" s="1007"/>
      <c r="D222" s="1007"/>
      <c r="E222" s="1007"/>
      <c r="F222" s="1007"/>
      <c r="G222" s="1007"/>
      <c r="H222" s="1007"/>
      <c r="I222" s="1007"/>
      <c r="J222" s="1007"/>
      <c r="K222" s="1007"/>
      <c r="L222" s="1007"/>
      <c r="M222" s="1007"/>
      <c r="N222" s="1007"/>
    </row>
    <row r="223" spans="1:14" x14ac:dyDescent="0.3">
      <c r="B223" s="968" t="s">
        <v>2600</v>
      </c>
      <c r="C223" s="862" t="s">
        <v>2757</v>
      </c>
    </row>
    <row r="224" spans="1:14" x14ac:dyDescent="0.3">
      <c r="B224" s="861"/>
    </row>
    <row r="225" spans="2:19" x14ac:dyDescent="0.3">
      <c r="B225" s="556" t="s">
        <v>2743</v>
      </c>
      <c r="C225" s="556">
        <v>2020</v>
      </c>
      <c r="D225" s="556">
        <v>2021</v>
      </c>
      <c r="E225" s="556">
        <v>2022</v>
      </c>
      <c r="F225" s="556">
        <v>2023</v>
      </c>
      <c r="G225" s="556">
        <v>2024</v>
      </c>
      <c r="H225" s="556">
        <v>2025</v>
      </c>
      <c r="I225" s="556">
        <v>2026</v>
      </c>
      <c r="J225" s="556">
        <v>2027</v>
      </c>
      <c r="K225" s="556">
        <v>2028</v>
      </c>
      <c r="L225" s="556">
        <v>2029</v>
      </c>
      <c r="M225" s="556">
        <v>2030</v>
      </c>
      <c r="N225" s="556">
        <v>2031</v>
      </c>
      <c r="O225" s="556">
        <v>2032</v>
      </c>
      <c r="P225" s="556">
        <v>2033</v>
      </c>
      <c r="Q225" s="556">
        <v>2034</v>
      </c>
      <c r="R225" s="556">
        <v>2035</v>
      </c>
      <c r="S225" s="556" t="s">
        <v>476</v>
      </c>
    </row>
    <row r="226" spans="2:19" x14ac:dyDescent="0.3">
      <c r="B226" s="648" t="s">
        <v>2758</v>
      </c>
      <c r="C226" s="604">
        <v>0.3993928915954022</v>
      </c>
      <c r="D226" s="640">
        <f>AVERAGE($C226,$H226)</f>
        <v>0.39581480119162044</v>
      </c>
      <c r="E226" s="640">
        <f t="shared" ref="E226:G231" si="130">AVERAGE($C226,$H226)</f>
        <v>0.39581480119162044</v>
      </c>
      <c r="F226" s="640">
        <f t="shared" si="130"/>
        <v>0.39581480119162044</v>
      </c>
      <c r="G226" s="640">
        <f t="shared" si="130"/>
        <v>0.39581480119162044</v>
      </c>
      <c r="H226" s="604">
        <v>0.39223671078783867</v>
      </c>
      <c r="I226" s="640">
        <f>AVERAGE($H226,$M226)</f>
        <v>0.38858354367017661</v>
      </c>
      <c r="J226" s="640">
        <f t="shared" ref="J226:L226" si="131">AVERAGE($H226,$M226)</f>
        <v>0.38858354367017661</v>
      </c>
      <c r="K226" s="640">
        <f t="shared" si="131"/>
        <v>0.38858354367017661</v>
      </c>
      <c r="L226" s="640">
        <f t="shared" si="131"/>
        <v>0.38858354367017661</v>
      </c>
      <c r="M226" s="604">
        <v>0.38493037655251455</v>
      </c>
      <c r="N226" s="1174">
        <f>M226</f>
        <v>0.38493037655251455</v>
      </c>
      <c r="O226" s="1174">
        <f t="shared" ref="O226:R226" si="132">N226</f>
        <v>0.38493037655251455</v>
      </c>
      <c r="P226" s="1174">
        <f t="shared" si="132"/>
        <v>0.38493037655251455</v>
      </c>
      <c r="Q226" s="1174">
        <f t="shared" si="132"/>
        <v>0.38493037655251455</v>
      </c>
      <c r="R226" s="1174">
        <f t="shared" si="132"/>
        <v>0.38493037655251455</v>
      </c>
      <c r="S226" s="975">
        <f t="shared" ref="S226:S231" si="133">AVERAGE(C226:M226)</f>
        <v>0.39219575985299487</v>
      </c>
    </row>
    <row r="227" spans="2:19" x14ac:dyDescent="0.3">
      <c r="B227" s="648" t="s">
        <v>389</v>
      </c>
      <c r="C227" s="604">
        <v>0.11563426440077219</v>
      </c>
      <c r="D227" s="640">
        <f t="shared" ref="D227:D230" si="134">AVERAGE($C227,$H227)</f>
        <v>0.11515052267146046</v>
      </c>
      <c r="E227" s="640">
        <f t="shared" si="130"/>
        <v>0.11515052267146046</v>
      </c>
      <c r="F227" s="640">
        <f t="shared" si="130"/>
        <v>0.11515052267146046</v>
      </c>
      <c r="G227" s="640">
        <f t="shared" si="130"/>
        <v>0.11515052267146046</v>
      </c>
      <c r="H227" s="604">
        <v>0.11466678094214873</v>
      </c>
      <c r="I227" s="640">
        <f t="shared" ref="I227:L231" si="135">AVERAGE($H227,$M227)</f>
        <v>0.11408537774914204</v>
      </c>
      <c r="J227" s="640">
        <f t="shared" si="135"/>
        <v>0.11408537774914204</v>
      </c>
      <c r="K227" s="640">
        <f t="shared" si="135"/>
        <v>0.11408537774914204</v>
      </c>
      <c r="L227" s="640">
        <f t="shared" si="135"/>
        <v>0.11408537774914204</v>
      </c>
      <c r="M227" s="604">
        <v>0.11350397455613534</v>
      </c>
      <c r="N227" s="1174">
        <f t="shared" ref="N227:R227" si="136">M227</f>
        <v>0.11350397455613534</v>
      </c>
      <c r="O227" s="1174">
        <f t="shared" si="136"/>
        <v>0.11350397455613534</v>
      </c>
      <c r="P227" s="1174">
        <f t="shared" si="136"/>
        <v>0.11350397455613534</v>
      </c>
      <c r="Q227" s="1174">
        <f t="shared" si="136"/>
        <v>0.11350397455613534</v>
      </c>
      <c r="R227" s="1174">
        <f t="shared" si="136"/>
        <v>0.11350397455613534</v>
      </c>
      <c r="S227" s="975">
        <f t="shared" si="133"/>
        <v>0.11461351105286056</v>
      </c>
    </row>
    <row r="228" spans="2:19" x14ac:dyDescent="0.3">
      <c r="B228" s="648" t="s">
        <v>1329</v>
      </c>
      <c r="C228" s="604">
        <v>1.8115379549977449E-3</v>
      </c>
      <c r="D228" s="640">
        <f t="shared" si="134"/>
        <v>1.9777628701539243E-3</v>
      </c>
      <c r="E228" s="640">
        <f t="shared" si="130"/>
        <v>1.9777628701539243E-3</v>
      </c>
      <c r="F228" s="640">
        <f t="shared" si="130"/>
        <v>1.9777628701539243E-3</v>
      </c>
      <c r="G228" s="640">
        <f t="shared" si="130"/>
        <v>1.9777628701539243E-3</v>
      </c>
      <c r="H228" s="604">
        <v>2.1439877853101034E-3</v>
      </c>
      <c r="I228" s="640">
        <f t="shared" si="135"/>
        <v>2.2953027646300805E-3</v>
      </c>
      <c r="J228" s="640">
        <f t="shared" si="135"/>
        <v>2.2953027646300805E-3</v>
      </c>
      <c r="K228" s="640">
        <f t="shared" si="135"/>
        <v>2.2953027646300805E-3</v>
      </c>
      <c r="L228" s="640">
        <f t="shared" si="135"/>
        <v>2.2953027646300805E-3</v>
      </c>
      <c r="M228" s="604">
        <v>2.4466177439500577E-3</v>
      </c>
      <c r="N228" s="1174">
        <f t="shared" ref="N228:R228" si="137">M228</f>
        <v>2.4466177439500577E-3</v>
      </c>
      <c r="O228" s="1174">
        <f t="shared" si="137"/>
        <v>2.4466177439500577E-3</v>
      </c>
      <c r="P228" s="1174">
        <f t="shared" si="137"/>
        <v>2.4466177439500577E-3</v>
      </c>
      <c r="Q228" s="1174">
        <f t="shared" si="137"/>
        <v>2.4466177439500577E-3</v>
      </c>
      <c r="R228" s="1174">
        <f t="shared" si="137"/>
        <v>2.4466177439500577E-3</v>
      </c>
      <c r="S228" s="975">
        <f t="shared" si="133"/>
        <v>2.1358550930358116E-3</v>
      </c>
    </row>
    <row r="229" spans="2:19" x14ac:dyDescent="0.3">
      <c r="B229" s="648" t="s">
        <v>2759</v>
      </c>
      <c r="C229" s="604">
        <v>0.44534332890443784</v>
      </c>
      <c r="D229" s="640">
        <f t="shared" si="134"/>
        <v>0.44986678482128362</v>
      </c>
      <c r="E229" s="640">
        <f t="shared" si="130"/>
        <v>0.44986678482128362</v>
      </c>
      <c r="F229" s="640">
        <f t="shared" si="130"/>
        <v>0.44986678482128362</v>
      </c>
      <c r="G229" s="640">
        <f t="shared" si="130"/>
        <v>0.44986678482128362</v>
      </c>
      <c r="H229" s="604">
        <v>0.45439024073812945</v>
      </c>
      <c r="I229" s="640">
        <f t="shared" si="135"/>
        <v>0.45914962520625291</v>
      </c>
      <c r="J229" s="640">
        <f t="shared" si="135"/>
        <v>0.45914962520625291</v>
      </c>
      <c r="K229" s="640">
        <f t="shared" si="135"/>
        <v>0.45914962520625291</v>
      </c>
      <c r="L229" s="640">
        <f t="shared" si="135"/>
        <v>0.45914962520625291</v>
      </c>
      <c r="M229" s="604">
        <v>0.46390900967437632</v>
      </c>
      <c r="N229" s="1174">
        <f t="shared" ref="N229:R229" si="138">M229</f>
        <v>0.46390900967437632</v>
      </c>
      <c r="O229" s="1174">
        <f t="shared" si="138"/>
        <v>0.46390900967437632</v>
      </c>
      <c r="P229" s="1174">
        <f t="shared" si="138"/>
        <v>0.46390900967437632</v>
      </c>
      <c r="Q229" s="1174">
        <f t="shared" si="138"/>
        <v>0.46390900967437632</v>
      </c>
      <c r="R229" s="1174">
        <f t="shared" si="138"/>
        <v>0.46390900967437632</v>
      </c>
      <c r="S229" s="975">
        <f t="shared" si="133"/>
        <v>0.45451892903882635</v>
      </c>
    </row>
    <row r="230" spans="2:19" x14ac:dyDescent="0.3">
      <c r="B230" s="648" t="s">
        <v>388</v>
      </c>
      <c r="C230" s="604">
        <v>3.3284370668001641E-2</v>
      </c>
      <c r="D230" s="640">
        <f t="shared" si="134"/>
        <v>3.2727507177897498E-2</v>
      </c>
      <c r="E230" s="640">
        <f t="shared" si="130"/>
        <v>3.2727507177897498E-2</v>
      </c>
      <c r="F230" s="640">
        <f t="shared" si="130"/>
        <v>3.2727507177897498E-2</v>
      </c>
      <c r="G230" s="640">
        <f t="shared" si="130"/>
        <v>3.2727507177897498E-2</v>
      </c>
      <c r="H230" s="604">
        <v>3.2170643687793356E-2</v>
      </c>
      <c r="I230" s="640">
        <f t="shared" si="135"/>
        <v>3.1563566871200266E-2</v>
      </c>
      <c r="J230" s="640">
        <f t="shared" si="135"/>
        <v>3.1563566871200266E-2</v>
      </c>
      <c r="K230" s="640">
        <f t="shared" si="135"/>
        <v>3.1563566871200266E-2</v>
      </c>
      <c r="L230" s="640">
        <f t="shared" si="135"/>
        <v>3.1563566871200266E-2</v>
      </c>
      <c r="M230" s="604">
        <v>3.0956490054607169E-2</v>
      </c>
      <c r="N230" s="1174">
        <f t="shared" ref="N230:R230" si="139">M230</f>
        <v>3.0956490054607169E-2</v>
      </c>
      <c r="O230" s="1174">
        <f t="shared" si="139"/>
        <v>3.0956490054607169E-2</v>
      </c>
      <c r="P230" s="1174">
        <f t="shared" si="139"/>
        <v>3.0956490054607169E-2</v>
      </c>
      <c r="Q230" s="1174">
        <f t="shared" si="139"/>
        <v>3.0956490054607169E-2</v>
      </c>
      <c r="R230" s="1174">
        <f t="shared" si="139"/>
        <v>3.0956490054607169E-2</v>
      </c>
      <c r="S230" s="975">
        <f t="shared" si="133"/>
        <v>3.2143254600617566E-2</v>
      </c>
    </row>
    <row r="231" spans="2:19" x14ac:dyDescent="0.3">
      <c r="B231" s="648" t="s">
        <v>390</v>
      </c>
      <c r="C231" s="604">
        <v>4.533606476388335E-3</v>
      </c>
      <c r="D231" s="640">
        <f>AVERAGE($C231,$H231)</f>
        <v>4.4626212675839792E-3</v>
      </c>
      <c r="E231" s="640">
        <f t="shared" si="130"/>
        <v>4.4626212675839792E-3</v>
      </c>
      <c r="F231" s="640">
        <f t="shared" si="130"/>
        <v>4.4626212675839792E-3</v>
      </c>
      <c r="G231" s="640">
        <f t="shared" si="130"/>
        <v>4.4626212675839792E-3</v>
      </c>
      <c r="H231" s="604">
        <v>4.3916360587796235E-3</v>
      </c>
      <c r="I231" s="640">
        <f t="shared" si="135"/>
        <v>4.3225837385980972E-3</v>
      </c>
      <c r="J231" s="640">
        <f t="shared" si="135"/>
        <v>4.3225837385980972E-3</v>
      </c>
      <c r="K231" s="640">
        <f t="shared" si="135"/>
        <v>4.3225837385980972E-3</v>
      </c>
      <c r="L231" s="640">
        <f t="shared" si="135"/>
        <v>4.3225837385980972E-3</v>
      </c>
      <c r="M231" s="604">
        <v>4.2535314184165719E-3</v>
      </c>
      <c r="N231" s="1174">
        <f t="shared" ref="N231:R231" si="140">M231</f>
        <v>4.2535314184165719E-3</v>
      </c>
      <c r="O231" s="1174">
        <f t="shared" si="140"/>
        <v>4.2535314184165719E-3</v>
      </c>
      <c r="P231" s="1174">
        <f t="shared" si="140"/>
        <v>4.2535314184165719E-3</v>
      </c>
      <c r="Q231" s="1174">
        <f t="shared" si="140"/>
        <v>4.2535314184165719E-3</v>
      </c>
      <c r="R231" s="1174">
        <f t="shared" si="140"/>
        <v>4.2535314184165719E-3</v>
      </c>
      <c r="S231" s="975">
        <f t="shared" si="133"/>
        <v>4.3926903616648035E-3</v>
      </c>
    </row>
    <row r="234" spans="2:19" ht="15" x14ac:dyDescent="0.3">
      <c r="B234" s="1007" t="s">
        <v>2760</v>
      </c>
      <c r="C234" s="1007"/>
      <c r="D234" s="1007"/>
      <c r="E234" s="1007"/>
      <c r="F234" s="1007"/>
      <c r="G234" s="1007"/>
      <c r="H234" s="1007"/>
      <c r="I234" s="1007"/>
      <c r="J234" s="1007"/>
      <c r="K234" s="1007"/>
      <c r="L234" s="1007"/>
      <c r="M234" s="1007"/>
      <c r="N234" s="1007"/>
      <c r="O234" s="1007"/>
      <c r="P234" s="1007"/>
      <c r="Q234" s="1007"/>
      <c r="R234" s="1007"/>
      <c r="S234" s="1007"/>
    </row>
    <row r="235" spans="2:19" x14ac:dyDescent="0.3">
      <c r="B235" s="860" t="s">
        <v>2600</v>
      </c>
      <c r="C235" s="862" t="s">
        <v>2757</v>
      </c>
    </row>
    <row r="237" spans="2:19" x14ac:dyDescent="0.3">
      <c r="B237" s="556"/>
      <c r="C237" s="556" t="s">
        <v>2714</v>
      </c>
      <c r="D237" s="556" t="s">
        <v>2715</v>
      </c>
      <c r="E237" s="556" t="s">
        <v>2716</v>
      </c>
      <c r="F237" s="556" t="s">
        <v>2761</v>
      </c>
      <c r="G237" s="556" t="s">
        <v>2762</v>
      </c>
      <c r="H237" s="556" t="s">
        <v>2763</v>
      </c>
      <c r="I237" s="556" t="s">
        <v>2764</v>
      </c>
      <c r="J237" s="556" t="s">
        <v>2765</v>
      </c>
      <c r="K237" s="556" t="s">
        <v>2766</v>
      </c>
      <c r="L237" s="556" t="s">
        <v>2767</v>
      </c>
      <c r="M237" s="556" t="s">
        <v>2768</v>
      </c>
      <c r="N237" s="556">
        <v>2031</v>
      </c>
      <c r="O237" s="556">
        <v>2032</v>
      </c>
      <c r="P237" s="556">
        <v>2033</v>
      </c>
      <c r="Q237" s="556">
        <v>2034</v>
      </c>
      <c r="R237" s="556">
        <v>2035</v>
      </c>
      <c r="S237" s="556" t="s">
        <v>476</v>
      </c>
    </row>
    <row r="238" spans="2:19" x14ac:dyDescent="0.3">
      <c r="B238" s="554" t="s">
        <v>2728</v>
      </c>
      <c r="C238" s="859">
        <v>0.27167070217917672</v>
      </c>
      <c r="D238" s="859">
        <v>0.23889127018145451</v>
      </c>
      <c r="E238" s="859">
        <v>0.23172453207601088</v>
      </c>
      <c r="F238" s="859">
        <v>0.22477279611373055</v>
      </c>
      <c r="G238" s="859">
        <v>0.21802961223031864</v>
      </c>
      <c r="H238" s="859">
        <v>0.21148872386340908</v>
      </c>
      <c r="I238" s="859">
        <v>0.2051440621475068</v>
      </c>
      <c r="J238" s="859">
        <v>0.19898974028308158</v>
      </c>
      <c r="K238" s="859">
        <v>0.19302004807458914</v>
      </c>
      <c r="L238" s="859">
        <v>0.18722944663235147</v>
      </c>
      <c r="M238" s="859">
        <v>0.18161256323338093</v>
      </c>
      <c r="N238" s="1174">
        <f>M238</f>
        <v>0.18161256323338093</v>
      </c>
      <c r="O238" s="1174">
        <f t="shared" ref="O238:R238" si="141">N238</f>
        <v>0.18161256323338093</v>
      </c>
      <c r="P238" s="1174">
        <f t="shared" si="141"/>
        <v>0.18161256323338093</v>
      </c>
      <c r="Q238" s="1174">
        <f t="shared" si="141"/>
        <v>0.18161256323338093</v>
      </c>
      <c r="R238" s="1174">
        <f t="shared" si="141"/>
        <v>0.18161256323338093</v>
      </c>
      <c r="S238" s="602">
        <f t="shared" ref="S238:S246" si="142">AVERAGE(D238:M238)</f>
        <v>0.20909027948358333</v>
      </c>
    </row>
    <row r="239" spans="2:19" x14ac:dyDescent="0.3">
      <c r="B239" s="554" t="s">
        <v>1325</v>
      </c>
      <c r="C239" s="859">
        <v>0.63153753026634363</v>
      </c>
      <c r="D239" s="859">
        <v>0.65883697671095864</v>
      </c>
      <c r="E239" s="859">
        <v>0.66213116159451335</v>
      </c>
      <c r="F239" s="859">
        <v>0.66544181740248587</v>
      </c>
      <c r="G239" s="859">
        <v>0.66876902648949821</v>
      </c>
      <c r="H239" s="859">
        <v>0.67211287162194566</v>
      </c>
      <c r="I239" s="859">
        <v>0.67547343598005527</v>
      </c>
      <c r="J239" s="859">
        <v>0.6788508031599555</v>
      </c>
      <c r="K239" s="859">
        <v>0.68224505717575523</v>
      </c>
      <c r="L239" s="859">
        <v>0.6856562824616339</v>
      </c>
      <c r="M239" s="859">
        <v>0.68908456387394201</v>
      </c>
      <c r="N239" s="1174">
        <f t="shared" ref="N239:R239" si="143">M239</f>
        <v>0.68908456387394201</v>
      </c>
      <c r="O239" s="1174">
        <f t="shared" si="143"/>
        <v>0.68908456387394201</v>
      </c>
      <c r="P239" s="1174">
        <f t="shared" si="143"/>
        <v>0.68908456387394201</v>
      </c>
      <c r="Q239" s="1174">
        <f t="shared" si="143"/>
        <v>0.68908456387394201</v>
      </c>
      <c r="R239" s="1174">
        <f t="shared" si="143"/>
        <v>0.68908456387394201</v>
      </c>
      <c r="S239" s="602">
        <f t="shared" si="142"/>
        <v>0.67386019964707433</v>
      </c>
    </row>
    <row r="240" spans="2:19" x14ac:dyDescent="0.3">
      <c r="B240" s="554" t="s">
        <v>1326</v>
      </c>
      <c r="C240" s="859">
        <v>1.5133171912832927E-3</v>
      </c>
      <c r="D240" s="859">
        <v>2.2288898414059154E-3</v>
      </c>
      <c r="E240" s="859">
        <v>2.2288898414059154E-3</v>
      </c>
      <c r="F240" s="859">
        <v>2.2288898414059154E-3</v>
      </c>
      <c r="G240" s="859">
        <v>2.2288898414059154E-3</v>
      </c>
      <c r="H240" s="859">
        <v>2.2288898414059154E-3</v>
      </c>
      <c r="I240" s="859">
        <v>2.2288898414059154E-3</v>
      </c>
      <c r="J240" s="859">
        <v>2.2288898414059154E-3</v>
      </c>
      <c r="K240" s="859">
        <v>2.2288898414059154E-3</v>
      </c>
      <c r="L240" s="859">
        <v>2.2288898414059154E-3</v>
      </c>
      <c r="M240" s="859">
        <v>2.2288898414059154E-3</v>
      </c>
      <c r="N240" s="1174">
        <f t="shared" ref="N240:R240" si="144">M240</f>
        <v>2.2288898414059154E-3</v>
      </c>
      <c r="O240" s="1174">
        <f t="shared" si="144"/>
        <v>2.2288898414059154E-3</v>
      </c>
      <c r="P240" s="1174">
        <f t="shared" si="144"/>
        <v>2.2288898414059154E-3</v>
      </c>
      <c r="Q240" s="1174">
        <f t="shared" si="144"/>
        <v>2.2288898414059154E-3</v>
      </c>
      <c r="R240" s="1174">
        <f t="shared" si="144"/>
        <v>2.2288898414059154E-3</v>
      </c>
      <c r="S240" s="602">
        <f t="shared" si="142"/>
        <v>2.2288898414059154E-3</v>
      </c>
    </row>
    <row r="241" spans="2:19" x14ac:dyDescent="0.3">
      <c r="B241" s="554" t="s">
        <v>1327</v>
      </c>
      <c r="C241" s="859">
        <v>1.2802663438256657E-2</v>
      </c>
      <c r="D241" s="859">
        <v>1.2487498214030578E-2</v>
      </c>
      <c r="E241" s="859">
        <v>1.2487498214030578E-2</v>
      </c>
      <c r="F241" s="859">
        <v>1.2487498214030578E-2</v>
      </c>
      <c r="G241" s="859">
        <v>1.2487498214030578E-2</v>
      </c>
      <c r="H241" s="859">
        <v>1.2487498214030578E-2</v>
      </c>
      <c r="I241" s="859">
        <v>1.2487498214030578E-2</v>
      </c>
      <c r="J241" s="859">
        <v>1.2487498214030578E-2</v>
      </c>
      <c r="K241" s="859">
        <v>1.2487498214030578E-2</v>
      </c>
      <c r="L241" s="859">
        <v>1.2487498214030578E-2</v>
      </c>
      <c r="M241" s="859">
        <v>1.2487498214030578E-2</v>
      </c>
      <c r="N241" s="1174">
        <f t="shared" ref="N241:R241" si="145">M241</f>
        <v>1.2487498214030578E-2</v>
      </c>
      <c r="O241" s="1174">
        <f t="shared" si="145"/>
        <v>1.2487498214030578E-2</v>
      </c>
      <c r="P241" s="1174">
        <f t="shared" si="145"/>
        <v>1.2487498214030578E-2</v>
      </c>
      <c r="Q241" s="1174">
        <f t="shared" si="145"/>
        <v>1.2487498214030578E-2</v>
      </c>
      <c r="R241" s="1174">
        <f t="shared" si="145"/>
        <v>1.2487498214030578E-2</v>
      </c>
      <c r="S241" s="602">
        <f t="shared" si="142"/>
        <v>1.2487498214030579E-2</v>
      </c>
    </row>
    <row r="242" spans="2:19" x14ac:dyDescent="0.3">
      <c r="B242" s="554" t="s">
        <v>1328</v>
      </c>
      <c r="C242" s="859">
        <v>1.9703389830508473E-2</v>
      </c>
      <c r="D242" s="859">
        <v>2.0574367766823833E-2</v>
      </c>
      <c r="E242" s="859">
        <v>2.0574367766823833E-2</v>
      </c>
      <c r="F242" s="859">
        <v>2.0574367766823833E-2</v>
      </c>
      <c r="G242" s="859">
        <v>2.0574367766823833E-2</v>
      </c>
      <c r="H242" s="859">
        <v>2.0574367766823833E-2</v>
      </c>
      <c r="I242" s="859">
        <v>2.0574367766823833E-2</v>
      </c>
      <c r="J242" s="859">
        <v>2.0574367766823833E-2</v>
      </c>
      <c r="K242" s="859">
        <v>2.0574367766823833E-2</v>
      </c>
      <c r="L242" s="859">
        <v>2.0574367766823833E-2</v>
      </c>
      <c r="M242" s="859">
        <v>2.0574367766823833E-2</v>
      </c>
      <c r="N242" s="1174">
        <f t="shared" ref="N242:R242" si="146">M242</f>
        <v>2.0574367766823833E-2</v>
      </c>
      <c r="O242" s="1174">
        <f t="shared" si="146"/>
        <v>2.0574367766823833E-2</v>
      </c>
      <c r="P242" s="1174">
        <f t="shared" si="146"/>
        <v>2.0574367766823833E-2</v>
      </c>
      <c r="Q242" s="1174">
        <f t="shared" si="146"/>
        <v>2.0574367766823833E-2</v>
      </c>
      <c r="R242" s="1174">
        <f t="shared" si="146"/>
        <v>2.0574367766823833E-2</v>
      </c>
      <c r="S242" s="602">
        <f t="shared" si="142"/>
        <v>2.0574367766823833E-2</v>
      </c>
    </row>
    <row r="243" spans="2:19" x14ac:dyDescent="0.3">
      <c r="B243" s="554" t="s">
        <v>1329</v>
      </c>
      <c r="C243" s="859">
        <v>1.0623486682808716E-2</v>
      </c>
      <c r="D243" s="859">
        <v>1.4144877839691386E-2</v>
      </c>
      <c r="E243" s="859">
        <v>1.42863266180883E-2</v>
      </c>
      <c r="F243" s="859">
        <v>1.4429189884269182E-2</v>
      </c>
      <c r="G243" s="859">
        <v>1.4573481783111875E-2</v>
      </c>
      <c r="H243" s="859">
        <v>1.4719216600942994E-2</v>
      </c>
      <c r="I243" s="859">
        <v>1.4866408766952423E-2</v>
      </c>
      <c r="J243" s="859">
        <v>1.5015072854621947E-2</v>
      </c>
      <c r="K243" s="859">
        <v>1.5165223583168167E-2</v>
      </c>
      <c r="L243" s="859">
        <v>1.5316875818999848E-2</v>
      </c>
      <c r="M243" s="859">
        <v>1.5470044577189847E-2</v>
      </c>
      <c r="N243" s="1174">
        <f t="shared" ref="N243:R243" si="147">M243</f>
        <v>1.5470044577189847E-2</v>
      </c>
      <c r="O243" s="1174">
        <f t="shared" si="147"/>
        <v>1.5470044577189847E-2</v>
      </c>
      <c r="P243" s="1174">
        <f t="shared" si="147"/>
        <v>1.5470044577189847E-2</v>
      </c>
      <c r="Q243" s="1174">
        <f t="shared" si="147"/>
        <v>1.5470044577189847E-2</v>
      </c>
      <c r="R243" s="1174">
        <f t="shared" si="147"/>
        <v>1.5470044577189847E-2</v>
      </c>
      <c r="S243" s="602">
        <f t="shared" si="142"/>
        <v>1.4798671832703595E-2</v>
      </c>
    </row>
    <row r="244" spans="2:19" x14ac:dyDescent="0.3">
      <c r="B244" s="554" t="s">
        <v>1330</v>
      </c>
      <c r="C244" s="859">
        <v>7.8389830508474555E-3</v>
      </c>
      <c r="D244" s="859">
        <v>5.0578654093441922E-3</v>
      </c>
      <c r="E244" s="859">
        <v>4.9061294470638664E-3</v>
      </c>
      <c r="F244" s="859">
        <v>4.7589455636519503E-3</v>
      </c>
      <c r="G244" s="859">
        <v>4.6161771967423914E-3</v>
      </c>
      <c r="H244" s="859">
        <v>4.4776918808401194E-3</v>
      </c>
      <c r="I244" s="859">
        <v>4.3433611244149154E-3</v>
      </c>
      <c r="J244" s="859">
        <v>4.2130602906824679E-3</v>
      </c>
      <c r="K244" s="859">
        <v>4.0866684819619937E-3</v>
      </c>
      <c r="L244" s="859">
        <v>3.9640684275031339E-3</v>
      </c>
      <c r="M244" s="859">
        <v>3.8451463746780397E-3</v>
      </c>
      <c r="N244" s="1174">
        <f t="shared" ref="N244:R244" si="148">M244</f>
        <v>3.8451463746780397E-3</v>
      </c>
      <c r="O244" s="1174">
        <f t="shared" si="148"/>
        <v>3.8451463746780397E-3</v>
      </c>
      <c r="P244" s="1174">
        <f t="shared" si="148"/>
        <v>3.8451463746780397E-3</v>
      </c>
      <c r="Q244" s="1174">
        <f t="shared" si="148"/>
        <v>3.8451463746780397E-3</v>
      </c>
      <c r="R244" s="1174">
        <f t="shared" si="148"/>
        <v>3.8451463746780397E-3</v>
      </c>
      <c r="S244" s="602">
        <f t="shared" si="142"/>
        <v>4.4269114196883062E-3</v>
      </c>
    </row>
    <row r="245" spans="2:19" x14ac:dyDescent="0.3">
      <c r="B245" s="554" t="s">
        <v>1331</v>
      </c>
      <c r="C245" s="859">
        <v>4.149515738498788E-2</v>
      </c>
      <c r="D245" s="859">
        <v>4.4692098871267329E-2</v>
      </c>
      <c r="E245" s="859">
        <v>4.4915559365623657E-2</v>
      </c>
      <c r="F245" s="859">
        <v>4.5140137162451771E-2</v>
      </c>
      <c r="G245" s="859">
        <v>4.5365837848264028E-2</v>
      </c>
      <c r="H245" s="859">
        <v>4.5592667037505342E-2</v>
      </c>
      <c r="I245" s="859">
        <v>4.5820630372692864E-2</v>
      </c>
      <c r="J245" s="859">
        <v>4.6049733524556324E-2</v>
      </c>
      <c r="K245" s="859">
        <v>4.6279982192179103E-2</v>
      </c>
      <c r="L245" s="859">
        <v>4.6511382103139993E-2</v>
      </c>
      <c r="M245" s="859">
        <v>4.6743939013655686E-2</v>
      </c>
      <c r="N245" s="1174">
        <f t="shared" ref="N245:R245" si="149">M245</f>
        <v>4.6743939013655686E-2</v>
      </c>
      <c r="O245" s="1174">
        <f t="shared" si="149"/>
        <v>4.6743939013655686E-2</v>
      </c>
      <c r="P245" s="1174">
        <f t="shared" si="149"/>
        <v>4.6743939013655686E-2</v>
      </c>
      <c r="Q245" s="1174">
        <f t="shared" si="149"/>
        <v>4.6743939013655686E-2</v>
      </c>
      <c r="R245" s="1174">
        <f t="shared" si="149"/>
        <v>4.6743939013655686E-2</v>
      </c>
      <c r="S245" s="602">
        <f t="shared" si="142"/>
        <v>4.5711196749133612E-2</v>
      </c>
    </row>
    <row r="246" spans="2:19" x14ac:dyDescent="0.3">
      <c r="B246" s="554" t="s">
        <v>1332</v>
      </c>
      <c r="C246" s="859">
        <v>2.8147699757869247E-3</v>
      </c>
      <c r="D246" s="859">
        <v>3.0861551650235752E-3</v>
      </c>
      <c r="E246" s="859">
        <v>6.7455350764397126E-3</v>
      </c>
      <c r="F246" s="859">
        <v>1.0166358051150182E-2</v>
      </c>
      <c r="G246" s="859">
        <v>1.3355108629804602E-2</v>
      </c>
      <c r="H246" s="859">
        <v>1.6318073173096415E-2</v>
      </c>
      <c r="I246" s="859">
        <v>1.906134578611729E-2</v>
      </c>
      <c r="J246" s="859">
        <v>2.1590834064841746E-2</v>
      </c>
      <c r="K246" s="859">
        <v>2.3912264670085892E-2</v>
      </c>
      <c r="L246" s="859">
        <v>2.6031188734111255E-2</v>
      </c>
      <c r="M246" s="859">
        <v>2.7952987104893134E-2</v>
      </c>
      <c r="N246" s="1174">
        <f t="shared" ref="N246:R246" si="150">M246</f>
        <v>2.7952987104893134E-2</v>
      </c>
      <c r="O246" s="1174">
        <f t="shared" si="150"/>
        <v>2.7952987104893134E-2</v>
      </c>
      <c r="P246" s="1174">
        <f t="shared" si="150"/>
        <v>2.7952987104893134E-2</v>
      </c>
      <c r="Q246" s="1174">
        <f t="shared" si="150"/>
        <v>2.7952987104893134E-2</v>
      </c>
      <c r="R246" s="1174">
        <f t="shared" si="150"/>
        <v>2.7952987104893134E-2</v>
      </c>
      <c r="S246" s="602">
        <f t="shared" si="142"/>
        <v>1.6821985045556383E-2</v>
      </c>
    </row>
    <row r="249" spans="2:19" ht="15" x14ac:dyDescent="0.3">
      <c r="B249" s="1010" t="s">
        <v>2769</v>
      </c>
      <c r="C249" s="1007"/>
      <c r="D249" s="1007"/>
      <c r="E249" s="1007"/>
      <c r="F249" s="1007"/>
      <c r="G249" s="1007"/>
      <c r="H249" s="1007"/>
      <c r="I249" s="1007"/>
      <c r="J249" s="1007"/>
      <c r="K249" s="1007"/>
      <c r="L249" s="1007"/>
      <c r="M249" s="1007"/>
      <c r="N249" s="1007"/>
    </row>
    <row r="250" spans="2:19" x14ac:dyDescent="0.3">
      <c r="B250" s="860" t="s">
        <v>2770</v>
      </c>
      <c r="C250" s="2165" t="s">
        <v>2771</v>
      </c>
      <c r="D250" s="2166"/>
      <c r="E250" s="2166"/>
      <c r="F250" s="2166"/>
      <c r="G250" s="2166"/>
      <c r="H250" s="2166"/>
      <c r="I250" s="2166"/>
      <c r="J250" s="2166"/>
      <c r="K250" s="2166"/>
      <c r="L250" s="2166"/>
      <c r="M250" s="2166"/>
      <c r="N250" s="2166"/>
    </row>
    <row r="252" spans="2:19" x14ac:dyDescent="0.3">
      <c r="B252" s="556"/>
      <c r="C252" s="556" t="s">
        <v>2714</v>
      </c>
      <c r="D252" s="556"/>
      <c r="E252" s="556"/>
      <c r="F252" s="556" t="s">
        <v>2714</v>
      </c>
      <c r="G252" s="556"/>
      <c r="H252" s="556"/>
    </row>
    <row r="253" spans="2:19" x14ac:dyDescent="0.3">
      <c r="B253" s="556"/>
      <c r="C253" s="556" t="s">
        <v>1332</v>
      </c>
      <c r="D253" s="556" t="s">
        <v>77</v>
      </c>
      <c r="E253" s="556" t="s">
        <v>68</v>
      </c>
      <c r="F253" s="556" t="s">
        <v>2725</v>
      </c>
      <c r="G253" s="556" t="s">
        <v>77</v>
      </c>
      <c r="H253" s="556" t="s">
        <v>68</v>
      </c>
    </row>
    <row r="254" spans="2:19" x14ac:dyDescent="0.3">
      <c r="B254" s="572" t="s">
        <v>2772</v>
      </c>
      <c r="C254" s="570">
        <v>2914</v>
      </c>
      <c r="D254" s="634">
        <v>32701.555555555551</v>
      </c>
      <c r="E254" s="602">
        <f>D254/D$263</f>
        <v>0.84779382450609653</v>
      </c>
      <c r="F254" s="570">
        <v>206</v>
      </c>
      <c r="G254" s="570">
        <v>2311.7777777777774</v>
      </c>
      <c r="H254" s="602">
        <f>G254/G$263</f>
        <v>0.27951481891353153</v>
      </c>
    </row>
    <row r="255" spans="2:19" x14ac:dyDescent="0.3">
      <c r="B255" s="572" t="s">
        <v>2773</v>
      </c>
      <c r="C255" s="570">
        <v>5</v>
      </c>
      <c r="D255" s="634">
        <v>35.833333333333336</v>
      </c>
      <c r="E255" s="602">
        <f t="shared" ref="E255:E262" si="151">D255/D$263</f>
        <v>9.2898573769245151E-4</v>
      </c>
      <c r="F255" s="570">
        <v>10</v>
      </c>
      <c r="G255" s="570">
        <v>71.666666666666671</v>
      </c>
      <c r="H255" s="602">
        <f t="shared" ref="H255:H262" si="152">G255/G$263</f>
        <v>8.6651474670396949E-3</v>
      </c>
    </row>
    <row r="256" spans="2:19" x14ac:dyDescent="0.3">
      <c r="B256" s="572" t="s">
        <v>2774</v>
      </c>
      <c r="C256" s="570">
        <v>1036</v>
      </c>
      <c r="D256" s="634">
        <v>2221.6444444444446</v>
      </c>
      <c r="E256" s="602">
        <f t="shared" si="151"/>
        <v>5.7596539621745831E-2</v>
      </c>
      <c r="F256" s="570">
        <v>1430</v>
      </c>
      <c r="G256" s="570">
        <v>3066.5555555555557</v>
      </c>
      <c r="H256" s="602">
        <f t="shared" si="152"/>
        <v>0.37077427122919154</v>
      </c>
    </row>
    <row r="257" spans="2:28" x14ac:dyDescent="0.3">
      <c r="B257" s="572" t="s">
        <v>2775</v>
      </c>
      <c r="C257" s="570">
        <v>7</v>
      </c>
      <c r="D257" s="634">
        <v>78.555555555555543</v>
      </c>
      <c r="E257" s="602">
        <f t="shared" si="151"/>
        <v>2.0365671830963198E-3</v>
      </c>
      <c r="F257" s="570">
        <v>1</v>
      </c>
      <c r="G257" s="570">
        <v>11.222222222222221</v>
      </c>
      <c r="H257" s="602">
        <f t="shared" si="152"/>
        <v>1.3568680529783086E-3</v>
      </c>
    </row>
    <row r="258" spans="2:28" x14ac:dyDescent="0.3">
      <c r="B258" s="572" t="s">
        <v>2776</v>
      </c>
      <c r="C258" s="570">
        <v>4</v>
      </c>
      <c r="D258" s="634">
        <v>35.166666666666664</v>
      </c>
      <c r="E258" s="602">
        <f t="shared" si="151"/>
        <v>9.1170228210747553E-4</v>
      </c>
      <c r="F258" s="570">
        <v>9</v>
      </c>
      <c r="G258" s="570">
        <v>79.125</v>
      </c>
      <c r="H258" s="602">
        <f t="shared" si="152"/>
        <v>9.5669273487839421E-3</v>
      </c>
    </row>
    <row r="259" spans="2:28" x14ac:dyDescent="0.3">
      <c r="B259" s="572" t="s">
        <v>2777</v>
      </c>
      <c r="C259" s="570">
        <v>8</v>
      </c>
      <c r="D259" s="634">
        <v>70.333333333333329</v>
      </c>
      <c r="E259" s="602">
        <f t="shared" si="151"/>
        <v>1.8234045642149511E-3</v>
      </c>
      <c r="F259" s="570">
        <v>8</v>
      </c>
      <c r="G259" s="570">
        <v>70.333333333333329</v>
      </c>
      <c r="H259" s="602">
        <f t="shared" si="152"/>
        <v>8.5039354211412805E-3</v>
      </c>
      <c r="J259" s="554" t="s">
        <v>2778</v>
      </c>
      <c r="K259" s="554" t="s">
        <v>77</v>
      </c>
    </row>
    <row r="260" spans="2:28" x14ac:dyDescent="0.3">
      <c r="B260" s="572" t="s">
        <v>2779</v>
      </c>
      <c r="C260" s="570">
        <v>94</v>
      </c>
      <c r="D260" s="634">
        <v>1292.5</v>
      </c>
      <c r="E260" s="602">
        <f t="shared" si="151"/>
        <v>3.350829951537191E-2</v>
      </c>
      <c r="F260" s="570">
        <v>148</v>
      </c>
      <c r="G260" s="570">
        <v>2035</v>
      </c>
      <c r="H260" s="602">
        <f t="shared" si="152"/>
        <v>0.2460498850524527</v>
      </c>
      <c r="J260" s="554" t="s">
        <v>2780</v>
      </c>
    </row>
    <row r="261" spans="2:28" x14ac:dyDescent="0.3">
      <c r="B261" s="572" t="s">
        <v>2781</v>
      </c>
      <c r="C261" s="570">
        <v>93</v>
      </c>
      <c r="D261" s="634">
        <v>25.833333333333332</v>
      </c>
      <c r="E261" s="602">
        <f t="shared" si="151"/>
        <v>6.697339039178138E-4</v>
      </c>
      <c r="F261" s="570">
        <v>1206</v>
      </c>
      <c r="G261" s="570">
        <v>335</v>
      </c>
      <c r="H261" s="602">
        <f t="shared" si="152"/>
        <v>4.0504526531976247E-2</v>
      </c>
    </row>
    <row r="262" spans="2:28" x14ac:dyDescent="0.3">
      <c r="B262" s="572" t="s">
        <v>2782</v>
      </c>
      <c r="C262" s="570">
        <v>7600</v>
      </c>
      <c r="D262" s="634">
        <v>2111.1111111111109</v>
      </c>
      <c r="E262" s="602">
        <f t="shared" si="151"/>
        <v>5.4730942685756824E-2</v>
      </c>
      <c r="F262" s="570">
        <v>1044</v>
      </c>
      <c r="G262" s="570">
        <v>290</v>
      </c>
      <c r="H262" s="602">
        <f t="shared" si="152"/>
        <v>3.506361998290481E-2</v>
      </c>
    </row>
    <row r="263" spans="2:28" x14ac:dyDescent="0.3">
      <c r="B263" s="977" t="s">
        <v>55</v>
      </c>
      <c r="C263" s="977"/>
      <c r="D263" s="1137">
        <f>SUM(D254:D262)</f>
        <v>38572.533333333326</v>
      </c>
      <c r="E263" s="977"/>
      <c r="F263" s="977"/>
      <c r="G263" s="977">
        <f>SUM(G254:G262)</f>
        <v>8270.6805555555547</v>
      </c>
      <c r="H263" s="977"/>
    </row>
    <row r="266" spans="2:28" ht="19.5" thickBot="1" x14ac:dyDescent="0.35">
      <c r="B266" s="1165" t="s">
        <v>2783</v>
      </c>
      <c r="C266" s="588"/>
      <c r="D266" s="588"/>
      <c r="E266" s="588"/>
      <c r="F266" s="588"/>
      <c r="G266" s="588"/>
      <c r="H266" s="588"/>
      <c r="I266" s="588"/>
      <c r="J266" s="588"/>
      <c r="K266" s="588"/>
      <c r="L266" s="588"/>
      <c r="M266" s="588"/>
      <c r="N266" s="588"/>
      <c r="O266" s="588"/>
      <c r="P266" s="588"/>
      <c r="Q266" s="588"/>
      <c r="R266" s="588"/>
      <c r="S266" s="588"/>
      <c r="T266" s="588"/>
      <c r="U266" s="588"/>
      <c r="V266" s="588"/>
      <c r="W266" s="588"/>
      <c r="X266" s="588"/>
      <c r="Y266" s="588"/>
      <c r="Z266" s="588"/>
      <c r="AA266" s="588"/>
      <c r="AB266" s="588"/>
    </row>
    <row r="267" spans="2:28" x14ac:dyDescent="0.3">
      <c r="E267"/>
    </row>
    <row r="268" spans="2:28" x14ac:dyDescent="0.3">
      <c r="B268" s="9" t="s">
        <v>2784</v>
      </c>
      <c r="C268" s="9" t="s">
        <v>2785</v>
      </c>
      <c r="D268" s="9" t="s">
        <v>2743</v>
      </c>
      <c r="E268"/>
    </row>
    <row r="269" spans="2:28" x14ac:dyDescent="0.3">
      <c r="B269" s="475" t="s">
        <v>1332</v>
      </c>
      <c r="C269" s="966">
        <v>-0.11</v>
      </c>
      <c r="D269" s="1428" t="s">
        <v>2786</v>
      </c>
      <c r="E269"/>
    </row>
    <row r="270" spans="2:28" x14ac:dyDescent="0.3">
      <c r="B270" s="475" t="s">
        <v>2746</v>
      </c>
      <c r="C270" s="1005">
        <v>-0.2</v>
      </c>
      <c r="D270" s="966" t="s">
        <v>2787</v>
      </c>
      <c r="E270"/>
    </row>
    <row r="271" spans="2:28" x14ac:dyDescent="0.3">
      <c r="B271" s="475" t="s">
        <v>2730</v>
      </c>
      <c r="C271" s="966">
        <v>-0.13</v>
      </c>
      <c r="D271" s="966" t="s">
        <v>2787</v>
      </c>
      <c r="E271"/>
    </row>
    <row r="272" spans="2:28" x14ac:dyDescent="0.3">
      <c r="B272" s="475" t="s">
        <v>389</v>
      </c>
      <c r="C272" s="966">
        <v>-0.26</v>
      </c>
      <c r="D272" s="1428" t="s">
        <v>2788</v>
      </c>
      <c r="E272"/>
    </row>
    <row r="273" spans="2:39" x14ac:dyDescent="0.3">
      <c r="B273" s="475" t="s">
        <v>2725</v>
      </c>
      <c r="C273" s="966">
        <v>-0.28000000000000003</v>
      </c>
      <c r="D273" s="966" t="s">
        <v>2789</v>
      </c>
      <c r="E273"/>
    </row>
    <row r="274" spans="2:39" x14ac:dyDescent="0.3">
      <c r="B274" s="475" t="s">
        <v>2790</v>
      </c>
      <c r="C274" s="966">
        <v>-0.13</v>
      </c>
      <c r="D274" s="966" t="s">
        <v>2791</v>
      </c>
      <c r="E274"/>
    </row>
    <row r="275" spans="2:39" x14ac:dyDescent="0.3">
      <c r="B275" s="475" t="s">
        <v>2792</v>
      </c>
      <c r="C275" s="966">
        <v>-0.25700000000000001</v>
      </c>
      <c r="D275" s="1428" t="s">
        <v>2793</v>
      </c>
      <c r="E275"/>
    </row>
    <row r="276" spans="2:39" x14ac:dyDescent="0.3">
      <c r="B276" s="1427"/>
      <c r="D276" s="1427"/>
    </row>
    <row r="278" spans="2:39" ht="15" x14ac:dyDescent="0.3">
      <c r="B278" s="1007" t="s">
        <v>2794</v>
      </c>
      <c r="C278" s="1007"/>
      <c r="D278" s="1007"/>
      <c r="E278" s="1007"/>
      <c r="F278" s="1007"/>
      <c r="G278" s="1007"/>
      <c r="H278" s="1007"/>
      <c r="I278" s="1007"/>
      <c r="J278" s="1007"/>
      <c r="K278" s="1007"/>
      <c r="L278" s="1007"/>
      <c r="M278" s="1007"/>
      <c r="N278" s="1007"/>
      <c r="O278" s="1007"/>
      <c r="P278" s="1007"/>
      <c r="Q278" s="1007"/>
      <c r="R278" s="1007"/>
      <c r="T278" s="1010" t="s">
        <v>2795</v>
      </c>
      <c r="U278" s="1007"/>
      <c r="V278" s="1007"/>
      <c r="W278" s="1007"/>
      <c r="X278" s="1007"/>
      <c r="Y278" s="1007"/>
      <c r="Z278" s="1007"/>
      <c r="AA278" s="1007"/>
      <c r="AB278" s="1007"/>
      <c r="AC278" s="1007"/>
      <c r="AD278" s="1007"/>
      <c r="AE278" s="1007"/>
      <c r="AF278" s="1007"/>
    </row>
    <row r="279" spans="2:39" x14ac:dyDescent="0.3">
      <c r="B279" s="849" t="s">
        <v>2796</v>
      </c>
    </row>
    <row r="280" spans="2:39" x14ac:dyDescent="0.3">
      <c r="B280" s="556" t="s">
        <v>2797</v>
      </c>
      <c r="C280" s="556" t="s">
        <v>59</v>
      </c>
      <c r="D280" s="556">
        <v>2021</v>
      </c>
      <c r="E280" s="556">
        <v>2022</v>
      </c>
      <c r="F280" s="556">
        <v>2023</v>
      </c>
      <c r="G280" s="556">
        <v>2024</v>
      </c>
      <c r="H280" s="556">
        <v>2025</v>
      </c>
      <c r="I280" s="556">
        <v>2026</v>
      </c>
      <c r="J280" s="556">
        <v>2027</v>
      </c>
      <c r="K280" s="556">
        <v>2028</v>
      </c>
      <c r="L280" s="556">
        <v>2029</v>
      </c>
      <c r="M280" s="556">
        <v>2030</v>
      </c>
      <c r="N280" s="556">
        <v>2031</v>
      </c>
      <c r="O280" s="556">
        <v>2032</v>
      </c>
      <c r="P280" s="556">
        <v>2033</v>
      </c>
      <c r="Q280" s="556">
        <v>2034</v>
      </c>
      <c r="R280" s="556">
        <v>2035</v>
      </c>
      <c r="T280" s="860" t="s">
        <v>2600</v>
      </c>
      <c r="U280" s="2160" t="s">
        <v>2391</v>
      </c>
      <c r="V280" s="2161"/>
      <c r="W280" s="2161"/>
      <c r="X280" s="2161"/>
      <c r="Y280" s="2161"/>
      <c r="Z280" s="2161"/>
      <c r="AA280" s="2161"/>
      <c r="AB280" s="2161"/>
      <c r="AC280" s="2161"/>
      <c r="AD280" s="2161"/>
      <c r="AE280" s="2161"/>
      <c r="AF280" s="2161"/>
      <c r="AG280" s="1403"/>
      <c r="AH280" s="1403"/>
      <c r="AI280" s="1403"/>
      <c r="AJ280" s="1403"/>
      <c r="AK280" s="1403"/>
    </row>
    <row r="281" spans="2:39" x14ac:dyDescent="0.3">
      <c r="B281" s="644" t="s">
        <v>388</v>
      </c>
      <c r="C281" s="1446" t="s">
        <v>2798</v>
      </c>
      <c r="D281" s="1014">
        <f t="shared" ref="D281:R281" si="153">(D291*$D$214)+(D293*$D$217)+(D295*$D$216)</f>
        <v>39.402237304508965</v>
      </c>
      <c r="E281" s="1014">
        <f t="shared" si="153"/>
        <v>39.402237304508965</v>
      </c>
      <c r="F281" s="1014">
        <f t="shared" si="153"/>
        <v>39.402237304508965</v>
      </c>
      <c r="G281" s="1014">
        <f t="shared" si="153"/>
        <v>45.049940531317212</v>
      </c>
      <c r="H281" s="1014">
        <f t="shared" si="153"/>
        <v>47.873792144721335</v>
      </c>
      <c r="I281" s="1014">
        <f t="shared" si="153"/>
        <v>47.873792144721335</v>
      </c>
      <c r="J281" s="1014">
        <f t="shared" si="153"/>
        <v>47.873792144721335</v>
      </c>
      <c r="K281" s="1014">
        <f t="shared" si="153"/>
        <v>47.873792144721335</v>
      </c>
      <c r="L281" s="1014">
        <f t="shared" si="153"/>
        <v>47.873792144721335</v>
      </c>
      <c r="M281" s="1014">
        <f t="shared" si="153"/>
        <v>47.873792144721335</v>
      </c>
      <c r="N281" s="1014">
        <f t="shared" si="153"/>
        <v>47.873792144721335</v>
      </c>
      <c r="O281" s="1014">
        <f t="shared" si="153"/>
        <v>47.873792144721335</v>
      </c>
      <c r="P281" s="1014">
        <f t="shared" si="153"/>
        <v>47.873792144721335</v>
      </c>
      <c r="Q281" s="1014">
        <f t="shared" si="153"/>
        <v>47.873792144721335</v>
      </c>
      <c r="R281" s="1014">
        <f t="shared" si="153"/>
        <v>47.873792144721335</v>
      </c>
      <c r="S281" s="1443">
        <f>(H281-D281)/D281</f>
        <v>0.21500187349115157</v>
      </c>
      <c r="U281" s="554" t="s">
        <v>2799</v>
      </c>
    </row>
    <row r="282" spans="2:39" x14ac:dyDescent="0.3">
      <c r="B282" s="644" t="s">
        <v>389</v>
      </c>
      <c r="C282" s="1446" t="s">
        <v>2798</v>
      </c>
      <c r="D282" s="645">
        <f t="shared" ref="D282:R282" si="154">W292</f>
        <v>4.5497630331753554</v>
      </c>
      <c r="E282" s="645">
        <f t="shared" si="154"/>
        <v>4.5497630331753554</v>
      </c>
      <c r="F282" s="645">
        <f t="shared" si="154"/>
        <v>4.5497630331753554</v>
      </c>
      <c r="G282" s="645">
        <f t="shared" si="154"/>
        <v>7.5177251184834128</v>
      </c>
      <c r="H282" s="645">
        <f t="shared" si="154"/>
        <v>9.0017061611374416</v>
      </c>
      <c r="I282" s="645">
        <f t="shared" si="154"/>
        <v>9.0017061611374416</v>
      </c>
      <c r="J282" s="645">
        <f t="shared" si="154"/>
        <v>9.0017061611374416</v>
      </c>
      <c r="K282" s="645">
        <f t="shared" si="154"/>
        <v>9.0017061611374416</v>
      </c>
      <c r="L282" s="645">
        <f t="shared" si="154"/>
        <v>9.0017061611374416</v>
      </c>
      <c r="M282" s="645">
        <f t="shared" si="154"/>
        <v>9.0017061611374416</v>
      </c>
      <c r="N282" s="645">
        <f t="shared" si="154"/>
        <v>9.0017061611374416</v>
      </c>
      <c r="O282" s="645">
        <f t="shared" si="154"/>
        <v>9.0017061611374416</v>
      </c>
      <c r="P282" s="645">
        <f t="shared" si="154"/>
        <v>9.0017061611374416</v>
      </c>
      <c r="Q282" s="645">
        <f t="shared" si="154"/>
        <v>9.0017061611374416</v>
      </c>
      <c r="R282" s="645">
        <f t="shared" si="154"/>
        <v>9.0017061611374416</v>
      </c>
      <c r="S282" s="1443">
        <f t="shared" ref="S282:S303" si="155">(H282-D282)/D282</f>
        <v>0.97850000000000026</v>
      </c>
      <c r="T282" s="556"/>
      <c r="U282" s="556"/>
      <c r="V282" s="2154" t="s">
        <v>2800</v>
      </c>
      <c r="W282" s="2154" t="s">
        <v>2801</v>
      </c>
      <c r="X282" s="2154"/>
      <c r="Y282" s="2154"/>
      <c r="Z282" s="2154"/>
      <c r="AA282" s="2154"/>
      <c r="AB282" s="2154"/>
      <c r="AC282" s="2154"/>
      <c r="AD282" s="2154"/>
      <c r="AE282" s="2154"/>
      <c r="AF282" s="2154"/>
      <c r="AG282" s="962"/>
      <c r="AH282" s="962"/>
      <c r="AI282" s="962"/>
      <c r="AJ282" s="962"/>
      <c r="AK282" s="962"/>
    </row>
    <row r="283" spans="2:39" x14ac:dyDescent="0.3">
      <c r="B283" s="644" t="s">
        <v>390</v>
      </c>
      <c r="C283" s="1446" t="s">
        <v>2798</v>
      </c>
      <c r="D283" s="1259">
        <f>W301/Admin!$V$8</f>
        <v>3.3479999999999999</v>
      </c>
      <c r="E283" s="1259">
        <f>X301/Admin!$V$8</f>
        <v>3.3479999999999999</v>
      </c>
      <c r="F283" s="1259">
        <f>Y301/Admin!$V$8</f>
        <v>3.3479999999999999</v>
      </c>
      <c r="G283" s="1259">
        <f>Z301/Admin!$V$8</f>
        <v>3.3479999999999999</v>
      </c>
      <c r="H283" s="1259">
        <f>AA301/Admin!$V$8</f>
        <v>3.3479999999999999</v>
      </c>
      <c r="I283" s="1259">
        <f>AB301/Admin!$V$8</f>
        <v>3.3479999999999999</v>
      </c>
      <c r="J283" s="1259">
        <f>AC301/Admin!$V$8</f>
        <v>3.3479999999999999</v>
      </c>
      <c r="K283" s="1259">
        <f>AD301/Admin!$V$8</f>
        <v>3.3479999999999999</v>
      </c>
      <c r="L283" s="1259">
        <f>AE301/Admin!$V$8</f>
        <v>3.3479999999999999</v>
      </c>
      <c r="M283" s="1259">
        <f>AF301/Admin!$V$8</f>
        <v>3.3479999999999999</v>
      </c>
      <c r="N283" s="1259">
        <f>AG301/Admin!$V$8</f>
        <v>3.3479999999999999</v>
      </c>
      <c r="O283" s="1259">
        <f>AH301/Admin!$V$8</f>
        <v>3.3479999999999999</v>
      </c>
      <c r="P283" s="1259">
        <f>AI301/Admin!$V$8</f>
        <v>3.3479999999999999</v>
      </c>
      <c r="Q283" s="1259">
        <f>AJ301/Admin!$V$8</f>
        <v>3.3479999999999999</v>
      </c>
      <c r="R283" s="1259">
        <f>AK301/Admin!$V$8</f>
        <v>3.3479999999999999</v>
      </c>
      <c r="S283" s="1443">
        <f t="shared" si="155"/>
        <v>0</v>
      </c>
      <c r="T283" s="556" t="s">
        <v>2802</v>
      </c>
      <c r="U283" s="556"/>
      <c r="V283" s="2159"/>
      <c r="W283" s="556">
        <v>2021</v>
      </c>
      <c r="X283" s="556">
        <v>2022</v>
      </c>
      <c r="Y283" s="556">
        <v>2023</v>
      </c>
      <c r="Z283" s="556">
        <v>2024</v>
      </c>
      <c r="AA283" s="556">
        <v>2025</v>
      </c>
      <c r="AB283" s="556">
        <v>2026</v>
      </c>
      <c r="AC283" s="556">
        <v>2027</v>
      </c>
      <c r="AD283" s="556">
        <v>2028</v>
      </c>
      <c r="AE283" s="556">
        <v>2029</v>
      </c>
      <c r="AF283" s="556">
        <v>2030</v>
      </c>
      <c r="AG283" s="556">
        <v>2031</v>
      </c>
      <c r="AH283" s="556">
        <v>2032</v>
      </c>
      <c r="AI283" s="556">
        <v>2033</v>
      </c>
      <c r="AJ283" s="556">
        <v>2034</v>
      </c>
      <c r="AK283" s="556">
        <v>2035</v>
      </c>
    </row>
    <row r="284" spans="2:39" x14ac:dyDescent="0.3">
      <c r="B284" s="644" t="s">
        <v>391</v>
      </c>
      <c r="C284" s="1446" t="s">
        <v>2798</v>
      </c>
      <c r="D284" s="554">
        <v>0</v>
      </c>
      <c r="E284" s="554">
        <v>0</v>
      </c>
      <c r="F284" s="554">
        <v>0</v>
      </c>
      <c r="G284" s="554">
        <v>0</v>
      </c>
      <c r="H284" s="554">
        <v>0</v>
      </c>
      <c r="I284" s="554">
        <v>0</v>
      </c>
      <c r="J284" s="554">
        <v>0</v>
      </c>
      <c r="K284" s="554">
        <v>0</v>
      </c>
      <c r="L284" s="554">
        <v>0</v>
      </c>
      <c r="M284" s="554">
        <v>0</v>
      </c>
      <c r="N284" s="554">
        <v>0</v>
      </c>
      <c r="O284" s="554">
        <v>0</v>
      </c>
      <c r="P284" s="554">
        <v>0</v>
      </c>
      <c r="Q284" s="554">
        <v>0</v>
      </c>
      <c r="R284" s="554">
        <v>0</v>
      </c>
      <c r="S284" s="1443" t="e">
        <f t="shared" si="155"/>
        <v>#DIV/0!</v>
      </c>
      <c r="T284" s="644" t="s">
        <v>1332</v>
      </c>
      <c r="U284" s="644" t="s">
        <v>549</v>
      </c>
      <c r="V284" s="851">
        <v>0.2</v>
      </c>
      <c r="W284" s="649">
        <v>1</v>
      </c>
      <c r="X284" s="649">
        <v>1</v>
      </c>
      <c r="Y284" s="649">
        <v>1</v>
      </c>
      <c r="Z284" s="649">
        <v>3.3133333333333335</v>
      </c>
      <c r="AA284" s="649">
        <v>4.47</v>
      </c>
      <c r="AB284" s="649">
        <v>4.47</v>
      </c>
      <c r="AC284" s="649">
        <v>4.47</v>
      </c>
      <c r="AD284" s="649">
        <v>4.47</v>
      </c>
      <c r="AE284" s="649">
        <v>4.47</v>
      </c>
      <c r="AF284" s="649">
        <v>4.47</v>
      </c>
      <c r="AG284" s="1145">
        <f>AF284</f>
        <v>4.47</v>
      </c>
      <c r="AH284" s="1145">
        <f t="shared" ref="AH284:AK284" si="156">AG284</f>
        <v>4.47</v>
      </c>
      <c r="AI284" s="1145">
        <f t="shared" si="156"/>
        <v>4.47</v>
      </c>
      <c r="AJ284" s="1145">
        <f t="shared" si="156"/>
        <v>4.47</v>
      </c>
      <c r="AK284" s="1145">
        <f t="shared" si="156"/>
        <v>4.47</v>
      </c>
      <c r="AM284" s="554" t="s">
        <v>2803</v>
      </c>
    </row>
    <row r="285" spans="2:39" x14ac:dyDescent="0.3">
      <c r="B285" s="644" t="s">
        <v>392</v>
      </c>
      <c r="C285" s="1446" t="s">
        <v>2798</v>
      </c>
      <c r="D285" s="645">
        <f t="shared" ref="D285:R285" si="157">W296</f>
        <v>1.6235186454708841</v>
      </c>
      <c r="E285" s="645">
        <f t="shared" si="157"/>
        <v>1.6235186454708841</v>
      </c>
      <c r="F285" s="645">
        <f t="shared" si="157"/>
        <v>1.6235186454708841</v>
      </c>
      <c r="G285" s="645">
        <f t="shared" si="157"/>
        <v>2.289707718239923</v>
      </c>
      <c r="H285" s="645">
        <f t="shared" si="157"/>
        <v>2.6582855782553212</v>
      </c>
      <c r="I285" s="645">
        <f t="shared" si="157"/>
        <v>2.6582855782553212</v>
      </c>
      <c r="J285" s="645">
        <f t="shared" si="157"/>
        <v>2.6582855782553212</v>
      </c>
      <c r="K285" s="645">
        <f t="shared" si="157"/>
        <v>2.6582855782553212</v>
      </c>
      <c r="L285" s="645">
        <f t="shared" si="157"/>
        <v>2.6582855782553212</v>
      </c>
      <c r="M285" s="645">
        <f t="shared" si="157"/>
        <v>2.6582855782553212</v>
      </c>
      <c r="N285" s="645">
        <f t="shared" si="157"/>
        <v>2.6582855782553212</v>
      </c>
      <c r="O285" s="645">
        <f t="shared" si="157"/>
        <v>2.6582855782553212</v>
      </c>
      <c r="P285" s="645">
        <f t="shared" si="157"/>
        <v>2.6582855782553212</v>
      </c>
      <c r="Q285" s="645">
        <f t="shared" si="157"/>
        <v>2.6582855782553212</v>
      </c>
      <c r="R285" s="645">
        <f t="shared" si="157"/>
        <v>2.6582855782553212</v>
      </c>
      <c r="S285" s="1443">
        <f t="shared" si="155"/>
        <v>0.6373606707081052</v>
      </c>
      <c r="T285" s="644" t="s">
        <v>2804</v>
      </c>
      <c r="U285" s="644" t="s">
        <v>549</v>
      </c>
      <c r="V285" s="644"/>
      <c r="W285" s="649">
        <v>0.5</v>
      </c>
      <c r="X285" s="649">
        <v>0.5</v>
      </c>
      <c r="Y285" s="649">
        <v>0.5</v>
      </c>
      <c r="Z285" s="649">
        <v>0.5</v>
      </c>
      <c r="AA285" s="649">
        <v>0.5</v>
      </c>
      <c r="AB285" s="649">
        <v>0.5</v>
      </c>
      <c r="AC285" s="649">
        <v>0.5</v>
      </c>
      <c r="AD285" s="649">
        <v>0.5</v>
      </c>
      <c r="AE285" s="649">
        <v>0.5</v>
      </c>
      <c r="AF285" s="649">
        <v>0.5</v>
      </c>
      <c r="AG285" s="1145">
        <f t="shared" ref="AG285:AK285" si="158">AF285</f>
        <v>0.5</v>
      </c>
      <c r="AH285" s="1145">
        <f t="shared" si="158"/>
        <v>0.5</v>
      </c>
      <c r="AI285" s="1145">
        <f t="shared" si="158"/>
        <v>0.5</v>
      </c>
      <c r="AJ285" s="1145">
        <f t="shared" si="158"/>
        <v>0.5</v>
      </c>
      <c r="AK285" s="1145">
        <f t="shared" si="158"/>
        <v>0.5</v>
      </c>
      <c r="AM285" s="554" t="s">
        <v>2803</v>
      </c>
    </row>
    <row r="286" spans="2:39" x14ac:dyDescent="0.3">
      <c r="B286" s="644" t="s">
        <v>393</v>
      </c>
      <c r="C286" s="1446" t="s">
        <v>2798</v>
      </c>
      <c r="D286" s="646">
        <f t="shared" ref="D286:M286" si="159">W284</f>
        <v>1</v>
      </c>
      <c r="E286" s="646">
        <f t="shared" si="159"/>
        <v>1</v>
      </c>
      <c r="F286" s="646">
        <f t="shared" si="159"/>
        <v>1</v>
      </c>
      <c r="G286" s="646">
        <f t="shared" si="159"/>
        <v>3.3133333333333335</v>
      </c>
      <c r="H286" s="646">
        <f t="shared" si="159"/>
        <v>4.47</v>
      </c>
      <c r="I286" s="646">
        <f t="shared" si="159"/>
        <v>4.47</v>
      </c>
      <c r="J286" s="646">
        <f t="shared" si="159"/>
        <v>4.47</v>
      </c>
      <c r="K286" s="646">
        <f t="shared" si="159"/>
        <v>4.47</v>
      </c>
      <c r="L286" s="646">
        <f t="shared" si="159"/>
        <v>4.47</v>
      </c>
      <c r="M286" s="646">
        <f t="shared" si="159"/>
        <v>4.47</v>
      </c>
      <c r="N286" s="646">
        <f t="shared" ref="N286:R286" si="160">AG284</f>
        <v>4.47</v>
      </c>
      <c r="O286" s="646">
        <f t="shared" si="160"/>
        <v>4.47</v>
      </c>
      <c r="P286" s="646">
        <f t="shared" si="160"/>
        <v>4.47</v>
      </c>
      <c r="Q286" s="646">
        <f t="shared" si="160"/>
        <v>4.47</v>
      </c>
      <c r="R286" s="646">
        <f t="shared" si="160"/>
        <v>4.47</v>
      </c>
      <c r="S286" s="1443">
        <f t="shared" si="155"/>
        <v>3.4699999999999998</v>
      </c>
      <c r="T286" s="644" t="s">
        <v>2728</v>
      </c>
      <c r="U286" s="644" t="s">
        <v>2805</v>
      </c>
      <c r="V286" s="851">
        <v>0.2</v>
      </c>
      <c r="W286" s="649">
        <v>563</v>
      </c>
      <c r="X286" s="649">
        <v>563</v>
      </c>
      <c r="Y286" s="649">
        <v>563</v>
      </c>
      <c r="Z286" s="649">
        <v>563</v>
      </c>
      <c r="AA286" s="649">
        <v>563</v>
      </c>
      <c r="AB286" s="649">
        <v>563</v>
      </c>
      <c r="AC286" s="649">
        <v>563</v>
      </c>
      <c r="AD286" s="649">
        <v>563</v>
      </c>
      <c r="AE286" s="649">
        <v>563</v>
      </c>
      <c r="AF286" s="649">
        <v>563</v>
      </c>
      <c r="AG286" s="1145">
        <f t="shared" ref="AG286:AK286" si="161">AF286</f>
        <v>563</v>
      </c>
      <c r="AH286" s="1145">
        <f t="shared" si="161"/>
        <v>563</v>
      </c>
      <c r="AI286" s="1145">
        <f t="shared" si="161"/>
        <v>563</v>
      </c>
      <c r="AJ286" s="1145">
        <f t="shared" si="161"/>
        <v>563</v>
      </c>
      <c r="AK286" s="1145">
        <f t="shared" si="161"/>
        <v>563</v>
      </c>
      <c r="AM286" s="554" t="s">
        <v>2803</v>
      </c>
    </row>
    <row r="287" spans="2:39" x14ac:dyDescent="0.3">
      <c r="B287" s="644" t="s">
        <v>2806</v>
      </c>
      <c r="C287" s="1446" t="s">
        <v>2798</v>
      </c>
      <c r="D287" s="645">
        <f t="shared" ref="D287:R287" si="162">D282+(D403*0.2)</f>
        <v>13.255507109004739</v>
      </c>
      <c r="E287" s="645">
        <f t="shared" si="162"/>
        <v>13.516679431279623</v>
      </c>
      <c r="F287" s="645">
        <f t="shared" si="162"/>
        <v>13.785686923222752</v>
      </c>
      <c r="G287" s="645">
        <f t="shared" si="162"/>
        <v>17.030726725232231</v>
      </c>
      <c r="H287" s="645">
        <f t="shared" si="162"/>
        <v>18.800097816088723</v>
      </c>
      <c r="I287" s="645">
        <f t="shared" si="162"/>
        <v>19.094049565737265</v>
      </c>
      <c r="J287" s="645">
        <f t="shared" si="162"/>
        <v>19.396819867875259</v>
      </c>
      <c r="K287" s="645">
        <f t="shared" si="162"/>
        <v>19.708673279077395</v>
      </c>
      <c r="L287" s="645">
        <f t="shared" si="162"/>
        <v>20.029882292615589</v>
      </c>
      <c r="M287" s="645">
        <f t="shared" si="162"/>
        <v>20.360727576559938</v>
      </c>
      <c r="N287" s="645">
        <f t="shared" si="162"/>
        <v>20.701498219022611</v>
      </c>
      <c r="O287" s="645">
        <f t="shared" si="162"/>
        <v>21.052491980759164</v>
      </c>
      <c r="P287" s="645">
        <f t="shared" si="162"/>
        <v>21.414015555347817</v>
      </c>
      <c r="Q287" s="645">
        <f t="shared" si="162"/>
        <v>21.786384837174133</v>
      </c>
      <c r="R287" s="645">
        <f t="shared" si="162"/>
        <v>22.169925197455228</v>
      </c>
      <c r="S287" s="1443"/>
      <c r="T287" s="1449" t="s">
        <v>2728</v>
      </c>
      <c r="U287" s="644" t="s">
        <v>549</v>
      </c>
      <c r="W287" s="1429">
        <f>W286/Admin!$V$26</f>
        <v>59.263110484248458</v>
      </c>
      <c r="X287" s="1429">
        <f>X286/Admin!$V$26</f>
        <v>59.263110484248458</v>
      </c>
      <c r="Y287" s="1429">
        <f>Y286/Admin!$V$26</f>
        <v>59.263110484248458</v>
      </c>
      <c r="Z287" s="1429">
        <f>Z286/Admin!$V$26</f>
        <v>59.263110484248458</v>
      </c>
      <c r="AA287" s="1429">
        <f>AA286/Admin!$V$26</f>
        <v>59.263110484248458</v>
      </c>
      <c r="AB287" s="1429">
        <f>AB286/Admin!$V$26</f>
        <v>59.263110484248458</v>
      </c>
      <c r="AC287" s="1429">
        <f>AC286/Admin!$V$26</f>
        <v>59.263110484248458</v>
      </c>
      <c r="AD287" s="1429">
        <f>AD286/Admin!$V$26</f>
        <v>59.263110484248458</v>
      </c>
      <c r="AE287" s="1429">
        <f>AE286/Admin!$V$26</f>
        <v>59.263110484248458</v>
      </c>
      <c r="AF287" s="1429">
        <f>AF286/Admin!$V$26</f>
        <v>59.263110484248458</v>
      </c>
      <c r="AG287" s="1429">
        <f>AG286/Admin!$V$26</f>
        <v>59.263110484248458</v>
      </c>
      <c r="AH287" s="1429">
        <f>AH286/Admin!$V$26</f>
        <v>59.263110484248458</v>
      </c>
      <c r="AI287" s="1429">
        <f>AI286/Admin!$V$26</f>
        <v>59.263110484248458</v>
      </c>
      <c r="AJ287" s="1429">
        <f>AJ286/Admin!$V$26</f>
        <v>59.263110484248458</v>
      </c>
      <c r="AK287" s="1429">
        <f>AK286/Admin!$V$26</f>
        <v>59.263110484248458</v>
      </c>
    </row>
    <row r="288" spans="2:39" x14ac:dyDescent="0.3">
      <c r="B288" s="644" t="s">
        <v>2807</v>
      </c>
      <c r="C288" s="1446" t="s">
        <v>2798</v>
      </c>
      <c r="D288" s="646">
        <f>(W285*0.55)+(W284)</f>
        <v>1.2749999999999999</v>
      </c>
      <c r="E288" s="646">
        <f t="shared" ref="E288:M288" si="163">(X285*0.55)+(X284)</f>
        <v>1.2749999999999999</v>
      </c>
      <c r="F288" s="646">
        <f t="shared" si="163"/>
        <v>1.2749999999999999</v>
      </c>
      <c r="G288" s="646">
        <f t="shared" si="163"/>
        <v>3.5883333333333334</v>
      </c>
      <c r="H288" s="646">
        <f t="shared" si="163"/>
        <v>4.7450000000000001</v>
      </c>
      <c r="I288" s="646">
        <f t="shared" si="163"/>
        <v>4.7450000000000001</v>
      </c>
      <c r="J288" s="646">
        <f t="shared" si="163"/>
        <v>4.7450000000000001</v>
      </c>
      <c r="K288" s="646">
        <f t="shared" si="163"/>
        <v>4.7450000000000001</v>
      </c>
      <c r="L288" s="646">
        <f t="shared" si="163"/>
        <v>4.7450000000000001</v>
      </c>
      <c r="M288" s="646">
        <f t="shared" si="163"/>
        <v>4.7450000000000001</v>
      </c>
      <c r="N288" s="646">
        <f t="shared" ref="N288:R288" si="164">(AG285*0.55)+(AG284)</f>
        <v>4.7450000000000001</v>
      </c>
      <c r="O288" s="646">
        <f t="shared" si="164"/>
        <v>4.7450000000000001</v>
      </c>
      <c r="P288" s="646">
        <f t="shared" si="164"/>
        <v>4.7450000000000001</v>
      </c>
      <c r="Q288" s="646">
        <f t="shared" si="164"/>
        <v>4.7450000000000001</v>
      </c>
      <c r="R288" s="646">
        <f t="shared" si="164"/>
        <v>4.7450000000000001</v>
      </c>
      <c r="S288" s="1443">
        <f t="shared" si="155"/>
        <v>2.7215686274509809</v>
      </c>
      <c r="T288" s="644" t="s">
        <v>2730</v>
      </c>
      <c r="U288" s="644" t="s">
        <v>2805</v>
      </c>
      <c r="V288" s="851">
        <v>0.2</v>
      </c>
      <c r="W288" s="649">
        <v>372</v>
      </c>
      <c r="X288" s="649">
        <v>372</v>
      </c>
      <c r="Y288" s="649">
        <v>372</v>
      </c>
      <c r="Z288" s="649">
        <v>452.66666666666669</v>
      </c>
      <c r="AA288" s="649">
        <v>493</v>
      </c>
      <c r="AB288" s="649">
        <v>493</v>
      </c>
      <c r="AC288" s="649">
        <v>493</v>
      </c>
      <c r="AD288" s="649">
        <v>493</v>
      </c>
      <c r="AE288" s="649">
        <v>493</v>
      </c>
      <c r="AF288" s="649">
        <v>493</v>
      </c>
      <c r="AG288" s="1145">
        <f t="shared" ref="AG288:AK288" si="165">AF288</f>
        <v>493</v>
      </c>
      <c r="AH288" s="1145">
        <f t="shared" si="165"/>
        <v>493</v>
      </c>
      <c r="AI288" s="1145">
        <f t="shared" si="165"/>
        <v>493</v>
      </c>
      <c r="AJ288" s="1145">
        <f t="shared" si="165"/>
        <v>493</v>
      </c>
      <c r="AK288" s="1145">
        <f t="shared" si="165"/>
        <v>493</v>
      </c>
      <c r="AM288" s="554" t="s">
        <v>2803</v>
      </c>
    </row>
    <row r="289" spans="2:39" x14ac:dyDescent="0.3">
      <c r="B289" s="644" t="s">
        <v>2808</v>
      </c>
      <c r="C289" s="1446" t="s">
        <v>2798</v>
      </c>
      <c r="D289" s="646">
        <f t="shared" ref="D289:R289" si="166">D285+(D419*0.2)</f>
        <v>14.223518645470886</v>
      </c>
      <c r="E289" s="646">
        <f t="shared" si="166"/>
        <v>14.601518645470886</v>
      </c>
      <c r="F289" s="646">
        <f t="shared" si="166"/>
        <v>14.990858645470887</v>
      </c>
      <c r="G289" s="646">
        <f t="shared" si="166"/>
        <v>16.058067918239924</v>
      </c>
      <c r="H289" s="646">
        <f t="shared" si="166"/>
        <v>16.839696584255325</v>
      </c>
      <c r="I289" s="646">
        <f t="shared" si="166"/>
        <v>17.265138914435326</v>
      </c>
      <c r="J289" s="646">
        <f t="shared" si="166"/>
        <v>17.703344514520726</v>
      </c>
      <c r="K289" s="646">
        <f t="shared" si="166"/>
        <v>18.154696282608686</v>
      </c>
      <c r="L289" s="646">
        <f t="shared" si="166"/>
        <v>18.619588603739292</v>
      </c>
      <c r="M289" s="646">
        <f t="shared" si="166"/>
        <v>19.098427694503812</v>
      </c>
      <c r="N289" s="646">
        <f t="shared" si="166"/>
        <v>19.591631957991268</v>
      </c>
      <c r="O289" s="646">
        <f t="shared" si="166"/>
        <v>20.099632349383345</v>
      </c>
      <c r="P289" s="646">
        <f t="shared" si="166"/>
        <v>20.622872752517186</v>
      </c>
      <c r="Q289" s="646">
        <f t="shared" si="166"/>
        <v>21.161810367745044</v>
      </c>
      <c r="R289" s="646">
        <f t="shared" si="166"/>
        <v>21.716916111429736</v>
      </c>
      <c r="S289" s="1443">
        <f t="shared" si="155"/>
        <v>0.18393324493004365</v>
      </c>
      <c r="T289" s="644" t="s">
        <v>2730</v>
      </c>
      <c r="U289" s="644" t="s">
        <v>549</v>
      </c>
      <c r="W289" s="1429">
        <f>W288/Admin!$V$30</f>
        <v>34.694272762716501</v>
      </c>
      <c r="X289" s="1429">
        <f>X288/Admin!$V$30</f>
        <v>34.694272762716501</v>
      </c>
      <c r="Y289" s="1429">
        <f>Y288/Admin!$V$30</f>
        <v>34.694272762716501</v>
      </c>
      <c r="Z289" s="1429">
        <f>Z288/Admin!$V$30</f>
        <v>42.217582806244629</v>
      </c>
      <c r="AA289" s="1429">
        <f>AA288/Admin!$V$30</f>
        <v>45.979237828008692</v>
      </c>
      <c r="AB289" s="1429">
        <f>AB288/Admin!$V$30</f>
        <v>45.979237828008692</v>
      </c>
      <c r="AC289" s="1429">
        <f>AC288/Admin!$V$30</f>
        <v>45.979237828008692</v>
      </c>
      <c r="AD289" s="1429">
        <f>AD288/Admin!$V$30</f>
        <v>45.979237828008692</v>
      </c>
      <c r="AE289" s="1429">
        <f>AE288/Admin!$V$30</f>
        <v>45.979237828008692</v>
      </c>
      <c r="AF289" s="1429">
        <f>AF288/Admin!$V$30</f>
        <v>45.979237828008692</v>
      </c>
      <c r="AG289" s="1429">
        <f>AG288/Admin!$V$30</f>
        <v>45.979237828008692</v>
      </c>
      <c r="AH289" s="1429">
        <f>AH288/Admin!$V$30</f>
        <v>45.979237828008692</v>
      </c>
      <c r="AI289" s="1429">
        <f>AI288/Admin!$V$30</f>
        <v>45.979237828008692</v>
      </c>
      <c r="AJ289" s="1429">
        <f>AJ288/Admin!$V$30</f>
        <v>45.979237828008692</v>
      </c>
      <c r="AK289" s="1429">
        <f>AK288/Admin!$V$30</f>
        <v>45.979237828008692</v>
      </c>
    </row>
    <row r="290" spans="2:39" x14ac:dyDescent="0.3">
      <c r="B290" s="644" t="s">
        <v>2809</v>
      </c>
      <c r="C290" s="1446" t="s">
        <v>2798</v>
      </c>
      <c r="D290" s="646">
        <f t="shared" ref="D290:R290" si="167">D286+(D418*0.2)</f>
        <v>17.36</v>
      </c>
      <c r="E290" s="646">
        <f t="shared" si="167"/>
        <v>17.850800000000003</v>
      </c>
      <c r="F290" s="646">
        <f t="shared" si="167"/>
        <v>18.356324000000001</v>
      </c>
      <c r="G290" s="646">
        <f t="shared" si="167"/>
        <v>21.190347053333337</v>
      </c>
      <c r="H290" s="646">
        <f t="shared" si="167"/>
        <v>22.883324131600002</v>
      </c>
      <c r="I290" s="646">
        <f t="shared" si="167"/>
        <v>23.435723855548002</v>
      </c>
      <c r="J290" s="646">
        <f t="shared" si="167"/>
        <v>24.004695571214445</v>
      </c>
      <c r="K290" s="646">
        <f t="shared" si="167"/>
        <v>24.590736438350877</v>
      </c>
      <c r="L290" s="646">
        <f t="shared" si="167"/>
        <v>25.194358531501404</v>
      </c>
      <c r="M290" s="646">
        <f t="shared" si="167"/>
        <v>25.816089287446445</v>
      </c>
      <c r="N290" s="646">
        <f t="shared" si="167"/>
        <v>26.456471966069842</v>
      </c>
      <c r="O290" s="646">
        <f t="shared" si="167"/>
        <v>27.116066125051937</v>
      </c>
      <c r="P290" s="646">
        <f t="shared" si="167"/>
        <v>27.795448108803498</v>
      </c>
      <c r="Q290" s="646">
        <f t="shared" si="167"/>
        <v>28.495211552067602</v>
      </c>
      <c r="R290" s="646">
        <f t="shared" si="167"/>
        <v>29.215967898629632</v>
      </c>
      <c r="S290" s="1443">
        <f t="shared" si="155"/>
        <v>0.31816383246543795</v>
      </c>
      <c r="T290" s="644" t="s">
        <v>2810</v>
      </c>
      <c r="U290" s="644" t="s">
        <v>2811</v>
      </c>
      <c r="V290" s="851">
        <v>0.2</v>
      </c>
      <c r="W290" s="649">
        <v>40</v>
      </c>
      <c r="X290" s="649">
        <v>40</v>
      </c>
      <c r="Y290" s="649">
        <v>40</v>
      </c>
      <c r="Z290" s="649">
        <v>66.093333333333334</v>
      </c>
      <c r="AA290" s="649">
        <v>79.14</v>
      </c>
      <c r="AB290" s="649">
        <v>79.14</v>
      </c>
      <c r="AC290" s="649">
        <v>79.14</v>
      </c>
      <c r="AD290" s="649">
        <v>79.14</v>
      </c>
      <c r="AE290" s="649">
        <v>79.14</v>
      </c>
      <c r="AF290" s="649">
        <v>79.14</v>
      </c>
      <c r="AG290" s="1145">
        <f t="shared" ref="AG290:AK290" si="168">AF290</f>
        <v>79.14</v>
      </c>
      <c r="AH290" s="1145">
        <f t="shared" si="168"/>
        <v>79.14</v>
      </c>
      <c r="AI290" s="1145">
        <f t="shared" si="168"/>
        <v>79.14</v>
      </c>
      <c r="AJ290" s="1145">
        <f t="shared" si="168"/>
        <v>79.14</v>
      </c>
      <c r="AK290" s="1145">
        <f t="shared" si="168"/>
        <v>79.14</v>
      </c>
      <c r="AM290" s="554" t="s">
        <v>2803</v>
      </c>
    </row>
    <row r="291" spans="2:39" x14ac:dyDescent="0.3">
      <c r="B291" s="1447" t="s">
        <v>2746</v>
      </c>
      <c r="C291" s="1446" t="s">
        <v>2798</v>
      </c>
      <c r="D291" s="494">
        <f>W287</f>
        <v>59.263110484248458</v>
      </c>
      <c r="E291" s="494">
        <f t="shared" ref="E291:R291" si="169">X287</f>
        <v>59.263110484248458</v>
      </c>
      <c r="F291" s="494">
        <f t="shared" si="169"/>
        <v>59.263110484248458</v>
      </c>
      <c r="G291" s="494">
        <f t="shared" si="169"/>
        <v>59.263110484248458</v>
      </c>
      <c r="H291" s="494">
        <f t="shared" si="169"/>
        <v>59.263110484248458</v>
      </c>
      <c r="I291" s="494">
        <f t="shared" si="169"/>
        <v>59.263110484248458</v>
      </c>
      <c r="J291" s="494">
        <f t="shared" si="169"/>
        <v>59.263110484248458</v>
      </c>
      <c r="K291" s="494">
        <f t="shared" si="169"/>
        <v>59.263110484248458</v>
      </c>
      <c r="L291" s="494">
        <f t="shared" si="169"/>
        <v>59.263110484248458</v>
      </c>
      <c r="M291" s="494">
        <f t="shared" si="169"/>
        <v>59.263110484248458</v>
      </c>
      <c r="N291" s="494">
        <f t="shared" si="169"/>
        <v>59.263110484248458</v>
      </c>
      <c r="O291" s="494">
        <f t="shared" si="169"/>
        <v>59.263110484248458</v>
      </c>
      <c r="P291" s="494">
        <f t="shared" si="169"/>
        <v>59.263110484248458</v>
      </c>
      <c r="Q291" s="494">
        <f t="shared" si="169"/>
        <v>59.263110484248458</v>
      </c>
      <c r="R291" s="494">
        <f t="shared" si="169"/>
        <v>59.263110484248458</v>
      </c>
      <c r="S291" s="1443">
        <f t="shared" si="155"/>
        <v>0</v>
      </c>
      <c r="T291" s="644" t="s">
        <v>2812</v>
      </c>
      <c r="U291" s="644" t="s">
        <v>2811</v>
      </c>
      <c r="V291" s="644"/>
      <c r="W291" s="649">
        <v>11.3</v>
      </c>
      <c r="X291" s="649">
        <v>11.3</v>
      </c>
      <c r="Y291" s="649">
        <v>11.3</v>
      </c>
      <c r="Z291" s="649">
        <v>11.3</v>
      </c>
      <c r="AA291" s="649">
        <v>11.3</v>
      </c>
      <c r="AB291" s="649">
        <v>11.3</v>
      </c>
      <c r="AC291" s="649">
        <v>11.3</v>
      </c>
      <c r="AD291" s="649">
        <v>11.3</v>
      </c>
      <c r="AE291" s="649">
        <v>11.3</v>
      </c>
      <c r="AF291" s="649">
        <v>11.3</v>
      </c>
      <c r="AG291" s="1145">
        <f t="shared" ref="AG291:AK291" si="170">AF291</f>
        <v>11.3</v>
      </c>
      <c r="AH291" s="1145">
        <f t="shared" si="170"/>
        <v>11.3</v>
      </c>
      <c r="AI291" s="1145">
        <f t="shared" si="170"/>
        <v>11.3</v>
      </c>
      <c r="AJ291" s="1145">
        <f t="shared" si="170"/>
        <v>11.3</v>
      </c>
      <c r="AK291" s="1145">
        <f t="shared" si="170"/>
        <v>11.3</v>
      </c>
      <c r="AM291" s="554" t="s">
        <v>2803</v>
      </c>
    </row>
    <row r="292" spans="2:39" x14ac:dyDescent="0.3">
      <c r="B292" s="644" t="s">
        <v>2813</v>
      </c>
      <c r="C292" s="1446" t="s">
        <v>2798</v>
      </c>
      <c r="D292" s="494">
        <f t="shared" ref="D292:R292" si="171">D291+(D409*0.2)</f>
        <v>70.799943360045319</v>
      </c>
      <c r="E292" s="494">
        <f t="shared" si="171"/>
        <v>71.146048346319219</v>
      </c>
      <c r="F292" s="494">
        <f t="shared" si="171"/>
        <v>71.502536482181341</v>
      </c>
      <c r="G292" s="494">
        <f t="shared" si="171"/>
        <v>71.869719262119332</v>
      </c>
      <c r="H292" s="494">
        <f t="shared" si="171"/>
        <v>72.247917525455463</v>
      </c>
      <c r="I292" s="494">
        <f t="shared" si="171"/>
        <v>72.637461736691677</v>
      </c>
      <c r="J292" s="494">
        <f t="shared" si="171"/>
        <v>73.038692274264974</v>
      </c>
      <c r="K292" s="494">
        <f t="shared" si="171"/>
        <v>73.451959727965459</v>
      </c>
      <c r="L292" s="494">
        <f t="shared" si="171"/>
        <v>73.877625205276971</v>
      </c>
      <c r="M292" s="494">
        <f t="shared" si="171"/>
        <v>74.316060646907829</v>
      </c>
      <c r="N292" s="494">
        <f t="shared" si="171"/>
        <v>74.767649151787609</v>
      </c>
      <c r="O292" s="494">
        <f t="shared" si="171"/>
        <v>75.232785311813785</v>
      </c>
      <c r="P292" s="494">
        <f t="shared" si="171"/>
        <v>75.711875556640734</v>
      </c>
      <c r="Q292" s="494">
        <f t="shared" si="171"/>
        <v>76.205338508812503</v>
      </c>
      <c r="R292" s="494">
        <f t="shared" si="171"/>
        <v>76.713605349549425</v>
      </c>
      <c r="S292" s="1443">
        <f t="shared" si="155"/>
        <v>2.0451628867083006E-2</v>
      </c>
      <c r="T292" s="644" t="s">
        <v>2810</v>
      </c>
      <c r="U292" s="644" t="s">
        <v>549</v>
      </c>
      <c r="V292" s="851">
        <v>0.2</v>
      </c>
      <c r="W292" s="479">
        <f>W290/Admin!$V$16</f>
        <v>4.5497630331753554</v>
      </c>
      <c r="X292" s="479">
        <f>X290/Admin!$V$16</f>
        <v>4.5497630331753554</v>
      </c>
      <c r="Y292" s="479">
        <f>Y290/Admin!$V$16</f>
        <v>4.5497630331753554</v>
      </c>
      <c r="Z292" s="479">
        <f>Z290/Admin!$V$16</f>
        <v>7.5177251184834128</v>
      </c>
      <c r="AA292" s="479">
        <f>AA290/Admin!$V$16</f>
        <v>9.0017061611374416</v>
      </c>
      <c r="AB292" s="479">
        <f>AB290/Admin!$V$16</f>
        <v>9.0017061611374416</v>
      </c>
      <c r="AC292" s="479">
        <f>AC290/Admin!$V$16</f>
        <v>9.0017061611374416</v>
      </c>
      <c r="AD292" s="479">
        <f>AD290/Admin!$V$16</f>
        <v>9.0017061611374416</v>
      </c>
      <c r="AE292" s="479">
        <f>AE290/Admin!$V$16</f>
        <v>9.0017061611374416</v>
      </c>
      <c r="AF292" s="479">
        <f>AF290/Admin!$V$16</f>
        <v>9.0017061611374416</v>
      </c>
      <c r="AG292" s="501">
        <f t="shared" ref="AG292:AK292" si="172">AF292</f>
        <v>9.0017061611374416</v>
      </c>
      <c r="AH292" s="501">
        <f t="shared" si="172"/>
        <v>9.0017061611374416</v>
      </c>
      <c r="AI292" s="501">
        <f t="shared" si="172"/>
        <v>9.0017061611374416</v>
      </c>
      <c r="AJ292" s="501">
        <f t="shared" si="172"/>
        <v>9.0017061611374416</v>
      </c>
      <c r="AK292" s="501">
        <f t="shared" si="172"/>
        <v>9.0017061611374416</v>
      </c>
    </row>
    <row r="293" spans="2:39" x14ac:dyDescent="0.3">
      <c r="B293" s="644" t="s">
        <v>2814</v>
      </c>
      <c r="C293" s="1446" t="s">
        <v>2798</v>
      </c>
      <c r="D293" s="647">
        <f>(W299/Admin!$V$39)</f>
        <v>37.603960396039604</v>
      </c>
      <c r="E293" s="647">
        <f>(X299/Admin!$V$39)</f>
        <v>37.603960396039604</v>
      </c>
      <c r="F293" s="647">
        <f>(Y299/Admin!$V$39)</f>
        <v>37.603960396039604</v>
      </c>
      <c r="G293" s="647">
        <f>(Z299/Admin!$V$39)</f>
        <v>45.742574257425751</v>
      </c>
      <c r="H293" s="647">
        <f>(AA299/Admin!$V$39)</f>
        <v>49.811881188118818</v>
      </c>
      <c r="I293" s="647">
        <f>(AB299/Admin!$V$39)</f>
        <v>49.811881188118818</v>
      </c>
      <c r="J293" s="647">
        <f>(AC299/Admin!$V$39)</f>
        <v>49.811881188118818</v>
      </c>
      <c r="K293" s="647">
        <f>(AD299/Admin!$V$39)</f>
        <v>49.811881188118818</v>
      </c>
      <c r="L293" s="647">
        <f>(AE299/Admin!$V$39)</f>
        <v>49.811881188118818</v>
      </c>
      <c r="M293" s="647">
        <f>(AF299/Admin!$V$39)</f>
        <v>49.811881188118818</v>
      </c>
      <c r="N293" s="647">
        <f>(AG299/Admin!$V$39)</f>
        <v>49.811881188118818</v>
      </c>
      <c r="O293" s="647">
        <f>(AH299/Admin!$V$39)</f>
        <v>49.811881188118818</v>
      </c>
      <c r="P293" s="647">
        <f>(AI299/Admin!$V$39)</f>
        <v>49.811881188118818</v>
      </c>
      <c r="Q293" s="647">
        <f>(AJ299/Admin!$V$39)</f>
        <v>49.811881188118818</v>
      </c>
      <c r="R293" s="647">
        <f>(AK299/Admin!$V$39)</f>
        <v>49.811881188118818</v>
      </c>
      <c r="S293" s="1443">
        <f t="shared" si="155"/>
        <v>0.32464454976303336</v>
      </c>
      <c r="T293" s="644" t="s">
        <v>2812</v>
      </c>
      <c r="U293" s="644" t="s">
        <v>549</v>
      </c>
      <c r="V293" s="644"/>
      <c r="W293" s="479">
        <f>W291/Admin!$V$16</f>
        <v>1.2853080568720381</v>
      </c>
      <c r="X293" s="479">
        <f>X291/Admin!$V$16</f>
        <v>1.2853080568720381</v>
      </c>
      <c r="Y293" s="479">
        <f>Y291/Admin!$V$16</f>
        <v>1.2853080568720381</v>
      </c>
      <c r="Z293" s="479">
        <f>Z291/Admin!$V$16</f>
        <v>1.2853080568720381</v>
      </c>
      <c r="AA293" s="479">
        <f>AA291/Admin!$V$16</f>
        <v>1.2853080568720381</v>
      </c>
      <c r="AB293" s="479">
        <f>AB291/Admin!$V$16</f>
        <v>1.2853080568720381</v>
      </c>
      <c r="AC293" s="479">
        <f>AC291/Admin!$V$16</f>
        <v>1.2853080568720381</v>
      </c>
      <c r="AD293" s="479">
        <f>AD291/Admin!$V$16</f>
        <v>1.2853080568720381</v>
      </c>
      <c r="AE293" s="479">
        <f>AE291/Admin!$V$16</f>
        <v>1.2853080568720381</v>
      </c>
      <c r="AF293" s="479">
        <f>AF291/Admin!$V$16</f>
        <v>1.2853080568720381</v>
      </c>
      <c r="AG293" s="501">
        <f t="shared" ref="AG293:AK293" si="173">AF293</f>
        <v>1.2853080568720381</v>
      </c>
      <c r="AH293" s="501">
        <f t="shared" si="173"/>
        <v>1.2853080568720381</v>
      </c>
      <c r="AI293" s="501">
        <f t="shared" si="173"/>
        <v>1.2853080568720381</v>
      </c>
      <c r="AJ293" s="501">
        <f t="shared" si="173"/>
        <v>1.2853080568720381</v>
      </c>
      <c r="AK293" s="501">
        <f t="shared" si="173"/>
        <v>1.2853080568720381</v>
      </c>
    </row>
    <row r="294" spans="2:39" x14ac:dyDescent="0.3">
      <c r="B294" s="644" t="s">
        <v>2815</v>
      </c>
      <c r="C294" s="1446" t="s">
        <v>2798</v>
      </c>
      <c r="D294" s="647">
        <f>(W300/Admin!$V$36)</f>
        <v>34.802831570956982</v>
      </c>
      <c r="E294" s="647">
        <f>(X300/Admin!$V$36)</f>
        <v>34.802831570956982</v>
      </c>
      <c r="F294" s="647">
        <f>(Y300/Admin!$V$36)</f>
        <v>34.802831570956982</v>
      </c>
      <c r="G294" s="647">
        <f>(Z300/Admin!$V$36)</f>
        <v>42.34968214458744</v>
      </c>
      <c r="H294" s="647">
        <f>(AA300/Admin!$V$36)</f>
        <v>46.123107431402673</v>
      </c>
      <c r="I294" s="647">
        <f>(AB300/Admin!$V$36)</f>
        <v>46.123107431402673</v>
      </c>
      <c r="J294" s="647">
        <f>(AC300/Admin!$V$36)</f>
        <v>46.123107431402673</v>
      </c>
      <c r="K294" s="647">
        <f>(AD300/Admin!$V$36)</f>
        <v>46.123107431402673</v>
      </c>
      <c r="L294" s="647">
        <f>(AE300/Admin!$V$36)</f>
        <v>46.123107431402673</v>
      </c>
      <c r="M294" s="647">
        <f>(AF300/Admin!$V$36)</f>
        <v>46.123107431402673</v>
      </c>
      <c r="N294" s="647">
        <f>(AG300/Admin!$V$36)</f>
        <v>46.123107431402673</v>
      </c>
      <c r="O294" s="647">
        <f>(AH300/Admin!$V$36)</f>
        <v>46.123107431402673</v>
      </c>
      <c r="P294" s="647">
        <f>(AI300/Admin!$V$36)</f>
        <v>46.123107431402673</v>
      </c>
      <c r="Q294" s="647">
        <f>(AJ300/Admin!$V$36)</f>
        <v>46.123107431402673</v>
      </c>
      <c r="R294" s="647">
        <f>(AK300/Admin!$V$36)</f>
        <v>46.123107431402673</v>
      </c>
      <c r="S294" s="1443">
        <f t="shared" si="155"/>
        <v>0.32526881720430123</v>
      </c>
      <c r="T294" s="644" t="s">
        <v>2790</v>
      </c>
      <c r="U294" s="644" t="s">
        <v>2805</v>
      </c>
      <c r="V294" s="644"/>
      <c r="W294" s="649">
        <v>100</v>
      </c>
      <c r="X294" s="649">
        <v>100</v>
      </c>
      <c r="Y294" s="649">
        <v>100</v>
      </c>
      <c r="Z294" s="649">
        <v>122</v>
      </c>
      <c r="AA294" s="649">
        <v>133</v>
      </c>
      <c r="AB294" s="649">
        <v>133</v>
      </c>
      <c r="AC294" s="649">
        <v>133</v>
      </c>
      <c r="AD294" s="649">
        <v>133</v>
      </c>
      <c r="AE294" s="649">
        <v>133</v>
      </c>
      <c r="AF294" s="649">
        <v>133</v>
      </c>
      <c r="AG294" s="1145">
        <f t="shared" ref="AG294:AK294" si="174">AF294</f>
        <v>133</v>
      </c>
      <c r="AH294" s="1145">
        <f t="shared" si="174"/>
        <v>133</v>
      </c>
      <c r="AI294" s="1145">
        <f t="shared" si="174"/>
        <v>133</v>
      </c>
      <c r="AJ294" s="1145">
        <f t="shared" si="174"/>
        <v>133</v>
      </c>
      <c r="AK294" s="1145">
        <f t="shared" si="174"/>
        <v>133</v>
      </c>
      <c r="AM294" s="554" t="s">
        <v>2803</v>
      </c>
    </row>
    <row r="295" spans="2:39" x14ac:dyDescent="0.3">
      <c r="B295" s="644" t="s">
        <v>2730</v>
      </c>
      <c r="C295" s="1446" t="s">
        <v>2798</v>
      </c>
      <c r="D295" s="647">
        <f>(W288/Admin!$V$30)</f>
        <v>34.694272762716501</v>
      </c>
      <c r="E295" s="647">
        <f>(X288/Admin!$V$30)</f>
        <v>34.694272762716501</v>
      </c>
      <c r="F295" s="647">
        <f>(Y288/Admin!$V$30)</f>
        <v>34.694272762716501</v>
      </c>
      <c r="G295" s="647">
        <f>(Z288/Admin!$V$30)</f>
        <v>42.217582806244629</v>
      </c>
      <c r="H295" s="647">
        <f>(AA288/Admin!$V$30)</f>
        <v>45.979237828008692</v>
      </c>
      <c r="I295" s="647">
        <f>(AB288/Admin!$V$30)</f>
        <v>45.979237828008692</v>
      </c>
      <c r="J295" s="647">
        <f>(AC288/Admin!$V$30)</f>
        <v>45.979237828008692</v>
      </c>
      <c r="K295" s="647">
        <f>(AD288/Admin!$V$30)</f>
        <v>45.979237828008692</v>
      </c>
      <c r="L295" s="647">
        <f>(AE288/Admin!$V$30)</f>
        <v>45.979237828008692</v>
      </c>
      <c r="M295" s="647">
        <f>(AF288/Admin!$V$30)</f>
        <v>45.979237828008692</v>
      </c>
      <c r="N295" s="647">
        <f>(AG288/Admin!$V$30)</f>
        <v>45.979237828008692</v>
      </c>
      <c r="O295" s="647">
        <f>(AH288/Admin!$V$30)</f>
        <v>45.979237828008692</v>
      </c>
      <c r="P295" s="647">
        <f>(AI288/Admin!$V$30)</f>
        <v>45.979237828008692</v>
      </c>
      <c r="Q295" s="647">
        <f>(AJ288/Admin!$V$30)</f>
        <v>45.979237828008692</v>
      </c>
      <c r="R295" s="647">
        <f>(AK288/Admin!$V$30)</f>
        <v>45.979237828008692</v>
      </c>
      <c r="S295" s="1443">
        <f>(H295-D295)/D295</f>
        <v>0.32526881720430095</v>
      </c>
      <c r="T295" s="644" t="s">
        <v>2790</v>
      </c>
      <c r="U295" s="644" t="s">
        <v>2805</v>
      </c>
      <c r="W295" s="1429">
        <f>W294/Admin!$V$30</f>
        <v>9.3264174093323913</v>
      </c>
      <c r="X295" s="1429">
        <f>X294/Admin!$V$30</f>
        <v>9.3264174093323913</v>
      </c>
      <c r="Y295" s="1429">
        <f>Y294/Admin!$V$30</f>
        <v>9.3264174093323913</v>
      </c>
      <c r="Z295" s="1429">
        <f>Z294/Admin!$V$30</f>
        <v>11.378229239385519</v>
      </c>
      <c r="AA295" s="1429">
        <f>AA294/Admin!$V$30</f>
        <v>12.404135154412081</v>
      </c>
      <c r="AB295" s="1429">
        <f>AB294/Admin!$V$30</f>
        <v>12.404135154412081</v>
      </c>
      <c r="AC295" s="1429">
        <f>AC294/Admin!$V$30</f>
        <v>12.404135154412081</v>
      </c>
      <c r="AD295" s="1429">
        <f>AD294/Admin!$V$30</f>
        <v>12.404135154412081</v>
      </c>
      <c r="AE295" s="1429">
        <f>AE294/Admin!$V$30</f>
        <v>12.404135154412081</v>
      </c>
      <c r="AF295" s="1429">
        <f>AF294/Admin!$V$30</f>
        <v>12.404135154412081</v>
      </c>
      <c r="AG295" s="1429">
        <f>AG294/Admin!$V$30</f>
        <v>12.404135154412081</v>
      </c>
      <c r="AH295" s="1429">
        <f>AH294/Admin!$V$30</f>
        <v>12.404135154412081</v>
      </c>
      <c r="AI295" s="1429">
        <f>AI294/Admin!$V$30</f>
        <v>12.404135154412081</v>
      </c>
      <c r="AJ295" s="1429">
        <f>AJ294/Admin!$V$30</f>
        <v>12.404135154412081</v>
      </c>
      <c r="AK295" s="1429">
        <f>AK294/Admin!$V$30</f>
        <v>12.404135154412081</v>
      </c>
    </row>
    <row r="296" spans="2:39" x14ac:dyDescent="0.3">
      <c r="B296" s="644" t="s">
        <v>2816</v>
      </c>
      <c r="C296" s="1446" t="s">
        <v>2798</v>
      </c>
      <c r="D296" s="647">
        <f>(W288/Admin!$V$30)+(D415*0.2)</f>
        <v>45.830015149459378</v>
      </c>
      <c r="E296" s="647">
        <f>(X288/Admin!$V$30)+(E415*0.2)</f>
        <v>46.164087421061666</v>
      </c>
      <c r="F296" s="647">
        <f>(Y288/Admin!$V$30)+(F415*0.2)</f>
        <v>46.508181860812016</v>
      </c>
      <c r="G296" s="647">
        <f>(Z288/Admin!$V$30)+(G415*0.2)</f>
        <v>54.385909177283011</v>
      </c>
      <c r="H296" s="647">
        <f>(AA288/Admin!$V$30)+(H415*0.2)</f>
        <v>58.512613990178224</v>
      </c>
      <c r="I296" s="647">
        <f>(AB288/Admin!$V$30)+(I415*0.2)</f>
        <v>58.888615275043314</v>
      </c>
      <c r="J296" s="647">
        <f>(AC288/Admin!$V$30)+(J415*0.2)</f>
        <v>59.275896598454352</v>
      </c>
      <c r="K296" s="647">
        <f>(AD288/Admin!$V$30)+(K415*0.2)</f>
        <v>59.674796361567722</v>
      </c>
      <c r="L296" s="647">
        <f>(AE288/Admin!$V$30)+(L415*0.2)</f>
        <v>60.085663117574498</v>
      </c>
      <c r="M296" s="647">
        <f>(AF288/Admin!$V$30)+(M415*0.2)</f>
        <v>60.508855876261464</v>
      </c>
      <c r="N296" s="647">
        <f>(AG288/Admin!$V$30)+(N415*0.2)</f>
        <v>60.944744417709053</v>
      </c>
      <c r="O296" s="647">
        <f>(AH288/Admin!$V$30)+(O415*0.2)</f>
        <v>61.393709615400063</v>
      </c>
      <c r="P296" s="647">
        <f>(AI288/Admin!$V$30)+(P415*0.2)</f>
        <v>61.856143769021806</v>
      </c>
      <c r="Q296" s="647">
        <f>(AJ288/Admin!$V$30)+(Q415*0.2)</f>
        <v>62.332450947252198</v>
      </c>
      <c r="R296" s="647">
        <f>(AK288/Admin!$V$30)+(R415*0.2)</f>
        <v>62.823047340829504</v>
      </c>
      <c r="S296" s="1443"/>
      <c r="T296" s="644" t="s">
        <v>2725</v>
      </c>
      <c r="U296" s="644" t="s">
        <v>549</v>
      </c>
      <c r="V296" s="851">
        <v>0.2</v>
      </c>
      <c r="W296" s="649">
        <v>1.6235186454708841</v>
      </c>
      <c r="X296" s="649">
        <v>1.6235186454708841</v>
      </c>
      <c r="Y296" s="649">
        <v>1.6235186454708841</v>
      </c>
      <c r="Z296" s="649">
        <v>2.289707718239923</v>
      </c>
      <c r="AA296" s="649">
        <v>2.6582855782553212</v>
      </c>
      <c r="AB296" s="649">
        <v>2.6582855782553212</v>
      </c>
      <c r="AC296" s="649">
        <v>2.6582855782553212</v>
      </c>
      <c r="AD296" s="649">
        <v>2.6582855782553212</v>
      </c>
      <c r="AE296" s="649">
        <v>2.6582855782553212</v>
      </c>
      <c r="AF296" s="649">
        <v>2.6582855782553212</v>
      </c>
      <c r="AG296" s="1145">
        <f t="shared" ref="AG296:AK296" si="175">AF296</f>
        <v>2.6582855782553212</v>
      </c>
      <c r="AH296" s="1145">
        <f t="shared" si="175"/>
        <v>2.6582855782553212</v>
      </c>
      <c r="AI296" s="1145">
        <f t="shared" si="175"/>
        <v>2.6582855782553212</v>
      </c>
      <c r="AJ296" s="1145">
        <f t="shared" si="175"/>
        <v>2.6582855782553212</v>
      </c>
      <c r="AK296" s="1145">
        <f t="shared" si="175"/>
        <v>2.6582855782553212</v>
      </c>
      <c r="AM296" s="554" t="s">
        <v>2817</v>
      </c>
    </row>
    <row r="297" spans="2:39" x14ac:dyDescent="0.3">
      <c r="B297" s="644" t="s">
        <v>2818</v>
      </c>
      <c r="C297" s="1446" t="s">
        <v>2798</v>
      </c>
      <c r="D297" s="645">
        <f t="shared" ref="D297:R297" si="176">W293</f>
        <v>1.2853080568720381</v>
      </c>
      <c r="E297" s="645">
        <f t="shared" si="176"/>
        <v>1.2853080568720381</v>
      </c>
      <c r="F297" s="645">
        <f t="shared" si="176"/>
        <v>1.2853080568720381</v>
      </c>
      <c r="G297" s="645">
        <f t="shared" si="176"/>
        <v>1.2853080568720381</v>
      </c>
      <c r="H297" s="645">
        <f t="shared" si="176"/>
        <v>1.2853080568720381</v>
      </c>
      <c r="I297" s="645">
        <f t="shared" si="176"/>
        <v>1.2853080568720381</v>
      </c>
      <c r="J297" s="645">
        <f t="shared" si="176"/>
        <v>1.2853080568720381</v>
      </c>
      <c r="K297" s="645">
        <f t="shared" si="176"/>
        <v>1.2853080568720381</v>
      </c>
      <c r="L297" s="645">
        <f t="shared" si="176"/>
        <v>1.2853080568720381</v>
      </c>
      <c r="M297" s="645">
        <f t="shared" si="176"/>
        <v>1.2853080568720381</v>
      </c>
      <c r="N297" s="645">
        <f t="shared" si="176"/>
        <v>1.2853080568720381</v>
      </c>
      <c r="O297" s="645">
        <f t="shared" si="176"/>
        <v>1.2853080568720381</v>
      </c>
      <c r="P297" s="645">
        <f t="shared" si="176"/>
        <v>1.2853080568720381</v>
      </c>
      <c r="Q297" s="645">
        <f t="shared" si="176"/>
        <v>1.2853080568720381</v>
      </c>
      <c r="R297" s="645">
        <f t="shared" si="176"/>
        <v>1.2853080568720381</v>
      </c>
      <c r="S297" s="1443">
        <f t="shared" si="155"/>
        <v>0</v>
      </c>
      <c r="T297" s="644" t="s">
        <v>2819</v>
      </c>
      <c r="U297" s="644"/>
      <c r="V297" s="851">
        <v>0.2</v>
      </c>
      <c r="W297" s="649">
        <v>0</v>
      </c>
      <c r="X297" s="649">
        <v>0</v>
      </c>
      <c r="Y297" s="649">
        <v>0</v>
      </c>
      <c r="Z297" s="649">
        <v>0</v>
      </c>
      <c r="AA297" s="649">
        <v>0</v>
      </c>
      <c r="AB297" s="649">
        <v>0</v>
      </c>
      <c r="AC297" s="649">
        <v>0</v>
      </c>
      <c r="AD297" s="649">
        <v>0</v>
      </c>
      <c r="AE297" s="649">
        <v>0</v>
      </c>
      <c r="AF297" s="649">
        <v>0</v>
      </c>
      <c r="AG297" s="1145">
        <f t="shared" ref="AG297:AK297" si="177">AF297</f>
        <v>0</v>
      </c>
      <c r="AH297" s="1145">
        <f t="shared" si="177"/>
        <v>0</v>
      </c>
      <c r="AI297" s="1145">
        <f t="shared" si="177"/>
        <v>0</v>
      </c>
      <c r="AJ297" s="1145">
        <f t="shared" si="177"/>
        <v>0</v>
      </c>
      <c r="AK297" s="1145">
        <f t="shared" si="177"/>
        <v>0</v>
      </c>
    </row>
    <row r="298" spans="2:39" x14ac:dyDescent="0.3">
      <c r="B298" s="644" t="s">
        <v>2820</v>
      </c>
      <c r="C298" s="1446" t="s">
        <v>2798</v>
      </c>
      <c r="D298" s="978">
        <f t="shared" ref="D298:R298" si="178">(D297*$C$143)+((1-$C$143)*D282)</f>
        <v>1.8439754439374629</v>
      </c>
      <c r="E298" s="978">
        <f t="shared" si="178"/>
        <v>1.8439754439374629</v>
      </c>
      <c r="F298" s="978">
        <f t="shared" si="178"/>
        <v>1.8439754439374629</v>
      </c>
      <c r="G298" s="978">
        <f t="shared" si="178"/>
        <v>2.3519020764517657</v>
      </c>
      <c r="H298" s="978">
        <f t="shared" si="178"/>
        <v>2.6058653927089166</v>
      </c>
      <c r="I298" s="978">
        <f t="shared" si="178"/>
        <v>2.6058653927089166</v>
      </c>
      <c r="J298" s="978">
        <f t="shared" si="178"/>
        <v>2.6058653927089166</v>
      </c>
      <c r="K298" s="978">
        <f t="shared" si="178"/>
        <v>2.6058653927089166</v>
      </c>
      <c r="L298" s="978">
        <f t="shared" si="178"/>
        <v>2.6058653927089166</v>
      </c>
      <c r="M298" s="978">
        <f t="shared" si="178"/>
        <v>2.6058653927089166</v>
      </c>
      <c r="N298" s="978">
        <f t="shared" si="178"/>
        <v>2.6058653927089166</v>
      </c>
      <c r="O298" s="978">
        <f t="shared" si="178"/>
        <v>2.6058653927089166</v>
      </c>
      <c r="P298" s="978">
        <f t="shared" si="178"/>
        <v>2.6058653927089166</v>
      </c>
      <c r="Q298" s="978">
        <f t="shared" si="178"/>
        <v>2.6058653927089166</v>
      </c>
      <c r="R298" s="978">
        <f t="shared" si="178"/>
        <v>2.6058653927089166</v>
      </c>
      <c r="S298" s="1443">
        <f t="shared" si="155"/>
        <v>0.41317792559351058</v>
      </c>
      <c r="T298" s="644" t="s">
        <v>2821</v>
      </c>
      <c r="U298" s="644"/>
      <c r="V298" s="851">
        <v>0.2</v>
      </c>
      <c r="W298" s="649">
        <v>0</v>
      </c>
      <c r="X298" s="649">
        <v>0</v>
      </c>
      <c r="Y298" s="649">
        <v>0</v>
      </c>
      <c r="Z298" s="649">
        <v>0</v>
      </c>
      <c r="AA298" s="649">
        <v>0</v>
      </c>
      <c r="AB298" s="649">
        <v>0</v>
      </c>
      <c r="AC298" s="649">
        <v>0</v>
      </c>
      <c r="AD298" s="649">
        <v>0</v>
      </c>
      <c r="AE298" s="649">
        <v>0</v>
      </c>
      <c r="AF298" s="649">
        <v>0</v>
      </c>
      <c r="AG298" s="1145">
        <f t="shared" ref="AG298:AK298" si="179">AF298</f>
        <v>0</v>
      </c>
      <c r="AH298" s="1145">
        <f t="shared" si="179"/>
        <v>0</v>
      </c>
      <c r="AI298" s="1145">
        <f t="shared" si="179"/>
        <v>0</v>
      </c>
      <c r="AJ298" s="1145">
        <f t="shared" si="179"/>
        <v>0</v>
      </c>
      <c r="AK298" s="1145">
        <f t="shared" si="179"/>
        <v>0</v>
      </c>
    </row>
    <row r="299" spans="2:39" x14ac:dyDescent="0.3">
      <c r="B299" s="644" t="s">
        <v>2822</v>
      </c>
      <c r="C299" s="1446" t="s">
        <v>2798</v>
      </c>
      <c r="D299" s="645">
        <f>(D289*$D$145)+((1-$D$145)*D285)</f>
        <v>10.905829395889624</v>
      </c>
      <c r="E299" s="645">
        <f t="shared" ref="E299:L299" si="180">(E289*$D$145)+((1-$D$145)*E285)</f>
        <v>11.184298718402186</v>
      </c>
      <c r="F299" s="645">
        <f t="shared" si="180"/>
        <v>11.471122120590126</v>
      </c>
      <c r="G299" s="645">
        <f t="shared" si="180"/>
        <v>12.432739297612741</v>
      </c>
      <c r="H299" s="645">
        <f t="shared" si="180"/>
        <v>13.105608105009326</v>
      </c>
      <c r="I299" s="645">
        <f t="shared" si="180"/>
        <v>13.419027780811946</v>
      </c>
      <c r="J299" s="645">
        <f t="shared" si="180"/>
        <v>13.741850046888645</v>
      </c>
      <c r="K299" s="645">
        <f t="shared" si="180"/>
        <v>14.074356980947645</v>
      </c>
      <c r="L299" s="645">
        <f t="shared" si="180"/>
        <v>14.416839123028417</v>
      </c>
      <c r="M299" s="645">
        <f>(M289*$D$145)+((1-$D$145)*M285)</f>
        <v>14.769595729371611</v>
      </c>
      <c r="N299" s="645">
        <f t="shared" ref="N299:R299" si="181">(N289*$D$145)+((1-$D$145)*N285)</f>
        <v>15.132935033905101</v>
      </c>
      <c r="O299" s="645">
        <f t="shared" si="181"/>
        <v>15.507174517574592</v>
      </c>
      <c r="P299" s="645">
        <f t="shared" si="181"/>
        <v>15.892641185754171</v>
      </c>
      <c r="Q299" s="645">
        <f t="shared" si="181"/>
        <v>16.289671853979137</v>
      </c>
      <c r="R299" s="645">
        <f t="shared" si="181"/>
        <v>16.698613442250853</v>
      </c>
      <c r="S299" s="1443">
        <f t="shared" si="155"/>
        <v>0.20170668632949568</v>
      </c>
      <c r="T299" s="644" t="s">
        <v>2814</v>
      </c>
      <c r="U299" s="644" t="s">
        <v>2823</v>
      </c>
      <c r="V299" s="644"/>
      <c r="W299" s="649">
        <v>422</v>
      </c>
      <c r="X299" s="649">
        <v>422</v>
      </c>
      <c r="Y299" s="649">
        <v>422</v>
      </c>
      <c r="Z299" s="649">
        <v>513.33333333333337</v>
      </c>
      <c r="AA299" s="649">
        <v>559</v>
      </c>
      <c r="AB299" s="649">
        <v>559</v>
      </c>
      <c r="AC299" s="649">
        <v>559</v>
      </c>
      <c r="AD299" s="649">
        <v>559</v>
      </c>
      <c r="AE299" s="649">
        <v>559</v>
      </c>
      <c r="AF299" s="649">
        <v>559</v>
      </c>
      <c r="AG299" s="1145">
        <f t="shared" ref="AG299:AK299" si="182">AF299</f>
        <v>559</v>
      </c>
      <c r="AH299" s="1145">
        <f t="shared" si="182"/>
        <v>559</v>
      </c>
      <c r="AI299" s="1145">
        <f t="shared" si="182"/>
        <v>559</v>
      </c>
      <c r="AJ299" s="1145">
        <f t="shared" si="182"/>
        <v>559</v>
      </c>
      <c r="AK299" s="1145">
        <f t="shared" si="182"/>
        <v>559</v>
      </c>
      <c r="AM299" s="554" t="s">
        <v>2803</v>
      </c>
    </row>
    <row r="300" spans="2:39" x14ac:dyDescent="0.3">
      <c r="B300" s="644" t="s">
        <v>2824</v>
      </c>
      <c r="C300" s="1446" t="s">
        <v>2798</v>
      </c>
      <c r="D300" s="645">
        <f>(D288*$C$146)+(D290*$D$146)+D286*SUM($E$146:$G$146)</f>
        <v>5.3304346279655723</v>
      </c>
      <c r="E300" s="645">
        <f t="shared" ref="E300:M300" si="183">(E288*$C$146)+(E290*$D$146)+E286*SUM($E$146:$G$146)</f>
        <v>5.4576672665692767</v>
      </c>
      <c r="F300" s="645">
        <f t="shared" si="183"/>
        <v>5.5887168843310908</v>
      </c>
      <c r="G300" s="645">
        <f t="shared" si="183"/>
        <v>8.0370662081414537</v>
      </c>
      <c r="H300" s="645">
        <f t="shared" si="183"/>
        <v>9.3327808563828079</v>
      </c>
      <c r="I300" s="645">
        <f t="shared" si="183"/>
        <v>9.4759823120508226</v>
      </c>
      <c r="J300" s="645">
        <f t="shared" si="183"/>
        <v>9.6234798113888775</v>
      </c>
      <c r="K300" s="645">
        <f t="shared" si="183"/>
        <v>9.7754022357070731</v>
      </c>
      <c r="L300" s="645">
        <f t="shared" si="183"/>
        <v>9.9318823327548174</v>
      </c>
      <c r="M300" s="645">
        <f t="shared" si="183"/>
        <v>10.093056832713991</v>
      </c>
      <c r="N300" s="645">
        <f t="shared" ref="N300:R300" si="184">(N288*$C$146)+(N290*$D$146)+N286*SUM($E$146:$G$146)</f>
        <v>10.259066567671942</v>
      </c>
      <c r="O300" s="645">
        <f t="shared" si="184"/>
        <v>10.43005659467863</v>
      </c>
      <c r="P300" s="645">
        <f t="shared" si="184"/>
        <v>10.60617632249552</v>
      </c>
      <c r="Q300" s="645">
        <f t="shared" si="184"/>
        <v>10.787579642146916</v>
      </c>
      <c r="R300" s="645">
        <f t="shared" si="184"/>
        <v>10.974425061387855</v>
      </c>
      <c r="S300" s="1443">
        <f t="shared" si="155"/>
        <v>0.75084800916971028</v>
      </c>
      <c r="T300" s="644" t="s">
        <v>2815</v>
      </c>
      <c r="U300" s="644" t="s">
        <v>2805</v>
      </c>
      <c r="V300" s="644"/>
      <c r="W300" s="649">
        <v>372</v>
      </c>
      <c r="X300" s="649">
        <v>372</v>
      </c>
      <c r="Y300" s="649">
        <v>372</v>
      </c>
      <c r="Z300" s="649">
        <v>452.66666666666669</v>
      </c>
      <c r="AA300" s="649">
        <v>493</v>
      </c>
      <c r="AB300" s="649">
        <v>493</v>
      </c>
      <c r="AC300" s="649">
        <v>493</v>
      </c>
      <c r="AD300" s="649">
        <v>493</v>
      </c>
      <c r="AE300" s="649">
        <v>493</v>
      </c>
      <c r="AF300" s="649">
        <v>493</v>
      </c>
      <c r="AG300" s="1145">
        <f t="shared" ref="AG300:AK300" si="185">AF300</f>
        <v>493</v>
      </c>
      <c r="AH300" s="1145">
        <f t="shared" si="185"/>
        <v>493</v>
      </c>
      <c r="AI300" s="1145">
        <f t="shared" si="185"/>
        <v>493</v>
      </c>
      <c r="AJ300" s="1145">
        <f t="shared" si="185"/>
        <v>493</v>
      </c>
      <c r="AK300" s="1145">
        <f t="shared" si="185"/>
        <v>493</v>
      </c>
      <c r="AM300" s="554" t="s">
        <v>2803</v>
      </c>
    </row>
    <row r="301" spans="2:39" x14ac:dyDescent="0.3">
      <c r="B301" s="644" t="s">
        <v>2821</v>
      </c>
      <c r="C301" s="1446" t="s">
        <v>2798</v>
      </c>
      <c r="D301" s="869">
        <f>D420*0.2</f>
        <v>2.39</v>
      </c>
      <c r="E301" s="869">
        <f t="shared" ref="E301:R301" si="186">E420*0.2</f>
        <v>2.4617000000000004</v>
      </c>
      <c r="F301" s="869">
        <f t="shared" si="186"/>
        <v>2.5355510000000003</v>
      </c>
      <c r="G301" s="869">
        <f t="shared" si="186"/>
        <v>2.6116175300000002</v>
      </c>
      <c r="H301" s="869">
        <f t="shared" si="186"/>
        <v>2.6899660559000003</v>
      </c>
      <c r="I301" s="869">
        <f t="shared" si="186"/>
        <v>2.7706650375770003</v>
      </c>
      <c r="J301" s="869">
        <f t="shared" si="186"/>
        <v>2.8537849887043105</v>
      </c>
      <c r="K301" s="869">
        <f t="shared" si="186"/>
        <v>2.93939853836544</v>
      </c>
      <c r="L301" s="869">
        <f t="shared" si="186"/>
        <v>3.0275804945164033</v>
      </c>
      <c r="M301" s="869">
        <f t="shared" si="186"/>
        <v>3.1184079093518959</v>
      </c>
      <c r="N301" s="869">
        <f t="shared" si="186"/>
        <v>3.2119601466324528</v>
      </c>
      <c r="O301" s="869">
        <f t="shared" si="186"/>
        <v>3.3083189510314264</v>
      </c>
      <c r="P301" s="869">
        <f t="shared" si="186"/>
        <v>3.4075685195623695</v>
      </c>
      <c r="Q301" s="869">
        <f t="shared" si="186"/>
        <v>3.5097955751492402</v>
      </c>
      <c r="R301" s="869">
        <f t="shared" si="186"/>
        <v>3.6150894424037179</v>
      </c>
      <c r="S301" s="1443">
        <f t="shared" si="155"/>
        <v>0.12550881000000005</v>
      </c>
      <c r="T301" s="1432" t="s">
        <v>390</v>
      </c>
      <c r="U301" s="1432" t="s">
        <v>2825</v>
      </c>
      <c r="W301" s="1433">
        <v>0.93</v>
      </c>
      <c r="X301" s="1433">
        <v>0.93</v>
      </c>
      <c r="Y301" s="1433">
        <v>0.93</v>
      </c>
      <c r="Z301" s="1433">
        <v>0.93</v>
      </c>
      <c r="AA301" s="1433">
        <v>0.93</v>
      </c>
      <c r="AB301" s="1433">
        <v>0.93</v>
      </c>
      <c r="AC301" s="1433">
        <v>0.93</v>
      </c>
      <c r="AD301" s="1433">
        <v>0.93</v>
      </c>
      <c r="AE301" s="1433">
        <v>0.93</v>
      </c>
      <c r="AF301" s="1433">
        <v>0.93</v>
      </c>
      <c r="AG301" s="1145">
        <f t="shared" ref="AG301" si="187">AF301</f>
        <v>0.93</v>
      </c>
      <c r="AH301" s="1145">
        <f t="shared" ref="AH301" si="188">AG301</f>
        <v>0.93</v>
      </c>
      <c r="AI301" s="1145">
        <f t="shared" ref="AI301" si="189">AH301</f>
        <v>0.93</v>
      </c>
      <c r="AJ301" s="1145">
        <f t="shared" ref="AJ301" si="190">AI301</f>
        <v>0.93</v>
      </c>
      <c r="AK301" s="1145">
        <f t="shared" ref="AK301" si="191">AJ301</f>
        <v>0.93</v>
      </c>
      <c r="AM301" s="554" t="s">
        <v>2803</v>
      </c>
    </row>
    <row r="302" spans="2:39" x14ac:dyDescent="0.3">
      <c r="B302" s="644" t="s">
        <v>2819</v>
      </c>
      <c r="C302" s="1446" t="s">
        <v>2798</v>
      </c>
      <c r="D302" s="869">
        <f>D421*0.2</f>
        <v>7.5519999999999996</v>
      </c>
      <c r="E302" s="869">
        <f t="shared" ref="E302:R302" si="192">E421*0.2</f>
        <v>7.7785600000000006</v>
      </c>
      <c r="F302" s="869">
        <f t="shared" si="192"/>
        <v>8.0119167999999998</v>
      </c>
      <c r="G302" s="869">
        <f t="shared" si="192"/>
        <v>8.2522743040000019</v>
      </c>
      <c r="H302" s="869">
        <f t="shared" si="192"/>
        <v>8.4998425331200007</v>
      </c>
      <c r="I302" s="869">
        <f t="shared" si="192"/>
        <v>8.7548378091136012</v>
      </c>
      <c r="J302" s="869">
        <f t="shared" si="192"/>
        <v>9.0174829433870105</v>
      </c>
      <c r="K302" s="869">
        <f t="shared" si="192"/>
        <v>9.2880074316886212</v>
      </c>
      <c r="L302" s="869">
        <f t="shared" si="192"/>
        <v>9.5666476546392811</v>
      </c>
      <c r="M302" s="869">
        <f t="shared" si="192"/>
        <v>9.8536470842784585</v>
      </c>
      <c r="N302" s="869">
        <f t="shared" si="192"/>
        <v>10.149256496806814</v>
      </c>
      <c r="O302" s="869">
        <f t="shared" si="192"/>
        <v>10.453734191711018</v>
      </c>
      <c r="P302" s="869">
        <f t="shared" si="192"/>
        <v>10.767346217462348</v>
      </c>
      <c r="Q302" s="869">
        <f t="shared" si="192"/>
        <v>11.090366603986219</v>
      </c>
      <c r="R302" s="869">
        <f t="shared" si="192"/>
        <v>11.423077602105806</v>
      </c>
      <c r="S302" s="1443">
        <f t="shared" si="155"/>
        <v>0.12550881000000016</v>
      </c>
      <c r="T302"/>
      <c r="U302"/>
      <c r="V302"/>
      <c r="W302"/>
      <c r="X302"/>
      <c r="Y302"/>
      <c r="Z302"/>
      <c r="AA302"/>
      <c r="AB302"/>
      <c r="AC302"/>
      <c r="AD302"/>
      <c r="AE302"/>
      <c r="AF302"/>
      <c r="AG302"/>
      <c r="AH302"/>
      <c r="AI302"/>
      <c r="AJ302"/>
      <c r="AK302"/>
    </row>
    <row r="303" spans="2:39" x14ac:dyDescent="0.3">
      <c r="B303" s="644" t="s">
        <v>2790</v>
      </c>
      <c r="C303" s="1446" t="s">
        <v>2798</v>
      </c>
      <c r="D303" s="869">
        <f>W294/Admin!$V$30</f>
        <v>9.3264174093323913</v>
      </c>
      <c r="E303" s="869">
        <f>X294/Admin!$V$30</f>
        <v>9.3264174093323913</v>
      </c>
      <c r="F303" s="869">
        <f>Y294/Admin!$V$30</f>
        <v>9.3264174093323913</v>
      </c>
      <c r="G303" s="869">
        <f>Z294/Admin!$V$30</f>
        <v>11.378229239385519</v>
      </c>
      <c r="H303" s="869">
        <f>AA294/Admin!$V$30</f>
        <v>12.404135154412081</v>
      </c>
      <c r="I303" s="869">
        <f>AB294/Admin!$V$30</f>
        <v>12.404135154412081</v>
      </c>
      <c r="J303" s="869">
        <f>AC294/Admin!$V$30</f>
        <v>12.404135154412081</v>
      </c>
      <c r="K303" s="869">
        <f>AD294/Admin!$V$30</f>
        <v>12.404135154412081</v>
      </c>
      <c r="L303" s="869">
        <f>AE294/Admin!$V$30</f>
        <v>12.404135154412081</v>
      </c>
      <c r="M303" s="869">
        <f>AF294/Admin!$V$30</f>
        <v>12.404135154412081</v>
      </c>
      <c r="N303" s="869">
        <f>AG294/Admin!$V$30</f>
        <v>12.404135154412081</v>
      </c>
      <c r="O303" s="869">
        <f>AH294/Admin!$V$30</f>
        <v>12.404135154412081</v>
      </c>
      <c r="P303" s="869">
        <f>AI294/Admin!$V$30</f>
        <v>12.404135154412081</v>
      </c>
      <c r="Q303" s="869">
        <f>AJ294/Admin!$V$30</f>
        <v>12.404135154412081</v>
      </c>
      <c r="R303" s="869">
        <f>AK294/Admin!$V$30</f>
        <v>12.404135154412081</v>
      </c>
      <c r="S303" s="1443">
        <f t="shared" si="155"/>
        <v>0.33000000000000013</v>
      </c>
      <c r="T303"/>
      <c r="U303"/>
      <c r="V303"/>
      <c r="W303"/>
      <c r="X303"/>
      <c r="Y303"/>
      <c r="Z303"/>
      <c r="AA303"/>
      <c r="AB303"/>
      <c r="AC303"/>
      <c r="AD303"/>
      <c r="AE303"/>
      <c r="AF303"/>
      <c r="AG303"/>
      <c r="AH303"/>
      <c r="AI303"/>
      <c r="AJ303"/>
      <c r="AK303"/>
    </row>
    <row r="305" spans="2:18" x14ac:dyDescent="0.3">
      <c r="B305" s="554" t="s">
        <v>2826</v>
      </c>
    </row>
    <row r="306" spans="2:18" x14ac:dyDescent="0.3">
      <c r="B306" s="556" t="s">
        <v>2827</v>
      </c>
      <c r="C306" s="556" t="s">
        <v>59</v>
      </c>
      <c r="D306" s="556">
        <v>2021</v>
      </c>
      <c r="E306" s="556">
        <v>2022</v>
      </c>
      <c r="F306" s="556">
        <v>2023</v>
      </c>
      <c r="G306" s="556">
        <v>2024</v>
      </c>
      <c r="H306" s="556">
        <v>2025</v>
      </c>
      <c r="I306" s="556">
        <v>2026</v>
      </c>
      <c r="J306" s="556">
        <v>2027</v>
      </c>
      <c r="K306" s="556">
        <v>2028</v>
      </c>
      <c r="L306" s="556">
        <v>2029</v>
      </c>
      <c r="M306" s="556">
        <v>2030</v>
      </c>
      <c r="N306" s="556">
        <v>2031</v>
      </c>
      <c r="O306" s="556">
        <v>2032</v>
      </c>
      <c r="P306" s="556">
        <v>2033</v>
      </c>
      <c r="Q306" s="556">
        <v>2034</v>
      </c>
      <c r="R306" s="556">
        <v>2035</v>
      </c>
    </row>
    <row r="307" spans="2:18" x14ac:dyDescent="0.3">
      <c r="B307" s="644" t="s">
        <v>388</v>
      </c>
      <c r="E307" s="1014">
        <f>_xlfn.XLOOKUP($B307,$B$281:$B$303,E$281:E$303)-_xlfn.XLOOKUP($B307,$B$281:$B$303,$D$281:$D$303)</f>
        <v>0</v>
      </c>
      <c r="F307" s="1014">
        <f t="shared" ref="F307:R322" si="193">_xlfn.XLOOKUP($B307,$B$281:$B$303,F$281:F$303)-_xlfn.XLOOKUP($B307,$B$281:$B$303,$D$281:$D$303)</f>
        <v>0</v>
      </c>
      <c r="G307" s="1014">
        <f t="shared" si="193"/>
        <v>5.6477032268082468</v>
      </c>
      <c r="H307" s="1014">
        <f t="shared" si="193"/>
        <v>8.4715548402123702</v>
      </c>
      <c r="I307" s="1014">
        <f t="shared" si="193"/>
        <v>8.4715548402123702</v>
      </c>
      <c r="J307" s="1014">
        <f t="shared" si="193"/>
        <v>8.4715548402123702</v>
      </c>
      <c r="K307" s="1014">
        <f t="shared" si="193"/>
        <v>8.4715548402123702</v>
      </c>
      <c r="L307" s="1014">
        <f t="shared" si="193"/>
        <v>8.4715548402123702</v>
      </c>
      <c r="M307" s="1014">
        <f t="shared" si="193"/>
        <v>8.4715548402123702</v>
      </c>
      <c r="N307" s="1014">
        <f t="shared" si="193"/>
        <v>8.4715548402123702</v>
      </c>
      <c r="O307" s="1014">
        <f t="shared" si="193"/>
        <v>8.4715548402123702</v>
      </c>
      <c r="P307" s="1014">
        <f t="shared" si="193"/>
        <v>8.4715548402123702</v>
      </c>
      <c r="Q307" s="1014">
        <f t="shared" si="193"/>
        <v>8.4715548402123702</v>
      </c>
      <c r="R307" s="1014">
        <f t="shared" si="193"/>
        <v>8.4715548402123702</v>
      </c>
    </row>
    <row r="308" spans="2:18" x14ac:dyDescent="0.3">
      <c r="B308" s="644" t="s">
        <v>389</v>
      </c>
      <c r="E308" s="1014">
        <f t="shared" ref="E308:R325" si="194">_xlfn.XLOOKUP($B308,$B$281:$B$303,E$281:E$303)-_xlfn.XLOOKUP($B308,$B$281:$B$303,$D$281:$D$303)</f>
        <v>0</v>
      </c>
      <c r="F308" s="1014">
        <f t="shared" si="193"/>
        <v>0</v>
      </c>
      <c r="G308" s="1014">
        <f t="shared" si="193"/>
        <v>2.9679620853080575</v>
      </c>
      <c r="H308" s="1014">
        <f t="shared" si="193"/>
        <v>4.4519431279620862</v>
      </c>
      <c r="I308" s="1014">
        <f t="shared" si="193"/>
        <v>4.4519431279620862</v>
      </c>
      <c r="J308" s="1014">
        <f t="shared" si="193"/>
        <v>4.4519431279620862</v>
      </c>
      <c r="K308" s="1014">
        <f t="shared" si="193"/>
        <v>4.4519431279620862</v>
      </c>
      <c r="L308" s="1014">
        <f t="shared" si="193"/>
        <v>4.4519431279620862</v>
      </c>
      <c r="M308" s="1014">
        <f t="shared" si="193"/>
        <v>4.4519431279620862</v>
      </c>
      <c r="N308" s="1014">
        <f t="shared" si="193"/>
        <v>4.4519431279620862</v>
      </c>
      <c r="O308" s="1014">
        <f t="shared" si="193"/>
        <v>4.4519431279620862</v>
      </c>
      <c r="P308" s="1014">
        <f t="shared" si="193"/>
        <v>4.4519431279620862</v>
      </c>
      <c r="Q308" s="1014">
        <f t="shared" si="193"/>
        <v>4.4519431279620862</v>
      </c>
      <c r="R308" s="1014">
        <f t="shared" si="193"/>
        <v>4.4519431279620862</v>
      </c>
    </row>
    <row r="309" spans="2:18" x14ac:dyDescent="0.3">
      <c r="B309" s="644" t="s">
        <v>2806</v>
      </c>
      <c r="E309" s="1014">
        <f t="shared" si="194"/>
        <v>0.26117232227488429</v>
      </c>
      <c r="F309" s="1014">
        <f t="shared" si="193"/>
        <v>0.53017981421801252</v>
      </c>
      <c r="G309" s="1014">
        <f t="shared" si="193"/>
        <v>3.775219616227492</v>
      </c>
      <c r="H309" s="1014">
        <f t="shared" si="193"/>
        <v>5.5445907070839837</v>
      </c>
      <c r="I309" s="1014">
        <f t="shared" si="193"/>
        <v>5.8385424567325259</v>
      </c>
      <c r="J309" s="1014">
        <f t="shared" si="193"/>
        <v>6.1413127588705194</v>
      </c>
      <c r="K309" s="1014">
        <f t="shared" si="193"/>
        <v>6.4531661700726559</v>
      </c>
      <c r="L309" s="1014">
        <f t="shared" si="193"/>
        <v>6.7743751836108501</v>
      </c>
      <c r="M309" s="1014">
        <f t="shared" si="193"/>
        <v>7.1052204675551991</v>
      </c>
      <c r="N309" s="1014">
        <f t="shared" si="193"/>
        <v>7.4459911100178715</v>
      </c>
      <c r="O309" s="1014">
        <f t="shared" si="193"/>
        <v>7.7969848717544252</v>
      </c>
      <c r="P309" s="1014">
        <f t="shared" si="193"/>
        <v>8.1585084463430775</v>
      </c>
      <c r="Q309" s="1014">
        <f t="shared" si="193"/>
        <v>8.5308777281693935</v>
      </c>
      <c r="R309" s="1014">
        <f t="shared" si="193"/>
        <v>8.9144180884504891</v>
      </c>
    </row>
    <row r="310" spans="2:18" x14ac:dyDescent="0.3">
      <c r="B310" s="644" t="s">
        <v>390</v>
      </c>
      <c r="E310" s="1014">
        <f t="shared" si="194"/>
        <v>0</v>
      </c>
      <c r="F310" s="1014">
        <f t="shared" si="193"/>
        <v>0</v>
      </c>
      <c r="G310" s="1014">
        <f t="shared" si="193"/>
        <v>0</v>
      </c>
      <c r="H310" s="1014">
        <f t="shared" si="193"/>
        <v>0</v>
      </c>
      <c r="I310" s="1014">
        <f t="shared" si="193"/>
        <v>0</v>
      </c>
      <c r="J310" s="1014">
        <f t="shared" si="193"/>
        <v>0</v>
      </c>
      <c r="K310" s="1014">
        <f t="shared" si="193"/>
        <v>0</v>
      </c>
      <c r="L310" s="1014">
        <f t="shared" si="193"/>
        <v>0</v>
      </c>
      <c r="M310" s="1014">
        <f t="shared" si="193"/>
        <v>0</v>
      </c>
      <c r="N310" s="1014">
        <f t="shared" si="193"/>
        <v>0</v>
      </c>
      <c r="O310" s="1014">
        <f t="shared" si="193"/>
        <v>0</v>
      </c>
      <c r="P310" s="1014">
        <f t="shared" si="193"/>
        <v>0</v>
      </c>
      <c r="Q310" s="1014">
        <f t="shared" si="193"/>
        <v>0</v>
      </c>
      <c r="R310" s="1014">
        <f t="shared" si="193"/>
        <v>0</v>
      </c>
    </row>
    <row r="311" spans="2:18" x14ac:dyDescent="0.3">
      <c r="B311" s="644" t="s">
        <v>391</v>
      </c>
      <c r="E311" s="1014">
        <f t="shared" si="194"/>
        <v>0</v>
      </c>
      <c r="F311" s="1014">
        <f t="shared" si="193"/>
        <v>0</v>
      </c>
      <c r="G311" s="1014">
        <f t="shared" si="193"/>
        <v>0</v>
      </c>
      <c r="H311" s="1014">
        <f t="shared" si="193"/>
        <v>0</v>
      </c>
      <c r="I311" s="1014">
        <f t="shared" si="193"/>
        <v>0</v>
      </c>
      <c r="J311" s="1014">
        <f t="shared" si="193"/>
        <v>0</v>
      </c>
      <c r="K311" s="1014">
        <f t="shared" si="193"/>
        <v>0</v>
      </c>
      <c r="L311" s="1014">
        <f t="shared" si="193"/>
        <v>0</v>
      </c>
      <c r="M311" s="1014">
        <f t="shared" si="193"/>
        <v>0</v>
      </c>
      <c r="N311" s="1014">
        <f t="shared" si="193"/>
        <v>0</v>
      </c>
      <c r="O311" s="1014">
        <f t="shared" si="193"/>
        <v>0</v>
      </c>
      <c r="P311" s="1014">
        <f t="shared" si="193"/>
        <v>0</v>
      </c>
      <c r="Q311" s="1014">
        <f t="shared" si="193"/>
        <v>0</v>
      </c>
      <c r="R311" s="1014">
        <f t="shared" si="193"/>
        <v>0</v>
      </c>
    </row>
    <row r="312" spans="2:18" x14ac:dyDescent="0.3">
      <c r="B312" s="644" t="s">
        <v>392</v>
      </c>
      <c r="E312" s="1014">
        <f t="shared" si="194"/>
        <v>0</v>
      </c>
      <c r="F312" s="1014">
        <f t="shared" si="193"/>
        <v>0</v>
      </c>
      <c r="G312" s="1014">
        <f t="shared" si="193"/>
        <v>0.66618907276903894</v>
      </c>
      <c r="H312" s="1014">
        <f t="shared" si="193"/>
        <v>1.0347669327844371</v>
      </c>
      <c r="I312" s="1014">
        <f t="shared" si="193"/>
        <v>1.0347669327844371</v>
      </c>
      <c r="J312" s="1014">
        <f t="shared" si="193"/>
        <v>1.0347669327844371</v>
      </c>
      <c r="K312" s="1014">
        <f t="shared" si="193"/>
        <v>1.0347669327844371</v>
      </c>
      <c r="L312" s="1014">
        <f t="shared" si="193"/>
        <v>1.0347669327844371</v>
      </c>
      <c r="M312" s="1014">
        <f t="shared" si="193"/>
        <v>1.0347669327844371</v>
      </c>
      <c r="N312" s="1014">
        <f t="shared" si="193"/>
        <v>1.0347669327844371</v>
      </c>
      <c r="O312" s="1014">
        <f t="shared" si="193"/>
        <v>1.0347669327844371</v>
      </c>
      <c r="P312" s="1014">
        <f t="shared" si="193"/>
        <v>1.0347669327844371</v>
      </c>
      <c r="Q312" s="1014">
        <f t="shared" si="193"/>
        <v>1.0347669327844371</v>
      </c>
      <c r="R312" s="1014">
        <f t="shared" si="193"/>
        <v>1.0347669327844371</v>
      </c>
    </row>
    <row r="313" spans="2:18" x14ac:dyDescent="0.3">
      <c r="B313" s="644" t="s">
        <v>393</v>
      </c>
      <c r="E313" s="1014">
        <f t="shared" si="194"/>
        <v>0</v>
      </c>
      <c r="F313" s="1014">
        <f t="shared" si="193"/>
        <v>0</v>
      </c>
      <c r="G313" s="1014">
        <f t="shared" si="193"/>
        <v>2.3133333333333335</v>
      </c>
      <c r="H313" s="1014">
        <f t="shared" si="193"/>
        <v>3.4699999999999998</v>
      </c>
      <c r="I313" s="1014">
        <f t="shared" si="193"/>
        <v>3.4699999999999998</v>
      </c>
      <c r="J313" s="1014">
        <f t="shared" si="193"/>
        <v>3.4699999999999998</v>
      </c>
      <c r="K313" s="1014">
        <f t="shared" si="193"/>
        <v>3.4699999999999998</v>
      </c>
      <c r="L313" s="1014">
        <f t="shared" si="193"/>
        <v>3.4699999999999998</v>
      </c>
      <c r="M313" s="1014">
        <f t="shared" si="193"/>
        <v>3.4699999999999998</v>
      </c>
      <c r="N313" s="1014">
        <f t="shared" si="193"/>
        <v>3.4699999999999998</v>
      </c>
      <c r="O313" s="1014">
        <f t="shared" si="193"/>
        <v>3.4699999999999998</v>
      </c>
      <c r="P313" s="1014">
        <f t="shared" si="193"/>
        <v>3.4699999999999998</v>
      </c>
      <c r="Q313" s="1014">
        <f t="shared" si="193"/>
        <v>3.4699999999999998</v>
      </c>
      <c r="R313" s="1014">
        <f t="shared" si="193"/>
        <v>3.4699999999999998</v>
      </c>
    </row>
    <row r="314" spans="2:18" x14ac:dyDescent="0.3">
      <c r="B314" s="644" t="s">
        <v>2807</v>
      </c>
      <c r="E314" s="1014">
        <f t="shared" si="194"/>
        <v>0</v>
      </c>
      <c r="F314" s="1014">
        <f t="shared" si="193"/>
        <v>0</v>
      </c>
      <c r="G314" s="1014">
        <f t="shared" si="193"/>
        <v>2.3133333333333335</v>
      </c>
      <c r="H314" s="1014">
        <f t="shared" si="193"/>
        <v>3.47</v>
      </c>
      <c r="I314" s="1014">
        <f t="shared" si="193"/>
        <v>3.47</v>
      </c>
      <c r="J314" s="1014">
        <f t="shared" si="193"/>
        <v>3.47</v>
      </c>
      <c r="K314" s="1014">
        <f t="shared" si="193"/>
        <v>3.47</v>
      </c>
      <c r="L314" s="1014">
        <f t="shared" si="193"/>
        <v>3.47</v>
      </c>
      <c r="M314" s="1014">
        <f t="shared" si="193"/>
        <v>3.47</v>
      </c>
      <c r="N314" s="1014">
        <f t="shared" si="193"/>
        <v>3.47</v>
      </c>
      <c r="O314" s="1014">
        <f t="shared" si="193"/>
        <v>3.47</v>
      </c>
      <c r="P314" s="1014">
        <f t="shared" si="193"/>
        <v>3.47</v>
      </c>
      <c r="Q314" s="1014">
        <f t="shared" si="193"/>
        <v>3.47</v>
      </c>
      <c r="R314" s="1014">
        <f t="shared" si="193"/>
        <v>3.47</v>
      </c>
    </row>
    <row r="315" spans="2:18" x14ac:dyDescent="0.3">
      <c r="B315" s="644" t="s">
        <v>2808</v>
      </c>
      <c r="E315" s="1014">
        <f t="shared" si="194"/>
        <v>0.37800000000000011</v>
      </c>
      <c r="F315" s="1014">
        <f t="shared" si="193"/>
        <v>0.7673400000000008</v>
      </c>
      <c r="G315" s="1014">
        <f t="shared" si="193"/>
        <v>1.8345492727690385</v>
      </c>
      <c r="H315" s="1014">
        <f t="shared" si="193"/>
        <v>2.616177938784439</v>
      </c>
      <c r="I315" s="1014">
        <f t="shared" si="193"/>
        <v>3.04162026896444</v>
      </c>
      <c r="J315" s="1014">
        <f t="shared" si="193"/>
        <v>3.47982586904984</v>
      </c>
      <c r="K315" s="1014">
        <f t="shared" si="193"/>
        <v>3.9311776371378002</v>
      </c>
      <c r="L315" s="1014">
        <f t="shared" si="193"/>
        <v>4.3960699582684057</v>
      </c>
      <c r="M315" s="1014">
        <f t="shared" si="193"/>
        <v>4.8749090490329259</v>
      </c>
      <c r="N315" s="1014">
        <f t="shared" si="193"/>
        <v>5.3681133125203822</v>
      </c>
      <c r="O315" s="1014">
        <f t="shared" si="193"/>
        <v>5.8761137039124591</v>
      </c>
      <c r="P315" s="1014">
        <f t="shared" si="193"/>
        <v>6.3993541070462996</v>
      </c>
      <c r="Q315" s="1014">
        <f t="shared" si="193"/>
        <v>6.9382917222741582</v>
      </c>
      <c r="R315" s="1014">
        <f t="shared" si="193"/>
        <v>7.49339746595885</v>
      </c>
    </row>
    <row r="316" spans="2:18" x14ac:dyDescent="0.3">
      <c r="B316" s="644" t="s">
        <v>2809</v>
      </c>
      <c r="E316" s="1014">
        <f t="shared" si="194"/>
        <v>0.49080000000000368</v>
      </c>
      <c r="F316" s="1014">
        <f t="shared" si="193"/>
        <v>0.99632400000000132</v>
      </c>
      <c r="G316" s="1014">
        <f t="shared" si="193"/>
        <v>3.8303470533333375</v>
      </c>
      <c r="H316" s="1014">
        <f t="shared" si="193"/>
        <v>5.5233241316000026</v>
      </c>
      <c r="I316" s="1014">
        <f t="shared" si="193"/>
        <v>6.0757238555480022</v>
      </c>
      <c r="J316" s="1014">
        <f t="shared" si="193"/>
        <v>6.6446955712144451</v>
      </c>
      <c r="K316" s="1014">
        <f t="shared" si="193"/>
        <v>7.2307364383508776</v>
      </c>
      <c r="L316" s="1014">
        <f t="shared" si="193"/>
        <v>7.8343585315014046</v>
      </c>
      <c r="M316" s="1014">
        <f t="shared" si="193"/>
        <v>8.4560892874464457</v>
      </c>
      <c r="N316" s="1014">
        <f t="shared" si="193"/>
        <v>9.0964719660698421</v>
      </c>
      <c r="O316" s="1014">
        <f t="shared" si="193"/>
        <v>9.7560661250519374</v>
      </c>
      <c r="P316" s="1014">
        <f t="shared" si="193"/>
        <v>10.435448108803499</v>
      </c>
      <c r="Q316" s="1014">
        <f t="shared" si="193"/>
        <v>11.135211552067602</v>
      </c>
      <c r="R316" s="1014">
        <f t="shared" si="193"/>
        <v>11.855967898629633</v>
      </c>
    </row>
    <row r="317" spans="2:18" x14ac:dyDescent="0.3">
      <c r="B317" s="644" t="s">
        <v>2746</v>
      </c>
      <c r="E317" s="1014">
        <f t="shared" si="194"/>
        <v>0</v>
      </c>
      <c r="F317" s="1014">
        <f t="shared" si="193"/>
        <v>0</v>
      </c>
      <c r="G317" s="1014">
        <f t="shared" si="193"/>
        <v>0</v>
      </c>
      <c r="H317" s="1014">
        <f t="shared" si="193"/>
        <v>0</v>
      </c>
      <c r="I317" s="1014">
        <f t="shared" si="193"/>
        <v>0</v>
      </c>
      <c r="J317" s="1014">
        <f t="shared" si="193"/>
        <v>0</v>
      </c>
      <c r="K317" s="1014">
        <f t="shared" si="193"/>
        <v>0</v>
      </c>
      <c r="L317" s="1014">
        <f t="shared" si="193"/>
        <v>0</v>
      </c>
      <c r="M317" s="1014">
        <f t="shared" si="193"/>
        <v>0</v>
      </c>
      <c r="N317" s="1014">
        <f t="shared" si="193"/>
        <v>0</v>
      </c>
      <c r="O317" s="1014">
        <f t="shared" si="193"/>
        <v>0</v>
      </c>
      <c r="P317" s="1014">
        <f t="shared" si="193"/>
        <v>0</v>
      </c>
      <c r="Q317" s="1014">
        <f t="shared" si="193"/>
        <v>0</v>
      </c>
      <c r="R317" s="1014">
        <f t="shared" si="193"/>
        <v>0</v>
      </c>
    </row>
    <row r="318" spans="2:18" x14ac:dyDescent="0.3">
      <c r="B318" s="644" t="s">
        <v>2813</v>
      </c>
      <c r="E318" s="1014">
        <f t="shared" si="194"/>
        <v>0.34610498627390029</v>
      </c>
      <c r="F318" s="1014">
        <f t="shared" si="193"/>
        <v>0.70259312213602243</v>
      </c>
      <c r="G318" s="1014">
        <f t="shared" si="193"/>
        <v>1.0697759020740136</v>
      </c>
      <c r="H318" s="1014">
        <f t="shared" si="193"/>
        <v>1.4479741654101446</v>
      </c>
      <c r="I318" s="1014">
        <f t="shared" si="193"/>
        <v>1.8375183766463579</v>
      </c>
      <c r="J318" s="1014">
        <f t="shared" si="193"/>
        <v>2.2387489142196557</v>
      </c>
      <c r="K318" s="1014">
        <f t="shared" si="193"/>
        <v>2.6520163679201403</v>
      </c>
      <c r="L318" s="1014">
        <f t="shared" si="193"/>
        <v>3.0776818452316519</v>
      </c>
      <c r="M318" s="1014">
        <f t="shared" si="193"/>
        <v>3.5161172868625101</v>
      </c>
      <c r="N318" s="1014">
        <f t="shared" si="193"/>
        <v>3.96770579174229</v>
      </c>
      <c r="O318" s="1014">
        <f t="shared" si="193"/>
        <v>4.4328419517684665</v>
      </c>
      <c r="P318" s="1014">
        <f t="shared" si="193"/>
        <v>4.9119321965954157</v>
      </c>
      <c r="Q318" s="1014">
        <f t="shared" si="193"/>
        <v>5.4053951487671839</v>
      </c>
      <c r="R318" s="1014">
        <f t="shared" si="193"/>
        <v>5.9136619895041065</v>
      </c>
    </row>
    <row r="319" spans="2:18" x14ac:dyDescent="0.3">
      <c r="B319" s="644" t="s">
        <v>2814</v>
      </c>
      <c r="E319" s="1014">
        <f t="shared" si="194"/>
        <v>0</v>
      </c>
      <c r="F319" s="1014">
        <f t="shared" si="193"/>
        <v>0</v>
      </c>
      <c r="G319" s="1014">
        <f t="shared" si="193"/>
        <v>8.1386138613861476</v>
      </c>
      <c r="H319" s="1014">
        <f t="shared" si="193"/>
        <v>12.207920792079214</v>
      </c>
      <c r="I319" s="1014">
        <f t="shared" si="193"/>
        <v>12.207920792079214</v>
      </c>
      <c r="J319" s="1014">
        <f t="shared" si="193"/>
        <v>12.207920792079214</v>
      </c>
      <c r="K319" s="1014">
        <f t="shared" si="193"/>
        <v>12.207920792079214</v>
      </c>
      <c r="L319" s="1014">
        <f t="shared" si="193"/>
        <v>12.207920792079214</v>
      </c>
      <c r="M319" s="1014">
        <f t="shared" si="193"/>
        <v>12.207920792079214</v>
      </c>
      <c r="N319" s="1014">
        <f t="shared" si="193"/>
        <v>12.207920792079214</v>
      </c>
      <c r="O319" s="1014">
        <f t="shared" si="193"/>
        <v>12.207920792079214</v>
      </c>
      <c r="P319" s="1014">
        <f t="shared" si="193"/>
        <v>12.207920792079214</v>
      </c>
      <c r="Q319" s="1014">
        <f t="shared" si="193"/>
        <v>12.207920792079214</v>
      </c>
      <c r="R319" s="1014">
        <f t="shared" si="193"/>
        <v>12.207920792079214</v>
      </c>
    </row>
    <row r="320" spans="2:18" x14ac:dyDescent="0.3">
      <c r="B320" s="644" t="s">
        <v>2815</v>
      </c>
      <c r="E320" s="1014">
        <f t="shared" si="194"/>
        <v>0</v>
      </c>
      <c r="F320" s="1014">
        <f t="shared" si="193"/>
        <v>0</v>
      </c>
      <c r="G320" s="1014">
        <f t="shared" si="193"/>
        <v>7.5468505736304579</v>
      </c>
      <c r="H320" s="1014">
        <f t="shared" si="193"/>
        <v>11.32027586044569</v>
      </c>
      <c r="I320" s="1014">
        <f t="shared" si="193"/>
        <v>11.32027586044569</v>
      </c>
      <c r="J320" s="1014">
        <f t="shared" si="193"/>
        <v>11.32027586044569</v>
      </c>
      <c r="K320" s="1014">
        <f t="shared" si="193"/>
        <v>11.32027586044569</v>
      </c>
      <c r="L320" s="1014">
        <f t="shared" si="193"/>
        <v>11.32027586044569</v>
      </c>
      <c r="M320" s="1014">
        <f t="shared" si="193"/>
        <v>11.32027586044569</v>
      </c>
      <c r="N320" s="1014">
        <f t="shared" si="193"/>
        <v>11.32027586044569</v>
      </c>
      <c r="O320" s="1014">
        <f t="shared" si="193"/>
        <v>11.32027586044569</v>
      </c>
      <c r="P320" s="1014">
        <f t="shared" si="193"/>
        <v>11.32027586044569</v>
      </c>
      <c r="Q320" s="1014">
        <f t="shared" si="193"/>
        <v>11.32027586044569</v>
      </c>
      <c r="R320" s="1014">
        <f t="shared" si="193"/>
        <v>11.32027586044569</v>
      </c>
    </row>
    <row r="321" spans="2:18" x14ac:dyDescent="0.3">
      <c r="B321" s="644" t="s">
        <v>2730</v>
      </c>
      <c r="E321" s="1014">
        <f t="shared" si="194"/>
        <v>0</v>
      </c>
      <c r="F321" s="1014">
        <f t="shared" si="193"/>
        <v>0</v>
      </c>
      <c r="G321" s="1014">
        <f t="shared" si="193"/>
        <v>7.5233100435281273</v>
      </c>
      <c r="H321" s="1014">
        <f t="shared" si="193"/>
        <v>11.284965065292191</v>
      </c>
      <c r="I321" s="1014">
        <f t="shared" si="193"/>
        <v>11.284965065292191</v>
      </c>
      <c r="J321" s="1014">
        <f t="shared" si="193"/>
        <v>11.284965065292191</v>
      </c>
      <c r="K321" s="1014">
        <f t="shared" si="193"/>
        <v>11.284965065292191</v>
      </c>
      <c r="L321" s="1014">
        <f t="shared" si="193"/>
        <v>11.284965065292191</v>
      </c>
      <c r="M321" s="1014">
        <f t="shared" si="193"/>
        <v>11.284965065292191</v>
      </c>
      <c r="N321" s="1014">
        <f t="shared" si="193"/>
        <v>11.284965065292191</v>
      </c>
      <c r="O321" s="1014">
        <f t="shared" si="193"/>
        <v>11.284965065292191</v>
      </c>
      <c r="P321" s="1014">
        <f t="shared" si="193"/>
        <v>11.284965065292191</v>
      </c>
      <c r="Q321" s="1014">
        <f t="shared" si="193"/>
        <v>11.284965065292191</v>
      </c>
      <c r="R321" s="1014">
        <f t="shared" si="193"/>
        <v>11.284965065292191</v>
      </c>
    </row>
    <row r="322" spans="2:18" x14ac:dyDescent="0.3">
      <c r="B322" s="644" t="s">
        <v>2816</v>
      </c>
      <c r="E322" s="1014">
        <f t="shared" si="194"/>
        <v>0.33407227160228814</v>
      </c>
      <c r="F322" s="1014">
        <f t="shared" si="193"/>
        <v>0.67816671135263817</v>
      </c>
      <c r="G322" s="1014">
        <f t="shared" si="193"/>
        <v>8.5558940278236335</v>
      </c>
      <c r="H322" s="1014">
        <f t="shared" si="193"/>
        <v>12.682598840718846</v>
      </c>
      <c r="I322" s="1014">
        <f t="shared" si="193"/>
        <v>13.058600125583936</v>
      </c>
      <c r="J322" s="1014">
        <f t="shared" si="193"/>
        <v>13.445881448994975</v>
      </c>
      <c r="K322" s="1014">
        <f t="shared" si="193"/>
        <v>13.844781212108344</v>
      </c>
      <c r="L322" s="1014">
        <f t="shared" si="193"/>
        <v>14.25564796811512</v>
      </c>
      <c r="M322" s="1014">
        <f t="shared" si="193"/>
        <v>14.678840726802086</v>
      </c>
      <c r="N322" s="1014">
        <f t="shared" si="193"/>
        <v>15.114729268249675</v>
      </c>
      <c r="O322" s="1014">
        <f t="shared" si="193"/>
        <v>15.563694465940685</v>
      </c>
      <c r="P322" s="1014">
        <f t="shared" si="193"/>
        <v>16.026128619562428</v>
      </c>
      <c r="Q322" s="1014">
        <f t="shared" si="193"/>
        <v>16.50243579779282</v>
      </c>
      <c r="R322" s="1014">
        <f t="shared" si="193"/>
        <v>16.993032191370126</v>
      </c>
    </row>
    <row r="323" spans="2:18" x14ac:dyDescent="0.3">
      <c r="B323" s="644" t="s">
        <v>2819</v>
      </c>
      <c r="E323" s="1014">
        <f t="shared" si="194"/>
        <v>0.22656000000000098</v>
      </c>
      <c r="F323" s="1014">
        <f t="shared" si="194"/>
        <v>0.45991680000000024</v>
      </c>
      <c r="G323" s="1014">
        <f t="shared" si="194"/>
        <v>0.70027430400000235</v>
      </c>
      <c r="H323" s="1014">
        <f t="shared" si="194"/>
        <v>0.94784253312000111</v>
      </c>
      <c r="I323" s="1014">
        <f t="shared" si="194"/>
        <v>1.2028378091136016</v>
      </c>
      <c r="J323" s="1014">
        <f t="shared" si="194"/>
        <v>1.4654829433870109</v>
      </c>
      <c r="K323" s="1014">
        <f t="shared" si="194"/>
        <v>1.7360074316886216</v>
      </c>
      <c r="L323" s="1014">
        <f t="shared" si="194"/>
        <v>2.0146476546392815</v>
      </c>
      <c r="M323" s="1014">
        <f t="shared" si="194"/>
        <v>2.3016470842784589</v>
      </c>
      <c r="N323" s="1014">
        <f t="shared" si="194"/>
        <v>2.5972564968068141</v>
      </c>
      <c r="O323" s="1014">
        <f t="shared" si="194"/>
        <v>2.901734191711018</v>
      </c>
      <c r="P323" s="1014">
        <f t="shared" si="194"/>
        <v>3.2153462174623488</v>
      </c>
      <c r="Q323" s="1014">
        <f t="shared" si="194"/>
        <v>3.5383666039862192</v>
      </c>
      <c r="R323" s="1014">
        <f t="shared" si="194"/>
        <v>3.8710776021058066</v>
      </c>
    </row>
    <row r="324" spans="2:18" x14ac:dyDescent="0.3">
      <c r="B324" s="644" t="s">
        <v>2821</v>
      </c>
      <c r="E324" s="1014">
        <f t="shared" si="194"/>
        <v>7.1700000000000319E-2</v>
      </c>
      <c r="F324" s="1014">
        <f t="shared" si="194"/>
        <v>0.14555100000000021</v>
      </c>
      <c r="G324" s="1014">
        <f t="shared" si="194"/>
        <v>0.22161753000000006</v>
      </c>
      <c r="H324" s="1014">
        <f t="shared" si="194"/>
        <v>0.29996605590000014</v>
      </c>
      <c r="I324" s="1014">
        <f t="shared" si="194"/>
        <v>0.38066503757700021</v>
      </c>
      <c r="J324" s="1014">
        <f t="shared" si="194"/>
        <v>0.4637849887043104</v>
      </c>
      <c r="K324" s="1014">
        <f t="shared" si="194"/>
        <v>0.54939853836543984</v>
      </c>
      <c r="L324" s="1014">
        <f t="shared" si="194"/>
        <v>0.6375804945164032</v>
      </c>
      <c r="M324" s="1014">
        <f t="shared" si="194"/>
        <v>0.72840790935189581</v>
      </c>
      <c r="N324" s="1014">
        <f t="shared" si="194"/>
        <v>0.82196014663245265</v>
      </c>
      <c r="O324" s="1014">
        <f t="shared" si="194"/>
        <v>0.91831895103142624</v>
      </c>
      <c r="P324" s="1014">
        <f t="shared" si="194"/>
        <v>1.0175685195623694</v>
      </c>
      <c r="Q324" s="1014">
        <f t="shared" si="194"/>
        <v>1.1197955751492401</v>
      </c>
      <c r="R324" s="1014">
        <f t="shared" si="194"/>
        <v>1.2250894424037178</v>
      </c>
    </row>
    <row r="325" spans="2:18" x14ac:dyDescent="0.3">
      <c r="B325" s="644" t="s">
        <v>2790</v>
      </c>
      <c r="E325" s="1014">
        <f t="shared" si="194"/>
        <v>0</v>
      </c>
      <c r="F325" s="1014">
        <f t="shared" si="194"/>
        <v>0</v>
      </c>
      <c r="G325" s="1014">
        <f t="shared" si="194"/>
        <v>2.0518118300531274</v>
      </c>
      <c r="H325" s="1014">
        <f t="shared" si="194"/>
        <v>3.0777177450796902</v>
      </c>
      <c r="I325" s="1014">
        <f t="shared" si="194"/>
        <v>3.0777177450796902</v>
      </c>
      <c r="J325" s="1014">
        <f t="shared" si="194"/>
        <v>3.0777177450796902</v>
      </c>
      <c r="K325" s="1014">
        <f t="shared" si="194"/>
        <v>3.0777177450796902</v>
      </c>
      <c r="L325" s="1014">
        <f t="shared" si="194"/>
        <v>3.0777177450796902</v>
      </c>
      <c r="M325" s="1014">
        <f t="shared" si="194"/>
        <v>3.0777177450796902</v>
      </c>
      <c r="N325" s="1014">
        <f t="shared" si="194"/>
        <v>3.0777177450796902</v>
      </c>
      <c r="O325" s="1014">
        <f t="shared" si="194"/>
        <v>3.0777177450796902</v>
      </c>
      <c r="P325" s="1014">
        <f t="shared" si="194"/>
        <v>3.0777177450796902</v>
      </c>
      <c r="Q325" s="1014">
        <f t="shared" si="194"/>
        <v>3.0777177450796902</v>
      </c>
      <c r="R325" s="1014">
        <f t="shared" si="194"/>
        <v>3.0777177450796902</v>
      </c>
    </row>
    <row r="326" spans="2:18" x14ac:dyDescent="0.3">
      <c r="B326" s="644"/>
    </row>
    <row r="327" spans="2:18" x14ac:dyDescent="0.3">
      <c r="B327" s="556" t="s">
        <v>2827</v>
      </c>
      <c r="C327" s="556" t="s">
        <v>59</v>
      </c>
      <c r="D327" s="556">
        <v>2021</v>
      </c>
      <c r="E327" s="556">
        <v>2022</v>
      </c>
      <c r="F327" s="556">
        <v>2023</v>
      </c>
      <c r="G327" s="556">
        <v>2024</v>
      </c>
      <c r="H327" s="556">
        <v>2025</v>
      </c>
      <c r="I327" s="556">
        <v>2026</v>
      </c>
      <c r="J327" s="556">
        <v>2027</v>
      </c>
      <c r="K327" s="556">
        <v>2028</v>
      </c>
      <c r="L327" s="556">
        <v>2029</v>
      </c>
      <c r="M327" s="556">
        <v>2030</v>
      </c>
      <c r="N327" s="556">
        <v>2031</v>
      </c>
      <c r="O327" s="556">
        <v>2032</v>
      </c>
      <c r="P327" s="556">
        <v>2033</v>
      </c>
      <c r="Q327" s="556">
        <v>2034</v>
      </c>
      <c r="R327" s="556">
        <v>2035</v>
      </c>
    </row>
    <row r="328" spans="2:18" x14ac:dyDescent="0.3">
      <c r="B328" s="644" t="s">
        <v>388</v>
      </c>
      <c r="D328" s="1014">
        <f t="shared" ref="D328:R328" si="195">(D338*$D$214)+(D340*$D$217)+(D342*$D$216)</f>
        <v>93.916930125582738</v>
      </c>
      <c r="E328" s="1014">
        <f t="shared" si="195"/>
        <v>95.552370910214961</v>
      </c>
      <c r="F328" s="1014">
        <f t="shared" si="195"/>
        <v>97.236874918386135</v>
      </c>
      <c r="G328" s="1014">
        <f t="shared" si="195"/>
        <v>98.971914046802453</v>
      </c>
      <c r="H328" s="1014">
        <f t="shared" si="195"/>
        <v>100.75900434907126</v>
      </c>
      <c r="I328" s="1014">
        <f t="shared" si="195"/>
        <v>102.59970736040813</v>
      </c>
      <c r="J328" s="1014">
        <f t="shared" si="195"/>
        <v>104.4956314620851</v>
      </c>
      <c r="K328" s="1014">
        <f t="shared" si="195"/>
        <v>106.44843328681239</v>
      </c>
      <c r="L328" s="1014">
        <f t="shared" si="195"/>
        <v>108.45981916628149</v>
      </c>
      <c r="M328" s="1014">
        <f t="shared" si="195"/>
        <v>110.53154662213467</v>
      </c>
      <c r="N328" s="1014">
        <f t="shared" si="195"/>
        <v>112.66542590166344</v>
      </c>
      <c r="O328" s="1014">
        <f t="shared" si="195"/>
        <v>114.86332155957808</v>
      </c>
      <c r="P328" s="1014">
        <f t="shared" si="195"/>
        <v>117.12715408723017</v>
      </c>
      <c r="Q328" s="1014">
        <f t="shared" si="195"/>
        <v>119.4589015907118</v>
      </c>
      <c r="R328" s="1014">
        <f t="shared" si="195"/>
        <v>121.86060151929789</v>
      </c>
    </row>
    <row r="329" spans="2:18" x14ac:dyDescent="0.3">
      <c r="B329" s="644" t="s">
        <v>389</v>
      </c>
      <c r="D329" s="487">
        <f t="shared" ref="D329:R329" si="196">$D282+D403</f>
        <v>48.078483412322278</v>
      </c>
      <c r="E329" s="487">
        <f t="shared" si="196"/>
        <v>49.384345023696689</v>
      </c>
      <c r="F329" s="487">
        <f t="shared" si="196"/>
        <v>50.72938248341233</v>
      </c>
      <c r="G329" s="487">
        <f t="shared" si="196"/>
        <v>52.114771066919438</v>
      </c>
      <c r="H329" s="487">
        <f t="shared" si="196"/>
        <v>53.541721307931759</v>
      </c>
      <c r="I329" s="487">
        <f t="shared" si="196"/>
        <v>55.011480056174456</v>
      </c>
      <c r="J329" s="487">
        <f t="shared" si="196"/>
        <v>56.52533156686443</v>
      </c>
      <c r="K329" s="487">
        <f t="shared" si="196"/>
        <v>58.084598622875106</v>
      </c>
      <c r="L329" s="487">
        <f t="shared" si="196"/>
        <v>59.690643690566098</v>
      </c>
      <c r="M329" s="487">
        <f t="shared" si="196"/>
        <v>61.344870110287822</v>
      </c>
      <c r="N329" s="487">
        <f t="shared" si="196"/>
        <v>63.048723322601198</v>
      </c>
      <c r="O329" s="487">
        <f t="shared" si="196"/>
        <v>64.803692131283981</v>
      </c>
      <c r="P329" s="487">
        <f t="shared" si="196"/>
        <v>66.611310004227235</v>
      </c>
      <c r="Q329" s="487">
        <f t="shared" si="196"/>
        <v>68.473156413358794</v>
      </c>
      <c r="R329" s="487">
        <f t="shared" si="196"/>
        <v>70.390858214764293</v>
      </c>
    </row>
    <row r="330" spans="2:18" x14ac:dyDescent="0.3">
      <c r="B330" s="644" t="s">
        <v>2806</v>
      </c>
      <c r="D330" s="487">
        <f t="shared" ref="D330:R330" si="197">$D287+D403</f>
        <v>56.784227488151664</v>
      </c>
      <c r="E330" s="487">
        <f t="shared" si="197"/>
        <v>58.090089099526075</v>
      </c>
      <c r="F330" s="487">
        <f t="shared" si="197"/>
        <v>59.435126559241716</v>
      </c>
      <c r="G330" s="487">
        <f t="shared" si="197"/>
        <v>60.820515142748825</v>
      </c>
      <c r="H330" s="487">
        <f t="shared" si="197"/>
        <v>62.247465383761146</v>
      </c>
      <c r="I330" s="487">
        <f t="shared" si="197"/>
        <v>63.717224132003842</v>
      </c>
      <c r="J330" s="487">
        <f t="shared" si="197"/>
        <v>65.23107564269381</v>
      </c>
      <c r="K330" s="487">
        <f t="shared" si="197"/>
        <v>66.790342698704492</v>
      </c>
      <c r="L330" s="487">
        <f t="shared" si="197"/>
        <v>68.396387766395492</v>
      </c>
      <c r="M330" s="487">
        <f t="shared" si="197"/>
        <v>70.050614186117201</v>
      </c>
      <c r="N330" s="487">
        <f t="shared" si="197"/>
        <v>71.754467398430592</v>
      </c>
      <c r="O330" s="487">
        <f t="shared" si="197"/>
        <v>73.509436207113367</v>
      </c>
      <c r="P330" s="487">
        <f t="shared" si="197"/>
        <v>75.317054080056622</v>
      </c>
      <c r="Q330" s="487">
        <f t="shared" si="197"/>
        <v>77.17890048918818</v>
      </c>
      <c r="R330" s="487">
        <f t="shared" si="197"/>
        <v>79.09660229059368</v>
      </c>
    </row>
    <row r="331" spans="2:18" x14ac:dyDescent="0.3">
      <c r="B331" s="644" t="s">
        <v>390</v>
      </c>
      <c r="D331" s="487">
        <f t="shared" ref="D331:R331" si="198">$D283+D404</f>
        <v>17.463348837209303</v>
      </c>
      <c r="E331" s="487">
        <f t="shared" si="198"/>
        <v>17.886809302325585</v>
      </c>
      <c r="F331" s="487">
        <f t="shared" si="198"/>
        <v>18.322973581395352</v>
      </c>
      <c r="G331" s="487">
        <f t="shared" si="198"/>
        <v>18.772222788837212</v>
      </c>
      <c r="H331" s="487">
        <f t="shared" si="198"/>
        <v>19.234949472502329</v>
      </c>
      <c r="I331" s="487">
        <f t="shared" si="198"/>
        <v>19.7115579566774</v>
      </c>
      <c r="J331" s="487">
        <f t="shared" si="198"/>
        <v>20.202464695377721</v>
      </c>
      <c r="K331" s="487">
        <f t="shared" si="198"/>
        <v>20.708098636239054</v>
      </c>
      <c r="L331" s="487">
        <f t="shared" si="198"/>
        <v>21.228901595326228</v>
      </c>
      <c r="M331" s="487">
        <f t="shared" si="198"/>
        <v>21.765328643186017</v>
      </c>
      <c r="N331" s="487">
        <f t="shared" si="198"/>
        <v>22.317848502481599</v>
      </c>
      <c r="O331" s="487">
        <f t="shared" si="198"/>
        <v>22.886943957556049</v>
      </c>
      <c r="P331" s="487">
        <f t="shared" si="198"/>
        <v>23.47311227628273</v>
      </c>
      <c r="Q331" s="487">
        <f t="shared" si="198"/>
        <v>24.076865644571214</v>
      </c>
      <c r="R331" s="487">
        <f t="shared" si="198"/>
        <v>24.69873161390835</v>
      </c>
    </row>
    <row r="332" spans="2:18" x14ac:dyDescent="0.3">
      <c r="B332" s="644" t="s">
        <v>391</v>
      </c>
      <c r="D332" s="487">
        <f t="shared" ref="D332:R332" si="199">$D284+D405</f>
        <v>43.528720379146925</v>
      </c>
      <c r="E332" s="487">
        <f t="shared" si="199"/>
        <v>44.834581990521336</v>
      </c>
      <c r="F332" s="487">
        <f t="shared" si="199"/>
        <v>46.179619450236977</v>
      </c>
      <c r="G332" s="487">
        <f t="shared" si="199"/>
        <v>47.565008033744085</v>
      </c>
      <c r="H332" s="487">
        <f t="shared" si="199"/>
        <v>48.991958274756406</v>
      </c>
      <c r="I332" s="487">
        <f t="shared" si="199"/>
        <v>50.461717022999103</v>
      </c>
      <c r="J332" s="487">
        <f t="shared" si="199"/>
        <v>51.975568533689078</v>
      </c>
      <c r="K332" s="487">
        <f t="shared" si="199"/>
        <v>53.534835589699753</v>
      </c>
      <c r="L332" s="487">
        <f t="shared" si="199"/>
        <v>55.140880657390746</v>
      </c>
      <c r="M332" s="487">
        <f t="shared" si="199"/>
        <v>56.795107077112469</v>
      </c>
      <c r="N332" s="487">
        <f t="shared" si="199"/>
        <v>58.498960289425845</v>
      </c>
      <c r="O332" s="487">
        <f t="shared" si="199"/>
        <v>60.253929098108621</v>
      </c>
      <c r="P332" s="487">
        <f t="shared" si="199"/>
        <v>62.061546971051882</v>
      </c>
      <c r="Q332" s="487">
        <f t="shared" si="199"/>
        <v>63.923393380183441</v>
      </c>
      <c r="R332" s="487">
        <f t="shared" si="199"/>
        <v>65.84109518158894</v>
      </c>
    </row>
    <row r="333" spans="2:18" x14ac:dyDescent="0.3">
      <c r="B333" s="644" t="s">
        <v>392</v>
      </c>
      <c r="D333" s="487">
        <f t="shared" ref="D333:R333" si="200">$D285+D406</f>
        <v>64.623518645470881</v>
      </c>
      <c r="E333" s="487">
        <f t="shared" si="200"/>
        <v>66.513518645470882</v>
      </c>
      <c r="F333" s="487">
        <f t="shared" si="200"/>
        <v>68.460218645470889</v>
      </c>
      <c r="G333" s="487">
        <f t="shared" si="200"/>
        <v>70.465319645470885</v>
      </c>
      <c r="H333" s="487">
        <f t="shared" si="200"/>
        <v>72.53057367547089</v>
      </c>
      <c r="I333" s="487">
        <f t="shared" si="200"/>
        <v>74.657785326370899</v>
      </c>
      <c r="J333" s="487">
        <f t="shared" si="200"/>
        <v>76.848813326797895</v>
      </c>
      <c r="K333" s="487">
        <f t="shared" si="200"/>
        <v>79.10557216723771</v>
      </c>
      <c r="L333" s="487">
        <f t="shared" si="200"/>
        <v>81.430033772890724</v>
      </c>
      <c r="M333" s="487">
        <f t="shared" si="200"/>
        <v>83.824229226713328</v>
      </c>
      <c r="N333" s="487">
        <f t="shared" si="200"/>
        <v>86.290250544150609</v>
      </c>
      <c r="O333" s="487">
        <f t="shared" si="200"/>
        <v>88.830252501111005</v>
      </c>
      <c r="P333" s="487">
        <f t="shared" si="200"/>
        <v>91.446454516780207</v>
      </c>
      <c r="Q333" s="487">
        <f t="shared" si="200"/>
        <v>94.141142592919493</v>
      </c>
      <c r="R333" s="487">
        <f t="shared" si="200"/>
        <v>96.916671311342952</v>
      </c>
    </row>
    <row r="334" spans="2:18" x14ac:dyDescent="0.3">
      <c r="B334" s="644" t="s">
        <v>393</v>
      </c>
      <c r="D334" s="487">
        <f t="shared" ref="D334:R334" si="201">$D286+D407</f>
        <v>78.600000000000009</v>
      </c>
      <c r="E334" s="487">
        <f t="shared" si="201"/>
        <v>80.928000000000011</v>
      </c>
      <c r="F334" s="487">
        <f t="shared" si="201"/>
        <v>83.325840000000014</v>
      </c>
      <c r="G334" s="487">
        <f t="shared" si="201"/>
        <v>85.795615200000015</v>
      </c>
      <c r="H334" s="487">
        <f t="shared" si="201"/>
        <v>88.339483656000013</v>
      </c>
      <c r="I334" s="487">
        <f t="shared" si="201"/>
        <v>90.959668165680014</v>
      </c>
      <c r="J334" s="487">
        <f t="shared" si="201"/>
        <v>93.658458210650423</v>
      </c>
      <c r="K334" s="487">
        <f t="shared" si="201"/>
        <v>96.438211956969937</v>
      </c>
      <c r="L334" s="487">
        <f t="shared" si="201"/>
        <v>99.301358315679039</v>
      </c>
      <c r="M334" s="487">
        <f t="shared" si="201"/>
        <v>102.25039906514941</v>
      </c>
      <c r="N334" s="487">
        <f t="shared" si="201"/>
        <v>105.2879110371039</v>
      </c>
      <c r="O334" s="487">
        <f t="shared" si="201"/>
        <v>108.41654836821702</v>
      </c>
      <c r="P334" s="487">
        <f t="shared" si="201"/>
        <v>111.63904481926353</v>
      </c>
      <c r="Q334" s="487">
        <f t="shared" si="201"/>
        <v>114.95821616384144</v>
      </c>
      <c r="R334" s="487">
        <f t="shared" si="201"/>
        <v>118.37696264875669</v>
      </c>
    </row>
    <row r="335" spans="2:18" x14ac:dyDescent="0.3">
      <c r="B335" s="644" t="s">
        <v>2807</v>
      </c>
      <c r="D335" s="487">
        <f t="shared" ref="D335:R335" si="202">$D288+D407</f>
        <v>78.875000000000014</v>
      </c>
      <c r="E335" s="487">
        <f t="shared" si="202"/>
        <v>81.203000000000017</v>
      </c>
      <c r="F335" s="487">
        <f t="shared" si="202"/>
        <v>83.600840000000019</v>
      </c>
      <c r="G335" s="487">
        <f t="shared" si="202"/>
        <v>86.07061520000002</v>
      </c>
      <c r="H335" s="487">
        <f t="shared" si="202"/>
        <v>88.614483656000019</v>
      </c>
      <c r="I335" s="487">
        <f t="shared" si="202"/>
        <v>91.23466816568002</v>
      </c>
      <c r="J335" s="487">
        <f t="shared" si="202"/>
        <v>93.933458210650429</v>
      </c>
      <c r="K335" s="487">
        <f t="shared" si="202"/>
        <v>96.713211956969943</v>
      </c>
      <c r="L335" s="487">
        <f t="shared" si="202"/>
        <v>99.576358315679045</v>
      </c>
      <c r="M335" s="487">
        <f t="shared" si="202"/>
        <v>102.52539906514941</v>
      </c>
      <c r="N335" s="487">
        <f t="shared" si="202"/>
        <v>105.5629110371039</v>
      </c>
      <c r="O335" s="487">
        <f t="shared" si="202"/>
        <v>108.69154836821703</v>
      </c>
      <c r="P335" s="487">
        <f t="shared" si="202"/>
        <v>111.91404481926354</v>
      </c>
      <c r="Q335" s="487">
        <f t="shared" si="202"/>
        <v>115.23321616384145</v>
      </c>
      <c r="R335" s="487">
        <f t="shared" si="202"/>
        <v>118.65196264875669</v>
      </c>
    </row>
    <row r="336" spans="2:18" x14ac:dyDescent="0.3">
      <c r="B336" s="644" t="s">
        <v>2808</v>
      </c>
      <c r="D336" s="487">
        <f t="shared" ref="D336:R336" si="203">$D289+D419</f>
        <v>77.22351864547089</v>
      </c>
      <c r="E336" s="487">
        <f t="shared" si="203"/>
        <v>79.11351864547089</v>
      </c>
      <c r="F336" s="487">
        <f t="shared" si="203"/>
        <v>81.060218645470897</v>
      </c>
      <c r="G336" s="487">
        <f t="shared" si="203"/>
        <v>83.065319645470893</v>
      </c>
      <c r="H336" s="487">
        <f t="shared" si="203"/>
        <v>85.130573675470899</v>
      </c>
      <c r="I336" s="487">
        <f t="shared" si="203"/>
        <v>87.257785326370907</v>
      </c>
      <c r="J336" s="487">
        <f t="shared" si="203"/>
        <v>89.448813326797904</v>
      </c>
      <c r="K336" s="487">
        <f t="shared" si="203"/>
        <v>91.705572167237719</v>
      </c>
      <c r="L336" s="487">
        <f t="shared" si="203"/>
        <v>94.030033772890732</v>
      </c>
      <c r="M336" s="487">
        <f t="shared" si="203"/>
        <v>96.424229226713337</v>
      </c>
      <c r="N336" s="487">
        <f t="shared" si="203"/>
        <v>98.890250544150618</v>
      </c>
      <c r="O336" s="487">
        <f t="shared" si="203"/>
        <v>101.43025250111101</v>
      </c>
      <c r="P336" s="487">
        <f t="shared" si="203"/>
        <v>104.04645451678022</v>
      </c>
      <c r="Q336" s="487">
        <f t="shared" si="203"/>
        <v>106.7411425929195</v>
      </c>
      <c r="R336" s="487">
        <f t="shared" si="203"/>
        <v>109.51667131134296</v>
      </c>
    </row>
    <row r="337" spans="2:19" x14ac:dyDescent="0.3">
      <c r="B337" s="644" t="s">
        <v>2809</v>
      </c>
      <c r="D337" s="487">
        <f t="shared" ref="D337:R337" si="204">$D290+D418</f>
        <v>99.16</v>
      </c>
      <c r="E337" s="487">
        <f t="shared" si="204"/>
        <v>101.614</v>
      </c>
      <c r="F337" s="487">
        <f t="shared" si="204"/>
        <v>104.14162</v>
      </c>
      <c r="G337" s="487">
        <f t="shared" si="204"/>
        <v>106.74506860000001</v>
      </c>
      <c r="H337" s="487">
        <f t="shared" si="204"/>
        <v>109.42662065800002</v>
      </c>
      <c r="I337" s="487">
        <f t="shared" si="204"/>
        <v>112.18861927774002</v>
      </c>
      <c r="J337" s="487">
        <f t="shared" si="204"/>
        <v>115.03347785607222</v>
      </c>
      <c r="K337" s="487">
        <f t="shared" si="204"/>
        <v>117.96368219175439</v>
      </c>
      <c r="L337" s="487">
        <f t="shared" si="204"/>
        <v>120.98179265750701</v>
      </c>
      <c r="M337" s="487">
        <f t="shared" si="204"/>
        <v>124.09044643723223</v>
      </c>
      <c r="N337" s="487">
        <f t="shared" si="204"/>
        <v>127.2923598303492</v>
      </c>
      <c r="O337" s="487">
        <f t="shared" si="204"/>
        <v>130.5903306252597</v>
      </c>
      <c r="P337" s="487">
        <f t="shared" si="204"/>
        <v>133.98724054401748</v>
      </c>
      <c r="Q337" s="487">
        <f t="shared" si="204"/>
        <v>137.48605776033801</v>
      </c>
      <c r="R337" s="487">
        <f t="shared" si="204"/>
        <v>141.08983949314816</v>
      </c>
    </row>
    <row r="338" spans="2:19" x14ac:dyDescent="0.3">
      <c r="B338" s="644" t="s">
        <v>2746</v>
      </c>
      <c r="D338" s="487">
        <f t="shared" ref="D338:R338" si="205">$D291+D409</f>
        <v>116.94727486323274</v>
      </c>
      <c r="E338" s="487">
        <f t="shared" si="205"/>
        <v>118.67779979460228</v>
      </c>
      <c r="F338" s="487">
        <f t="shared" si="205"/>
        <v>120.4602404739129</v>
      </c>
      <c r="G338" s="487">
        <f t="shared" si="205"/>
        <v>122.29615437360283</v>
      </c>
      <c r="H338" s="487">
        <f t="shared" si="205"/>
        <v>124.18714569028346</v>
      </c>
      <c r="I338" s="487">
        <f t="shared" si="205"/>
        <v>126.13486674646451</v>
      </c>
      <c r="J338" s="487">
        <f t="shared" si="205"/>
        <v>128.14101943433099</v>
      </c>
      <c r="K338" s="487">
        <f t="shared" si="205"/>
        <v>130.20735670283347</v>
      </c>
      <c r="L338" s="487">
        <f t="shared" si="205"/>
        <v>132.33568408939101</v>
      </c>
      <c r="M338" s="487">
        <f t="shared" si="205"/>
        <v>134.52786129754531</v>
      </c>
      <c r="N338" s="487">
        <f t="shared" si="205"/>
        <v>136.7858038219442</v>
      </c>
      <c r="O338" s="487">
        <f t="shared" si="205"/>
        <v>139.11148462207507</v>
      </c>
      <c r="P338" s="487">
        <f t="shared" si="205"/>
        <v>141.50693584620987</v>
      </c>
      <c r="Q338" s="487">
        <f t="shared" si="205"/>
        <v>143.97425060706871</v>
      </c>
      <c r="R338" s="487">
        <f t="shared" si="205"/>
        <v>146.5155848107533</v>
      </c>
    </row>
    <row r="339" spans="2:19" x14ac:dyDescent="0.3">
      <c r="B339" s="644" t="s">
        <v>2813</v>
      </c>
      <c r="D339" s="487">
        <f t="shared" ref="D339:R339" si="206">$D292+D409</f>
        <v>128.48410773902961</v>
      </c>
      <c r="E339" s="487">
        <f t="shared" si="206"/>
        <v>130.21463267039914</v>
      </c>
      <c r="F339" s="487">
        <f t="shared" si="206"/>
        <v>131.99707334970975</v>
      </c>
      <c r="G339" s="487">
        <f t="shared" si="206"/>
        <v>133.83298724939971</v>
      </c>
      <c r="H339" s="487">
        <f t="shared" si="206"/>
        <v>135.72397856608032</v>
      </c>
      <c r="I339" s="487">
        <f t="shared" si="206"/>
        <v>137.67169962226137</v>
      </c>
      <c r="J339" s="487">
        <f t="shared" si="206"/>
        <v>139.67785231012786</v>
      </c>
      <c r="K339" s="487">
        <f t="shared" si="206"/>
        <v>141.74418957863034</v>
      </c>
      <c r="L339" s="487">
        <f t="shared" si="206"/>
        <v>143.87251696518788</v>
      </c>
      <c r="M339" s="487">
        <f t="shared" si="206"/>
        <v>146.06469417334216</v>
      </c>
      <c r="N339" s="487">
        <f t="shared" si="206"/>
        <v>148.32263669774107</v>
      </c>
      <c r="O339" s="487">
        <f t="shared" si="206"/>
        <v>150.64831749787191</v>
      </c>
      <c r="P339" s="487">
        <f t="shared" si="206"/>
        <v>153.04376872200675</v>
      </c>
      <c r="Q339" s="487">
        <f t="shared" si="206"/>
        <v>155.51108348286556</v>
      </c>
      <c r="R339" s="487">
        <f t="shared" si="206"/>
        <v>158.05241768655017</v>
      </c>
    </row>
    <row r="340" spans="2:19" x14ac:dyDescent="0.3">
      <c r="B340" s="644" t="s">
        <v>2814</v>
      </c>
      <c r="D340" s="487">
        <f t="shared" ref="D340:R340" si="207">$D293+D411</f>
        <v>83.290990099009917</v>
      </c>
      <c r="E340" s="487">
        <f t="shared" si="207"/>
        <v>84.661600990099018</v>
      </c>
      <c r="F340" s="487">
        <f t="shared" si="207"/>
        <v>86.073330207920804</v>
      </c>
      <c r="G340" s="487">
        <f t="shared" si="207"/>
        <v>87.527411302277244</v>
      </c>
      <c r="H340" s="487">
        <f t="shared" si="207"/>
        <v>89.025114829464371</v>
      </c>
      <c r="I340" s="487">
        <f t="shared" si="207"/>
        <v>90.56774946246712</v>
      </c>
      <c r="J340" s="487">
        <f t="shared" si="207"/>
        <v>92.156663134459947</v>
      </c>
      <c r="K340" s="487">
        <f t="shared" si="207"/>
        <v>93.793244216612564</v>
      </c>
      <c r="L340" s="487">
        <f t="shared" si="207"/>
        <v>95.478922731229758</v>
      </c>
      <c r="M340" s="487">
        <f t="shared" si="207"/>
        <v>97.215171601285476</v>
      </c>
      <c r="N340" s="487">
        <f t="shared" si="207"/>
        <v>99.003507937442834</v>
      </c>
      <c r="O340" s="487">
        <f t="shared" si="207"/>
        <v>100.84549436368494</v>
      </c>
      <c r="P340" s="487">
        <f t="shared" si="207"/>
        <v>102.74274038271429</v>
      </c>
      <c r="Q340" s="487">
        <f t="shared" si="207"/>
        <v>104.69690378231454</v>
      </c>
      <c r="R340" s="487">
        <f t="shared" si="207"/>
        <v>106.70969208390281</v>
      </c>
    </row>
    <row r="341" spans="2:19" x14ac:dyDescent="0.3">
      <c r="B341" s="644" t="s">
        <v>2815</v>
      </c>
      <c r="D341" s="487">
        <f t="shared" ref="D341:R341" si="208">$D294+D413</f>
        <v>78.993722660065899</v>
      </c>
      <c r="E341" s="487">
        <f t="shared" si="208"/>
        <v>80.319449392739159</v>
      </c>
      <c r="F341" s="487">
        <f t="shared" si="208"/>
        <v>81.684947927392628</v>
      </c>
      <c r="G341" s="487">
        <f t="shared" si="208"/>
        <v>83.091411418085698</v>
      </c>
      <c r="H341" s="487">
        <f t="shared" si="208"/>
        <v>84.540068813499559</v>
      </c>
      <c r="I341" s="487">
        <f t="shared" si="208"/>
        <v>86.032185930775825</v>
      </c>
      <c r="J341" s="487">
        <f t="shared" si="208"/>
        <v>87.569066561570395</v>
      </c>
      <c r="K341" s="487">
        <f t="shared" si="208"/>
        <v>89.152053611288807</v>
      </c>
      <c r="L341" s="487">
        <f t="shared" si="208"/>
        <v>90.782530272498747</v>
      </c>
      <c r="M341" s="487">
        <f t="shared" si="208"/>
        <v>92.461921233545013</v>
      </c>
      <c r="N341" s="487">
        <f t="shared" si="208"/>
        <v>94.191693923422662</v>
      </c>
      <c r="O341" s="487">
        <f t="shared" si="208"/>
        <v>95.973359793996622</v>
      </c>
      <c r="P341" s="487">
        <f t="shared" si="208"/>
        <v>97.808475640687817</v>
      </c>
      <c r="Q341" s="487">
        <f t="shared" si="208"/>
        <v>99.698644962779738</v>
      </c>
      <c r="R341" s="487">
        <f t="shared" si="208"/>
        <v>101.64551936453442</v>
      </c>
    </row>
    <row r="342" spans="2:19" x14ac:dyDescent="0.3">
      <c r="B342" s="644" t="s">
        <v>2730</v>
      </c>
      <c r="D342" s="487">
        <f t="shared" ref="D342:R342" si="209">$D295+D415</f>
        <v>90.372984696430876</v>
      </c>
      <c r="E342" s="487">
        <f t="shared" si="209"/>
        <v>92.04334605444231</v>
      </c>
      <c r="F342" s="487">
        <f t="shared" si="209"/>
        <v>93.763818253194088</v>
      </c>
      <c r="G342" s="487">
        <f t="shared" si="209"/>
        <v>95.535904617908415</v>
      </c>
      <c r="H342" s="487">
        <f t="shared" si="209"/>
        <v>97.361153573564167</v>
      </c>
      <c r="I342" s="487">
        <f t="shared" si="209"/>
        <v>99.241159997889611</v>
      </c>
      <c r="J342" s="487">
        <f t="shared" si="209"/>
        <v>101.17756661494479</v>
      </c>
      <c r="K342" s="487">
        <f t="shared" si="209"/>
        <v>103.17206543051165</v>
      </c>
      <c r="L342" s="487">
        <f t="shared" si="209"/>
        <v>105.22639921054551</v>
      </c>
      <c r="M342" s="487">
        <f t="shared" si="209"/>
        <v>107.34236300398038</v>
      </c>
      <c r="N342" s="487">
        <f t="shared" si="209"/>
        <v>109.52180571121829</v>
      </c>
      <c r="O342" s="487">
        <f t="shared" si="209"/>
        <v>111.76663169967335</v>
      </c>
      <c r="P342" s="487">
        <f t="shared" si="209"/>
        <v>114.07880246778208</v>
      </c>
      <c r="Q342" s="487">
        <f t="shared" si="209"/>
        <v>116.46033835893405</v>
      </c>
      <c r="R342" s="487">
        <f t="shared" si="209"/>
        <v>118.91332032682058</v>
      </c>
    </row>
    <row r="343" spans="2:19" x14ac:dyDescent="0.3">
      <c r="B343" s="644" t="s">
        <v>2816</v>
      </c>
      <c r="D343" s="487">
        <f t="shared" ref="D343:R343" si="210">$D296+D415</f>
        <v>101.50872708317377</v>
      </c>
      <c r="E343" s="487">
        <f t="shared" si="210"/>
        <v>103.17908844118519</v>
      </c>
      <c r="F343" s="487">
        <f t="shared" si="210"/>
        <v>104.89956063993696</v>
      </c>
      <c r="G343" s="487">
        <f t="shared" si="210"/>
        <v>106.67164700465129</v>
      </c>
      <c r="H343" s="487">
        <f t="shared" si="210"/>
        <v>108.49689596030706</v>
      </c>
      <c r="I343" s="487">
        <f t="shared" si="210"/>
        <v>110.37690238463247</v>
      </c>
      <c r="J343" s="487">
        <f t="shared" si="210"/>
        <v>112.31330900168768</v>
      </c>
      <c r="K343" s="487">
        <f t="shared" si="210"/>
        <v>114.30780781725454</v>
      </c>
      <c r="L343" s="487">
        <f t="shared" si="210"/>
        <v>116.3621415972884</v>
      </c>
      <c r="M343" s="487">
        <f t="shared" si="210"/>
        <v>118.47810539072324</v>
      </c>
      <c r="N343" s="487">
        <f t="shared" si="210"/>
        <v>120.65754809796118</v>
      </c>
      <c r="O343" s="487">
        <f t="shared" si="210"/>
        <v>122.90237408641624</v>
      </c>
      <c r="P343" s="487">
        <f t="shared" si="210"/>
        <v>125.21454485452495</v>
      </c>
      <c r="Q343" s="487">
        <f t="shared" si="210"/>
        <v>127.59608074567691</v>
      </c>
      <c r="R343" s="487">
        <f t="shared" si="210"/>
        <v>130.04906271356344</v>
      </c>
    </row>
    <row r="344" spans="2:19" x14ac:dyDescent="0.3">
      <c r="B344" s="644" t="s">
        <v>2819</v>
      </c>
      <c r="D344" s="487">
        <f t="shared" ref="D344:R344" si="211">$D302+D421</f>
        <v>45.311999999999998</v>
      </c>
      <c r="E344" s="487">
        <f t="shared" si="211"/>
        <v>46.444800000000001</v>
      </c>
      <c r="F344" s="487">
        <f t="shared" si="211"/>
        <v>47.611584000000001</v>
      </c>
      <c r="G344" s="487">
        <f t="shared" si="211"/>
        <v>48.813371520000004</v>
      </c>
      <c r="H344" s="487">
        <f t="shared" si="211"/>
        <v>50.051212665600005</v>
      </c>
      <c r="I344" s="487">
        <f t="shared" si="211"/>
        <v>51.326189045568007</v>
      </c>
      <c r="J344" s="487">
        <f t="shared" si="211"/>
        <v>52.63941471693505</v>
      </c>
      <c r="K344" s="487">
        <f t="shared" si="211"/>
        <v>53.992037158443104</v>
      </c>
      <c r="L344" s="487">
        <f t="shared" si="211"/>
        <v>55.3852382731964</v>
      </c>
      <c r="M344" s="487">
        <f t="shared" si="211"/>
        <v>56.82023542139229</v>
      </c>
      <c r="N344" s="487">
        <f t="shared" si="211"/>
        <v>58.298282484034061</v>
      </c>
      <c r="O344" s="487">
        <f t="shared" si="211"/>
        <v>59.820670958555084</v>
      </c>
      <c r="P344" s="487">
        <f t="shared" si="211"/>
        <v>61.38873108731174</v>
      </c>
      <c r="Q344" s="487">
        <f t="shared" si="211"/>
        <v>63.003833019931093</v>
      </c>
      <c r="R344" s="487">
        <f t="shared" si="211"/>
        <v>64.667388010529038</v>
      </c>
    </row>
    <row r="345" spans="2:19" x14ac:dyDescent="0.3">
      <c r="B345" s="644" t="s">
        <v>2821</v>
      </c>
      <c r="D345" s="487">
        <f t="shared" ref="D345:R345" si="212">$D301+D420</f>
        <v>14.34</v>
      </c>
      <c r="E345" s="487">
        <f t="shared" si="212"/>
        <v>14.698500000000001</v>
      </c>
      <c r="F345" s="487">
        <f t="shared" si="212"/>
        <v>15.067755000000002</v>
      </c>
      <c r="G345" s="487">
        <f t="shared" si="212"/>
        <v>15.448087650000002</v>
      </c>
      <c r="H345" s="487">
        <f t="shared" si="212"/>
        <v>15.839830279500001</v>
      </c>
      <c r="I345" s="487">
        <f t="shared" si="212"/>
        <v>16.243325187885002</v>
      </c>
      <c r="J345" s="487">
        <f t="shared" si="212"/>
        <v>16.658924943521551</v>
      </c>
      <c r="K345" s="487">
        <f t="shared" si="212"/>
        <v>17.086992691827199</v>
      </c>
      <c r="L345" s="487">
        <f t="shared" si="212"/>
        <v>17.527902472582017</v>
      </c>
      <c r="M345" s="487">
        <f t="shared" si="212"/>
        <v>17.982039546759477</v>
      </c>
      <c r="N345" s="487">
        <f t="shared" si="212"/>
        <v>18.449800733162263</v>
      </c>
      <c r="O345" s="487">
        <f t="shared" si="212"/>
        <v>18.931594755157132</v>
      </c>
      <c r="P345" s="487">
        <f t="shared" si="212"/>
        <v>19.427842597811846</v>
      </c>
      <c r="Q345" s="487">
        <f t="shared" si="212"/>
        <v>19.9389778757462</v>
      </c>
      <c r="R345" s="487">
        <f t="shared" si="212"/>
        <v>20.465447212018589</v>
      </c>
    </row>
    <row r="346" spans="2:19" x14ac:dyDescent="0.3">
      <c r="B346" s="644" t="s">
        <v>2790</v>
      </c>
      <c r="D346" s="487">
        <f t="shared" ref="D346:R346" si="213">$D303+D417</f>
        <v>65.005129343046775</v>
      </c>
      <c r="E346" s="487">
        <f t="shared" si="213"/>
        <v>66.675490701058195</v>
      </c>
      <c r="F346" s="487">
        <f t="shared" si="213"/>
        <v>68.395962899809973</v>
      </c>
      <c r="G346" s="487">
        <f t="shared" si="213"/>
        <v>70.168049264524299</v>
      </c>
      <c r="H346" s="487">
        <f t="shared" si="213"/>
        <v>71.993298220180066</v>
      </c>
      <c r="I346" s="487">
        <f t="shared" si="213"/>
        <v>73.873304644505495</v>
      </c>
      <c r="J346" s="487">
        <f t="shared" si="213"/>
        <v>75.809711261560693</v>
      </c>
      <c r="K346" s="487">
        <f t="shared" si="213"/>
        <v>77.80421007712755</v>
      </c>
      <c r="L346" s="487">
        <f t="shared" si="213"/>
        <v>79.858543857161408</v>
      </c>
      <c r="M346" s="487">
        <f t="shared" si="213"/>
        <v>81.974507650596266</v>
      </c>
      <c r="N346" s="487">
        <f t="shared" si="213"/>
        <v>84.153950357834191</v>
      </c>
      <c r="O346" s="487">
        <f t="shared" si="213"/>
        <v>86.398776346289253</v>
      </c>
      <c r="P346" s="487">
        <f t="shared" si="213"/>
        <v>88.710947114397968</v>
      </c>
      <c r="Q346" s="487">
        <f t="shared" si="213"/>
        <v>91.092483005549937</v>
      </c>
      <c r="R346" s="487">
        <f t="shared" si="213"/>
        <v>93.545464973436466</v>
      </c>
    </row>
    <row r="347" spans="2:19" customFormat="1" x14ac:dyDescent="0.3"/>
    <row r="348" spans="2:19" x14ac:dyDescent="0.3">
      <c r="B348" s="556" t="s">
        <v>2828</v>
      </c>
      <c r="C348" s="556" t="s">
        <v>59</v>
      </c>
      <c r="D348" s="556">
        <v>2021</v>
      </c>
      <c r="E348" s="556">
        <v>2022</v>
      </c>
      <c r="F348" s="556">
        <v>2023</v>
      </c>
      <c r="G348" s="556">
        <v>2024</v>
      </c>
      <c r="H348" s="556">
        <v>2025</v>
      </c>
      <c r="I348" s="556">
        <v>2026</v>
      </c>
      <c r="J348" s="556">
        <v>2027</v>
      </c>
      <c r="K348" s="556">
        <v>2028</v>
      </c>
      <c r="L348" s="556">
        <v>2029</v>
      </c>
      <c r="M348" s="556">
        <v>2030</v>
      </c>
      <c r="N348" s="556">
        <v>2031</v>
      </c>
      <c r="O348" s="556">
        <v>2032</v>
      </c>
      <c r="P348" s="556">
        <v>2033</v>
      </c>
      <c r="Q348" s="556">
        <v>2034</v>
      </c>
      <c r="R348" s="556">
        <v>2035</v>
      </c>
      <c r="S348" s="554" t="s">
        <v>2829</v>
      </c>
    </row>
    <row r="349" spans="2:19" x14ac:dyDescent="0.3">
      <c r="B349" s="644" t="s">
        <v>388</v>
      </c>
      <c r="D349" s="1014">
        <f t="shared" ref="D349:R349" si="214">(D359*$D$214)+(D361*$D$217)+(D363*$D$216)</f>
        <v>0</v>
      </c>
      <c r="E349" s="1014">
        <f t="shared" si="214"/>
        <v>0</v>
      </c>
      <c r="F349" s="1014">
        <f t="shared" si="214"/>
        <v>0</v>
      </c>
      <c r="G349" s="1014">
        <f t="shared" si="214"/>
        <v>5.9267780280379913E-2</v>
      </c>
      <c r="H349" s="1014">
        <f t="shared" si="214"/>
        <v>2.9080079037346333E-2</v>
      </c>
      <c r="I349" s="1014">
        <f t="shared" si="214"/>
        <v>0</v>
      </c>
      <c r="J349" s="1014">
        <f t="shared" si="214"/>
        <v>0</v>
      </c>
      <c r="K349" s="1014">
        <f t="shared" si="214"/>
        <v>0</v>
      </c>
      <c r="L349" s="1014">
        <f t="shared" si="214"/>
        <v>0</v>
      </c>
      <c r="M349" s="1014">
        <f t="shared" si="214"/>
        <v>0</v>
      </c>
      <c r="N349" s="1014">
        <f t="shared" si="214"/>
        <v>0</v>
      </c>
      <c r="O349" s="1014">
        <f t="shared" si="214"/>
        <v>0</v>
      </c>
      <c r="P349" s="1014">
        <f t="shared" si="214"/>
        <v>0</v>
      </c>
      <c r="Q349" s="1014">
        <f t="shared" si="214"/>
        <v>0</v>
      </c>
      <c r="R349" s="1014">
        <f t="shared" si="214"/>
        <v>0</v>
      </c>
    </row>
    <row r="350" spans="2:19" x14ac:dyDescent="0.3">
      <c r="B350" s="644" t="s">
        <v>389</v>
      </c>
      <c r="D350" s="1435">
        <v>0</v>
      </c>
      <c r="E350" s="1431">
        <f t="shared" ref="E350:R350" si="215">IFERROR((E282-D282)/E329,0)</f>
        <v>0</v>
      </c>
      <c r="F350" s="1431">
        <f t="shared" si="215"/>
        <v>0</v>
      </c>
      <c r="G350" s="1431">
        <f t="shared" si="215"/>
        <v>5.6950496462835121E-2</v>
      </c>
      <c r="H350" s="1431">
        <f t="shared" si="215"/>
        <v>2.7716349164780951E-2</v>
      </c>
      <c r="I350" s="1431">
        <f t="shared" si="215"/>
        <v>0</v>
      </c>
      <c r="J350" s="1431">
        <f t="shared" si="215"/>
        <v>0</v>
      </c>
      <c r="K350" s="1431">
        <f t="shared" si="215"/>
        <v>0</v>
      </c>
      <c r="L350" s="1431">
        <f t="shared" si="215"/>
        <v>0</v>
      </c>
      <c r="M350" s="1431">
        <f t="shared" si="215"/>
        <v>0</v>
      </c>
      <c r="N350" s="1431">
        <f t="shared" si="215"/>
        <v>0</v>
      </c>
      <c r="O350" s="1431">
        <f t="shared" si="215"/>
        <v>0</v>
      </c>
      <c r="P350" s="1431">
        <f t="shared" si="215"/>
        <v>0</v>
      </c>
      <c r="Q350" s="1431">
        <f t="shared" si="215"/>
        <v>0</v>
      </c>
      <c r="R350" s="1431">
        <f t="shared" si="215"/>
        <v>0</v>
      </c>
      <c r="S350" s="1451">
        <f>IFERROR((H282-D282)/H329,0)</f>
        <v>8.3149047494342848E-2</v>
      </c>
    </row>
    <row r="351" spans="2:19" x14ac:dyDescent="0.3">
      <c r="B351" s="644" t="s">
        <v>2806</v>
      </c>
      <c r="D351" s="1435">
        <v>0</v>
      </c>
      <c r="E351" s="1431">
        <f t="shared" ref="E351:R351" si="216">IFERROR((E287-D287)/E330,0)</f>
        <v>4.495987634438231E-3</v>
      </c>
      <c r="F351" s="1431">
        <f t="shared" si="216"/>
        <v>4.526069136489448E-3</v>
      </c>
      <c r="G351" s="1431">
        <f t="shared" si="216"/>
        <v>5.3354362329769929E-2</v>
      </c>
      <c r="H351" s="1431">
        <f t="shared" si="216"/>
        <v>2.8424789346010507E-2</v>
      </c>
      <c r="I351" s="1431">
        <f t="shared" si="216"/>
        <v>4.613379720365067E-3</v>
      </c>
      <c r="J351" s="1431">
        <f t="shared" si="216"/>
        <v>4.6415040554663185E-3</v>
      </c>
      <c r="K351" s="1431">
        <f t="shared" si="216"/>
        <v>4.6691392587836717E-3</v>
      </c>
      <c r="L351" s="1431">
        <f t="shared" si="216"/>
        <v>4.6962862225307543E-3</v>
      </c>
      <c r="M351" s="1431">
        <f t="shared" si="216"/>
        <v>4.7229462266430303E-3</v>
      </c>
      <c r="N351" s="1431">
        <f t="shared" si="216"/>
        <v>4.7491209233074972E-3</v>
      </c>
      <c r="O351" s="1431">
        <f t="shared" si="216"/>
        <v>4.7748123213409805E-3</v>
      </c>
      <c r="P351" s="1431">
        <f t="shared" si="216"/>
        <v>4.8000227704654867E-3</v>
      </c>
      <c r="Q351" s="1431">
        <f t="shared" si="216"/>
        <v>4.8247549455369661E-3</v>
      </c>
      <c r="R351" s="1431">
        <f t="shared" si="216"/>
        <v>4.84901183077376E-3</v>
      </c>
      <c r="S351" s="1451">
        <f>IFERROR((H287-D287)/H330,0)</f>
        <v>8.9073357009817028E-2</v>
      </c>
    </row>
    <row r="352" spans="2:19" x14ac:dyDescent="0.3">
      <c r="B352" s="644" t="s">
        <v>390</v>
      </c>
      <c r="D352" s="1435">
        <v>0</v>
      </c>
      <c r="E352" s="1431">
        <f t="shared" ref="E352:R352" si="217">IFERROR((E283-D283)/E331,0)</f>
        <v>0</v>
      </c>
      <c r="F352" s="1431">
        <f t="shared" si="217"/>
        <v>0</v>
      </c>
      <c r="G352" s="1431">
        <f t="shared" si="217"/>
        <v>0</v>
      </c>
      <c r="H352" s="1431">
        <f t="shared" si="217"/>
        <v>0</v>
      </c>
      <c r="I352" s="1431">
        <f t="shared" si="217"/>
        <v>0</v>
      </c>
      <c r="J352" s="1431">
        <f t="shared" si="217"/>
        <v>0</v>
      </c>
      <c r="K352" s="1431">
        <f t="shared" si="217"/>
        <v>0</v>
      </c>
      <c r="L352" s="1431">
        <f t="shared" si="217"/>
        <v>0</v>
      </c>
      <c r="M352" s="1431">
        <f t="shared" si="217"/>
        <v>0</v>
      </c>
      <c r="N352" s="1431">
        <f t="shared" si="217"/>
        <v>0</v>
      </c>
      <c r="O352" s="1431">
        <f t="shared" si="217"/>
        <v>0</v>
      </c>
      <c r="P352" s="1431">
        <f t="shared" si="217"/>
        <v>0</v>
      </c>
      <c r="Q352" s="1431">
        <f t="shared" si="217"/>
        <v>0</v>
      </c>
      <c r="R352" s="1431">
        <f t="shared" si="217"/>
        <v>0</v>
      </c>
      <c r="S352" s="1451">
        <f>IFERROR((H283-D283)/H331,0)</f>
        <v>0</v>
      </c>
    </row>
    <row r="353" spans="2:19" x14ac:dyDescent="0.3">
      <c r="B353" s="644" t="s">
        <v>391</v>
      </c>
      <c r="D353" s="1435">
        <v>0</v>
      </c>
      <c r="E353" s="1431">
        <f t="shared" ref="E353:R353" si="218">IFERROR((E284-D284)/E332,0)</f>
        <v>0</v>
      </c>
      <c r="F353" s="1431">
        <f t="shared" si="218"/>
        <v>0</v>
      </c>
      <c r="G353" s="1431">
        <f t="shared" si="218"/>
        <v>0</v>
      </c>
      <c r="H353" s="1431">
        <f t="shared" si="218"/>
        <v>0</v>
      </c>
      <c r="I353" s="1431">
        <f t="shared" si="218"/>
        <v>0</v>
      </c>
      <c r="J353" s="1431">
        <f t="shared" si="218"/>
        <v>0</v>
      </c>
      <c r="K353" s="1431">
        <f t="shared" si="218"/>
        <v>0</v>
      </c>
      <c r="L353" s="1431">
        <f t="shared" si="218"/>
        <v>0</v>
      </c>
      <c r="M353" s="1431">
        <f t="shared" si="218"/>
        <v>0</v>
      </c>
      <c r="N353" s="1431">
        <f t="shared" si="218"/>
        <v>0</v>
      </c>
      <c r="O353" s="1431">
        <f t="shared" si="218"/>
        <v>0</v>
      </c>
      <c r="P353" s="1431">
        <f t="shared" si="218"/>
        <v>0</v>
      </c>
      <c r="Q353" s="1431">
        <f t="shared" si="218"/>
        <v>0</v>
      </c>
      <c r="R353" s="1431">
        <f t="shared" si="218"/>
        <v>0</v>
      </c>
      <c r="S353" s="1451">
        <f>IFERROR((H284-D284)/H332,0)</f>
        <v>0</v>
      </c>
    </row>
    <row r="354" spans="2:19" x14ac:dyDescent="0.3">
      <c r="B354" s="644" t="s">
        <v>392</v>
      </c>
      <c r="D354" s="1435">
        <v>0</v>
      </c>
      <c r="E354" s="1431">
        <f t="shared" ref="E354:R354" si="219">IFERROR((E285-D285)/E333,0)</f>
        <v>0</v>
      </c>
      <c r="F354" s="1431">
        <f t="shared" si="219"/>
        <v>0</v>
      </c>
      <c r="G354" s="1431">
        <f t="shared" si="219"/>
        <v>9.4541410742306608E-3</v>
      </c>
      <c r="H354" s="1431">
        <f t="shared" si="219"/>
        <v>5.0816895736211102E-3</v>
      </c>
      <c r="I354" s="1431">
        <f t="shared" si="219"/>
        <v>0</v>
      </c>
      <c r="J354" s="1431">
        <f t="shared" si="219"/>
        <v>0</v>
      </c>
      <c r="K354" s="1431">
        <f t="shared" si="219"/>
        <v>0</v>
      </c>
      <c r="L354" s="1431">
        <f t="shared" si="219"/>
        <v>0</v>
      </c>
      <c r="M354" s="1431">
        <f t="shared" si="219"/>
        <v>0</v>
      </c>
      <c r="N354" s="1431">
        <f t="shared" si="219"/>
        <v>0</v>
      </c>
      <c r="O354" s="1431">
        <f t="shared" si="219"/>
        <v>0</v>
      </c>
      <c r="P354" s="1431">
        <f t="shared" si="219"/>
        <v>0</v>
      </c>
      <c r="Q354" s="1431">
        <f t="shared" si="219"/>
        <v>0</v>
      </c>
      <c r="R354" s="1431">
        <f t="shared" si="219"/>
        <v>0</v>
      </c>
      <c r="S354" s="1451">
        <f>IFERROR((H285-D285)/H333,0)</f>
        <v>1.4266631026722251E-2</v>
      </c>
    </row>
    <row r="355" spans="2:19" x14ac:dyDescent="0.3">
      <c r="B355" s="644" t="s">
        <v>393</v>
      </c>
      <c r="D355" s="1435">
        <v>0</v>
      </c>
      <c r="E355" s="1431">
        <f t="shared" ref="E355:R355" si="220">IFERROR((E286-D286)/E334,0)</f>
        <v>0</v>
      </c>
      <c r="F355" s="1431">
        <f t="shared" si="220"/>
        <v>0</v>
      </c>
      <c r="G355" s="1431">
        <f t="shared" si="220"/>
        <v>2.6963304918796515E-2</v>
      </c>
      <c r="H355" s="1431">
        <f t="shared" si="220"/>
        <v>1.3093427975771347E-2</v>
      </c>
      <c r="I355" s="1431">
        <f t="shared" si="220"/>
        <v>0</v>
      </c>
      <c r="J355" s="1431">
        <f t="shared" si="220"/>
        <v>0</v>
      </c>
      <c r="K355" s="1431">
        <f t="shared" si="220"/>
        <v>0</v>
      </c>
      <c r="L355" s="1431">
        <f t="shared" si="220"/>
        <v>0</v>
      </c>
      <c r="M355" s="1431">
        <f t="shared" si="220"/>
        <v>0</v>
      </c>
      <c r="N355" s="1431">
        <f t="shared" si="220"/>
        <v>0</v>
      </c>
      <c r="O355" s="1431">
        <f t="shared" si="220"/>
        <v>0</v>
      </c>
      <c r="P355" s="1431">
        <f t="shared" si="220"/>
        <v>0</v>
      </c>
      <c r="Q355" s="1431">
        <f t="shared" si="220"/>
        <v>0</v>
      </c>
      <c r="R355" s="1431">
        <f t="shared" si="220"/>
        <v>0</v>
      </c>
      <c r="S355" s="1451">
        <f>IFERROR((H286-D286)/H334,0)</f>
        <v>3.9280283927314051E-2</v>
      </c>
    </row>
    <row r="356" spans="2:19" x14ac:dyDescent="0.3">
      <c r="B356" s="644" t="s">
        <v>2807</v>
      </c>
      <c r="D356" s="1435">
        <v>0</v>
      </c>
      <c r="E356" s="1431">
        <f t="shared" ref="E356:R356" si="221">IFERROR((E288-D288)/E335,0)</f>
        <v>0</v>
      </c>
      <c r="F356" s="1431">
        <f t="shared" si="221"/>
        <v>0</v>
      </c>
      <c r="G356" s="1431">
        <f t="shared" si="221"/>
        <v>2.6877155786070563E-2</v>
      </c>
      <c r="H356" s="1431">
        <f t="shared" si="221"/>
        <v>1.3052794745798305E-2</v>
      </c>
      <c r="I356" s="1431">
        <f t="shared" si="221"/>
        <v>0</v>
      </c>
      <c r="J356" s="1431">
        <f t="shared" si="221"/>
        <v>0</v>
      </c>
      <c r="K356" s="1431">
        <f t="shared" si="221"/>
        <v>0</v>
      </c>
      <c r="L356" s="1431">
        <f t="shared" si="221"/>
        <v>0</v>
      </c>
      <c r="M356" s="1431">
        <f t="shared" si="221"/>
        <v>0</v>
      </c>
      <c r="N356" s="1431">
        <f t="shared" si="221"/>
        <v>0</v>
      </c>
      <c r="O356" s="1431">
        <f t="shared" si="221"/>
        <v>0</v>
      </c>
      <c r="P356" s="1431">
        <f t="shared" si="221"/>
        <v>0</v>
      </c>
      <c r="Q356" s="1431">
        <f t="shared" si="221"/>
        <v>0</v>
      </c>
      <c r="R356" s="1431">
        <f t="shared" si="221"/>
        <v>0</v>
      </c>
      <c r="S356" s="1451">
        <f t="shared" ref="S356:S364" si="222">IFERROR((H288-D288)/H335,0)</f>
        <v>3.9158384237394914E-2</v>
      </c>
    </row>
    <row r="357" spans="2:19" x14ac:dyDescent="0.3">
      <c r="B357" s="644" t="s">
        <v>2808</v>
      </c>
      <c r="D357" s="1435">
        <v>0</v>
      </c>
      <c r="E357" s="1431">
        <f t="shared" ref="E357:R357" si="223">IFERROR((E289-D289)/E336,0)</f>
        <v>4.7779444837224407E-3</v>
      </c>
      <c r="F357" s="1431">
        <f t="shared" si="223"/>
        <v>4.8030958527614876E-3</v>
      </c>
      <c r="G357" s="1431">
        <f t="shared" si="223"/>
        <v>1.2847832011289044E-2</v>
      </c>
      <c r="H357" s="1431">
        <f t="shared" si="223"/>
        <v>9.1815270621231019E-3</v>
      </c>
      <c r="I357" s="1431">
        <f t="shared" si="223"/>
        <v>4.8756948000538407E-3</v>
      </c>
      <c r="J357" s="1431">
        <f t="shared" si="223"/>
        <v>4.8989537567640188E-3</v>
      </c>
      <c r="K357" s="1431">
        <f t="shared" si="223"/>
        <v>4.9217485635971846E-3</v>
      </c>
      <c r="L357" s="1431">
        <f t="shared" si="223"/>
        <v>4.9440833154803781E-3</v>
      </c>
      <c r="M357" s="1431">
        <f t="shared" si="223"/>
        <v>4.9659623375227632E-3</v>
      </c>
      <c r="N357" s="1431">
        <f t="shared" si="223"/>
        <v>4.9873901701488754E-3</v>
      </c>
      <c r="O357" s="1431">
        <f t="shared" si="223"/>
        <v>5.0083715544976346E-3</v>
      </c>
      <c r="P357" s="1431">
        <f t="shared" si="223"/>
        <v>5.0289114181152061E-3</v>
      </c>
      <c r="Q357" s="1431">
        <f t="shared" si="223"/>
        <v>5.0490148609633511E-3</v>
      </c>
      <c r="R357" s="1431">
        <f t="shared" si="223"/>
        <v>5.068687141764853E-3</v>
      </c>
      <c r="S357" s="1451">
        <f t="shared" si="222"/>
        <v>3.0731355679073164E-2</v>
      </c>
    </row>
    <row r="358" spans="2:19" x14ac:dyDescent="0.3">
      <c r="B358" s="644" t="s">
        <v>2809</v>
      </c>
      <c r="D358" s="1435">
        <v>0</v>
      </c>
      <c r="E358" s="1431">
        <f t="shared" ref="E358:R358" si="224">IFERROR((E290-D290)/E337,0)</f>
        <v>4.8300431042966876E-3</v>
      </c>
      <c r="F358" s="1431">
        <f t="shared" si="224"/>
        <v>4.8541975821001981E-3</v>
      </c>
      <c r="G358" s="1431">
        <f t="shared" si="224"/>
        <v>2.6549451796720622E-2</v>
      </c>
      <c r="H358" s="1431">
        <f t="shared" si="224"/>
        <v>1.5471345711733756E-2</v>
      </c>
      <c r="I358" s="1431">
        <f t="shared" si="224"/>
        <v>4.923848136328784E-3</v>
      </c>
      <c r="J358" s="1431">
        <f t="shared" si="224"/>
        <v>4.9461402564767261E-3</v>
      </c>
      <c r="K358" s="1431">
        <f t="shared" si="224"/>
        <v>4.9679770608025029E-3</v>
      </c>
      <c r="L358" s="1431">
        <f t="shared" si="224"/>
        <v>4.9893631090369836E-3</v>
      </c>
      <c r="M358" s="1431">
        <f t="shared" si="224"/>
        <v>5.0103031602801648E-3</v>
      </c>
      <c r="N358" s="1431">
        <f t="shared" si="224"/>
        <v>5.0308021587224562E-3</v>
      </c>
      <c r="O358" s="1431">
        <f t="shared" si="224"/>
        <v>5.050865219683516E-3</v>
      </c>
      <c r="P358" s="1431">
        <f t="shared" si="224"/>
        <v>5.0704976159903136E-3</v>
      </c>
      <c r="Q358" s="1431">
        <f t="shared" si="224"/>
        <v>5.0897047647108506E-3</v>
      </c>
      <c r="R358" s="1431">
        <f t="shared" si="224"/>
        <v>5.1084922142606371E-3</v>
      </c>
      <c r="S358" s="1451">
        <f t="shared" si="222"/>
        <v>5.0475141226032194E-2</v>
      </c>
    </row>
    <row r="359" spans="2:19" x14ac:dyDescent="0.3">
      <c r="B359" s="644" t="s">
        <v>2746</v>
      </c>
      <c r="D359" s="1435">
        <v>0</v>
      </c>
      <c r="E359" s="1431">
        <f t="shared" ref="E359:R359" si="225">IFERROR((E291-D291)/E338,0)</f>
        <v>0</v>
      </c>
      <c r="F359" s="1431">
        <f t="shared" si="225"/>
        <v>0</v>
      </c>
      <c r="G359" s="1431">
        <f t="shared" si="225"/>
        <v>0</v>
      </c>
      <c r="H359" s="1431">
        <f t="shared" si="225"/>
        <v>0</v>
      </c>
      <c r="I359" s="1431">
        <f t="shared" si="225"/>
        <v>0</v>
      </c>
      <c r="J359" s="1431">
        <f t="shared" si="225"/>
        <v>0</v>
      </c>
      <c r="K359" s="1431">
        <f t="shared" si="225"/>
        <v>0</v>
      </c>
      <c r="L359" s="1431">
        <f t="shared" si="225"/>
        <v>0</v>
      </c>
      <c r="M359" s="1431">
        <f t="shared" si="225"/>
        <v>0</v>
      </c>
      <c r="N359" s="1431">
        <f t="shared" si="225"/>
        <v>0</v>
      </c>
      <c r="O359" s="1431">
        <f t="shared" si="225"/>
        <v>0</v>
      </c>
      <c r="P359" s="1431">
        <f t="shared" si="225"/>
        <v>0</v>
      </c>
      <c r="Q359" s="1431">
        <f t="shared" si="225"/>
        <v>0</v>
      </c>
      <c r="R359" s="1431">
        <f t="shared" si="225"/>
        <v>0</v>
      </c>
      <c r="S359" s="1451">
        <f t="shared" si="222"/>
        <v>0</v>
      </c>
    </row>
    <row r="360" spans="2:19" x14ac:dyDescent="0.3">
      <c r="B360" s="644" t="s">
        <v>2813</v>
      </c>
      <c r="D360" s="1435">
        <v>0</v>
      </c>
      <c r="E360" s="1431">
        <f t="shared" ref="E360:R360" si="226">IFERROR((E292-D292)/E339,0)</f>
        <v>2.657957705490484E-3</v>
      </c>
      <c r="F360" s="1431">
        <f t="shared" si="226"/>
        <v>2.7007275753580641E-3</v>
      </c>
      <c r="G360" s="1431">
        <f t="shared" si="226"/>
        <v>2.743589510213508E-3</v>
      </c>
      <c r="H360" s="1431">
        <f t="shared" si="226"/>
        <v>2.7865250291936915E-3</v>
      </c>
      <c r="I360" s="1431">
        <f t="shared" si="226"/>
        <v>2.8295155235609831E-3</v>
      </c>
      <c r="J360" s="1431">
        <f t="shared" si="226"/>
        <v>2.8725422888264524E-3</v>
      </c>
      <c r="K360" s="1431">
        <f t="shared" si="226"/>
        <v>2.9155865572269611E-3</v>
      </c>
      <c r="L360" s="1431">
        <f t="shared" si="226"/>
        <v>2.9586295304370588E-3</v>
      </c>
      <c r="M360" s="1431">
        <f t="shared" si="226"/>
        <v>3.0016524123929996E-3</v>
      </c>
      <c r="N360" s="1431">
        <f t="shared" si="226"/>
        <v>3.0446364421099687E-3</v>
      </c>
      <c r="O360" s="1431">
        <f t="shared" si="226"/>
        <v>3.0875629263682094E-3</v>
      </c>
      <c r="P360" s="1431">
        <f t="shared" si="226"/>
        <v>3.1304132721481979E-3</v>
      </c>
      <c r="Q360" s="1431">
        <f t="shared" si="226"/>
        <v>3.1731690186965911E-3</v>
      </c>
      <c r="R360" s="1431">
        <f t="shared" si="226"/>
        <v>3.2158118691035672E-3</v>
      </c>
      <c r="S360" s="1451">
        <f t="shared" si="222"/>
        <v>1.0668521367469088E-2</v>
      </c>
    </row>
    <row r="361" spans="2:19" x14ac:dyDescent="0.3">
      <c r="B361" s="644" t="s">
        <v>2814</v>
      </c>
      <c r="D361" s="1435">
        <v>0</v>
      </c>
      <c r="E361" s="1431">
        <f t="shared" ref="E361:R361" si="227">IFERROR((E293-D293)/E340,0)</f>
        <v>0</v>
      </c>
      <c r="F361" s="1431">
        <f t="shared" si="227"/>
        <v>0</v>
      </c>
      <c r="G361" s="1431">
        <f t="shared" si="227"/>
        <v>9.298360068343986E-2</v>
      </c>
      <c r="H361" s="1431">
        <f t="shared" si="227"/>
        <v>4.5709651018009813E-2</v>
      </c>
      <c r="I361" s="1431">
        <f t="shared" si="227"/>
        <v>0</v>
      </c>
      <c r="J361" s="1431">
        <f t="shared" si="227"/>
        <v>0</v>
      </c>
      <c r="K361" s="1431">
        <f t="shared" si="227"/>
        <v>0</v>
      </c>
      <c r="L361" s="1431">
        <f t="shared" si="227"/>
        <v>0</v>
      </c>
      <c r="M361" s="1431">
        <f t="shared" si="227"/>
        <v>0</v>
      </c>
      <c r="N361" s="1431">
        <f t="shared" si="227"/>
        <v>0</v>
      </c>
      <c r="O361" s="1431">
        <f t="shared" si="227"/>
        <v>0</v>
      </c>
      <c r="P361" s="1431">
        <f t="shared" si="227"/>
        <v>0</v>
      </c>
      <c r="Q361" s="1431">
        <f t="shared" si="227"/>
        <v>0</v>
      </c>
      <c r="R361" s="1431">
        <f t="shared" si="227"/>
        <v>0</v>
      </c>
      <c r="S361" s="1451">
        <f t="shared" si="222"/>
        <v>0.13712895305402961</v>
      </c>
    </row>
    <row r="362" spans="2:19" x14ac:dyDescent="0.3">
      <c r="B362" s="644" t="s">
        <v>2815</v>
      </c>
      <c r="D362" s="1435">
        <v>0</v>
      </c>
      <c r="E362" s="1431">
        <f t="shared" ref="E362:R362" si="228">IFERROR((E294-D294)/E341,0)</f>
        <v>0</v>
      </c>
      <c r="F362" s="1431">
        <f t="shared" si="228"/>
        <v>0</v>
      </c>
      <c r="G362" s="1431">
        <f t="shared" si="228"/>
        <v>9.0825880134078552E-2</v>
      </c>
      <c r="H362" s="1431">
        <f t="shared" si="228"/>
        <v>4.463475532696376E-2</v>
      </c>
      <c r="I362" s="1431">
        <f t="shared" si="228"/>
        <v>0</v>
      </c>
      <c r="J362" s="1431">
        <f t="shared" si="228"/>
        <v>0</v>
      </c>
      <c r="K362" s="1431">
        <f t="shared" si="228"/>
        <v>0</v>
      </c>
      <c r="L362" s="1431">
        <f t="shared" si="228"/>
        <v>0</v>
      </c>
      <c r="M362" s="1431">
        <f t="shared" si="228"/>
        <v>0</v>
      </c>
      <c r="N362" s="1431">
        <f t="shared" si="228"/>
        <v>0</v>
      </c>
      <c r="O362" s="1431">
        <f t="shared" si="228"/>
        <v>0</v>
      </c>
      <c r="P362" s="1431">
        <f t="shared" si="228"/>
        <v>0</v>
      </c>
      <c r="Q362" s="1431">
        <f t="shared" si="228"/>
        <v>0</v>
      </c>
      <c r="R362" s="1431">
        <f t="shared" si="228"/>
        <v>0</v>
      </c>
      <c r="S362" s="1451">
        <f t="shared" si="222"/>
        <v>0.1339042659808912</v>
      </c>
    </row>
    <row r="363" spans="2:19" ht="14.45" customHeight="1" x14ac:dyDescent="0.3">
      <c r="B363" s="644" t="s">
        <v>2730</v>
      </c>
      <c r="D363" s="1435">
        <v>0</v>
      </c>
      <c r="E363" s="1431">
        <f t="shared" ref="E363:R363" si="229">IFERROR((E295-D295)/E342,0)</f>
        <v>0</v>
      </c>
      <c r="F363" s="1431">
        <f t="shared" si="229"/>
        <v>0</v>
      </c>
      <c r="G363" s="1431">
        <f t="shared" si="229"/>
        <v>7.874850898850301E-2</v>
      </c>
      <c r="H363" s="1431">
        <f t="shared" si="229"/>
        <v>3.863609749572073E-2</v>
      </c>
      <c r="I363" s="1431">
        <f t="shared" si="229"/>
        <v>0</v>
      </c>
      <c r="J363" s="1431">
        <f t="shared" si="229"/>
        <v>0</v>
      </c>
      <c r="K363" s="1431">
        <f t="shared" si="229"/>
        <v>0</v>
      </c>
      <c r="L363" s="1431">
        <f t="shared" si="229"/>
        <v>0</v>
      </c>
      <c r="M363" s="1431">
        <f t="shared" si="229"/>
        <v>0</v>
      </c>
      <c r="N363" s="1431">
        <f t="shared" si="229"/>
        <v>0</v>
      </c>
      <c r="O363" s="1431">
        <f t="shared" si="229"/>
        <v>0</v>
      </c>
      <c r="P363" s="1431">
        <f t="shared" si="229"/>
        <v>0</v>
      </c>
      <c r="Q363" s="1431">
        <f t="shared" si="229"/>
        <v>0</v>
      </c>
      <c r="R363" s="1431">
        <f t="shared" si="229"/>
        <v>0</v>
      </c>
      <c r="S363" s="1451">
        <f t="shared" si="222"/>
        <v>0.11590829248716218</v>
      </c>
    </row>
    <row r="364" spans="2:19" ht="14.45" customHeight="1" x14ac:dyDescent="0.3">
      <c r="B364" s="644" t="s">
        <v>2816</v>
      </c>
      <c r="D364" s="1435">
        <v>0</v>
      </c>
      <c r="E364" s="1431">
        <f t="shared" ref="E364:R364" si="230">IFERROR((E296-D296)/E343,0)</f>
        <v>3.2377904927190569E-3</v>
      </c>
      <c r="F364" s="1431">
        <f t="shared" si="230"/>
        <v>3.2802276544459394E-3</v>
      </c>
      <c r="G364" s="1431">
        <f t="shared" si="230"/>
        <v>7.3850245474577664E-2</v>
      </c>
      <c r="H364" s="1431">
        <f t="shared" si="230"/>
        <v>3.8035233878072817E-2</v>
      </c>
      <c r="I364" s="1431">
        <f t="shared" si="230"/>
        <v>3.4065214437240814E-3</v>
      </c>
      <c r="J364" s="1431">
        <f t="shared" si="230"/>
        <v>3.4482228940936879E-3</v>
      </c>
      <c r="K364" s="1431">
        <f t="shared" si="230"/>
        <v>3.4896983043458977E-3</v>
      </c>
      <c r="L364" s="1431">
        <f t="shared" si="230"/>
        <v>3.5309315415379934E-3</v>
      </c>
      <c r="M364" s="1431">
        <f t="shared" si="230"/>
        <v>3.5719068708208903E-3</v>
      </c>
      <c r="N364" s="1431">
        <f t="shared" si="230"/>
        <v>3.6126089773819521E-3</v>
      </c>
      <c r="O364" s="1431">
        <f t="shared" si="230"/>
        <v>3.6530229869711798E-3</v>
      </c>
      <c r="P364" s="1431">
        <f t="shared" si="230"/>
        <v>3.6931344849673959E-3</v>
      </c>
      <c r="Q364" s="1431">
        <f t="shared" si="230"/>
        <v>3.7329295339389198E-3</v>
      </c>
      <c r="R364" s="1431">
        <f t="shared" si="230"/>
        <v>3.7723946896707564E-3</v>
      </c>
      <c r="S364" s="1451">
        <f t="shared" si="222"/>
        <v>0.11689365606697817</v>
      </c>
    </row>
    <row r="365" spans="2:19" x14ac:dyDescent="0.3">
      <c r="B365" s="644" t="s">
        <v>2819</v>
      </c>
      <c r="D365" s="1435">
        <v>0</v>
      </c>
      <c r="E365" s="1431">
        <f t="shared" ref="E365:R365" si="231">IFERROR((E302-D302)/E344,0)</f>
        <v>4.8780487804878257E-3</v>
      </c>
      <c r="F365" s="1431">
        <f t="shared" si="231"/>
        <v>4.9012610040447139E-3</v>
      </c>
      <c r="G365" s="1431">
        <f t="shared" si="231"/>
        <v>4.924009477639173E-3</v>
      </c>
      <c r="H365" s="1431">
        <f t="shared" si="231"/>
        <v>4.946298319963612E-3</v>
      </c>
      <c r="I365" s="1431">
        <f t="shared" si="231"/>
        <v>4.9681318783908277E-3</v>
      </c>
      <c r="J365" s="1431">
        <f t="shared" si="231"/>
        <v>4.9895147141313413E-3</v>
      </c>
      <c r="K365" s="1431">
        <f t="shared" si="231"/>
        <v>5.0104515876616988E-3</v>
      </c>
      <c r="L365" s="1431">
        <f t="shared" si="231"/>
        <v>5.0309474444476202E-3</v>
      </c>
      <c r="M365" s="1431">
        <f t="shared" si="231"/>
        <v>5.0510074009852612E-3</v>
      </c>
      <c r="N365" s="1431">
        <f t="shared" si="231"/>
        <v>5.070636731181793E-3</v>
      </c>
      <c r="O365" s="1431">
        <f t="shared" si="231"/>
        <v>5.0898408530915991E-3</v>
      </c>
      <c r="P365" s="1431">
        <f t="shared" si="231"/>
        <v>5.1086253160256383E-3</v>
      </c>
      <c r="Q365" s="1431">
        <f t="shared" si="231"/>
        <v>5.1269957880448911E-3</v>
      </c>
      <c r="R365" s="1431">
        <f t="shared" si="231"/>
        <v>5.1449580438507276E-3</v>
      </c>
      <c r="S365" s="1451">
        <f>IFERROR((H302-D302)/H344,0)</f>
        <v>1.8937453912509287E-2</v>
      </c>
    </row>
    <row r="366" spans="2:19" x14ac:dyDescent="0.3">
      <c r="B366" s="644" t="s">
        <v>2821</v>
      </c>
      <c r="D366" s="1435">
        <v>0</v>
      </c>
      <c r="E366" s="1431">
        <f t="shared" ref="E366:R366" si="232">IFERROR((E301-D301)/E345,0)</f>
        <v>4.8780487804878266E-3</v>
      </c>
      <c r="F366" s="1431">
        <f t="shared" si="232"/>
        <v>4.9012610040447217E-3</v>
      </c>
      <c r="G366" s="1431">
        <f t="shared" si="232"/>
        <v>4.9240094776391201E-3</v>
      </c>
      <c r="H366" s="1431">
        <f t="shared" si="232"/>
        <v>4.9462983199636415E-3</v>
      </c>
      <c r="I366" s="1431">
        <f t="shared" si="232"/>
        <v>4.9681318783908225E-3</v>
      </c>
      <c r="J366" s="1431">
        <f t="shared" si="232"/>
        <v>4.9895147141313283E-3</v>
      </c>
      <c r="K366" s="1431">
        <f t="shared" si="232"/>
        <v>5.0104515876616997E-3</v>
      </c>
      <c r="L366" s="1431">
        <f t="shared" si="232"/>
        <v>5.0309474444476055E-3</v>
      </c>
      <c r="M366" s="1431">
        <f t="shared" si="232"/>
        <v>5.051007400985308E-3</v>
      </c>
      <c r="N366" s="1431">
        <f t="shared" si="232"/>
        <v>5.0706367311817652E-3</v>
      </c>
      <c r="O366" s="1431">
        <f t="shared" si="232"/>
        <v>5.0898408530916086E-3</v>
      </c>
      <c r="P366" s="1431">
        <f t="shared" si="232"/>
        <v>5.1086253160256504E-3</v>
      </c>
      <c r="Q366" s="1431">
        <f t="shared" si="232"/>
        <v>5.1269957880448755E-3</v>
      </c>
      <c r="R366" s="1431">
        <f t="shared" si="232"/>
        <v>5.1449580438507354E-3</v>
      </c>
      <c r="S366" s="1451">
        <f>IFERROR((H301-D301)/H345,0)</f>
        <v>1.8937453912509273E-2</v>
      </c>
    </row>
    <row r="367" spans="2:19" x14ac:dyDescent="0.3">
      <c r="B367" s="644" t="s">
        <v>2790</v>
      </c>
      <c r="D367" s="1435">
        <v>0</v>
      </c>
      <c r="E367" s="1431">
        <f t="shared" ref="E367:R367" si="233">IFERROR((E303-D303)/E346,0)</f>
        <v>0</v>
      </c>
      <c r="F367" s="1431">
        <f t="shared" si="233"/>
        <v>0</v>
      </c>
      <c r="G367" s="1431">
        <f t="shared" si="233"/>
        <v>2.9241397638376226E-2</v>
      </c>
      <c r="H367" s="1431">
        <f t="shared" si="233"/>
        <v>1.4250019660010471E-2</v>
      </c>
      <c r="I367" s="1431">
        <f t="shared" si="233"/>
        <v>0</v>
      </c>
      <c r="J367" s="1431">
        <f t="shared" si="233"/>
        <v>0</v>
      </c>
      <c r="K367" s="1431">
        <f t="shared" si="233"/>
        <v>0</v>
      </c>
      <c r="L367" s="1431">
        <f t="shared" si="233"/>
        <v>0</v>
      </c>
      <c r="M367" s="1431">
        <f t="shared" si="233"/>
        <v>0</v>
      </c>
      <c r="N367" s="1431">
        <f t="shared" si="233"/>
        <v>0</v>
      </c>
      <c r="O367" s="1431">
        <f t="shared" si="233"/>
        <v>0</v>
      </c>
      <c r="P367" s="1431">
        <f t="shared" si="233"/>
        <v>0</v>
      </c>
      <c r="Q367" s="1431">
        <f t="shared" si="233"/>
        <v>0</v>
      </c>
      <c r="R367" s="1431">
        <f t="shared" si="233"/>
        <v>0</v>
      </c>
      <c r="S367" s="1451">
        <f>IFERROR((H303-D303)/H346,0)</f>
        <v>4.2750058980031438E-2</v>
      </c>
    </row>
    <row r="369" spans="1:18" x14ac:dyDescent="0.3">
      <c r="B369" s="556" t="s">
        <v>2830</v>
      </c>
      <c r="C369" s="556" t="s">
        <v>59</v>
      </c>
      <c r="D369" s="556">
        <v>2021</v>
      </c>
      <c r="E369" s="556">
        <v>2022</v>
      </c>
      <c r="F369" s="556">
        <v>2023</v>
      </c>
      <c r="G369" s="556">
        <v>2024</v>
      </c>
      <c r="H369" s="556">
        <v>2025</v>
      </c>
      <c r="I369" s="556">
        <v>2026</v>
      </c>
      <c r="J369" s="556">
        <v>2027</v>
      </c>
      <c r="K369" s="556">
        <v>2028</v>
      </c>
      <c r="L369" s="556">
        <v>2029</v>
      </c>
      <c r="M369" s="556">
        <v>2030</v>
      </c>
      <c r="N369" s="556">
        <v>2031</v>
      </c>
      <c r="O369" s="556">
        <v>2032</v>
      </c>
      <c r="P369" s="556">
        <v>2033</v>
      </c>
      <c r="Q369" s="556">
        <v>2034</v>
      </c>
      <c r="R369" s="556">
        <v>2035</v>
      </c>
    </row>
    <row r="370" spans="1:18" x14ac:dyDescent="0.3">
      <c r="B370" s="644" t="s">
        <v>388</v>
      </c>
      <c r="D370" s="1436">
        <f>(D379*$D$214)+(D380*$D$217)+(D382*$D$216)</f>
        <v>0</v>
      </c>
      <c r="E370" s="1436">
        <f t="shared" ref="E370:R370" si="234">(E379*$D$214)+(E380*$D$217)+(E382*$D$216)</f>
        <v>-1.2796119565863342E-4</v>
      </c>
      <c r="F370" s="1436">
        <f t="shared" si="234"/>
        <v>-1.2990613311136722E-4</v>
      </c>
      <c r="G370" s="1436">
        <f t="shared" si="234"/>
        <v>-7.7395771760783291E-3</v>
      </c>
      <c r="H370" s="1436">
        <f t="shared" si="234"/>
        <v>-3.8673772783856327E-3</v>
      </c>
      <c r="I370" s="1436">
        <f t="shared" si="234"/>
        <v>-1.3574507357636033E-4</v>
      </c>
      <c r="J370" s="1436">
        <f t="shared" si="234"/>
        <v>-1.3768999421552878E-4</v>
      </c>
      <c r="K370" s="1436">
        <f t="shared" si="234"/>
        <v>-1.3963283618427427E-4</v>
      </c>
      <c r="L370" s="1436">
        <f t="shared" si="234"/>
        <v>-1.4157277438952239E-4</v>
      </c>
      <c r="M370" s="1436">
        <f t="shared" si="234"/>
        <v>-1.4350898851599642E-4</v>
      </c>
      <c r="N370" s="1436">
        <f t="shared" si="234"/>
        <v>-1.4544066439315282E-4</v>
      </c>
      <c r="O370" s="1436">
        <f t="shared" si="234"/>
        <v>-1.473669953409606E-4</v>
      </c>
      <c r="P370" s="1436">
        <f t="shared" si="234"/>
        <v>-1.4928718348996726E-4</v>
      </c>
      <c r="Q370" s="1436">
        <f t="shared" si="234"/>
        <v>-1.5120044107112097E-4</v>
      </c>
      <c r="R370" s="1436">
        <f t="shared" si="234"/>
        <v>-1.5310599167098836E-4</v>
      </c>
    </row>
    <row r="371" spans="1:18" x14ac:dyDescent="0.3">
      <c r="A371" s="554" t="s">
        <v>389</v>
      </c>
      <c r="B371" s="644" t="s">
        <v>389</v>
      </c>
      <c r="D371" s="546">
        <f>IFERROR(_xlfn.XLOOKUP($A371,$B$269:$B$275,$C$269:$C$275)*D350,0)</f>
        <v>0</v>
      </c>
      <c r="E371" s="546">
        <f t="shared" ref="E371:R371" si="235">IFERROR(_xlfn.XLOOKUP($A371,$B$269:$B$275,$C$269:$C$275)*((E350*(1-$G$843))+(E351*$G$843)),0)</f>
        <v>-1.759460727868817E-4</v>
      </c>
      <c r="F371" s="546">
        <f t="shared" si="235"/>
        <v>-1.7712328290839119E-4</v>
      </c>
      <c r="G371" s="546">
        <f t="shared" si="235"/>
        <v>-1.4666397893026662E-2</v>
      </c>
      <c r="H371" s="546">
        <f t="shared" si="235"/>
        <v>-7.2339748955022988E-3</v>
      </c>
      <c r="I371" s="546">
        <f t="shared" si="235"/>
        <v>-1.8054009709799786E-4</v>
      </c>
      <c r="J371" s="546">
        <f t="shared" si="235"/>
        <v>-1.8164071540773344E-4</v>
      </c>
      <c r="K371" s="546">
        <f t="shared" si="235"/>
        <v>-1.8272219202415275E-4</v>
      </c>
      <c r="L371" s="546">
        <f t="shared" si="235"/>
        <v>-1.8378456186316229E-4</v>
      </c>
      <c r="M371" s="546">
        <f t="shared" si="235"/>
        <v>-1.848278750137829E-4</v>
      </c>
      <c r="N371" s="546">
        <f t="shared" si="235"/>
        <v>-1.8585219613273464E-4</v>
      </c>
      <c r="O371" s="546">
        <f t="shared" si="235"/>
        <v>-1.8685760383309652E-4</v>
      </c>
      <c r="P371" s="546">
        <f t="shared" si="235"/>
        <v>-1.8784419006893799E-4</v>
      </c>
      <c r="Q371" s="546">
        <f t="shared" si="235"/>
        <v>-1.8881205951812703E-4</v>
      </c>
      <c r="R371" s="546">
        <f t="shared" si="235"/>
        <v>-1.8976132896512572E-4</v>
      </c>
    </row>
    <row r="372" spans="1:18" x14ac:dyDescent="0.3">
      <c r="B372" s="644" t="s">
        <v>390</v>
      </c>
      <c r="D372" s="1437">
        <f t="shared" ref="D372:R372" si="236">IFERROR(_xlfn.XLOOKUP($A372,$B$269:$B$275,$C$269:$C$275)*D352,0)</f>
        <v>0</v>
      </c>
      <c r="E372" s="1437">
        <f t="shared" si="236"/>
        <v>0</v>
      </c>
      <c r="F372" s="1437">
        <f t="shared" si="236"/>
        <v>0</v>
      </c>
      <c r="G372" s="1437">
        <f t="shared" si="236"/>
        <v>0</v>
      </c>
      <c r="H372" s="1437">
        <f t="shared" si="236"/>
        <v>0</v>
      </c>
      <c r="I372" s="1437">
        <f t="shared" si="236"/>
        <v>0</v>
      </c>
      <c r="J372" s="1437">
        <f t="shared" si="236"/>
        <v>0</v>
      </c>
      <c r="K372" s="1437">
        <f t="shared" si="236"/>
        <v>0</v>
      </c>
      <c r="L372" s="1437">
        <f t="shared" si="236"/>
        <v>0</v>
      </c>
      <c r="M372" s="1437">
        <f t="shared" si="236"/>
        <v>0</v>
      </c>
      <c r="N372" s="1437">
        <f t="shared" si="236"/>
        <v>0</v>
      </c>
      <c r="O372" s="1437">
        <f t="shared" si="236"/>
        <v>0</v>
      </c>
      <c r="P372" s="1437">
        <f t="shared" si="236"/>
        <v>0</v>
      </c>
      <c r="Q372" s="1437">
        <f t="shared" si="236"/>
        <v>0</v>
      </c>
      <c r="R372" s="1437">
        <f t="shared" si="236"/>
        <v>0</v>
      </c>
    </row>
    <row r="373" spans="1:18" x14ac:dyDescent="0.3">
      <c r="B373" s="644" t="s">
        <v>391</v>
      </c>
      <c r="D373" s="1437">
        <f t="shared" ref="D373:R373" si="237">IFERROR(_xlfn.XLOOKUP($A373,$B$269:$B$275,$C$269:$C$275)*D353,0)</f>
        <v>0</v>
      </c>
      <c r="E373" s="1437">
        <f t="shared" si="237"/>
        <v>0</v>
      </c>
      <c r="F373" s="1437">
        <f t="shared" si="237"/>
        <v>0</v>
      </c>
      <c r="G373" s="1437">
        <f t="shared" si="237"/>
        <v>0</v>
      </c>
      <c r="H373" s="1437">
        <f t="shared" si="237"/>
        <v>0</v>
      </c>
      <c r="I373" s="1437">
        <f t="shared" si="237"/>
        <v>0</v>
      </c>
      <c r="J373" s="1437">
        <f t="shared" si="237"/>
        <v>0</v>
      </c>
      <c r="K373" s="1437">
        <f t="shared" si="237"/>
        <v>0</v>
      </c>
      <c r="L373" s="1437">
        <f t="shared" si="237"/>
        <v>0</v>
      </c>
      <c r="M373" s="1437">
        <f t="shared" si="237"/>
        <v>0</v>
      </c>
      <c r="N373" s="1437">
        <f t="shared" si="237"/>
        <v>0</v>
      </c>
      <c r="O373" s="1437">
        <f t="shared" si="237"/>
        <v>0</v>
      </c>
      <c r="P373" s="1437">
        <f t="shared" si="237"/>
        <v>0</v>
      </c>
      <c r="Q373" s="1437">
        <f t="shared" si="237"/>
        <v>0</v>
      </c>
      <c r="R373" s="1437">
        <f t="shared" si="237"/>
        <v>0</v>
      </c>
    </row>
    <row r="374" spans="1:18" x14ac:dyDescent="0.3">
      <c r="A374" s="554" t="s">
        <v>2725</v>
      </c>
      <c r="B374" s="644" t="s">
        <v>392</v>
      </c>
      <c r="D374" s="1437">
        <f t="shared" ref="D374:R374" si="238">IFERROR(_xlfn.XLOOKUP($A374,$B$269:$B$275,$C$269:$C$275)*D354,0)</f>
        <v>0</v>
      </c>
      <c r="E374" s="1437">
        <f t="shared" si="238"/>
        <v>0</v>
      </c>
      <c r="F374" s="1437">
        <f t="shared" si="238"/>
        <v>0</v>
      </c>
      <c r="G374" s="1437">
        <f t="shared" si="238"/>
        <v>-2.6471595007845853E-3</v>
      </c>
      <c r="H374" s="1437">
        <f t="shared" si="238"/>
        <v>-1.422873080613911E-3</v>
      </c>
      <c r="I374" s="1437">
        <f t="shared" si="238"/>
        <v>0</v>
      </c>
      <c r="J374" s="1437">
        <f t="shared" si="238"/>
        <v>0</v>
      </c>
      <c r="K374" s="1437">
        <f t="shared" si="238"/>
        <v>0</v>
      </c>
      <c r="L374" s="1437">
        <f t="shared" si="238"/>
        <v>0</v>
      </c>
      <c r="M374" s="1437">
        <f t="shared" si="238"/>
        <v>0</v>
      </c>
      <c r="N374" s="1437">
        <f t="shared" si="238"/>
        <v>0</v>
      </c>
      <c r="O374" s="1437">
        <f t="shared" si="238"/>
        <v>0</v>
      </c>
      <c r="P374" s="1437">
        <f t="shared" si="238"/>
        <v>0</v>
      </c>
      <c r="Q374" s="1437">
        <f t="shared" si="238"/>
        <v>0</v>
      </c>
      <c r="R374" s="1437">
        <f t="shared" si="238"/>
        <v>0</v>
      </c>
    </row>
    <row r="375" spans="1:18" x14ac:dyDescent="0.3">
      <c r="A375" s="554" t="s">
        <v>1332</v>
      </c>
      <c r="B375" s="644" t="s">
        <v>393</v>
      </c>
      <c r="D375" s="1437">
        <f t="shared" ref="D375:R375" si="239">IFERROR(_xlfn.XLOOKUP($A375,$B$269:$B$275,$C$269:$C$275)*D355,0)</f>
        <v>0</v>
      </c>
      <c r="E375" s="1437">
        <f t="shared" si="239"/>
        <v>0</v>
      </c>
      <c r="F375" s="1437">
        <f t="shared" si="239"/>
        <v>0</v>
      </c>
      <c r="G375" s="1437">
        <f t="shared" si="239"/>
        <v>-2.9659635410676168E-3</v>
      </c>
      <c r="H375" s="1437">
        <f t="shared" si="239"/>
        <v>-1.4402770773348482E-3</v>
      </c>
      <c r="I375" s="1437">
        <f t="shared" si="239"/>
        <v>0</v>
      </c>
      <c r="J375" s="1437">
        <f t="shared" si="239"/>
        <v>0</v>
      </c>
      <c r="K375" s="1437">
        <f t="shared" si="239"/>
        <v>0</v>
      </c>
      <c r="L375" s="1437">
        <f t="shared" si="239"/>
        <v>0</v>
      </c>
      <c r="M375" s="1437">
        <f t="shared" si="239"/>
        <v>0</v>
      </c>
      <c r="N375" s="1437">
        <f t="shared" si="239"/>
        <v>0</v>
      </c>
      <c r="O375" s="1437">
        <f t="shared" si="239"/>
        <v>0</v>
      </c>
      <c r="P375" s="1437">
        <f t="shared" si="239"/>
        <v>0</v>
      </c>
      <c r="Q375" s="1437">
        <f t="shared" si="239"/>
        <v>0</v>
      </c>
      <c r="R375" s="1437">
        <f t="shared" si="239"/>
        <v>0</v>
      </c>
    </row>
    <row r="376" spans="1:18" x14ac:dyDescent="0.3">
      <c r="A376" s="554" t="s">
        <v>1332</v>
      </c>
      <c r="B376" s="644" t="s">
        <v>2807</v>
      </c>
      <c r="D376" s="1437">
        <f t="shared" ref="D376:R376" si="240">IFERROR(_xlfn.XLOOKUP($A376,$B$269:$B$275,$C$269:$C$275)*D356,0)</f>
        <v>0</v>
      </c>
      <c r="E376" s="1437">
        <f t="shared" si="240"/>
        <v>0</v>
      </c>
      <c r="F376" s="1437">
        <f t="shared" si="240"/>
        <v>0</v>
      </c>
      <c r="G376" s="1437">
        <f t="shared" si="240"/>
        <v>-2.9564871364677618E-3</v>
      </c>
      <c r="H376" s="1437">
        <f t="shared" si="240"/>
        <v>-1.4358074220378134E-3</v>
      </c>
      <c r="I376" s="1437">
        <f t="shared" si="240"/>
        <v>0</v>
      </c>
      <c r="J376" s="1437">
        <f t="shared" si="240"/>
        <v>0</v>
      </c>
      <c r="K376" s="1437">
        <f t="shared" si="240"/>
        <v>0</v>
      </c>
      <c r="L376" s="1437">
        <f t="shared" si="240"/>
        <v>0</v>
      </c>
      <c r="M376" s="1437">
        <f t="shared" si="240"/>
        <v>0</v>
      </c>
      <c r="N376" s="1437">
        <f t="shared" si="240"/>
        <v>0</v>
      </c>
      <c r="O376" s="1437">
        <f t="shared" si="240"/>
        <v>0</v>
      </c>
      <c r="P376" s="1437">
        <f t="shared" si="240"/>
        <v>0</v>
      </c>
      <c r="Q376" s="1437">
        <f t="shared" si="240"/>
        <v>0</v>
      </c>
      <c r="R376" s="1437">
        <f t="shared" si="240"/>
        <v>0</v>
      </c>
    </row>
    <row r="377" spans="1:18" x14ac:dyDescent="0.3">
      <c r="A377" s="554" t="s">
        <v>2725</v>
      </c>
      <c r="B377" s="644" t="s">
        <v>2808</v>
      </c>
      <c r="D377" s="1437">
        <f t="shared" ref="D377:R377" si="241">IFERROR(_xlfn.XLOOKUP($A377,$B$269:$B$275,$C$269:$C$275)*D357,0)</f>
        <v>0</v>
      </c>
      <c r="E377" s="1437">
        <f t="shared" si="241"/>
        <v>-1.3378244554422835E-3</v>
      </c>
      <c r="F377" s="1437">
        <f t="shared" si="241"/>
        <v>-1.3448668387732166E-3</v>
      </c>
      <c r="G377" s="1437">
        <f t="shared" si="241"/>
        <v>-3.5973929631609326E-3</v>
      </c>
      <c r="H377" s="1437">
        <f t="shared" si="241"/>
        <v>-2.570827577394469E-3</v>
      </c>
      <c r="I377" s="1437">
        <f t="shared" si="241"/>
        <v>-1.3651945440150755E-3</v>
      </c>
      <c r="J377" s="1437">
        <f t="shared" si="241"/>
        <v>-1.3717070518939254E-3</v>
      </c>
      <c r="K377" s="1437">
        <f t="shared" si="241"/>
        <v>-1.3780895978072118E-3</v>
      </c>
      <c r="L377" s="1437">
        <f t="shared" si="241"/>
        <v>-1.384343328334506E-3</v>
      </c>
      <c r="M377" s="1437">
        <f t="shared" si="241"/>
        <v>-1.3904694545063738E-3</v>
      </c>
      <c r="N377" s="1437">
        <f t="shared" si="241"/>
        <v>-1.3964692476416852E-3</v>
      </c>
      <c r="O377" s="1437">
        <f t="shared" si="241"/>
        <v>-1.4023440352593378E-3</v>
      </c>
      <c r="P377" s="1437">
        <f t="shared" si="241"/>
        <v>-1.4080951970722579E-3</v>
      </c>
      <c r="Q377" s="1437">
        <f t="shared" si="241"/>
        <v>-1.4137241610697384E-3</v>
      </c>
      <c r="R377" s="1437">
        <f t="shared" si="241"/>
        <v>-1.4192323996941589E-3</v>
      </c>
    </row>
    <row r="378" spans="1:18" x14ac:dyDescent="0.3">
      <c r="A378" s="554" t="s">
        <v>1332</v>
      </c>
      <c r="B378" s="644" t="s">
        <v>2809</v>
      </c>
      <c r="D378" s="1437">
        <f t="shared" ref="D378:R378" si="242">IFERROR(_xlfn.XLOOKUP($A378,$B$269:$B$275,$C$269:$C$275)*D358,0)</f>
        <v>0</v>
      </c>
      <c r="E378" s="1437">
        <f t="shared" si="242"/>
        <v>-5.3130474147263559E-4</v>
      </c>
      <c r="F378" s="1437">
        <f t="shared" si="242"/>
        <v>-5.3396173403102184E-4</v>
      </c>
      <c r="G378" s="1437">
        <f t="shared" si="242"/>
        <v>-2.9204396976392683E-3</v>
      </c>
      <c r="H378" s="1437">
        <f t="shared" si="242"/>
        <v>-1.7018480282907133E-3</v>
      </c>
      <c r="I378" s="1437">
        <f t="shared" si="242"/>
        <v>-5.4162329499616625E-4</v>
      </c>
      <c r="J378" s="1437">
        <f t="shared" si="242"/>
        <v>-5.4407542821243988E-4</v>
      </c>
      <c r="K378" s="1437">
        <f t="shared" si="242"/>
        <v>-5.464774766882753E-4</v>
      </c>
      <c r="L378" s="1437">
        <f t="shared" si="242"/>
        <v>-5.4882994199406817E-4</v>
      </c>
      <c r="M378" s="1437">
        <f t="shared" si="242"/>
        <v>-5.511333476308181E-4</v>
      </c>
      <c r="N378" s="1437">
        <f t="shared" si="242"/>
        <v>-5.533882374594702E-4</v>
      </c>
      <c r="O378" s="1437">
        <f t="shared" si="242"/>
        <v>-5.5559517416518681E-4</v>
      </c>
      <c r="P378" s="1437">
        <f t="shared" si="242"/>
        <v>-5.577547377589345E-4</v>
      </c>
      <c r="Q378" s="1437">
        <f t="shared" si="242"/>
        <v>-5.5986752411819353E-4</v>
      </c>
      <c r="R378" s="1437">
        <f t="shared" si="242"/>
        <v>-5.6193414356867013E-4</v>
      </c>
    </row>
    <row r="379" spans="1:18" x14ac:dyDescent="0.3">
      <c r="A379" s="554" t="s">
        <v>2746</v>
      </c>
      <c r="B379" s="644" t="s">
        <v>2746</v>
      </c>
      <c r="D379" s="546">
        <f t="shared" ref="D379:R379" si="243">IFERROR(_xlfn.XLOOKUP($A379,$B$269:$B$275,$C$269:$C$275)*((D359*(1-$M$843))+(D360*$M$843)),0)</f>
        <v>0</v>
      </c>
      <c r="E379" s="546">
        <f t="shared" si="243"/>
        <v>-3.981172312609361E-4</v>
      </c>
      <c r="F379" s="546">
        <f t="shared" si="243"/>
        <v>-4.0452343634760784E-4</v>
      </c>
      <c r="G379" s="546">
        <f t="shared" si="243"/>
        <v>-4.1094343121655821E-4</v>
      </c>
      <c r="H379" s="546">
        <f t="shared" si="243"/>
        <v>-4.1737444774621655E-4</v>
      </c>
      <c r="I379" s="546">
        <f t="shared" si="243"/>
        <v>-4.2381369866156799E-4</v>
      </c>
      <c r="J379" s="546">
        <f t="shared" si="243"/>
        <v>-4.3025838234566819E-4</v>
      </c>
      <c r="K379" s="546">
        <f t="shared" si="243"/>
        <v>-4.367056877041636E-4</v>
      </c>
      <c r="L379" s="546">
        <f t="shared" si="243"/>
        <v>-4.4315279906498214E-4</v>
      </c>
      <c r="M379" s="546">
        <f t="shared" si="243"/>
        <v>-4.4959690109481652E-4</v>
      </c>
      <c r="N379" s="546">
        <f t="shared" si="243"/>
        <v>-4.5603518371459197E-4</v>
      </c>
      <c r="O379" s="546">
        <f t="shared" si="243"/>
        <v>-4.6246484699529616E-4</v>
      </c>
      <c r="P379" s="546">
        <f t="shared" si="243"/>
        <v>-4.6888310601622164E-4</v>
      </c>
      <c r="Q379" s="546">
        <f t="shared" si="243"/>
        <v>-4.7528719566790388E-4</v>
      </c>
      <c r="R379" s="546">
        <f t="shared" si="243"/>
        <v>-4.8167437538187405E-4</v>
      </c>
    </row>
    <row r="380" spans="1:18" x14ac:dyDescent="0.3">
      <c r="A380" s="554" t="s">
        <v>2730</v>
      </c>
      <c r="B380" s="644" t="s">
        <v>2814</v>
      </c>
      <c r="D380" s="1437">
        <f t="shared" ref="D380:R380" si="244">IFERROR(_xlfn.XLOOKUP($A380,$B$269:$B$275,$C$269:$C$275)*D361,0)</f>
        <v>0</v>
      </c>
      <c r="E380" s="1437">
        <f t="shared" si="244"/>
        <v>0</v>
      </c>
      <c r="F380" s="1437">
        <f t="shared" si="244"/>
        <v>0</v>
      </c>
      <c r="G380" s="1437">
        <f t="shared" si="244"/>
        <v>-1.2087868088847183E-2</v>
      </c>
      <c r="H380" s="1437">
        <f t="shared" si="244"/>
        <v>-5.9422546323412758E-3</v>
      </c>
      <c r="I380" s="1437">
        <f t="shared" si="244"/>
        <v>0</v>
      </c>
      <c r="J380" s="1437">
        <f t="shared" si="244"/>
        <v>0</v>
      </c>
      <c r="K380" s="1437">
        <f t="shared" si="244"/>
        <v>0</v>
      </c>
      <c r="L380" s="1437">
        <f t="shared" si="244"/>
        <v>0</v>
      </c>
      <c r="M380" s="1437">
        <f t="shared" si="244"/>
        <v>0</v>
      </c>
      <c r="N380" s="1437">
        <f t="shared" si="244"/>
        <v>0</v>
      </c>
      <c r="O380" s="1437">
        <f t="shared" si="244"/>
        <v>0</v>
      </c>
      <c r="P380" s="1437">
        <f t="shared" si="244"/>
        <v>0</v>
      </c>
      <c r="Q380" s="1437">
        <f t="shared" si="244"/>
        <v>0</v>
      </c>
      <c r="R380" s="1437">
        <f t="shared" si="244"/>
        <v>0</v>
      </c>
    </row>
    <row r="381" spans="1:18" x14ac:dyDescent="0.3">
      <c r="A381" s="554" t="s">
        <v>2730</v>
      </c>
      <c r="B381" s="644" t="s">
        <v>2815</v>
      </c>
      <c r="D381" s="1437">
        <f t="shared" ref="D381:R381" si="245">IFERROR(_xlfn.XLOOKUP($A381,$B$269:$B$275,$C$269:$C$275)*D362,0)</f>
        <v>0</v>
      </c>
      <c r="E381" s="1437">
        <f t="shared" si="245"/>
        <v>0</v>
      </c>
      <c r="F381" s="1437">
        <f t="shared" si="245"/>
        <v>0</v>
      </c>
      <c r="G381" s="1437">
        <f t="shared" si="245"/>
        <v>-1.1807364417430213E-2</v>
      </c>
      <c r="H381" s="1437">
        <f t="shared" si="245"/>
        <v>-5.8025181925052891E-3</v>
      </c>
      <c r="I381" s="1437">
        <f t="shared" si="245"/>
        <v>0</v>
      </c>
      <c r="J381" s="1437">
        <f t="shared" si="245"/>
        <v>0</v>
      </c>
      <c r="K381" s="1437">
        <f t="shared" si="245"/>
        <v>0</v>
      </c>
      <c r="L381" s="1437">
        <f t="shared" si="245"/>
        <v>0</v>
      </c>
      <c r="M381" s="1437">
        <f t="shared" si="245"/>
        <v>0</v>
      </c>
      <c r="N381" s="1437">
        <f t="shared" si="245"/>
        <v>0</v>
      </c>
      <c r="O381" s="1437">
        <f t="shared" si="245"/>
        <v>0</v>
      </c>
      <c r="P381" s="1437">
        <f t="shared" si="245"/>
        <v>0</v>
      </c>
      <c r="Q381" s="1437">
        <f t="shared" si="245"/>
        <v>0</v>
      </c>
      <c r="R381" s="1437">
        <f t="shared" si="245"/>
        <v>0</v>
      </c>
    </row>
    <row r="382" spans="1:18" x14ac:dyDescent="0.3">
      <c r="A382" s="554" t="s">
        <v>2730</v>
      </c>
      <c r="B382" s="644" t="s">
        <v>2730</v>
      </c>
      <c r="D382" s="546">
        <f t="shared" ref="D382:R382" si="246">IFERROR(_xlfn.XLOOKUP($A382,$B$269:$B$275,$C$269:$C$275)*((D363*(1-$L$843))+(D364*$L$843)),0)</f>
        <v>0</v>
      </c>
      <c r="E382" s="546">
        <f t="shared" si="246"/>
        <v>-5.2407224882149864E-5</v>
      </c>
      <c r="F382" s="546">
        <f t="shared" si="246"/>
        <v>-5.3094117342604644E-5</v>
      </c>
      <c r="G382" s="546">
        <f t="shared" si="246"/>
        <v>-1.0158022348850113E-2</v>
      </c>
      <c r="H382" s="546">
        <f t="shared" si="246"/>
        <v>-5.0129670313533254E-3</v>
      </c>
      <c r="I382" s="546">
        <f t="shared" si="246"/>
        <v>-5.5138322188718738E-5</v>
      </c>
      <c r="J382" s="546">
        <f t="shared" si="246"/>
        <v>-5.5813306346077374E-5</v>
      </c>
      <c r="K382" s="546">
        <f t="shared" si="246"/>
        <v>-5.6484631793803177E-5</v>
      </c>
      <c r="L382" s="546">
        <f t="shared" si="246"/>
        <v>-5.7152037402351518E-5</v>
      </c>
      <c r="M382" s="546">
        <f t="shared" si="246"/>
        <v>-5.7815268485764065E-5</v>
      </c>
      <c r="N382" s="546">
        <f t="shared" si="246"/>
        <v>-5.847407715683761E-5</v>
      </c>
      <c r="O382" s="546">
        <f t="shared" si="246"/>
        <v>-5.9128222659363122E-5</v>
      </c>
      <c r="P382" s="546">
        <f t="shared" si="246"/>
        <v>-5.9777471676733066E-5</v>
      </c>
      <c r="Q382" s="546">
        <f t="shared" si="246"/>
        <v>-6.0421598616180405E-5</v>
      </c>
      <c r="R382" s="546">
        <f t="shared" si="246"/>
        <v>-6.1060385868196365E-5</v>
      </c>
    </row>
    <row r="383" spans="1:18" x14ac:dyDescent="0.3">
      <c r="A383" s="475" t="s">
        <v>2792</v>
      </c>
      <c r="B383" s="644" t="s">
        <v>2819</v>
      </c>
      <c r="D383" s="1437">
        <f t="shared" ref="D383:R383" si="247">IFERROR(_xlfn.XLOOKUP($A383,$B$269:$B$275,$C$269:$C$275)*D365*$D$843,0)</f>
        <v>0</v>
      </c>
      <c r="E383" s="1437">
        <f t="shared" si="247"/>
        <v>-1.2303189240324159E-3</v>
      </c>
      <c r="F383" s="1437">
        <f t="shared" si="247"/>
        <v>-1.2361734038041526E-3</v>
      </c>
      <c r="G383" s="1437">
        <f t="shared" si="247"/>
        <v>-1.2419109187031562E-3</v>
      </c>
      <c r="H383" s="1437">
        <f t="shared" si="247"/>
        <v>-1.2475325075269952E-3</v>
      </c>
      <c r="I383" s="1437">
        <f t="shared" si="247"/>
        <v>-1.2530392667499492E-3</v>
      </c>
      <c r="J383" s="1437">
        <f t="shared" si="247"/>
        <v>-1.2584323467794605E-3</v>
      </c>
      <c r="K383" s="1437">
        <f t="shared" si="247"/>
        <v>-1.263712948280927E-3</v>
      </c>
      <c r="L383" s="1437">
        <f t="shared" si="247"/>
        <v>-1.2688823185768626E-3</v>
      </c>
      <c r="M383" s="1437">
        <f t="shared" si="247"/>
        <v>-1.2739417481262855E-3</v>
      </c>
      <c r="N383" s="1437">
        <f t="shared" si="247"/>
        <v>-1.2788925670896947E-3</v>
      </c>
      <c r="O383" s="1437">
        <f t="shared" si="247"/>
        <v>-1.2837361419837322E-3</v>
      </c>
      <c r="P383" s="1437">
        <f t="shared" si="247"/>
        <v>-1.2884738724299666E-3</v>
      </c>
      <c r="Q383" s="1437">
        <f t="shared" si="247"/>
        <v>-1.2931071880005489E-3</v>
      </c>
      <c r="R383" s="1437">
        <f t="shared" si="247"/>
        <v>-1.2976375451639764E-3</v>
      </c>
    </row>
    <row r="384" spans="1:18" x14ac:dyDescent="0.3">
      <c r="A384" s="475" t="s">
        <v>2792</v>
      </c>
      <c r="B384" s="644" t="s">
        <v>2821</v>
      </c>
      <c r="D384" s="546">
        <f t="shared" ref="D384:R384" si="248">IFERROR(_xlfn.XLOOKUP($A384,$B$269:$B$275,$C$269:$C$275)*D366*$E$843,0)</f>
        <v>0</v>
      </c>
      <c r="E384" s="546">
        <f t="shared" si="248"/>
        <v>-1.7284538151263477E-4</v>
      </c>
      <c r="F384" s="546">
        <f t="shared" si="248"/>
        <v>-1.736678672681066E-4</v>
      </c>
      <c r="G384" s="546">
        <f t="shared" si="248"/>
        <v>-1.7447392083054367E-4</v>
      </c>
      <c r="H384" s="546">
        <f t="shared" si="248"/>
        <v>-1.7526368813883033E-4</v>
      </c>
      <c r="I384" s="546">
        <f t="shared" si="248"/>
        <v>-1.7603732323473586E-4</v>
      </c>
      <c r="J384" s="546">
        <f t="shared" si="248"/>
        <v>-1.7679498773702073E-4</v>
      </c>
      <c r="K384" s="546">
        <f t="shared" si="248"/>
        <v>-1.7753685032509371E-4</v>
      </c>
      <c r="L384" s="546">
        <f t="shared" si="248"/>
        <v>-1.7826308623313927E-4</v>
      </c>
      <c r="M384" s="546">
        <f t="shared" si="248"/>
        <v>-1.7897387675552091E-4</v>
      </c>
      <c r="N384" s="546">
        <f t="shared" si="248"/>
        <v>-1.7966940876418293E-4</v>
      </c>
      <c r="O384" s="546">
        <f t="shared" si="248"/>
        <v>-1.8034987423869796E-4</v>
      </c>
      <c r="P384" s="546">
        <f t="shared" si="248"/>
        <v>-1.8101546980947857E-4</v>
      </c>
      <c r="Q384" s="546">
        <f t="shared" si="248"/>
        <v>-1.8166639631464823E-4</v>
      </c>
      <c r="R384" s="546">
        <f t="shared" si="248"/>
        <v>-1.8230285837095446E-4</v>
      </c>
    </row>
    <row r="385" spans="1:20" x14ac:dyDescent="0.3">
      <c r="A385" s="475" t="s">
        <v>2730</v>
      </c>
      <c r="B385" s="644" t="s">
        <v>2790</v>
      </c>
      <c r="D385" s="1437">
        <f>IFERROR(_xlfn.XLOOKUP($A385,$B$269:$B$275,$C$269:$C$275)*D367,0)</f>
        <v>0</v>
      </c>
      <c r="E385" s="1437">
        <f t="shared" ref="E385:R385" si="249">IFERROR(_xlfn.XLOOKUP($A385,$B$269:$B$275,$C$269:$C$275)*E367,0)</f>
        <v>0</v>
      </c>
      <c r="F385" s="1437">
        <f t="shared" si="249"/>
        <v>0</v>
      </c>
      <c r="G385" s="1437">
        <f t="shared" si="249"/>
        <v>-3.8013816929889093E-3</v>
      </c>
      <c r="H385" s="1437">
        <f t="shared" si="249"/>
        <v>-1.8525025558013613E-3</v>
      </c>
      <c r="I385" s="1437">
        <f t="shared" si="249"/>
        <v>0</v>
      </c>
      <c r="J385" s="1437">
        <f t="shared" si="249"/>
        <v>0</v>
      </c>
      <c r="K385" s="1437">
        <f t="shared" si="249"/>
        <v>0</v>
      </c>
      <c r="L385" s="1437">
        <f t="shared" si="249"/>
        <v>0</v>
      </c>
      <c r="M385" s="1437">
        <f t="shared" si="249"/>
        <v>0</v>
      </c>
      <c r="N385" s="1437">
        <f t="shared" si="249"/>
        <v>0</v>
      </c>
      <c r="O385" s="1437">
        <f t="shared" si="249"/>
        <v>0</v>
      </c>
      <c r="P385" s="1437">
        <f t="shared" si="249"/>
        <v>0</v>
      </c>
      <c r="Q385" s="1437">
        <f t="shared" si="249"/>
        <v>0</v>
      </c>
      <c r="R385" s="1437">
        <f t="shared" si="249"/>
        <v>0</v>
      </c>
    </row>
    <row r="387" spans="1:20" x14ac:dyDescent="0.3">
      <c r="B387" s="556" t="s">
        <v>2831</v>
      </c>
      <c r="C387" s="556" t="s">
        <v>59</v>
      </c>
      <c r="D387" s="556">
        <v>2021</v>
      </c>
      <c r="E387" s="556">
        <v>2022</v>
      </c>
      <c r="F387" s="556">
        <v>2023</v>
      </c>
      <c r="G387" s="556">
        <v>2024</v>
      </c>
      <c r="H387" s="556">
        <v>2025</v>
      </c>
      <c r="I387" s="556">
        <v>2026</v>
      </c>
      <c r="J387" s="556">
        <v>2027</v>
      </c>
      <c r="K387" s="556">
        <v>2028</v>
      </c>
      <c r="L387" s="556">
        <v>2029</v>
      </c>
      <c r="M387" s="556">
        <v>2030</v>
      </c>
      <c r="N387" s="556">
        <v>2031</v>
      </c>
      <c r="O387" s="556">
        <v>2032</v>
      </c>
      <c r="P387" s="556">
        <v>2033</v>
      </c>
      <c r="Q387" s="556">
        <v>2034</v>
      </c>
      <c r="R387" s="556">
        <v>2035</v>
      </c>
      <c r="T387" s="554" t="s">
        <v>2832</v>
      </c>
    </row>
    <row r="388" spans="1:20" x14ac:dyDescent="0.3">
      <c r="A388" s="679" t="s">
        <v>678</v>
      </c>
      <c r="B388" s="1430" t="s">
        <v>679</v>
      </c>
      <c r="C388" s="554" t="s">
        <v>77</v>
      </c>
      <c r="D388" s="499">
        <f>-D371*Baseline!AC15</f>
        <v>0</v>
      </c>
      <c r="E388" s="499">
        <f>-E371*Baseline!AD15</f>
        <v>0.2341651620547876</v>
      </c>
      <c r="F388" s="499">
        <f>-F371*Baseline!AE15</f>
        <v>0.2384159152465348</v>
      </c>
      <c r="G388" s="499">
        <f>-G371*Baseline!AF15</f>
        <v>20.01521769000891</v>
      </c>
      <c r="H388" s="499">
        <f>-H371*Baseline!AG15</f>
        <v>10.009090130600669</v>
      </c>
      <c r="I388" s="499">
        <f>-I371*Baseline!AH15</f>
        <v>0.25326517322473602</v>
      </c>
      <c r="J388" s="499">
        <f>-J371*Baseline!AI15</f>
        <v>0.25834652528984803</v>
      </c>
      <c r="K388" s="499">
        <f>-K371*Baseline!AJ15</f>
        <v>0.26349460393750035</v>
      </c>
      <c r="L388" s="499">
        <f>-L371*Baseline!AK15</f>
        <v>0.26870999639136506</v>
      </c>
      <c r="M388" s="499">
        <f>-M371*Baseline!AL15</f>
        <v>0.27399331127810034</v>
      </c>
      <c r="N388" s="499">
        <f>-N371*Baseline!AM15</f>
        <v>0.27934517907477335</v>
      </c>
      <c r="O388" s="499">
        <f>-O371*Baseline!AN15</f>
        <v>0.28476625253267535</v>
      </c>
      <c r="P388" s="499">
        <f>-P371*Baseline!AO15</f>
        <v>0.29025720707789071</v>
      </c>
      <c r="Q388" s="499">
        <f>-Q371*Baseline!AP15</f>
        <v>0.29581874118966384</v>
      </c>
      <c r="R388" s="499">
        <f>-R371*Baseline!AQ15</f>
        <v>0.30145157675723078</v>
      </c>
      <c r="S388" s="1429"/>
      <c r="T388" s="966"/>
    </row>
    <row r="389" spans="1:20" x14ac:dyDescent="0.3">
      <c r="A389" s="679" t="s">
        <v>681</v>
      </c>
      <c r="B389" s="1430" t="s">
        <v>682</v>
      </c>
      <c r="C389" s="554" t="s">
        <v>77</v>
      </c>
      <c r="D389" s="482">
        <f>-((D375*Baseline!AC19*(1-Assumptions!$D$146))+(D378*Baseline!AC19*Assumptions!$D$146))</f>
        <v>0</v>
      </c>
      <c r="E389" s="482">
        <f>-((E375*Baseline!AD19*(1-Assumptions!$D$146))+(E378*Baseline!AD19*Assumptions!$D$146))</f>
        <v>0.96872433605809716</v>
      </c>
      <c r="F389" s="482">
        <f>-((F375*Baseline!AE19*(1-Assumptions!$D$146))+(F378*Baseline!AE19*Assumptions!$D$146))</f>
        <v>0.98812509231677392</v>
      </c>
      <c r="G389" s="482">
        <f>-((G375*Baseline!AF19*(1-Assumptions!$D$146))+(G378*Baseline!AF19*Assumptions!$D$146))</f>
        <v>21.416966898314506</v>
      </c>
      <c r="H389" s="482">
        <f>-((H375*Baseline!AG19*(1-Assumptions!$D$146))+(H378*Baseline!AG19*Assumptions!$D$146))</f>
        <v>11.100843624472409</v>
      </c>
      <c r="I389" s="482">
        <f>-((I375*Baseline!AH19*(1-Assumptions!$D$146))+(I378*Baseline!AH19*Assumptions!$D$146))</f>
        <v>1.0491154121116018</v>
      </c>
      <c r="J389" s="482">
        <f>-((J375*Baseline!AI19*(1-Assumptions!$D$146))+(J378*Baseline!AI19*Assumptions!$D$146))</f>
        <v>1.0693492487176</v>
      </c>
      <c r="K389" s="482">
        <f>-((K375*Baseline!AJ19*(1-Assumptions!$D$146))+(K378*Baseline!AJ19*Assumptions!$D$146))</f>
        <v>1.089595760963733</v>
      </c>
      <c r="L389" s="482">
        <f>-((L375*Baseline!AK19*(1-Assumptions!$D$146))+(L378*Baseline!AK19*Assumptions!$D$146))</f>
        <v>1.1098546657258712</v>
      </c>
      <c r="M389" s="482">
        <f>-((M375*Baseline!AL19*(1-Assumptions!$D$146))+(M378*Baseline!AL19*Assumptions!$D$146))</f>
        <v>1.1301258104671694</v>
      </c>
      <c r="N389" s="482">
        <f>-((N375*Baseline!AM19*(1-Assumptions!$D$146))+(N378*Baseline!AM19*Assumptions!$D$146))</f>
        <v>1.1504091702446422</v>
      </c>
      <c r="O389" s="482">
        <f>-((O375*Baseline!AN19*(1-Assumptions!$D$146))+(O378*Baseline!AN19*Assumptions!$D$146))</f>
        <v>1.1707048446415595</v>
      </c>
      <c r="P389" s="482">
        <f>-((P375*Baseline!AO19*(1-Assumptions!$D$146))+(P378*Baseline!AO19*Assumptions!$D$146))</f>
        <v>1.1910130546392574</v>
      </c>
      <c r="Q389" s="482">
        <f>-((Q375*Baseline!AP19*(1-Assumptions!$D$146))+(Q378*Baseline!AP19*Assumptions!$D$146))</f>
        <v>1.2113341394407449</v>
      </c>
      <c r="R389" s="482">
        <f>-((R375*Baseline!AQ19*(1-Assumptions!$D$146))+(R378*Baseline!AQ19*Assumptions!$D$146))</f>
        <v>1.2316685532585845</v>
      </c>
      <c r="S389" s="1429"/>
      <c r="T389" s="966"/>
    </row>
    <row r="390" spans="1:20" x14ac:dyDescent="0.3">
      <c r="A390" s="679" t="s">
        <v>683</v>
      </c>
      <c r="B390" s="1430" t="s">
        <v>684</v>
      </c>
      <c r="C390" s="554" t="s">
        <v>77</v>
      </c>
      <c r="D390" s="482">
        <f>-((D374*Baseline!AC18*(1-Assumptions!$D$145))+(D377*Baseline!AC18*Assumptions!$D$145))</f>
        <v>0</v>
      </c>
      <c r="E390" s="482">
        <f>-((E374*Baseline!AD18*(1-Assumptions!$D$145))+(E377*Baseline!AD18*Assumptions!$D$145))</f>
        <v>11.605387795037222</v>
      </c>
      <c r="F390" s="482">
        <f>-((F374*Baseline!AE18*(1-Assumptions!$D$145))+(F377*Baseline!AE18*Assumptions!$D$145))</f>
        <v>11.690610742755222</v>
      </c>
      <c r="G390" s="482">
        <f>-((G374*Baseline!AF18*(1-Assumptions!$D$145))+(G377*Baseline!AF18*Assumptions!$D$145))</f>
        <v>39.587262113156079</v>
      </c>
      <c r="H390" s="482">
        <f>-((H374*Baseline!AG18*(1-Assumptions!$D$145))+(H377*Baseline!AG18*Assumptions!$D$145))</f>
        <v>26.89570541417261</v>
      </c>
      <c r="I390" s="482">
        <f>-((I374*Baseline!AH18*(1-Assumptions!$D$145))+(I377*Baseline!AH18*Assumptions!$D$145))</f>
        <v>11.954298282025283</v>
      </c>
      <c r="J390" s="482">
        <f>-((J374*Baseline!AI18*(1-Assumptions!$D$145))+(J377*Baseline!AI18*Assumptions!$D$145))</f>
        <v>12.049741757354163</v>
      </c>
      <c r="K390" s="482">
        <f>-((K374*Baseline!AJ18*(1-Assumptions!$D$145))+(K377*Baseline!AJ18*Assumptions!$D$145))</f>
        <v>12.145543482971894</v>
      </c>
      <c r="L390" s="482">
        <f>-((L374*Baseline!AK18*(1-Assumptions!$D$145))+(L377*Baseline!AK18*Assumptions!$D$145))</f>
        <v>12.241732936870024</v>
      </c>
      <c r="M390" s="482">
        <f>-((M374*Baseline!AL18*(1-Assumptions!$D$145))+(M377*Baseline!AL18*Assumptions!$D$145))</f>
        <v>12.338340178310542</v>
      </c>
      <c r="N390" s="482">
        <f>-((N374*Baseline!AM18*(1-Assumptions!$D$145))+(N377*Baseline!AM18*Assumptions!$D$145))</f>
        <v>12.435395826309627</v>
      </c>
      <c r="O390" s="482">
        <f>-((O374*Baseline!AN18*(1-Assumptions!$D$145))+(O377*Baseline!AN18*Assumptions!$D$145))</f>
        <v>12.532931038894409</v>
      </c>
      <c r="P390" s="482">
        <f>-((P374*Baseline!AO18*(1-Assumptions!$D$145))+(P377*Baseline!AO18*Assumptions!$D$145))</f>
        <v>12.630977493172248</v>
      </c>
      <c r="Q390" s="482">
        <f>-((Q374*Baseline!AP18*(1-Assumptions!$D$145))+(Q377*Baseline!AP18*Assumptions!$D$145))</f>
        <v>12.729567366237889</v>
      </c>
      <c r="R390" s="482">
        <f>-((R374*Baseline!AQ18*(1-Assumptions!$D$145))+(R377*Baseline!AQ18*Assumptions!$D$145))</f>
        <v>12.828733316945875</v>
      </c>
      <c r="S390" s="1429"/>
      <c r="T390" s="966"/>
    </row>
    <row r="391" spans="1:20" x14ac:dyDescent="0.3">
      <c r="A391" s="679" t="s">
        <v>685</v>
      </c>
      <c r="B391" s="1430" t="s">
        <v>686</v>
      </c>
      <c r="C391" s="554" t="s">
        <v>77</v>
      </c>
      <c r="D391" s="499">
        <f>-D379*Baseline!AC14*$D$214</f>
        <v>0</v>
      </c>
      <c r="E391" s="499">
        <f>-E379*Baseline!AD14*$D$214</f>
        <v>0.93721152390332363</v>
      </c>
      <c r="F391" s="499">
        <f>-F379*Baseline!AE14*$D$214</f>
        <v>0.95798311960554272</v>
      </c>
      <c r="G391" s="499">
        <f>-G379*Baseline!AF14*$D$214</f>
        <v>0.97942113698601296</v>
      </c>
      <c r="H391" s="499">
        <f>-H379*Baseline!AG14*$D$214</f>
        <v>1.001325380037944</v>
      </c>
      <c r="I391" s="499">
        <f>-I379*Baseline!AH14*$D$214</f>
        <v>1.0237015971584997</v>
      </c>
      <c r="J391" s="499">
        <f>-J379*Baseline!AI14*$D$214</f>
        <v>1.0465554640543806</v>
      </c>
      <c r="K391" s="499">
        <f>-K379*Baseline!AJ14*$D$214</f>
        <v>1.0698925833957662</v>
      </c>
      <c r="L391" s="499">
        <f>-L379*Baseline!AK14*$D$214</f>
        <v>1.0937184848812802</v>
      </c>
      <c r="M391" s="499">
        <f>-M379*Baseline!AL14*$D$214</f>
        <v>1.1180386257183124</v>
      </c>
      <c r="N391" s="499">
        <f>-N379*Baseline!AM14*$D$214</f>
        <v>1.1428583915227419</v>
      </c>
      <c r="O391" s="499">
        <f>-O379*Baseline!AN14*$D$214</f>
        <v>1.168183097638092</v>
      </c>
      <c r="P391" s="499">
        <f>-P379*Baseline!AO14*$D$214</f>
        <v>1.194017990873504</v>
      </c>
      <c r="Q391" s="499">
        <f>-Q379*Baseline!AP14*$D$214</f>
        <v>1.2203682516579577</v>
      </c>
      <c r="R391" s="499">
        <f>-R379*Baseline!AQ14*$D$214</f>
        <v>1.2472389966048927</v>
      </c>
      <c r="S391" s="1429"/>
      <c r="T391" s="966"/>
    </row>
    <row r="392" spans="1:20" x14ac:dyDescent="0.3">
      <c r="A392" s="679" t="s">
        <v>687</v>
      </c>
      <c r="B392" s="1430" t="s">
        <v>688</v>
      </c>
      <c r="C392" s="554" t="s">
        <v>77</v>
      </c>
      <c r="D392" s="494">
        <f>-D380*Baseline!AC14*($D$217+$D$216)</f>
        <v>0</v>
      </c>
      <c r="E392" s="494">
        <f>-E380*Baseline!AD14*($D$217+$D$216)</f>
        <v>0</v>
      </c>
      <c r="F392" s="494">
        <f>-F380*Baseline!AE14*($D$217+$D$216)</f>
        <v>0</v>
      </c>
      <c r="G392" s="494">
        <f>-G380*Baseline!AF14*($D$217+$D$216)</f>
        <v>95.76001967986457</v>
      </c>
      <c r="H392" s="494">
        <f>-H380*Baseline!AG14*($D$217+$D$216)</f>
        <v>47.385744634867585</v>
      </c>
      <c r="I392" s="494">
        <f>-I380*Baseline!AH14*($D$217+$D$216)</f>
        <v>0</v>
      </c>
      <c r="J392" s="494">
        <f>-J380*Baseline!AI14*($D$217+$D$216)</f>
        <v>0</v>
      </c>
      <c r="K392" s="494">
        <f>-K380*Baseline!AJ14*($D$217+$D$216)</f>
        <v>0</v>
      </c>
      <c r="L392" s="494">
        <f>-L380*Baseline!AK14*($D$217+$D$216)</f>
        <v>0</v>
      </c>
      <c r="M392" s="494">
        <f>-M380*Baseline!AL14*($D$217+$D$216)</f>
        <v>0</v>
      </c>
      <c r="N392" s="494">
        <f>-N380*Baseline!AM14*($D$217+$D$216)</f>
        <v>0</v>
      </c>
      <c r="O392" s="494">
        <f>-O380*Baseline!AN14*($D$217+$D$216)</f>
        <v>0</v>
      </c>
      <c r="P392" s="494">
        <f>-P380*Baseline!AO14*($D$217+$D$216)</f>
        <v>0</v>
      </c>
      <c r="Q392" s="494">
        <f>-Q380*Baseline!AP14*($D$217+$D$216)</f>
        <v>0</v>
      </c>
      <c r="R392" s="494">
        <f>-R380*Baseline!AQ14*($D$217+$D$216)</f>
        <v>0</v>
      </c>
      <c r="S392" s="1429"/>
      <c r="T392" s="966"/>
    </row>
    <row r="393" spans="1:20" x14ac:dyDescent="0.3">
      <c r="A393" s="679" t="s">
        <v>689</v>
      </c>
      <c r="B393" s="1156" t="s">
        <v>690</v>
      </c>
      <c r="C393" s="554" t="s">
        <v>77</v>
      </c>
      <c r="D393" s="869">
        <f>-D383*$T$393</f>
        <v>0</v>
      </c>
      <c r="E393" s="869">
        <f t="shared" ref="E393:R393" si="250">-E383*$T$393</f>
        <v>3.9093383811130016</v>
      </c>
      <c r="F393" s="869">
        <f t="shared" si="250"/>
        <v>3.927940990587695</v>
      </c>
      <c r="G393" s="869">
        <f t="shared" si="250"/>
        <v>3.9461719441792789</v>
      </c>
      <c r="H393" s="869">
        <f t="shared" si="250"/>
        <v>3.9640345426670272</v>
      </c>
      <c r="I393" s="869">
        <f t="shared" si="250"/>
        <v>3.9815322700979636</v>
      </c>
      <c r="J393" s="869">
        <f t="shared" si="250"/>
        <v>3.9986687818917357</v>
      </c>
      <c r="K393" s="869">
        <f t="shared" si="250"/>
        <v>4.0154478931626461</v>
      </c>
      <c r="L393" s="869">
        <f t="shared" si="250"/>
        <v>4.0318735672779811</v>
      </c>
      <c r="M393" s="869">
        <f t="shared" si="250"/>
        <v>4.0479499046712721</v>
      </c>
      <c r="N393" s="869">
        <f t="shared" si="250"/>
        <v>4.0636811319275044</v>
      </c>
      <c r="O393" s="869">
        <f t="shared" si="250"/>
        <v>4.0790715911533093</v>
      </c>
      <c r="P393" s="869">
        <f t="shared" si="250"/>
        <v>4.094125729646219</v>
      </c>
      <c r="Q393" s="869">
        <f t="shared" si="250"/>
        <v>4.1088480898717439</v>
      </c>
      <c r="R393" s="869">
        <f t="shared" si="250"/>
        <v>4.1232432997585349</v>
      </c>
      <c r="S393" s="1429"/>
      <c r="T393" s="1442">
        <f>3177500/1000</f>
        <v>3177.5</v>
      </c>
    </row>
    <row r="394" spans="1:20" x14ac:dyDescent="0.3">
      <c r="A394" s="1434" t="s">
        <v>694</v>
      </c>
      <c r="B394" s="1430" t="s">
        <v>695</v>
      </c>
      <c r="C394" s="554" t="s">
        <v>77</v>
      </c>
      <c r="D394" s="869">
        <f>-D384*$T$394</f>
        <v>0</v>
      </c>
      <c r="E394" s="869">
        <f t="shared" ref="E394:R394" si="251">-E384*$T$394</f>
        <v>0.30718465303273218</v>
      </c>
      <c r="F394" s="869">
        <f t="shared" si="251"/>
        <v>0.30864639299481794</v>
      </c>
      <c r="G394" s="869">
        <f t="shared" si="251"/>
        <v>0.31007892929828251</v>
      </c>
      <c r="H394" s="869">
        <f t="shared" si="251"/>
        <v>0.31148252130895415</v>
      </c>
      <c r="I394" s="869">
        <f t="shared" si="251"/>
        <v>0.31285744279328848</v>
      </c>
      <c r="J394" s="869">
        <f t="shared" si="251"/>
        <v>0.31420398098373808</v>
      </c>
      <c r="K394" s="869">
        <f t="shared" si="251"/>
        <v>0.31552243566109667</v>
      </c>
      <c r="L394" s="869">
        <f t="shared" si="251"/>
        <v>0.316813118255451</v>
      </c>
      <c r="M394" s="869">
        <f t="shared" si="251"/>
        <v>0.31807635096717257</v>
      </c>
      <c r="N394" s="869">
        <f t="shared" si="251"/>
        <v>0.31931246590923357</v>
      </c>
      <c r="O394" s="869">
        <f t="shared" si="251"/>
        <v>0.32052180427199667</v>
      </c>
      <c r="P394" s="869">
        <f t="shared" si="251"/>
        <v>0.32170471551140067</v>
      </c>
      <c r="Q394" s="869">
        <f t="shared" si="251"/>
        <v>0.32286155656142163</v>
      </c>
      <c r="R394" s="869">
        <f t="shared" si="251"/>
        <v>0.32399269107149031</v>
      </c>
      <c r="S394" s="1429"/>
      <c r="T394" s="1442">
        <f>1777222.22222222/1000</f>
        <v>1777.2222222222199</v>
      </c>
    </row>
    <row r="395" spans="1:20" customFormat="1" x14ac:dyDescent="0.3">
      <c r="A395" s="679" t="s">
        <v>696</v>
      </c>
      <c r="B395" s="1156" t="s">
        <v>697</v>
      </c>
      <c r="C395" s="554" t="s">
        <v>77</v>
      </c>
      <c r="D395" s="869">
        <f>-D385*$T$395</f>
        <v>0</v>
      </c>
      <c r="E395" s="869">
        <f t="shared" ref="E395:R395" si="252">-E385*$T$395</f>
        <v>0</v>
      </c>
      <c r="F395" s="869">
        <f t="shared" si="252"/>
        <v>0</v>
      </c>
      <c r="G395" s="869">
        <f t="shared" si="252"/>
        <v>2.9925321438696018</v>
      </c>
      <c r="H395" s="869">
        <f t="shared" si="252"/>
        <v>1.4583311786502935</v>
      </c>
      <c r="I395" s="869">
        <f t="shared" si="252"/>
        <v>0</v>
      </c>
      <c r="J395" s="869">
        <f t="shared" si="252"/>
        <v>0</v>
      </c>
      <c r="K395" s="869">
        <f t="shared" si="252"/>
        <v>0</v>
      </c>
      <c r="L395" s="869">
        <f t="shared" si="252"/>
        <v>0</v>
      </c>
      <c r="M395" s="869">
        <f t="shared" si="252"/>
        <v>0</v>
      </c>
      <c r="N395" s="869">
        <f t="shared" si="252"/>
        <v>0</v>
      </c>
      <c r="O395" s="869">
        <f t="shared" si="252"/>
        <v>0</v>
      </c>
      <c r="P395" s="869">
        <f t="shared" si="252"/>
        <v>0</v>
      </c>
      <c r="Q395" s="869">
        <f t="shared" si="252"/>
        <v>0</v>
      </c>
      <c r="R395" s="869">
        <f t="shared" si="252"/>
        <v>0</v>
      </c>
      <c r="T395" s="1442">
        <f>787222.222222222/1000</f>
        <v>787.22222222222206</v>
      </c>
    </row>
    <row r="397" spans="1:20" ht="15" x14ac:dyDescent="0.3">
      <c r="B397" s="1007" t="s">
        <v>2833</v>
      </c>
      <c r="C397" s="1007"/>
      <c r="D397" s="1007"/>
      <c r="E397" s="1007"/>
      <c r="F397" s="1007"/>
      <c r="G397" s="1007"/>
      <c r="H397" s="1007"/>
      <c r="I397" s="1007"/>
      <c r="J397" s="1007"/>
      <c r="K397" s="1007"/>
      <c r="L397" s="1007"/>
      <c r="M397" s="1007"/>
      <c r="N397" s="1007"/>
      <c r="O397" s="1007"/>
      <c r="P397" s="1007"/>
      <c r="Q397" s="1007"/>
      <c r="R397" s="1007"/>
      <c r="S397" s="1007"/>
    </row>
    <row r="399" spans="1:20" x14ac:dyDescent="0.3">
      <c r="B399" s="860" t="s">
        <v>2600</v>
      </c>
      <c r="C399" s="1410" t="s">
        <v>2391</v>
      </c>
      <c r="D399" s="1411"/>
      <c r="E399" s="1411"/>
      <c r="F399" s="1411"/>
      <c r="G399" s="1411"/>
      <c r="H399" s="1411"/>
      <c r="I399" s="1411"/>
      <c r="J399" s="1411"/>
      <c r="K399" s="1411"/>
      <c r="L399" s="1411"/>
      <c r="M399" s="1411"/>
      <c r="N399" s="1411"/>
      <c r="O399" s="1411"/>
      <c r="P399" s="1411"/>
      <c r="Q399" s="1411"/>
      <c r="R399" s="1411"/>
      <c r="S399" s="1411"/>
    </row>
    <row r="401" spans="2:20" x14ac:dyDescent="0.3">
      <c r="B401" s="556"/>
      <c r="C401" s="556" t="s">
        <v>59</v>
      </c>
      <c r="D401" s="556">
        <v>2021</v>
      </c>
      <c r="E401" s="556">
        <v>2022</v>
      </c>
      <c r="F401" s="556">
        <v>2023</v>
      </c>
      <c r="G401" s="556">
        <v>2024</v>
      </c>
      <c r="H401" s="556">
        <v>2025</v>
      </c>
      <c r="I401" s="556">
        <v>2026</v>
      </c>
      <c r="J401" s="556">
        <v>2027</v>
      </c>
      <c r="K401" s="556">
        <v>2028</v>
      </c>
      <c r="L401" s="556">
        <v>2029</v>
      </c>
      <c r="M401" s="556">
        <v>2030</v>
      </c>
      <c r="N401" s="556">
        <v>2031</v>
      </c>
      <c r="O401" s="556">
        <v>2032</v>
      </c>
      <c r="P401" s="556">
        <v>2033</v>
      </c>
      <c r="Q401" s="556">
        <v>2034</v>
      </c>
      <c r="R401" s="556">
        <v>2035</v>
      </c>
      <c r="S401" s="556" t="s">
        <v>2743</v>
      </c>
      <c r="T401" s="554" t="s">
        <v>2834</v>
      </c>
    </row>
    <row r="402" spans="2:20" x14ac:dyDescent="0.3">
      <c r="B402" s="648" t="s">
        <v>388</v>
      </c>
      <c r="C402" s="648" t="s">
        <v>2798</v>
      </c>
      <c r="D402" s="979">
        <f>(D409*$D$214)+(D411*$D$217)+(D415*$D$216)</f>
        <v>54.51469282107378</v>
      </c>
      <c r="E402" s="979">
        <f t="shared" ref="E402:M402" si="253">(E409*$D$214)+(E411*$D$217)+(E415*$D$216)</f>
        <v>56.150133605705989</v>
      </c>
      <c r="F402" s="979">
        <f t="shared" si="253"/>
        <v>57.834637613877177</v>
      </c>
      <c r="G402" s="979">
        <f t="shared" si="253"/>
        <v>59.569676742293495</v>
      </c>
      <c r="H402" s="979">
        <f t="shared" si="253"/>
        <v>61.356767044562289</v>
      </c>
      <c r="I402" s="979">
        <f t="shared" si="253"/>
        <v>63.19747005589916</v>
      </c>
      <c r="J402" s="979">
        <f t="shared" si="253"/>
        <v>65.093394157576142</v>
      </c>
      <c r="K402" s="979">
        <f t="shared" si="253"/>
        <v>67.046195982303431</v>
      </c>
      <c r="L402" s="979">
        <f t="shared" si="253"/>
        <v>69.057581861772533</v>
      </c>
      <c r="M402" s="979">
        <f t="shared" si="253"/>
        <v>71.129309317625712</v>
      </c>
      <c r="N402" s="979">
        <f t="shared" ref="N402:R402" si="254">(N409*$D$214)+(N411*$D$217)+(N415*$D$216)</f>
        <v>73.263188597154482</v>
      </c>
      <c r="O402" s="979">
        <f t="shared" si="254"/>
        <v>75.461084255069125</v>
      </c>
      <c r="P402" s="979">
        <f t="shared" si="254"/>
        <v>77.724916782721195</v>
      </c>
      <c r="Q402" s="979">
        <f t="shared" si="254"/>
        <v>80.056664286202846</v>
      </c>
      <c r="R402" s="979">
        <f t="shared" si="254"/>
        <v>82.458364214788929</v>
      </c>
      <c r="S402" s="572"/>
      <c r="T402" s="866">
        <v>0.03</v>
      </c>
    </row>
    <row r="403" spans="2:20" x14ac:dyDescent="0.3">
      <c r="B403" s="648" t="s">
        <v>389</v>
      </c>
      <c r="C403" s="648" t="s">
        <v>2798</v>
      </c>
      <c r="D403" s="649">
        <f>(422.69/Admin!V16)-D282</f>
        <v>43.528720379146925</v>
      </c>
      <c r="E403" s="528">
        <f t="shared" ref="E403:M403" si="255">D403*(1+$T403)</f>
        <v>44.834581990521336</v>
      </c>
      <c r="F403" s="528">
        <f t="shared" si="255"/>
        <v>46.179619450236977</v>
      </c>
      <c r="G403" s="528">
        <f t="shared" si="255"/>
        <v>47.565008033744085</v>
      </c>
      <c r="H403" s="528">
        <f t="shared" si="255"/>
        <v>48.991958274756406</v>
      </c>
      <c r="I403" s="528">
        <f t="shared" si="255"/>
        <v>50.461717022999103</v>
      </c>
      <c r="J403" s="528">
        <f t="shared" si="255"/>
        <v>51.975568533689078</v>
      </c>
      <c r="K403" s="528">
        <f t="shared" si="255"/>
        <v>53.534835589699753</v>
      </c>
      <c r="L403" s="528">
        <f t="shared" si="255"/>
        <v>55.140880657390746</v>
      </c>
      <c r="M403" s="528">
        <f t="shared" si="255"/>
        <v>56.795107077112469</v>
      </c>
      <c r="N403" s="528">
        <f t="shared" ref="N403:R403" si="256">M403*(1+$T403)</f>
        <v>58.498960289425845</v>
      </c>
      <c r="O403" s="528">
        <f t="shared" si="256"/>
        <v>60.253929098108621</v>
      </c>
      <c r="P403" s="528">
        <f t="shared" si="256"/>
        <v>62.061546971051882</v>
      </c>
      <c r="Q403" s="528">
        <f t="shared" si="256"/>
        <v>63.923393380183441</v>
      </c>
      <c r="R403" s="528">
        <f t="shared" si="256"/>
        <v>65.84109518158894</v>
      </c>
      <c r="S403" s="572" t="s">
        <v>2835</v>
      </c>
      <c r="T403" s="866">
        <v>0.03</v>
      </c>
    </row>
    <row r="404" spans="2:20" x14ac:dyDescent="0.3">
      <c r="B404" s="648" t="s">
        <v>390</v>
      </c>
      <c r="C404" s="648" t="s">
        <v>2798</v>
      </c>
      <c r="D404" s="1037">
        <f>101.16/Admin!$V$11</f>
        <v>14.115348837209304</v>
      </c>
      <c r="E404" s="528">
        <f t="shared" ref="E404:M404" si="257">D404*(1+$T404)</f>
        <v>14.538809302325584</v>
      </c>
      <c r="F404" s="528">
        <f t="shared" si="257"/>
        <v>14.974973581395352</v>
      </c>
      <c r="G404" s="528">
        <f t="shared" si="257"/>
        <v>15.424222788837213</v>
      </c>
      <c r="H404" s="528">
        <f t="shared" si="257"/>
        <v>15.88694947250233</v>
      </c>
      <c r="I404" s="528">
        <f t="shared" si="257"/>
        <v>16.363557956677401</v>
      </c>
      <c r="J404" s="528">
        <f t="shared" si="257"/>
        <v>16.854464695377722</v>
      </c>
      <c r="K404" s="528">
        <f t="shared" si="257"/>
        <v>17.360098636239055</v>
      </c>
      <c r="L404" s="528">
        <f t="shared" si="257"/>
        <v>17.880901595326229</v>
      </c>
      <c r="M404" s="528">
        <f t="shared" si="257"/>
        <v>18.417328643186018</v>
      </c>
      <c r="N404" s="528">
        <f t="shared" ref="N404:R404" si="258">M404*(1+$T404)</f>
        <v>18.9698485024816</v>
      </c>
      <c r="O404" s="528">
        <f t="shared" si="258"/>
        <v>19.53894395755605</v>
      </c>
      <c r="P404" s="528">
        <f t="shared" si="258"/>
        <v>20.125112276282731</v>
      </c>
      <c r="Q404" s="528">
        <f t="shared" si="258"/>
        <v>20.728865644571215</v>
      </c>
      <c r="R404" s="528">
        <f t="shared" si="258"/>
        <v>21.350731613908351</v>
      </c>
      <c r="S404" s="572" t="s">
        <v>2836</v>
      </c>
      <c r="T404" s="866">
        <v>0.03</v>
      </c>
    </row>
    <row r="405" spans="2:20" x14ac:dyDescent="0.3">
      <c r="B405" s="648" t="s">
        <v>391</v>
      </c>
      <c r="C405" s="648" t="s">
        <v>2798</v>
      </c>
      <c r="D405" s="645">
        <f>D403</f>
        <v>43.528720379146925</v>
      </c>
      <c r="E405" s="645">
        <f t="shared" ref="E405:M405" si="259">E403</f>
        <v>44.834581990521336</v>
      </c>
      <c r="F405" s="645">
        <f t="shared" si="259"/>
        <v>46.179619450236977</v>
      </c>
      <c r="G405" s="645">
        <f t="shared" si="259"/>
        <v>47.565008033744085</v>
      </c>
      <c r="H405" s="645">
        <f t="shared" si="259"/>
        <v>48.991958274756406</v>
      </c>
      <c r="I405" s="645">
        <f t="shared" si="259"/>
        <v>50.461717022999103</v>
      </c>
      <c r="J405" s="645">
        <f t="shared" si="259"/>
        <v>51.975568533689078</v>
      </c>
      <c r="K405" s="645">
        <f t="shared" si="259"/>
        <v>53.534835589699753</v>
      </c>
      <c r="L405" s="645">
        <f t="shared" si="259"/>
        <v>55.140880657390746</v>
      </c>
      <c r="M405" s="645">
        <f t="shared" si="259"/>
        <v>56.795107077112469</v>
      </c>
      <c r="N405" s="645">
        <f t="shared" ref="N405:R405" si="260">N403</f>
        <v>58.498960289425845</v>
      </c>
      <c r="O405" s="645">
        <f t="shared" si="260"/>
        <v>60.253929098108621</v>
      </c>
      <c r="P405" s="645">
        <f t="shared" si="260"/>
        <v>62.061546971051882</v>
      </c>
      <c r="Q405" s="645">
        <f t="shared" si="260"/>
        <v>63.923393380183441</v>
      </c>
      <c r="R405" s="645">
        <f t="shared" si="260"/>
        <v>65.84109518158894</v>
      </c>
      <c r="S405" s="572"/>
      <c r="T405" s="866">
        <v>0.03</v>
      </c>
    </row>
    <row r="406" spans="2:20" x14ac:dyDescent="0.3">
      <c r="B406" s="648" t="s">
        <v>392</v>
      </c>
      <c r="C406" s="648" t="s">
        <v>2798</v>
      </c>
      <c r="D406" s="649">
        <v>63</v>
      </c>
      <c r="E406" s="528">
        <f t="shared" ref="E406:M406" si="261">D406*(1+$T406)</f>
        <v>64.89</v>
      </c>
      <c r="F406" s="528">
        <f t="shared" si="261"/>
        <v>66.836700000000008</v>
      </c>
      <c r="G406" s="528">
        <f t="shared" si="261"/>
        <v>68.841801000000004</v>
      </c>
      <c r="H406" s="528">
        <f t="shared" si="261"/>
        <v>70.907055030000009</v>
      </c>
      <c r="I406" s="528">
        <f t="shared" si="261"/>
        <v>73.034266680900018</v>
      </c>
      <c r="J406" s="528">
        <f t="shared" si="261"/>
        <v>75.225294681327014</v>
      </c>
      <c r="K406" s="528">
        <f t="shared" si="261"/>
        <v>77.482053521766829</v>
      </c>
      <c r="L406" s="528">
        <f t="shared" si="261"/>
        <v>79.806515127419843</v>
      </c>
      <c r="M406" s="528">
        <f t="shared" si="261"/>
        <v>82.200710581242447</v>
      </c>
      <c r="N406" s="528">
        <f t="shared" ref="N406:R406" si="262">M406*(1+$T406)</f>
        <v>84.666731898679728</v>
      </c>
      <c r="O406" s="528">
        <f t="shared" si="262"/>
        <v>87.206733855640124</v>
      </c>
      <c r="P406" s="528">
        <f t="shared" si="262"/>
        <v>89.822935871309326</v>
      </c>
      <c r="Q406" s="528">
        <f t="shared" si="262"/>
        <v>92.517623947448612</v>
      </c>
      <c r="R406" s="528">
        <f t="shared" si="262"/>
        <v>95.293152665872071</v>
      </c>
      <c r="S406" s="572" t="s">
        <v>2835</v>
      </c>
      <c r="T406" s="866">
        <v>0.03</v>
      </c>
    </row>
    <row r="407" spans="2:20" x14ac:dyDescent="0.3">
      <c r="B407" s="648" t="s">
        <v>393</v>
      </c>
      <c r="C407" s="648" t="s">
        <v>2798</v>
      </c>
      <c r="D407" s="952">
        <f>C457*1000</f>
        <v>77.600000000000009</v>
      </c>
      <c r="E407" s="528">
        <f t="shared" ref="E407:M407" si="263">D407*(1+$T407)</f>
        <v>79.928000000000011</v>
      </c>
      <c r="F407" s="528">
        <f t="shared" si="263"/>
        <v>82.325840000000014</v>
      </c>
      <c r="G407" s="528">
        <f t="shared" si="263"/>
        <v>84.795615200000015</v>
      </c>
      <c r="H407" s="528">
        <f t="shared" si="263"/>
        <v>87.339483656000013</v>
      </c>
      <c r="I407" s="528">
        <f t="shared" si="263"/>
        <v>89.959668165680014</v>
      </c>
      <c r="J407" s="528">
        <f t="shared" si="263"/>
        <v>92.658458210650423</v>
      </c>
      <c r="K407" s="528">
        <f t="shared" si="263"/>
        <v>95.438211956969937</v>
      </c>
      <c r="L407" s="528">
        <f t="shared" si="263"/>
        <v>98.301358315679039</v>
      </c>
      <c r="M407" s="528">
        <f t="shared" si="263"/>
        <v>101.25039906514941</v>
      </c>
      <c r="N407" s="528">
        <f t="shared" ref="N407:R407" si="264">M407*(1+$T407)</f>
        <v>104.2879110371039</v>
      </c>
      <c r="O407" s="528">
        <f t="shared" si="264"/>
        <v>107.41654836821702</v>
      </c>
      <c r="P407" s="528">
        <f t="shared" si="264"/>
        <v>110.63904481926353</v>
      </c>
      <c r="Q407" s="528">
        <f t="shared" si="264"/>
        <v>113.95821616384144</v>
      </c>
      <c r="R407" s="528">
        <f t="shared" si="264"/>
        <v>117.37696264875669</v>
      </c>
      <c r="S407" s="572" t="s">
        <v>2835</v>
      </c>
      <c r="T407" s="866">
        <v>0.03</v>
      </c>
    </row>
    <row r="408" spans="2:20" x14ac:dyDescent="0.3">
      <c r="B408" s="648" t="s">
        <v>2746</v>
      </c>
      <c r="C408" s="980" t="s">
        <v>2837</v>
      </c>
      <c r="D408" s="570">
        <v>548</v>
      </c>
      <c r="E408" s="528">
        <f t="shared" ref="E408:M408" si="265">D408*(1+$T408)</f>
        <v>564.44000000000005</v>
      </c>
      <c r="F408" s="528">
        <f t="shared" si="265"/>
        <v>581.37320000000011</v>
      </c>
      <c r="G408" s="528">
        <f t="shared" si="265"/>
        <v>598.8143960000001</v>
      </c>
      <c r="H408" s="528">
        <f t="shared" si="265"/>
        <v>616.77882788000011</v>
      </c>
      <c r="I408" s="528">
        <f t="shared" si="265"/>
        <v>635.28219271640012</v>
      </c>
      <c r="J408" s="528">
        <f t="shared" si="265"/>
        <v>654.34065849789215</v>
      </c>
      <c r="K408" s="528">
        <f t="shared" si="265"/>
        <v>673.97087825282892</v>
      </c>
      <c r="L408" s="528">
        <f t="shared" si="265"/>
        <v>694.19000460041377</v>
      </c>
      <c r="M408" s="528">
        <f t="shared" si="265"/>
        <v>715.01570473842617</v>
      </c>
      <c r="N408" s="528">
        <f t="shared" ref="N408:R408" si="266">M408*(1+$T408)</f>
        <v>736.46617588057893</v>
      </c>
      <c r="O408" s="528">
        <f t="shared" si="266"/>
        <v>758.56016115699629</v>
      </c>
      <c r="P408" s="528">
        <f t="shared" si="266"/>
        <v>781.31696599170618</v>
      </c>
      <c r="Q408" s="528">
        <f t="shared" si="266"/>
        <v>804.75647497145735</v>
      </c>
      <c r="R408" s="528">
        <f t="shared" si="266"/>
        <v>828.89916922060104</v>
      </c>
      <c r="S408" s="572" t="s">
        <v>2835</v>
      </c>
      <c r="T408" s="866">
        <v>0.03</v>
      </c>
    </row>
    <row r="409" spans="2:20" x14ac:dyDescent="0.3">
      <c r="B409" s="648" t="s">
        <v>2746</v>
      </c>
      <c r="C409" s="648" t="s">
        <v>2798</v>
      </c>
      <c r="D409" s="592">
        <f>D408/Admin!$V$26</f>
        <v>57.684164378984285</v>
      </c>
      <c r="E409" s="592">
        <f>E408/Admin!$V$26</f>
        <v>59.414689310353822</v>
      </c>
      <c r="F409" s="592">
        <f>F408/Admin!$V$26</f>
        <v>61.19712998966444</v>
      </c>
      <c r="G409" s="592">
        <f>G408/Admin!$V$26</f>
        <v>63.033043889354374</v>
      </c>
      <c r="H409" s="592">
        <f>H408/Admin!$V$26</f>
        <v>64.924035206035001</v>
      </c>
      <c r="I409" s="592">
        <f>I408/Admin!$V$26</f>
        <v>66.871756262216053</v>
      </c>
      <c r="J409" s="592">
        <f>J408/Admin!$V$26</f>
        <v>68.877908950082542</v>
      </c>
      <c r="K409" s="592">
        <f>K408/Admin!$V$26</f>
        <v>70.944246218585022</v>
      </c>
      <c r="L409" s="592">
        <f>L408/Admin!$V$26</f>
        <v>73.072573605142566</v>
      </c>
      <c r="M409" s="592">
        <f>M408/Admin!$V$26</f>
        <v>75.264750813296843</v>
      </c>
      <c r="N409" s="592">
        <f>N408/Admin!$V$26</f>
        <v>77.522693337695742</v>
      </c>
      <c r="O409" s="592">
        <f>O408/Admin!$V$26</f>
        <v>79.84837413782661</v>
      </c>
      <c r="P409" s="592">
        <f>P408/Admin!$V$26</f>
        <v>82.243825361961413</v>
      </c>
      <c r="Q409" s="592">
        <f>Q408/Admin!$V$26</f>
        <v>84.711140122820254</v>
      </c>
      <c r="R409" s="592">
        <f>R408/Admin!$V$26</f>
        <v>87.252474326504853</v>
      </c>
      <c r="S409" s="572"/>
      <c r="T409" s="866">
        <v>0.03</v>
      </c>
    </row>
    <row r="410" spans="2:20" x14ac:dyDescent="0.3">
      <c r="B410" s="648" t="s">
        <v>2814</v>
      </c>
      <c r="C410" s="980" t="s">
        <v>2838</v>
      </c>
      <c r="D410" s="502">
        <v>512.71</v>
      </c>
      <c r="E410" s="528">
        <f t="shared" ref="E410:M410" si="267">D410*(1+$T410)</f>
        <v>528.09130000000005</v>
      </c>
      <c r="F410" s="528">
        <f t="shared" si="267"/>
        <v>543.9340390000001</v>
      </c>
      <c r="G410" s="528">
        <f t="shared" si="267"/>
        <v>560.25206017000016</v>
      </c>
      <c r="H410" s="528">
        <f t="shared" si="267"/>
        <v>577.05962197510019</v>
      </c>
      <c r="I410" s="528">
        <f t="shared" si="267"/>
        <v>594.3714106343532</v>
      </c>
      <c r="J410" s="528">
        <f t="shared" si="267"/>
        <v>612.20255295338382</v>
      </c>
      <c r="K410" s="528">
        <f t="shared" si="267"/>
        <v>630.56862954198539</v>
      </c>
      <c r="L410" s="528">
        <f t="shared" si="267"/>
        <v>649.485688428245</v>
      </c>
      <c r="M410" s="528">
        <f t="shared" si="267"/>
        <v>668.97025908109242</v>
      </c>
      <c r="N410" s="528">
        <f t="shared" ref="N410:R410" si="268">M410*(1+$T410)</f>
        <v>689.03936685352517</v>
      </c>
      <c r="O410" s="528">
        <f t="shared" si="268"/>
        <v>709.71054785913088</v>
      </c>
      <c r="P410" s="528">
        <f t="shared" si="268"/>
        <v>731.00186429490486</v>
      </c>
      <c r="Q410" s="528">
        <f t="shared" si="268"/>
        <v>752.93192022375206</v>
      </c>
      <c r="R410" s="528">
        <f t="shared" si="268"/>
        <v>775.51987783046468</v>
      </c>
      <c r="S410" s="572" t="s">
        <v>2839</v>
      </c>
      <c r="T410" s="866">
        <v>0.03</v>
      </c>
    </row>
    <row r="411" spans="2:20" x14ac:dyDescent="0.3">
      <c r="B411" s="648" t="s">
        <v>2814</v>
      </c>
      <c r="C411" s="648" t="s">
        <v>2798</v>
      </c>
      <c r="D411" s="500">
        <f>(D410)/(Admin!$V$38/1000)</f>
        <v>45.687029702970307</v>
      </c>
      <c r="E411" s="500">
        <f>(E410)/(Admin!$V$38/1000)</f>
        <v>47.057640594059414</v>
      </c>
      <c r="F411" s="500">
        <f>(F410)/(Admin!$V$38/1000)</f>
        <v>48.469369811881201</v>
      </c>
      <c r="G411" s="500">
        <f>(G410)/(Admin!$V$38/1000)</f>
        <v>49.92345090623764</v>
      </c>
      <c r="H411" s="500">
        <f>(H410)/(Admin!$V$38/1000)</f>
        <v>51.421154433424775</v>
      </c>
      <c r="I411" s="500">
        <f>(I410)/(Admin!$V$38/1000)</f>
        <v>52.963789066427516</v>
      </c>
      <c r="J411" s="500">
        <f>(J410)/(Admin!$V$38/1000)</f>
        <v>54.552702738420344</v>
      </c>
      <c r="K411" s="500">
        <f>(K410)/(Admin!$V$38/1000)</f>
        <v>56.18928382057296</v>
      </c>
      <c r="L411" s="500">
        <f>(L410)/(Admin!$V$38/1000)</f>
        <v>57.874962335190155</v>
      </c>
      <c r="M411" s="500">
        <f>(M410)/(Admin!$V$38/1000)</f>
        <v>59.611211205245866</v>
      </c>
      <c r="N411" s="500">
        <f>(N410)/(Admin!$V$38/1000)</f>
        <v>61.399547541403237</v>
      </c>
      <c r="O411" s="500">
        <f>(O410)/(Admin!$V$38/1000)</f>
        <v>63.241533967645331</v>
      </c>
      <c r="P411" s="500">
        <f>(P410)/(Admin!$V$38/1000)</f>
        <v>65.138779986674692</v>
      </c>
      <c r="Q411" s="500">
        <f>(Q410)/(Admin!$V$38/1000)</f>
        <v>67.092943386274939</v>
      </c>
      <c r="R411" s="500">
        <f>(R410)/(Admin!$V$38/1000)</f>
        <v>69.105731687863198</v>
      </c>
      <c r="S411" s="572" t="s">
        <v>2839</v>
      </c>
      <c r="T411" s="866">
        <v>0.03</v>
      </c>
    </row>
    <row r="412" spans="2:20" x14ac:dyDescent="0.3">
      <c r="B412" s="648" t="s">
        <v>2815</v>
      </c>
      <c r="C412" s="980" t="s">
        <v>2838</v>
      </c>
      <c r="D412" s="502">
        <v>495.92</v>
      </c>
      <c r="E412" s="528">
        <f t="shared" ref="E412:M412" si="269">D412*(1+$T412)</f>
        <v>510.79760000000005</v>
      </c>
      <c r="F412" s="528">
        <f t="shared" si="269"/>
        <v>526.12152800000001</v>
      </c>
      <c r="G412" s="528">
        <f t="shared" si="269"/>
        <v>541.90517383999997</v>
      </c>
      <c r="H412" s="528">
        <f t="shared" si="269"/>
        <v>558.16232905519996</v>
      </c>
      <c r="I412" s="528">
        <f t="shared" si="269"/>
        <v>574.90719892685593</v>
      </c>
      <c r="J412" s="528">
        <f t="shared" si="269"/>
        <v>592.15441489466161</v>
      </c>
      <c r="K412" s="528">
        <f t="shared" si="269"/>
        <v>609.91904734150148</v>
      </c>
      <c r="L412" s="528">
        <f t="shared" si="269"/>
        <v>628.21661876174653</v>
      </c>
      <c r="M412" s="528">
        <f t="shared" si="269"/>
        <v>647.06311732459892</v>
      </c>
      <c r="N412" s="528">
        <f t="shared" ref="N412:R412" si="270">M412*(1+$T412)</f>
        <v>666.47501084433691</v>
      </c>
      <c r="O412" s="528">
        <f t="shared" si="270"/>
        <v>686.46926116966699</v>
      </c>
      <c r="P412" s="528">
        <f t="shared" si="270"/>
        <v>707.06333900475704</v>
      </c>
      <c r="Q412" s="528">
        <f t="shared" si="270"/>
        <v>728.27523917489975</v>
      </c>
      <c r="R412" s="528">
        <f t="shared" si="270"/>
        <v>750.12349635014675</v>
      </c>
      <c r="S412" s="572" t="s">
        <v>2839</v>
      </c>
      <c r="T412" s="866">
        <v>0.03</v>
      </c>
    </row>
    <row r="413" spans="2:20" x14ac:dyDescent="0.3">
      <c r="B413" s="648" t="s">
        <v>2815</v>
      </c>
      <c r="C413" s="648" t="s">
        <v>2798</v>
      </c>
      <c r="D413" s="500">
        <f>D412/(Admin!$V$35/1000)</f>
        <v>44.190891089108916</v>
      </c>
      <c r="E413" s="500">
        <f>E412/(Admin!$V$35/1000)</f>
        <v>45.516617821782184</v>
      </c>
      <c r="F413" s="500">
        <f>F412/(Admin!$V$35/1000)</f>
        <v>46.882116356435645</v>
      </c>
      <c r="G413" s="500">
        <f>G412/(Admin!$V$35/1000)</f>
        <v>48.288579847128716</v>
      </c>
      <c r="H413" s="500">
        <f>H412/(Admin!$V$35/1000)</f>
        <v>49.737237242542577</v>
      </c>
      <c r="I413" s="500">
        <f>I412/(Admin!$V$35/1000)</f>
        <v>51.229354359818849</v>
      </c>
      <c r="J413" s="500">
        <f>J412/(Admin!$V$35/1000)</f>
        <v>52.766234990613412</v>
      </c>
      <c r="K413" s="500">
        <f>K412/(Admin!$V$35/1000)</f>
        <v>54.349222040331817</v>
      </c>
      <c r="L413" s="500">
        <f>L412/(Admin!$V$35/1000)</f>
        <v>55.979698701541771</v>
      </c>
      <c r="M413" s="500">
        <f>M412/(Admin!$V$35/1000)</f>
        <v>57.659089662588023</v>
      </c>
      <c r="N413" s="500">
        <f>N412/(Admin!$V$35/1000)</f>
        <v>59.388862352465672</v>
      </c>
      <c r="O413" s="500">
        <f>O412/(Admin!$V$35/1000)</f>
        <v>61.170528223039639</v>
      </c>
      <c r="P413" s="500">
        <f>P412/(Admin!$V$35/1000)</f>
        <v>63.005644069730828</v>
      </c>
      <c r="Q413" s="500">
        <f>Q412/(Admin!$V$35/1000)</f>
        <v>64.895813391822756</v>
      </c>
      <c r="R413" s="500">
        <f>R412/(Admin!$V$35/1000)</f>
        <v>66.84268779357744</v>
      </c>
      <c r="S413" s="572" t="s">
        <v>2839</v>
      </c>
      <c r="T413" s="866">
        <v>0.03</v>
      </c>
    </row>
    <row r="414" spans="2:20" x14ac:dyDescent="0.3">
      <c r="B414" s="648" t="s">
        <v>2730</v>
      </c>
      <c r="C414" s="980" t="s">
        <v>2837</v>
      </c>
      <c r="D414" s="570">
        <v>597</v>
      </c>
      <c r="E414" s="528">
        <f t="shared" ref="E414:M414" si="271">D414*(1+$T414)</f>
        <v>614.91</v>
      </c>
      <c r="F414" s="528">
        <f t="shared" si="271"/>
        <v>633.35730000000001</v>
      </c>
      <c r="G414" s="528">
        <f t="shared" si="271"/>
        <v>652.35801900000001</v>
      </c>
      <c r="H414" s="528">
        <f t="shared" si="271"/>
        <v>671.92875957000001</v>
      </c>
      <c r="I414" s="528">
        <f t="shared" si="271"/>
        <v>692.08662235710005</v>
      </c>
      <c r="J414" s="528">
        <f t="shared" si="271"/>
        <v>712.84922102781309</v>
      </c>
      <c r="K414" s="528">
        <f t="shared" si="271"/>
        <v>734.23469765864752</v>
      </c>
      <c r="L414" s="528">
        <f t="shared" si="271"/>
        <v>756.26173858840696</v>
      </c>
      <c r="M414" s="528">
        <f t="shared" si="271"/>
        <v>778.94959074605913</v>
      </c>
      <c r="N414" s="528">
        <f t="shared" ref="N414:R414" si="272">M414*(1+$T414)</f>
        <v>802.31807846844094</v>
      </c>
      <c r="O414" s="528">
        <f t="shared" si="272"/>
        <v>826.38762082249423</v>
      </c>
      <c r="P414" s="528">
        <f t="shared" si="272"/>
        <v>851.17924944716913</v>
      </c>
      <c r="Q414" s="528">
        <f t="shared" si="272"/>
        <v>876.71462693058425</v>
      </c>
      <c r="R414" s="528">
        <f t="shared" si="272"/>
        <v>903.01606573850177</v>
      </c>
      <c r="S414" s="572" t="s">
        <v>2840</v>
      </c>
      <c r="T414" s="866">
        <v>0.03</v>
      </c>
    </row>
    <row r="415" spans="2:20" x14ac:dyDescent="0.3">
      <c r="B415" s="648" t="s">
        <v>2730</v>
      </c>
      <c r="C415" s="648" t="s">
        <v>2798</v>
      </c>
      <c r="D415" s="618">
        <f>D414/Admin!$V$30</f>
        <v>55.678711933714382</v>
      </c>
      <c r="E415" s="618">
        <f>E414/Admin!$V$30</f>
        <v>57.349073291725809</v>
      </c>
      <c r="F415" s="618">
        <f>F414/Admin!$V$30</f>
        <v>59.069545490477587</v>
      </c>
      <c r="G415" s="618">
        <f>G414/Admin!$V$30</f>
        <v>60.841631855191913</v>
      </c>
      <c r="H415" s="618">
        <f>H414/Admin!$V$30</f>
        <v>62.666880810847672</v>
      </c>
      <c r="I415" s="618">
        <f>I414/Admin!$V$30</f>
        <v>64.546887235173102</v>
      </c>
      <c r="J415" s="618">
        <f>J414/Admin!$V$30</f>
        <v>66.4832938522283</v>
      </c>
      <c r="K415" s="618">
        <f>K414/Admin!$V$30</f>
        <v>68.477792667795157</v>
      </c>
      <c r="L415" s="618">
        <f>L414/Admin!$V$30</f>
        <v>70.532126447829015</v>
      </c>
      <c r="M415" s="618">
        <f>M414/Admin!$V$30</f>
        <v>72.648090241263873</v>
      </c>
      <c r="N415" s="618">
        <f>N414/Admin!$V$30</f>
        <v>74.827532948501798</v>
      </c>
      <c r="O415" s="618">
        <f>O414/Admin!$V$30</f>
        <v>77.07235893695686</v>
      </c>
      <c r="P415" s="618">
        <f>P414/Admin!$V$30</f>
        <v>79.384529705065574</v>
      </c>
      <c r="Q415" s="618">
        <f>Q414/Admin!$V$30</f>
        <v>81.766065596217544</v>
      </c>
      <c r="R415" s="618">
        <f>R414/Admin!$V$30</f>
        <v>84.219047564104073</v>
      </c>
      <c r="S415" s="572" t="s">
        <v>2840</v>
      </c>
      <c r="T415" s="866">
        <v>0.03</v>
      </c>
    </row>
    <row r="416" spans="2:20" x14ac:dyDescent="0.3">
      <c r="B416" s="644" t="s">
        <v>2790</v>
      </c>
      <c r="C416" s="648" t="s">
        <v>2837</v>
      </c>
      <c r="D416" s="554">
        <v>597</v>
      </c>
      <c r="E416" s="528">
        <f t="shared" ref="E416" si="273">D416*(1+$T416)</f>
        <v>614.91</v>
      </c>
      <c r="F416" s="528">
        <f t="shared" ref="F416" si="274">E416*(1+$T416)</f>
        <v>633.35730000000001</v>
      </c>
      <c r="G416" s="528">
        <f t="shared" ref="G416" si="275">F416*(1+$T416)</f>
        <v>652.35801900000001</v>
      </c>
      <c r="H416" s="528">
        <f t="shared" ref="H416" si="276">G416*(1+$T416)</f>
        <v>671.92875957000001</v>
      </c>
      <c r="I416" s="528">
        <f t="shared" ref="I416" si="277">H416*(1+$T416)</f>
        <v>692.08662235710005</v>
      </c>
      <c r="J416" s="528">
        <f t="shared" ref="J416" si="278">I416*(1+$T416)</f>
        <v>712.84922102781309</v>
      </c>
      <c r="K416" s="528">
        <f t="shared" ref="K416" si="279">J416*(1+$T416)</f>
        <v>734.23469765864752</v>
      </c>
      <c r="L416" s="528">
        <f t="shared" ref="L416" si="280">K416*(1+$T416)</f>
        <v>756.26173858840696</v>
      </c>
      <c r="M416" s="528">
        <f t="shared" ref="M416" si="281">L416*(1+$T416)</f>
        <v>778.94959074605913</v>
      </c>
      <c r="N416" s="528">
        <f t="shared" ref="N416" si="282">M416*(1+$T416)</f>
        <v>802.31807846844094</v>
      </c>
      <c r="O416" s="528">
        <f t="shared" ref="O416" si="283">N416*(1+$T416)</f>
        <v>826.38762082249423</v>
      </c>
      <c r="P416" s="528">
        <f t="shared" ref="P416" si="284">O416*(1+$T416)</f>
        <v>851.17924944716913</v>
      </c>
      <c r="Q416" s="528">
        <f t="shared" ref="Q416" si="285">P416*(1+$T416)</f>
        <v>876.71462693058425</v>
      </c>
      <c r="R416" s="528">
        <f t="shared" ref="R416" si="286">Q416*(1+$T416)</f>
        <v>903.01606573850177</v>
      </c>
      <c r="S416" s="572" t="s">
        <v>2835</v>
      </c>
      <c r="T416" s="866">
        <v>0.03</v>
      </c>
    </row>
    <row r="417" spans="1:20" x14ac:dyDescent="0.3">
      <c r="B417" s="644" t="s">
        <v>2790</v>
      </c>
      <c r="C417" s="648" t="s">
        <v>2798</v>
      </c>
      <c r="D417" s="618">
        <f>D416/Admin!$V$30</f>
        <v>55.678711933714382</v>
      </c>
      <c r="E417" s="618">
        <f>E416/Admin!$V$30</f>
        <v>57.349073291725809</v>
      </c>
      <c r="F417" s="618">
        <f>F416/Admin!$V$30</f>
        <v>59.069545490477587</v>
      </c>
      <c r="G417" s="618">
        <f>G416/Admin!$V$30</f>
        <v>60.841631855191913</v>
      </c>
      <c r="H417" s="618">
        <f>H416/Admin!$V$30</f>
        <v>62.666880810847672</v>
      </c>
      <c r="I417" s="618">
        <f>I416/Admin!$V$30</f>
        <v>64.546887235173102</v>
      </c>
      <c r="J417" s="618">
        <f>J416/Admin!$V$30</f>
        <v>66.4832938522283</v>
      </c>
      <c r="K417" s="618">
        <f>K416/Admin!$V$30</f>
        <v>68.477792667795157</v>
      </c>
      <c r="L417" s="618">
        <f>L416/Admin!$V$30</f>
        <v>70.532126447829015</v>
      </c>
      <c r="M417" s="618">
        <f>M416/Admin!$V$30</f>
        <v>72.648090241263873</v>
      </c>
      <c r="N417" s="618">
        <f>N416/Admin!$V$30</f>
        <v>74.827532948501798</v>
      </c>
      <c r="O417" s="618">
        <f>O416/Admin!$V$30</f>
        <v>77.07235893695686</v>
      </c>
      <c r="P417" s="618">
        <f>P416/Admin!$V$30</f>
        <v>79.384529705065574</v>
      </c>
      <c r="Q417" s="618">
        <f>Q416/Admin!$V$30</f>
        <v>81.766065596217544</v>
      </c>
      <c r="R417" s="618">
        <f>R416/Admin!$V$30</f>
        <v>84.219047564104073</v>
      </c>
      <c r="S417" s="572"/>
      <c r="T417" s="866"/>
    </row>
    <row r="418" spans="1:20" x14ac:dyDescent="0.3">
      <c r="B418" s="648" t="s">
        <v>2841</v>
      </c>
      <c r="C418" s="648" t="s">
        <v>2798</v>
      </c>
      <c r="D418" s="1145">
        <f>C451*1000</f>
        <v>81.8</v>
      </c>
      <c r="E418" s="528">
        <f t="shared" ref="E418:M418" si="287">D418*(1+$T418)</f>
        <v>84.254000000000005</v>
      </c>
      <c r="F418" s="528">
        <f t="shared" si="287"/>
        <v>86.781620000000004</v>
      </c>
      <c r="G418" s="528">
        <f t="shared" si="287"/>
        <v>89.385068600000011</v>
      </c>
      <c r="H418" s="528">
        <f t="shared" si="287"/>
        <v>92.066620658000019</v>
      </c>
      <c r="I418" s="528">
        <f t="shared" si="287"/>
        <v>94.828619277740017</v>
      </c>
      <c r="J418" s="528">
        <f t="shared" si="287"/>
        <v>97.673477856072225</v>
      </c>
      <c r="K418" s="528">
        <f t="shared" si="287"/>
        <v>100.60368219175439</v>
      </c>
      <c r="L418" s="528">
        <f t="shared" si="287"/>
        <v>103.62179265750702</v>
      </c>
      <c r="M418" s="528">
        <f t="shared" si="287"/>
        <v>106.73044643723223</v>
      </c>
      <c r="N418" s="528">
        <f t="shared" ref="N418:R418" si="288">M418*(1+$T418)</f>
        <v>109.9323598303492</v>
      </c>
      <c r="O418" s="528">
        <f t="shared" si="288"/>
        <v>113.23033062525968</v>
      </c>
      <c r="P418" s="528">
        <f t="shared" si="288"/>
        <v>116.62724054401748</v>
      </c>
      <c r="Q418" s="528">
        <f t="shared" si="288"/>
        <v>120.12605776033801</v>
      </c>
      <c r="R418" s="528">
        <f t="shared" si="288"/>
        <v>123.72983949314816</v>
      </c>
      <c r="S418" s="572" t="s">
        <v>2835</v>
      </c>
      <c r="T418" s="866">
        <v>0.03</v>
      </c>
    </row>
    <row r="419" spans="1:20" x14ac:dyDescent="0.3">
      <c r="B419" s="648" t="s">
        <v>2842</v>
      </c>
      <c r="C419" s="648" t="s">
        <v>2798</v>
      </c>
      <c r="D419" s="570">
        <v>63</v>
      </c>
      <c r="E419" s="528">
        <f t="shared" ref="E419:M420" si="289">D419*(1+$T419)</f>
        <v>64.89</v>
      </c>
      <c r="F419" s="528">
        <f t="shared" si="289"/>
        <v>66.836700000000008</v>
      </c>
      <c r="G419" s="528">
        <f t="shared" si="289"/>
        <v>68.841801000000004</v>
      </c>
      <c r="H419" s="528">
        <f t="shared" si="289"/>
        <v>70.907055030000009</v>
      </c>
      <c r="I419" s="528">
        <f t="shared" si="289"/>
        <v>73.034266680900018</v>
      </c>
      <c r="J419" s="528">
        <f t="shared" si="289"/>
        <v>75.225294681327014</v>
      </c>
      <c r="K419" s="528">
        <f t="shared" si="289"/>
        <v>77.482053521766829</v>
      </c>
      <c r="L419" s="528">
        <f t="shared" si="289"/>
        <v>79.806515127419843</v>
      </c>
      <c r="M419" s="528">
        <f t="shared" si="289"/>
        <v>82.200710581242447</v>
      </c>
      <c r="N419" s="528">
        <f t="shared" ref="N419:R420" si="290">M419*(1+$T419)</f>
        <v>84.666731898679728</v>
      </c>
      <c r="O419" s="528">
        <f t="shared" si="290"/>
        <v>87.206733855640124</v>
      </c>
      <c r="P419" s="528">
        <f t="shared" si="290"/>
        <v>89.822935871309326</v>
      </c>
      <c r="Q419" s="528">
        <f t="shared" si="290"/>
        <v>92.517623947448612</v>
      </c>
      <c r="R419" s="528">
        <f t="shared" si="290"/>
        <v>95.293152665872071</v>
      </c>
      <c r="S419" s="572" t="s">
        <v>2835</v>
      </c>
      <c r="T419" s="866">
        <v>0.03</v>
      </c>
    </row>
    <row r="420" spans="1:20" x14ac:dyDescent="0.3">
      <c r="B420" s="648" t="s">
        <v>2843</v>
      </c>
      <c r="C420" s="648" t="s">
        <v>2798</v>
      </c>
      <c r="D420" s="570">
        <v>11.95</v>
      </c>
      <c r="E420" s="528">
        <f t="shared" si="289"/>
        <v>12.3085</v>
      </c>
      <c r="F420" s="528">
        <f t="shared" ref="F420" si="291">E420*(1+$T420)</f>
        <v>12.677755000000001</v>
      </c>
      <c r="G420" s="528">
        <f t="shared" ref="G420" si="292">F420*(1+$T420)</f>
        <v>13.058087650000001</v>
      </c>
      <c r="H420" s="528">
        <f t="shared" ref="H420" si="293">G420*(1+$T420)</f>
        <v>13.4498302795</v>
      </c>
      <c r="I420" s="528">
        <f t="shared" ref="I420" si="294">H420*(1+$T420)</f>
        <v>13.853325187885002</v>
      </c>
      <c r="J420" s="528">
        <f t="shared" ref="J420" si="295">I420*(1+$T420)</f>
        <v>14.268924943521553</v>
      </c>
      <c r="K420" s="528">
        <f t="shared" ref="K420" si="296">J420*(1+$T420)</f>
        <v>14.6969926918272</v>
      </c>
      <c r="L420" s="528">
        <f t="shared" ref="L420" si="297">K420*(1+$T420)</f>
        <v>15.137902472582017</v>
      </c>
      <c r="M420" s="528">
        <f t="shared" ref="M420" si="298">L420*(1+$T420)</f>
        <v>15.592039546759478</v>
      </c>
      <c r="N420" s="528">
        <f t="shared" si="290"/>
        <v>16.059800733162263</v>
      </c>
      <c r="O420" s="528">
        <f t="shared" si="290"/>
        <v>16.541594755157131</v>
      </c>
      <c r="P420" s="528">
        <f t="shared" si="290"/>
        <v>17.037842597811846</v>
      </c>
      <c r="Q420" s="528">
        <f t="shared" si="290"/>
        <v>17.5489778757462</v>
      </c>
      <c r="R420" s="528">
        <f t="shared" si="290"/>
        <v>18.075447212018588</v>
      </c>
      <c r="S420" s="572" t="s">
        <v>2835</v>
      </c>
      <c r="T420" s="866">
        <v>0.03</v>
      </c>
    </row>
    <row r="421" spans="1:20" x14ac:dyDescent="0.3">
      <c r="B421" s="648" t="s">
        <v>2819</v>
      </c>
      <c r="C421" s="648" t="s">
        <v>2798</v>
      </c>
      <c r="D421" s="570">
        <v>37.76</v>
      </c>
      <c r="E421" s="528">
        <f t="shared" ref="E421" si="299">D421*(1+$T421)</f>
        <v>38.892800000000001</v>
      </c>
      <c r="F421" s="528">
        <f t="shared" ref="F421" si="300">E421*(1+$T421)</f>
        <v>40.059584000000001</v>
      </c>
      <c r="G421" s="528">
        <f t="shared" ref="G421" si="301">F421*(1+$T421)</f>
        <v>41.261371520000004</v>
      </c>
      <c r="H421" s="528">
        <f t="shared" ref="H421" si="302">G421*(1+$T421)</f>
        <v>42.499212665600005</v>
      </c>
      <c r="I421" s="528">
        <f t="shared" ref="I421" si="303">H421*(1+$T421)</f>
        <v>43.774189045568008</v>
      </c>
      <c r="J421" s="528">
        <f t="shared" ref="J421" si="304">I421*(1+$T421)</f>
        <v>45.087414716935051</v>
      </c>
      <c r="K421" s="528">
        <f t="shared" ref="K421" si="305">J421*(1+$T421)</f>
        <v>46.440037158443104</v>
      </c>
      <c r="L421" s="528">
        <f t="shared" ref="L421" si="306">K421*(1+$T421)</f>
        <v>47.8332382731964</v>
      </c>
      <c r="M421" s="528">
        <f t="shared" ref="M421" si="307">L421*(1+$T421)</f>
        <v>49.268235421392291</v>
      </c>
      <c r="N421" s="528">
        <f t="shared" ref="N421" si="308">M421*(1+$T421)</f>
        <v>50.746282484034062</v>
      </c>
      <c r="O421" s="528">
        <f t="shared" ref="O421" si="309">N421*(1+$T421)</f>
        <v>52.268670958555084</v>
      </c>
      <c r="P421" s="528">
        <f t="shared" ref="P421" si="310">O421*(1+$T421)</f>
        <v>53.83673108731174</v>
      </c>
      <c r="Q421" s="528">
        <f t="shared" ref="Q421" si="311">P421*(1+$T421)</f>
        <v>55.451833019931094</v>
      </c>
      <c r="R421" s="528">
        <f t="shared" ref="R421" si="312">Q421*(1+$T421)</f>
        <v>57.115388010529031</v>
      </c>
      <c r="S421" s="572" t="s">
        <v>2835</v>
      </c>
      <c r="T421" s="866">
        <v>0.03</v>
      </c>
    </row>
    <row r="422" spans="1:20" x14ac:dyDescent="0.3">
      <c r="D422" s="554">
        <v>597</v>
      </c>
    </row>
    <row r="424" spans="1:20" x14ac:dyDescent="0.3">
      <c r="B424" s="963" t="s">
        <v>2844</v>
      </c>
      <c r="C424" s="963" t="s">
        <v>2845</v>
      </c>
    </row>
    <row r="425" spans="1:20" x14ac:dyDescent="0.3">
      <c r="C425" s="9" t="s">
        <v>2846</v>
      </c>
      <c r="D425" s="9" t="s">
        <v>2798</v>
      </c>
    </row>
    <row r="426" spans="1:20" x14ac:dyDescent="0.3">
      <c r="B426" s="554" t="s">
        <v>2847</v>
      </c>
      <c r="C426" s="9">
        <v>2021</v>
      </c>
      <c r="D426" s="9">
        <v>2021</v>
      </c>
      <c r="E426" s="556">
        <v>2022</v>
      </c>
      <c r="F426" s="556">
        <v>2023</v>
      </c>
      <c r="G426" s="556">
        <v>2024</v>
      </c>
      <c r="H426" s="556">
        <v>2025</v>
      </c>
      <c r="I426" s="556">
        <v>2026</v>
      </c>
      <c r="J426" s="556">
        <v>2027</v>
      </c>
      <c r="K426" s="556">
        <v>2028</v>
      </c>
      <c r="L426" s="556">
        <v>2029</v>
      </c>
      <c r="M426" s="556">
        <v>2030</v>
      </c>
      <c r="N426" s="556">
        <v>2031</v>
      </c>
      <c r="O426" s="556">
        <v>2032</v>
      </c>
      <c r="P426" s="556">
        <v>2033</v>
      </c>
      <c r="Q426" s="556">
        <v>2034</v>
      </c>
      <c r="R426" s="556">
        <v>2035</v>
      </c>
      <c r="S426" s="556" t="s">
        <v>2834</v>
      </c>
    </row>
    <row r="427" spans="1:20" x14ac:dyDescent="0.3">
      <c r="C427" s="9"/>
      <c r="D427" s="9"/>
      <c r="E427" s="556"/>
      <c r="F427" s="556"/>
      <c r="G427" s="556"/>
      <c r="H427" s="556"/>
      <c r="I427" s="556"/>
      <c r="J427" s="556"/>
      <c r="K427" s="556"/>
      <c r="L427" s="556"/>
      <c r="M427" s="556"/>
      <c r="N427" s="556"/>
      <c r="O427" s="556"/>
      <c r="P427" s="556"/>
      <c r="Q427" s="556"/>
      <c r="R427" s="556"/>
      <c r="S427" s="556"/>
    </row>
    <row r="428" spans="1:20" x14ac:dyDescent="0.3">
      <c r="C428" s="9" t="s">
        <v>2848</v>
      </c>
      <c r="D428" s="1138">
        <f t="shared" ref="D428:R428" si="313">D282</f>
        <v>4.5497630331753554</v>
      </c>
      <c r="E428" s="1138">
        <f t="shared" si="313"/>
        <v>4.5497630331753554</v>
      </c>
      <c r="F428" s="1138">
        <f t="shared" si="313"/>
        <v>4.5497630331753554</v>
      </c>
      <c r="G428" s="1138">
        <f t="shared" si="313"/>
        <v>7.5177251184834128</v>
      </c>
      <c r="H428" s="1138">
        <f t="shared" si="313"/>
        <v>9.0017061611374416</v>
      </c>
      <c r="I428" s="1138">
        <f t="shared" si="313"/>
        <v>9.0017061611374416</v>
      </c>
      <c r="J428" s="1138">
        <f t="shared" si="313"/>
        <v>9.0017061611374416</v>
      </c>
      <c r="K428" s="1138">
        <f t="shared" si="313"/>
        <v>9.0017061611374416</v>
      </c>
      <c r="L428" s="1138">
        <f t="shared" si="313"/>
        <v>9.0017061611374416</v>
      </c>
      <c r="M428" s="1138">
        <f t="shared" si="313"/>
        <v>9.0017061611374416</v>
      </c>
      <c r="N428" s="1138">
        <f t="shared" si="313"/>
        <v>9.0017061611374416</v>
      </c>
      <c r="O428" s="1138">
        <f t="shared" si="313"/>
        <v>9.0017061611374416</v>
      </c>
      <c r="P428" s="1138">
        <f t="shared" si="313"/>
        <v>9.0017061611374416</v>
      </c>
      <c r="Q428" s="1138">
        <f t="shared" si="313"/>
        <v>9.0017061611374416</v>
      </c>
      <c r="R428" s="1138">
        <f t="shared" si="313"/>
        <v>9.0017061611374416</v>
      </c>
      <c r="S428" s="556"/>
    </row>
    <row r="429" spans="1:20" x14ac:dyDescent="0.3">
      <c r="C429" s="9" t="s">
        <v>2849</v>
      </c>
      <c r="D429" s="1138">
        <f t="shared" ref="D429:R429" si="314">D297</f>
        <v>1.2853080568720381</v>
      </c>
      <c r="E429" s="1138">
        <f t="shared" si="314"/>
        <v>1.2853080568720381</v>
      </c>
      <c r="F429" s="1138">
        <f t="shared" si="314"/>
        <v>1.2853080568720381</v>
      </c>
      <c r="G429" s="1138">
        <f t="shared" si="314"/>
        <v>1.2853080568720381</v>
      </c>
      <c r="H429" s="1138">
        <f t="shared" si="314"/>
        <v>1.2853080568720381</v>
      </c>
      <c r="I429" s="1138">
        <f t="shared" si="314"/>
        <v>1.2853080568720381</v>
      </c>
      <c r="J429" s="1138">
        <f t="shared" si="314"/>
        <v>1.2853080568720381</v>
      </c>
      <c r="K429" s="1138">
        <f t="shared" si="314"/>
        <v>1.2853080568720381</v>
      </c>
      <c r="L429" s="1138">
        <f t="shared" si="314"/>
        <v>1.2853080568720381</v>
      </c>
      <c r="M429" s="1138">
        <f t="shared" si="314"/>
        <v>1.2853080568720381</v>
      </c>
      <c r="N429" s="1138">
        <f t="shared" si="314"/>
        <v>1.2853080568720381</v>
      </c>
      <c r="O429" s="1138">
        <f t="shared" si="314"/>
        <v>1.2853080568720381</v>
      </c>
      <c r="P429" s="1138">
        <f t="shared" si="314"/>
        <v>1.2853080568720381</v>
      </c>
      <c r="Q429" s="1138">
        <f t="shared" si="314"/>
        <v>1.2853080568720381</v>
      </c>
      <c r="R429" s="1138">
        <f t="shared" si="314"/>
        <v>1.2853080568720381</v>
      </c>
      <c r="S429" s="556"/>
    </row>
    <row r="430" spans="1:20" x14ac:dyDescent="0.3">
      <c r="A430" s="554" t="s">
        <v>51</v>
      </c>
      <c r="B430" s="554" t="s">
        <v>55</v>
      </c>
      <c r="C430" s="1140">
        <v>3.61E-2</v>
      </c>
      <c r="D430" s="869">
        <f>(C430*1000)+D$428</f>
        <v>40.649763033175354</v>
      </c>
      <c r="E430" s="500">
        <f t="shared" ref="E430:M430" si="315">((D430-D$428)*(1+$S430))+E$428</f>
        <v>41.732763033175353</v>
      </c>
      <c r="F430" s="500">
        <f t="shared" si="315"/>
        <v>42.848253033175354</v>
      </c>
      <c r="G430" s="500">
        <f t="shared" si="315"/>
        <v>46.965169818483417</v>
      </c>
      <c r="H430" s="500">
        <f t="shared" si="315"/>
        <v>49.632574202137448</v>
      </c>
      <c r="I430" s="500">
        <f t="shared" si="315"/>
        <v>50.851500243367447</v>
      </c>
      <c r="J430" s="500">
        <f t="shared" si="315"/>
        <v>52.10699406583435</v>
      </c>
      <c r="K430" s="500">
        <f t="shared" si="315"/>
        <v>53.400152702975255</v>
      </c>
      <c r="L430" s="500">
        <f t="shared" si="315"/>
        <v>54.732106099230393</v>
      </c>
      <c r="M430" s="500">
        <f t="shared" si="315"/>
        <v>56.104018097373185</v>
      </c>
      <c r="N430" s="500">
        <f t="shared" ref="N430:R430" si="316">((M430-M$428)*(1+$S430))+N$428</f>
        <v>57.517087455460256</v>
      </c>
      <c r="O430" s="500">
        <f t="shared" si="316"/>
        <v>58.972548894289943</v>
      </c>
      <c r="P430" s="500">
        <f t="shared" si="316"/>
        <v>60.471674176284516</v>
      </c>
      <c r="Q430" s="500">
        <f t="shared" si="316"/>
        <v>62.015773216738928</v>
      </c>
      <c r="R430" s="500">
        <f t="shared" si="316"/>
        <v>63.606195228406975</v>
      </c>
      <c r="S430" s="866">
        <v>0.03</v>
      </c>
    </row>
    <row r="431" spans="1:20" x14ac:dyDescent="0.3">
      <c r="A431" s="554" t="s">
        <v>51</v>
      </c>
      <c r="B431" s="554" t="s">
        <v>2850</v>
      </c>
      <c r="C431" s="966">
        <v>3.6900000000000002E-2</v>
      </c>
      <c r="D431" s="869">
        <f t="shared" ref="D431:D437" si="317">(C431*1000)+D$428</f>
        <v>41.449763033175358</v>
      </c>
      <c r="E431" s="500">
        <f t="shared" ref="E431:M431" si="318">((D431-D$428)*(1+$S431))+E$428</f>
        <v>42.556763033175358</v>
      </c>
      <c r="F431" s="500">
        <f t="shared" si="318"/>
        <v>43.696973033175361</v>
      </c>
      <c r="G431" s="500">
        <f t="shared" si="318"/>
        <v>47.839351418483425</v>
      </c>
      <c r="H431" s="500">
        <f t="shared" si="318"/>
        <v>50.532981250137453</v>
      </c>
      <c r="I431" s="500">
        <f t="shared" si="318"/>
        <v>51.778919502807454</v>
      </c>
      <c r="J431" s="500">
        <f t="shared" si="318"/>
        <v>53.062235903057555</v>
      </c>
      <c r="K431" s="500">
        <f t="shared" si="318"/>
        <v>54.384051795315159</v>
      </c>
      <c r="L431" s="500">
        <f t="shared" si="318"/>
        <v>55.745522164340493</v>
      </c>
      <c r="M431" s="500">
        <f t="shared" si="318"/>
        <v>57.147836644436588</v>
      </c>
      <c r="N431" s="500">
        <f t="shared" ref="N431:R431" si="319">((M431-M$428)*(1+$S431))+N$428</f>
        <v>58.592220558935566</v>
      </c>
      <c r="O431" s="500">
        <f t="shared" si="319"/>
        <v>60.079935990869508</v>
      </c>
      <c r="P431" s="500">
        <f t="shared" si="319"/>
        <v>61.612282885761473</v>
      </c>
      <c r="Q431" s="500">
        <f t="shared" si="319"/>
        <v>63.190600187500195</v>
      </c>
      <c r="R431" s="500">
        <f t="shared" si="319"/>
        <v>64.816267008291078</v>
      </c>
      <c r="S431" s="866">
        <v>0.03</v>
      </c>
    </row>
    <row r="432" spans="1:20" x14ac:dyDescent="0.3">
      <c r="A432" s="554" t="s">
        <v>51</v>
      </c>
      <c r="B432" s="554" t="s">
        <v>2851</v>
      </c>
      <c r="C432" s="966">
        <v>3.73E-2</v>
      </c>
      <c r="D432" s="869">
        <f t="shared" si="317"/>
        <v>41.84976303317535</v>
      </c>
      <c r="E432" s="500">
        <f t="shared" ref="E432:M432" si="320">((D432-D$428)*(1+$S432))+E$428</f>
        <v>42.96876303317535</v>
      </c>
      <c r="F432" s="500">
        <f t="shared" si="320"/>
        <v>44.121333033175354</v>
      </c>
      <c r="G432" s="500">
        <f t="shared" si="320"/>
        <v>48.276442218483417</v>
      </c>
      <c r="H432" s="500">
        <f t="shared" si="320"/>
        <v>50.983184774137449</v>
      </c>
      <c r="I432" s="500">
        <f t="shared" si="320"/>
        <v>52.242629132527448</v>
      </c>
      <c r="J432" s="500">
        <f t="shared" si="320"/>
        <v>53.539856821669147</v>
      </c>
      <c r="K432" s="500">
        <f t="shared" si="320"/>
        <v>54.8760013414851</v>
      </c>
      <c r="L432" s="500">
        <f t="shared" si="320"/>
        <v>56.252230196895532</v>
      </c>
      <c r="M432" s="500">
        <f t="shared" si="320"/>
        <v>57.669745917968278</v>
      </c>
      <c r="N432" s="500">
        <f t="shared" ref="N432:R432" si="321">((M432-M$428)*(1+$S432))+N$428</f>
        <v>59.129787110673206</v>
      </c>
      <c r="O432" s="500">
        <f t="shared" si="321"/>
        <v>60.63362953915928</v>
      </c>
      <c r="P432" s="500">
        <f t="shared" si="321"/>
        <v>62.182587240499934</v>
      </c>
      <c r="Q432" s="500">
        <f t="shared" si="321"/>
        <v>63.77801367288081</v>
      </c>
      <c r="R432" s="500">
        <f t="shared" si="321"/>
        <v>65.421302898233108</v>
      </c>
      <c r="S432" s="866">
        <v>0.03</v>
      </c>
    </row>
    <row r="433" spans="1:19" x14ac:dyDescent="0.3">
      <c r="A433" s="554" t="s">
        <v>51</v>
      </c>
      <c r="B433" s="554" t="s">
        <v>2852</v>
      </c>
      <c r="C433" s="966">
        <v>3.4099999999999998E-2</v>
      </c>
      <c r="D433" s="869">
        <f t="shared" si="317"/>
        <v>38.649763033175354</v>
      </c>
      <c r="E433" s="500">
        <f t="shared" ref="E433:M433" si="322">((D433-D$428)*(1+$S433))+E$428</f>
        <v>39.672763033175357</v>
      </c>
      <c r="F433" s="500">
        <f t="shared" si="322"/>
        <v>40.72645303317536</v>
      </c>
      <c r="G433" s="500">
        <f t="shared" si="322"/>
        <v>44.779715818483417</v>
      </c>
      <c r="H433" s="500">
        <f t="shared" si="322"/>
        <v>47.381556582137449</v>
      </c>
      <c r="I433" s="500">
        <f t="shared" si="322"/>
        <v>48.532952094767452</v>
      </c>
      <c r="J433" s="500">
        <f t="shared" si="322"/>
        <v>49.718889472776354</v>
      </c>
      <c r="K433" s="500">
        <f t="shared" si="322"/>
        <v>50.940404972125521</v>
      </c>
      <c r="L433" s="500">
        <f t="shared" si="322"/>
        <v>52.198565936455161</v>
      </c>
      <c r="M433" s="500">
        <f t="shared" si="322"/>
        <v>53.494471729714697</v>
      </c>
      <c r="N433" s="500">
        <f t="shared" ref="N433:R433" si="323">((M433-M$428)*(1+$S433))+N$428</f>
        <v>54.829254696772018</v>
      </c>
      <c r="O433" s="500">
        <f t="shared" si="323"/>
        <v>56.204081152841056</v>
      </c>
      <c r="P433" s="500">
        <f t="shared" si="323"/>
        <v>57.620152402592169</v>
      </c>
      <c r="Q433" s="500">
        <f t="shared" si="323"/>
        <v>59.078705789835809</v>
      </c>
      <c r="R433" s="500">
        <f t="shared" si="323"/>
        <v>60.581015778696759</v>
      </c>
      <c r="S433" s="866">
        <v>0.03</v>
      </c>
    </row>
    <row r="434" spans="1:19" x14ac:dyDescent="0.3">
      <c r="A434" s="554" t="s">
        <v>50</v>
      </c>
      <c r="B434" s="554" t="s">
        <v>55</v>
      </c>
      <c r="C434" s="966">
        <v>3.5200000000000002E-2</v>
      </c>
      <c r="D434" s="869">
        <f t="shared" si="317"/>
        <v>39.749763033175356</v>
      </c>
      <c r="E434" s="500">
        <f t="shared" ref="E434:M434" si="324">((D434-D$428)*(1+$S434))+E$428</f>
        <v>40.80576303317536</v>
      </c>
      <c r="F434" s="500">
        <f t="shared" si="324"/>
        <v>41.893443033175359</v>
      </c>
      <c r="G434" s="500">
        <f t="shared" si="324"/>
        <v>45.981715518483419</v>
      </c>
      <c r="H434" s="500">
        <f t="shared" si="324"/>
        <v>48.619616273137453</v>
      </c>
      <c r="I434" s="500">
        <f t="shared" si="324"/>
        <v>49.808153576497453</v>
      </c>
      <c r="J434" s="500">
        <f t="shared" si="324"/>
        <v>51.032346998958253</v>
      </c>
      <c r="K434" s="500">
        <f t="shared" si="324"/>
        <v>52.293266224092882</v>
      </c>
      <c r="L434" s="500">
        <f t="shared" si="324"/>
        <v>53.592013025981544</v>
      </c>
      <c r="M434" s="500">
        <f t="shared" si="324"/>
        <v>54.929722231926867</v>
      </c>
      <c r="N434" s="500">
        <f t="shared" ref="N434:R434" si="325">((M434-M$428)*(1+$S434))+N$428</f>
        <v>56.307562714050547</v>
      </c>
      <c r="O434" s="500">
        <f t="shared" si="325"/>
        <v>57.726738410637942</v>
      </c>
      <c r="P434" s="500">
        <f t="shared" si="325"/>
        <v>59.188489378122959</v>
      </c>
      <c r="Q434" s="500">
        <f t="shared" si="325"/>
        <v>60.694092874632524</v>
      </c>
      <c r="R434" s="500">
        <f t="shared" si="325"/>
        <v>62.244864476037378</v>
      </c>
      <c r="S434" s="866">
        <v>0.03</v>
      </c>
    </row>
    <row r="435" spans="1:19" x14ac:dyDescent="0.3">
      <c r="A435" s="554" t="s">
        <v>50</v>
      </c>
      <c r="B435" s="554" t="s">
        <v>2853</v>
      </c>
      <c r="C435" s="1141">
        <v>3.8300000000000001E-2</v>
      </c>
      <c r="D435" s="869">
        <f t="shared" si="317"/>
        <v>42.84976303317535</v>
      </c>
      <c r="E435" s="500">
        <f t="shared" ref="E435:M435" si="326">((D435-D$428)*(1+$S435))+E$428</f>
        <v>43.998763033175351</v>
      </c>
      <c r="F435" s="500">
        <f t="shared" si="326"/>
        <v>45.182233033175351</v>
      </c>
      <c r="G435" s="500">
        <f t="shared" si="326"/>
        <v>49.369169218483414</v>
      </c>
      <c r="H435" s="500">
        <f t="shared" si="326"/>
        <v>52.108693584137441</v>
      </c>
      <c r="I435" s="500">
        <f t="shared" si="326"/>
        <v>53.401903206827441</v>
      </c>
      <c r="J435" s="500">
        <f t="shared" si="326"/>
        <v>54.733909118198142</v>
      </c>
      <c r="K435" s="500">
        <f t="shared" si="326"/>
        <v>56.105875206909964</v>
      </c>
      <c r="L435" s="500">
        <f t="shared" si="326"/>
        <v>57.519000278283144</v>
      </c>
      <c r="M435" s="500">
        <f t="shared" si="326"/>
        <v>58.974519101797519</v>
      </c>
      <c r="N435" s="500">
        <f t="shared" ref="N435:R435" si="327">((M435-M$428)*(1+$S435))+N$428</f>
        <v>60.473703490017321</v>
      </c>
      <c r="O435" s="500">
        <f t="shared" si="327"/>
        <v>62.017863409883716</v>
      </c>
      <c r="P435" s="500">
        <f t="shared" si="327"/>
        <v>63.608348127346105</v>
      </c>
      <c r="Q435" s="500">
        <f t="shared" si="327"/>
        <v>65.246547386332367</v>
      </c>
      <c r="R435" s="500">
        <f t="shared" si="327"/>
        <v>66.933892623088212</v>
      </c>
      <c r="S435" s="866">
        <v>0.03</v>
      </c>
    </row>
    <row r="436" spans="1:19" x14ac:dyDescent="0.3">
      <c r="A436" s="554" t="s">
        <v>50</v>
      </c>
      <c r="B436" s="554" t="s">
        <v>2854</v>
      </c>
      <c r="C436" s="1141">
        <v>4.3099999999999999E-2</v>
      </c>
      <c r="D436" s="869">
        <f t="shared" si="317"/>
        <v>47.649763033175354</v>
      </c>
      <c r="E436" s="500">
        <f t="shared" ref="E436:M436" si="328">((D436-D$428)*(1+$S436))+E$428</f>
        <v>48.942763033175353</v>
      </c>
      <c r="F436" s="500">
        <f t="shared" si="328"/>
        <v>50.274553033175351</v>
      </c>
      <c r="G436" s="500">
        <f t="shared" si="328"/>
        <v>54.614258818483414</v>
      </c>
      <c r="H436" s="500">
        <f t="shared" si="328"/>
        <v>57.511135872137444</v>
      </c>
      <c r="I436" s="500">
        <f t="shared" si="328"/>
        <v>58.966418763467445</v>
      </c>
      <c r="J436" s="500">
        <f t="shared" si="328"/>
        <v>60.465360141537346</v>
      </c>
      <c r="K436" s="500">
        <f t="shared" si="328"/>
        <v>62.009269760949344</v>
      </c>
      <c r="L436" s="500">
        <f t="shared" si="328"/>
        <v>63.599496668943701</v>
      </c>
      <c r="M436" s="500">
        <f t="shared" si="328"/>
        <v>65.237430384177884</v>
      </c>
      <c r="N436" s="500">
        <f t="shared" ref="N436:R436" si="329">((M436-M$428)*(1+$S436))+N$428</f>
        <v>66.924502110869099</v>
      </c>
      <c r="O436" s="500">
        <f t="shared" si="329"/>
        <v>68.662185989361049</v>
      </c>
      <c r="P436" s="500">
        <f t="shared" si="329"/>
        <v>70.452000384207764</v>
      </c>
      <c r="Q436" s="500">
        <f t="shared" si="329"/>
        <v>72.295509210899866</v>
      </c>
      <c r="R436" s="500">
        <f t="shared" si="329"/>
        <v>74.194323302392746</v>
      </c>
      <c r="S436" s="866">
        <v>0.03</v>
      </c>
    </row>
    <row r="437" spans="1:19" x14ac:dyDescent="0.3">
      <c r="A437" s="554" t="s">
        <v>50</v>
      </c>
      <c r="B437" s="554" t="s">
        <v>2855</v>
      </c>
      <c r="C437" s="1141">
        <v>3.8199999999999998E-2</v>
      </c>
      <c r="D437" s="869">
        <f t="shared" si="317"/>
        <v>42.749763033175348</v>
      </c>
      <c r="E437" s="500">
        <f t="shared" ref="E437:M437" si="330">((D437-D$428)*(1+$S437))+E$428</f>
        <v>43.895763033175349</v>
      </c>
      <c r="F437" s="500">
        <f t="shared" si="330"/>
        <v>45.076143033175349</v>
      </c>
      <c r="G437" s="500">
        <f t="shared" si="330"/>
        <v>49.259896518483409</v>
      </c>
      <c r="H437" s="500">
        <f t="shared" si="330"/>
        <v>51.996142703137437</v>
      </c>
      <c r="I437" s="500">
        <f t="shared" si="330"/>
        <v>53.285975799397441</v>
      </c>
      <c r="J437" s="500">
        <f t="shared" si="330"/>
        <v>54.614503888545244</v>
      </c>
      <c r="K437" s="500">
        <f t="shared" si="330"/>
        <v>55.98288782036748</v>
      </c>
      <c r="L437" s="500">
        <f t="shared" si="330"/>
        <v>57.392323270144381</v>
      </c>
      <c r="M437" s="500">
        <f t="shared" si="330"/>
        <v>58.844041783414589</v>
      </c>
      <c r="N437" s="500">
        <f t="shared" ref="N437:R437" si="331">((M437-M$428)*(1+$S437))+N$428</f>
        <v>60.339311852082908</v>
      </c>
      <c r="O437" s="500">
        <f t="shared" si="331"/>
        <v>61.879440022811274</v>
      </c>
      <c r="P437" s="500">
        <f t="shared" si="331"/>
        <v>63.465772038661491</v>
      </c>
      <c r="Q437" s="500">
        <f t="shared" si="331"/>
        <v>65.099694014987222</v>
      </c>
      <c r="R437" s="500">
        <f t="shared" si="331"/>
        <v>66.782633650602719</v>
      </c>
      <c r="S437" s="866">
        <v>0.03</v>
      </c>
    </row>
    <row r="438" spans="1:19" x14ac:dyDescent="0.3">
      <c r="A438" s="554" t="s">
        <v>50</v>
      </c>
      <c r="B438" s="554" t="s">
        <v>2856</v>
      </c>
      <c r="C438" s="1141">
        <v>3.1300000000000001E-2</v>
      </c>
      <c r="D438" s="479">
        <f>(C438*1000)+D$429</f>
        <v>32.585308056872037</v>
      </c>
      <c r="E438" s="541">
        <f t="shared" ref="E438:M438" si="332">((D438-D$429)*(1+$S438))+E$429</f>
        <v>33.524308056872044</v>
      </c>
      <c r="F438" s="541">
        <f t="shared" si="332"/>
        <v>34.491478056872047</v>
      </c>
      <c r="G438" s="541">
        <f t="shared" si="332"/>
        <v>35.487663156872046</v>
      </c>
      <c r="H438" s="541">
        <f t="shared" si="332"/>
        <v>36.513733809872043</v>
      </c>
      <c r="I438" s="541">
        <f t="shared" si="332"/>
        <v>37.570586582462042</v>
      </c>
      <c r="J438" s="541">
        <f t="shared" si="332"/>
        <v>38.659144938229744</v>
      </c>
      <c r="K438" s="541">
        <f t="shared" si="332"/>
        <v>39.780360044670473</v>
      </c>
      <c r="L438" s="541">
        <f t="shared" si="332"/>
        <v>40.935211604304428</v>
      </c>
      <c r="M438" s="541">
        <f t="shared" si="332"/>
        <v>42.124708710727397</v>
      </c>
      <c r="N438" s="541">
        <f t="shared" ref="N438:R438" si="333">((M438-M$429)*(1+$S438))+N$429</f>
        <v>43.349890730343056</v>
      </c>
      <c r="O438" s="541">
        <f t="shared" si="333"/>
        <v>44.611828210547188</v>
      </c>
      <c r="P438" s="541">
        <f t="shared" si="333"/>
        <v>45.911623815157441</v>
      </c>
      <c r="Q438" s="541">
        <f t="shared" si="333"/>
        <v>47.250413287906007</v>
      </c>
      <c r="R438" s="541">
        <f t="shared" si="333"/>
        <v>48.629366444837025</v>
      </c>
      <c r="S438" s="866">
        <v>0.03</v>
      </c>
    </row>
    <row r="439" spans="1:19" x14ac:dyDescent="0.3">
      <c r="A439" s="554" t="s">
        <v>50</v>
      </c>
      <c r="B439" s="554" t="s">
        <v>2857</v>
      </c>
      <c r="C439" s="1141">
        <v>2.76E-2</v>
      </c>
      <c r="D439" s="479">
        <f>(C439*1000)+D$429</f>
        <v>28.885308056872034</v>
      </c>
      <c r="E439" s="541">
        <f t="shared" ref="E439:M439" si="334">((D439-D$429)*(1+$S439))+E$429</f>
        <v>29.713308056872034</v>
      </c>
      <c r="F439" s="541">
        <f t="shared" si="334"/>
        <v>30.566148056872034</v>
      </c>
      <c r="G439" s="541">
        <f t="shared" si="334"/>
        <v>31.444573256872037</v>
      </c>
      <c r="H439" s="541">
        <f t="shared" si="334"/>
        <v>32.349351212872037</v>
      </c>
      <c r="I439" s="541">
        <f t="shared" si="334"/>
        <v>33.281272507552039</v>
      </c>
      <c r="J439" s="541">
        <f t="shared" si="334"/>
        <v>34.241151441072446</v>
      </c>
      <c r="K439" s="541">
        <f t="shared" si="334"/>
        <v>35.229826742598462</v>
      </c>
      <c r="L439" s="541">
        <f t="shared" si="334"/>
        <v>36.248162303170254</v>
      </c>
      <c r="M439" s="541">
        <f t="shared" si="334"/>
        <v>37.297047930559202</v>
      </c>
      <c r="N439" s="541">
        <f t="shared" ref="N439:R439" si="335">((M439-M$429)*(1+$S439))+N$429</f>
        <v>38.377400126769821</v>
      </c>
      <c r="O439" s="541">
        <f t="shared" si="335"/>
        <v>39.490162888866756</v>
      </c>
      <c r="P439" s="541">
        <f t="shared" si="335"/>
        <v>40.6363085338266</v>
      </c>
      <c r="Q439" s="541">
        <f t="shared" si="335"/>
        <v>41.816838548135237</v>
      </c>
      <c r="R439" s="541">
        <f t="shared" si="335"/>
        <v>43.032784462873131</v>
      </c>
      <c r="S439" s="866">
        <v>0.03</v>
      </c>
    </row>
    <row r="440" spans="1:19" x14ac:dyDescent="0.3">
      <c r="A440" s="554" t="s">
        <v>50</v>
      </c>
      <c r="B440" s="554" t="s">
        <v>2858</v>
      </c>
      <c r="C440" s="1144">
        <v>0</v>
      </c>
      <c r="D440" s="479">
        <f>(C440*1000)+D$429</f>
        <v>1.2853080568720381</v>
      </c>
      <c r="E440" s="869">
        <f t="shared" ref="E440:M440" si="336">((D440-D$429)*(1+$S440))+E$429</f>
        <v>1.2853080568720381</v>
      </c>
      <c r="F440" s="869">
        <f t="shared" si="336"/>
        <v>1.2853080568720381</v>
      </c>
      <c r="G440" s="869">
        <f t="shared" si="336"/>
        <v>1.2853080568720381</v>
      </c>
      <c r="H440" s="869">
        <f t="shared" si="336"/>
        <v>1.2853080568720381</v>
      </c>
      <c r="I440" s="869">
        <f t="shared" si="336"/>
        <v>1.2853080568720381</v>
      </c>
      <c r="J440" s="869">
        <f t="shared" si="336"/>
        <v>1.2853080568720381</v>
      </c>
      <c r="K440" s="869">
        <f t="shared" si="336"/>
        <v>1.2853080568720381</v>
      </c>
      <c r="L440" s="869">
        <f t="shared" si="336"/>
        <v>1.2853080568720381</v>
      </c>
      <c r="M440" s="869">
        <f t="shared" si="336"/>
        <v>1.2853080568720381</v>
      </c>
      <c r="N440" s="869">
        <f t="shared" ref="N440:R440" si="337">((M440-M$429)*(1+$S440))+N$429</f>
        <v>1.2853080568720381</v>
      </c>
      <c r="O440" s="869">
        <f t="shared" si="337"/>
        <v>1.2853080568720381</v>
      </c>
      <c r="P440" s="869">
        <f t="shared" si="337"/>
        <v>1.2853080568720381</v>
      </c>
      <c r="Q440" s="869">
        <f t="shared" si="337"/>
        <v>1.2853080568720381</v>
      </c>
      <c r="R440" s="869">
        <f t="shared" si="337"/>
        <v>1.2853080568720381</v>
      </c>
      <c r="S440" s="866">
        <v>0.03</v>
      </c>
    </row>
    <row r="441" spans="1:19" x14ac:dyDescent="0.3">
      <c r="S441" s="866"/>
    </row>
    <row r="443" spans="1:19" x14ac:dyDescent="0.3">
      <c r="B443" s="554" t="s">
        <v>2859</v>
      </c>
    </row>
    <row r="444" spans="1:19" x14ac:dyDescent="0.3">
      <c r="B444" s="554" t="s">
        <v>2860</v>
      </c>
    </row>
    <row r="445" spans="1:19" x14ac:dyDescent="0.3">
      <c r="C445" s="554" t="s">
        <v>2861</v>
      </c>
      <c r="D445" s="1139">
        <f t="shared" ref="D445:R445" si="338">D290</f>
        <v>17.36</v>
      </c>
      <c r="E445" s="1139">
        <f t="shared" si="338"/>
        <v>17.850800000000003</v>
      </c>
      <c r="F445" s="1139">
        <f t="shared" si="338"/>
        <v>18.356324000000001</v>
      </c>
      <c r="G445" s="1139">
        <f t="shared" si="338"/>
        <v>21.190347053333337</v>
      </c>
      <c r="H445" s="1139">
        <f t="shared" si="338"/>
        <v>22.883324131600002</v>
      </c>
      <c r="I445" s="1139">
        <f t="shared" si="338"/>
        <v>23.435723855548002</v>
      </c>
      <c r="J445" s="1139">
        <f t="shared" si="338"/>
        <v>24.004695571214445</v>
      </c>
      <c r="K445" s="1139">
        <f t="shared" si="338"/>
        <v>24.590736438350877</v>
      </c>
      <c r="L445" s="1139">
        <f t="shared" si="338"/>
        <v>25.194358531501404</v>
      </c>
      <c r="M445" s="1139">
        <f t="shared" si="338"/>
        <v>25.816089287446445</v>
      </c>
      <c r="N445" s="1139">
        <f t="shared" si="338"/>
        <v>26.456471966069842</v>
      </c>
      <c r="O445" s="1139">
        <f t="shared" si="338"/>
        <v>27.116066125051937</v>
      </c>
      <c r="P445" s="1139">
        <f t="shared" si="338"/>
        <v>27.795448108803498</v>
      </c>
      <c r="Q445" s="1139">
        <f t="shared" si="338"/>
        <v>28.495211552067602</v>
      </c>
      <c r="R445" s="1139">
        <f t="shared" si="338"/>
        <v>29.215967898629632</v>
      </c>
    </row>
    <row r="446" spans="1:19" x14ac:dyDescent="0.3">
      <c r="C446" s="554" t="s">
        <v>2862</v>
      </c>
      <c r="D446" s="1139">
        <f t="shared" ref="D446:R447" si="339">W284</f>
        <v>1</v>
      </c>
      <c r="E446" s="1139">
        <f t="shared" si="339"/>
        <v>1</v>
      </c>
      <c r="F446" s="1139">
        <f t="shared" si="339"/>
        <v>1</v>
      </c>
      <c r="G446" s="1139">
        <f t="shared" si="339"/>
        <v>3.3133333333333335</v>
      </c>
      <c r="H446" s="1139">
        <f t="shared" si="339"/>
        <v>4.47</v>
      </c>
      <c r="I446" s="1139">
        <f t="shared" si="339"/>
        <v>4.47</v>
      </c>
      <c r="J446" s="1139">
        <f t="shared" si="339"/>
        <v>4.47</v>
      </c>
      <c r="K446" s="1139">
        <f t="shared" si="339"/>
        <v>4.47</v>
      </c>
      <c r="L446" s="1139">
        <f t="shared" si="339"/>
        <v>4.47</v>
      </c>
      <c r="M446" s="1139">
        <f t="shared" si="339"/>
        <v>4.47</v>
      </c>
      <c r="N446" s="1139">
        <f t="shared" si="339"/>
        <v>4.47</v>
      </c>
      <c r="O446" s="1139">
        <f t="shared" si="339"/>
        <v>4.47</v>
      </c>
      <c r="P446" s="1139">
        <f t="shared" si="339"/>
        <v>4.47</v>
      </c>
      <c r="Q446" s="1139">
        <f t="shared" si="339"/>
        <v>4.47</v>
      </c>
      <c r="R446" s="1139">
        <f t="shared" si="339"/>
        <v>4.47</v>
      </c>
    </row>
    <row r="447" spans="1:19" x14ac:dyDescent="0.3">
      <c r="C447" s="554" t="s">
        <v>2849</v>
      </c>
      <c r="D447" s="1139">
        <f t="shared" si="339"/>
        <v>0.5</v>
      </c>
      <c r="E447" s="1139">
        <f t="shared" si="339"/>
        <v>0.5</v>
      </c>
      <c r="F447" s="1139">
        <f t="shared" si="339"/>
        <v>0.5</v>
      </c>
      <c r="G447" s="1139">
        <f t="shared" si="339"/>
        <v>0.5</v>
      </c>
      <c r="H447" s="1139">
        <f t="shared" si="339"/>
        <v>0.5</v>
      </c>
      <c r="I447" s="1139">
        <f t="shared" si="339"/>
        <v>0.5</v>
      </c>
      <c r="J447" s="1139">
        <f t="shared" si="339"/>
        <v>0.5</v>
      </c>
      <c r="K447" s="1139">
        <f t="shared" si="339"/>
        <v>0.5</v>
      </c>
      <c r="L447" s="1139">
        <f t="shared" si="339"/>
        <v>0.5</v>
      </c>
      <c r="M447" s="1139">
        <f t="shared" si="339"/>
        <v>0.5</v>
      </c>
      <c r="N447" s="1139">
        <f t="shared" si="339"/>
        <v>0.5</v>
      </c>
      <c r="O447" s="1139">
        <f t="shared" si="339"/>
        <v>0.5</v>
      </c>
      <c r="P447" s="1139">
        <f t="shared" si="339"/>
        <v>0.5</v>
      </c>
      <c r="Q447" s="1139">
        <f t="shared" si="339"/>
        <v>0.5</v>
      </c>
      <c r="R447" s="1139">
        <f t="shared" si="339"/>
        <v>0.5</v>
      </c>
    </row>
    <row r="448" spans="1:19" x14ac:dyDescent="0.3">
      <c r="C448" s="554" t="s">
        <v>328</v>
      </c>
      <c r="D448" s="1139"/>
      <c r="E448" s="1139"/>
      <c r="F448" s="1139"/>
      <c r="G448" s="1139"/>
      <c r="H448" s="1139"/>
      <c r="I448" s="1139"/>
      <c r="J448" s="1139"/>
      <c r="K448" s="1139"/>
      <c r="L448" s="1139"/>
      <c r="M448" s="1139"/>
      <c r="N448" s="1139"/>
      <c r="O448" s="1139"/>
      <c r="P448" s="1139"/>
      <c r="Q448" s="1139"/>
      <c r="R448" s="1139"/>
    </row>
    <row r="449" spans="1:19" x14ac:dyDescent="0.3">
      <c r="C449" s="9">
        <v>2021</v>
      </c>
      <c r="D449" s="9">
        <v>2021</v>
      </c>
      <c r="E449" s="556">
        <v>2022</v>
      </c>
      <c r="F449" s="556">
        <v>2023</v>
      </c>
      <c r="G449" s="556">
        <v>2024</v>
      </c>
      <c r="H449" s="556">
        <v>2025</v>
      </c>
      <c r="I449" s="556">
        <v>2026</v>
      </c>
      <c r="J449" s="556">
        <v>2027</v>
      </c>
      <c r="K449" s="556">
        <v>2028</v>
      </c>
      <c r="L449" s="556">
        <v>2029</v>
      </c>
      <c r="M449" s="556">
        <v>2030</v>
      </c>
      <c r="N449" s="556">
        <v>2031</v>
      </c>
      <c r="O449" s="556">
        <v>2032</v>
      </c>
      <c r="P449" s="556">
        <v>2033</v>
      </c>
      <c r="Q449" s="556">
        <v>2034</v>
      </c>
      <c r="R449" s="556">
        <v>2035</v>
      </c>
      <c r="S449" s="556" t="s">
        <v>2834</v>
      </c>
    </row>
    <row r="450" spans="1:19" x14ac:dyDescent="0.3">
      <c r="B450" s="554" t="s">
        <v>2863</v>
      </c>
      <c r="C450" s="554" t="s">
        <v>2846</v>
      </c>
      <c r="D450" s="554" t="s">
        <v>2798</v>
      </c>
    </row>
    <row r="451" spans="1:19" x14ac:dyDescent="0.3">
      <c r="A451" s="554" t="s">
        <v>51</v>
      </c>
      <c r="B451" s="554" t="s">
        <v>55</v>
      </c>
      <c r="C451" s="966">
        <v>8.1799999999999998E-2</v>
      </c>
      <c r="D451" s="1142">
        <f t="shared" ref="D451:D456" si="340">(C451*1000)+D$445</f>
        <v>99.16</v>
      </c>
      <c r="E451" s="500">
        <f t="shared" ref="E451:M451" si="341">((D451-D$445)*(1+$S451))+E$445</f>
        <v>102.10480000000001</v>
      </c>
      <c r="F451" s="500">
        <f t="shared" si="341"/>
        <v>105.137944</v>
      </c>
      <c r="G451" s="500">
        <f t="shared" si="341"/>
        <v>110.57541565333335</v>
      </c>
      <c r="H451" s="500">
        <f t="shared" si="341"/>
        <v>114.94994478960002</v>
      </c>
      <c r="I451" s="500">
        <f t="shared" si="341"/>
        <v>118.26434313328802</v>
      </c>
      <c r="J451" s="500">
        <f t="shared" si="341"/>
        <v>121.67817342728667</v>
      </c>
      <c r="K451" s="500">
        <f t="shared" si="341"/>
        <v>125.19441863010526</v>
      </c>
      <c r="L451" s="500">
        <f t="shared" si="341"/>
        <v>128.81615118900842</v>
      </c>
      <c r="M451" s="500">
        <f t="shared" si="341"/>
        <v>132.54653572467868</v>
      </c>
      <c r="N451" s="500">
        <f t="shared" ref="N451:R451" si="342">((M451-M$445)*(1+$S451))+N$445</f>
        <v>136.38883179641903</v>
      </c>
      <c r="O451" s="500">
        <f t="shared" si="342"/>
        <v>140.34639675031161</v>
      </c>
      <c r="P451" s="500">
        <f t="shared" si="342"/>
        <v>144.42268865282097</v>
      </c>
      <c r="Q451" s="500">
        <f t="shared" si="342"/>
        <v>148.62126931240562</v>
      </c>
      <c r="R451" s="500">
        <f t="shared" si="342"/>
        <v>152.94580739177781</v>
      </c>
      <c r="S451" s="866">
        <v>0.03</v>
      </c>
    </row>
    <row r="452" spans="1:19" x14ac:dyDescent="0.3">
      <c r="A452" s="554" t="s">
        <v>51</v>
      </c>
      <c r="B452" s="554" t="s">
        <v>2864</v>
      </c>
      <c r="C452" s="1005">
        <v>8.2699999999999996E-2</v>
      </c>
      <c r="D452" s="1142">
        <f t="shared" si="340"/>
        <v>100.05999999999999</v>
      </c>
      <c r="E452" s="500">
        <f t="shared" ref="E452:M452" si="343">((D452-D$445)*(1+$S452))+E$445</f>
        <v>103.0318</v>
      </c>
      <c r="F452" s="500">
        <f t="shared" si="343"/>
        <v>106.092754</v>
      </c>
      <c r="G452" s="500">
        <f t="shared" si="343"/>
        <v>111.55886995333334</v>
      </c>
      <c r="H452" s="500">
        <f t="shared" si="343"/>
        <v>115.96290271860001</v>
      </c>
      <c r="I452" s="500">
        <f t="shared" si="343"/>
        <v>119.307689800158</v>
      </c>
      <c r="J452" s="500">
        <f t="shared" si="343"/>
        <v>122.75282049416273</v>
      </c>
      <c r="K452" s="500">
        <f t="shared" si="343"/>
        <v>126.30130510898762</v>
      </c>
      <c r="L452" s="500">
        <f t="shared" si="343"/>
        <v>129.95624426225726</v>
      </c>
      <c r="M452" s="500">
        <f t="shared" si="343"/>
        <v>133.72083159012499</v>
      </c>
      <c r="N452" s="500">
        <f t="shared" ref="N452:R452" si="344">((M452-M$445)*(1+$S452))+N$445</f>
        <v>137.59835653782875</v>
      </c>
      <c r="O452" s="500">
        <f t="shared" si="344"/>
        <v>141.59220723396362</v>
      </c>
      <c r="P452" s="500">
        <f t="shared" si="344"/>
        <v>145.70587345098255</v>
      </c>
      <c r="Q452" s="500">
        <f t="shared" si="344"/>
        <v>149.94294965451203</v>
      </c>
      <c r="R452" s="500">
        <f t="shared" si="344"/>
        <v>154.30713814414742</v>
      </c>
      <c r="S452" s="866">
        <v>0.03</v>
      </c>
    </row>
    <row r="453" spans="1:19" x14ac:dyDescent="0.3">
      <c r="A453" s="554" t="s">
        <v>51</v>
      </c>
      <c r="B453" s="554" t="s">
        <v>2865</v>
      </c>
      <c r="C453" s="1005">
        <v>7.9600000000000004E-2</v>
      </c>
      <c r="D453" s="1142">
        <f t="shared" si="340"/>
        <v>96.960000000000008</v>
      </c>
      <c r="E453" s="500">
        <f t="shared" ref="E453:M453" si="345">((D453-D$445)*(1+$S453))+E$445</f>
        <v>99.83880000000002</v>
      </c>
      <c r="F453" s="500">
        <f t="shared" si="345"/>
        <v>102.80396400000002</v>
      </c>
      <c r="G453" s="500">
        <f t="shared" si="345"/>
        <v>108.17141625333336</v>
      </c>
      <c r="H453" s="500">
        <f t="shared" si="345"/>
        <v>112.47382540760003</v>
      </c>
      <c r="I453" s="500">
        <f t="shared" si="345"/>
        <v>115.71394016982804</v>
      </c>
      <c r="J453" s="500">
        <f t="shared" si="345"/>
        <v>119.05125837492288</v>
      </c>
      <c r="K453" s="500">
        <f t="shared" si="345"/>
        <v>122.48869612617057</v>
      </c>
      <c r="L453" s="500">
        <f t="shared" si="345"/>
        <v>126.0292570099557</v>
      </c>
      <c r="M453" s="500">
        <f t="shared" si="345"/>
        <v>129.67603472025436</v>
      </c>
      <c r="N453" s="500">
        <f t="shared" ref="N453:R453" si="346">((M453-M$445)*(1+$S453))+N$445</f>
        <v>133.43221576186198</v>
      </c>
      <c r="O453" s="500">
        <f t="shared" si="346"/>
        <v>137.30108223471785</v>
      </c>
      <c r="P453" s="500">
        <f t="shared" si="346"/>
        <v>141.2860147017594</v>
      </c>
      <c r="Q453" s="500">
        <f t="shared" si="346"/>
        <v>145.3904951428122</v>
      </c>
      <c r="R453" s="500">
        <f t="shared" si="346"/>
        <v>149.61810999709658</v>
      </c>
      <c r="S453" s="866">
        <v>0.03</v>
      </c>
    </row>
    <row r="454" spans="1:19" x14ac:dyDescent="0.3">
      <c r="A454" s="554" t="s">
        <v>51</v>
      </c>
      <c r="B454" s="554" t="s">
        <v>2866</v>
      </c>
      <c r="C454" s="1005">
        <v>7.6399999999999996E-2</v>
      </c>
      <c r="D454" s="1142">
        <f t="shared" si="340"/>
        <v>93.759999999999991</v>
      </c>
      <c r="E454" s="500">
        <f t="shared" ref="E454:M454" si="347">((D454-D$445)*(1+$S454))+E$445</f>
        <v>96.5428</v>
      </c>
      <c r="F454" s="500">
        <f t="shared" si="347"/>
        <v>99.409083999999993</v>
      </c>
      <c r="G454" s="500">
        <f t="shared" si="347"/>
        <v>104.67468985333333</v>
      </c>
      <c r="H454" s="500">
        <f t="shared" si="347"/>
        <v>108.8721972156</v>
      </c>
      <c r="I454" s="500">
        <f t="shared" si="347"/>
        <v>112.004263132068</v>
      </c>
      <c r="J454" s="500">
        <f t="shared" si="347"/>
        <v>115.23029102603005</v>
      </c>
      <c r="K454" s="500">
        <f t="shared" si="347"/>
        <v>118.55309975681095</v>
      </c>
      <c r="L454" s="500">
        <f t="shared" si="347"/>
        <v>121.97559274951529</v>
      </c>
      <c r="M454" s="500">
        <f t="shared" si="347"/>
        <v>125.50076053200074</v>
      </c>
      <c r="N454" s="500">
        <f t="shared" ref="N454:R454" si="348">((M454-M$445)*(1+$S454))+N$445</f>
        <v>129.13168334796077</v>
      </c>
      <c r="O454" s="500">
        <f t="shared" si="348"/>
        <v>132.87153384839959</v>
      </c>
      <c r="P454" s="500">
        <f t="shared" si="348"/>
        <v>136.7235798638516</v>
      </c>
      <c r="Q454" s="500">
        <f t="shared" si="348"/>
        <v>140.69118725976716</v>
      </c>
      <c r="R454" s="500">
        <f t="shared" si="348"/>
        <v>144.7778228775602</v>
      </c>
      <c r="S454" s="866">
        <v>0.03</v>
      </c>
    </row>
    <row r="455" spans="1:19" x14ac:dyDescent="0.3">
      <c r="A455" s="554" t="s">
        <v>51</v>
      </c>
      <c r="B455" s="554" t="s">
        <v>2867</v>
      </c>
      <c r="C455" s="1005">
        <v>8.43E-2</v>
      </c>
      <c r="D455" s="1142">
        <f t="shared" si="340"/>
        <v>101.66</v>
      </c>
      <c r="E455" s="500">
        <f t="shared" ref="E455:M455" si="349">((D455-D$445)*(1+$S455))+E$445</f>
        <v>104.6798</v>
      </c>
      <c r="F455" s="500">
        <f t="shared" si="349"/>
        <v>107.790194</v>
      </c>
      <c r="G455" s="500">
        <f t="shared" si="349"/>
        <v>113.30723315333334</v>
      </c>
      <c r="H455" s="500">
        <f t="shared" si="349"/>
        <v>117.76371681460002</v>
      </c>
      <c r="I455" s="500">
        <f t="shared" si="349"/>
        <v>121.16252831903802</v>
      </c>
      <c r="J455" s="500">
        <f t="shared" si="349"/>
        <v>124.66330416860916</v>
      </c>
      <c r="K455" s="500">
        <f t="shared" si="349"/>
        <v>128.26910329366746</v>
      </c>
      <c r="L455" s="500">
        <f t="shared" si="349"/>
        <v>131.98307639247747</v>
      </c>
      <c r="M455" s="500">
        <f t="shared" si="349"/>
        <v>135.80846868425181</v>
      </c>
      <c r="N455" s="500">
        <f t="shared" ref="N455:R455" si="350">((M455-M$445)*(1+$S455))+N$445</f>
        <v>139.74862274477937</v>
      </c>
      <c r="O455" s="500">
        <f t="shared" si="350"/>
        <v>143.80698142712276</v>
      </c>
      <c r="P455" s="500">
        <f t="shared" si="350"/>
        <v>147.98709086993648</v>
      </c>
      <c r="Q455" s="500">
        <f t="shared" si="350"/>
        <v>152.29260359603458</v>
      </c>
      <c r="R455" s="500">
        <f t="shared" si="350"/>
        <v>156.72728170391562</v>
      </c>
      <c r="S455" s="866">
        <v>0.03</v>
      </c>
    </row>
    <row r="456" spans="1:19" x14ac:dyDescent="0.3">
      <c r="A456" s="554" t="s">
        <v>51</v>
      </c>
      <c r="B456" s="554" t="s">
        <v>2868</v>
      </c>
      <c r="C456" s="1005">
        <v>8.3099999999999993E-2</v>
      </c>
      <c r="D456" s="1142">
        <f t="shared" si="340"/>
        <v>100.46</v>
      </c>
      <c r="E456" s="500">
        <f t="shared" ref="E456:M456" si="351">((D456-D$445)*(1+$S456))+E$445</f>
        <v>103.4438</v>
      </c>
      <c r="F456" s="500">
        <f t="shared" si="351"/>
        <v>106.51711399999999</v>
      </c>
      <c r="G456" s="500">
        <f t="shared" si="351"/>
        <v>111.99596075333334</v>
      </c>
      <c r="H456" s="500">
        <f t="shared" si="351"/>
        <v>116.41310624260001</v>
      </c>
      <c r="I456" s="500">
        <f t="shared" si="351"/>
        <v>119.77139942987802</v>
      </c>
      <c r="J456" s="500">
        <f t="shared" si="351"/>
        <v>123.23044141277435</v>
      </c>
      <c r="K456" s="500">
        <f t="shared" si="351"/>
        <v>126.79325465515758</v>
      </c>
      <c r="L456" s="500">
        <f t="shared" si="351"/>
        <v>130.46295229481231</v>
      </c>
      <c r="M456" s="500">
        <f t="shared" si="351"/>
        <v>134.24274086365668</v>
      </c>
      <c r="N456" s="500">
        <f t="shared" ref="N456:R456" si="352">((M456-M$445)*(1+$S456))+N$445</f>
        <v>138.1359230895664</v>
      </c>
      <c r="O456" s="500">
        <f t="shared" si="352"/>
        <v>142.14590078225339</v>
      </c>
      <c r="P456" s="500">
        <f t="shared" si="352"/>
        <v>146.27617780572101</v>
      </c>
      <c r="Q456" s="500">
        <f t="shared" si="352"/>
        <v>150.53036313989264</v>
      </c>
      <c r="R456" s="500">
        <f t="shared" si="352"/>
        <v>154.91217403408942</v>
      </c>
      <c r="S456" s="866">
        <v>0.03</v>
      </c>
    </row>
    <row r="457" spans="1:19" x14ac:dyDescent="0.3">
      <c r="A457" s="554" t="s">
        <v>50</v>
      </c>
      <c r="B457" s="554" t="s">
        <v>55</v>
      </c>
      <c r="C457" s="1005">
        <v>7.7600000000000002E-2</v>
      </c>
      <c r="D457" s="492">
        <f t="shared" ref="D457:D463" si="353">(C457*1000)+D$446</f>
        <v>78.600000000000009</v>
      </c>
      <c r="E457" s="541">
        <f t="shared" ref="E457:M457" si="354">((D457-D$446)*(1+$S457))+E$446</f>
        <v>80.928000000000011</v>
      </c>
      <c r="F457" s="541">
        <f t="shared" si="354"/>
        <v>83.325840000000014</v>
      </c>
      <c r="G457" s="541">
        <f t="shared" si="354"/>
        <v>88.108948533333347</v>
      </c>
      <c r="H457" s="541">
        <f t="shared" si="354"/>
        <v>91.809483656000012</v>
      </c>
      <c r="I457" s="541">
        <f t="shared" si="354"/>
        <v>94.429668165680013</v>
      </c>
      <c r="J457" s="541">
        <f t="shared" si="354"/>
        <v>97.128458210650422</v>
      </c>
      <c r="K457" s="541">
        <f t="shared" si="354"/>
        <v>99.908211956969936</v>
      </c>
      <c r="L457" s="541">
        <f t="shared" si="354"/>
        <v>102.77135831567904</v>
      </c>
      <c r="M457" s="541">
        <f t="shared" si="354"/>
        <v>105.72039906514941</v>
      </c>
      <c r="N457" s="541">
        <f t="shared" ref="N457:R457" si="355">((M457-M$446)*(1+$S457))+N$446</f>
        <v>108.7579110371039</v>
      </c>
      <c r="O457" s="541">
        <f t="shared" si="355"/>
        <v>111.88654836821702</v>
      </c>
      <c r="P457" s="541">
        <f t="shared" si="355"/>
        <v>115.10904481926353</v>
      </c>
      <c r="Q457" s="541">
        <f t="shared" si="355"/>
        <v>118.42821616384144</v>
      </c>
      <c r="R457" s="541">
        <f t="shared" si="355"/>
        <v>121.84696264875669</v>
      </c>
      <c r="S457" s="866">
        <v>0.03</v>
      </c>
    </row>
    <row r="458" spans="1:19" x14ac:dyDescent="0.3">
      <c r="A458" s="554" t="s">
        <v>50</v>
      </c>
      <c r="B458" s="554" t="s">
        <v>2869</v>
      </c>
      <c r="C458" s="1005">
        <v>8.5000000000000006E-2</v>
      </c>
      <c r="D458" s="492">
        <f t="shared" si="353"/>
        <v>86</v>
      </c>
      <c r="E458" s="541">
        <f t="shared" ref="E458:M458" si="356">((D458-D$446)*(1+$S458))+E$446</f>
        <v>88.55</v>
      </c>
      <c r="F458" s="541">
        <f t="shared" si="356"/>
        <v>91.176500000000004</v>
      </c>
      <c r="G458" s="541">
        <f t="shared" si="356"/>
        <v>96.195128333333344</v>
      </c>
      <c r="H458" s="541">
        <f t="shared" si="356"/>
        <v>100.13824885000001</v>
      </c>
      <c r="I458" s="541">
        <f t="shared" si="356"/>
        <v>103.00829631550002</v>
      </c>
      <c r="J458" s="541">
        <f t="shared" si="356"/>
        <v>105.96444520496502</v>
      </c>
      <c r="K458" s="541">
        <f t="shared" si="356"/>
        <v>109.00927856111397</v>
      </c>
      <c r="L458" s="541">
        <f t="shared" si="356"/>
        <v>112.1454569179474</v>
      </c>
      <c r="M458" s="541">
        <f t="shared" si="356"/>
        <v>115.37572062548583</v>
      </c>
      <c r="N458" s="541">
        <f t="shared" ref="N458:R458" si="357">((M458-M$446)*(1+$S458))+N$446</f>
        <v>118.70289224425041</v>
      </c>
      <c r="O458" s="541">
        <f t="shared" si="357"/>
        <v>122.12987901157793</v>
      </c>
      <c r="P458" s="541">
        <f t="shared" si="357"/>
        <v>125.65967538192527</v>
      </c>
      <c r="Q458" s="541">
        <f t="shared" si="357"/>
        <v>129.29536564338304</v>
      </c>
      <c r="R458" s="541">
        <f t="shared" si="357"/>
        <v>133.04012661268453</v>
      </c>
      <c r="S458" s="866">
        <v>0.03</v>
      </c>
    </row>
    <row r="459" spans="1:19" x14ac:dyDescent="0.3">
      <c r="A459" s="554" t="s">
        <v>50</v>
      </c>
      <c r="B459" s="554" t="s">
        <v>2870</v>
      </c>
      <c r="C459" s="1005">
        <v>8.4000000000000005E-2</v>
      </c>
      <c r="D459" s="492">
        <f t="shared" si="353"/>
        <v>85</v>
      </c>
      <c r="E459" s="541">
        <f t="shared" ref="E459:M459" si="358">((D459-D$446)*(1+$S459))+E$446</f>
        <v>87.52</v>
      </c>
      <c r="F459" s="541">
        <f t="shared" si="358"/>
        <v>90.115600000000001</v>
      </c>
      <c r="G459" s="541">
        <f t="shared" si="358"/>
        <v>95.102401333333333</v>
      </c>
      <c r="H459" s="541">
        <f t="shared" si="358"/>
        <v>99.012740039999997</v>
      </c>
      <c r="I459" s="541">
        <f t="shared" si="358"/>
        <v>101.8490222412</v>
      </c>
      <c r="J459" s="541">
        <f t="shared" si="358"/>
        <v>104.77039290843601</v>
      </c>
      <c r="K459" s="541">
        <f t="shared" si="358"/>
        <v>107.7794046956891</v>
      </c>
      <c r="L459" s="541">
        <f t="shared" si="358"/>
        <v>110.87868683655977</v>
      </c>
      <c r="M459" s="541">
        <f t="shared" si="358"/>
        <v>114.07094744165656</v>
      </c>
      <c r="N459" s="541">
        <f t="shared" ref="N459:R459" si="359">((M459-M$446)*(1+$S459))+N$446</f>
        <v>117.35897586490626</v>
      </c>
      <c r="O459" s="541">
        <f t="shared" si="359"/>
        <v>120.74564514085344</v>
      </c>
      <c r="P459" s="541">
        <f t="shared" si="359"/>
        <v>124.23391449507905</v>
      </c>
      <c r="Q459" s="541">
        <f t="shared" si="359"/>
        <v>127.82683192993143</v>
      </c>
      <c r="R459" s="541">
        <f t="shared" si="359"/>
        <v>131.52753688782937</v>
      </c>
      <c r="S459" s="866">
        <v>0.03</v>
      </c>
    </row>
    <row r="460" spans="1:19" x14ac:dyDescent="0.3">
      <c r="A460" s="554" t="s">
        <v>50</v>
      </c>
      <c r="B460" s="554" t="s">
        <v>2871</v>
      </c>
      <c r="C460" s="1005">
        <v>8.2299999999999998E-2</v>
      </c>
      <c r="D460" s="492">
        <f t="shared" si="353"/>
        <v>83.3</v>
      </c>
      <c r="E460" s="541">
        <f t="shared" ref="E460:M460" si="360">((D460-D$446)*(1+$S460))+E$446</f>
        <v>85.769000000000005</v>
      </c>
      <c r="F460" s="541">
        <f t="shared" si="360"/>
        <v>88.312070000000006</v>
      </c>
      <c r="G460" s="541">
        <f t="shared" si="360"/>
        <v>93.244765433333342</v>
      </c>
      <c r="H460" s="541">
        <f t="shared" si="360"/>
        <v>97.099375063000011</v>
      </c>
      <c r="I460" s="541">
        <f t="shared" si="360"/>
        <v>99.87825631489001</v>
      </c>
      <c r="J460" s="541">
        <f t="shared" si="360"/>
        <v>102.74050400433671</v>
      </c>
      <c r="K460" s="541">
        <f t="shared" si="360"/>
        <v>105.68861912446681</v>
      </c>
      <c r="L460" s="541">
        <f t="shared" si="360"/>
        <v>108.72517769820082</v>
      </c>
      <c r="M460" s="541">
        <f t="shared" si="360"/>
        <v>111.85283302914685</v>
      </c>
      <c r="N460" s="541">
        <f t="shared" ref="N460:R460" si="361">((M460-M$446)*(1+$S460))+N$446</f>
        <v>115.07431802002125</v>
      </c>
      <c r="O460" s="541">
        <f t="shared" si="361"/>
        <v>118.39244756062189</v>
      </c>
      <c r="P460" s="541">
        <f t="shared" si="361"/>
        <v>121.81012098744056</v>
      </c>
      <c r="Q460" s="541">
        <f t="shared" si="361"/>
        <v>125.33032461706378</v>
      </c>
      <c r="R460" s="541">
        <f t="shared" si="361"/>
        <v>128.9561343555757</v>
      </c>
      <c r="S460" s="866">
        <v>0.03</v>
      </c>
    </row>
    <row r="461" spans="1:19" x14ac:dyDescent="0.3">
      <c r="A461" s="554" t="s">
        <v>50</v>
      </c>
      <c r="B461" s="554" t="s">
        <v>2872</v>
      </c>
      <c r="C461" s="1005">
        <v>7.1499999999999994E-2</v>
      </c>
      <c r="D461" s="492">
        <f t="shared" si="353"/>
        <v>72.5</v>
      </c>
      <c r="E461" s="541">
        <f t="shared" ref="E461:M461" si="362">((D461-D$446)*(1+$S461))+E$446</f>
        <v>74.644999999999996</v>
      </c>
      <c r="F461" s="541">
        <f t="shared" si="362"/>
        <v>76.854349999999997</v>
      </c>
      <c r="G461" s="541">
        <f t="shared" si="362"/>
        <v>81.443313833333335</v>
      </c>
      <c r="H461" s="541">
        <f t="shared" si="362"/>
        <v>84.943879914999997</v>
      </c>
      <c r="I461" s="541">
        <f t="shared" si="362"/>
        <v>87.358096312450002</v>
      </c>
      <c r="J461" s="541">
        <f t="shared" si="362"/>
        <v>89.844739201823501</v>
      </c>
      <c r="K461" s="541">
        <f t="shared" si="362"/>
        <v>92.405981377878206</v>
      </c>
      <c r="L461" s="541">
        <f t="shared" si="362"/>
        <v>95.04406081921455</v>
      </c>
      <c r="M461" s="541">
        <f t="shared" si="362"/>
        <v>97.761282643790992</v>
      </c>
      <c r="N461" s="541">
        <f t="shared" ref="N461:R461" si="363">((M461-M$446)*(1+$S461))+N$446</f>
        <v>100.56002112310472</v>
      </c>
      <c r="O461" s="541">
        <f t="shared" si="363"/>
        <v>103.44272175679787</v>
      </c>
      <c r="P461" s="541">
        <f t="shared" si="363"/>
        <v>106.4119034095018</v>
      </c>
      <c r="Q461" s="541">
        <f t="shared" si="363"/>
        <v>109.47016051178686</v>
      </c>
      <c r="R461" s="541">
        <f t="shared" si="363"/>
        <v>112.62016532714047</v>
      </c>
      <c r="S461" s="866">
        <v>0.03</v>
      </c>
    </row>
    <row r="462" spans="1:19" x14ac:dyDescent="0.3">
      <c r="A462" s="554" t="s">
        <v>50</v>
      </c>
      <c r="B462" s="554" t="s">
        <v>2873</v>
      </c>
      <c r="C462" s="1005">
        <v>7.6899999999999996E-2</v>
      </c>
      <c r="D462" s="492">
        <f t="shared" si="353"/>
        <v>77.899999999999991</v>
      </c>
      <c r="E462" s="541">
        <f t="shared" ref="E462:M462" si="364">((D462-D$446)*(1+$S462))+E$446</f>
        <v>80.206999999999994</v>
      </c>
      <c r="F462" s="541">
        <f t="shared" si="364"/>
        <v>82.583209999999994</v>
      </c>
      <c r="G462" s="541">
        <f t="shared" si="364"/>
        <v>87.344039633333324</v>
      </c>
      <c r="H462" s="541">
        <f t="shared" si="364"/>
        <v>91.021627488999997</v>
      </c>
      <c r="I462" s="541">
        <f t="shared" si="364"/>
        <v>93.618176313670006</v>
      </c>
      <c r="J462" s="541">
        <f t="shared" si="364"/>
        <v>96.292621603080107</v>
      </c>
      <c r="K462" s="541">
        <f t="shared" si="364"/>
        <v>99.047300251172516</v>
      </c>
      <c r="L462" s="541">
        <f t="shared" si="364"/>
        <v>101.88461925870769</v>
      </c>
      <c r="M462" s="541">
        <f t="shared" si="364"/>
        <v>104.80705783646891</v>
      </c>
      <c r="N462" s="541">
        <f t="shared" ref="N462:R462" si="365">((M462-M$446)*(1+$S462))+N$446</f>
        <v>107.81716957156299</v>
      </c>
      <c r="O462" s="541">
        <f t="shared" si="365"/>
        <v>110.91758465870988</v>
      </c>
      <c r="P462" s="541">
        <f t="shared" si="365"/>
        <v>114.11101219847119</v>
      </c>
      <c r="Q462" s="541">
        <f t="shared" si="365"/>
        <v>117.40024256442533</v>
      </c>
      <c r="R462" s="541">
        <f t="shared" si="365"/>
        <v>120.78814984135809</v>
      </c>
      <c r="S462" s="866">
        <v>0.03</v>
      </c>
    </row>
    <row r="463" spans="1:19" x14ac:dyDescent="0.3">
      <c r="A463" s="554" t="s">
        <v>50</v>
      </c>
      <c r="B463" s="554" t="s">
        <v>2874</v>
      </c>
      <c r="C463" s="1005">
        <v>8.09E-2</v>
      </c>
      <c r="D463" s="492">
        <f t="shared" si="353"/>
        <v>81.900000000000006</v>
      </c>
      <c r="E463" s="541">
        <f t="shared" ref="E463:M463" si="366">((D463-D$446)*(1+$S463))+E$446</f>
        <v>84.327000000000012</v>
      </c>
      <c r="F463" s="541">
        <f t="shared" si="366"/>
        <v>86.826810000000009</v>
      </c>
      <c r="G463" s="541">
        <f t="shared" si="366"/>
        <v>91.714947633333338</v>
      </c>
      <c r="H463" s="541">
        <f t="shared" si="366"/>
        <v>95.523662729000009</v>
      </c>
      <c r="I463" s="541">
        <f t="shared" si="366"/>
        <v>98.255272610870009</v>
      </c>
      <c r="J463" s="541">
        <f t="shared" si="366"/>
        <v>101.06883078919611</v>
      </c>
      <c r="K463" s="541">
        <f t="shared" si="366"/>
        <v>103.966795712872</v>
      </c>
      <c r="L463" s="541">
        <f t="shared" si="366"/>
        <v>106.95169958425817</v>
      </c>
      <c r="M463" s="541">
        <f t="shared" si="366"/>
        <v>110.02615057178592</v>
      </c>
      <c r="N463" s="541">
        <f t="shared" ref="N463:R463" si="367">((M463-M$446)*(1+$S463))+N$446</f>
        <v>113.1928350889395</v>
      </c>
      <c r="O463" s="541">
        <f t="shared" si="367"/>
        <v>116.45452014160769</v>
      </c>
      <c r="P463" s="541">
        <f t="shared" si="367"/>
        <v>119.81405574585592</v>
      </c>
      <c r="Q463" s="541">
        <f t="shared" si="367"/>
        <v>123.27437741823161</v>
      </c>
      <c r="R463" s="541">
        <f t="shared" si="367"/>
        <v>126.83850874077856</v>
      </c>
      <c r="S463" s="866">
        <v>0.03</v>
      </c>
    </row>
    <row r="464" spans="1:19" x14ac:dyDescent="0.3">
      <c r="A464" s="554" t="s">
        <v>50</v>
      </c>
      <c r="B464" s="554" t="s">
        <v>2875</v>
      </c>
      <c r="C464" s="1005">
        <v>5.4600000000000003E-2</v>
      </c>
      <c r="D464" s="1143">
        <f>(C464*1000)+D$447</f>
        <v>55.1</v>
      </c>
      <c r="E464" s="492">
        <f t="shared" ref="E464:M464" si="368">((D464-D$447)*(1+$S464))+E$447</f>
        <v>55.1</v>
      </c>
      <c r="F464" s="492">
        <f t="shared" si="368"/>
        <v>55.1</v>
      </c>
      <c r="G464" s="492">
        <f t="shared" si="368"/>
        <v>55.1</v>
      </c>
      <c r="H464" s="492">
        <f t="shared" si="368"/>
        <v>55.1</v>
      </c>
      <c r="I464" s="492">
        <f t="shared" si="368"/>
        <v>55.1</v>
      </c>
      <c r="J464" s="492">
        <f t="shared" si="368"/>
        <v>55.1</v>
      </c>
      <c r="K464" s="492">
        <f t="shared" si="368"/>
        <v>55.1</v>
      </c>
      <c r="L464" s="492">
        <f t="shared" si="368"/>
        <v>55.1</v>
      </c>
      <c r="M464" s="492">
        <f t="shared" si="368"/>
        <v>55.1</v>
      </c>
      <c r="N464" s="492">
        <f t="shared" ref="N464:R464" si="369">((M464-M$447)*(1+$S464))+N$447</f>
        <v>55.1</v>
      </c>
      <c r="O464" s="492">
        <f t="shared" si="369"/>
        <v>55.1</v>
      </c>
      <c r="P464" s="492">
        <f t="shared" si="369"/>
        <v>55.1</v>
      </c>
      <c r="Q464" s="492">
        <f t="shared" si="369"/>
        <v>55.1</v>
      </c>
      <c r="R464" s="492">
        <f t="shared" si="369"/>
        <v>55.1</v>
      </c>
      <c r="S464" s="866"/>
    </row>
    <row r="471" spans="2:19" ht="15" x14ac:dyDescent="0.3">
      <c r="B471" s="1007" t="s">
        <v>2876</v>
      </c>
      <c r="C471" s="1007"/>
      <c r="D471" s="1007"/>
      <c r="E471" s="1007"/>
      <c r="F471" s="1007"/>
      <c r="G471" s="1007"/>
      <c r="H471" s="1007"/>
      <c r="I471" s="1007"/>
      <c r="J471" s="1007"/>
      <c r="K471" s="1007"/>
      <c r="L471" s="1007"/>
      <c r="M471" s="1007"/>
      <c r="N471" s="1007"/>
      <c r="O471" s="1007"/>
      <c r="P471" s="1007"/>
      <c r="Q471" s="1007"/>
      <c r="R471" s="1007"/>
      <c r="S471" s="1007"/>
    </row>
    <row r="473" spans="2:19" x14ac:dyDescent="0.3">
      <c r="B473" s="556" t="s">
        <v>2877</v>
      </c>
      <c r="C473" s="556" t="s">
        <v>59</v>
      </c>
      <c r="D473" s="556">
        <v>2021</v>
      </c>
      <c r="E473" s="556">
        <v>2022</v>
      </c>
      <c r="F473" s="556">
        <v>2023</v>
      </c>
      <c r="G473" s="556">
        <v>2024</v>
      </c>
      <c r="H473" s="556">
        <v>2025</v>
      </c>
      <c r="I473" s="556">
        <v>2026</v>
      </c>
      <c r="J473" s="556">
        <v>2027</v>
      </c>
      <c r="K473" s="556">
        <v>2028</v>
      </c>
      <c r="L473" s="556">
        <v>2029</v>
      </c>
      <c r="M473" s="556">
        <v>2030</v>
      </c>
      <c r="N473" s="556">
        <v>2031</v>
      </c>
      <c r="O473" s="556">
        <v>2032</v>
      </c>
      <c r="P473" s="556">
        <v>2033</v>
      </c>
      <c r="Q473" s="556">
        <v>2034</v>
      </c>
      <c r="R473" s="556">
        <v>2035</v>
      </c>
    </row>
    <row r="474" spans="2:19" x14ac:dyDescent="0.3">
      <c r="B474" s="648" t="s">
        <v>388</v>
      </c>
      <c r="C474" s="648" t="s">
        <v>2798</v>
      </c>
      <c r="D474" s="645">
        <f t="shared" ref="D474:R474" si="370">D402+D281</f>
        <v>93.916930125582752</v>
      </c>
      <c r="E474" s="645">
        <f t="shared" si="370"/>
        <v>95.552370910214961</v>
      </c>
      <c r="F474" s="645">
        <f t="shared" si="370"/>
        <v>97.23687491838615</v>
      </c>
      <c r="G474" s="645">
        <f t="shared" si="370"/>
        <v>104.61961727361071</v>
      </c>
      <c r="H474" s="645">
        <f t="shared" si="370"/>
        <v>109.23055918928362</v>
      </c>
      <c r="I474" s="645">
        <f t="shared" si="370"/>
        <v>111.0712622006205</v>
      </c>
      <c r="J474" s="645">
        <f t="shared" si="370"/>
        <v>112.96718630229748</v>
      </c>
      <c r="K474" s="645">
        <f t="shared" si="370"/>
        <v>114.91998812702477</v>
      </c>
      <c r="L474" s="645">
        <f t="shared" si="370"/>
        <v>116.93137400649387</v>
      </c>
      <c r="M474" s="645">
        <f t="shared" si="370"/>
        <v>119.00310146234705</v>
      </c>
      <c r="N474" s="645">
        <f t="shared" si="370"/>
        <v>121.13698074187582</v>
      </c>
      <c r="O474" s="645">
        <f t="shared" si="370"/>
        <v>123.33487639979046</v>
      </c>
      <c r="P474" s="645">
        <f t="shared" si="370"/>
        <v>125.59870892744253</v>
      </c>
      <c r="Q474" s="645">
        <f t="shared" si="370"/>
        <v>127.93045643092418</v>
      </c>
      <c r="R474" s="645">
        <f t="shared" si="370"/>
        <v>130.33215635951026</v>
      </c>
    </row>
    <row r="475" spans="2:19" x14ac:dyDescent="0.3">
      <c r="B475" s="648" t="s">
        <v>389</v>
      </c>
      <c r="C475" s="648" t="s">
        <v>2798</v>
      </c>
      <c r="D475" s="645">
        <f t="shared" ref="D475:R475" si="371">D403+D282</f>
        <v>48.078483412322278</v>
      </c>
      <c r="E475" s="645">
        <f t="shared" si="371"/>
        <v>49.384345023696689</v>
      </c>
      <c r="F475" s="645">
        <f t="shared" si="371"/>
        <v>50.72938248341233</v>
      </c>
      <c r="G475" s="645">
        <f t="shared" si="371"/>
        <v>55.082733152227497</v>
      </c>
      <c r="H475" s="645">
        <f t="shared" si="371"/>
        <v>57.993664435893848</v>
      </c>
      <c r="I475" s="645">
        <f t="shared" si="371"/>
        <v>59.463423184136545</v>
      </c>
      <c r="J475" s="645">
        <f t="shared" si="371"/>
        <v>60.977274694826519</v>
      </c>
      <c r="K475" s="645">
        <f t="shared" si="371"/>
        <v>62.536541750837195</v>
      </c>
      <c r="L475" s="645">
        <f t="shared" si="371"/>
        <v>64.142586818528187</v>
      </c>
      <c r="M475" s="645">
        <f t="shared" si="371"/>
        <v>65.796813238249911</v>
      </c>
      <c r="N475" s="645">
        <f t="shared" si="371"/>
        <v>67.500666450563287</v>
      </c>
      <c r="O475" s="645">
        <f t="shared" si="371"/>
        <v>69.255635259246063</v>
      </c>
      <c r="P475" s="645">
        <f t="shared" si="371"/>
        <v>71.063253132189317</v>
      </c>
      <c r="Q475" s="645">
        <f t="shared" si="371"/>
        <v>72.92509954132089</v>
      </c>
      <c r="R475" s="645">
        <f t="shared" si="371"/>
        <v>74.842801342726375</v>
      </c>
    </row>
    <row r="476" spans="2:19" x14ac:dyDescent="0.3">
      <c r="B476" s="648" t="s">
        <v>390</v>
      </c>
      <c r="C476" s="648" t="s">
        <v>2798</v>
      </c>
      <c r="D476" s="998">
        <f>(D404/Admin!$V$11)+D283</f>
        <v>5.3175835586803677</v>
      </c>
      <c r="E476" s="998">
        <f>(E404/Admin!$V$11)+E283</f>
        <v>5.376671065440779</v>
      </c>
      <c r="F476" s="998">
        <f>(F404/Admin!$V$11)+F283</f>
        <v>5.4375311974040024</v>
      </c>
      <c r="G476" s="998">
        <f>(G404/Admin!$V$11)+G283</f>
        <v>5.5002171333261227</v>
      </c>
      <c r="H476" s="998">
        <f>(H404/Admin!$V$11)+H283</f>
        <v>5.5647836473259069</v>
      </c>
      <c r="I476" s="998">
        <f>(I404/Admin!$V$11)+I283</f>
        <v>5.6312871567456835</v>
      </c>
      <c r="J476" s="998">
        <f>(J404/Admin!$V$11)+J283</f>
        <v>5.6997857714480542</v>
      </c>
      <c r="K476" s="998">
        <f>(K404/Admin!$V$11)+K283</f>
        <v>5.7703393445914966</v>
      </c>
      <c r="L476" s="998">
        <f>(L404/Admin!$V$11)+L283</f>
        <v>5.8430095249292417</v>
      </c>
      <c r="M476" s="998">
        <f>(M404/Admin!$V$11)+M283</f>
        <v>5.9178598106771183</v>
      </c>
      <c r="N476" s="998">
        <f>(N404/Admin!$V$11)+N283</f>
        <v>5.9949556049974326</v>
      </c>
      <c r="O476" s="998">
        <f>(O404/Admin!$V$11)+O283</f>
        <v>6.0743642731473564</v>
      </c>
      <c r="P476" s="998">
        <f>(P404/Admin!$V$11)+P283</f>
        <v>6.1561552013417771</v>
      </c>
      <c r="Q476" s="998">
        <f>(Q404/Admin!$V$11)+Q283</f>
        <v>6.2403998573820303</v>
      </c>
      <c r="R476" s="998">
        <f>(R404/Admin!$V$11)+R283</f>
        <v>6.3271718531034908</v>
      </c>
    </row>
    <row r="477" spans="2:19" x14ac:dyDescent="0.3">
      <c r="B477" s="648" t="s">
        <v>391</v>
      </c>
      <c r="C477" s="648" t="s">
        <v>2798</v>
      </c>
      <c r="D477" s="645">
        <f t="shared" ref="D477:R477" si="372">D405+D284</f>
        <v>43.528720379146925</v>
      </c>
      <c r="E477" s="645">
        <f t="shared" si="372"/>
        <v>44.834581990521336</v>
      </c>
      <c r="F477" s="645">
        <f t="shared" si="372"/>
        <v>46.179619450236977</v>
      </c>
      <c r="G477" s="645">
        <f t="shared" si="372"/>
        <v>47.565008033744085</v>
      </c>
      <c r="H477" s="645">
        <f t="shared" si="372"/>
        <v>48.991958274756406</v>
      </c>
      <c r="I477" s="645">
        <f t="shared" si="372"/>
        <v>50.461717022999103</v>
      </c>
      <c r="J477" s="645">
        <f t="shared" si="372"/>
        <v>51.975568533689078</v>
      </c>
      <c r="K477" s="645">
        <f t="shared" si="372"/>
        <v>53.534835589699753</v>
      </c>
      <c r="L477" s="645">
        <f t="shared" si="372"/>
        <v>55.140880657390746</v>
      </c>
      <c r="M477" s="645">
        <f t="shared" si="372"/>
        <v>56.795107077112469</v>
      </c>
      <c r="N477" s="645">
        <f t="shared" si="372"/>
        <v>58.498960289425845</v>
      </c>
      <c r="O477" s="645">
        <f t="shared" si="372"/>
        <v>60.253929098108621</v>
      </c>
      <c r="P477" s="645">
        <f t="shared" si="372"/>
        <v>62.061546971051882</v>
      </c>
      <c r="Q477" s="645">
        <f t="shared" si="372"/>
        <v>63.923393380183441</v>
      </c>
      <c r="R477" s="645">
        <f t="shared" si="372"/>
        <v>65.84109518158894</v>
      </c>
    </row>
    <row r="478" spans="2:19" x14ac:dyDescent="0.3">
      <c r="B478" s="648" t="s">
        <v>392</v>
      </c>
      <c r="C478" s="648" t="s">
        <v>2798</v>
      </c>
      <c r="D478" s="645">
        <f t="shared" ref="D478:R478" si="373">D406+D285</f>
        <v>64.623518645470881</v>
      </c>
      <c r="E478" s="645">
        <f t="shared" si="373"/>
        <v>66.513518645470882</v>
      </c>
      <c r="F478" s="645">
        <f t="shared" si="373"/>
        <v>68.460218645470889</v>
      </c>
      <c r="G478" s="645">
        <f t="shared" si="373"/>
        <v>71.131508718239928</v>
      </c>
      <c r="H478" s="645">
        <f t="shared" si="373"/>
        <v>73.565340608255326</v>
      </c>
      <c r="I478" s="645">
        <f t="shared" si="373"/>
        <v>75.692552259155335</v>
      </c>
      <c r="J478" s="645">
        <f t="shared" si="373"/>
        <v>77.883580259582331</v>
      </c>
      <c r="K478" s="645">
        <f t="shared" si="373"/>
        <v>80.140339100022146</v>
      </c>
      <c r="L478" s="645">
        <f t="shared" si="373"/>
        <v>82.46480070567516</v>
      </c>
      <c r="M478" s="645">
        <f t="shared" si="373"/>
        <v>84.858996159497764</v>
      </c>
      <c r="N478" s="645">
        <f t="shared" si="373"/>
        <v>87.325017476935045</v>
      </c>
      <c r="O478" s="645">
        <f t="shared" si="373"/>
        <v>89.865019433895441</v>
      </c>
      <c r="P478" s="645">
        <f t="shared" si="373"/>
        <v>92.481221449564643</v>
      </c>
      <c r="Q478" s="645">
        <f t="shared" si="373"/>
        <v>95.175909525703929</v>
      </c>
      <c r="R478" s="645">
        <f t="shared" si="373"/>
        <v>97.951438244127388</v>
      </c>
    </row>
    <row r="479" spans="2:19" x14ac:dyDescent="0.3">
      <c r="B479" s="648" t="s">
        <v>393</v>
      </c>
      <c r="C479" s="648" t="s">
        <v>2798</v>
      </c>
      <c r="D479" s="645">
        <f t="shared" ref="D479:R479" si="374">D407+D286</f>
        <v>78.600000000000009</v>
      </c>
      <c r="E479" s="645">
        <f t="shared" si="374"/>
        <v>80.928000000000011</v>
      </c>
      <c r="F479" s="645">
        <f t="shared" si="374"/>
        <v>83.325840000000014</v>
      </c>
      <c r="G479" s="645">
        <f t="shared" si="374"/>
        <v>88.108948533333347</v>
      </c>
      <c r="H479" s="645">
        <f t="shared" si="374"/>
        <v>91.809483656000012</v>
      </c>
      <c r="I479" s="645">
        <f t="shared" si="374"/>
        <v>94.429668165680013</v>
      </c>
      <c r="J479" s="645">
        <f t="shared" si="374"/>
        <v>97.128458210650422</v>
      </c>
      <c r="K479" s="645">
        <f t="shared" si="374"/>
        <v>99.908211956969936</v>
      </c>
      <c r="L479" s="645">
        <f t="shared" si="374"/>
        <v>102.77135831567904</v>
      </c>
      <c r="M479" s="645">
        <f t="shared" si="374"/>
        <v>105.72039906514941</v>
      </c>
      <c r="N479" s="645">
        <f t="shared" si="374"/>
        <v>108.7579110371039</v>
      </c>
      <c r="O479" s="645">
        <f t="shared" si="374"/>
        <v>111.88654836821702</v>
      </c>
      <c r="P479" s="645">
        <f t="shared" si="374"/>
        <v>115.10904481926353</v>
      </c>
      <c r="Q479" s="645">
        <f t="shared" si="374"/>
        <v>118.42821616384144</v>
      </c>
      <c r="R479" s="645">
        <f t="shared" si="374"/>
        <v>121.84696264875669</v>
      </c>
    </row>
    <row r="480" spans="2:19" x14ac:dyDescent="0.3">
      <c r="B480" s="648" t="s">
        <v>2808</v>
      </c>
      <c r="C480" s="648" t="s">
        <v>2798</v>
      </c>
      <c r="D480" s="997">
        <f t="shared" ref="D480:R480" si="375">D419+D289</f>
        <v>77.22351864547089</v>
      </c>
      <c r="E480" s="997">
        <f t="shared" si="375"/>
        <v>79.49151864547089</v>
      </c>
      <c r="F480" s="997">
        <f t="shared" si="375"/>
        <v>81.827558645470901</v>
      </c>
      <c r="G480" s="997">
        <f t="shared" si="375"/>
        <v>84.899868918239932</v>
      </c>
      <c r="H480" s="997">
        <f t="shared" si="375"/>
        <v>87.746751614255331</v>
      </c>
      <c r="I480" s="997">
        <f t="shared" si="375"/>
        <v>90.299405595335344</v>
      </c>
      <c r="J480" s="997">
        <f t="shared" si="375"/>
        <v>92.928639195847737</v>
      </c>
      <c r="K480" s="997">
        <f t="shared" si="375"/>
        <v>95.636749804375512</v>
      </c>
      <c r="L480" s="997">
        <f t="shared" si="375"/>
        <v>98.426103731159131</v>
      </c>
      <c r="M480" s="997">
        <f t="shared" si="375"/>
        <v>101.29913827574626</v>
      </c>
      <c r="N480" s="997">
        <f t="shared" si="375"/>
        <v>104.258363856671</v>
      </c>
      <c r="O480" s="997">
        <f t="shared" si="375"/>
        <v>107.30636620502347</v>
      </c>
      <c r="P480" s="997">
        <f t="shared" si="375"/>
        <v>110.44580862382651</v>
      </c>
      <c r="Q480" s="997">
        <f t="shared" si="375"/>
        <v>113.67943431519366</v>
      </c>
      <c r="R480" s="997">
        <f t="shared" si="375"/>
        <v>117.01006877730181</v>
      </c>
    </row>
    <row r="481" spans="2:37" x14ac:dyDescent="0.3">
      <c r="B481" s="648" t="s">
        <v>2809</v>
      </c>
      <c r="C481" s="648" t="s">
        <v>2798</v>
      </c>
      <c r="D481" s="978">
        <f t="shared" ref="D481:R481" si="376">D418+D290</f>
        <v>99.16</v>
      </c>
      <c r="E481" s="978">
        <f t="shared" si="376"/>
        <v>102.10480000000001</v>
      </c>
      <c r="F481" s="978">
        <f t="shared" si="376"/>
        <v>105.137944</v>
      </c>
      <c r="G481" s="978">
        <f t="shared" si="376"/>
        <v>110.57541565333335</v>
      </c>
      <c r="H481" s="978">
        <f t="shared" si="376"/>
        <v>114.94994478960002</v>
      </c>
      <c r="I481" s="978">
        <f t="shared" si="376"/>
        <v>118.26434313328802</v>
      </c>
      <c r="J481" s="978">
        <f t="shared" si="376"/>
        <v>121.67817342728667</v>
      </c>
      <c r="K481" s="978">
        <f t="shared" si="376"/>
        <v>125.19441863010526</v>
      </c>
      <c r="L481" s="978">
        <f t="shared" si="376"/>
        <v>128.81615118900842</v>
      </c>
      <c r="M481" s="978">
        <f t="shared" si="376"/>
        <v>132.54653572467868</v>
      </c>
      <c r="N481" s="978">
        <f t="shared" si="376"/>
        <v>136.38883179641903</v>
      </c>
      <c r="O481" s="978">
        <f t="shared" si="376"/>
        <v>140.34639675031161</v>
      </c>
      <c r="P481" s="978">
        <f t="shared" si="376"/>
        <v>144.42268865282097</v>
      </c>
      <c r="Q481" s="978">
        <f t="shared" si="376"/>
        <v>148.62126931240562</v>
      </c>
      <c r="R481" s="978">
        <f t="shared" si="376"/>
        <v>152.94580739177781</v>
      </c>
    </row>
    <row r="482" spans="2:37" x14ac:dyDescent="0.3">
      <c r="B482" s="648" t="s">
        <v>2807</v>
      </c>
      <c r="C482" s="648" t="s">
        <v>2798</v>
      </c>
      <c r="D482" s="978">
        <f t="shared" ref="D482:R482" si="377">D407+D288</f>
        <v>78.875000000000014</v>
      </c>
      <c r="E482" s="978">
        <f t="shared" si="377"/>
        <v>81.203000000000017</v>
      </c>
      <c r="F482" s="978">
        <f t="shared" si="377"/>
        <v>83.600840000000019</v>
      </c>
      <c r="G482" s="978">
        <f t="shared" si="377"/>
        <v>88.383948533333353</v>
      </c>
      <c r="H482" s="978">
        <f t="shared" si="377"/>
        <v>92.084483656000018</v>
      </c>
      <c r="I482" s="978">
        <f t="shared" si="377"/>
        <v>94.704668165680019</v>
      </c>
      <c r="J482" s="978">
        <f t="shared" si="377"/>
        <v>97.403458210650427</v>
      </c>
      <c r="K482" s="978">
        <f t="shared" si="377"/>
        <v>100.18321195696994</v>
      </c>
      <c r="L482" s="978">
        <f t="shared" si="377"/>
        <v>103.04635831567904</v>
      </c>
      <c r="M482" s="978">
        <f t="shared" si="377"/>
        <v>105.99539906514941</v>
      </c>
      <c r="N482" s="978">
        <f t="shared" si="377"/>
        <v>109.0329110371039</v>
      </c>
      <c r="O482" s="978">
        <f t="shared" si="377"/>
        <v>112.16154836821703</v>
      </c>
      <c r="P482" s="978">
        <f t="shared" si="377"/>
        <v>115.38404481926354</v>
      </c>
      <c r="Q482" s="978">
        <f t="shared" si="377"/>
        <v>118.70321616384145</v>
      </c>
      <c r="R482" s="978">
        <f t="shared" si="377"/>
        <v>122.12196264875669</v>
      </c>
    </row>
    <row r="483" spans="2:37" x14ac:dyDescent="0.3">
      <c r="B483" s="648" t="s">
        <v>2806</v>
      </c>
      <c r="C483" s="648" t="s">
        <v>2798</v>
      </c>
      <c r="D483" s="479">
        <f>D430</f>
        <v>40.649763033175354</v>
      </c>
      <c r="E483" s="479">
        <f t="shared" ref="E483:M483" si="378">E430</f>
        <v>41.732763033175353</v>
      </c>
      <c r="F483" s="479">
        <f t="shared" si="378"/>
        <v>42.848253033175354</v>
      </c>
      <c r="G483" s="479">
        <f t="shared" si="378"/>
        <v>46.965169818483417</v>
      </c>
      <c r="H483" s="479">
        <f t="shared" si="378"/>
        <v>49.632574202137448</v>
      </c>
      <c r="I483" s="479">
        <f t="shared" si="378"/>
        <v>50.851500243367447</v>
      </c>
      <c r="J483" s="479">
        <f t="shared" si="378"/>
        <v>52.10699406583435</v>
      </c>
      <c r="K483" s="479">
        <f t="shared" si="378"/>
        <v>53.400152702975255</v>
      </c>
      <c r="L483" s="479">
        <f t="shared" si="378"/>
        <v>54.732106099230393</v>
      </c>
      <c r="M483" s="479">
        <f t="shared" si="378"/>
        <v>56.104018097373185</v>
      </c>
      <c r="N483" s="479">
        <f t="shared" ref="N483:R483" si="379">N430</f>
        <v>57.517087455460256</v>
      </c>
      <c r="O483" s="479">
        <f t="shared" si="379"/>
        <v>58.972548894289943</v>
      </c>
      <c r="P483" s="479">
        <f t="shared" si="379"/>
        <v>60.471674176284516</v>
      </c>
      <c r="Q483" s="479">
        <f t="shared" si="379"/>
        <v>62.015773216738928</v>
      </c>
      <c r="R483" s="479">
        <f t="shared" si="379"/>
        <v>63.606195228406975</v>
      </c>
    </row>
    <row r="484" spans="2:37" x14ac:dyDescent="0.3">
      <c r="B484" s="648" t="s">
        <v>2818</v>
      </c>
      <c r="C484" s="648" t="s">
        <v>2798</v>
      </c>
      <c r="D484" s="479">
        <f>D434</f>
        <v>39.749763033175356</v>
      </c>
      <c r="E484" s="479">
        <f t="shared" ref="E484:M484" si="380">E434</f>
        <v>40.80576303317536</v>
      </c>
      <c r="F484" s="479">
        <f t="shared" si="380"/>
        <v>41.893443033175359</v>
      </c>
      <c r="G484" s="479">
        <f t="shared" si="380"/>
        <v>45.981715518483419</v>
      </c>
      <c r="H484" s="479">
        <f t="shared" si="380"/>
        <v>48.619616273137453</v>
      </c>
      <c r="I484" s="479">
        <f t="shared" si="380"/>
        <v>49.808153576497453</v>
      </c>
      <c r="J484" s="479">
        <f t="shared" si="380"/>
        <v>51.032346998958253</v>
      </c>
      <c r="K484" s="479">
        <f t="shared" si="380"/>
        <v>52.293266224092882</v>
      </c>
      <c r="L484" s="479">
        <f t="shared" si="380"/>
        <v>53.592013025981544</v>
      </c>
      <c r="M484" s="479">
        <f t="shared" si="380"/>
        <v>54.929722231926867</v>
      </c>
      <c r="N484" s="479">
        <f t="shared" ref="N484:R484" si="381">N434</f>
        <v>56.307562714050547</v>
      </c>
      <c r="O484" s="479">
        <f t="shared" si="381"/>
        <v>57.726738410637942</v>
      </c>
      <c r="P484" s="479">
        <f t="shared" si="381"/>
        <v>59.188489378122959</v>
      </c>
      <c r="Q484" s="479">
        <f t="shared" si="381"/>
        <v>60.694092874632524</v>
      </c>
      <c r="R484" s="479">
        <f t="shared" si="381"/>
        <v>62.244864476037378</v>
      </c>
    </row>
    <row r="485" spans="2:37" x14ac:dyDescent="0.3">
      <c r="B485" s="644" t="s">
        <v>2746</v>
      </c>
      <c r="C485" s="648" t="s">
        <v>2798</v>
      </c>
      <c r="D485" s="997">
        <f t="shared" ref="D485:R485" si="382">D409+((D291*(1-$M$843))+(D292*$M$843))</f>
        <v>125.5873897012994</v>
      </c>
      <c r="E485" s="997">
        <f t="shared" si="382"/>
        <v>127.57711807781094</v>
      </c>
      <c r="F485" s="997">
        <f t="shared" si="382"/>
        <v>129.6265383056178</v>
      </c>
      <c r="G485" s="997">
        <f t="shared" si="382"/>
        <v>131.73744114025891</v>
      </c>
      <c r="H485" s="997">
        <f t="shared" si="382"/>
        <v>133.91167105993921</v>
      </c>
      <c r="I485" s="997">
        <f t="shared" si="382"/>
        <v>136.15112787720994</v>
      </c>
      <c r="J485" s="997">
        <f t="shared" si="382"/>
        <v>138.45776839899878</v>
      </c>
      <c r="K485" s="997">
        <f t="shared" si="382"/>
        <v>140.83360813644128</v>
      </c>
      <c r="L485" s="997">
        <f t="shared" si="382"/>
        <v>143.28072306600706</v>
      </c>
      <c r="M485" s="997">
        <f t="shared" si="382"/>
        <v>145.80125144345982</v>
      </c>
      <c r="N485" s="997">
        <f t="shared" si="382"/>
        <v>148.39739567223617</v>
      </c>
      <c r="O485" s="997">
        <f t="shared" si="382"/>
        <v>151.07142422787581</v>
      </c>
      <c r="P485" s="997">
        <f t="shared" si="382"/>
        <v>153.82567364018462</v>
      </c>
      <c r="Q485" s="997">
        <f t="shared" si="382"/>
        <v>156.6625505348627</v>
      </c>
      <c r="R485" s="997">
        <f t="shared" si="382"/>
        <v>159.5845337363811</v>
      </c>
    </row>
    <row r="486" spans="2:37" x14ac:dyDescent="0.3">
      <c r="B486" s="644" t="s">
        <v>2814</v>
      </c>
      <c r="C486" s="648" t="s">
        <v>2798</v>
      </c>
      <c r="D486" s="997">
        <f t="shared" ref="D486:R486" si="383">D411+D293</f>
        <v>83.290990099009917</v>
      </c>
      <c r="E486" s="997">
        <f t="shared" si="383"/>
        <v>84.661600990099018</v>
      </c>
      <c r="F486" s="997">
        <f t="shared" si="383"/>
        <v>86.073330207920804</v>
      </c>
      <c r="G486" s="997">
        <f t="shared" si="383"/>
        <v>95.666025163663392</v>
      </c>
      <c r="H486" s="997">
        <f t="shared" si="383"/>
        <v>101.23303562154359</v>
      </c>
      <c r="I486" s="997">
        <f t="shared" si="383"/>
        <v>102.77567025454633</v>
      </c>
      <c r="J486" s="997">
        <f t="shared" si="383"/>
        <v>104.36458392653915</v>
      </c>
      <c r="K486" s="997">
        <f t="shared" si="383"/>
        <v>106.00116500869177</v>
      </c>
      <c r="L486" s="997">
        <f t="shared" si="383"/>
        <v>107.68684352330897</v>
      </c>
      <c r="M486" s="997">
        <f t="shared" si="383"/>
        <v>109.42309239336468</v>
      </c>
      <c r="N486" s="997">
        <f t="shared" si="383"/>
        <v>111.21142872952205</v>
      </c>
      <c r="O486" s="997">
        <f t="shared" si="383"/>
        <v>113.05341515576416</v>
      </c>
      <c r="P486" s="997">
        <f t="shared" si="383"/>
        <v>114.95066117479351</v>
      </c>
      <c r="Q486" s="997">
        <f t="shared" si="383"/>
        <v>116.90482457439376</v>
      </c>
      <c r="R486" s="997">
        <f t="shared" si="383"/>
        <v>118.91761287598202</v>
      </c>
    </row>
    <row r="487" spans="2:37" ht="27" x14ac:dyDescent="0.3">
      <c r="B487" s="644" t="s">
        <v>2815</v>
      </c>
      <c r="C487" s="648" t="s">
        <v>2798</v>
      </c>
      <c r="D487" s="997">
        <f t="shared" ref="D487:R487" si="384">D413+D294</f>
        <v>78.993722660065899</v>
      </c>
      <c r="E487" s="997">
        <f t="shared" si="384"/>
        <v>80.319449392739159</v>
      </c>
      <c r="F487" s="997">
        <f t="shared" si="384"/>
        <v>81.684947927392628</v>
      </c>
      <c r="G487" s="997">
        <f t="shared" si="384"/>
        <v>90.638261991716149</v>
      </c>
      <c r="H487" s="997">
        <f t="shared" si="384"/>
        <v>95.860344673945249</v>
      </c>
      <c r="I487" s="997">
        <f t="shared" si="384"/>
        <v>97.352461791221515</v>
      </c>
      <c r="J487" s="997">
        <f t="shared" si="384"/>
        <v>98.889342422016085</v>
      </c>
      <c r="K487" s="997">
        <f t="shared" si="384"/>
        <v>100.4723294717345</v>
      </c>
      <c r="L487" s="997">
        <f t="shared" si="384"/>
        <v>102.10280613294444</v>
      </c>
      <c r="M487" s="997">
        <f t="shared" si="384"/>
        <v>103.7821970939907</v>
      </c>
      <c r="N487" s="997">
        <f t="shared" si="384"/>
        <v>105.51196978386835</v>
      </c>
      <c r="O487" s="997">
        <f t="shared" si="384"/>
        <v>107.29363565444231</v>
      </c>
      <c r="P487" s="997">
        <f t="shared" si="384"/>
        <v>109.12875150113351</v>
      </c>
      <c r="Q487" s="997">
        <f t="shared" si="384"/>
        <v>111.01892082322543</v>
      </c>
      <c r="R487" s="997">
        <f t="shared" si="384"/>
        <v>112.96579522498011</v>
      </c>
      <c r="T487" s="9" t="s">
        <v>2878</v>
      </c>
      <c r="U487" s="9" t="s">
        <v>1618</v>
      </c>
      <c r="V487" s="9" t="s">
        <v>300</v>
      </c>
      <c r="W487" s="9" t="s">
        <v>2879</v>
      </c>
      <c r="X487" s="9"/>
      <c r="Y487" s="9"/>
      <c r="Z487" s="9"/>
      <c r="AA487" s="9"/>
      <c r="AB487" s="9"/>
      <c r="AC487" s="9"/>
      <c r="AD487" s="9"/>
      <c r="AE487" s="9"/>
      <c r="AF487" s="9"/>
      <c r="AG487" s="9"/>
      <c r="AH487" s="9"/>
      <c r="AI487" s="9"/>
      <c r="AJ487" s="9"/>
      <c r="AK487" s="9"/>
    </row>
    <row r="488" spans="2:37" x14ac:dyDescent="0.3">
      <c r="B488" s="644" t="s">
        <v>2730</v>
      </c>
      <c r="C488" s="648" t="s">
        <v>2798</v>
      </c>
      <c r="D488" s="997">
        <f t="shared" ref="D488:R488" si="385">D415+((D295*(1-$L$843))+(D296*$L$843))</f>
        <v>91.759479489013557</v>
      </c>
      <c r="E488" s="997">
        <f t="shared" si="385"/>
        <v>93.471435690802451</v>
      </c>
      <c r="F488" s="997">
        <f t="shared" si="385"/>
        <v>95.234750578645048</v>
      </c>
      <c r="G488" s="997">
        <f t="shared" si="385"/>
        <v>104.57427495665102</v>
      </c>
      <c r="H488" s="997">
        <f t="shared" si="385"/>
        <v>110.20663074292727</v>
      </c>
      <c r="I488" s="997">
        <f t="shared" si="385"/>
        <v>112.13345253037484</v>
      </c>
      <c r="J488" s="997">
        <f t="shared" si="385"/>
        <v>114.11807897144583</v>
      </c>
      <c r="K488" s="997">
        <f t="shared" si="385"/>
        <v>116.16224420574895</v>
      </c>
      <c r="L488" s="997">
        <f t="shared" si="385"/>
        <v>118.26773439708116</v>
      </c>
      <c r="M488" s="997">
        <f t="shared" si="385"/>
        <v>120.43638929415332</v>
      </c>
      <c r="N488" s="997">
        <f t="shared" si="385"/>
        <v>122.67010383813766</v>
      </c>
      <c r="O488" s="997">
        <f t="shared" si="385"/>
        <v>124.97082981844154</v>
      </c>
      <c r="P488" s="997">
        <f t="shared" si="385"/>
        <v>127.34057757815454</v>
      </c>
      <c r="Q488" s="997">
        <f t="shared" si="385"/>
        <v>129.78141777065892</v>
      </c>
      <c r="R488" s="997">
        <f t="shared" si="385"/>
        <v>132.29548316893843</v>
      </c>
      <c r="T488" s="9"/>
      <c r="U488" s="9" t="s">
        <v>98</v>
      </c>
      <c r="V488" s="9" t="s">
        <v>77</v>
      </c>
      <c r="W488" s="9">
        <v>2021</v>
      </c>
      <c r="X488" s="9">
        <v>2022</v>
      </c>
      <c r="Y488" s="9">
        <v>2023</v>
      </c>
      <c r="Z488" s="9">
        <v>2024</v>
      </c>
      <c r="AA488" s="9">
        <v>2025</v>
      </c>
      <c r="AB488" s="9">
        <v>2026</v>
      </c>
      <c r="AC488" s="9">
        <v>2027</v>
      </c>
      <c r="AD488" s="9">
        <v>2028</v>
      </c>
      <c r="AE488" s="9">
        <v>2029</v>
      </c>
      <c r="AF488" s="9">
        <v>2030</v>
      </c>
      <c r="AG488" s="9">
        <v>2031</v>
      </c>
      <c r="AH488" s="9">
        <v>2032</v>
      </c>
      <c r="AI488" s="9">
        <v>2033</v>
      </c>
      <c r="AJ488" s="9">
        <v>2034</v>
      </c>
      <c r="AK488" s="9">
        <v>2035</v>
      </c>
    </row>
    <row r="489" spans="2:37" x14ac:dyDescent="0.3">
      <c r="B489" s="644" t="s">
        <v>2880</v>
      </c>
      <c r="C489" s="648" t="s">
        <v>2798</v>
      </c>
      <c r="D489" s="487">
        <f t="shared" ref="D489:M489" si="386">D478+W489</f>
        <v>64.623518645470881</v>
      </c>
      <c r="E489" s="487">
        <f t="shared" si="386"/>
        <v>66.513518645470882</v>
      </c>
      <c r="F489" s="487">
        <f t="shared" si="386"/>
        <v>68.460218645470889</v>
      </c>
      <c r="G489" s="487">
        <f t="shared" si="386"/>
        <v>71.131508718239928</v>
      </c>
      <c r="H489" s="487">
        <f t="shared" si="386"/>
        <v>75.054807073627643</v>
      </c>
      <c r="I489" s="487">
        <f t="shared" si="386"/>
        <v>77.211767065293444</v>
      </c>
      <c r="J489" s="487">
        <f t="shared" si="386"/>
        <v>79.43212942311574</v>
      </c>
      <c r="K489" s="487">
        <f t="shared" si="386"/>
        <v>81.718650030508101</v>
      </c>
      <c r="L489" s="487">
        <f t="shared" si="386"/>
        <v>84.073302329186262</v>
      </c>
      <c r="M489" s="487">
        <f t="shared" si="386"/>
        <v>86.498118794383174</v>
      </c>
      <c r="N489" s="487">
        <f t="shared" ref="N489:R489" si="387">N478+AG489</f>
        <v>88.99000760070733</v>
      </c>
      <c r="O489" s="487">
        <f t="shared" si="387"/>
        <v>91.556158145776251</v>
      </c>
      <c r="P489" s="487">
        <f t="shared" si="387"/>
        <v>94.198790019333856</v>
      </c>
      <c r="Q489" s="487">
        <f t="shared" si="387"/>
        <v>96.920189337951783</v>
      </c>
      <c r="R489" s="487">
        <f t="shared" si="387"/>
        <v>99.722710742645162</v>
      </c>
      <c r="T489" s="513">
        <v>0.2</v>
      </c>
      <c r="U489" s="492">
        <f>'EE Measures'!$BX$50</f>
        <v>841.08279509333329</v>
      </c>
      <c r="V489" s="484">
        <f>SUM('EE Measures'!$BH$50:$BQ$50)</f>
        <v>1176</v>
      </c>
      <c r="W489" s="528">
        <f>IFERROR(('EE Measures'!BZ$50*1000000)/(Baseline!AC$7*1000)*$T489*D178,0)</f>
        <v>0</v>
      </c>
      <c r="X489" s="479">
        <f>IFERROR(('EE Measures'!CA$50*1000000)/(Baseline!AD$7*1000)*$T489*E178,0)</f>
        <v>0</v>
      </c>
      <c r="Y489" s="479">
        <f>IFERROR(('EE Measures'!CB$50*1000000)/(Baseline!AE$7*1000)*$T489*F178,0)</f>
        <v>0</v>
      </c>
      <c r="Z489" s="479">
        <f>IFERROR(('EE Measures'!CC$50*1000000)/(Baseline!AF$7*1000)*$T489*G178,0)</f>
        <v>0</v>
      </c>
      <c r="AA489" s="479">
        <f>IFERROR(('EE Measures'!CD$50*1000000)/(Baseline!AG$7*1000)*$T489*H178,0)</f>
        <v>1.48946646537232</v>
      </c>
      <c r="AB489" s="479">
        <f>IFERROR(('EE Measures'!CE$50*1000000)/(Baseline!AH$7*1000)*$T489*I178,0)</f>
        <v>1.5192148061381074</v>
      </c>
      <c r="AC489" s="479">
        <f>IFERROR(('EE Measures'!CF$50*1000000)/(Baseline!AI$7*1000)*$T489*J178,0)</f>
        <v>1.5485491635334061</v>
      </c>
      <c r="AD489" s="479">
        <f>IFERROR(('EE Measures'!CG$50*1000000)/(Baseline!AJ$7*1000)*$T489*K178,0)</f>
        <v>1.5783109304859562</v>
      </c>
      <c r="AE489" s="479">
        <f>IFERROR(('EE Measures'!CH$50*1000000)/(Baseline!AK$7*1000)*$T489*L178,0)</f>
        <v>1.6085016235111038</v>
      </c>
      <c r="AF489" s="479">
        <f>IFERROR(('EE Measures'!CI$50*1000000)/(Baseline!AL$7*1000)*$T489*M178,0)</f>
        <v>1.6391226348854087</v>
      </c>
      <c r="AG489" s="479">
        <f>IFERROR(('EE Measures'!CJ$50*1000000)/(Baseline!AM$7*1000)*$T489*N178,0)</f>
        <v>1.6649901237722819</v>
      </c>
      <c r="AH489" s="479">
        <f>IFERROR(('EE Measures'!CK$50*1000000)/(Baseline!AN$7*1000)*$T489*O178,0)</f>
        <v>1.6911387118808063</v>
      </c>
      <c r="AI489" s="479">
        <f>IFERROR(('EE Measures'!CL$50*1000000)/(Baseline!AO$7*1000)*$T489*P178,0)</f>
        <v>1.7175685697692062</v>
      </c>
      <c r="AJ489" s="479">
        <f>IFERROR(('EE Measures'!CM$50*1000000)/(Baseline!AP$7*1000)*$T489*Q178,0)</f>
        <v>1.7442798122478504</v>
      </c>
      <c r="AK489" s="479">
        <f>IFERROR(('EE Measures'!CN$50*1000000)/(Baseline!AQ$7*1000)*$T489*R178,0)</f>
        <v>1.7712724985177777</v>
      </c>
    </row>
    <row r="490" spans="2:37" x14ac:dyDescent="0.3">
      <c r="B490" s="644" t="s">
        <v>2881</v>
      </c>
      <c r="C490" s="648" t="s">
        <v>2798</v>
      </c>
      <c r="D490" s="479">
        <f t="shared" ref="D490:M490" si="388">D480+W490</f>
        <v>77.22351864547089</v>
      </c>
      <c r="E490" s="479">
        <f t="shared" si="388"/>
        <v>79.49151864547089</v>
      </c>
      <c r="F490" s="479">
        <f t="shared" si="388"/>
        <v>81.827558645470901</v>
      </c>
      <c r="G490" s="479">
        <f t="shared" si="388"/>
        <v>84.899868918239932</v>
      </c>
      <c r="H490" s="479">
        <f t="shared" si="388"/>
        <v>93.553945983104597</v>
      </c>
      <c r="I490" s="479">
        <f t="shared" si="388"/>
        <v>96.19402674461557</v>
      </c>
      <c r="J490" s="479">
        <f t="shared" si="388"/>
        <v>98.91002990555549</v>
      </c>
      <c r="K490" s="479">
        <f t="shared" si="388"/>
        <v>101.70570125636083</v>
      </c>
      <c r="L490" s="479">
        <f t="shared" si="388"/>
        <v>104.58340433369086</v>
      </c>
      <c r="M490" s="479">
        <f t="shared" si="388"/>
        <v>107.54557350577751</v>
      </c>
      <c r="N490" s="479">
        <f t="shared" ref="N490:R490" si="389">N480+AG490</f>
        <v>110.60337596585485</v>
      </c>
      <c r="O490" s="479">
        <f t="shared" si="389"/>
        <v>113.75102641771123</v>
      </c>
      <c r="P490" s="479">
        <f t="shared" si="389"/>
        <v>116.99118881433971</v>
      </c>
      <c r="Q490" s="479">
        <f t="shared" si="389"/>
        <v>120.32660679537784</v>
      </c>
      <c r="R490" s="479">
        <f t="shared" si="389"/>
        <v>123.76010608460824</v>
      </c>
      <c r="T490" s="513">
        <v>0.2</v>
      </c>
      <c r="U490" s="492">
        <f>'EE Measures'!$BX$42</f>
        <v>11822.995715277601</v>
      </c>
      <c r="V490" s="484">
        <f>SUM('EE Measures'!$BH$42:$BQ$42)</f>
        <v>2289</v>
      </c>
      <c r="W490" s="487">
        <f>IFERROR(('EE Measures'!BZ$42*1000000)/(Baseline!AC$7*1000)*$T490*D169,0)</f>
        <v>0</v>
      </c>
      <c r="X490" s="528">
        <f>IFERROR(('EE Measures'!CA$42*1000000)/(Baseline!AD$7*1000)*$T490*E169,0)</f>
        <v>0</v>
      </c>
      <c r="Y490" s="528">
        <f>IFERROR(('EE Measures'!CB$42*1000000)/(Baseline!AE$7*1000)*$T490*F169,0)</f>
        <v>0</v>
      </c>
      <c r="Z490" s="528">
        <f>IFERROR(('EE Measures'!CC$42*1000000)/(Baseline!AF$7*1000)*$T490*G169,0)</f>
        <v>0</v>
      </c>
      <c r="AA490" s="528">
        <f>IFERROR(('EE Measures'!CD$42*1000000)/(Baseline!AG$7*1000)*$T490*H169,0)</f>
        <v>5.8071943688492702</v>
      </c>
      <c r="AB490" s="528">
        <f>IFERROR(('EE Measures'!CE$42*1000000)/(Baseline!AH$7*1000)*$T490*I169,0)</f>
        <v>5.8946211492802298</v>
      </c>
      <c r="AC490" s="528">
        <f>IFERROR(('EE Measures'!CF$42*1000000)/(Baseline!AI$7*1000)*$T490*J169,0)</f>
        <v>5.9813907097077523</v>
      </c>
      <c r="AD490" s="528">
        <f>IFERROR(('EE Measures'!CG$42*1000000)/(Baseline!AJ$7*1000)*$T490*K169,0)</f>
        <v>6.0689514519853178</v>
      </c>
      <c r="AE490" s="528">
        <f>IFERROR(('EE Measures'!CH$42*1000000)/(Baseline!AK$7*1000)*$T490*L169,0)</f>
        <v>6.1573006025317358</v>
      </c>
      <c r="AF490" s="528">
        <f>IFERROR(('EE Measures'!CI$42*1000000)/(Baseline!AL$7*1000)*$T490*M169,0)</f>
        <v>6.2464352300312482</v>
      </c>
      <c r="AG490" s="528">
        <f>IFERROR(('EE Measures'!CJ$42*1000000)/(Baseline!AM$7*1000)*$T490*N169,0)</f>
        <v>6.3450121091838581</v>
      </c>
      <c r="AH490" s="528">
        <f>IFERROR(('EE Measures'!CK$42*1000000)/(Baseline!AN$7*1000)*$T490*O169,0)</f>
        <v>6.4446602126877695</v>
      </c>
      <c r="AI490" s="528">
        <f>IFERROR(('EE Measures'!CL$42*1000000)/(Baseline!AO$7*1000)*$T490*P169,0)</f>
        <v>6.5453801905131996</v>
      </c>
      <c r="AJ490" s="528">
        <f>IFERROR(('EE Measures'!CM$42*1000000)/(Baseline!AP$7*1000)*$T490*Q169,0)</f>
        <v>6.6471724801841763</v>
      </c>
      <c r="AK490" s="528">
        <f>IFERROR(('EE Measures'!CN$42*1000000)/(Baseline!AQ$7*1000)*$T490*R169,0)</f>
        <v>6.7500373073064281</v>
      </c>
    </row>
    <row r="491" spans="2:37" x14ac:dyDescent="0.3">
      <c r="B491" s="644" t="s">
        <v>2882</v>
      </c>
      <c r="C491" s="648" t="s">
        <v>2798</v>
      </c>
      <c r="D491" s="997">
        <f t="shared" ref="D491:M491" si="390">D479+W491</f>
        <v>78.600000000000009</v>
      </c>
      <c r="E491" s="997">
        <f t="shared" si="390"/>
        <v>80.928000000000011</v>
      </c>
      <c r="F491" s="997">
        <f t="shared" si="390"/>
        <v>83.325840000000014</v>
      </c>
      <c r="G491" s="997">
        <f t="shared" si="390"/>
        <v>88.108948533333347</v>
      </c>
      <c r="H491" s="997">
        <f t="shared" si="390"/>
        <v>93.1831105416139</v>
      </c>
      <c r="I491" s="997">
        <f t="shared" si="390"/>
        <v>95.821191458052084</v>
      </c>
      <c r="J491" s="997">
        <f t="shared" si="390"/>
        <v>98.537466013122838</v>
      </c>
      <c r="K491" s="997">
        <f t="shared" si="390"/>
        <v>101.33480634801781</v>
      </c>
      <c r="L491" s="997">
        <f t="shared" si="390"/>
        <v>104.21564060239923</v>
      </c>
      <c r="M491" s="997">
        <f t="shared" si="390"/>
        <v>107.18246980201198</v>
      </c>
      <c r="N491" s="997">
        <f t="shared" ref="N491:R491" si="391">N479+AG491</f>
        <v>110.24305515342733</v>
      </c>
      <c r="O491" s="997">
        <f t="shared" si="391"/>
        <v>113.39501659993616</v>
      </c>
      <c r="P491" s="997">
        <f t="shared" si="391"/>
        <v>116.64108805444832</v>
      </c>
      <c r="Q491" s="997">
        <f t="shared" si="391"/>
        <v>119.98408539297085</v>
      </c>
      <c r="R491" s="997">
        <f t="shared" si="391"/>
        <v>123.42690891511603</v>
      </c>
      <c r="T491" s="513">
        <v>0.2</v>
      </c>
      <c r="U491" s="492">
        <f>'EE Measures'!$BX$50</f>
        <v>841.08279509333329</v>
      </c>
      <c r="V491" s="484">
        <f>SUM('EE Measures'!$BH$50:$BQ$50)</f>
        <v>1176</v>
      </c>
      <c r="W491" s="528">
        <f>IFERROR(('EE Measures'!BZ$50*1000000)/(Baseline!AC$7*1000)*$T491*D179,0)</f>
        <v>0</v>
      </c>
      <c r="X491" s="479">
        <f>IFERROR(('EE Measures'!CA$50*1000000)/(Baseline!AD$7*1000)*$T491*E179,0)</f>
        <v>0</v>
      </c>
      <c r="Y491" s="479">
        <f>IFERROR(('EE Measures'!CB$50*1000000)/(Baseline!AE$7*1000)*$T491*F179,0)</f>
        <v>0</v>
      </c>
      <c r="Z491" s="479">
        <f>IFERROR(('EE Measures'!CC$50*1000000)/(Baseline!AF$7*1000)*$T491*G179,0)</f>
        <v>0</v>
      </c>
      <c r="AA491" s="479">
        <f>IFERROR(('EE Measures'!CD$50*1000000)/(Baseline!AG$7*1000)*$T491*H179,0)</f>
        <v>1.3736268856138913</v>
      </c>
      <c r="AB491" s="479">
        <f>IFERROR(('EE Measures'!CE$50*1000000)/(Baseline!AH$7*1000)*$T491*I179,0)</f>
        <v>1.3915232923720671</v>
      </c>
      <c r="AC491" s="479">
        <f>IFERROR(('EE Measures'!CF$50*1000000)/(Baseline!AI$7*1000)*$T491*J179,0)</f>
        <v>1.4090078024724144</v>
      </c>
      <c r="AD491" s="479">
        <f>IFERROR(('EE Measures'!CG$50*1000000)/(Baseline!AJ$7*1000)*$T491*K179,0)</f>
        <v>1.4265943910478696</v>
      </c>
      <c r="AE491" s="479">
        <f>IFERROR(('EE Measures'!CH$50*1000000)/(Baseline!AK$7*1000)*$T491*L179,0)</f>
        <v>1.4442822867201903</v>
      </c>
      <c r="AF491" s="479">
        <f>IFERROR(('EE Measures'!CI$50*1000000)/(Baseline!AL$7*1000)*$T491*M179,0)</f>
        <v>1.4620707368625738</v>
      </c>
      <c r="AG491" s="479">
        <f>IFERROR(('EE Measures'!CJ$50*1000000)/(Baseline!AM$7*1000)*$T491*N179,0)</f>
        <v>1.4851441163234458</v>
      </c>
      <c r="AH491" s="479">
        <f>IFERROR(('EE Measures'!CK$50*1000000)/(Baseline!AN$7*1000)*$T491*O179,0)</f>
        <v>1.5084682317191307</v>
      </c>
      <c r="AI491" s="479">
        <f>IFERROR(('EE Measures'!CL$50*1000000)/(Baseline!AO$7*1000)*$T491*P179,0)</f>
        <v>1.5320432351847912</v>
      </c>
      <c r="AJ491" s="479">
        <f>IFERROR(('EE Measures'!CM$50*1000000)/(Baseline!AP$7*1000)*$T491*Q179,0)</f>
        <v>1.5558692291294092</v>
      </c>
      <c r="AK491" s="479">
        <f>IFERROR(('EE Measures'!CN$50*1000000)/(Baseline!AQ$7*1000)*$T491*R179,0)</f>
        <v>1.5799462663593491</v>
      </c>
    </row>
    <row r="492" spans="2:37" x14ac:dyDescent="0.3">
      <c r="B492" s="644" t="s">
        <v>2883</v>
      </c>
      <c r="C492" s="648" t="s">
        <v>2798</v>
      </c>
      <c r="D492" s="487">
        <f t="shared" ref="D492:M492" si="392">D481+W492</f>
        <v>99.16</v>
      </c>
      <c r="E492" s="487">
        <f t="shared" si="392"/>
        <v>102.10480000000001</v>
      </c>
      <c r="F492" s="487">
        <f t="shared" si="392"/>
        <v>105.137944</v>
      </c>
      <c r="G492" s="487">
        <f t="shared" si="392"/>
        <v>110.57541565333335</v>
      </c>
      <c r="H492" s="487">
        <f t="shared" si="392"/>
        <v>116.26500365431936</v>
      </c>
      <c r="I492" s="487">
        <f t="shared" si="392"/>
        <v>119.61049666117454</v>
      </c>
      <c r="J492" s="487">
        <f t="shared" si="392"/>
        <v>123.05402437277766</v>
      </c>
      <c r="K492" s="487">
        <f t="shared" si="392"/>
        <v>126.60049296988808</v>
      </c>
      <c r="L492" s="487">
        <f t="shared" si="392"/>
        <v>130.25297952696047</v>
      </c>
      <c r="M492" s="487">
        <f t="shared" si="392"/>
        <v>134.01465318719076</v>
      </c>
      <c r="N492" s="487">
        <f t="shared" ref="N492:R492" si="393">N481+AG492</f>
        <v>137.88011806359398</v>
      </c>
      <c r="O492" s="487">
        <f t="shared" si="393"/>
        <v>141.86110359505969</v>
      </c>
      <c r="P492" s="487">
        <f t="shared" si="393"/>
        <v>145.96106800081671</v>
      </c>
      <c r="Q492" s="487">
        <f t="shared" si="393"/>
        <v>150.18357319215613</v>
      </c>
      <c r="R492" s="487">
        <f t="shared" si="393"/>
        <v>154.53228788481496</v>
      </c>
      <c r="T492" s="513">
        <v>0.2</v>
      </c>
      <c r="U492" s="492">
        <f>'EE Measures'!$BX$42</f>
        <v>11822.995715277601</v>
      </c>
      <c r="V492" s="484">
        <f>SUM('EE Measures'!$BH$42:$BQ$42)</f>
        <v>2289</v>
      </c>
      <c r="W492" s="487">
        <f>IFERROR(('EE Measures'!BZ$42*1000000)/(Baseline!AC$7*1000)*$T492*D170,0)</f>
        <v>0</v>
      </c>
      <c r="X492" s="528">
        <f>IFERROR(('EE Measures'!CA$42*1000000)/(Baseline!AD$7*1000)*$T492*E170,0)</f>
        <v>0</v>
      </c>
      <c r="Y492" s="528">
        <f>IFERROR(('EE Measures'!CB$42*1000000)/(Baseline!AE$7*1000)*$T492*F170,0)</f>
        <v>0</v>
      </c>
      <c r="Z492" s="528">
        <f>IFERROR(('EE Measures'!CC$42*1000000)/(Baseline!AF$7*1000)*$T492*G170,0)</f>
        <v>0</v>
      </c>
      <c r="AA492" s="528">
        <f>IFERROR(('EE Measures'!CD$42*1000000)/(Baseline!AG$7*1000)*$T492*H170,0)</f>
        <v>1.3150588647193366</v>
      </c>
      <c r="AB492" s="528">
        <f>IFERROR(('EE Measures'!CE$42*1000000)/(Baseline!AH$7*1000)*$T492*I170,0)</f>
        <v>1.3461535278865127</v>
      </c>
      <c r="AC492" s="528">
        <f>IFERROR(('EE Measures'!CF$42*1000000)/(Baseline!AI$7*1000)*$T492*J170,0)</f>
        <v>1.3758509454909926</v>
      </c>
      <c r="AD492" s="528">
        <f>IFERROR(('EE Measures'!CG$42*1000000)/(Baseline!AJ$7*1000)*$T492*K170,0)</f>
        <v>1.4060743397828235</v>
      </c>
      <c r="AE492" s="528">
        <f>IFERROR(('EE Measures'!CH$42*1000000)/(Baseline!AK$7*1000)*$T492*L170,0)</f>
        <v>1.4368283379520383</v>
      </c>
      <c r="AF492" s="528">
        <f>IFERROR(('EE Measures'!CI$42*1000000)/(Baseline!AL$7*1000)*$T492*M170,0)</f>
        <v>1.4681174625120874</v>
      </c>
      <c r="AG492" s="528">
        <f>IFERROR(('EE Measures'!CJ$42*1000000)/(Baseline!AM$7*1000)*$T492*N170,0)</f>
        <v>1.4912862671749616</v>
      </c>
      <c r="AH492" s="528">
        <f>IFERROR(('EE Measures'!CK$42*1000000)/(Baseline!AN$7*1000)*$T492*O170,0)</f>
        <v>1.5147068447480638</v>
      </c>
      <c r="AI492" s="528">
        <f>IFERROR(('EE Measures'!CL$42*1000000)/(Baseline!AO$7*1000)*$T492*P170,0)</f>
        <v>1.5383793479957448</v>
      </c>
      <c r="AJ492" s="528">
        <f>IFERROR(('EE Measures'!CM$42*1000000)/(Baseline!AP$7*1000)*$T492*Q170,0)</f>
        <v>1.5623038797505233</v>
      </c>
      <c r="AK492" s="528">
        <f>IFERROR(('EE Measures'!CN$42*1000000)/(Baseline!AQ$7*1000)*$T492*R170,0)</f>
        <v>1.5864804930371561</v>
      </c>
    </row>
    <row r="494" spans="2:37" x14ac:dyDescent="0.3">
      <c r="B494" s="556" t="s">
        <v>2884</v>
      </c>
      <c r="C494" s="556" t="s">
        <v>59</v>
      </c>
      <c r="D494" s="556">
        <v>2021</v>
      </c>
      <c r="E494" s="556">
        <v>2022</v>
      </c>
      <c r="F494" s="556">
        <v>2023</v>
      </c>
      <c r="G494" s="556">
        <v>2024</v>
      </c>
      <c r="H494" s="556">
        <v>2025</v>
      </c>
      <c r="I494" s="556">
        <v>2026</v>
      </c>
      <c r="J494" s="556">
        <v>2027</v>
      </c>
      <c r="K494" s="556">
        <v>2028</v>
      </c>
      <c r="L494" s="556">
        <v>2029</v>
      </c>
      <c r="M494" s="556">
        <v>2030</v>
      </c>
      <c r="N494" s="556">
        <v>2031</v>
      </c>
      <c r="O494" s="556">
        <v>2032</v>
      </c>
      <c r="P494" s="556">
        <v>2033</v>
      </c>
      <c r="Q494" s="556">
        <v>2034</v>
      </c>
      <c r="R494" s="556">
        <v>2035</v>
      </c>
    </row>
    <row r="495" spans="2:37" x14ac:dyDescent="0.3">
      <c r="B495" s="648" t="s">
        <v>50</v>
      </c>
      <c r="C495" s="648" t="s">
        <v>2885</v>
      </c>
      <c r="D495" s="864">
        <f t="shared" ref="D495:R495" si="394">((D474*D156)+(D484*D157)+(D158*D476)+(D484*D159)+(D160*D478)+(D482*D161))/1000</f>
        <v>6.7389898201038217E-2</v>
      </c>
      <c r="E495" s="864">
        <f t="shared" si="394"/>
        <v>6.9556290014319955E-2</v>
      </c>
      <c r="F495" s="864">
        <f t="shared" si="394"/>
        <v>7.1463195260783222E-2</v>
      </c>
      <c r="G495" s="864">
        <f t="shared" si="394"/>
        <v>7.6065987556788103E-2</v>
      </c>
      <c r="H495" s="864">
        <f t="shared" si="394"/>
        <v>7.9430988697640759E-2</v>
      </c>
      <c r="I495" s="864">
        <f t="shared" si="394"/>
        <v>8.1494433385735324E-2</v>
      </c>
      <c r="J495" s="864">
        <f t="shared" si="394"/>
        <v>8.3707233756162736E-2</v>
      </c>
      <c r="K495" s="864">
        <f t="shared" si="394"/>
        <v>8.5961518651248417E-2</v>
      </c>
      <c r="L495" s="864">
        <f t="shared" si="394"/>
        <v>8.8317960893198141E-2</v>
      </c>
      <c r="M495" s="864">
        <f t="shared" si="394"/>
        <v>9.0620421019187228E-2</v>
      </c>
      <c r="N495" s="864">
        <f t="shared" si="394"/>
        <v>9.3034029444199862E-2</v>
      </c>
      <c r="O495" s="864">
        <f t="shared" si="394"/>
        <v>9.5520046121962868E-2</v>
      </c>
      <c r="P495" s="864">
        <f t="shared" si="394"/>
        <v>9.8080643300058765E-2</v>
      </c>
      <c r="Q495" s="864">
        <f t="shared" si="394"/>
        <v>0.10071805839349753</v>
      </c>
      <c r="R495" s="864">
        <f t="shared" si="394"/>
        <v>0.10343459593973947</v>
      </c>
    </row>
    <row r="496" spans="2:37" x14ac:dyDescent="0.3">
      <c r="B496" s="648" t="s">
        <v>51</v>
      </c>
      <c r="C496" s="648" t="s">
        <v>2885</v>
      </c>
      <c r="D496" s="981">
        <f t="shared" ref="D496:R496" si="395">SUMPRODUCT(D$480:D$481,D$169:D$170)/1000</f>
        <v>8.1163425590982261E-2</v>
      </c>
      <c r="E496" s="981">
        <f t="shared" si="395"/>
        <v>8.3581257957528451E-2</v>
      </c>
      <c r="F496" s="981">
        <f t="shared" si="395"/>
        <v>8.6072657186558404E-2</v>
      </c>
      <c r="G496" s="981">
        <f t="shared" si="395"/>
        <v>8.9608089894846421E-2</v>
      </c>
      <c r="H496" s="981">
        <f t="shared" si="395"/>
        <v>9.2769572224634708E-2</v>
      </c>
      <c r="I496" s="981">
        <f t="shared" si="395"/>
        <v>9.5498448653884335E-2</v>
      </c>
      <c r="J496" s="981">
        <f t="shared" si="395"/>
        <v>9.8304984803144799E-2</v>
      </c>
      <c r="K496" s="981">
        <f t="shared" si="395"/>
        <v>0.10119663425660383</v>
      </c>
      <c r="L496" s="981">
        <f t="shared" si="395"/>
        <v>0.1041759773139434</v>
      </c>
      <c r="M496" s="981">
        <f t="shared" si="395"/>
        <v>0.1072456722720951</v>
      </c>
      <c r="N496" s="981">
        <f t="shared" si="395"/>
        <v>0.11037295052695498</v>
      </c>
      <c r="O496" s="981">
        <f t="shared" si="395"/>
        <v>0.11359404712946065</v>
      </c>
      <c r="P496" s="981">
        <f t="shared" si="395"/>
        <v>0.11691177663004151</v>
      </c>
      <c r="Q496" s="981">
        <f t="shared" si="395"/>
        <v>0.12032903801563979</v>
      </c>
      <c r="R496" s="981">
        <f t="shared" si="395"/>
        <v>0.12384881724280604</v>
      </c>
    </row>
    <row r="497" spans="2:18" x14ac:dyDescent="0.3">
      <c r="B497" s="648" t="s">
        <v>52</v>
      </c>
      <c r="C497" s="648" t="s">
        <v>2885</v>
      </c>
      <c r="D497" s="864">
        <f t="shared" ref="D497:R497" si="396">SUMPRODUCT(D$474:D$479,D$174:D$179)/1000</f>
        <v>7.1424514479226556E-2</v>
      </c>
      <c r="E497" s="864">
        <f t="shared" si="396"/>
        <v>7.3503007915713098E-2</v>
      </c>
      <c r="F497" s="864">
        <f t="shared" si="396"/>
        <v>7.5643059752347169E-2</v>
      </c>
      <c r="G497" s="864">
        <f t="shared" si="396"/>
        <v>7.9305751820051534E-2</v>
      </c>
      <c r="H497" s="864">
        <f t="shared" si="396"/>
        <v>8.2318336869007913E-2</v>
      </c>
      <c r="I497" s="864">
        <f t="shared" si="396"/>
        <v>8.4650119835966681E-2</v>
      </c>
      <c r="J497" s="864">
        <f t="shared" si="396"/>
        <v>8.7052020124767635E-2</v>
      </c>
      <c r="K497" s="864">
        <f t="shared" si="396"/>
        <v>8.9525239295903974E-2</v>
      </c>
      <c r="L497" s="864">
        <f t="shared" si="396"/>
        <v>9.2071901084479782E-2</v>
      </c>
      <c r="M497" s="864">
        <f t="shared" si="396"/>
        <v>9.4694192828018123E-2</v>
      </c>
      <c r="N497" s="864">
        <f t="shared" si="396"/>
        <v>9.7429645832615583E-2</v>
      </c>
      <c r="O497" s="864">
        <f t="shared" si="396"/>
        <v>0.10024716242735097</v>
      </c>
      <c r="P497" s="864">
        <f t="shared" si="396"/>
        <v>0.10314920451992841</v>
      </c>
      <c r="Q497" s="864">
        <f t="shared" si="396"/>
        <v>0.10613830787528319</v>
      </c>
      <c r="R497" s="864">
        <f t="shared" si="396"/>
        <v>0.10921708433129859</v>
      </c>
    </row>
    <row r="498" spans="2:18" x14ac:dyDescent="0.3">
      <c r="B498" s="648" t="s">
        <v>53</v>
      </c>
      <c r="C498" s="648" t="s">
        <v>2885</v>
      </c>
      <c r="D498" s="981">
        <f t="shared" ref="D498:R498" si="397">SUMPRODUCT(D$474:D$479,D$183:D$188)/1000</f>
        <v>8.9707015935551568E-2</v>
      </c>
      <c r="E498" s="981">
        <f t="shared" si="397"/>
        <v>9.1252426964933214E-2</v>
      </c>
      <c r="F498" s="981">
        <f t="shared" si="397"/>
        <v>9.2854163054781294E-2</v>
      </c>
      <c r="G498" s="981">
        <f t="shared" si="397"/>
        <v>9.9696736781283976E-2</v>
      </c>
      <c r="H498" s="981">
        <f t="shared" si="397"/>
        <v>0.10398928070496315</v>
      </c>
      <c r="I498" s="981">
        <f t="shared" si="397"/>
        <v>0.10575078937998876</v>
      </c>
      <c r="J498" s="981">
        <f t="shared" si="397"/>
        <v>0.10757415269801746</v>
      </c>
      <c r="K498" s="981">
        <f t="shared" si="397"/>
        <v>0.10946058217409922</v>
      </c>
      <c r="L498" s="981">
        <f t="shared" si="397"/>
        <v>0.11141133574026883</v>
      </c>
      <c r="M498" s="981">
        <f t="shared" si="397"/>
        <v>0.11342771852610108</v>
      </c>
      <c r="N498" s="981">
        <f t="shared" si="397"/>
        <v>0.1155496023763098</v>
      </c>
      <c r="O498" s="981">
        <f t="shared" si="397"/>
        <v>0.11773514274202485</v>
      </c>
      <c r="P498" s="981">
        <f t="shared" si="397"/>
        <v>0.1199862493187113</v>
      </c>
      <c r="Q498" s="981">
        <f t="shared" si="397"/>
        <v>0.12230488909269839</v>
      </c>
      <c r="R498" s="981">
        <f t="shared" si="397"/>
        <v>0.12469308805990505</v>
      </c>
    </row>
    <row r="499" spans="2:18" x14ac:dyDescent="0.3">
      <c r="B499" s="648" t="s">
        <v>54</v>
      </c>
      <c r="C499" s="648" t="s">
        <v>2885</v>
      </c>
      <c r="D499" s="864">
        <f>SUMPRODUCT(D$474:D$479,$G$135:$G$140)/1000</f>
        <v>8.7553999060595869E-2</v>
      </c>
      <c r="E499" s="864">
        <f t="shared" ref="E499:M499" si="398">SUMPRODUCT(E$474:E$479,_xlfn.ANCHORARRAY(E192))/1000</f>
        <v>8.9277089846378027E-2</v>
      </c>
      <c r="F499" s="864">
        <f t="shared" si="398"/>
        <v>9.1051873355733698E-2</v>
      </c>
      <c r="G499" s="864">
        <f t="shared" si="398"/>
        <v>9.7626092229082334E-2</v>
      </c>
      <c r="H499" s="864">
        <f t="shared" si="398"/>
        <v>0.10188275232011441</v>
      </c>
      <c r="I499" s="864">
        <f t="shared" si="398"/>
        <v>0.1038221061799421</v>
      </c>
      <c r="J499" s="864">
        <f t="shared" si="398"/>
        <v>0.1058196406555646</v>
      </c>
      <c r="K499" s="864">
        <f t="shared" si="398"/>
        <v>0.10787710116545576</v>
      </c>
      <c r="L499" s="864">
        <f t="shared" si="398"/>
        <v>0.10999628549064368</v>
      </c>
      <c r="M499" s="864">
        <f t="shared" si="398"/>
        <v>0.11217904534558723</v>
      </c>
      <c r="N499" s="864">
        <f>SUMPRODUCT(N$474:N$479,N192:N197)/1000</f>
        <v>0.1144272879961791</v>
      </c>
      <c r="O499" s="864">
        <f>SUMPRODUCT(O$474:O$479,O192:O197)/1000</f>
        <v>0.1167429779262887</v>
      </c>
      <c r="P499" s="864">
        <f>SUMPRODUCT(P$474:P$479,P192:P197)/1000</f>
        <v>0.1191281385543016</v>
      </c>
      <c r="Q499" s="864">
        <f>SUMPRODUCT(Q$474:Q$479,Q192:Q197)/1000</f>
        <v>0.1215848540011549</v>
      </c>
      <c r="R499" s="864">
        <f>SUMPRODUCT(R$474:R$479,R192:R197)/1000</f>
        <v>0.12411527091141379</v>
      </c>
    </row>
    <row r="500" spans="2:18" x14ac:dyDescent="0.3">
      <c r="B500" s="648" t="s">
        <v>470</v>
      </c>
      <c r="C500" s="648" t="s">
        <v>2885</v>
      </c>
      <c r="D500" s="981">
        <f t="shared" ref="D500:R500" si="399">SUMPRODUCT(D$474:D$479,D$201:D$206)/1000</f>
        <v>7.6008047408630749E-2</v>
      </c>
      <c r="E500" s="981">
        <f t="shared" si="399"/>
        <v>7.7759542250756847E-2</v>
      </c>
      <c r="F500" s="981">
        <f t="shared" si="399"/>
        <v>7.967954111631656E-2</v>
      </c>
      <c r="G500" s="981">
        <f t="shared" si="399"/>
        <v>8.4414733957819676E-2</v>
      </c>
      <c r="H500" s="981">
        <f t="shared" si="399"/>
        <v>8.7846411272867839E-2</v>
      </c>
      <c r="I500" s="981">
        <f t="shared" si="399"/>
        <v>8.994761636227562E-2</v>
      </c>
      <c r="J500" s="981">
        <f t="shared" si="399"/>
        <v>9.2110049275479569E-2</v>
      </c>
      <c r="K500" s="981">
        <f t="shared" si="399"/>
        <v>9.4338504229506431E-2</v>
      </c>
      <c r="L500" s="981">
        <f t="shared" si="399"/>
        <v>9.6634816640862639E-2</v>
      </c>
      <c r="M500" s="981">
        <f t="shared" si="399"/>
        <v>9.9000878545348905E-2</v>
      </c>
      <c r="N500" s="981">
        <f t="shared" si="399"/>
        <v>0.10142659714009258</v>
      </c>
      <c r="O500" s="981">
        <f t="shared" si="399"/>
        <v>0.10392508729267856</v>
      </c>
      <c r="P500" s="981">
        <f t="shared" si="399"/>
        <v>0.10649853214984212</v>
      </c>
      <c r="Q500" s="981">
        <f t="shared" si="399"/>
        <v>0.10914918035272059</v>
      </c>
      <c r="R500" s="981">
        <f t="shared" si="399"/>
        <v>0.11187934800168542</v>
      </c>
    </row>
    <row r="501" spans="2:18" x14ac:dyDescent="0.3">
      <c r="B501" s="556" t="s">
        <v>2886</v>
      </c>
      <c r="C501" s="556" t="s">
        <v>59</v>
      </c>
      <c r="D501" s="556">
        <v>2021</v>
      </c>
      <c r="E501" s="556">
        <v>2022</v>
      </c>
      <c r="F501" s="556">
        <v>2023</v>
      </c>
      <c r="G501" s="556">
        <v>2024</v>
      </c>
      <c r="H501" s="556">
        <v>2025</v>
      </c>
      <c r="I501" s="556">
        <v>2026</v>
      </c>
      <c r="J501" s="556">
        <v>2027</v>
      </c>
      <c r="K501" s="556">
        <v>2028</v>
      </c>
      <c r="L501" s="556">
        <v>2029</v>
      </c>
      <c r="M501" s="556">
        <v>2030</v>
      </c>
      <c r="N501" s="556">
        <v>2031</v>
      </c>
      <c r="O501" s="556">
        <v>2032</v>
      </c>
      <c r="P501" s="556">
        <v>2033</v>
      </c>
      <c r="Q501" s="556">
        <v>2034</v>
      </c>
      <c r="R501" s="556">
        <v>2035</v>
      </c>
    </row>
    <row r="502" spans="2:18" x14ac:dyDescent="0.3">
      <c r="B502" s="648" t="s">
        <v>50</v>
      </c>
      <c r="C502" s="648" t="s">
        <v>2885</v>
      </c>
      <c r="D502" s="1146">
        <f>D495</f>
        <v>6.7389898201038217E-2</v>
      </c>
      <c r="E502" s="1146">
        <f t="shared" ref="E502:M502" si="400">E495</f>
        <v>6.9556290014319955E-2</v>
      </c>
      <c r="F502" s="1146">
        <f t="shared" si="400"/>
        <v>7.1463195260783222E-2</v>
      </c>
      <c r="G502" s="1146">
        <f t="shared" si="400"/>
        <v>7.6065987556788103E-2</v>
      </c>
      <c r="H502" s="1146">
        <f t="shared" si="400"/>
        <v>7.9430988697640759E-2</v>
      </c>
      <c r="I502" s="1146">
        <f t="shared" si="400"/>
        <v>8.1494433385735324E-2</v>
      </c>
      <c r="J502" s="1146">
        <f t="shared" si="400"/>
        <v>8.3707233756162736E-2</v>
      </c>
      <c r="K502" s="1146">
        <f t="shared" si="400"/>
        <v>8.5961518651248417E-2</v>
      </c>
      <c r="L502" s="1146">
        <f t="shared" si="400"/>
        <v>8.8317960893198141E-2</v>
      </c>
      <c r="M502" s="1146">
        <f t="shared" si="400"/>
        <v>9.0620421019187228E-2</v>
      </c>
      <c r="N502" s="1146">
        <f t="shared" ref="N502:R502" si="401">N495</f>
        <v>9.3034029444199862E-2</v>
      </c>
      <c r="O502" s="1146">
        <f t="shared" si="401"/>
        <v>9.5520046121962868E-2</v>
      </c>
      <c r="P502" s="1146">
        <f t="shared" si="401"/>
        <v>9.8080643300058765E-2</v>
      </c>
      <c r="Q502" s="1146">
        <f t="shared" si="401"/>
        <v>0.10071805839349753</v>
      </c>
      <c r="R502" s="1146">
        <f t="shared" si="401"/>
        <v>0.10343459593973947</v>
      </c>
    </row>
    <row r="503" spans="2:18" x14ac:dyDescent="0.3">
      <c r="B503" s="648" t="s">
        <v>51</v>
      </c>
      <c r="C503" s="648" t="s">
        <v>2885</v>
      </c>
      <c r="D503" s="1146">
        <f t="shared" ref="D503:G504" si="402">D496</f>
        <v>8.1163425590982261E-2</v>
      </c>
      <c r="E503" s="1146">
        <f t="shared" si="402"/>
        <v>8.3581257957528451E-2</v>
      </c>
      <c r="F503" s="1146">
        <f t="shared" si="402"/>
        <v>8.6072657186558404E-2</v>
      </c>
      <c r="G503" s="1146">
        <f t="shared" si="402"/>
        <v>8.9608089894846421E-2</v>
      </c>
      <c r="H503" s="1147">
        <f t="shared" ref="H503:R503" si="403">((H490*H169)+(H492*H170))/1000</f>
        <v>9.7747334892237567E-2</v>
      </c>
      <c r="I503" s="1147">
        <f t="shared" si="403"/>
        <v>0.10054745092838795</v>
      </c>
      <c r="J503" s="1147">
        <f t="shared" si="403"/>
        <v>0.10342511030830184</v>
      </c>
      <c r="K503" s="1147">
        <f t="shared" si="403"/>
        <v>0.10638848480757972</v>
      </c>
      <c r="L503" s="1147">
        <f t="shared" si="403"/>
        <v>0.10944015266518954</v>
      </c>
      <c r="M503" s="1147">
        <f t="shared" si="403"/>
        <v>0.11258277004141948</v>
      </c>
      <c r="N503" s="1147">
        <f t="shared" si="403"/>
        <v>0.11579427464658279</v>
      </c>
      <c r="O503" s="1147">
        <f t="shared" si="403"/>
        <v>0.11910051287808852</v>
      </c>
      <c r="P503" s="1147">
        <f t="shared" si="403"/>
        <v>0.12250429984171551</v>
      </c>
      <c r="Q503" s="1147">
        <f t="shared" si="403"/>
        <v>0.12600853489823663</v>
      </c>
      <c r="R503" s="1147">
        <f t="shared" si="403"/>
        <v>0.12961620419696504</v>
      </c>
    </row>
    <row r="504" spans="2:18" x14ac:dyDescent="0.3">
      <c r="B504" s="648" t="s">
        <v>52</v>
      </c>
      <c r="C504" s="648" t="s">
        <v>2885</v>
      </c>
      <c r="D504" s="1146">
        <f t="shared" si="402"/>
        <v>7.1424514479226556E-2</v>
      </c>
      <c r="E504" s="1146">
        <f t="shared" si="402"/>
        <v>7.3503007915713098E-2</v>
      </c>
      <c r="F504" s="1146">
        <f t="shared" si="402"/>
        <v>7.5643059752347169E-2</v>
      </c>
      <c r="G504" s="1146">
        <f t="shared" si="402"/>
        <v>7.9305751820051534E-2</v>
      </c>
      <c r="H504" s="864">
        <f t="shared" ref="H504:R504" si="404">((H489*H178)+(H179*H491))/1000</f>
        <v>8.3752226955384548E-2</v>
      </c>
      <c r="I504" s="864">
        <f t="shared" si="404"/>
        <v>8.610828974227866E-2</v>
      </c>
      <c r="J504" s="864">
        <f t="shared" si="404"/>
        <v>8.8534090478674568E-2</v>
      </c>
      <c r="K504" s="864">
        <f t="shared" si="404"/>
        <v>9.1031522012176139E-2</v>
      </c>
      <c r="L504" s="864">
        <f t="shared" si="404"/>
        <v>9.3602709990052615E-2</v>
      </c>
      <c r="M504" s="864">
        <f t="shared" si="404"/>
        <v>9.6249843596439663E-2</v>
      </c>
      <c r="N504" s="864">
        <f t="shared" si="404"/>
        <v>9.90098467952127E-2</v>
      </c>
      <c r="O504" s="864">
        <f t="shared" si="404"/>
        <v>0.10185218036844525</v>
      </c>
      <c r="P504" s="864">
        <f t="shared" si="404"/>
        <v>0.10477930638571405</v>
      </c>
      <c r="Q504" s="864">
        <f t="shared" si="404"/>
        <v>0.10779376072091806</v>
      </c>
      <c r="R504" s="864">
        <f t="shared" si="404"/>
        <v>0.1108981552681268</v>
      </c>
    </row>
    <row r="505" spans="2:18" x14ac:dyDescent="0.3">
      <c r="B505" s="648" t="s">
        <v>53</v>
      </c>
      <c r="C505" s="648" t="s">
        <v>2885</v>
      </c>
      <c r="D505" s="981">
        <f>D498</f>
        <v>8.9707015935551568E-2</v>
      </c>
      <c r="E505" s="1146">
        <f t="shared" ref="E505:G505" si="405">E498</f>
        <v>9.1252426964933214E-2</v>
      </c>
      <c r="F505" s="1146">
        <f t="shared" si="405"/>
        <v>9.2854163054781294E-2</v>
      </c>
      <c r="G505" s="1146">
        <f t="shared" si="405"/>
        <v>9.9696736781283976E-2</v>
      </c>
      <c r="H505" s="981">
        <f t="shared" ref="H505:M505" si="406">H498</f>
        <v>0.10398928070496315</v>
      </c>
      <c r="I505" s="981">
        <f t="shared" si="406"/>
        <v>0.10575078937998876</v>
      </c>
      <c r="J505" s="981">
        <f t="shared" si="406"/>
        <v>0.10757415269801746</v>
      </c>
      <c r="K505" s="981">
        <f t="shared" si="406"/>
        <v>0.10946058217409922</v>
      </c>
      <c r="L505" s="981">
        <f t="shared" si="406"/>
        <v>0.11141133574026883</v>
      </c>
      <c r="M505" s="981">
        <f t="shared" si="406"/>
        <v>0.11342771852610108</v>
      </c>
      <c r="N505" s="981">
        <f t="shared" ref="N505:R505" si="407">N498</f>
        <v>0.1155496023763098</v>
      </c>
      <c r="O505" s="981">
        <f t="shared" si="407"/>
        <v>0.11773514274202485</v>
      </c>
      <c r="P505" s="981">
        <f t="shared" si="407"/>
        <v>0.1199862493187113</v>
      </c>
      <c r="Q505" s="981">
        <f t="shared" si="407"/>
        <v>0.12230488909269839</v>
      </c>
      <c r="R505" s="981">
        <f t="shared" si="407"/>
        <v>0.12469308805990505</v>
      </c>
    </row>
    <row r="506" spans="2:18" x14ac:dyDescent="0.3">
      <c r="B506" s="648" t="s">
        <v>54</v>
      </c>
      <c r="C506" s="648" t="s">
        <v>2885</v>
      </c>
      <c r="D506" s="981">
        <f t="shared" ref="D506:M507" si="408">D499</f>
        <v>8.7553999060595869E-2</v>
      </c>
      <c r="E506" s="1146">
        <f t="shared" si="408"/>
        <v>8.9277089846378027E-2</v>
      </c>
      <c r="F506" s="1146">
        <f t="shared" si="408"/>
        <v>9.1051873355733698E-2</v>
      </c>
      <c r="G506" s="1146">
        <f t="shared" si="408"/>
        <v>9.7626092229082334E-2</v>
      </c>
      <c r="H506" s="981">
        <f t="shared" si="408"/>
        <v>0.10188275232011441</v>
      </c>
      <c r="I506" s="981">
        <f t="shared" si="408"/>
        <v>0.1038221061799421</v>
      </c>
      <c r="J506" s="981">
        <f t="shared" si="408"/>
        <v>0.1058196406555646</v>
      </c>
      <c r="K506" s="981">
        <f t="shared" si="408"/>
        <v>0.10787710116545576</v>
      </c>
      <c r="L506" s="981">
        <f t="shared" si="408"/>
        <v>0.10999628549064368</v>
      </c>
      <c r="M506" s="981">
        <f t="shared" si="408"/>
        <v>0.11217904534558723</v>
      </c>
      <c r="N506" s="981">
        <f t="shared" ref="N506:R506" si="409">N499</f>
        <v>0.1144272879961791</v>
      </c>
      <c r="O506" s="981">
        <f t="shared" si="409"/>
        <v>0.1167429779262887</v>
      </c>
      <c r="P506" s="981">
        <f t="shared" si="409"/>
        <v>0.1191281385543016</v>
      </c>
      <c r="Q506" s="981">
        <f t="shared" si="409"/>
        <v>0.1215848540011549</v>
      </c>
      <c r="R506" s="981">
        <f t="shared" si="409"/>
        <v>0.12411527091141379</v>
      </c>
    </row>
    <row r="507" spans="2:18" x14ac:dyDescent="0.3">
      <c r="B507" s="648" t="s">
        <v>470</v>
      </c>
      <c r="C507" s="648" t="s">
        <v>2885</v>
      </c>
      <c r="D507" s="981">
        <f t="shared" si="408"/>
        <v>7.6008047408630749E-2</v>
      </c>
      <c r="E507" s="1146">
        <f t="shared" si="408"/>
        <v>7.7759542250756847E-2</v>
      </c>
      <c r="F507" s="1146">
        <f t="shared" si="408"/>
        <v>7.967954111631656E-2</v>
      </c>
      <c r="G507" s="1146">
        <f t="shared" si="408"/>
        <v>8.4414733957819676E-2</v>
      </c>
      <c r="H507" s="1152">
        <f t="shared" ref="H507:R507" si="410">(SUMPRODUCT(H$474:H$477,H$201:H$204)+(((H489*(1-$D$145))+($D$145*H490))*H205)+(H206*((H491*(1-$D$146)+(H492*$D$146)))))/1000</f>
        <v>9.5074475453537532E-2</v>
      </c>
      <c r="I507" s="1152">
        <f t="shared" si="410"/>
        <v>9.7347035470545365E-2</v>
      </c>
      <c r="J507" s="1152">
        <f t="shared" si="410"/>
        <v>9.9685811323537835E-2</v>
      </c>
      <c r="K507" s="1152">
        <f t="shared" si="410"/>
        <v>0.10209478641621292</v>
      </c>
      <c r="L507" s="1152">
        <f t="shared" si="410"/>
        <v>0.10457590528363944</v>
      </c>
      <c r="M507" s="1152">
        <f t="shared" si="410"/>
        <v>0.10713117222574729</v>
      </c>
      <c r="N507" s="1152">
        <f t="shared" si="410"/>
        <v>0.10977023535877041</v>
      </c>
      <c r="O507" s="1152">
        <f t="shared" si="410"/>
        <v>0.1124878213292082</v>
      </c>
      <c r="P507" s="1152">
        <f t="shared" si="410"/>
        <v>0.11528627498665812</v>
      </c>
      <c r="Q507" s="1152">
        <f t="shared" si="410"/>
        <v>0.11816801144638643</v>
      </c>
      <c r="R507" s="1152">
        <f t="shared" si="410"/>
        <v>0.1211355181996729</v>
      </c>
    </row>
    <row r="508" spans="2:18" x14ac:dyDescent="0.3">
      <c r="B508" s="556" t="s">
        <v>2887</v>
      </c>
      <c r="C508" s="556" t="s">
        <v>59</v>
      </c>
      <c r="D508" s="556">
        <v>2021</v>
      </c>
      <c r="E508" s="556">
        <v>2022</v>
      </c>
      <c r="F508" s="556">
        <v>2023</v>
      </c>
      <c r="G508" s="556">
        <v>2024</v>
      </c>
      <c r="H508" s="556">
        <v>2025</v>
      </c>
      <c r="I508" s="556">
        <v>2026</v>
      </c>
      <c r="J508" s="556">
        <v>2027</v>
      </c>
      <c r="K508" s="556">
        <v>2028</v>
      </c>
      <c r="L508" s="556">
        <v>2029</v>
      </c>
      <c r="M508" s="556">
        <v>2030</v>
      </c>
      <c r="N508" s="556">
        <v>2031</v>
      </c>
      <c r="O508" s="556">
        <v>2032</v>
      </c>
      <c r="P508" s="556">
        <v>2033</v>
      </c>
      <c r="Q508" s="556">
        <v>2034</v>
      </c>
      <c r="R508" s="556">
        <v>2035</v>
      </c>
    </row>
    <row r="509" spans="2:18" x14ac:dyDescent="0.3">
      <c r="B509" s="648" t="s">
        <v>50</v>
      </c>
      <c r="C509" s="648" t="s">
        <v>2885</v>
      </c>
      <c r="D509" s="982">
        <f t="shared" ref="D509:R509" si="411">((D281*D$156)+(D297*D$157)+(D$159*D285)+(D288*D$161))/1000</f>
        <v>4.8840077443435669E-3</v>
      </c>
      <c r="E509" s="982">
        <f t="shared" si="411"/>
        <v>5.1102200961255437E-3</v>
      </c>
      <c r="F509" s="982">
        <f t="shared" si="411"/>
        <v>5.1922117739409378E-3</v>
      </c>
      <c r="G509" s="982">
        <f t="shared" si="411"/>
        <v>6.9614476817380791E-3</v>
      </c>
      <c r="H509" s="982">
        <f t="shared" si="411"/>
        <v>7.8426980707151477E-3</v>
      </c>
      <c r="I509" s="982">
        <f t="shared" si="411"/>
        <v>7.8362611449325718E-3</v>
      </c>
      <c r="J509" s="982">
        <f t="shared" si="411"/>
        <v>7.8326990521781908E-3</v>
      </c>
      <c r="K509" s="982">
        <f t="shared" si="411"/>
        <v>7.8290685302930731E-3</v>
      </c>
      <c r="L509" s="982">
        <f t="shared" si="411"/>
        <v>7.8270277190444111E-3</v>
      </c>
      <c r="M509" s="982">
        <f t="shared" si="411"/>
        <v>7.8137644547966803E-3</v>
      </c>
      <c r="N509" s="982">
        <f t="shared" si="411"/>
        <v>7.8137644547966803E-3</v>
      </c>
      <c r="O509" s="982">
        <f t="shared" si="411"/>
        <v>7.8137644547966803E-3</v>
      </c>
      <c r="P509" s="982">
        <f t="shared" si="411"/>
        <v>7.8137644547966803E-3</v>
      </c>
      <c r="Q509" s="982">
        <f t="shared" si="411"/>
        <v>7.8137644547966803E-3</v>
      </c>
      <c r="R509" s="982">
        <f t="shared" si="411"/>
        <v>7.8137644547966803E-3</v>
      </c>
    </row>
    <row r="510" spans="2:18" x14ac:dyDescent="0.3">
      <c r="B510" s="648" t="s">
        <v>51</v>
      </c>
      <c r="C510" s="648" t="s">
        <v>2885</v>
      </c>
      <c r="D510" s="983">
        <f t="shared" ref="D510:R510" si="412">SUMPRODUCT(D289:D290,D$169:D$170)/1000</f>
        <v>1.4786847124339477E-2</v>
      </c>
      <c r="E510" s="983">
        <f t="shared" si="412"/>
        <v>1.5189169481420522E-2</v>
      </c>
      <c r="F510" s="983">
        <f t="shared" si="412"/>
        <v>1.5603749931878394E-2</v>
      </c>
      <c r="G510" s="983">
        <f t="shared" si="412"/>
        <v>1.6999193127021528E-2</v>
      </c>
      <c r="H510" s="983">
        <f t="shared" si="412"/>
        <v>1.7955597089412648E-2</v>
      </c>
      <c r="I510" s="983">
        <f t="shared" si="412"/>
        <v>1.8412330348771259E-2</v>
      </c>
      <c r="J510" s="983">
        <f t="shared" si="412"/>
        <v>1.8881737207806334E-2</v>
      </c>
      <c r="K510" s="983">
        <f t="shared" si="412"/>
        <v>1.9365334368000541E-2</v>
      </c>
      <c r="L510" s="983">
        <f t="shared" si="412"/>
        <v>1.9863551647000665E-2</v>
      </c>
      <c r="M510" s="983">
        <f t="shared" si="412"/>
        <v>2.0376831859320585E-2</v>
      </c>
      <c r="N510" s="983">
        <f t="shared" si="412"/>
        <v>2.0898044901797235E-2</v>
      </c>
      <c r="O510" s="983">
        <f t="shared" si="412"/>
        <v>2.1434894335548179E-2</v>
      </c>
      <c r="P510" s="983">
        <f t="shared" si="412"/>
        <v>2.1987849252311654E-2</v>
      </c>
      <c r="Q510" s="983">
        <f t="shared" si="412"/>
        <v>2.2557392816578037E-2</v>
      </c>
      <c r="R510" s="983">
        <f t="shared" si="412"/>
        <v>2.3144022687772405E-2</v>
      </c>
    </row>
    <row r="511" spans="2:18" x14ac:dyDescent="0.3">
      <c r="B511" s="648" t="s">
        <v>52</v>
      </c>
      <c r="C511" s="648" t="s">
        <v>2885</v>
      </c>
      <c r="D511" s="650">
        <f t="shared" ref="D511:R511" si="413">SUMPRODUCT(D$281:D$286,D$174:D$179)/1000</f>
        <v>1.3201126878088503E-3</v>
      </c>
      <c r="E511" s="650">
        <f t="shared" si="413"/>
        <v>1.3211784658191644E-3</v>
      </c>
      <c r="F511" s="650">
        <f t="shared" si="413"/>
        <v>1.3222439627124957E-3</v>
      </c>
      <c r="G511" s="650">
        <f t="shared" si="413"/>
        <v>2.782559686154199E-3</v>
      </c>
      <c r="H511" s="650">
        <f t="shared" si="413"/>
        <v>3.5274921788384611E-3</v>
      </c>
      <c r="I511" s="650">
        <f t="shared" si="413"/>
        <v>3.5244036320487815E-3</v>
      </c>
      <c r="J511" s="650">
        <f t="shared" si="413"/>
        <v>3.5214032748647284E-3</v>
      </c>
      <c r="K511" s="650">
        <f t="shared" si="413"/>
        <v>3.5184063992741402E-3</v>
      </c>
      <c r="L511" s="650">
        <f t="shared" si="413"/>
        <v>3.5154137356567744E-3</v>
      </c>
      <c r="M511" s="650">
        <f t="shared" si="413"/>
        <v>3.5124260081027419E-3</v>
      </c>
      <c r="N511" s="650">
        <f t="shared" si="413"/>
        <v>3.5124260081027419E-3</v>
      </c>
      <c r="O511" s="650">
        <f t="shared" si="413"/>
        <v>3.5124260081027419E-3</v>
      </c>
      <c r="P511" s="650">
        <f t="shared" si="413"/>
        <v>3.5124260081027419E-3</v>
      </c>
      <c r="Q511" s="650">
        <f t="shared" si="413"/>
        <v>3.5124260081027419E-3</v>
      </c>
      <c r="R511" s="650">
        <f t="shared" si="413"/>
        <v>3.5124260081027419E-3</v>
      </c>
    </row>
    <row r="512" spans="2:18" x14ac:dyDescent="0.3">
      <c r="B512" s="648" t="s">
        <v>53</v>
      </c>
      <c r="C512" s="648" t="s">
        <v>2885</v>
      </c>
      <c r="D512" s="983">
        <f t="shared" ref="D512:R512" si="414">SUMPRODUCT(D$281:D$286,D$183:D$188)/1000</f>
        <v>3.6049054686502692E-2</v>
      </c>
      <c r="E512" s="983">
        <f t="shared" si="414"/>
        <v>3.5900126805390904E-2</v>
      </c>
      <c r="F512" s="983">
        <f t="shared" si="414"/>
        <v>3.5760080924080846E-2</v>
      </c>
      <c r="G512" s="983">
        <f t="shared" si="414"/>
        <v>4.081212071226499E-2</v>
      </c>
      <c r="H512" s="983">
        <f t="shared" si="414"/>
        <v>4.3264034624068907E-2</v>
      </c>
      <c r="I512" s="983">
        <f t="shared" si="414"/>
        <v>4.3133436996002528E-2</v>
      </c>
      <c r="J512" s="983">
        <f t="shared" si="414"/>
        <v>4.3011800457246174E-2</v>
      </c>
      <c r="K512" s="983">
        <f t="shared" si="414"/>
        <v>4.2898881259333069E-2</v>
      </c>
      <c r="L512" s="983">
        <f t="shared" si="414"/>
        <v>4.2794443090355613E-2</v>
      </c>
      <c r="M512" s="983">
        <f t="shared" si="414"/>
        <v>4.2698256852476017E-2</v>
      </c>
      <c r="N512" s="983">
        <f t="shared" si="414"/>
        <v>4.2698256852476017E-2</v>
      </c>
      <c r="O512" s="983">
        <f t="shared" si="414"/>
        <v>4.2698256852476017E-2</v>
      </c>
      <c r="P512" s="983">
        <f t="shared" si="414"/>
        <v>4.2698256852476017E-2</v>
      </c>
      <c r="Q512" s="983">
        <f t="shared" si="414"/>
        <v>4.2698256852476017E-2</v>
      </c>
      <c r="R512" s="983">
        <f t="shared" si="414"/>
        <v>4.2698256852476017E-2</v>
      </c>
    </row>
    <row r="513" spans="2:30" x14ac:dyDescent="0.3">
      <c r="B513" s="648" t="s">
        <v>54</v>
      </c>
      <c r="C513" s="648" t="s">
        <v>2885</v>
      </c>
      <c r="D513" s="650">
        <f t="shared" ref="D513:M513" si="415">SUMPRODUCT(D$281:D$286,_xlfn.ANCHORARRAY(D192))/1000</f>
        <v>3.0117639534523091E-2</v>
      </c>
      <c r="E513" s="650">
        <f t="shared" si="415"/>
        <v>3.0117639534523091E-2</v>
      </c>
      <c r="F513" s="650">
        <f t="shared" si="415"/>
        <v>3.0117639534523091E-2</v>
      </c>
      <c r="G513" s="650">
        <f t="shared" si="415"/>
        <v>3.4863831393235394E-2</v>
      </c>
      <c r="H513" s="650">
        <f t="shared" si="415"/>
        <v>3.7237623659192094E-2</v>
      </c>
      <c r="I513" s="650">
        <f t="shared" si="415"/>
        <v>3.7237623659192094E-2</v>
      </c>
      <c r="J513" s="650">
        <f t="shared" si="415"/>
        <v>3.7237623659192094E-2</v>
      </c>
      <c r="K513" s="650">
        <f t="shared" si="415"/>
        <v>3.7237623659192094E-2</v>
      </c>
      <c r="L513" s="650">
        <f t="shared" si="415"/>
        <v>3.7237623659192094E-2</v>
      </c>
      <c r="M513" s="650">
        <f t="shared" si="415"/>
        <v>3.7237623659192094E-2</v>
      </c>
      <c r="N513" s="650">
        <f>SUMPRODUCT(N$281:N$286,N192:N197)/1000</f>
        <v>3.7237623659192094E-2</v>
      </c>
      <c r="O513" s="650">
        <f>SUMPRODUCT(O$281:O$286,O192:O197)/1000</f>
        <v>3.7237623659192094E-2</v>
      </c>
      <c r="P513" s="650">
        <f>SUMPRODUCT(P$281:P$286,P192:P197)/1000</f>
        <v>3.7237623659192094E-2</v>
      </c>
      <c r="Q513" s="650">
        <f>SUMPRODUCT(Q$281:Q$286,Q192:Q197)/1000</f>
        <v>3.7237623659192094E-2</v>
      </c>
      <c r="R513" s="650">
        <f>SUMPRODUCT(R$281:R$286,R192:R197)/1000</f>
        <v>3.7237623659192094E-2</v>
      </c>
    </row>
    <row r="514" spans="2:30" x14ac:dyDescent="0.3">
      <c r="B514" s="648" t="s">
        <v>470</v>
      </c>
      <c r="C514" s="648" t="s">
        <v>2885</v>
      </c>
      <c r="D514" s="983">
        <f t="shared" ref="D514:R514" si="416">SUMPRODUCT(D$281:D$286,D$201:D$206)/1000</f>
        <v>1.3806468553858146E-2</v>
      </c>
      <c r="E514" s="983">
        <f t="shared" si="416"/>
        <v>1.4062289170501549E-2</v>
      </c>
      <c r="F514" s="983">
        <f t="shared" si="416"/>
        <v>1.4049370652264312E-2</v>
      </c>
      <c r="G514" s="983">
        <f t="shared" si="416"/>
        <v>1.6794693303804835E-2</v>
      </c>
      <c r="H514" s="983">
        <f t="shared" si="416"/>
        <v>1.8177548986718858E-2</v>
      </c>
      <c r="I514" s="983">
        <f t="shared" si="416"/>
        <v>1.8169244409726372E-2</v>
      </c>
      <c r="J514" s="983">
        <f t="shared" si="416"/>
        <v>1.8160129837474094E-2</v>
      </c>
      <c r="K514" s="983">
        <f t="shared" si="416"/>
        <v>1.815285071179908E-2</v>
      </c>
      <c r="L514" s="983">
        <f t="shared" si="416"/>
        <v>1.8147355106158142E-2</v>
      </c>
      <c r="M514" s="983">
        <f t="shared" si="416"/>
        <v>1.814359205389331E-2</v>
      </c>
      <c r="N514" s="983">
        <f t="shared" si="416"/>
        <v>1.814359205389331E-2</v>
      </c>
      <c r="O514" s="983">
        <f t="shared" si="416"/>
        <v>1.814359205389331E-2</v>
      </c>
      <c r="P514" s="983">
        <f t="shared" si="416"/>
        <v>1.814359205389331E-2</v>
      </c>
      <c r="Q514" s="983">
        <f t="shared" si="416"/>
        <v>1.814359205389331E-2</v>
      </c>
      <c r="R514" s="983">
        <f t="shared" si="416"/>
        <v>1.814359205389331E-2</v>
      </c>
    </row>
    <row r="516" spans="2:30" x14ac:dyDescent="0.3">
      <c r="B516" s="963" t="s">
        <v>2888</v>
      </c>
    </row>
    <row r="517" spans="2:30" x14ac:dyDescent="0.3">
      <c r="B517" s="963" t="s">
        <v>2889</v>
      </c>
      <c r="C517" s="866">
        <v>0.2</v>
      </c>
    </row>
    <row r="520" spans="2:30" ht="17.25" thickBot="1" x14ac:dyDescent="0.35">
      <c r="B520" s="588" t="s">
        <v>2890</v>
      </c>
      <c r="C520" s="588"/>
      <c r="D520" s="588"/>
      <c r="E520" s="588"/>
    </row>
    <row r="522" spans="2:30" x14ac:dyDescent="0.3">
      <c r="B522" s="554" t="s">
        <v>2891</v>
      </c>
      <c r="G522" s="976"/>
      <c r="H522" s="976"/>
      <c r="I522" s="976"/>
      <c r="J522" s="976"/>
      <c r="K522" s="976"/>
    </row>
    <row r="523" spans="2:30" x14ac:dyDescent="0.3">
      <c r="C523" s="2154" t="s">
        <v>2892</v>
      </c>
      <c r="D523" s="2154"/>
      <c r="E523" s="2154"/>
      <c r="F523" s="1015" t="s">
        <v>2893</v>
      </c>
      <c r="G523" s="1015"/>
      <c r="H523" s="1015"/>
      <c r="I523" s="1015"/>
      <c r="J523" s="1015"/>
      <c r="K523" s="1015"/>
      <c r="L523" s="1015"/>
      <c r="M523" s="1015"/>
      <c r="N523" s="1015"/>
      <c r="O523" s="1015"/>
      <c r="P523" s="1015"/>
      <c r="Q523" s="1015"/>
      <c r="R523" s="1015"/>
      <c r="S523" s="1015"/>
      <c r="T523" s="1015"/>
      <c r="U523" s="1015"/>
      <c r="V523" s="1015"/>
      <c r="W523" s="1015"/>
      <c r="X523" s="1015"/>
      <c r="Y523" s="1015"/>
    </row>
    <row r="524" spans="2:30" x14ac:dyDescent="0.3">
      <c r="C524" s="962"/>
      <c r="D524" s="962"/>
      <c r="E524" s="962"/>
      <c r="F524" s="1016" t="s">
        <v>2894</v>
      </c>
      <c r="G524" s="1016" t="s">
        <v>2895</v>
      </c>
      <c r="H524" s="1016" t="s">
        <v>2896</v>
      </c>
      <c r="I524" s="1016"/>
      <c r="J524" s="1016"/>
      <c r="K524" s="1016" t="s">
        <v>2896</v>
      </c>
      <c r="L524" s="1016" t="s">
        <v>618</v>
      </c>
      <c r="M524" s="1016" t="s">
        <v>618</v>
      </c>
      <c r="N524" s="1016" t="s">
        <v>2897</v>
      </c>
      <c r="O524" s="1016" t="s">
        <v>2898</v>
      </c>
      <c r="P524" s="1016"/>
      <c r="Q524" s="1016"/>
      <c r="R524" s="1016"/>
      <c r="S524" s="1016"/>
      <c r="T524" s="1016"/>
      <c r="U524" s="1016"/>
      <c r="V524" s="1016"/>
      <c r="W524" s="1016"/>
      <c r="X524" s="1016"/>
      <c r="Y524" s="1016"/>
    </row>
    <row r="525" spans="2:30" ht="27" x14ac:dyDescent="0.3">
      <c r="B525" s="556"/>
      <c r="C525" s="556" t="s">
        <v>407</v>
      </c>
      <c r="D525" s="556" t="s">
        <v>408</v>
      </c>
      <c r="E525" s="556" t="s">
        <v>409</v>
      </c>
      <c r="F525" s="1017" t="s">
        <v>2899</v>
      </c>
      <c r="G525" s="1017" t="s">
        <v>2900</v>
      </c>
      <c r="H525" s="1017" t="s">
        <v>2901</v>
      </c>
      <c r="I525" s="1017" t="s">
        <v>2902</v>
      </c>
      <c r="J525" s="1017" t="s">
        <v>2903</v>
      </c>
      <c r="K525" s="1017" t="s">
        <v>2900</v>
      </c>
      <c r="L525" s="1017" t="s">
        <v>2900</v>
      </c>
      <c r="M525" s="1017" t="s">
        <v>2900</v>
      </c>
      <c r="N525" s="1017" t="s">
        <v>2900</v>
      </c>
      <c r="O525" s="1017" t="s">
        <v>2904</v>
      </c>
      <c r="P525" s="1017"/>
      <c r="Q525" s="1017"/>
      <c r="R525" s="1017"/>
      <c r="S525" s="1017"/>
      <c r="T525" s="1017"/>
      <c r="U525" s="1017"/>
      <c r="V525" s="1017"/>
      <c r="W525" s="1017"/>
      <c r="X525" s="1017"/>
      <c r="Y525" s="1017"/>
    </row>
    <row r="526" spans="2:30" x14ac:dyDescent="0.3">
      <c r="B526" s="556" t="s">
        <v>34</v>
      </c>
      <c r="C526" s="556">
        <v>2019</v>
      </c>
      <c r="D526" s="556">
        <v>2019</v>
      </c>
      <c r="E526" s="556">
        <v>2019</v>
      </c>
      <c r="F526" s="1018">
        <v>2011</v>
      </c>
      <c r="G526" s="1017">
        <v>2017</v>
      </c>
      <c r="H526" s="1017">
        <v>2016</v>
      </c>
      <c r="I526" s="1017">
        <v>2016</v>
      </c>
      <c r="J526" s="1017">
        <v>2016</v>
      </c>
      <c r="K526" s="1017">
        <v>2022</v>
      </c>
      <c r="L526" s="1017">
        <v>2020</v>
      </c>
      <c r="M526" s="1017">
        <v>2030</v>
      </c>
      <c r="N526" s="1017"/>
      <c r="O526" s="1017"/>
      <c r="P526" s="1017">
        <v>2021</v>
      </c>
      <c r="Q526" s="1017">
        <v>2022</v>
      </c>
      <c r="R526" s="1017">
        <v>2023</v>
      </c>
      <c r="S526" s="1017">
        <v>2024</v>
      </c>
      <c r="T526" s="1017">
        <v>2025</v>
      </c>
      <c r="U526" s="1017">
        <v>2026</v>
      </c>
      <c r="V526" s="1017">
        <v>2027</v>
      </c>
      <c r="W526" s="1017">
        <v>2028</v>
      </c>
      <c r="X526" s="1017">
        <v>2029</v>
      </c>
      <c r="Y526" s="1017">
        <v>2030</v>
      </c>
      <c r="Z526" s="1017">
        <v>2031</v>
      </c>
      <c r="AA526" s="1017">
        <v>2032</v>
      </c>
      <c r="AB526" s="1017">
        <v>2033</v>
      </c>
      <c r="AC526" s="1017">
        <v>2034</v>
      </c>
      <c r="AD526" s="1017">
        <v>2035</v>
      </c>
    </row>
    <row r="527" spans="2:30" x14ac:dyDescent="0.3">
      <c r="B527" s="556" t="s">
        <v>59</v>
      </c>
      <c r="C527" s="556" t="s">
        <v>2905</v>
      </c>
      <c r="D527" s="556" t="s">
        <v>2905</v>
      </c>
      <c r="E527" s="556" t="s">
        <v>2905</v>
      </c>
      <c r="F527" s="1018" t="s">
        <v>2906</v>
      </c>
      <c r="G527" s="1017" t="s">
        <v>2907</v>
      </c>
      <c r="H527" s="1017" t="s">
        <v>2908</v>
      </c>
      <c r="I527" s="1017" t="s">
        <v>2908</v>
      </c>
      <c r="J527" s="1017" t="s">
        <v>2908</v>
      </c>
      <c r="K527" s="1017" t="s">
        <v>2904</v>
      </c>
      <c r="L527" s="1017" t="s">
        <v>2904</v>
      </c>
      <c r="M527" s="1017" t="s">
        <v>2904</v>
      </c>
      <c r="N527" s="1017" t="s">
        <v>2904</v>
      </c>
      <c r="O527" s="1017"/>
      <c r="P527" s="1017"/>
      <c r="Q527" s="1017"/>
      <c r="R527" s="1017"/>
      <c r="S527" s="1017"/>
      <c r="T527" s="1017"/>
      <c r="U527" s="1017"/>
      <c r="V527" s="1017"/>
      <c r="W527" s="1017"/>
      <c r="X527" s="1017"/>
      <c r="Y527" s="1017"/>
    </row>
    <row r="528" spans="2:30" x14ac:dyDescent="0.3">
      <c r="B528" s="595" t="s">
        <v>24</v>
      </c>
      <c r="C528" s="2155" t="s">
        <v>2909</v>
      </c>
      <c r="D528" s="2156"/>
      <c r="E528" s="2157"/>
      <c r="F528" s="1019" t="s">
        <v>2910</v>
      </c>
      <c r="G528" s="1020" t="s">
        <v>2911</v>
      </c>
      <c r="H528" s="1019" t="s">
        <v>2912</v>
      </c>
      <c r="I528" s="1020"/>
      <c r="J528" s="1020"/>
      <c r="K528" s="1020" t="s">
        <v>2913</v>
      </c>
      <c r="L528" s="1020" t="s">
        <v>2914</v>
      </c>
      <c r="M528" s="1020" t="s">
        <v>2914</v>
      </c>
      <c r="N528" s="1020" t="s">
        <v>2391</v>
      </c>
      <c r="O528" s="1020" t="s">
        <v>2910</v>
      </c>
      <c r="P528" s="1021"/>
      <c r="Q528" s="1021"/>
      <c r="R528" s="1021"/>
      <c r="S528" s="1021"/>
      <c r="T528" s="1021"/>
      <c r="U528" s="1021"/>
      <c r="V528" s="1021"/>
      <c r="W528" s="1021"/>
      <c r="X528" s="1021"/>
      <c r="Y528" s="1021"/>
    </row>
    <row r="529" spans="1:30" x14ac:dyDescent="0.3">
      <c r="B529" s="648" t="s">
        <v>388</v>
      </c>
      <c r="C529" s="1000">
        <f>($D$213*C540)+($D$214*C537)+(C536*$D$216)+(C539*$D$215)+(C538*$D$217)</f>
        <v>281.98976063163013</v>
      </c>
      <c r="D529" s="1000">
        <f>($D$213*D540)+($D$214*D537)+(D536*$D$216)+(D539*$D$215)+(D538*$D$217)</f>
        <v>14.617919088476864</v>
      </c>
      <c r="E529" s="1000">
        <f>($D$213*E540)+($D$214*E537)+(E536*$D$216)+(E539*$D$215)+(E538*$D$217)</f>
        <v>20.739142590506837</v>
      </c>
      <c r="F529" s="1001"/>
      <c r="G529" s="1001"/>
      <c r="H529" s="1001"/>
      <c r="I529" s="1001"/>
      <c r="J529" s="1001"/>
      <c r="K529" s="1004"/>
      <c r="L529" s="649"/>
      <c r="M529" s="649"/>
      <c r="N529" s="649">
        <v>0.27955368000000103</v>
      </c>
      <c r="O529" s="1000">
        <f>($D$213*O540)+($D$214*O537)+(O536*$D$216)+(O539*$D$215)+(O538*$D$217)</f>
        <v>0.26240368624296057</v>
      </c>
      <c r="P529" s="647">
        <f t="shared" ref="P529:AD533" si="417">$O529</f>
        <v>0.26240368624296057</v>
      </c>
      <c r="Q529" s="647">
        <f t="shared" si="417"/>
        <v>0.26240368624296057</v>
      </c>
      <c r="R529" s="647">
        <f t="shared" si="417"/>
        <v>0.26240368624296057</v>
      </c>
      <c r="S529" s="647">
        <f t="shared" si="417"/>
        <v>0.26240368624296057</v>
      </c>
      <c r="T529" s="647">
        <f t="shared" si="417"/>
        <v>0.26240368624296057</v>
      </c>
      <c r="U529" s="647">
        <f t="shared" si="417"/>
        <v>0.26240368624296057</v>
      </c>
      <c r="V529" s="647">
        <f t="shared" si="417"/>
        <v>0.26240368624296057</v>
      </c>
      <c r="W529" s="647">
        <f t="shared" si="417"/>
        <v>0.26240368624296057</v>
      </c>
      <c r="X529" s="647">
        <f t="shared" si="417"/>
        <v>0.26240368624296057</v>
      </c>
      <c r="Y529" s="647">
        <f t="shared" si="417"/>
        <v>0.26240368624296057</v>
      </c>
      <c r="Z529" s="647">
        <f t="shared" si="417"/>
        <v>0.26240368624296057</v>
      </c>
      <c r="AA529" s="647">
        <f t="shared" si="417"/>
        <v>0.26240368624296057</v>
      </c>
      <c r="AB529" s="647">
        <f t="shared" si="417"/>
        <v>0.26240368624296057</v>
      </c>
      <c r="AC529" s="647">
        <f t="shared" si="417"/>
        <v>0.26240368624296057</v>
      </c>
      <c r="AD529" s="647">
        <f t="shared" si="417"/>
        <v>0.26240368624296057</v>
      </c>
    </row>
    <row r="530" spans="1:30" x14ac:dyDescent="0.3">
      <c r="B530" s="648" t="s">
        <v>389</v>
      </c>
      <c r="C530" s="985">
        <f>C550/Admin!$V$8</f>
        <v>1.008</v>
      </c>
      <c r="D530" s="985">
        <f>E550/Admin!$V$8</f>
        <v>320.39999999999998</v>
      </c>
      <c r="E530" s="1004">
        <f>G550/Admin!$V$8</f>
        <v>7.1999999999999993</v>
      </c>
      <c r="F530" s="570">
        <v>5.6399999999999999E-2</v>
      </c>
      <c r="G530" s="570">
        <v>0.20200000000000001</v>
      </c>
      <c r="H530" s="570">
        <v>56.1</v>
      </c>
      <c r="I530" s="570">
        <v>1E-3</v>
      </c>
      <c r="J530" s="570">
        <v>1E-4</v>
      </c>
      <c r="K530" s="1022">
        <f>(H530+(I530*Admin!$H$23)+(J530*Admin!H22))/Admin!$V$8/1000</f>
        <v>0.20215727999999999</v>
      </c>
      <c r="L530" s="649"/>
      <c r="M530" s="649"/>
      <c r="N530" s="649">
        <v>0.20215728000000099</v>
      </c>
      <c r="O530" s="645">
        <f>K530</f>
        <v>0.20215727999999999</v>
      </c>
      <c r="P530" s="647">
        <f t="shared" si="417"/>
        <v>0.20215727999999999</v>
      </c>
      <c r="Q530" s="647">
        <f t="shared" si="417"/>
        <v>0.20215727999999999</v>
      </c>
      <c r="R530" s="647">
        <f t="shared" si="417"/>
        <v>0.20215727999999999</v>
      </c>
      <c r="S530" s="647">
        <f t="shared" si="417"/>
        <v>0.20215727999999999</v>
      </c>
      <c r="T530" s="647">
        <f t="shared" si="417"/>
        <v>0.20215727999999999</v>
      </c>
      <c r="U530" s="647">
        <f t="shared" si="417"/>
        <v>0.20215727999999999</v>
      </c>
      <c r="V530" s="647">
        <f t="shared" si="417"/>
        <v>0.20215727999999999</v>
      </c>
      <c r="W530" s="647">
        <f t="shared" si="417"/>
        <v>0.20215727999999999</v>
      </c>
      <c r="X530" s="647">
        <f t="shared" si="417"/>
        <v>0.20215727999999999</v>
      </c>
      <c r="Y530" s="647">
        <f t="shared" si="417"/>
        <v>0.20215727999999999</v>
      </c>
      <c r="Z530" s="647">
        <f t="shared" si="417"/>
        <v>0.20215727999999999</v>
      </c>
      <c r="AA530" s="647">
        <f t="shared" si="417"/>
        <v>0.20215727999999999</v>
      </c>
      <c r="AB530" s="647">
        <f t="shared" si="417"/>
        <v>0.20215727999999999</v>
      </c>
      <c r="AC530" s="647">
        <f t="shared" si="417"/>
        <v>0.20215727999999999</v>
      </c>
      <c r="AD530" s="647">
        <f t="shared" si="417"/>
        <v>0.20215727999999999</v>
      </c>
    </row>
    <row r="531" spans="1:30" x14ac:dyDescent="0.3">
      <c r="B531" s="648" t="s">
        <v>390</v>
      </c>
      <c r="C531" s="985">
        <f>C551/Admin!$V$8</f>
        <v>3240</v>
      </c>
      <c r="D531" s="985">
        <f>E551/Admin!$V$8</f>
        <v>540</v>
      </c>
      <c r="E531" s="985">
        <f>G551/Admin!$V$8</f>
        <v>198</v>
      </c>
      <c r="F531" s="570">
        <v>9.6000000000000002E-2</v>
      </c>
      <c r="G531" s="570">
        <v>0.35599999999999998</v>
      </c>
      <c r="H531" s="570">
        <v>98.3</v>
      </c>
      <c r="I531" s="570">
        <f>0.001</f>
        <v>1E-3</v>
      </c>
      <c r="J531" s="570">
        <f>0.0015</f>
        <v>1.5E-3</v>
      </c>
      <c r="K531" s="1022">
        <f>(H531+(I531*Admin!$H$23)+(J531*Admin!H23))/Admin!$V$8/1000</f>
        <v>0.35410499999999995</v>
      </c>
      <c r="L531" s="649"/>
      <c r="M531" s="649"/>
      <c r="N531" s="649"/>
      <c r="O531" s="645">
        <f>K531</f>
        <v>0.35410499999999995</v>
      </c>
      <c r="P531" s="647">
        <f t="shared" si="417"/>
        <v>0.35410499999999995</v>
      </c>
      <c r="Q531" s="647">
        <f t="shared" si="417"/>
        <v>0.35410499999999995</v>
      </c>
      <c r="R531" s="647">
        <f t="shared" si="417"/>
        <v>0.35410499999999995</v>
      </c>
      <c r="S531" s="647">
        <f t="shared" si="417"/>
        <v>0.35410499999999995</v>
      </c>
      <c r="T531" s="647">
        <f t="shared" si="417"/>
        <v>0.35410499999999995</v>
      </c>
      <c r="U531" s="647">
        <f t="shared" si="417"/>
        <v>0.35410499999999995</v>
      </c>
      <c r="V531" s="647">
        <f t="shared" si="417"/>
        <v>0.35410499999999995</v>
      </c>
      <c r="W531" s="647">
        <f t="shared" si="417"/>
        <v>0.35410499999999995</v>
      </c>
      <c r="X531" s="647">
        <f t="shared" si="417"/>
        <v>0.35410499999999995</v>
      </c>
      <c r="Y531" s="647">
        <f t="shared" si="417"/>
        <v>0.35410499999999995</v>
      </c>
      <c r="Z531" s="647">
        <f t="shared" si="417"/>
        <v>0.35410499999999995</v>
      </c>
      <c r="AA531" s="647">
        <f t="shared" si="417"/>
        <v>0.35410499999999995</v>
      </c>
      <c r="AB531" s="647">
        <f t="shared" si="417"/>
        <v>0.35410499999999995</v>
      </c>
      <c r="AC531" s="647">
        <f t="shared" si="417"/>
        <v>0.35410499999999995</v>
      </c>
      <c r="AD531" s="647">
        <f t="shared" si="417"/>
        <v>0.35410499999999995</v>
      </c>
    </row>
    <row r="532" spans="1:30" x14ac:dyDescent="0.3">
      <c r="B532" s="648" t="s">
        <v>391</v>
      </c>
      <c r="C532" s="986">
        <f>C542</f>
        <v>39.6</v>
      </c>
      <c r="D532" s="986">
        <f t="shared" ref="D532:E532" si="418">D542</f>
        <v>327.59999999999997</v>
      </c>
      <c r="E532" s="986">
        <f t="shared" si="418"/>
        <v>504</v>
      </c>
      <c r="F532" s="651">
        <v>0</v>
      </c>
      <c r="G532" s="570">
        <v>0</v>
      </c>
      <c r="H532" s="1001"/>
      <c r="I532" s="1001"/>
      <c r="J532" s="1001"/>
      <c r="K532" s="1004"/>
      <c r="L532" s="649"/>
      <c r="M532" s="649"/>
      <c r="N532" s="649"/>
      <c r="O532" s="645">
        <f>(O544*I213)+(I215*O542)+(I216*O543)</f>
        <v>0.4008492881963906</v>
      </c>
      <c r="P532" s="647">
        <f t="shared" si="417"/>
        <v>0.4008492881963906</v>
      </c>
      <c r="Q532" s="647">
        <f t="shared" si="417"/>
        <v>0.4008492881963906</v>
      </c>
      <c r="R532" s="647">
        <f t="shared" si="417"/>
        <v>0.4008492881963906</v>
      </c>
      <c r="S532" s="647">
        <f t="shared" si="417"/>
        <v>0.4008492881963906</v>
      </c>
      <c r="T532" s="647">
        <f t="shared" si="417"/>
        <v>0.4008492881963906</v>
      </c>
      <c r="U532" s="647">
        <f t="shared" si="417"/>
        <v>0.4008492881963906</v>
      </c>
      <c r="V532" s="647">
        <f t="shared" si="417"/>
        <v>0.4008492881963906</v>
      </c>
      <c r="W532" s="647">
        <f t="shared" si="417"/>
        <v>0.4008492881963906</v>
      </c>
      <c r="X532" s="647">
        <f t="shared" si="417"/>
        <v>0.4008492881963906</v>
      </c>
      <c r="Y532" s="647">
        <f t="shared" si="417"/>
        <v>0.4008492881963906</v>
      </c>
      <c r="Z532" s="647">
        <f t="shared" si="417"/>
        <v>0.4008492881963906</v>
      </c>
      <c r="AA532" s="647">
        <f t="shared" si="417"/>
        <v>0.4008492881963906</v>
      </c>
      <c r="AB532" s="647">
        <f t="shared" si="417"/>
        <v>0.4008492881963906</v>
      </c>
      <c r="AC532" s="647">
        <f t="shared" si="417"/>
        <v>0.4008492881963906</v>
      </c>
      <c r="AD532" s="647">
        <f t="shared" si="417"/>
        <v>0.4008492881963906</v>
      </c>
    </row>
    <row r="533" spans="1:30" x14ac:dyDescent="0.3">
      <c r="A533" s="554" t="s">
        <v>2915</v>
      </c>
      <c r="B533" s="648" t="s">
        <v>392</v>
      </c>
      <c r="C533" s="1023">
        <f>(($H$254+$H$257+$H$262)*C541)+($H$255*C531)+($H$256*C544)+($H$258*C530)+($H$259*C542)</f>
        <v>43.104138239329366</v>
      </c>
      <c r="D533" s="1023">
        <f>(($H$254+$H$257+$H$262)*D541)+($H$255*D531)+($H$256*D544)+($H$258*D530)+($H$259*D542)</f>
        <v>139.54808123071962</v>
      </c>
      <c r="E533" s="1023">
        <f>(($H$254+$H$257+$H$262)*E541)+($H$255*E531)+($H$256*E544)+($H$258*E530)+($H$259*E542)</f>
        <v>192.94079722715284</v>
      </c>
      <c r="F533" s="570">
        <v>7.8E-2</v>
      </c>
      <c r="G533" s="570"/>
      <c r="H533" s="1001"/>
      <c r="I533" s="1001"/>
      <c r="J533" s="1001"/>
      <c r="K533" s="1004"/>
      <c r="L533" s="649"/>
      <c r="M533" s="649"/>
      <c r="N533" s="649">
        <v>0.30099999999999999</v>
      </c>
      <c r="O533" s="1000">
        <f>(($H$254+$H$257+$H$262)*O541)+($H$255*O531)+($H$256*O544)+($H$258*O530)+($H$259*O542)</f>
        <v>0.23955401396862075</v>
      </c>
      <c r="P533" s="647">
        <f t="shared" si="417"/>
        <v>0.23955401396862075</v>
      </c>
      <c r="Q533" s="647">
        <f t="shared" si="417"/>
        <v>0.23955401396862075</v>
      </c>
      <c r="R533" s="647">
        <f t="shared" si="417"/>
        <v>0.23955401396862075</v>
      </c>
      <c r="S533" s="647">
        <f t="shared" si="417"/>
        <v>0.23955401396862075</v>
      </c>
      <c r="T533" s="647">
        <f t="shared" si="417"/>
        <v>0.23955401396862075</v>
      </c>
      <c r="U533" s="647">
        <f t="shared" si="417"/>
        <v>0.23955401396862075</v>
      </c>
      <c r="V533" s="647">
        <f t="shared" si="417"/>
        <v>0.23955401396862075</v>
      </c>
      <c r="W533" s="647">
        <f t="shared" si="417"/>
        <v>0.23955401396862075</v>
      </c>
      <c r="X533" s="647">
        <f t="shared" si="417"/>
        <v>0.23955401396862075</v>
      </c>
      <c r="Y533" s="647">
        <f t="shared" si="417"/>
        <v>0.23955401396862075</v>
      </c>
      <c r="Z533" s="647">
        <f t="shared" si="417"/>
        <v>0.23955401396862075</v>
      </c>
      <c r="AA533" s="647">
        <f t="shared" si="417"/>
        <v>0.23955401396862075</v>
      </c>
      <c r="AB533" s="647">
        <f t="shared" si="417"/>
        <v>0.23955401396862075</v>
      </c>
      <c r="AC533" s="647">
        <f t="shared" si="417"/>
        <v>0.23955401396862075</v>
      </c>
      <c r="AD533" s="647">
        <f t="shared" si="417"/>
        <v>0.23955401396862075</v>
      </c>
    </row>
    <row r="534" spans="1:30" x14ac:dyDescent="0.3">
      <c r="A534" s="554" t="s">
        <v>2916</v>
      </c>
      <c r="B534" s="648" t="s">
        <v>393</v>
      </c>
      <c r="C534" s="984">
        <f>((($E$254+$E$257+$E$262)*C541)+($E$255*C531)+($E$256*C544)+($E$258*C530)+($E$259*C542))*(1.05)</f>
        <v>5.6320557045773532</v>
      </c>
      <c r="D534" s="984">
        <f t="shared" ref="D534:E534" si="419">((($E$254+$E$257+$E$262)*D541)+($E$255*D531)+($E$256*D544)+($E$258*D530)+($E$259*D542))*(1.05)</f>
        <v>43.976488039848739</v>
      </c>
      <c r="E534" s="984">
        <f t="shared" si="419"/>
        <v>31.645063067329442</v>
      </c>
      <c r="F534" s="570">
        <v>0.14599999999999999</v>
      </c>
      <c r="G534" s="570">
        <v>2.0169999999999999</v>
      </c>
      <c r="H534" s="1001">
        <v>139.80000000000001</v>
      </c>
      <c r="I534" s="1001"/>
      <c r="J534" s="1001"/>
      <c r="K534" s="1022">
        <f>(H534+(I534*Admin!$H$23)+(J534*Admin!H26))/Admin!$V$8/1000</f>
        <v>0.50328000000000006</v>
      </c>
      <c r="L534" s="649">
        <v>0.83</v>
      </c>
      <c r="M534" s="649">
        <v>0.5</v>
      </c>
      <c r="N534" s="649"/>
      <c r="O534" s="1024">
        <f>L534</f>
        <v>0.83</v>
      </c>
      <c r="P534" s="637">
        <f>L534</f>
        <v>0.83</v>
      </c>
      <c r="Q534" s="999">
        <f t="shared" ref="Q534:X535" si="420">(($Y534-$P534)/10)+P534</f>
        <v>0.79699999999999993</v>
      </c>
      <c r="R534" s="999">
        <f t="shared" si="420"/>
        <v>0.7639999999999999</v>
      </c>
      <c r="S534" s="999">
        <f t="shared" si="420"/>
        <v>0.73099999999999987</v>
      </c>
      <c r="T534" s="999">
        <f t="shared" si="420"/>
        <v>0.69799999999999984</v>
      </c>
      <c r="U534" s="999">
        <f t="shared" si="420"/>
        <v>0.66499999999999981</v>
      </c>
      <c r="V534" s="999">
        <f t="shared" si="420"/>
        <v>0.63199999999999978</v>
      </c>
      <c r="W534" s="999">
        <f t="shared" si="420"/>
        <v>0.59899999999999975</v>
      </c>
      <c r="X534" s="999">
        <f t="shared" si="420"/>
        <v>0.56599999999999973</v>
      </c>
      <c r="Y534" s="637">
        <f>M534</f>
        <v>0.5</v>
      </c>
      <c r="Z534" s="637">
        <f t="shared" ref="Z534:AD535" si="421">N534</f>
        <v>0</v>
      </c>
      <c r="AA534" s="637">
        <f t="shared" si="421"/>
        <v>0.83</v>
      </c>
      <c r="AB534" s="637">
        <f t="shared" si="421"/>
        <v>0.83</v>
      </c>
      <c r="AC534" s="637">
        <f t="shared" si="421"/>
        <v>0.79699999999999993</v>
      </c>
      <c r="AD534" s="637">
        <f t="shared" si="421"/>
        <v>0.7639999999999999</v>
      </c>
    </row>
    <row r="535" spans="1:30" x14ac:dyDescent="0.3">
      <c r="B535" s="648" t="s">
        <v>2808</v>
      </c>
      <c r="C535" s="988">
        <f>(SUM($S$226,$S$228)*C542)+($S227*C530)+($S231*C531)+($S230*C529)+(C545*$S$229)</f>
        <v>49.630923545245963</v>
      </c>
      <c r="D535" s="988">
        <f>(SUM($S$226,$S$228)*D542)+($S227*D530)+($S231*D531)+($S230*D529)+(D545*$S$229)</f>
        <v>285.60632098686631</v>
      </c>
      <c r="E535" s="988">
        <f>(SUM($S$226,$S$228)*E542)+($S227*E530)+($S231*E531)+($S230*E529)+(E545*$S$229)</f>
        <v>335.54379073615183</v>
      </c>
      <c r="F535" s="570"/>
      <c r="G535" s="570"/>
      <c r="H535" s="1001"/>
      <c r="I535" s="1001"/>
      <c r="J535" s="1001"/>
      <c r="K535" s="1004"/>
      <c r="L535" s="649">
        <v>0.12</v>
      </c>
      <c r="M535" s="649">
        <v>0.09</v>
      </c>
      <c r="N535" s="649"/>
      <c r="O535" s="649">
        <f>L535</f>
        <v>0.12</v>
      </c>
      <c r="P535" s="637">
        <f>L535</f>
        <v>0.12</v>
      </c>
      <c r="Q535" s="999">
        <f t="shared" si="420"/>
        <v>0.11699999999999999</v>
      </c>
      <c r="R535" s="999">
        <f t="shared" si="420"/>
        <v>0.11399999999999999</v>
      </c>
      <c r="S535" s="999">
        <f t="shared" si="420"/>
        <v>0.11099999999999999</v>
      </c>
      <c r="T535" s="999">
        <f t="shared" si="420"/>
        <v>0.10799999999999998</v>
      </c>
      <c r="U535" s="999">
        <f t="shared" si="420"/>
        <v>0.10499999999999998</v>
      </c>
      <c r="V535" s="999">
        <f t="shared" si="420"/>
        <v>0.10199999999999998</v>
      </c>
      <c r="W535" s="999">
        <f t="shared" si="420"/>
        <v>9.8999999999999977E-2</v>
      </c>
      <c r="X535" s="999">
        <f t="shared" si="420"/>
        <v>9.5999999999999974E-2</v>
      </c>
      <c r="Y535" s="637">
        <f>M535</f>
        <v>0.09</v>
      </c>
      <c r="Z535" s="637">
        <f t="shared" si="421"/>
        <v>0</v>
      </c>
      <c r="AA535" s="637">
        <f t="shared" si="421"/>
        <v>0.12</v>
      </c>
      <c r="AB535" s="637">
        <f t="shared" si="421"/>
        <v>0.12</v>
      </c>
      <c r="AC535" s="637">
        <f t="shared" si="421"/>
        <v>0.11699999999999999</v>
      </c>
      <c r="AD535" s="637">
        <f t="shared" si="421"/>
        <v>0.11399999999999999</v>
      </c>
    </row>
    <row r="536" spans="1:30" x14ac:dyDescent="0.3">
      <c r="B536" s="648" t="s">
        <v>2730</v>
      </c>
      <c r="C536" s="989">
        <f>C552/Admin!$V$8</f>
        <v>338.4</v>
      </c>
      <c r="D536" s="990">
        <f>E552/(Admin!$V$27/1000000)/1000</f>
        <v>2.6017953488372094</v>
      </c>
      <c r="E536" s="990">
        <f>G552/(Admin!$V$27/1000000)/1000</f>
        <v>0.30491162790697679</v>
      </c>
      <c r="F536" s="570">
        <v>7.4300000000000005E-2</v>
      </c>
      <c r="G536" s="570">
        <v>0.26800000000000002</v>
      </c>
      <c r="H536" s="570">
        <v>74.099999999999994</v>
      </c>
      <c r="I536" s="570">
        <v>3.0000000000000001E-3</v>
      </c>
      <c r="J536" s="570">
        <v>5.9999999999999995E-4</v>
      </c>
      <c r="K536" s="1022">
        <f>(H536+(I536*Admin!$H$23)+(J536*Admin!H28))/Admin!$V$8/1000</f>
        <v>0.26702999999999999</v>
      </c>
      <c r="L536" s="649"/>
      <c r="M536" s="649"/>
      <c r="N536" s="649">
        <v>0.26979418800000099</v>
      </c>
      <c r="O536" s="645">
        <f t="shared" ref="O536:O541" si="422">K536</f>
        <v>0.26702999999999999</v>
      </c>
      <c r="P536" s="647">
        <f t="shared" ref="P536:AD544" si="423">$O536</f>
        <v>0.26702999999999999</v>
      </c>
      <c r="Q536" s="647">
        <f t="shared" si="423"/>
        <v>0.26702999999999999</v>
      </c>
      <c r="R536" s="647">
        <f t="shared" si="423"/>
        <v>0.26702999999999999</v>
      </c>
      <c r="S536" s="647">
        <f t="shared" si="423"/>
        <v>0.26702999999999999</v>
      </c>
      <c r="T536" s="647">
        <f t="shared" si="423"/>
        <v>0.26702999999999999</v>
      </c>
      <c r="U536" s="647">
        <f t="shared" si="423"/>
        <v>0.26702999999999999</v>
      </c>
      <c r="V536" s="647">
        <f t="shared" si="423"/>
        <v>0.26702999999999999</v>
      </c>
      <c r="W536" s="647">
        <f t="shared" si="423"/>
        <v>0.26702999999999999</v>
      </c>
      <c r="X536" s="647">
        <f t="shared" si="423"/>
        <v>0.26702999999999999</v>
      </c>
      <c r="Y536" s="647">
        <f t="shared" si="423"/>
        <v>0.26702999999999999</v>
      </c>
      <c r="Z536" s="647">
        <f t="shared" si="423"/>
        <v>0.26702999999999999</v>
      </c>
      <c r="AA536" s="647">
        <f t="shared" si="423"/>
        <v>0.26702999999999999</v>
      </c>
      <c r="AB536" s="647">
        <f t="shared" si="423"/>
        <v>0.26702999999999999</v>
      </c>
      <c r="AC536" s="647">
        <f t="shared" si="423"/>
        <v>0.26702999999999999</v>
      </c>
      <c r="AD536" s="647">
        <f t="shared" si="423"/>
        <v>0.26702999999999999</v>
      </c>
    </row>
    <row r="537" spans="1:30" x14ac:dyDescent="0.3">
      <c r="B537" s="648" t="s">
        <v>2728</v>
      </c>
      <c r="C537" s="990">
        <f>C553/(Admin!$V$27/1000000)/1000</f>
        <v>1.6744186046511629</v>
      </c>
      <c r="D537" s="990">
        <f>E553/(Admin!$V$27/1000000)/1000</f>
        <v>0.78697674418604668</v>
      </c>
      <c r="E537" s="990">
        <f>G553/(Admin!$V$27/1000000)/1000</f>
        <v>0.79534883720930238</v>
      </c>
      <c r="F537" s="570">
        <v>7.1999999999999995E-2</v>
      </c>
      <c r="G537" s="570">
        <v>0.25</v>
      </c>
      <c r="H537" s="570">
        <v>69.3</v>
      </c>
      <c r="I537" s="570">
        <v>3.0000000000000001E-3</v>
      </c>
      <c r="J537" s="570">
        <v>5.9999999999999995E-4</v>
      </c>
      <c r="K537" s="1022">
        <f>(H537+(I537*Admin!$H$23)+(J537*Admin!H29))/Admin!$V$8/1000</f>
        <v>0.24975</v>
      </c>
      <c r="L537" s="649"/>
      <c r="M537" s="649"/>
      <c r="N537" s="649">
        <v>0.25162894800000102</v>
      </c>
      <c r="O537" s="645">
        <f t="shared" si="422"/>
        <v>0.24975</v>
      </c>
      <c r="P537" s="647">
        <f t="shared" si="423"/>
        <v>0.24975</v>
      </c>
      <c r="Q537" s="647">
        <f t="shared" si="423"/>
        <v>0.24975</v>
      </c>
      <c r="R537" s="647">
        <f t="shared" si="423"/>
        <v>0.24975</v>
      </c>
      <c r="S537" s="647">
        <f t="shared" si="423"/>
        <v>0.24975</v>
      </c>
      <c r="T537" s="647">
        <f t="shared" si="423"/>
        <v>0.24975</v>
      </c>
      <c r="U537" s="647">
        <f t="shared" si="423"/>
        <v>0.24975</v>
      </c>
      <c r="V537" s="647">
        <f t="shared" si="423"/>
        <v>0.24975</v>
      </c>
      <c r="W537" s="647">
        <f t="shared" si="423"/>
        <v>0.24975</v>
      </c>
      <c r="X537" s="647">
        <f t="shared" si="423"/>
        <v>0.24975</v>
      </c>
      <c r="Y537" s="647">
        <f t="shared" si="423"/>
        <v>0.24975</v>
      </c>
      <c r="Z537" s="647">
        <f t="shared" si="423"/>
        <v>0.24975</v>
      </c>
      <c r="AA537" s="647">
        <f t="shared" si="423"/>
        <v>0.24975</v>
      </c>
      <c r="AB537" s="647">
        <f t="shared" si="423"/>
        <v>0.24975</v>
      </c>
      <c r="AC537" s="647">
        <f t="shared" si="423"/>
        <v>0.24975</v>
      </c>
      <c r="AD537" s="647">
        <f t="shared" si="423"/>
        <v>0.24975</v>
      </c>
    </row>
    <row r="538" spans="1:30" x14ac:dyDescent="0.3">
      <c r="B538" s="648" t="s">
        <v>2814</v>
      </c>
      <c r="C538" s="991">
        <f>C554/Admin!$V$8</f>
        <v>1782</v>
      </c>
      <c r="D538" s="991">
        <f>E554/Admin!$V$8</f>
        <v>511.2</v>
      </c>
      <c r="E538" s="991">
        <f>G554/Admin!$V$8</f>
        <v>69.48</v>
      </c>
      <c r="F538" s="570">
        <v>7.7399999999999997E-2</v>
      </c>
      <c r="G538" s="570">
        <v>0.26800000000000002</v>
      </c>
      <c r="H538" s="570">
        <v>77.400000000000006</v>
      </c>
      <c r="I538" s="570">
        <v>3.0000000000000001E-3</v>
      </c>
      <c r="J538" s="570">
        <v>5.9999999999999995E-4</v>
      </c>
      <c r="K538" s="1022">
        <f>(H538+(I538*Admin!$H$23)+(J538*Admin!H30))/Admin!$V$8/1000</f>
        <v>0.27891000000000005</v>
      </c>
      <c r="L538" s="649"/>
      <c r="M538" s="649"/>
      <c r="N538" s="649">
        <v>0.27955368000000103</v>
      </c>
      <c r="O538" s="645">
        <f t="shared" si="422"/>
        <v>0.27891000000000005</v>
      </c>
      <c r="P538" s="647">
        <f t="shared" si="423"/>
        <v>0.27891000000000005</v>
      </c>
      <c r="Q538" s="647">
        <f t="shared" si="423"/>
        <v>0.27891000000000005</v>
      </c>
      <c r="R538" s="647">
        <f t="shared" si="423"/>
        <v>0.27891000000000005</v>
      </c>
      <c r="S538" s="647">
        <f t="shared" si="423"/>
        <v>0.27891000000000005</v>
      </c>
      <c r="T538" s="647">
        <f t="shared" si="423"/>
        <v>0.27891000000000005</v>
      </c>
      <c r="U538" s="647">
        <f t="shared" si="423"/>
        <v>0.27891000000000005</v>
      </c>
      <c r="V538" s="647">
        <f t="shared" si="423"/>
        <v>0.27891000000000005</v>
      </c>
      <c r="W538" s="647">
        <f t="shared" si="423"/>
        <v>0.27891000000000005</v>
      </c>
      <c r="X538" s="647">
        <f t="shared" si="423"/>
        <v>0.27891000000000005</v>
      </c>
      <c r="Y538" s="647">
        <f t="shared" si="423"/>
        <v>0.27891000000000005</v>
      </c>
      <c r="Z538" s="647">
        <f t="shared" si="423"/>
        <v>0.27891000000000005</v>
      </c>
      <c r="AA538" s="647">
        <f t="shared" si="423"/>
        <v>0.27891000000000005</v>
      </c>
      <c r="AB538" s="647">
        <f t="shared" si="423"/>
        <v>0.27891000000000005</v>
      </c>
      <c r="AC538" s="647">
        <f t="shared" si="423"/>
        <v>0.27891000000000005</v>
      </c>
      <c r="AD538" s="647">
        <f t="shared" si="423"/>
        <v>0.27891000000000005</v>
      </c>
    </row>
    <row r="539" spans="1:30" x14ac:dyDescent="0.3">
      <c r="B539" s="648" t="s">
        <v>2749</v>
      </c>
      <c r="C539" s="991">
        <f>C555/Admin!$V$8</f>
        <v>5.22</v>
      </c>
      <c r="D539" s="991">
        <f>E555/Admin!$V$8</f>
        <v>85.536000000000001</v>
      </c>
      <c r="E539" s="991">
        <f>G555/Admin!$V$8</f>
        <v>0</v>
      </c>
      <c r="F539" s="570">
        <v>7.1499999999999994E-2</v>
      </c>
      <c r="G539" s="570"/>
      <c r="H539" s="570">
        <v>70</v>
      </c>
      <c r="I539" s="570">
        <v>3.0000000000000001E-3</v>
      </c>
      <c r="J539" s="570">
        <v>5.9999999999999995E-4</v>
      </c>
      <c r="K539" s="1022">
        <f>(H539+(I539*Admin!$H$23)+(J539*Admin!H31))/Admin!$V$8/1000</f>
        <v>0.25226999999999999</v>
      </c>
      <c r="L539" s="649"/>
      <c r="M539" s="649"/>
      <c r="N539" s="649"/>
      <c r="O539" s="645">
        <f t="shared" si="422"/>
        <v>0.25226999999999999</v>
      </c>
      <c r="P539" s="647">
        <f t="shared" si="423"/>
        <v>0.25226999999999999</v>
      </c>
      <c r="Q539" s="647">
        <f t="shared" si="423"/>
        <v>0.25226999999999999</v>
      </c>
      <c r="R539" s="647">
        <f t="shared" si="423"/>
        <v>0.25226999999999999</v>
      </c>
      <c r="S539" s="647">
        <f t="shared" si="423"/>
        <v>0.25226999999999999</v>
      </c>
      <c r="T539" s="647">
        <f t="shared" si="423"/>
        <v>0.25226999999999999</v>
      </c>
      <c r="U539" s="647">
        <f t="shared" si="423"/>
        <v>0.25226999999999999</v>
      </c>
      <c r="V539" s="647">
        <f t="shared" si="423"/>
        <v>0.25226999999999999</v>
      </c>
      <c r="W539" s="647">
        <f t="shared" si="423"/>
        <v>0.25226999999999999</v>
      </c>
      <c r="X539" s="647">
        <f t="shared" si="423"/>
        <v>0.25226999999999999</v>
      </c>
      <c r="Y539" s="647">
        <f t="shared" si="423"/>
        <v>0.25226999999999999</v>
      </c>
      <c r="Z539" s="647">
        <f t="shared" si="423"/>
        <v>0.25226999999999999</v>
      </c>
      <c r="AA539" s="647">
        <f t="shared" si="423"/>
        <v>0.25226999999999999</v>
      </c>
      <c r="AB539" s="647">
        <f t="shared" si="423"/>
        <v>0.25226999999999999</v>
      </c>
      <c r="AC539" s="647">
        <f t="shared" si="423"/>
        <v>0.25226999999999999</v>
      </c>
      <c r="AD539" s="647">
        <f t="shared" si="423"/>
        <v>0.25226999999999999</v>
      </c>
    </row>
    <row r="540" spans="1:30" x14ac:dyDescent="0.3">
      <c r="B540" s="648" t="s">
        <v>1327</v>
      </c>
      <c r="C540" s="991">
        <f>C556/Admin!$V$8</f>
        <v>0</v>
      </c>
      <c r="D540" s="991">
        <f>E556/Admin!$V$8</f>
        <v>102.8556</v>
      </c>
      <c r="E540" s="991">
        <f>G556/Admin!$V$8</f>
        <v>810</v>
      </c>
      <c r="F540" s="570">
        <v>6.6699999999999995E-2</v>
      </c>
      <c r="G540" s="570">
        <v>0.22700000000000001</v>
      </c>
      <c r="H540" s="570">
        <v>63.1</v>
      </c>
      <c r="I540" s="570">
        <v>1E-3</v>
      </c>
      <c r="J540" s="570">
        <v>1E-4</v>
      </c>
      <c r="K540" s="1022">
        <f>(H540+(I540*Admin!$H$23)+(J540*Admin!H32))/Admin!$V$8/1000</f>
        <v>0.22725000000000001</v>
      </c>
      <c r="L540" s="649"/>
      <c r="M540" s="649"/>
      <c r="N540" s="649"/>
      <c r="O540" s="645">
        <f t="shared" si="422"/>
        <v>0.22725000000000001</v>
      </c>
      <c r="P540" s="647">
        <f t="shared" si="423"/>
        <v>0.22725000000000001</v>
      </c>
      <c r="Q540" s="647">
        <f t="shared" si="423"/>
        <v>0.22725000000000001</v>
      </c>
      <c r="R540" s="647">
        <f t="shared" si="423"/>
        <v>0.22725000000000001</v>
      </c>
      <c r="S540" s="647">
        <f t="shared" si="423"/>
        <v>0.22725000000000001</v>
      </c>
      <c r="T540" s="647">
        <f t="shared" si="423"/>
        <v>0.22725000000000001</v>
      </c>
      <c r="U540" s="647">
        <f t="shared" si="423"/>
        <v>0.22725000000000001</v>
      </c>
      <c r="V540" s="647">
        <f t="shared" si="423"/>
        <v>0.22725000000000001</v>
      </c>
      <c r="W540" s="647">
        <f t="shared" si="423"/>
        <v>0.22725000000000001</v>
      </c>
      <c r="X540" s="647">
        <f t="shared" si="423"/>
        <v>0.22725000000000001</v>
      </c>
      <c r="Y540" s="647">
        <f t="shared" si="423"/>
        <v>0.22725000000000001</v>
      </c>
      <c r="Z540" s="647">
        <f t="shared" si="423"/>
        <v>0.22725000000000001</v>
      </c>
      <c r="AA540" s="647">
        <f t="shared" si="423"/>
        <v>0.22725000000000001</v>
      </c>
      <c r="AB540" s="647">
        <f t="shared" si="423"/>
        <v>0.22725000000000001</v>
      </c>
      <c r="AC540" s="647">
        <f t="shared" si="423"/>
        <v>0.22725000000000001</v>
      </c>
      <c r="AD540" s="647">
        <f t="shared" si="423"/>
        <v>0.22725000000000001</v>
      </c>
    </row>
    <row r="541" spans="1:30" x14ac:dyDescent="0.3">
      <c r="B541" s="648" t="s">
        <v>2753</v>
      </c>
      <c r="C541" s="991">
        <f>C557/Admin!$V$8</f>
        <v>0</v>
      </c>
      <c r="D541" s="991">
        <f>E557/Admin!$V$8</f>
        <v>23.903999999999996</v>
      </c>
      <c r="E541" s="991">
        <f>G557/Admin!$V$8</f>
        <v>0</v>
      </c>
      <c r="F541" s="570">
        <v>7.5499999999999998E-2</v>
      </c>
      <c r="G541" s="570"/>
      <c r="H541" s="570">
        <v>73.3</v>
      </c>
      <c r="I541" s="570">
        <v>3.0000000000000001E-3</v>
      </c>
      <c r="J541" s="570">
        <v>5.9999999999999995E-4</v>
      </c>
      <c r="K541" s="1022">
        <f>(H541+(I541*Admin!$H$23)+(J541*Admin!H33))/Admin!$V$8/1000</f>
        <v>0.26415</v>
      </c>
      <c r="L541" s="649"/>
      <c r="M541" s="649"/>
      <c r="N541" s="649"/>
      <c r="O541" s="645">
        <f t="shared" si="422"/>
        <v>0.26415</v>
      </c>
      <c r="P541" s="647">
        <f t="shared" si="423"/>
        <v>0.26415</v>
      </c>
      <c r="Q541" s="647">
        <f t="shared" si="423"/>
        <v>0.26415</v>
      </c>
      <c r="R541" s="647">
        <f t="shared" si="423"/>
        <v>0.26415</v>
      </c>
      <c r="S541" s="647">
        <f t="shared" si="423"/>
        <v>0.26415</v>
      </c>
      <c r="T541" s="647">
        <f t="shared" si="423"/>
        <v>0.26415</v>
      </c>
      <c r="U541" s="647">
        <f t="shared" si="423"/>
        <v>0.26415</v>
      </c>
      <c r="V541" s="647">
        <f t="shared" si="423"/>
        <v>0.26415</v>
      </c>
      <c r="W541" s="647">
        <f t="shared" si="423"/>
        <v>0.26415</v>
      </c>
      <c r="X541" s="647">
        <f t="shared" si="423"/>
        <v>0.26415</v>
      </c>
      <c r="Y541" s="647">
        <f t="shared" si="423"/>
        <v>0.26415</v>
      </c>
      <c r="Z541" s="647">
        <f t="shared" si="423"/>
        <v>0.26415</v>
      </c>
      <c r="AA541" s="647">
        <f t="shared" si="423"/>
        <v>0.26415</v>
      </c>
      <c r="AB541" s="647">
        <f t="shared" si="423"/>
        <v>0.26415</v>
      </c>
      <c r="AC541" s="647">
        <f t="shared" si="423"/>
        <v>0.26415</v>
      </c>
      <c r="AD541" s="647">
        <f t="shared" si="423"/>
        <v>0.26415</v>
      </c>
    </row>
    <row r="542" spans="1:30" x14ac:dyDescent="0.3">
      <c r="B542" s="648" t="s">
        <v>1329</v>
      </c>
      <c r="C542" s="991">
        <f>C558/Admin!$V$8</f>
        <v>39.6</v>
      </c>
      <c r="D542" s="991">
        <f>E558/Admin!$V$8</f>
        <v>327.59999999999997</v>
      </c>
      <c r="E542" s="991">
        <f>G558/Admin!$V$8</f>
        <v>504</v>
      </c>
      <c r="F542" s="570"/>
      <c r="G542" s="570">
        <v>0.19700000000000001</v>
      </c>
      <c r="H542" s="570">
        <v>0</v>
      </c>
      <c r="I542" s="570">
        <v>3.0000000000000001E-3</v>
      </c>
      <c r="J542" s="570">
        <v>5.9999999999999995E-4</v>
      </c>
      <c r="K542" s="1022">
        <f>(H542+(I542*Admin!$H$23)+(J542*Admin!H34))/Admin!$V$8/1000</f>
        <v>2.6999999999999995E-4</v>
      </c>
      <c r="L542" s="649"/>
      <c r="M542" s="649"/>
      <c r="N542" s="649"/>
      <c r="O542" s="978">
        <f>G542</f>
        <v>0.19700000000000001</v>
      </c>
      <c r="P542" s="647">
        <f t="shared" si="423"/>
        <v>0.19700000000000001</v>
      </c>
      <c r="Q542" s="647">
        <f t="shared" si="423"/>
        <v>0.19700000000000001</v>
      </c>
      <c r="R542" s="647">
        <f t="shared" si="423"/>
        <v>0.19700000000000001</v>
      </c>
      <c r="S542" s="647">
        <f t="shared" si="423"/>
        <v>0.19700000000000001</v>
      </c>
      <c r="T542" s="647">
        <f t="shared" si="423"/>
        <v>0.19700000000000001</v>
      </c>
      <c r="U542" s="647">
        <f t="shared" si="423"/>
        <v>0.19700000000000001</v>
      </c>
      <c r="V542" s="647">
        <f t="shared" si="423"/>
        <v>0.19700000000000001</v>
      </c>
      <c r="W542" s="647">
        <f t="shared" si="423"/>
        <v>0.19700000000000001</v>
      </c>
      <c r="X542" s="647">
        <f t="shared" si="423"/>
        <v>0.19700000000000001</v>
      </c>
      <c r="Y542" s="647">
        <f t="shared" si="423"/>
        <v>0.19700000000000001</v>
      </c>
      <c r="Z542" s="647">
        <f t="shared" si="423"/>
        <v>0.19700000000000001</v>
      </c>
      <c r="AA542" s="647">
        <f t="shared" si="423"/>
        <v>0.19700000000000001</v>
      </c>
      <c r="AB542" s="647">
        <f t="shared" si="423"/>
        <v>0.19700000000000001</v>
      </c>
      <c r="AC542" s="647">
        <f t="shared" si="423"/>
        <v>0.19700000000000001</v>
      </c>
      <c r="AD542" s="647">
        <f t="shared" si="423"/>
        <v>0.19700000000000001</v>
      </c>
    </row>
    <row r="543" spans="1:30" x14ac:dyDescent="0.3">
      <c r="B543" s="648" t="s">
        <v>2917</v>
      </c>
      <c r="C543" s="991">
        <f>C559/Admin!$V$8</f>
        <v>39.6</v>
      </c>
      <c r="D543" s="991">
        <f>E559/Admin!$V$8</f>
        <v>327.59999999999997</v>
      </c>
      <c r="E543" s="991">
        <f>G559/Admin!$V$8</f>
        <v>504</v>
      </c>
      <c r="F543" s="570"/>
      <c r="G543" s="570">
        <v>0.25600000000000001</v>
      </c>
      <c r="H543" s="570">
        <v>0</v>
      </c>
      <c r="I543" s="570">
        <v>3.0000000000000001E-3</v>
      </c>
      <c r="J543" s="570">
        <v>5.9999999999999995E-4</v>
      </c>
      <c r="K543" s="1022">
        <f>(H543+(I543*Admin!$H$23)+(J543*Admin!H35))/Admin!$V$8/1000</f>
        <v>2.6999999999999995E-4</v>
      </c>
      <c r="L543" s="649"/>
      <c r="M543" s="649"/>
      <c r="N543" s="649"/>
      <c r="O543" s="978">
        <f t="shared" ref="O543:O544" si="424">G543</f>
        <v>0.25600000000000001</v>
      </c>
      <c r="P543" s="647">
        <f t="shared" si="423"/>
        <v>0.25600000000000001</v>
      </c>
      <c r="Q543" s="647">
        <f t="shared" si="423"/>
        <v>0.25600000000000001</v>
      </c>
      <c r="R543" s="647">
        <f t="shared" si="423"/>
        <v>0.25600000000000001</v>
      </c>
      <c r="S543" s="647">
        <f t="shared" si="423"/>
        <v>0.25600000000000001</v>
      </c>
      <c r="T543" s="647">
        <f t="shared" si="423"/>
        <v>0.25600000000000001</v>
      </c>
      <c r="U543" s="647">
        <f t="shared" si="423"/>
        <v>0.25600000000000001</v>
      </c>
      <c r="V543" s="647">
        <f t="shared" si="423"/>
        <v>0.25600000000000001</v>
      </c>
      <c r="W543" s="647">
        <f t="shared" si="423"/>
        <v>0.25600000000000001</v>
      </c>
      <c r="X543" s="647">
        <f t="shared" si="423"/>
        <v>0.25600000000000001</v>
      </c>
      <c r="Y543" s="647">
        <f t="shared" si="423"/>
        <v>0.25600000000000001</v>
      </c>
      <c r="Z543" s="647">
        <f t="shared" si="423"/>
        <v>0.25600000000000001</v>
      </c>
      <c r="AA543" s="647">
        <f t="shared" si="423"/>
        <v>0.25600000000000001</v>
      </c>
      <c r="AB543" s="647">
        <f t="shared" si="423"/>
        <v>0.25600000000000001</v>
      </c>
      <c r="AC543" s="647">
        <f t="shared" si="423"/>
        <v>0.25600000000000001</v>
      </c>
      <c r="AD543" s="647">
        <f t="shared" si="423"/>
        <v>0.25600000000000001</v>
      </c>
    </row>
    <row r="544" spans="1:30" x14ac:dyDescent="0.3">
      <c r="B544" s="648" t="s">
        <v>2745</v>
      </c>
      <c r="C544" s="991">
        <f>C560/Admin!$V$8</f>
        <v>39.6</v>
      </c>
      <c r="D544" s="991">
        <f>E560/Admin!$V$8</f>
        <v>327.59999999999997</v>
      </c>
      <c r="E544" s="991">
        <f>G560/Admin!$V$8</f>
        <v>504</v>
      </c>
      <c r="F544" s="570"/>
      <c r="G544" s="570">
        <v>0.40300000000000002</v>
      </c>
      <c r="H544" s="570">
        <v>0</v>
      </c>
      <c r="I544" s="570">
        <v>0.03</v>
      </c>
      <c r="J544" s="570">
        <v>4.0000000000000001E-3</v>
      </c>
      <c r="K544" s="1022">
        <f>(H544+(I544*Admin!$H$23)+(J544*Admin!H36))/Admin!$V$8/1000</f>
        <v>2.6999999999999997E-3</v>
      </c>
      <c r="L544" s="649"/>
      <c r="M544" s="649"/>
      <c r="N544" s="649">
        <v>0.39</v>
      </c>
      <c r="O544" s="978">
        <f t="shared" si="424"/>
        <v>0.40300000000000002</v>
      </c>
      <c r="P544" s="647">
        <f t="shared" si="423"/>
        <v>0.40300000000000002</v>
      </c>
      <c r="Q544" s="647">
        <f t="shared" si="423"/>
        <v>0.40300000000000002</v>
      </c>
      <c r="R544" s="647">
        <f t="shared" si="423"/>
        <v>0.40300000000000002</v>
      </c>
      <c r="S544" s="647">
        <f t="shared" si="423"/>
        <v>0.40300000000000002</v>
      </c>
      <c r="T544" s="647">
        <f t="shared" si="423"/>
        <v>0.40300000000000002</v>
      </c>
      <c r="U544" s="647">
        <f t="shared" si="423"/>
        <v>0.40300000000000002</v>
      </c>
      <c r="V544" s="647">
        <f t="shared" si="423"/>
        <v>0.40300000000000002</v>
      </c>
      <c r="W544" s="647">
        <f t="shared" si="423"/>
        <v>0.40300000000000002</v>
      </c>
      <c r="X544" s="647">
        <f t="shared" si="423"/>
        <v>0.40300000000000002</v>
      </c>
      <c r="Y544" s="647">
        <f t="shared" si="423"/>
        <v>0.40300000000000002</v>
      </c>
      <c r="Z544" s="647">
        <f t="shared" si="423"/>
        <v>0.40300000000000002</v>
      </c>
      <c r="AA544" s="647">
        <f t="shared" si="423"/>
        <v>0.40300000000000002</v>
      </c>
      <c r="AB544" s="647">
        <f t="shared" si="423"/>
        <v>0.40300000000000002</v>
      </c>
      <c r="AC544" s="647">
        <f t="shared" si="423"/>
        <v>0.40300000000000002</v>
      </c>
      <c r="AD544" s="647">
        <f t="shared" si="423"/>
        <v>0.40300000000000002</v>
      </c>
    </row>
    <row r="545" spans="2:30" x14ac:dyDescent="0.3">
      <c r="B545" s="964" t="s">
        <v>2759</v>
      </c>
      <c r="C545" s="987">
        <f>($L$213*C544)+($L$215*C530)+($L$216*C541)</f>
        <v>23.329008000000002</v>
      </c>
      <c r="D545" s="987">
        <f>($L$213*D544)+($L$215*D530)+($L$216*D541)</f>
        <v>257.105232</v>
      </c>
      <c r="E545" s="987">
        <f>($L$213*E544)+($L$215*E530)+($L$216*E541)</f>
        <v>295.78319999999997</v>
      </c>
      <c r="F545" s="570"/>
      <c r="G545" s="570"/>
      <c r="H545" s="570"/>
      <c r="I545" s="570"/>
      <c r="J545" s="570"/>
      <c r="K545" s="1004"/>
      <c r="L545" s="649"/>
      <c r="M545" s="649"/>
      <c r="N545" s="649"/>
      <c r="O545" s="998">
        <f t="shared" ref="O545:Y545" si="425">($L$213*O544)+($L$215*O530)+($L$216*O541)</f>
        <v>0.29130631328000001</v>
      </c>
      <c r="P545" s="998">
        <f t="shared" si="425"/>
        <v>0.29130631328000001</v>
      </c>
      <c r="Q545" s="998">
        <f t="shared" si="425"/>
        <v>0.29130631328000001</v>
      </c>
      <c r="R545" s="998">
        <f t="shared" si="425"/>
        <v>0.29130631328000001</v>
      </c>
      <c r="S545" s="998">
        <f t="shared" si="425"/>
        <v>0.29130631328000001</v>
      </c>
      <c r="T545" s="998">
        <f t="shared" si="425"/>
        <v>0.29130631328000001</v>
      </c>
      <c r="U545" s="998">
        <f t="shared" si="425"/>
        <v>0.29130631328000001</v>
      </c>
      <c r="V545" s="998">
        <f t="shared" si="425"/>
        <v>0.29130631328000001</v>
      </c>
      <c r="W545" s="998">
        <f t="shared" si="425"/>
        <v>0.29130631328000001</v>
      </c>
      <c r="X545" s="998">
        <f t="shared" si="425"/>
        <v>0.29130631328000001</v>
      </c>
      <c r="Y545" s="998">
        <f t="shared" si="425"/>
        <v>0.29130631328000001</v>
      </c>
      <c r="Z545" s="998">
        <f t="shared" ref="Z545:AD545" si="426">($L$213*Z544)+($L$215*Z530)+($L$216*Z541)</f>
        <v>0.29130631328000001</v>
      </c>
      <c r="AA545" s="998">
        <f t="shared" si="426"/>
        <v>0.29130631328000001</v>
      </c>
      <c r="AB545" s="998">
        <f t="shared" si="426"/>
        <v>0.29130631328000001</v>
      </c>
      <c r="AC545" s="998">
        <f t="shared" si="426"/>
        <v>0.29130631328000001</v>
      </c>
      <c r="AD545" s="998">
        <f t="shared" si="426"/>
        <v>0.29130631328000001</v>
      </c>
    </row>
    <row r="546" spans="2:30" x14ac:dyDescent="0.3">
      <c r="M546" s="976"/>
    </row>
    <row r="547" spans="2:30" x14ac:dyDescent="0.3">
      <c r="B547" s="992" t="s">
        <v>2918</v>
      </c>
      <c r="K547" s="976"/>
    </row>
    <row r="548" spans="2:30" x14ac:dyDescent="0.3">
      <c r="B548" s="556"/>
      <c r="C548" s="556" t="s">
        <v>407</v>
      </c>
      <c r="D548" s="556"/>
      <c r="E548" s="556" t="s">
        <v>2919</v>
      </c>
      <c r="F548" s="556"/>
      <c r="G548" s="556" t="s">
        <v>409</v>
      </c>
      <c r="H548" s="556"/>
      <c r="I548"/>
      <c r="J548"/>
      <c r="K548" s="976"/>
    </row>
    <row r="549" spans="2:30" x14ac:dyDescent="0.3">
      <c r="B549" s="556" t="s">
        <v>24</v>
      </c>
      <c r="C549" s="556" t="s">
        <v>2899</v>
      </c>
      <c r="D549" s="556" t="s">
        <v>59</v>
      </c>
      <c r="E549" s="556" t="s">
        <v>2899</v>
      </c>
      <c r="F549" s="556" t="s">
        <v>59</v>
      </c>
      <c r="G549" s="556" t="s">
        <v>2899</v>
      </c>
      <c r="H549" s="556" t="s">
        <v>59</v>
      </c>
      <c r="I549"/>
      <c r="J549"/>
      <c r="K549" s="976"/>
    </row>
    <row r="550" spans="2:30" x14ac:dyDescent="0.3">
      <c r="B550" s="648" t="s">
        <v>389</v>
      </c>
      <c r="C550" s="570">
        <v>0.28000000000000003</v>
      </c>
      <c r="D550" s="570" t="s">
        <v>2920</v>
      </c>
      <c r="E550" s="570">
        <v>89</v>
      </c>
      <c r="F550" s="570" t="s">
        <v>2920</v>
      </c>
      <c r="G550" s="570">
        <v>2</v>
      </c>
      <c r="H550" s="570" t="s">
        <v>2920</v>
      </c>
      <c r="I550"/>
      <c r="J550"/>
      <c r="K550" s="976"/>
    </row>
    <row r="551" spans="2:30" x14ac:dyDescent="0.3">
      <c r="B551" s="648" t="s">
        <v>390</v>
      </c>
      <c r="C551" s="570">
        <v>900</v>
      </c>
      <c r="D551" s="570" t="s">
        <v>2920</v>
      </c>
      <c r="E551" s="570">
        <v>150</v>
      </c>
      <c r="F551" s="570" t="s">
        <v>2920</v>
      </c>
      <c r="G551" s="570">
        <v>55</v>
      </c>
      <c r="H551" s="570" t="s">
        <v>2920</v>
      </c>
      <c r="I551"/>
      <c r="J551"/>
      <c r="K551" s="976"/>
    </row>
    <row r="552" spans="2:30" x14ac:dyDescent="0.3">
      <c r="B552" s="648" t="s">
        <v>2730</v>
      </c>
      <c r="C552" s="570">
        <v>94</v>
      </c>
      <c r="D552" s="570" t="s">
        <v>2920</v>
      </c>
      <c r="E552" s="570">
        <f>31077/1000</f>
        <v>31.077000000000002</v>
      </c>
      <c r="F552" s="570" t="s">
        <v>2921</v>
      </c>
      <c r="G552" s="570">
        <v>3.6419999999999999</v>
      </c>
      <c r="H552" s="570" t="s">
        <v>2921</v>
      </c>
      <c r="I552"/>
      <c r="J552"/>
      <c r="K552" s="976"/>
    </row>
    <row r="553" spans="2:30" x14ac:dyDescent="0.3">
      <c r="B553" s="648" t="s">
        <v>2728</v>
      </c>
      <c r="C553" s="570">
        <v>20</v>
      </c>
      <c r="D553" s="570" t="s">
        <v>2921</v>
      </c>
      <c r="E553" s="570">
        <v>9.4</v>
      </c>
      <c r="F553" s="570" t="s">
        <v>2921</v>
      </c>
      <c r="G553" s="570">
        <v>9.5</v>
      </c>
      <c r="H553" s="570" t="s">
        <v>2921</v>
      </c>
      <c r="I553"/>
      <c r="J553"/>
      <c r="K553" s="976"/>
    </row>
    <row r="554" spans="2:30" x14ac:dyDescent="0.3">
      <c r="B554" s="648" t="s">
        <v>2814</v>
      </c>
      <c r="C554" s="570">
        <v>495</v>
      </c>
      <c r="D554" s="570" t="s">
        <v>2920</v>
      </c>
      <c r="E554" s="570">
        <v>142</v>
      </c>
      <c r="F554" s="570" t="s">
        <v>2920</v>
      </c>
      <c r="G554" s="570">
        <v>19.3</v>
      </c>
      <c r="H554" s="570" t="s">
        <v>2920</v>
      </c>
      <c r="I554"/>
      <c r="J554"/>
      <c r="K554" s="976"/>
    </row>
    <row r="555" spans="2:30" x14ac:dyDescent="0.3">
      <c r="B555" s="648" t="s">
        <v>2749</v>
      </c>
      <c r="C555" s="570">
        <v>1.45</v>
      </c>
      <c r="D555" s="570" t="s">
        <v>2922</v>
      </c>
      <c r="E555" s="570">
        <v>23.76</v>
      </c>
      <c r="F555" s="570" t="s">
        <v>2922</v>
      </c>
      <c r="G555" s="570">
        <v>0</v>
      </c>
      <c r="H555" s="570"/>
      <c r="I555"/>
      <c r="J555"/>
      <c r="K555" s="976"/>
    </row>
    <row r="556" spans="2:30" x14ac:dyDescent="0.3">
      <c r="B556" s="648" t="s">
        <v>1327</v>
      </c>
      <c r="C556" s="570">
        <v>0</v>
      </c>
      <c r="D556" s="570"/>
      <c r="E556" s="570">
        <f>28571/1000</f>
        <v>28.571000000000002</v>
      </c>
      <c r="F556" s="570" t="s">
        <v>2921</v>
      </c>
      <c r="G556" s="570">
        <v>225</v>
      </c>
      <c r="H556" s="570" t="s">
        <v>2923</v>
      </c>
      <c r="I556"/>
      <c r="J556"/>
      <c r="K556" s="976"/>
    </row>
    <row r="557" spans="2:30" x14ac:dyDescent="0.3">
      <c r="B557" s="648" t="s">
        <v>2753</v>
      </c>
      <c r="C557" s="570">
        <v>0</v>
      </c>
      <c r="D557" s="570"/>
      <c r="E557" s="570">
        <v>6.64</v>
      </c>
      <c r="F557" s="570" t="s">
        <v>2924</v>
      </c>
      <c r="G557" s="570">
        <v>0</v>
      </c>
      <c r="H557" s="570"/>
      <c r="I557"/>
      <c r="J557"/>
      <c r="K557" s="976"/>
    </row>
    <row r="558" spans="2:30" x14ac:dyDescent="0.3">
      <c r="B558" s="648" t="s">
        <v>1329</v>
      </c>
      <c r="C558" s="570">
        <v>11</v>
      </c>
      <c r="D558" s="570" t="s">
        <v>2920</v>
      </c>
      <c r="E558" s="570">
        <v>91</v>
      </c>
      <c r="F558" s="570" t="s">
        <v>2920</v>
      </c>
      <c r="G558" s="570">
        <v>140</v>
      </c>
      <c r="H558" s="570" t="s">
        <v>2920</v>
      </c>
      <c r="I558"/>
      <c r="J558"/>
      <c r="K558" s="976"/>
    </row>
    <row r="559" spans="2:30" x14ac:dyDescent="0.3">
      <c r="B559" s="648" t="s">
        <v>2917</v>
      </c>
      <c r="C559" s="570">
        <v>11</v>
      </c>
      <c r="D559" s="570" t="s">
        <v>2920</v>
      </c>
      <c r="E559" s="570">
        <v>91</v>
      </c>
      <c r="F559" s="570" t="s">
        <v>2920</v>
      </c>
      <c r="G559" s="570">
        <v>140</v>
      </c>
      <c r="H559" s="570" t="s">
        <v>2920</v>
      </c>
      <c r="I559"/>
      <c r="J559"/>
      <c r="K559" s="976"/>
    </row>
    <row r="560" spans="2:30" x14ac:dyDescent="0.3">
      <c r="B560" s="648" t="s">
        <v>2745</v>
      </c>
      <c r="C560" s="570">
        <v>11</v>
      </c>
      <c r="D560" s="570" t="s">
        <v>2920</v>
      </c>
      <c r="E560" s="570">
        <v>91</v>
      </c>
      <c r="F560" s="570" t="s">
        <v>2920</v>
      </c>
      <c r="G560" s="570">
        <v>140</v>
      </c>
      <c r="H560" s="570" t="s">
        <v>2920</v>
      </c>
      <c r="I560"/>
      <c r="J560"/>
      <c r="K560" s="976"/>
    </row>
    <row r="561" spans="2:21" x14ac:dyDescent="0.3">
      <c r="B561" s="964"/>
      <c r="K561" s="976"/>
    </row>
    <row r="562" spans="2:21" x14ac:dyDescent="0.3">
      <c r="K562" s="976"/>
    </row>
    <row r="563" spans="2:21" x14ac:dyDescent="0.3">
      <c r="B563" s="555" t="s">
        <v>2925</v>
      </c>
    </row>
    <row r="564" spans="2:21" x14ac:dyDescent="0.3">
      <c r="B564" s="556"/>
      <c r="C564" s="556" t="s">
        <v>2904</v>
      </c>
      <c r="D564" s="556" t="s">
        <v>2926</v>
      </c>
      <c r="E564" s="556" t="s">
        <v>2927</v>
      </c>
      <c r="F564" s="556" t="s">
        <v>2928</v>
      </c>
      <c r="G564" s="556">
        <v>2021</v>
      </c>
      <c r="H564" s="556">
        <v>2022</v>
      </c>
      <c r="I564" s="556">
        <v>2023</v>
      </c>
      <c r="J564" s="556">
        <v>2024</v>
      </c>
      <c r="K564" s="556">
        <v>2025</v>
      </c>
      <c r="L564" s="556">
        <v>2026</v>
      </c>
      <c r="M564" s="556">
        <v>2027</v>
      </c>
      <c r="N564" s="556">
        <v>2028</v>
      </c>
      <c r="O564" s="556">
        <v>2029</v>
      </c>
      <c r="P564" s="556">
        <v>2030</v>
      </c>
      <c r="Q564" s="556">
        <v>2031</v>
      </c>
      <c r="R564" s="556">
        <v>2032</v>
      </c>
      <c r="S564" s="556">
        <v>2033</v>
      </c>
      <c r="T564" s="556">
        <v>2034</v>
      </c>
      <c r="U564" s="556">
        <v>2035</v>
      </c>
    </row>
    <row r="565" spans="2:21" x14ac:dyDescent="0.3">
      <c r="B565" s="644" t="s">
        <v>50</v>
      </c>
      <c r="C565" s="650">
        <f t="shared" ref="C565:C570" si="427">SUMPRODUCT(O$529:O$534,$C$135:$C$140)</f>
        <v>0.5433689626675221</v>
      </c>
      <c r="D565" s="993">
        <f>SUMPRODUCT(C$529:C$534,$C$156:$C$161)/1000000</f>
        <v>1.3362413950117078E-4</v>
      </c>
      <c r="E565" s="993">
        <f>SUMPRODUCT(D$529:D$534,$C$156:$C$161)/1000000</f>
        <v>1.3749881050068873E-4</v>
      </c>
      <c r="F565" s="993">
        <f>SUMPRODUCT(E$529:E$534,$C$156:$C$161)/1000000</f>
        <v>6.4654002468233511E-5</v>
      </c>
      <c r="G565" s="994">
        <f t="shared" ref="G565:U565" si="428">SUMPRODUCT(P$529:P$534,D$156:D$161)</f>
        <v>0.53355334991686332</v>
      </c>
      <c r="H565" s="994">
        <f t="shared" si="428"/>
        <v>0.51958823994877212</v>
      </c>
      <c r="I565" s="994">
        <f t="shared" si="428"/>
        <v>0.50448545962414593</v>
      </c>
      <c r="J565" s="994">
        <f t="shared" si="428"/>
        <v>0.48952935222905247</v>
      </c>
      <c r="K565" s="994">
        <f t="shared" si="428"/>
        <v>0.47462520354265109</v>
      </c>
      <c r="L565" s="994">
        <f t="shared" si="428"/>
        <v>0.45955298593346627</v>
      </c>
      <c r="M565" s="994">
        <f t="shared" si="428"/>
        <v>0.44440391966038989</v>
      </c>
      <c r="N565" s="994">
        <f t="shared" si="428"/>
        <v>0.42906664736073419</v>
      </c>
      <c r="O565" s="994">
        <f t="shared" si="428"/>
        <v>0.41344526309908014</v>
      </c>
      <c r="P565" s="994">
        <f t="shared" si="428"/>
        <v>0.38029673458479923</v>
      </c>
      <c r="Q565" s="994">
        <f t="shared" si="428"/>
        <v>0.11833178215962066</v>
      </c>
      <c r="R565" s="994">
        <f t="shared" si="428"/>
        <v>0.5531936031854171</v>
      </c>
      <c r="S565" s="994">
        <f t="shared" si="428"/>
        <v>0.5531936031854171</v>
      </c>
      <c r="T565" s="994">
        <f t="shared" si="428"/>
        <v>0.53590391632535528</v>
      </c>
      <c r="U565" s="994">
        <f t="shared" si="428"/>
        <v>0.51861422946529345</v>
      </c>
    </row>
    <row r="566" spans="2:21" x14ac:dyDescent="0.3">
      <c r="B566" s="644" t="s">
        <v>51</v>
      </c>
      <c r="C566" s="650">
        <f t="shared" si="427"/>
        <v>0.5433689626675221</v>
      </c>
      <c r="D566" s="994">
        <f>(((C535*$D$169)+($D$170*C534)))/1000000</f>
        <v>4.172849643314686E-5</v>
      </c>
      <c r="E566" s="994">
        <f>(((D535*$D$169)+($D$170*D534)))/1000000</f>
        <v>2.4220833743221782E-4</v>
      </c>
      <c r="F566" s="994">
        <f>(((E535*$D$169)+($D$170*E534)))/1000000</f>
        <v>2.8096198755068991E-4</v>
      </c>
      <c r="G566" s="983">
        <f t="shared" ref="G566:P566" si="429">((P535*D$169)+(D$170*P534))</f>
        <v>0.24751971868704103</v>
      </c>
      <c r="H566" s="983">
        <f t="shared" si="429"/>
        <v>0.23998183039420495</v>
      </c>
      <c r="I566" s="983">
        <f t="shared" si="429"/>
        <v>0.23237273428732694</v>
      </c>
      <c r="J566" s="983">
        <f t="shared" si="429"/>
        <v>0.22469171747786718</v>
      </c>
      <c r="K566" s="983">
        <f t="shared" si="429"/>
        <v>0.21693809932613856</v>
      </c>
      <c r="L566" s="983">
        <f t="shared" si="429"/>
        <v>0.20911123246158253</v>
      </c>
      <c r="M566" s="983">
        <f t="shared" si="429"/>
        <v>0.20111336820029019</v>
      </c>
      <c r="N566" s="983">
        <f t="shared" si="429"/>
        <v>0.19305147078764995</v>
      </c>
      <c r="O566" s="983">
        <f t="shared" si="429"/>
        <v>0.18492518472229652</v>
      </c>
      <c r="P566" s="983">
        <f t="shared" si="429"/>
        <v>0.16802502408360789</v>
      </c>
      <c r="Q566" s="983">
        <f t="shared" ref="Q566" si="430">((Z535*N$169)+(N$170*Z534))</f>
        <v>0</v>
      </c>
      <c r="R566" s="983">
        <f t="shared" ref="R566" si="431">((AA535*O$169)+(O$170*AA534))</f>
        <v>0.25511650512039413</v>
      </c>
      <c r="S566" s="983">
        <f t="shared" ref="S566" si="432">((AB535*P$169)+(P$170*AB534))</f>
        <v>0.25511650512039413</v>
      </c>
      <c r="T566" s="983">
        <f t="shared" ref="T566" si="433">((AC535*Q$169)+(Q$170*AC534))</f>
        <v>0.24640735701671551</v>
      </c>
      <c r="U566" s="983">
        <f t="shared" ref="U566" si="434">((AD535*R$169)+(R$170*AD534))</f>
        <v>0.23769820891303686</v>
      </c>
    </row>
    <row r="567" spans="2:21" x14ac:dyDescent="0.3">
      <c r="B567" s="644" t="s">
        <v>52</v>
      </c>
      <c r="C567" s="650">
        <f t="shared" si="427"/>
        <v>0.5433689626675221</v>
      </c>
      <c r="D567" s="983">
        <f>SUMPRODUCT(C$529:C$534,$D$174:$D$179)/1000000</f>
        <v>2.4870115616860555E-5</v>
      </c>
      <c r="E567" s="983">
        <f>SUMPRODUCT(D$529:D$534,$D$174:$D$179)/1000000</f>
        <v>9.3042670417440985E-5</v>
      </c>
      <c r="F567" s="983">
        <f>SUMPRODUCT(E$529:E$534,$D$174:$D$179)/1000000</f>
        <v>1.1445383128790045E-4</v>
      </c>
      <c r="G567" s="994">
        <f t="shared" ref="G567:U567" si="435">SUMPRODUCT(P$529:P$534,D$174:D$179)</f>
        <v>0.5268667208793556</v>
      </c>
      <c r="H567" s="994">
        <f t="shared" si="435"/>
        <v>0.50985598615034489</v>
      </c>
      <c r="I567" s="994">
        <f t="shared" si="435"/>
        <v>0.49295830141569441</v>
      </c>
      <c r="J567" s="994">
        <f t="shared" si="435"/>
        <v>0.47617384622734577</v>
      </c>
      <c r="K567" s="994">
        <f t="shared" si="435"/>
        <v>0.45950273893686427</v>
      </c>
      <c r="L567" s="994">
        <f t="shared" si="435"/>
        <v>0.44294503685449366</v>
      </c>
      <c r="M567" s="994">
        <f t="shared" si="435"/>
        <v>0.42651895250502525</v>
      </c>
      <c r="N567" s="994">
        <f t="shared" si="435"/>
        <v>0.41020286066682243</v>
      </c>
      <c r="O567" s="994">
        <f t="shared" si="435"/>
        <v>0.39399670269476306</v>
      </c>
      <c r="P567" s="994">
        <f t="shared" si="435"/>
        <v>0.36234237608070874</v>
      </c>
      <c r="Q567" s="994">
        <f t="shared" si="435"/>
        <v>0.12661526048351521</v>
      </c>
      <c r="R567" s="994">
        <f t="shared" si="435"/>
        <v>0.51792227237485644</v>
      </c>
      <c r="S567" s="994">
        <f t="shared" si="435"/>
        <v>0.51792227237485644</v>
      </c>
      <c r="T567" s="994">
        <f t="shared" si="435"/>
        <v>0.50236428274544165</v>
      </c>
      <c r="U567" s="994">
        <f t="shared" si="435"/>
        <v>0.48680629311602686</v>
      </c>
    </row>
    <row r="568" spans="2:21" x14ac:dyDescent="0.3">
      <c r="B568" s="644" t="s">
        <v>53</v>
      </c>
      <c r="C568" s="650">
        <f t="shared" si="427"/>
        <v>0.5433689626675221</v>
      </c>
      <c r="D568" s="994">
        <f>SUMPRODUCT(C$529:C$534,$D$183:$D$188)/1000000</f>
        <v>2.598684003070346E-4</v>
      </c>
      <c r="E568" s="994">
        <f>SUMPRODUCT(D$529:D$534,$D$183:$D$188)/1000000</f>
        <v>4.0997737823187842E-5</v>
      </c>
      <c r="F568" s="994">
        <f>SUMPRODUCT(E$529:E$534,$D$183:$D$188)/1000000</f>
        <v>5.1372116841512948E-5</v>
      </c>
      <c r="G568" s="983">
        <f t="shared" ref="G568:U568" si="436">SUMPRODUCT(P$529:P$534,D$183:D$188)</f>
        <v>0.27176180469870276</v>
      </c>
      <c r="H568" s="983">
        <f t="shared" si="436"/>
        <v>0.27364576549682545</v>
      </c>
      <c r="I568" s="983">
        <f t="shared" si="436"/>
        <v>0.27516952867124694</v>
      </c>
      <c r="J568" s="983">
        <f t="shared" si="436"/>
        <v>0.2763597338158113</v>
      </c>
      <c r="K568" s="983">
        <f t="shared" si="436"/>
        <v>0.27724207882918195</v>
      </c>
      <c r="L568" s="983">
        <f t="shared" si="436"/>
        <v>0.27784135498285784</v>
      </c>
      <c r="M568" s="983">
        <f t="shared" si="436"/>
        <v>0.27818148075093846</v>
      </c>
      <c r="N568" s="983">
        <f t="shared" si="436"/>
        <v>0.27828553444451165</v>
      </c>
      <c r="O568" s="983">
        <f t="shared" si="436"/>
        <v>0.27817578569207119</v>
      </c>
      <c r="P568" s="983">
        <f t="shared" si="436"/>
        <v>0.27695127723150587</v>
      </c>
      <c r="Q568" s="983">
        <f t="shared" si="436"/>
        <v>0.2629747836790593</v>
      </c>
      <c r="R568" s="983">
        <f t="shared" si="436"/>
        <v>0.28617576297612057</v>
      </c>
      <c r="S568" s="983">
        <f t="shared" si="436"/>
        <v>0.28617576297612057</v>
      </c>
      <c r="T568" s="983">
        <f t="shared" si="436"/>
        <v>0.28525331440165913</v>
      </c>
      <c r="U568" s="983">
        <f t="shared" si="436"/>
        <v>0.28433086582719763</v>
      </c>
    </row>
    <row r="569" spans="2:21" x14ac:dyDescent="0.3">
      <c r="B569" s="644" t="s">
        <v>54</v>
      </c>
      <c r="C569" s="650">
        <f t="shared" si="427"/>
        <v>0.5433689626675221</v>
      </c>
      <c r="D569" s="983">
        <f>SUMPRODUCT(C$529:C$534,$G$135:$G$140)/1000000</f>
        <v>2.2680849793225036E-4</v>
      </c>
      <c r="E569" s="983">
        <f>SUMPRODUCT(D$529:D$534,$G$135:$G$140)/1000000</f>
        <v>4.3305698342837685E-5</v>
      </c>
      <c r="F569" s="983">
        <f>SUMPRODUCT(E$529:E$534,$G$135:$G$140)/1000000</f>
        <v>4.018795385157423E-5</v>
      </c>
      <c r="G569" s="994">
        <f t="shared" ref="G569:U569" si="437">SUMPRODUCT(P$529:P$534,$G$135:$G$140)</f>
        <v>0.35367262396887023</v>
      </c>
      <c r="H569" s="994">
        <f t="shared" si="437"/>
        <v>0.34847329680318478</v>
      </c>
      <c r="I569" s="994">
        <f t="shared" si="437"/>
        <v>0.34327396963749934</v>
      </c>
      <c r="J569" s="994">
        <f t="shared" si="437"/>
        <v>0.33807464247181385</v>
      </c>
      <c r="K569" s="994">
        <f t="shared" si="437"/>
        <v>0.33287531530612841</v>
      </c>
      <c r="L569" s="994">
        <f t="shared" si="437"/>
        <v>0.32767598814044296</v>
      </c>
      <c r="M569" s="994">
        <f t="shared" si="437"/>
        <v>0.32247666097475752</v>
      </c>
      <c r="N569" s="994">
        <f t="shared" si="437"/>
        <v>0.31727733380907208</v>
      </c>
      <c r="O569" s="994">
        <f t="shared" si="437"/>
        <v>0.31207800664338659</v>
      </c>
      <c r="P569" s="994">
        <f t="shared" si="437"/>
        <v>0.30167935231201576</v>
      </c>
      <c r="Q569" s="994">
        <f t="shared" si="437"/>
        <v>0.22290166798344832</v>
      </c>
      <c r="R569" s="994">
        <f t="shared" si="437"/>
        <v>0.35367262396887023</v>
      </c>
      <c r="S569" s="994">
        <f t="shared" si="437"/>
        <v>0.35367262396887023</v>
      </c>
      <c r="T569" s="994">
        <f t="shared" si="437"/>
        <v>0.34847329680318478</v>
      </c>
      <c r="U569" s="994">
        <f t="shared" si="437"/>
        <v>0.34327396963749934</v>
      </c>
    </row>
    <row r="570" spans="2:21" x14ac:dyDescent="0.3">
      <c r="B570" s="644" t="s">
        <v>470</v>
      </c>
      <c r="C570" s="650">
        <f t="shared" si="427"/>
        <v>0.5433689626675221</v>
      </c>
      <c r="D570" s="994">
        <f>SUMPRODUCT(C$529:C$534,$D$201:$D$206)/1000000</f>
        <v>1.1059162975607767E-4</v>
      </c>
      <c r="E570" s="994">
        <f>SUMPRODUCT(D$529:D$534,$D$201:$D$206)/1000000</f>
        <v>9.0229026003359479E-5</v>
      </c>
      <c r="F570" s="994">
        <f>SUMPRODUCT(E$529:E$534,$D$201:$D$206)/1000000</f>
        <v>1.0007902202965765E-4</v>
      </c>
      <c r="G570" s="983">
        <f t="shared" ref="G570:U570" si="438">SUMPRODUCT(P$529:P$534,D$201:D$206)</f>
        <v>0.38356434550486979</v>
      </c>
      <c r="H570" s="983">
        <f t="shared" si="438"/>
        <v>0.37459073941554988</v>
      </c>
      <c r="I570" s="983">
        <f t="shared" si="438"/>
        <v>0.36818373614129979</v>
      </c>
      <c r="J570" s="983">
        <f t="shared" si="438"/>
        <v>0.36167532609593722</v>
      </c>
      <c r="K570" s="983">
        <f t="shared" si="438"/>
        <v>0.35502036163891532</v>
      </c>
      <c r="L570" s="983">
        <f t="shared" si="438"/>
        <v>0.34822545556140261</v>
      </c>
      <c r="M570" s="983">
        <f t="shared" si="438"/>
        <v>0.34126782553931101</v>
      </c>
      <c r="N570" s="983">
        <f t="shared" si="438"/>
        <v>0.33418811362522449</v>
      </c>
      <c r="O570" s="983">
        <f t="shared" si="438"/>
        <v>0.32699247922404723</v>
      </c>
      <c r="P570" s="983">
        <f t="shared" si="438"/>
        <v>0.31191578954788446</v>
      </c>
      <c r="Q570" s="983">
        <f t="shared" si="438"/>
        <v>0.19417130544151856</v>
      </c>
      <c r="R570" s="983">
        <f t="shared" si="438"/>
        <v>0.38962714905808599</v>
      </c>
      <c r="S570" s="983">
        <f t="shared" si="438"/>
        <v>0.38962714905808599</v>
      </c>
      <c r="T570" s="983">
        <f t="shared" si="438"/>
        <v>0.38185601310706585</v>
      </c>
      <c r="U570" s="983">
        <f t="shared" si="438"/>
        <v>0.37408487715604566</v>
      </c>
    </row>
    <row r="574" spans="2:21" x14ac:dyDescent="0.3">
      <c r="B574" s="995" t="s">
        <v>2929</v>
      </c>
    </row>
    <row r="575" spans="2:21" x14ac:dyDescent="0.3">
      <c r="D575" s="556">
        <v>2021</v>
      </c>
      <c r="E575" s="556">
        <v>2022</v>
      </c>
      <c r="F575" s="556">
        <v>2023</v>
      </c>
      <c r="G575" s="556">
        <v>2024</v>
      </c>
      <c r="H575" s="556">
        <v>2025</v>
      </c>
      <c r="I575" s="556">
        <v>2026</v>
      </c>
      <c r="J575" s="556">
        <v>2027</v>
      </c>
      <c r="K575" s="556">
        <v>2028</v>
      </c>
      <c r="L575" s="556">
        <v>2029</v>
      </c>
      <c r="M575" s="556">
        <v>2030</v>
      </c>
      <c r="N575" s="556">
        <v>2031</v>
      </c>
      <c r="O575" s="556">
        <v>2032</v>
      </c>
      <c r="P575" s="556">
        <v>2033</v>
      </c>
      <c r="Q575" s="556">
        <v>2034</v>
      </c>
      <c r="R575" s="556">
        <v>2035</v>
      </c>
    </row>
    <row r="576" spans="2:21" x14ac:dyDescent="0.3">
      <c r="B576" s="554" t="s">
        <v>693</v>
      </c>
      <c r="C576" s="554" t="s">
        <v>549</v>
      </c>
      <c r="D576" s="570">
        <v>11.3</v>
      </c>
      <c r="E576" s="570">
        <v>11.3</v>
      </c>
      <c r="F576" s="570">
        <v>11.3</v>
      </c>
      <c r="G576" s="570">
        <v>11.3</v>
      </c>
      <c r="H576" s="570">
        <v>11.3</v>
      </c>
      <c r="I576" s="570">
        <v>11.3</v>
      </c>
      <c r="J576" s="570">
        <v>11.3</v>
      </c>
      <c r="K576" s="570">
        <v>11.3</v>
      </c>
      <c r="L576" s="570">
        <v>11.3</v>
      </c>
      <c r="M576" s="570">
        <v>11.3</v>
      </c>
      <c r="N576" s="570">
        <v>11.3</v>
      </c>
      <c r="O576" s="570">
        <v>11.3</v>
      </c>
      <c r="P576" s="570">
        <v>11.3</v>
      </c>
      <c r="Q576" s="570">
        <v>11.3</v>
      </c>
      <c r="R576" s="570">
        <v>11.3</v>
      </c>
    </row>
    <row r="577" spans="2:18" x14ac:dyDescent="0.3">
      <c r="B577" s="554" t="s">
        <v>2930</v>
      </c>
      <c r="C577" s="554" t="s">
        <v>2931</v>
      </c>
      <c r="D577" s="996">
        <f>8080*1000</f>
        <v>8080000</v>
      </c>
      <c r="E577" s="996">
        <f t="shared" ref="E577:R577" si="439">8080*1000</f>
        <v>8080000</v>
      </c>
      <c r="F577" s="996">
        <f t="shared" si="439"/>
        <v>8080000</v>
      </c>
      <c r="G577" s="996">
        <f t="shared" si="439"/>
        <v>8080000</v>
      </c>
      <c r="H577" s="996">
        <f t="shared" si="439"/>
        <v>8080000</v>
      </c>
      <c r="I577" s="996">
        <f t="shared" si="439"/>
        <v>8080000</v>
      </c>
      <c r="J577" s="996">
        <f t="shared" si="439"/>
        <v>8080000</v>
      </c>
      <c r="K577" s="996">
        <f t="shared" si="439"/>
        <v>8080000</v>
      </c>
      <c r="L577" s="996">
        <f t="shared" si="439"/>
        <v>8080000</v>
      </c>
      <c r="M577" s="996">
        <f t="shared" si="439"/>
        <v>8080000</v>
      </c>
      <c r="N577" s="996">
        <f t="shared" si="439"/>
        <v>8080000</v>
      </c>
      <c r="O577" s="996">
        <f t="shared" si="439"/>
        <v>8080000</v>
      </c>
      <c r="P577" s="996">
        <f t="shared" si="439"/>
        <v>8080000</v>
      </c>
      <c r="Q577" s="996">
        <f t="shared" si="439"/>
        <v>8080000</v>
      </c>
      <c r="R577" s="996">
        <f t="shared" si="439"/>
        <v>8080000</v>
      </c>
    </row>
    <row r="578" spans="2:18" x14ac:dyDescent="0.3">
      <c r="B578" s="554" t="s">
        <v>2932</v>
      </c>
      <c r="C578" s="554" t="s">
        <v>98</v>
      </c>
      <c r="D578" s="987">
        <f>(D576*D577)/1000000</f>
        <v>91.304000000000002</v>
      </c>
      <c r="E578" s="987">
        <f t="shared" ref="E578:M578" si="440">(E576*E577)/1000000</f>
        <v>91.304000000000002</v>
      </c>
      <c r="F578" s="987">
        <f t="shared" si="440"/>
        <v>91.304000000000002</v>
      </c>
      <c r="G578" s="987">
        <f t="shared" si="440"/>
        <v>91.304000000000002</v>
      </c>
      <c r="H578" s="987">
        <f t="shared" si="440"/>
        <v>91.304000000000002</v>
      </c>
      <c r="I578" s="987">
        <f t="shared" si="440"/>
        <v>91.304000000000002</v>
      </c>
      <c r="J578" s="987">
        <f t="shared" si="440"/>
        <v>91.304000000000002</v>
      </c>
      <c r="K578" s="987">
        <f t="shared" si="440"/>
        <v>91.304000000000002</v>
      </c>
      <c r="L578" s="987">
        <f t="shared" si="440"/>
        <v>91.304000000000002</v>
      </c>
      <c r="M578" s="987">
        <f t="shared" si="440"/>
        <v>91.304000000000002</v>
      </c>
      <c r="N578" s="987">
        <f t="shared" ref="N578:R578" si="441">(N576*N577)/1000000</f>
        <v>91.304000000000002</v>
      </c>
      <c r="O578" s="987">
        <f t="shared" si="441"/>
        <v>91.304000000000002</v>
      </c>
      <c r="P578" s="987">
        <f t="shared" si="441"/>
        <v>91.304000000000002</v>
      </c>
      <c r="Q578" s="987">
        <f t="shared" si="441"/>
        <v>91.304000000000002</v>
      </c>
      <c r="R578" s="987">
        <f t="shared" si="441"/>
        <v>91.304000000000002</v>
      </c>
    </row>
    <row r="582" spans="2:18" ht="19.5" thickBot="1" x14ac:dyDescent="0.35">
      <c r="B582" s="1165" t="s">
        <v>2933</v>
      </c>
      <c r="C582" s="1165"/>
      <c r="D582" s="1165"/>
      <c r="E582" s="1165"/>
      <c r="F582" s="1165"/>
      <c r="G582" s="1165"/>
      <c r="H582" s="1165"/>
      <c r="I582" s="1165"/>
    </row>
    <row r="584" spans="2:18" x14ac:dyDescent="0.3">
      <c r="B584" s="1171" t="s">
        <v>2770</v>
      </c>
      <c r="C584" s="2170" t="s">
        <v>2934</v>
      </c>
      <c r="D584" s="2170"/>
      <c r="E584" s="2170"/>
      <c r="F584" s="2170"/>
    </row>
    <row r="585" spans="2:18" x14ac:dyDescent="0.3">
      <c r="B585" s="555"/>
    </row>
    <row r="586" spans="2:18" ht="27" x14ac:dyDescent="0.3">
      <c r="B586" s="556"/>
      <c r="C586" s="556" t="s">
        <v>1835</v>
      </c>
      <c r="D586" s="556" t="s">
        <v>2935</v>
      </c>
      <c r="E586" s="556" t="s">
        <v>2936</v>
      </c>
    </row>
    <row r="587" spans="2:18" x14ac:dyDescent="0.3">
      <c r="B587" s="572" t="s">
        <v>2937</v>
      </c>
      <c r="C587" s="570">
        <v>849294</v>
      </c>
      <c r="D587" s="570">
        <v>649538</v>
      </c>
      <c r="E587" s="972">
        <f>D587/C587</f>
        <v>0.76479758481750726</v>
      </c>
    </row>
    <row r="588" spans="2:18" x14ac:dyDescent="0.3">
      <c r="B588" s="572" t="s">
        <v>2938</v>
      </c>
      <c r="C588" s="570">
        <v>144193</v>
      </c>
      <c r="D588" s="570">
        <v>44867</v>
      </c>
      <c r="E588" s="972">
        <f>D588/C588</f>
        <v>0.31115934892817265</v>
      </c>
    </row>
    <row r="589" spans="2:18" x14ac:dyDescent="0.3">
      <c r="B589" s="572" t="s">
        <v>1202</v>
      </c>
      <c r="C589" s="570">
        <v>5365</v>
      </c>
      <c r="D589" s="570">
        <v>629</v>
      </c>
      <c r="E589" s="972">
        <f>D589/C589</f>
        <v>0.11724137931034483</v>
      </c>
    </row>
    <row r="590" spans="2:18" x14ac:dyDescent="0.3">
      <c r="B590" s="572" t="s">
        <v>1199</v>
      </c>
      <c r="C590" s="570">
        <v>43518</v>
      </c>
      <c r="D590" s="570">
        <v>38999</v>
      </c>
      <c r="E590" s="972">
        <f>D590/C590</f>
        <v>0.89615791166873482</v>
      </c>
    </row>
    <row r="591" spans="2:18" x14ac:dyDescent="0.3">
      <c r="B591" s="572" t="s">
        <v>55</v>
      </c>
      <c r="C591" s="570">
        <f>SUM(C587:C590)</f>
        <v>1042370</v>
      </c>
      <c r="D591" s="570">
        <f>SUM(D587:D590)</f>
        <v>734033</v>
      </c>
      <c r="E591" s="972">
        <f>D591/C591</f>
        <v>0.70419620672122185</v>
      </c>
    </row>
    <row r="594" spans="2:9" ht="19.5" thickBot="1" x14ac:dyDescent="0.35">
      <c r="B594" s="1165" t="s">
        <v>2939</v>
      </c>
      <c r="C594" s="1"/>
      <c r="D594" s="1"/>
      <c r="E594" s="1"/>
      <c r="F594" s="1"/>
      <c r="G594" s="1"/>
      <c r="H594" s="1"/>
      <c r="I594" s="1"/>
    </row>
    <row r="596" spans="2:9" ht="47.45" customHeight="1" x14ac:dyDescent="0.3">
      <c r="B596" s="1171" t="s">
        <v>2770</v>
      </c>
      <c r="C596" s="2173" t="s">
        <v>2940</v>
      </c>
      <c r="D596" s="2174"/>
      <c r="E596" s="2174"/>
      <c r="F596" s="2174"/>
      <c r="G596" s="2174"/>
      <c r="H596" s="2174"/>
    </row>
    <row r="597" spans="2:9" x14ac:dyDescent="0.3">
      <c r="C597" s="976"/>
    </row>
    <row r="598" spans="2:9" ht="40.5" x14ac:dyDescent="0.3">
      <c r="B598" s="556"/>
      <c r="C598" s="556" t="s">
        <v>2941</v>
      </c>
    </row>
    <row r="599" spans="2:9" x14ac:dyDescent="0.3">
      <c r="B599" s="648" t="s">
        <v>388</v>
      </c>
      <c r="C599" s="570">
        <v>1.1000000000000001</v>
      </c>
    </row>
    <row r="600" spans="2:9" x14ac:dyDescent="0.3">
      <c r="B600" s="648" t="s">
        <v>389</v>
      </c>
      <c r="C600" s="570">
        <v>1.1000000000000001</v>
      </c>
    </row>
    <row r="601" spans="2:9" x14ac:dyDescent="0.3">
      <c r="B601" s="648" t="s">
        <v>390</v>
      </c>
      <c r="C601" s="570">
        <v>1.1000000000000001</v>
      </c>
    </row>
    <row r="602" spans="2:9" x14ac:dyDescent="0.3">
      <c r="B602" s="648" t="s">
        <v>391</v>
      </c>
      <c r="C602" s="570">
        <v>1.1000000000000001</v>
      </c>
    </row>
    <row r="603" spans="2:9" x14ac:dyDescent="0.3">
      <c r="B603" s="648" t="s">
        <v>392</v>
      </c>
      <c r="C603" s="568">
        <v>1.3</v>
      </c>
    </row>
    <row r="604" spans="2:9" x14ac:dyDescent="0.3">
      <c r="B604" s="648" t="s">
        <v>393</v>
      </c>
      <c r="C604" s="488">
        <f>1/0.36</f>
        <v>2.7777777777777777</v>
      </c>
    </row>
    <row r="605" spans="2:9" x14ac:dyDescent="0.3">
      <c r="B605" s="648" t="s">
        <v>2808</v>
      </c>
      <c r="C605" s="568">
        <v>1.3</v>
      </c>
    </row>
    <row r="606" spans="2:9" x14ac:dyDescent="0.3">
      <c r="B606" s="648" t="s">
        <v>2730</v>
      </c>
      <c r="C606" s="570">
        <v>1.1000000000000001</v>
      </c>
    </row>
    <row r="607" spans="2:9" x14ac:dyDescent="0.3">
      <c r="B607" s="648" t="s">
        <v>2728</v>
      </c>
      <c r="C607" s="570">
        <v>1.1000000000000001</v>
      </c>
    </row>
    <row r="608" spans="2:9" x14ac:dyDescent="0.3">
      <c r="B608" s="648" t="s">
        <v>2814</v>
      </c>
      <c r="C608" s="570">
        <v>1.1000000000000001</v>
      </c>
    </row>
    <row r="609" spans="2:22" x14ac:dyDescent="0.3">
      <c r="B609" s="648" t="s">
        <v>2749</v>
      </c>
      <c r="C609" s="570">
        <v>1.1000000000000001</v>
      </c>
    </row>
    <row r="610" spans="2:22" x14ac:dyDescent="0.3">
      <c r="B610" s="648" t="s">
        <v>1327</v>
      </c>
      <c r="C610" s="570">
        <v>1.1000000000000001</v>
      </c>
    </row>
    <row r="611" spans="2:22" x14ac:dyDescent="0.3">
      <c r="B611" s="648" t="s">
        <v>2753</v>
      </c>
      <c r="C611" s="570">
        <v>1.1000000000000001</v>
      </c>
    </row>
    <row r="612" spans="2:22" x14ac:dyDescent="0.3">
      <c r="B612" s="648" t="s">
        <v>1329</v>
      </c>
      <c r="C612" s="570">
        <v>0.75</v>
      </c>
    </row>
    <row r="613" spans="2:22" x14ac:dyDescent="0.3">
      <c r="B613" s="648" t="s">
        <v>2917</v>
      </c>
      <c r="C613" s="570">
        <v>0.75</v>
      </c>
    </row>
    <row r="614" spans="2:22" x14ac:dyDescent="0.3">
      <c r="B614" s="648" t="s">
        <v>2745</v>
      </c>
      <c r="C614" s="570">
        <v>0.75</v>
      </c>
    </row>
    <row r="617" spans="2:22" ht="17.25" thickBot="1" x14ac:dyDescent="0.35">
      <c r="B617" s="1025" t="s">
        <v>2942</v>
      </c>
      <c r="C617" s="1025"/>
      <c r="D617" s="1025"/>
      <c r="E617" s="1025"/>
      <c r="F617" s="1025"/>
      <c r="G617" s="1025"/>
      <c r="H617" s="1025"/>
      <c r="I617" s="1025"/>
      <c r="J617" s="1025"/>
      <c r="K617" s="1025"/>
      <c r="L617" s="1025"/>
      <c r="M617" s="1025"/>
      <c r="N617" s="1025"/>
      <c r="O617" s="1025"/>
      <c r="P617" s="1025"/>
      <c r="Q617" s="1025"/>
      <c r="R617" s="1025"/>
      <c r="S617" s="1025"/>
      <c r="T617" s="1025"/>
      <c r="U617" s="1025"/>
      <c r="V617" s="1025"/>
    </row>
    <row r="618" spans="2:22" x14ac:dyDescent="0.3">
      <c r="B618" s="963"/>
    </row>
    <row r="619" spans="2:22" ht="15" x14ac:dyDescent="0.3">
      <c r="B619" s="1010" t="s">
        <v>2943</v>
      </c>
      <c r="C619" s="1007"/>
      <c r="D619" s="1007"/>
      <c r="E619" s="1007"/>
      <c r="F619" s="1007"/>
      <c r="G619" s="1007"/>
    </row>
    <row r="621" spans="2:22" ht="40.5" x14ac:dyDescent="0.3">
      <c r="B621" s="556" t="s">
        <v>2944</v>
      </c>
      <c r="C621" s="556" t="s">
        <v>2945</v>
      </c>
      <c r="D621" s="2154" t="s">
        <v>2743</v>
      </c>
      <c r="E621" s="2154"/>
      <c r="F621" s="2154"/>
      <c r="G621" s="2154"/>
    </row>
    <row r="622" spans="2:22" x14ac:dyDescent="0.3">
      <c r="B622" s="475" t="s">
        <v>2620</v>
      </c>
      <c r="C622" s="966">
        <v>17</v>
      </c>
      <c r="D622" s="2153" t="s">
        <v>16</v>
      </c>
      <c r="E622" s="2153"/>
      <c r="F622" s="2153"/>
      <c r="G622" s="2153"/>
    </row>
    <row r="623" spans="2:22" x14ac:dyDescent="0.3">
      <c r="B623" s="475" t="s">
        <v>50</v>
      </c>
      <c r="C623" s="966">
        <v>14</v>
      </c>
      <c r="D623" s="2153" t="s">
        <v>16</v>
      </c>
      <c r="E623" s="2153"/>
      <c r="F623" s="2153"/>
      <c r="G623" s="2153"/>
    </row>
    <row r="624" spans="2:22" x14ac:dyDescent="0.3">
      <c r="B624" s="475" t="s">
        <v>2946</v>
      </c>
      <c r="C624" s="966">
        <v>40.4</v>
      </c>
      <c r="D624" s="2153" t="s">
        <v>2947</v>
      </c>
      <c r="E624" s="2153"/>
      <c r="F624" s="2153"/>
      <c r="G624" s="2153"/>
    </row>
    <row r="625" spans="2:17" x14ac:dyDescent="0.3">
      <c r="B625" s="475" t="s">
        <v>2948</v>
      </c>
      <c r="C625" s="966">
        <v>15.8</v>
      </c>
      <c r="D625" s="2153" t="s">
        <v>2947</v>
      </c>
      <c r="E625" s="2153"/>
      <c r="F625" s="2153"/>
      <c r="G625" s="2153"/>
    </row>
    <row r="626" spans="2:17" x14ac:dyDescent="0.3">
      <c r="B626" s="475" t="s">
        <v>2949</v>
      </c>
      <c r="C626" s="966">
        <v>7.3</v>
      </c>
      <c r="D626" s="2153" t="s">
        <v>2950</v>
      </c>
      <c r="E626" s="2153"/>
      <c r="F626" s="2153"/>
      <c r="G626" s="2153"/>
    </row>
    <row r="627" spans="2:17" x14ac:dyDescent="0.3">
      <c r="B627" s="963"/>
    </row>
    <row r="628" spans="2:17" x14ac:dyDescent="0.3">
      <c r="B628" s="963"/>
    </row>
    <row r="629" spans="2:17" ht="15" x14ac:dyDescent="0.3">
      <c r="B629" s="1010" t="s">
        <v>2951</v>
      </c>
      <c r="C629" s="1007"/>
      <c r="D629" s="1007"/>
      <c r="E629" s="1007"/>
      <c r="F629" s="1007"/>
    </row>
    <row r="631" spans="2:17" x14ac:dyDescent="0.3">
      <c r="B631" s="556" t="s">
        <v>2785</v>
      </c>
      <c r="C631" s="2175" t="s">
        <v>2743</v>
      </c>
      <c r="D631" s="2175"/>
      <c r="E631" s="2175"/>
      <c r="G631" s="1166" t="s">
        <v>2952</v>
      </c>
    </row>
    <row r="632" spans="2:17" x14ac:dyDescent="0.3">
      <c r="B632" s="966">
        <v>0.19600000000000001</v>
      </c>
      <c r="C632" s="2153" t="s">
        <v>2953</v>
      </c>
      <c r="D632" s="2153"/>
      <c r="E632" s="2153"/>
    </row>
    <row r="634" spans="2:17" x14ac:dyDescent="0.3">
      <c r="B634" s="556" t="s">
        <v>434</v>
      </c>
      <c r="C634" s="556">
        <v>2021</v>
      </c>
      <c r="D634" s="556">
        <v>2022</v>
      </c>
      <c r="E634" s="556">
        <v>2023</v>
      </c>
      <c r="F634" s="556">
        <v>2024</v>
      </c>
      <c r="G634" s="556">
        <v>2025</v>
      </c>
      <c r="H634" s="556">
        <v>2026</v>
      </c>
      <c r="I634" s="556">
        <v>2027</v>
      </c>
      <c r="J634" s="556">
        <v>2028</v>
      </c>
      <c r="K634" s="556">
        <v>2029</v>
      </c>
      <c r="L634" s="556">
        <v>2030</v>
      </c>
      <c r="M634" s="556">
        <v>2031</v>
      </c>
      <c r="N634" s="556">
        <v>2032</v>
      </c>
      <c r="O634" s="556">
        <v>2033</v>
      </c>
      <c r="P634" s="556">
        <v>2034</v>
      </c>
      <c r="Q634" s="556">
        <v>2035</v>
      </c>
    </row>
    <row r="635" spans="2:17" x14ac:dyDescent="0.3">
      <c r="B635" s="475" t="str" cm="1">
        <f t="array" ref="B635:B641">TRANSPOSE('EE Measures'!IF6:IL6)</f>
        <v>Baseline</v>
      </c>
      <c r="C635" s="229"/>
      <c r="D635" s="944">
        <f t="shared" ref="D635:L635" si="442">(((E$500-D$500)/D$500)-0.02)*($B$632/100)</f>
        <v>5.9653477178699338E-6</v>
      </c>
      <c r="E635" s="944">
        <f t="shared" si="442"/>
        <v>9.195318022340981E-6</v>
      </c>
      <c r="F635" s="944">
        <f t="shared" si="442"/>
        <v>7.7278807976538093E-5</v>
      </c>
      <c r="G635" s="944">
        <f t="shared" si="442"/>
        <v>4.0479070490884766E-5</v>
      </c>
      <c r="H635" s="944">
        <f t="shared" si="442"/>
        <v>7.6813912323273844E-6</v>
      </c>
      <c r="I635" s="944">
        <f t="shared" si="442"/>
        <v>7.9204094259614843E-6</v>
      </c>
      <c r="J635" s="944">
        <f t="shared" si="442"/>
        <v>8.2190573585480146E-6</v>
      </c>
      <c r="K635" s="944">
        <f t="shared" si="442"/>
        <v>8.5087522535729594E-6</v>
      </c>
      <c r="L635" s="944">
        <f t="shared" si="442"/>
        <v>8.7897566322084136E-6</v>
      </c>
      <c r="M635" s="944">
        <f t="shared" ref="M635" si="443">(((N$500-M$500)/M$500)-0.02)*($B$632/100)</f>
        <v>8.8239015608308767E-6</v>
      </c>
      <c r="N635" s="944">
        <f t="shared" ref="N635" si="444">(((O$500-N$500)/N$500)-0.02)*($B$632/100)</f>
        <v>9.0816227414651302E-6</v>
      </c>
      <c r="O635" s="944">
        <f t="shared" ref="O635" si="445">(((P$500-O$500)/O$500)-0.02)*($B$632/100)</f>
        <v>9.3344977948930061E-6</v>
      </c>
      <c r="P635" s="944">
        <f t="shared" ref="P635" si="446">(((Q$500-P$500)/P$500)-0.02)*($B$632/100)</f>
        <v>9.5825547711035005E-6</v>
      </c>
      <c r="Q635" s="944">
        <f t="shared" ref="Q635" si="447">(((R$500-Q$500)/Q$500)-0.02)*($B$632/100)</f>
        <v>9.8258247902426058E-6</v>
      </c>
    </row>
    <row r="636" spans="2:17" x14ac:dyDescent="0.3">
      <c r="B636" s="475" t="str">
        <v>EEO</v>
      </c>
      <c r="C636" s="229"/>
      <c r="D636" s="546">
        <f t="shared" ref="D636:L636" si="448">(((E$507-D$507)/D$507)-0.02)*($B$632/100)</f>
        <v>5.9653477178699338E-6</v>
      </c>
      <c r="E636" s="546">
        <f t="shared" si="448"/>
        <v>9.195318022340981E-6</v>
      </c>
      <c r="F636" s="546">
        <f t="shared" si="448"/>
        <v>7.7278807976538093E-5</v>
      </c>
      <c r="G636" s="546">
        <f t="shared" si="448"/>
        <v>2.0830529145832348E-4</v>
      </c>
      <c r="H636" s="546">
        <f t="shared" si="448"/>
        <v>7.6497734232791844E-6</v>
      </c>
      <c r="I636" s="546">
        <f t="shared" si="448"/>
        <v>7.8892683039355368E-6</v>
      </c>
      <c r="J636" s="546">
        <f t="shared" si="448"/>
        <v>8.164726423491533E-6</v>
      </c>
      <c r="K636" s="546">
        <f t="shared" si="448"/>
        <v>8.4321382399574823E-6</v>
      </c>
      <c r="L636" s="546">
        <f t="shared" si="448"/>
        <v>8.6917509052147106E-6</v>
      </c>
      <c r="M636" s="546">
        <f t="shared" ref="M636" si="449">(((N$507-M$507)/M$507)-0.02)*($B$632/100)</f>
        <v>9.0825272351697976E-6</v>
      </c>
      <c r="N636" s="546">
        <f t="shared" ref="N636" si="450">(((O$507-N$507)/N$507)-0.02)*($B$632/100)</f>
        <v>9.3237959511444486E-6</v>
      </c>
      <c r="O636" s="546">
        <f t="shared" ref="O636" si="451">(((P$507-O$507)/O$507)-0.02)*($B$632/100)</f>
        <v>9.5605600658711961E-6</v>
      </c>
      <c r="P636" s="546">
        <f t="shared" ref="P636" si="452">(((Q$507-P$507)/P$507)-0.02)*($B$632/100)</f>
        <v>9.7928524598538527E-6</v>
      </c>
      <c r="Q636" s="546">
        <f t="shared" ref="Q636" si="453">(((R$507-Q$507)/Q$507)-0.02)*($B$632/100)</f>
        <v>1.0020708423957682E-5</v>
      </c>
    </row>
    <row r="637" spans="2:17" x14ac:dyDescent="0.3">
      <c r="B637" s="475" t="str">
        <v>VA</v>
      </c>
      <c r="C637" s="229"/>
      <c r="D637" s="944">
        <f t="shared" ref="D637:L637" si="454">(((E$500-D$500)/D$500)-0.02)*($B$632/100)</f>
        <v>5.9653477178699338E-6</v>
      </c>
      <c r="E637" s="944">
        <f t="shared" si="454"/>
        <v>9.195318022340981E-6</v>
      </c>
      <c r="F637" s="944">
        <f t="shared" si="454"/>
        <v>7.7278807976538093E-5</v>
      </c>
      <c r="G637" s="944">
        <f t="shared" si="454"/>
        <v>4.0479070490884766E-5</v>
      </c>
      <c r="H637" s="944">
        <f t="shared" si="454"/>
        <v>7.6813912323273844E-6</v>
      </c>
      <c r="I637" s="944">
        <f t="shared" si="454"/>
        <v>7.9204094259614843E-6</v>
      </c>
      <c r="J637" s="944">
        <f t="shared" si="454"/>
        <v>8.2190573585480146E-6</v>
      </c>
      <c r="K637" s="944">
        <f t="shared" si="454"/>
        <v>8.5087522535729594E-6</v>
      </c>
      <c r="L637" s="944">
        <f t="shared" si="454"/>
        <v>8.7897566322084136E-6</v>
      </c>
      <c r="M637" s="944">
        <f t="shared" ref="M637:M641" si="455">(((N$500-M$500)/M$500)-0.02)*($B$632/100)</f>
        <v>8.8239015608308767E-6</v>
      </c>
      <c r="N637" s="944">
        <f t="shared" ref="N637:N641" si="456">(((O$500-N$500)/N$500)-0.02)*($B$632/100)</f>
        <v>9.0816227414651302E-6</v>
      </c>
      <c r="O637" s="944">
        <f t="shared" ref="O637:O641" si="457">(((P$500-O$500)/O$500)-0.02)*($B$632/100)</f>
        <v>9.3344977948930061E-6</v>
      </c>
      <c r="P637" s="944">
        <f t="shared" ref="P637:P641" si="458">(((Q$500-P$500)/P$500)-0.02)*($B$632/100)</f>
        <v>9.5825547711035005E-6</v>
      </c>
      <c r="Q637" s="944">
        <f t="shared" ref="Q637:Q641" si="459">(((R$500-Q$500)/Q$500)-0.02)*($B$632/100)</f>
        <v>9.8258247902426058E-6</v>
      </c>
    </row>
    <row r="638" spans="2:17" x14ac:dyDescent="0.3">
      <c r="B638" s="475" t="str">
        <v>Renowave</v>
      </c>
      <c r="C638" s="229"/>
      <c r="D638" s="944">
        <f t="shared" ref="D638:L638" si="460">(((E$500-D$500)/D$500)-0.02)*($B$632/100)</f>
        <v>5.9653477178699338E-6</v>
      </c>
      <c r="E638" s="944">
        <f t="shared" si="460"/>
        <v>9.195318022340981E-6</v>
      </c>
      <c r="F638" s="944">
        <f t="shared" si="460"/>
        <v>7.7278807976538093E-5</v>
      </c>
      <c r="G638" s="944">
        <f t="shared" si="460"/>
        <v>4.0479070490884766E-5</v>
      </c>
      <c r="H638" s="944">
        <f t="shared" si="460"/>
        <v>7.6813912323273844E-6</v>
      </c>
      <c r="I638" s="944">
        <f t="shared" si="460"/>
        <v>7.9204094259614843E-6</v>
      </c>
      <c r="J638" s="944">
        <f t="shared" si="460"/>
        <v>8.2190573585480146E-6</v>
      </c>
      <c r="K638" s="944">
        <f t="shared" si="460"/>
        <v>8.5087522535729594E-6</v>
      </c>
      <c r="L638" s="944">
        <f t="shared" si="460"/>
        <v>8.7897566322084136E-6</v>
      </c>
      <c r="M638" s="944">
        <f t="shared" si="455"/>
        <v>8.8239015608308767E-6</v>
      </c>
      <c r="N638" s="944">
        <f t="shared" si="456"/>
        <v>9.0816227414651302E-6</v>
      </c>
      <c r="O638" s="944">
        <f t="shared" si="457"/>
        <v>9.3344977948930061E-6</v>
      </c>
      <c r="P638" s="944">
        <f t="shared" si="458"/>
        <v>9.5825547711035005E-6</v>
      </c>
      <c r="Q638" s="944">
        <f t="shared" si="459"/>
        <v>9.8258247902426058E-6</v>
      </c>
    </row>
    <row r="639" spans="2:17" x14ac:dyDescent="0.3">
      <c r="B639" s="475" t="str">
        <v>EET</v>
      </c>
      <c r="C639" s="229"/>
      <c r="D639" s="944">
        <f t="shared" ref="D639:L639" si="461">(((E$500-D$500)/D$500)-0.02)*($B$632/100)</f>
        <v>5.9653477178699338E-6</v>
      </c>
      <c r="E639" s="944">
        <f t="shared" si="461"/>
        <v>9.195318022340981E-6</v>
      </c>
      <c r="F639" s="944">
        <f t="shared" si="461"/>
        <v>7.7278807976538093E-5</v>
      </c>
      <c r="G639" s="944">
        <f t="shared" si="461"/>
        <v>4.0479070490884766E-5</v>
      </c>
      <c r="H639" s="944">
        <f t="shared" si="461"/>
        <v>7.6813912323273844E-6</v>
      </c>
      <c r="I639" s="944">
        <f t="shared" si="461"/>
        <v>7.9204094259614843E-6</v>
      </c>
      <c r="J639" s="944">
        <f t="shared" si="461"/>
        <v>8.2190573585480146E-6</v>
      </c>
      <c r="K639" s="944">
        <f t="shared" si="461"/>
        <v>8.5087522535729594E-6</v>
      </c>
      <c r="L639" s="944">
        <f t="shared" si="461"/>
        <v>8.7897566322084136E-6</v>
      </c>
      <c r="M639" s="944">
        <f t="shared" si="455"/>
        <v>8.8239015608308767E-6</v>
      </c>
      <c r="N639" s="944">
        <f t="shared" si="456"/>
        <v>9.0816227414651302E-6</v>
      </c>
      <c r="O639" s="944">
        <f t="shared" si="457"/>
        <v>9.3344977948930061E-6</v>
      </c>
      <c r="P639" s="944">
        <f t="shared" si="458"/>
        <v>9.5825547711035005E-6</v>
      </c>
      <c r="Q639" s="944">
        <f t="shared" si="459"/>
        <v>9.8258247902426058E-6</v>
      </c>
    </row>
    <row r="640" spans="2:17" x14ac:dyDescent="0.3">
      <c r="B640" s="475" t="str">
        <v>CEER1</v>
      </c>
      <c r="C640" s="229"/>
      <c r="D640" s="944">
        <f t="shared" ref="D640:L640" si="462">(((E$500-D$500)/D$500)-0.02)*($B$632/100)</f>
        <v>5.9653477178699338E-6</v>
      </c>
      <c r="E640" s="944">
        <f t="shared" si="462"/>
        <v>9.195318022340981E-6</v>
      </c>
      <c r="F640" s="944">
        <f t="shared" si="462"/>
        <v>7.7278807976538093E-5</v>
      </c>
      <c r="G640" s="944">
        <f t="shared" si="462"/>
        <v>4.0479070490884766E-5</v>
      </c>
      <c r="H640" s="944">
        <f t="shared" si="462"/>
        <v>7.6813912323273844E-6</v>
      </c>
      <c r="I640" s="944">
        <f t="shared" si="462"/>
        <v>7.9204094259614843E-6</v>
      </c>
      <c r="J640" s="944">
        <f t="shared" si="462"/>
        <v>8.2190573585480146E-6</v>
      </c>
      <c r="K640" s="944">
        <f t="shared" si="462"/>
        <v>8.5087522535729594E-6</v>
      </c>
      <c r="L640" s="944">
        <f t="shared" si="462"/>
        <v>8.7897566322084136E-6</v>
      </c>
      <c r="M640" s="944">
        <f t="shared" si="455"/>
        <v>8.8239015608308767E-6</v>
      </c>
      <c r="N640" s="944">
        <f t="shared" si="456"/>
        <v>9.0816227414651302E-6</v>
      </c>
      <c r="O640" s="944">
        <f t="shared" si="457"/>
        <v>9.3344977948930061E-6</v>
      </c>
      <c r="P640" s="944">
        <f t="shared" si="458"/>
        <v>9.5825547711035005E-6</v>
      </c>
      <c r="Q640" s="944">
        <f t="shared" si="459"/>
        <v>9.8258247902426058E-6</v>
      </c>
    </row>
    <row r="641" spans="2:31" x14ac:dyDescent="0.3">
      <c r="B641" s="475" t="str">
        <v>CEER2</v>
      </c>
      <c r="C641" s="229"/>
      <c r="D641" s="944">
        <f t="shared" ref="D641:L641" si="463">(((E$500-D$500)/D$500)-0.02)*($B$632/100)</f>
        <v>5.9653477178699338E-6</v>
      </c>
      <c r="E641" s="944">
        <f t="shared" si="463"/>
        <v>9.195318022340981E-6</v>
      </c>
      <c r="F641" s="944">
        <f t="shared" si="463"/>
        <v>7.7278807976538093E-5</v>
      </c>
      <c r="G641" s="944">
        <f t="shared" si="463"/>
        <v>4.0479070490884766E-5</v>
      </c>
      <c r="H641" s="944">
        <f t="shared" si="463"/>
        <v>7.6813912323273844E-6</v>
      </c>
      <c r="I641" s="944">
        <f t="shared" si="463"/>
        <v>7.9204094259614843E-6</v>
      </c>
      <c r="J641" s="944">
        <f t="shared" si="463"/>
        <v>8.2190573585480146E-6</v>
      </c>
      <c r="K641" s="944">
        <f t="shared" si="463"/>
        <v>8.5087522535729594E-6</v>
      </c>
      <c r="L641" s="944">
        <f t="shared" si="463"/>
        <v>8.7897566322084136E-6</v>
      </c>
      <c r="M641" s="944">
        <f t="shared" si="455"/>
        <v>8.8239015608308767E-6</v>
      </c>
      <c r="N641" s="944">
        <f t="shared" si="456"/>
        <v>9.0816227414651302E-6</v>
      </c>
      <c r="O641" s="944">
        <f t="shared" si="457"/>
        <v>9.3344977948930061E-6</v>
      </c>
      <c r="P641" s="944">
        <f t="shared" si="458"/>
        <v>9.5825547711035005E-6</v>
      </c>
      <c r="Q641" s="944">
        <f t="shared" si="459"/>
        <v>9.8258247902426058E-6</v>
      </c>
    </row>
    <row r="642" spans="2:31" customFormat="1" x14ac:dyDescent="0.3">
      <c r="Z642" s="554"/>
    </row>
    <row r="643" spans="2:31" ht="17.25" thickBot="1" x14ac:dyDescent="0.35">
      <c r="B643" s="1025" t="s">
        <v>2954</v>
      </c>
      <c r="C643" s="588"/>
      <c r="D643" s="588"/>
      <c r="E643" s="588"/>
      <c r="F643" s="588"/>
      <c r="G643" s="588"/>
      <c r="H643" s="588"/>
      <c r="I643" s="588"/>
      <c r="J643" s="588"/>
      <c r="K643" s="588"/>
      <c r="L643" s="588"/>
      <c r="M643" s="588"/>
      <c r="N643" s="588"/>
      <c r="O643" s="588"/>
      <c r="P643" s="588"/>
      <c r="Q643" s="588"/>
      <c r="R643" s="588"/>
      <c r="S643" s="588"/>
      <c r="T643" s="588"/>
      <c r="U643" s="588"/>
      <c r="V643" s="588"/>
      <c r="W643" s="588"/>
      <c r="X643" s="588"/>
      <c r="Y643" s="588"/>
      <c r="AA643" s="588"/>
      <c r="AB643" s="588"/>
      <c r="AC643" s="588"/>
      <c r="AD643" s="588"/>
      <c r="AE643" s="588"/>
    </row>
    <row r="646" spans="2:31" ht="15" x14ac:dyDescent="0.3">
      <c r="B646" s="1007" t="s">
        <v>2955</v>
      </c>
      <c r="C646" s="1007"/>
      <c r="D646" s="1007"/>
      <c r="E646" s="1007"/>
      <c r="F646" s="1007"/>
      <c r="G646" s="1007"/>
      <c r="H646" s="1007"/>
      <c r="I646" s="1007"/>
      <c r="J646" s="1007"/>
    </row>
    <row r="647" spans="2:31" customFormat="1" x14ac:dyDescent="0.3">
      <c r="Z647" s="554"/>
    </row>
    <row r="648" spans="2:31" ht="22.5" customHeight="1" x14ac:dyDescent="0.3">
      <c r="B648" s="1171" t="s">
        <v>2770</v>
      </c>
      <c r="C648" s="2171" t="s">
        <v>2956</v>
      </c>
      <c r="D648" s="2172"/>
      <c r="E648" s="2172"/>
      <c r="F648" s="2172"/>
      <c r="G648" s="2172"/>
      <c r="H648" s="2172"/>
      <c r="I648" s="2172"/>
    </row>
    <row r="649" spans="2:31" customFormat="1" x14ac:dyDescent="0.3">
      <c r="Z649" s="554"/>
    </row>
    <row r="650" spans="2:31" ht="27" x14ac:dyDescent="0.3">
      <c r="B650" s="556" t="s">
        <v>2957</v>
      </c>
      <c r="C650" s="556" t="s">
        <v>221</v>
      </c>
      <c r="D650" s="556" t="s">
        <v>55</v>
      </c>
      <c r="E650" s="556" t="s">
        <v>541</v>
      </c>
      <c r="F650" s="556" t="s">
        <v>542</v>
      </c>
      <c r="G650" s="556" t="s">
        <v>543</v>
      </c>
      <c r="H650" s="556" t="s">
        <v>544</v>
      </c>
      <c r="I650" s="556" t="s">
        <v>125</v>
      </c>
    </row>
    <row r="651" spans="2:31" x14ac:dyDescent="0.3">
      <c r="B651" s="572" t="s">
        <v>2958</v>
      </c>
      <c r="C651" s="572"/>
      <c r="D651" s="1006">
        <v>40088017</v>
      </c>
      <c r="E651" s="1006">
        <v>17190595</v>
      </c>
      <c r="F651" s="1006">
        <v>512374</v>
      </c>
      <c r="G651" s="1006">
        <v>22096886</v>
      </c>
      <c r="H651" s="1006">
        <v>288166</v>
      </c>
      <c r="I651" s="567">
        <f>SUM(E651:G651)</f>
        <v>39799855</v>
      </c>
    </row>
    <row r="652" spans="2:31" x14ac:dyDescent="0.3">
      <c r="B652" s="572" t="s">
        <v>2959</v>
      </c>
      <c r="C652" s="1170" t="s">
        <v>536</v>
      </c>
      <c r="D652" s="1006">
        <v>13984892</v>
      </c>
      <c r="E652" s="1006">
        <v>3756024</v>
      </c>
      <c r="F652" s="1006">
        <v>174551</v>
      </c>
      <c r="G652" s="1006">
        <v>9972226</v>
      </c>
      <c r="H652" s="1006">
        <v>82092</v>
      </c>
      <c r="I652" s="567">
        <f t="shared" ref="I652:I666" si="464">SUM(E652:G652)</f>
        <v>13902801</v>
      </c>
    </row>
    <row r="653" spans="2:31" x14ac:dyDescent="0.3">
      <c r="B653" s="572" t="s">
        <v>2960</v>
      </c>
      <c r="C653" s="1170" t="s">
        <v>537</v>
      </c>
      <c r="D653" s="1006">
        <v>408934</v>
      </c>
      <c r="E653" s="1006">
        <v>309920</v>
      </c>
      <c r="F653" s="1006">
        <v>3387</v>
      </c>
      <c r="G653" s="1006">
        <v>92704</v>
      </c>
      <c r="H653" s="1006">
        <v>2925</v>
      </c>
      <c r="I653" s="567">
        <f t="shared" si="464"/>
        <v>406011</v>
      </c>
    </row>
    <row r="654" spans="2:31" x14ac:dyDescent="0.3">
      <c r="B654" s="572" t="s">
        <v>2961</v>
      </c>
      <c r="C654" s="1170" t="s">
        <v>538</v>
      </c>
      <c r="D654" s="1006">
        <v>4246015</v>
      </c>
      <c r="E654" s="1006">
        <v>818477</v>
      </c>
      <c r="F654" s="1006">
        <v>20101</v>
      </c>
      <c r="G654" s="1006">
        <v>3393398</v>
      </c>
      <c r="H654" s="1006">
        <v>14037</v>
      </c>
      <c r="I654" s="567">
        <f t="shared" si="464"/>
        <v>4231976</v>
      </c>
    </row>
    <row r="655" spans="2:31" x14ac:dyDescent="0.3">
      <c r="B655" s="572" t="s">
        <v>2962</v>
      </c>
      <c r="C655" s="1170" t="s">
        <v>539</v>
      </c>
      <c r="D655" s="1006">
        <v>1258531</v>
      </c>
      <c r="E655" s="1006">
        <v>832621</v>
      </c>
      <c r="F655" s="1006">
        <v>16109</v>
      </c>
      <c r="G655" s="1006">
        <v>400128</v>
      </c>
      <c r="H655" s="1006">
        <v>9672</v>
      </c>
      <c r="I655" s="567">
        <f t="shared" si="464"/>
        <v>1248858</v>
      </c>
    </row>
    <row r="656" spans="2:31" x14ac:dyDescent="0.3">
      <c r="B656" s="572" t="s">
        <v>2963</v>
      </c>
      <c r="C656" s="1170" t="s">
        <v>540</v>
      </c>
      <c r="D656" s="1006">
        <v>1309194</v>
      </c>
      <c r="E656" s="1006">
        <v>746681</v>
      </c>
      <c r="F656" s="1006">
        <v>10603</v>
      </c>
      <c r="G656" s="1006">
        <v>538819</v>
      </c>
      <c r="H656" s="1006">
        <v>13094</v>
      </c>
      <c r="I656" s="567">
        <f t="shared" si="464"/>
        <v>1296103</v>
      </c>
    </row>
    <row r="657" spans="1:9" x14ac:dyDescent="0.3">
      <c r="B657" s="572" t="s">
        <v>2964</v>
      </c>
      <c r="C657" s="1170" t="s">
        <v>537</v>
      </c>
      <c r="D657" s="1006">
        <v>862855</v>
      </c>
      <c r="E657" s="1006">
        <v>457040</v>
      </c>
      <c r="F657" s="1006">
        <v>12065</v>
      </c>
      <c r="G657" s="1006">
        <v>372600</v>
      </c>
      <c r="H657" s="1006">
        <v>21151</v>
      </c>
      <c r="I657" s="567">
        <f t="shared" si="464"/>
        <v>841705</v>
      </c>
    </row>
    <row r="658" spans="1:9" x14ac:dyDescent="0.3">
      <c r="B658" s="572" t="s">
        <v>2965</v>
      </c>
      <c r="C658" s="1170" t="s">
        <v>540</v>
      </c>
      <c r="D658" s="1006">
        <v>2444439</v>
      </c>
      <c r="E658" s="1006">
        <v>1338020</v>
      </c>
      <c r="F658" s="1006">
        <v>32969</v>
      </c>
      <c r="G658" s="1006">
        <v>1056707</v>
      </c>
      <c r="H658" s="1006">
        <v>16747</v>
      </c>
      <c r="I658" s="567">
        <f t="shared" si="464"/>
        <v>2427696</v>
      </c>
    </row>
    <row r="659" spans="1:9" x14ac:dyDescent="0.3">
      <c r="B659" s="572" t="s">
        <v>2966</v>
      </c>
      <c r="C659" s="1170" t="s">
        <v>539</v>
      </c>
      <c r="D659" s="1006">
        <v>1041095</v>
      </c>
      <c r="E659" s="1006">
        <v>708772</v>
      </c>
      <c r="F659" s="1006">
        <v>7987</v>
      </c>
      <c r="G659" s="1006">
        <v>318150</v>
      </c>
      <c r="H659" s="1006">
        <v>6186</v>
      </c>
      <c r="I659" s="567">
        <f t="shared" si="464"/>
        <v>1034909</v>
      </c>
    </row>
    <row r="660" spans="1:9" x14ac:dyDescent="0.3">
      <c r="B660" s="572" t="s">
        <v>2967</v>
      </c>
      <c r="C660" s="1170" t="s">
        <v>537</v>
      </c>
      <c r="D660" s="1006">
        <v>3056020</v>
      </c>
      <c r="E660" s="1006">
        <v>1682026</v>
      </c>
      <c r="F660" s="1006">
        <v>62181</v>
      </c>
      <c r="G660" s="1006">
        <v>1282931</v>
      </c>
      <c r="H660" s="1006">
        <v>28882</v>
      </c>
      <c r="I660" s="567">
        <f t="shared" si="464"/>
        <v>3027138</v>
      </c>
    </row>
    <row r="661" spans="1:9" x14ac:dyDescent="0.3">
      <c r="B661" s="572" t="s">
        <v>2968</v>
      </c>
      <c r="C661" s="1170" t="s">
        <v>540</v>
      </c>
      <c r="D661" s="1006">
        <v>1318691</v>
      </c>
      <c r="E661" s="1006">
        <v>880046</v>
      </c>
      <c r="F661" s="1006">
        <v>4521</v>
      </c>
      <c r="G661" s="1006">
        <v>421361</v>
      </c>
      <c r="H661" s="1006">
        <v>12763</v>
      </c>
      <c r="I661" s="567">
        <f t="shared" si="464"/>
        <v>1305928</v>
      </c>
    </row>
    <row r="662" spans="1:9" x14ac:dyDescent="0.3">
      <c r="B662" s="572" t="s">
        <v>2969</v>
      </c>
      <c r="C662" s="1170" t="s">
        <v>537</v>
      </c>
      <c r="D662" s="1006">
        <v>1241949</v>
      </c>
      <c r="E662" s="1006">
        <v>855353</v>
      </c>
      <c r="F662" s="1006">
        <v>13059</v>
      </c>
      <c r="G662" s="1006">
        <v>362802</v>
      </c>
      <c r="H662" s="1006">
        <v>10734</v>
      </c>
      <c r="I662" s="567">
        <f t="shared" si="464"/>
        <v>1231214</v>
      </c>
    </row>
    <row r="663" spans="1:9" x14ac:dyDescent="0.3">
      <c r="B663" s="572" t="s">
        <v>2970</v>
      </c>
      <c r="C663" s="1170" t="s">
        <v>539</v>
      </c>
      <c r="D663" s="1006">
        <v>4387975</v>
      </c>
      <c r="E663" s="1006">
        <v>1963632</v>
      </c>
      <c r="F663" s="1006">
        <v>106318</v>
      </c>
      <c r="G663" s="1006">
        <v>2286702</v>
      </c>
      <c r="H663" s="1006">
        <v>31324</v>
      </c>
      <c r="I663" s="567">
        <f t="shared" si="464"/>
        <v>4356652</v>
      </c>
    </row>
    <row r="664" spans="1:9" x14ac:dyDescent="0.3">
      <c r="B664" s="572" t="s">
        <v>2971</v>
      </c>
      <c r="C664" s="1170" t="s">
        <v>539</v>
      </c>
      <c r="D664" s="1006">
        <v>1145804</v>
      </c>
      <c r="E664" s="1006">
        <v>700910</v>
      </c>
      <c r="F664" s="1006">
        <v>5151</v>
      </c>
      <c r="G664" s="1006">
        <v>431747</v>
      </c>
      <c r="H664" s="1006">
        <v>7995</v>
      </c>
      <c r="I664" s="567">
        <f t="shared" si="464"/>
        <v>1137808</v>
      </c>
    </row>
    <row r="665" spans="1:9" x14ac:dyDescent="0.3">
      <c r="B665" s="572" t="s">
        <v>2972</v>
      </c>
      <c r="C665" s="1170" t="s">
        <v>539</v>
      </c>
      <c r="D665" s="1006">
        <v>1932669</v>
      </c>
      <c r="E665" s="1006">
        <v>1215619</v>
      </c>
      <c r="F665" s="1006">
        <v>31928</v>
      </c>
      <c r="G665" s="1006">
        <v>671999</v>
      </c>
      <c r="H665" s="1006">
        <v>13124</v>
      </c>
      <c r="I665" s="567">
        <f t="shared" si="464"/>
        <v>1919546</v>
      </c>
    </row>
    <row r="666" spans="1:9" x14ac:dyDescent="0.3">
      <c r="B666" s="572" t="s">
        <v>2973</v>
      </c>
      <c r="C666" s="1170" t="s">
        <v>539</v>
      </c>
      <c r="D666" s="1006">
        <v>1448961</v>
      </c>
      <c r="E666" s="1006">
        <v>925454</v>
      </c>
      <c r="F666" s="1006">
        <v>11445</v>
      </c>
      <c r="G666" s="1006">
        <v>494619</v>
      </c>
      <c r="H666" s="1006">
        <v>17447</v>
      </c>
      <c r="I666" s="567">
        <f t="shared" si="464"/>
        <v>1431518</v>
      </c>
    </row>
    <row r="667" spans="1:9" x14ac:dyDescent="0.3">
      <c r="A667" s="973"/>
      <c r="C667" s="1027" t="s">
        <v>2974</v>
      </c>
      <c r="D667" s="1167"/>
      <c r="E667" s="1168">
        <f>E651/I651</f>
        <v>0.43192607108744491</v>
      </c>
      <c r="F667" s="1168">
        <f>F651/I651</f>
        <v>1.287376549487429E-2</v>
      </c>
      <c r="G667" s="1168">
        <f>G651/I651</f>
        <v>0.55520016341768075</v>
      </c>
      <c r="H667" s="1167"/>
      <c r="I667" s="1169"/>
    </row>
    <row r="668" spans="1:9" x14ac:dyDescent="0.3">
      <c r="C668" s="596" t="str" cm="1">
        <f t="array" ref="C668:C672">_xlfn.UNIQUE(C652:C666)</f>
        <v xml:space="preserve">Põhja-Eesti </v>
      </c>
      <c r="D668" s="972" cm="1">
        <f t="array" ref="D668:D672">SUMIFS(D$652:D$666,$C$652:$C$666,_xlfn.ANCHORARRAY($C$668))/SUM(D652:D666)</f>
        <v>0.34885461054403677</v>
      </c>
      <c r="E668" s="972" cm="1">
        <f t="array" ref="E668:E672">SUMIFS(E$652:E$666,$C$652:$C$666,_xlfn.ANCHORARRAY($C$668))/SUM(E652:E666)</f>
        <v>0.21849296083119868</v>
      </c>
      <c r="F668" s="972" cm="1">
        <f t="array" ref="F668:F672">SUMIFS(F$652:F$666,$C$652:$C$666,_xlfn.ANCHORARRAY($C$668))/SUM(F652:F666)</f>
        <v>0.34067040741644306</v>
      </c>
      <c r="G668" s="972" cm="1">
        <f t="array" ref="G668:G672">SUMIFS(G$652:G$666,$C$652:$C$666,_xlfn.ANCHORARRAY($C$668))/SUM(G652:G666)</f>
        <v>0.45129539252418882</v>
      </c>
      <c r="H668" s="972" cm="1">
        <f t="array" ref="H668:H672">SUMIFS(H$652:H$666,$C$652:$C$666,_xlfn.ANCHORARRAY($C$668))/SUM(H652:H666)</f>
        <v>0.28487054651199106</v>
      </c>
      <c r="I668" s="972" cm="1">
        <f t="array" ref="I668:I672">SUMIFS(I$652:I$666,$C$652:$C$666,_xlfn.ANCHORARRAY($C$668))/SUM(I652:I666)</f>
        <v>0.34931781046582999</v>
      </c>
    </row>
    <row r="669" spans="1:9" x14ac:dyDescent="0.3">
      <c r="C669" s="596" t="str">
        <v>Lääne-Eesti</v>
      </c>
      <c r="D669" s="972">
        <v>0.1389382025913774</v>
      </c>
      <c r="E669" s="972">
        <v>0.19221783771882242</v>
      </c>
      <c r="F669" s="972">
        <v>0.17700317150524519</v>
      </c>
      <c r="G669" s="972">
        <v>9.553546736185943E-2</v>
      </c>
      <c r="H669" s="972">
        <v>0.22102001228428755</v>
      </c>
      <c r="I669" s="1026">
        <v>0.13834389329430608</v>
      </c>
    </row>
    <row r="670" spans="1:9" x14ac:dyDescent="0.3">
      <c r="C670" s="596" t="str">
        <v>Kirde-Eesti</v>
      </c>
      <c r="D670" s="972">
        <v>0.10591729340413486</v>
      </c>
      <c r="E670" s="972">
        <v>4.7611906394164946E-2</v>
      </c>
      <c r="F670" s="972">
        <v>3.9231031959014395E-2</v>
      </c>
      <c r="G670" s="972">
        <v>0.15356901081070537</v>
      </c>
      <c r="H670" s="972">
        <v>4.8710323312732284E-2</v>
      </c>
      <c r="I670" s="1026">
        <v>0.1063314212915758</v>
      </c>
    </row>
    <row r="671" spans="1:9" x14ac:dyDescent="0.3">
      <c r="C671" s="596" t="str">
        <v>Lõuna-Eesti </v>
      </c>
      <c r="D671" s="972">
        <v>0.27976023462767835</v>
      </c>
      <c r="E671" s="972">
        <v>0.3692139800862041</v>
      </c>
      <c r="F671" s="972">
        <v>0.349232495730666</v>
      </c>
      <c r="G671" s="972">
        <v>0.20832544195240479</v>
      </c>
      <c r="H671" s="972">
        <v>0.29755737005201738</v>
      </c>
      <c r="I671" s="1026">
        <v>0.27963138968593937</v>
      </c>
    </row>
    <row r="672" spans="1:9" x14ac:dyDescent="0.3">
      <c r="C672" s="596" t="str">
        <v>Kesk-Eesti</v>
      </c>
      <c r="D672" s="972">
        <v>0.12652965883277259</v>
      </c>
      <c r="E672" s="972">
        <v>0.17246331496960984</v>
      </c>
      <c r="F672" s="972">
        <v>9.386289338863138E-2</v>
      </c>
      <c r="G672" s="972">
        <v>9.1274687350841585E-2</v>
      </c>
      <c r="H672" s="972">
        <v>0.14784174783897172</v>
      </c>
      <c r="I672" s="1026">
        <v>0.12637548526234876</v>
      </c>
    </row>
    <row r="673" spans="2:10" x14ac:dyDescent="0.3">
      <c r="D673" s="1036"/>
      <c r="E673" s="1036"/>
      <c r="F673" s="1036"/>
      <c r="G673" s="1036"/>
      <c r="H673" s="1036"/>
      <c r="I673" s="1036"/>
    </row>
    <row r="675" spans="2:10" ht="15" x14ac:dyDescent="0.3">
      <c r="B675" s="1007" t="s">
        <v>2975</v>
      </c>
      <c r="C675" s="1007"/>
      <c r="D675" s="1007"/>
      <c r="E675" s="1007"/>
      <c r="F675" s="1007"/>
      <c r="G675" s="1007"/>
      <c r="H675" s="1007"/>
      <c r="I675" s="1007"/>
      <c r="J675" s="1007"/>
    </row>
    <row r="677" spans="2:10" ht="16.5" x14ac:dyDescent="0.3">
      <c r="B677" s="860" t="s">
        <v>2600</v>
      </c>
      <c r="C677" s="966" t="s">
        <v>2976</v>
      </c>
      <c r="D677" s="636"/>
      <c r="E677" s="636"/>
    </row>
    <row r="679" spans="2:10" ht="40.5" x14ac:dyDescent="0.3">
      <c r="B679" s="556"/>
      <c r="C679" s="556"/>
      <c r="D679" s="556" t="s">
        <v>2977</v>
      </c>
      <c r="E679" s="556" t="s">
        <v>2978</v>
      </c>
      <c r="F679" s="556" t="s">
        <v>2979</v>
      </c>
    </row>
    <row r="680" spans="2:10" x14ac:dyDescent="0.3">
      <c r="B680" s="556"/>
      <c r="C680" s="556" t="s">
        <v>34</v>
      </c>
      <c r="D680" s="556">
        <v>2023</v>
      </c>
      <c r="E680" s="556">
        <v>2010</v>
      </c>
      <c r="F680" s="556">
        <v>2016</v>
      </c>
    </row>
    <row r="681" spans="2:10" ht="40.5" x14ac:dyDescent="0.3">
      <c r="B681" s="556"/>
      <c r="C681" s="556" t="s">
        <v>2980</v>
      </c>
      <c r="D681" s="1173" t="s">
        <v>2981</v>
      </c>
      <c r="E681" s="1173" t="s">
        <v>2982</v>
      </c>
      <c r="F681" s="1173" t="s">
        <v>2983</v>
      </c>
    </row>
    <row r="682" spans="2:10" x14ac:dyDescent="0.3">
      <c r="B682" s="572"/>
      <c r="C682" s="572" t="s">
        <v>2958</v>
      </c>
      <c r="D682" s="634">
        <v>1365884</v>
      </c>
      <c r="E682" s="634">
        <v>940930</v>
      </c>
      <c r="F682" s="570">
        <v>11740.8</v>
      </c>
    </row>
    <row r="683" spans="2:10" x14ac:dyDescent="0.3">
      <c r="B683" s="572" t="s">
        <v>536</v>
      </c>
      <c r="C683" s="572" t="s">
        <v>2959</v>
      </c>
      <c r="D683" s="634">
        <v>638076</v>
      </c>
      <c r="E683" s="634">
        <v>63014</v>
      </c>
      <c r="F683" s="570">
        <v>5190</v>
      </c>
    </row>
    <row r="684" spans="2:10" x14ac:dyDescent="0.3">
      <c r="B684" s="572" t="s">
        <v>537</v>
      </c>
      <c r="C684" s="572" t="s">
        <v>2960</v>
      </c>
      <c r="D684" s="634">
        <v>8474</v>
      </c>
      <c r="E684" s="634">
        <v>15578</v>
      </c>
      <c r="F684" s="570">
        <v>55.3</v>
      </c>
    </row>
    <row r="685" spans="2:10" x14ac:dyDescent="0.3">
      <c r="B685" s="572" t="s">
        <v>538</v>
      </c>
      <c r="C685" s="572" t="s">
        <v>2961</v>
      </c>
      <c r="D685" s="634">
        <v>133358</v>
      </c>
      <c r="E685" s="634">
        <v>33217</v>
      </c>
      <c r="F685" s="570">
        <v>1285.9000000000001</v>
      </c>
    </row>
    <row r="686" spans="2:10" x14ac:dyDescent="0.3">
      <c r="B686" s="572" t="s">
        <v>539</v>
      </c>
      <c r="C686" s="572" t="s">
        <v>2962</v>
      </c>
      <c r="D686" s="634">
        <v>27739</v>
      </c>
      <c r="E686" s="634">
        <v>73098</v>
      </c>
      <c r="F686" s="570">
        <v>162.80000000000001</v>
      </c>
    </row>
    <row r="687" spans="2:10" x14ac:dyDescent="0.3">
      <c r="B687" s="572" t="s">
        <v>540</v>
      </c>
      <c r="C687" s="572" t="s">
        <v>2963</v>
      </c>
      <c r="D687" s="634">
        <v>30072</v>
      </c>
      <c r="E687" s="634">
        <v>79742</v>
      </c>
      <c r="F687" s="570">
        <v>158.5</v>
      </c>
    </row>
    <row r="688" spans="2:10" x14ac:dyDescent="0.3">
      <c r="B688" s="572" t="s">
        <v>537</v>
      </c>
      <c r="C688" s="572" t="s">
        <v>2964</v>
      </c>
      <c r="D688" s="634">
        <v>20688</v>
      </c>
      <c r="E688" s="634">
        <v>51275</v>
      </c>
      <c r="F688" s="570">
        <v>71.2</v>
      </c>
    </row>
    <row r="689" spans="2:12" x14ac:dyDescent="0.3">
      <c r="B689" s="572" t="s">
        <v>540</v>
      </c>
      <c r="C689" s="572" t="s">
        <v>2965</v>
      </c>
      <c r="D689" s="634">
        <v>59608</v>
      </c>
      <c r="E689" s="634">
        <v>106571</v>
      </c>
      <c r="F689" s="570">
        <v>567.6</v>
      </c>
    </row>
    <row r="690" spans="2:12" x14ac:dyDescent="0.3">
      <c r="B690" s="572" t="s">
        <v>539</v>
      </c>
      <c r="C690" s="572" t="s">
        <v>2966</v>
      </c>
      <c r="D690" s="634">
        <v>24036</v>
      </c>
      <c r="E690" s="634">
        <v>49502</v>
      </c>
      <c r="F690" s="570">
        <v>58.1</v>
      </c>
    </row>
    <row r="691" spans="2:12" x14ac:dyDescent="0.3">
      <c r="B691" s="572" t="s">
        <v>537</v>
      </c>
      <c r="C691" s="572" t="s">
        <v>2967</v>
      </c>
      <c r="D691" s="634">
        <v>87418</v>
      </c>
      <c r="E691" s="634">
        <v>85904</v>
      </c>
      <c r="F691" s="570">
        <v>540</v>
      </c>
    </row>
    <row r="692" spans="2:12" x14ac:dyDescent="0.3">
      <c r="B692" s="572" t="s">
        <v>540</v>
      </c>
      <c r="C692" s="572" t="s">
        <v>2968</v>
      </c>
      <c r="D692" s="634">
        <v>34038</v>
      </c>
      <c r="E692" s="634">
        <v>63985</v>
      </c>
      <c r="F692" s="570">
        <v>142.30000000000001</v>
      </c>
    </row>
    <row r="693" spans="2:12" x14ac:dyDescent="0.3">
      <c r="B693" s="572" t="s">
        <v>537</v>
      </c>
      <c r="C693" s="572" t="s">
        <v>2969</v>
      </c>
      <c r="D693" s="634">
        <v>31919</v>
      </c>
      <c r="E693" s="634">
        <v>54734</v>
      </c>
      <c r="F693" s="570">
        <v>178.3</v>
      </c>
    </row>
    <row r="694" spans="2:12" x14ac:dyDescent="0.3">
      <c r="B694" s="572" t="s">
        <v>539</v>
      </c>
      <c r="C694" s="572" t="s">
        <v>2970</v>
      </c>
      <c r="D694" s="634">
        <v>162390</v>
      </c>
      <c r="E694" s="634">
        <v>83037</v>
      </c>
      <c r="F694" s="570">
        <v>1020.3</v>
      </c>
    </row>
    <row r="695" spans="2:12" x14ac:dyDescent="0.3">
      <c r="B695" s="572" t="s">
        <v>539</v>
      </c>
      <c r="C695" s="572" t="s">
        <v>2971</v>
      </c>
      <c r="D695" s="634">
        <v>28114</v>
      </c>
      <c r="E695" s="634">
        <v>44266</v>
      </c>
      <c r="F695" s="570">
        <v>164.2</v>
      </c>
    </row>
    <row r="696" spans="2:12" x14ac:dyDescent="0.3">
      <c r="B696" s="572" t="s">
        <v>539</v>
      </c>
      <c r="C696" s="572" t="s">
        <v>2972</v>
      </c>
      <c r="D696" s="634">
        <v>45637</v>
      </c>
      <c r="E696" s="634">
        <v>84467</v>
      </c>
      <c r="F696" s="570">
        <v>401.1</v>
      </c>
    </row>
    <row r="697" spans="2:12" x14ac:dyDescent="0.3">
      <c r="B697" s="572" t="s">
        <v>539</v>
      </c>
      <c r="C697" s="572" t="s">
        <v>2973</v>
      </c>
      <c r="D697" s="634">
        <v>34317</v>
      </c>
      <c r="E697" s="634">
        <v>52539</v>
      </c>
      <c r="F697" s="570">
        <v>171</v>
      </c>
    </row>
    <row r="698" spans="2:12" x14ac:dyDescent="0.3">
      <c r="C698" s="572" t="str" cm="1">
        <f t="array" ref="C698:C702">_xlfn.UNIQUE(C652:C666)</f>
        <v xml:space="preserve">Põhja-Eesti </v>
      </c>
      <c r="D698" s="972" cm="1">
        <f t="array" ref="D698:D702">SUMIFS(D$683:D$697,$B$683:$B$697,_xlfn.ANCHORARRAY($C$698))/SUM(D$683:D$697)</f>
        <v>0.46715240825721654</v>
      </c>
      <c r="E698" s="972" cm="1">
        <f t="array" ref="E698:E702">SUMIFS(E$683:E$697,$B$683:$B$697,_xlfn.ANCHORARRAY($C$698))/SUM(E$683:E$697)</f>
        <v>6.6969983920146997E-2</v>
      </c>
      <c r="F698" s="972" cm="1">
        <f t="array" ref="F698:F702">SUMIFS(F$683:F$697,$B$683:$B$697,_xlfn.ANCHORARRAY($C$698))/SUM(F$683:F$697)</f>
        <v>0.510495150787874</v>
      </c>
    </row>
    <row r="699" spans="2:12" x14ac:dyDescent="0.3">
      <c r="C699" s="572" t="str">
        <v>Lääne-Eesti</v>
      </c>
      <c r="D699" s="972">
        <v>0.10872006700422583</v>
      </c>
      <c r="E699" s="972">
        <v>0.22051716973331675</v>
      </c>
      <c r="F699" s="972">
        <v>8.3095626856569543E-2</v>
      </c>
    </row>
    <row r="700" spans="2:12" x14ac:dyDescent="0.3">
      <c r="C700" s="572" t="str">
        <v>Kirde-Eesti</v>
      </c>
      <c r="D700" s="972">
        <v>9.7634938252443113E-2</v>
      </c>
      <c r="E700" s="972">
        <v>3.5302344810288558E-2</v>
      </c>
      <c r="F700" s="972">
        <v>0.12648279660850237</v>
      </c>
    </row>
    <row r="701" spans="2:12" x14ac:dyDescent="0.3">
      <c r="C701" s="572" t="str">
        <v>Lõuna-Eesti </v>
      </c>
      <c r="D701" s="972">
        <v>0.23591534859475621</v>
      </c>
      <c r="E701" s="972">
        <v>0.4111989321192141</v>
      </c>
      <c r="F701" s="972">
        <v>0.19450947219326029</v>
      </c>
    </row>
    <row r="702" spans="2:12" x14ac:dyDescent="0.3">
      <c r="C702" s="572" t="str">
        <v>Kesk-Eesti</v>
      </c>
      <c r="D702" s="972">
        <v>9.057723789135827E-2</v>
      </c>
      <c r="E702" s="972">
        <v>0.26601156941703358</v>
      </c>
      <c r="F702" s="972">
        <v>8.5416953553793806E-2</v>
      </c>
    </row>
    <row r="703" spans="2:12" x14ac:dyDescent="0.3">
      <c r="D703" s="1035"/>
      <c r="E703" s="1035"/>
      <c r="F703" s="1035"/>
    </row>
    <row r="704" spans="2:12" ht="15" x14ac:dyDescent="0.3">
      <c r="B704" s="1007" t="s">
        <v>2984</v>
      </c>
      <c r="C704" s="1007"/>
      <c r="D704" s="1007"/>
      <c r="E704" s="1007"/>
      <c r="F704" s="1007"/>
      <c r="G704" s="1007"/>
      <c r="H704" s="1007"/>
      <c r="I704" s="1007"/>
      <c r="J704" s="1007"/>
      <c r="K704" s="1007"/>
      <c r="L704" s="1007"/>
    </row>
    <row r="706" spans="2:12" x14ac:dyDescent="0.3">
      <c r="B706" s="1171" t="s">
        <v>2600</v>
      </c>
      <c r="C706" s="2171" t="s">
        <v>2985</v>
      </c>
      <c r="D706" s="2172"/>
      <c r="E706" s="2172"/>
      <c r="F706" s="2172"/>
      <c r="G706" s="2172"/>
      <c r="H706" s="2172"/>
      <c r="I706" s="2172"/>
    </row>
    <row r="708" spans="2:12" x14ac:dyDescent="0.3">
      <c r="B708" s="9"/>
      <c r="C708" s="9" t="s">
        <v>536</v>
      </c>
      <c r="D708" s="9" t="s">
        <v>540</v>
      </c>
      <c r="E708" s="9" t="s">
        <v>538</v>
      </c>
      <c r="F708" s="9" t="s">
        <v>537</v>
      </c>
      <c r="G708" s="9" t="s">
        <v>539</v>
      </c>
      <c r="H708" s="9" t="s">
        <v>536</v>
      </c>
      <c r="I708" s="9" t="s">
        <v>540</v>
      </c>
      <c r="J708" s="9" t="s">
        <v>538</v>
      </c>
      <c r="K708" s="9" t="s">
        <v>537</v>
      </c>
      <c r="L708" s="9" t="s">
        <v>539</v>
      </c>
    </row>
    <row r="709" spans="2:12" x14ac:dyDescent="0.3">
      <c r="B709" s="475" t="s">
        <v>2986</v>
      </c>
      <c r="C709" s="966">
        <v>885339.8</v>
      </c>
      <c r="D709" s="966">
        <v>169597.5</v>
      </c>
      <c r="E709" s="966">
        <v>172886.7</v>
      </c>
      <c r="F709" s="966">
        <v>224033.9</v>
      </c>
      <c r="G709" s="966">
        <v>472083.20000000001</v>
      </c>
      <c r="H709" s="1161">
        <f>C709/SUM($C709:$G709)</f>
        <v>0.4601699085278651</v>
      </c>
      <c r="I709" s="1161">
        <f t="shared" ref="I709:L709" si="465">D709/SUM($C709:$G709)</f>
        <v>8.8151087369566575E-2</v>
      </c>
      <c r="J709" s="1161">
        <f t="shared" si="465"/>
        <v>8.9860703116119323E-2</v>
      </c>
      <c r="K709" s="1161">
        <f t="shared" si="465"/>
        <v>0.11644530074231484</v>
      </c>
      <c r="L709" s="1161">
        <f t="shared" si="465"/>
        <v>0.2453730002441343</v>
      </c>
    </row>
    <row r="710" spans="2:12" x14ac:dyDescent="0.3">
      <c r="B710" s="475" t="s">
        <v>2987</v>
      </c>
      <c r="C710" s="966">
        <v>64792.800000000003</v>
      </c>
      <c r="D710" s="966">
        <v>16112.4</v>
      </c>
      <c r="E710" s="966">
        <v>18166.7</v>
      </c>
      <c r="F710" s="966">
        <v>24190.1</v>
      </c>
      <c r="G710" s="966">
        <v>43571</v>
      </c>
      <c r="H710" s="1161">
        <f t="shared" ref="H710:H732" si="466">C710/SUM($C710:$G710)</f>
        <v>0.38836920753088422</v>
      </c>
      <c r="I710" s="1161">
        <f t="shared" ref="I710:I732" si="467">D710/SUM($C710:$G710)</f>
        <v>9.6578015140889387E-2</v>
      </c>
      <c r="J710" s="1161">
        <f t="shared" ref="J710:J732" si="468">E710/SUM($C710:$G710)</f>
        <v>0.10889152625679573</v>
      </c>
      <c r="K710" s="1161">
        <f t="shared" ref="K710:K732" si="469">F710/SUM($C710:$G710)</f>
        <v>0.14499589409769051</v>
      </c>
      <c r="L710" s="1161">
        <f t="shared" ref="L710:L732" si="470">G710/SUM($C710:$G710)</f>
        <v>0.26116535697374021</v>
      </c>
    </row>
    <row r="711" spans="2:12" x14ac:dyDescent="0.3">
      <c r="B711" s="475" t="s">
        <v>2988</v>
      </c>
      <c r="C711" s="966">
        <v>3486.4</v>
      </c>
      <c r="D711" s="966">
        <v>1079.9000000000001</v>
      </c>
      <c r="E711" s="966">
        <v>1318.4</v>
      </c>
      <c r="F711" s="966">
        <v>1576.7</v>
      </c>
      <c r="G711" s="966">
        <v>2449.1</v>
      </c>
      <c r="H711" s="1161">
        <f t="shared" si="466"/>
        <v>0.35178850713889309</v>
      </c>
      <c r="I711" s="1161">
        <f t="shared" si="467"/>
        <v>0.10896523888804804</v>
      </c>
      <c r="J711" s="1161">
        <f t="shared" si="468"/>
        <v>0.13303062408556582</v>
      </c>
      <c r="K711" s="1161">
        <f t="shared" si="469"/>
        <v>0.15909389031834922</v>
      </c>
      <c r="L711" s="1161">
        <f t="shared" si="470"/>
        <v>0.24712173956914382</v>
      </c>
    </row>
    <row r="712" spans="2:12" x14ac:dyDescent="0.3">
      <c r="B712" s="475" t="s">
        <v>2989</v>
      </c>
      <c r="C712" s="966">
        <v>47044.5</v>
      </c>
      <c r="D712" s="966">
        <v>13071.8</v>
      </c>
      <c r="E712" s="966">
        <v>14945.5</v>
      </c>
      <c r="F712" s="966">
        <v>19649.400000000001</v>
      </c>
      <c r="G712" s="966">
        <v>34982.400000000001</v>
      </c>
      <c r="H712" s="1161">
        <f t="shared" si="466"/>
        <v>0.3627357093950665</v>
      </c>
      <c r="I712" s="1161">
        <f t="shared" si="467"/>
        <v>0.10078986164313426</v>
      </c>
      <c r="J712" s="1161">
        <f t="shared" si="468"/>
        <v>0.11523698933486309</v>
      </c>
      <c r="K712" s="1161">
        <f t="shared" si="469"/>
        <v>0.15150631950998353</v>
      </c>
      <c r="L712" s="1161">
        <f t="shared" si="470"/>
        <v>0.26973112011695255</v>
      </c>
    </row>
    <row r="713" spans="2:12" x14ac:dyDescent="0.3">
      <c r="B713" s="475" t="s">
        <v>2990</v>
      </c>
      <c r="C713" s="966">
        <v>187743.9</v>
      </c>
      <c r="D713" s="966">
        <v>20143</v>
      </c>
      <c r="E713" s="966">
        <v>19160.400000000001</v>
      </c>
      <c r="F713" s="966">
        <v>30458.3</v>
      </c>
      <c r="G713" s="966">
        <v>65439.1</v>
      </c>
      <c r="H713" s="1161">
        <f t="shared" si="466"/>
        <v>0.58134999583520031</v>
      </c>
      <c r="I713" s="1161">
        <f t="shared" si="467"/>
        <v>6.2372907807435769E-2</v>
      </c>
      <c r="J713" s="1161">
        <f t="shared" si="468"/>
        <v>5.9330281624067539E-2</v>
      </c>
      <c r="K713" s="1161">
        <f t="shared" si="469"/>
        <v>9.4314289722048403E-2</v>
      </c>
      <c r="L713" s="1161">
        <f t="shared" si="470"/>
        <v>0.20263252501124809</v>
      </c>
    </row>
    <row r="714" spans="2:12" x14ac:dyDescent="0.3">
      <c r="B714" s="475" t="s">
        <v>2991</v>
      </c>
      <c r="C714" s="966">
        <v>70305.2</v>
      </c>
      <c r="D714" s="966">
        <v>14083.3</v>
      </c>
      <c r="E714" s="966">
        <v>12438.1</v>
      </c>
      <c r="F714" s="966">
        <v>20635.3</v>
      </c>
      <c r="G714" s="966">
        <v>42033.599999999999</v>
      </c>
      <c r="H714" s="1161">
        <f t="shared" si="466"/>
        <v>0.44079738926803574</v>
      </c>
      <c r="I714" s="1161">
        <f t="shared" si="467"/>
        <v>8.8299042919706194E-2</v>
      </c>
      <c r="J714" s="1161">
        <f t="shared" si="468"/>
        <v>7.798401835788471E-2</v>
      </c>
      <c r="K714" s="1161">
        <f t="shared" si="469"/>
        <v>0.12937857180923598</v>
      </c>
      <c r="L714" s="1161">
        <f t="shared" si="470"/>
        <v>0.26354097764513734</v>
      </c>
    </row>
    <row r="715" spans="2:12" x14ac:dyDescent="0.3">
      <c r="B715" s="475" t="s">
        <v>2992</v>
      </c>
      <c r="C715" s="966">
        <v>98070.399999999994</v>
      </c>
      <c r="D715" s="966">
        <v>278.39999999999998</v>
      </c>
      <c r="E715" s="966">
        <v>1827.6</v>
      </c>
      <c r="F715" s="966">
        <v>3354.7</v>
      </c>
      <c r="G715" s="966">
        <v>9426.5</v>
      </c>
      <c r="H715" s="1161">
        <f t="shared" si="466"/>
        <v>0.86820541512921667</v>
      </c>
      <c r="I715" s="1161">
        <f t="shared" si="467"/>
        <v>2.4646416000339952E-3</v>
      </c>
      <c r="J715" s="1161">
        <f t="shared" si="468"/>
        <v>1.6179522227809374E-2</v>
      </c>
      <c r="K715" s="1161">
        <f t="shared" si="469"/>
        <v>2.9698754222823431E-2</v>
      </c>
      <c r="L715" s="1161">
        <f t="shared" si="470"/>
        <v>8.345166682011658E-2</v>
      </c>
    </row>
    <row r="716" spans="2:12" x14ac:dyDescent="0.3">
      <c r="B716" s="475" t="s">
        <v>2993</v>
      </c>
      <c r="C716" s="966">
        <v>537.29999999999995</v>
      </c>
      <c r="D716" s="966">
        <v>256.5</v>
      </c>
      <c r="E716" s="966">
        <v>248.4</v>
      </c>
      <c r="F716" s="966">
        <v>746.7</v>
      </c>
      <c r="G716" s="966">
        <v>124.2</v>
      </c>
      <c r="H716" s="1161">
        <f t="shared" si="466"/>
        <v>0.28085306570487684</v>
      </c>
      <c r="I716" s="1161">
        <f t="shared" si="467"/>
        <v>0.13407558413046886</v>
      </c>
      <c r="J716" s="1161">
        <f t="shared" si="468"/>
        <v>0.12984161831582247</v>
      </c>
      <c r="K716" s="1161">
        <f t="shared" si="469"/>
        <v>0.39030892269092049</v>
      </c>
      <c r="L716" s="1161">
        <f t="shared" si="470"/>
        <v>6.4920809157911236E-2</v>
      </c>
    </row>
    <row r="717" spans="2:12" x14ac:dyDescent="0.3">
      <c r="B717" s="475" t="s">
        <v>2994</v>
      </c>
      <c r="C717" s="966">
        <v>0</v>
      </c>
      <c r="D717" s="966">
        <v>0</v>
      </c>
      <c r="E717" s="966">
        <v>0</v>
      </c>
      <c r="F717" s="966">
        <v>0</v>
      </c>
      <c r="G717" s="966">
        <v>32</v>
      </c>
      <c r="H717" s="1161">
        <f t="shared" si="466"/>
        <v>0</v>
      </c>
      <c r="I717" s="1161">
        <f t="shared" si="467"/>
        <v>0</v>
      </c>
      <c r="J717" s="1161">
        <f t="shared" si="468"/>
        <v>0</v>
      </c>
      <c r="K717" s="1161">
        <f t="shared" si="469"/>
        <v>0</v>
      </c>
      <c r="L717" s="1161">
        <f t="shared" si="470"/>
        <v>1</v>
      </c>
    </row>
    <row r="718" spans="2:12" x14ac:dyDescent="0.3">
      <c r="B718" s="475" t="s">
        <v>2995</v>
      </c>
      <c r="C718" s="966">
        <v>44842.7</v>
      </c>
      <c r="D718" s="966">
        <v>6811.4</v>
      </c>
      <c r="E718" s="966">
        <v>7845.7</v>
      </c>
      <c r="F718" s="966">
        <v>8979.1</v>
      </c>
      <c r="G718" s="966">
        <v>14858.1</v>
      </c>
      <c r="H718" s="1161">
        <f t="shared" si="466"/>
        <v>0.53808872409613973</v>
      </c>
      <c r="I718" s="1161">
        <f t="shared" si="467"/>
        <v>8.1733203739035476E-2</v>
      </c>
      <c r="J718" s="1161">
        <f t="shared" si="468"/>
        <v>9.414425765266328E-2</v>
      </c>
      <c r="K718" s="1161">
        <f t="shared" si="469"/>
        <v>0.10774445924379328</v>
      </c>
      <c r="L718" s="1161">
        <f t="shared" si="470"/>
        <v>0.1782893552683682</v>
      </c>
    </row>
    <row r="719" spans="2:12" x14ac:dyDescent="0.3">
      <c r="B719" s="475" t="s">
        <v>2996</v>
      </c>
      <c r="C719" s="966">
        <v>11473.2</v>
      </c>
      <c r="D719" s="966">
        <v>1950.9</v>
      </c>
      <c r="E719" s="966">
        <v>2178.5</v>
      </c>
      <c r="F719" s="966">
        <v>1945</v>
      </c>
      <c r="G719" s="966">
        <v>4466.3</v>
      </c>
      <c r="H719" s="1161">
        <f t="shared" si="466"/>
        <v>0.52117980003543229</v>
      </c>
      <c r="I719" s="1161">
        <f t="shared" si="467"/>
        <v>8.8621280191151966E-2</v>
      </c>
      <c r="J719" s="1161">
        <f t="shared" si="468"/>
        <v>9.8960202417563453E-2</v>
      </c>
      <c r="K719" s="1161">
        <f t="shared" si="469"/>
        <v>8.8353267708129873E-2</v>
      </c>
      <c r="L719" s="1161">
        <f t="shared" si="470"/>
        <v>0.20288544964772259</v>
      </c>
    </row>
    <row r="720" spans="2:12" x14ac:dyDescent="0.3">
      <c r="B720" s="475" t="s">
        <v>2997</v>
      </c>
      <c r="C720" s="966">
        <v>11420.7</v>
      </c>
      <c r="D720" s="966">
        <v>602.5</v>
      </c>
      <c r="E720" s="966">
        <v>235.6</v>
      </c>
      <c r="F720" s="966">
        <v>171.9</v>
      </c>
      <c r="G720" s="966">
        <v>2365.6999999999998</v>
      </c>
      <c r="H720" s="1161">
        <f t="shared" si="466"/>
        <v>0.77185666783812279</v>
      </c>
      <c r="I720" s="1161">
        <f t="shared" si="467"/>
        <v>4.0719364169662889E-2</v>
      </c>
      <c r="J720" s="1161">
        <f t="shared" si="468"/>
        <v>1.5922792030493901E-2</v>
      </c>
      <c r="K720" s="1161">
        <f t="shared" si="469"/>
        <v>1.1617690789651537E-2</v>
      </c>
      <c r="L720" s="1161">
        <f t="shared" si="470"/>
        <v>0.15988348517206885</v>
      </c>
    </row>
    <row r="721" spans="2:12" x14ac:dyDescent="0.3">
      <c r="B721" s="475" t="s">
        <v>2998</v>
      </c>
      <c r="C721" s="966">
        <v>0</v>
      </c>
      <c r="D721" s="966">
        <v>2</v>
      </c>
      <c r="E721" s="966">
        <v>0</v>
      </c>
      <c r="F721" s="966">
        <v>0</v>
      </c>
      <c r="G721" s="966">
        <v>2.2000000000000002</v>
      </c>
      <c r="H721" s="1161">
        <f t="shared" si="466"/>
        <v>0</v>
      </c>
      <c r="I721" s="1161">
        <f t="shared" si="467"/>
        <v>0.47619047619047616</v>
      </c>
      <c r="J721" s="1161">
        <f t="shared" si="468"/>
        <v>0</v>
      </c>
      <c r="K721" s="1161">
        <f t="shared" si="469"/>
        <v>0</v>
      </c>
      <c r="L721" s="1161">
        <f t="shared" si="470"/>
        <v>0.52380952380952384</v>
      </c>
    </row>
    <row r="722" spans="2:12" x14ac:dyDescent="0.3">
      <c r="B722" s="475" t="s">
        <v>2999</v>
      </c>
      <c r="C722" s="966">
        <v>9479.7999999999993</v>
      </c>
      <c r="D722" s="966">
        <v>189.4</v>
      </c>
      <c r="E722" s="966">
        <v>49.4</v>
      </c>
      <c r="F722" s="966">
        <v>67.099999999999994</v>
      </c>
      <c r="G722" s="966">
        <v>1596</v>
      </c>
      <c r="H722" s="1161">
        <f t="shared" si="466"/>
        <v>0.83289842466415387</v>
      </c>
      <c r="I722" s="1161">
        <f t="shared" si="467"/>
        <v>1.6640747867190317E-2</v>
      </c>
      <c r="J722" s="1161">
        <f t="shared" si="468"/>
        <v>4.3403006580739261E-3</v>
      </c>
      <c r="K722" s="1161">
        <f t="shared" si="469"/>
        <v>5.8954286266550693E-3</v>
      </c>
      <c r="L722" s="1161">
        <f t="shared" si="470"/>
        <v>0.14022509818392684</v>
      </c>
    </row>
    <row r="723" spans="2:12" x14ac:dyDescent="0.3">
      <c r="B723" s="475" t="s">
        <v>3000</v>
      </c>
      <c r="C723" s="966">
        <v>0</v>
      </c>
      <c r="D723" s="966">
        <v>142.5</v>
      </c>
      <c r="E723" s="966">
        <v>83</v>
      </c>
      <c r="F723" s="966">
        <v>26.4</v>
      </c>
      <c r="G723" s="966">
        <v>214</v>
      </c>
      <c r="H723" s="1161">
        <f t="shared" si="466"/>
        <v>0</v>
      </c>
      <c r="I723" s="1161">
        <f t="shared" si="467"/>
        <v>0.30585962652929816</v>
      </c>
      <c r="J723" s="1161">
        <f t="shared" si="468"/>
        <v>0.17814981755741577</v>
      </c>
      <c r="K723" s="1161">
        <f t="shared" si="469"/>
        <v>5.6664520283322604E-2</v>
      </c>
      <c r="L723" s="1161">
        <f t="shared" si="470"/>
        <v>0.45932603562996355</v>
      </c>
    </row>
    <row r="724" spans="2:12" x14ac:dyDescent="0.3">
      <c r="B724" s="475" t="s">
        <v>3001</v>
      </c>
      <c r="C724" s="966">
        <v>131.69999999999999</v>
      </c>
      <c r="D724" s="966">
        <v>63.5</v>
      </c>
      <c r="E724" s="966">
        <v>19.100000000000001</v>
      </c>
      <c r="F724" s="966">
        <v>32.1</v>
      </c>
      <c r="G724" s="966">
        <v>87.3</v>
      </c>
      <c r="H724" s="1161">
        <f t="shared" si="466"/>
        <v>0.39466586754569971</v>
      </c>
      <c r="I724" s="1161">
        <f t="shared" si="467"/>
        <v>0.1902906802517231</v>
      </c>
      <c r="J724" s="1161">
        <f t="shared" si="468"/>
        <v>5.7237039256817508E-2</v>
      </c>
      <c r="K724" s="1161">
        <f t="shared" si="469"/>
        <v>9.6194186394965547E-2</v>
      </c>
      <c r="L724" s="1161">
        <f t="shared" si="470"/>
        <v>0.26161222655079414</v>
      </c>
    </row>
    <row r="725" spans="2:12" x14ac:dyDescent="0.3">
      <c r="B725" s="475" t="s">
        <v>3002</v>
      </c>
      <c r="C725" s="966">
        <v>1809.2</v>
      </c>
      <c r="D725" s="966">
        <v>136.4</v>
      </c>
      <c r="E725" s="966">
        <v>84.2</v>
      </c>
      <c r="F725" s="966">
        <v>46.4</v>
      </c>
      <c r="G725" s="966">
        <v>443.7</v>
      </c>
      <c r="H725" s="1161">
        <f t="shared" si="466"/>
        <v>0.717964998611056</v>
      </c>
      <c r="I725" s="1161">
        <f t="shared" si="467"/>
        <v>5.4129132108417001E-2</v>
      </c>
      <c r="J725" s="1161">
        <f t="shared" si="468"/>
        <v>3.341402436604627E-2</v>
      </c>
      <c r="K725" s="1161">
        <f t="shared" si="469"/>
        <v>1.8413429104329537E-2</v>
      </c>
      <c r="L725" s="1161">
        <f t="shared" si="470"/>
        <v>0.17607841581015118</v>
      </c>
    </row>
    <row r="726" spans="2:12" x14ac:dyDescent="0.3">
      <c r="B726" s="475" t="s">
        <v>3003</v>
      </c>
      <c r="C726" s="966">
        <v>0</v>
      </c>
      <c r="D726" s="966">
        <v>68.8</v>
      </c>
      <c r="E726" s="966">
        <v>0</v>
      </c>
      <c r="F726" s="966">
        <v>0</v>
      </c>
      <c r="G726" s="966">
        <v>22.4</v>
      </c>
      <c r="H726" s="1161">
        <f t="shared" si="466"/>
        <v>0</v>
      </c>
      <c r="I726" s="1161">
        <f t="shared" si="467"/>
        <v>0.75438596491228072</v>
      </c>
      <c r="J726" s="1161">
        <f t="shared" si="468"/>
        <v>0</v>
      </c>
      <c r="K726" s="1161">
        <f t="shared" si="469"/>
        <v>0</v>
      </c>
      <c r="L726" s="1161">
        <f t="shared" si="470"/>
        <v>0.24561403508771931</v>
      </c>
    </row>
    <row r="727" spans="2:12" x14ac:dyDescent="0.3">
      <c r="B727" s="475" t="s">
        <v>3004</v>
      </c>
      <c r="C727" s="966">
        <v>90621.7</v>
      </c>
      <c r="D727" s="966">
        <v>21038.9</v>
      </c>
      <c r="E727" s="966">
        <v>22212.2</v>
      </c>
      <c r="F727" s="966">
        <v>24569.3</v>
      </c>
      <c r="G727" s="966">
        <v>48738.3</v>
      </c>
      <c r="H727" s="1161">
        <f t="shared" si="466"/>
        <v>0.43740479311749558</v>
      </c>
      <c r="I727" s="1161">
        <f t="shared" si="467"/>
        <v>0.10154869862207043</v>
      </c>
      <c r="J727" s="1161">
        <f t="shared" si="468"/>
        <v>0.10721187911597814</v>
      </c>
      <c r="K727" s="1161">
        <f t="shared" si="469"/>
        <v>0.11858892057356775</v>
      </c>
      <c r="L727" s="1161">
        <f t="shared" si="470"/>
        <v>0.23524570857088797</v>
      </c>
    </row>
    <row r="728" spans="2:12" x14ac:dyDescent="0.3">
      <c r="B728" s="475" t="s">
        <v>2630</v>
      </c>
      <c r="C728" s="966">
        <v>383576.1</v>
      </c>
      <c r="D728" s="966">
        <v>84516.3</v>
      </c>
      <c r="E728" s="966">
        <v>79816.399999999994</v>
      </c>
      <c r="F728" s="966">
        <v>111435.4</v>
      </c>
      <c r="G728" s="966">
        <v>243813.3</v>
      </c>
      <c r="H728" s="1161">
        <f t="shared" si="466"/>
        <v>0.4247056576510741</v>
      </c>
      <c r="I728" s="1161">
        <f t="shared" si="467"/>
        <v>9.3578694745933028E-2</v>
      </c>
      <c r="J728" s="1161">
        <f t="shared" si="468"/>
        <v>8.8374840490169207E-2</v>
      </c>
      <c r="K728" s="1161">
        <f t="shared" si="469"/>
        <v>0.12338423807586163</v>
      </c>
      <c r="L728" s="1161">
        <f t="shared" si="470"/>
        <v>0.26995656903696197</v>
      </c>
    </row>
    <row r="729" spans="2:12" x14ac:dyDescent="0.3">
      <c r="B729" s="475" t="s">
        <v>3005</v>
      </c>
      <c r="C729" s="966">
        <v>140437.20000000001</v>
      </c>
      <c r="D729" s="966">
        <v>22535.4</v>
      </c>
      <c r="E729" s="966">
        <v>28167.200000000001</v>
      </c>
      <c r="F729" s="966">
        <v>30511.5</v>
      </c>
      <c r="G729" s="966">
        <v>79602.899999999994</v>
      </c>
      <c r="H729" s="1161">
        <f t="shared" si="466"/>
        <v>0.46617507739311187</v>
      </c>
      <c r="I729" s="1161">
        <f t="shared" si="467"/>
        <v>7.4805264125778162E-2</v>
      </c>
      <c r="J729" s="1161">
        <f t="shared" si="468"/>
        <v>9.3499775272842672E-2</v>
      </c>
      <c r="K729" s="1161">
        <f t="shared" si="469"/>
        <v>0.1012815754933873</v>
      </c>
      <c r="L729" s="1161">
        <f t="shared" si="470"/>
        <v>0.26423830771487994</v>
      </c>
    </row>
    <row r="730" spans="2:12" x14ac:dyDescent="0.3">
      <c r="B730" s="475" t="s">
        <v>3006</v>
      </c>
      <c r="C730" s="966">
        <v>202901.6</v>
      </c>
      <c r="D730" s="966">
        <v>51622.2</v>
      </c>
      <c r="E730" s="966">
        <v>40517.699999999997</v>
      </c>
      <c r="F730" s="966">
        <v>66316.2</v>
      </c>
      <c r="G730" s="966">
        <v>124910.8</v>
      </c>
      <c r="H730" s="1161">
        <f t="shared" si="466"/>
        <v>0.41726247947378869</v>
      </c>
      <c r="I730" s="1161">
        <f t="shared" si="467"/>
        <v>0.10615986846772925</v>
      </c>
      <c r="J730" s="1161">
        <f t="shared" si="468"/>
        <v>8.332371930322445E-2</v>
      </c>
      <c r="K730" s="1161">
        <f t="shared" si="469"/>
        <v>0.13637774192652824</v>
      </c>
      <c r="L730" s="1161">
        <f t="shared" si="470"/>
        <v>0.25687619082872942</v>
      </c>
    </row>
    <row r="731" spans="2:12" x14ac:dyDescent="0.3">
      <c r="B731" s="475" t="s">
        <v>3007</v>
      </c>
      <c r="C731" s="966">
        <v>1206.5999999999999</v>
      </c>
      <c r="D731" s="966">
        <v>491.4</v>
      </c>
      <c r="E731" s="966">
        <v>0</v>
      </c>
      <c r="F731" s="966">
        <v>8.6999999999999993</v>
      </c>
      <c r="G731" s="966">
        <v>9389.1</v>
      </c>
      <c r="H731" s="1161">
        <f t="shared" si="466"/>
        <v>0.10874384902395499</v>
      </c>
      <c r="I731" s="1161">
        <f t="shared" si="467"/>
        <v>4.4287027523927963E-2</v>
      </c>
      <c r="J731" s="1161">
        <f t="shared" si="468"/>
        <v>0</v>
      </c>
      <c r="K731" s="1161">
        <f t="shared" si="469"/>
        <v>7.8408046287784558E-4</v>
      </c>
      <c r="L731" s="1161">
        <f t="shared" si="470"/>
        <v>0.84618504298923913</v>
      </c>
    </row>
    <row r="732" spans="2:12" x14ac:dyDescent="0.3">
      <c r="B732" s="475" t="s">
        <v>3008</v>
      </c>
      <c r="C732" s="966">
        <v>52.6</v>
      </c>
      <c r="D732" s="966">
        <v>0</v>
      </c>
      <c r="E732" s="966">
        <v>1.7</v>
      </c>
      <c r="F732" s="966">
        <v>6.4</v>
      </c>
      <c r="G732" s="966">
        <v>61.3</v>
      </c>
      <c r="H732" s="1161">
        <f t="shared" si="466"/>
        <v>0.43114754098360658</v>
      </c>
      <c r="I732" s="1161">
        <f t="shared" si="467"/>
        <v>0</v>
      </c>
      <c r="J732" s="1161">
        <f t="shared" si="468"/>
        <v>1.3934426229508197E-2</v>
      </c>
      <c r="K732" s="1161">
        <f t="shared" si="469"/>
        <v>5.2459016393442623E-2</v>
      </c>
      <c r="L732" s="1161">
        <f t="shared" si="470"/>
        <v>0.50245901639344259</v>
      </c>
    </row>
    <row r="733" spans="2:12" x14ac:dyDescent="0.3">
      <c r="B733" s="475" t="s">
        <v>3009</v>
      </c>
      <c r="C733" s="966">
        <v>61594</v>
      </c>
      <c r="D733" s="966">
        <v>15472</v>
      </c>
      <c r="E733" s="966">
        <v>16737.400000000001</v>
      </c>
      <c r="F733" s="966">
        <v>18220.3</v>
      </c>
      <c r="G733" s="966">
        <v>37150.9</v>
      </c>
      <c r="H733" s="1161">
        <f t="shared" ref="H733" si="471">C733/SUM($C733:$G733)</f>
        <v>0.41289871063840627</v>
      </c>
      <c r="I733" s="1161">
        <f t="shared" ref="I733" si="472">D733/SUM($C733:$G733)</f>
        <v>0.10371738888523917</v>
      </c>
      <c r="J733" s="1161">
        <f t="shared" ref="J733" si="473">E733/SUM($C733:$G733)</f>
        <v>0.11220006623111442</v>
      </c>
      <c r="K733" s="1161">
        <f t="shared" ref="K733" si="474">F733/SUM($C733:$G733)</f>
        <v>0.12214076659163155</v>
      </c>
      <c r="L733" s="1161">
        <f t="shared" ref="L733" si="475">G733/SUM($C733:$G733)</f>
        <v>0.24904306765360859</v>
      </c>
    </row>
    <row r="737" spans="2:26" ht="15" x14ac:dyDescent="0.3">
      <c r="B737" s="1007" t="s">
        <v>3010</v>
      </c>
      <c r="C737" s="1007"/>
      <c r="D737" s="1007"/>
      <c r="E737" s="1007"/>
      <c r="F737" s="1007"/>
      <c r="G737" s="1007"/>
      <c r="H737" s="1007"/>
      <c r="I737" s="1007"/>
      <c r="J737" s="1007"/>
    </row>
    <row r="739" spans="2:26" ht="27" x14ac:dyDescent="0.3">
      <c r="B739" s="1171" t="s">
        <v>2600</v>
      </c>
      <c r="C739" s="1172" t="s">
        <v>3011</v>
      </c>
      <c r="D739"/>
      <c r="E739"/>
      <c r="F739"/>
      <c r="G739"/>
      <c r="H739"/>
      <c r="I739"/>
    </row>
    <row r="740" spans="2:26" customFormat="1" x14ac:dyDescent="0.3">
      <c r="Z740" s="554"/>
    </row>
    <row r="741" spans="2:26" ht="27" x14ac:dyDescent="0.3">
      <c r="B741" s="9"/>
      <c r="C741" s="9" t="s">
        <v>3012</v>
      </c>
      <c r="D741" s="9" t="s">
        <v>68</v>
      </c>
    </row>
    <row r="742" spans="2:26" x14ac:dyDescent="0.3">
      <c r="B742" s="475" t="s">
        <v>536</v>
      </c>
      <c r="C742" s="966">
        <v>520746.10000000003</v>
      </c>
      <c r="D742" s="1163">
        <v>0.36787142664892586</v>
      </c>
    </row>
    <row r="743" spans="2:26" x14ac:dyDescent="0.3">
      <c r="B743" s="475" t="s">
        <v>537</v>
      </c>
      <c r="C743" s="966">
        <v>125759.10000000002</v>
      </c>
      <c r="D743" s="1163">
        <v>8.8840184364481906E-2</v>
      </c>
    </row>
    <row r="744" spans="2:26" x14ac:dyDescent="0.3">
      <c r="B744" s="475" t="s">
        <v>538</v>
      </c>
      <c r="C744" s="966">
        <v>163065.00000000006</v>
      </c>
      <c r="D744" s="1163">
        <v>0.11519424569191609</v>
      </c>
    </row>
    <row r="745" spans="2:26" x14ac:dyDescent="0.3">
      <c r="B745" s="475" t="s">
        <v>539</v>
      </c>
      <c r="C745" s="966">
        <v>387409.79999999981</v>
      </c>
      <c r="D745" s="1163">
        <v>0.2736784698412047</v>
      </c>
    </row>
    <row r="746" spans="2:26" x14ac:dyDescent="0.3">
      <c r="B746" s="475" t="s">
        <v>540</v>
      </c>
      <c r="C746" s="966">
        <v>218585.49999999994</v>
      </c>
      <c r="D746" s="1163">
        <v>0.15441567345347137</v>
      </c>
    </row>
    <row r="747" spans="2:26" x14ac:dyDescent="0.3">
      <c r="B747" s="59" t="s">
        <v>55</v>
      </c>
      <c r="C747" s="59">
        <v>1415565.5</v>
      </c>
      <c r="D747" s="59"/>
    </row>
    <row r="749" spans="2:26" ht="15" x14ac:dyDescent="0.3">
      <c r="B749" s="1007" t="s">
        <v>3013</v>
      </c>
      <c r="C749" s="1007"/>
      <c r="D749" s="1007"/>
      <c r="E749" s="1007"/>
      <c r="F749" s="1007"/>
      <c r="G749" s="1007"/>
      <c r="H749" s="1007"/>
      <c r="I749" s="1007"/>
      <c r="J749" s="1007"/>
    </row>
    <row r="751" spans="2:26" x14ac:dyDescent="0.3">
      <c r="B751" s="1171" t="s">
        <v>2600</v>
      </c>
      <c r="C751" s="2169" t="s">
        <v>3014</v>
      </c>
      <c r="D751" s="2169"/>
      <c r="E751" s="2169"/>
      <c r="F751" s="2169"/>
      <c r="G751" s="2169"/>
      <c r="H751" s="2169"/>
    </row>
    <row r="752" spans="2:26" x14ac:dyDescent="0.3">
      <c r="C752" s="485"/>
    </row>
    <row r="753" spans="2:26" ht="24" customHeight="1" x14ac:dyDescent="0.3">
      <c r="C753" s="2048" t="s">
        <v>3015</v>
      </c>
      <c r="D753" s="2048"/>
      <c r="E753" s="2048"/>
      <c r="F753" s="2048"/>
      <c r="G753" s="9"/>
      <c r="H753" s="2048" t="s">
        <v>3016</v>
      </c>
      <c r="I753" s="2048"/>
      <c r="J753" s="2048"/>
      <c r="K753" s="2048" t="s">
        <v>3017</v>
      </c>
      <c r="L753" s="2048"/>
      <c r="M753" s="2048"/>
    </row>
    <row r="754" spans="2:26" ht="27" x14ac:dyDescent="0.3">
      <c r="B754" s="9"/>
      <c r="C754" s="9" t="s">
        <v>2742</v>
      </c>
      <c r="D754" s="9" t="s">
        <v>3018</v>
      </c>
      <c r="E754" s="9" t="s">
        <v>3019</v>
      </c>
      <c r="F754" s="9" t="s">
        <v>3020</v>
      </c>
      <c r="G754" s="9" t="s">
        <v>3021</v>
      </c>
      <c r="H754" s="9" t="s">
        <v>2742</v>
      </c>
      <c r="I754" s="9" t="s">
        <v>3018</v>
      </c>
      <c r="J754" s="9" t="s">
        <v>3021</v>
      </c>
      <c r="K754" s="9" t="s">
        <v>2742</v>
      </c>
      <c r="L754" s="9" t="s">
        <v>3018</v>
      </c>
      <c r="M754" s="9" t="s">
        <v>3021</v>
      </c>
    </row>
    <row r="755" spans="2:26" x14ac:dyDescent="0.3">
      <c r="B755" s="475" t="s">
        <v>3022</v>
      </c>
      <c r="C755" s="1163">
        <f>C756+C757+C760+C761+C762+C763</f>
        <v>0.8</v>
      </c>
      <c r="G755" s="1259"/>
      <c r="H755" s="1163">
        <f>H756+H757+H760+H761+H762+H763</f>
        <v>0.95000000000000018</v>
      </c>
      <c r="I755" s="966"/>
      <c r="J755" s="1259"/>
      <c r="L755" s="554">
        <f t="shared" ref="L755:L766" si="476">D755+I755</f>
        <v>0</v>
      </c>
      <c r="M755" s="1259"/>
    </row>
    <row r="756" spans="2:26" x14ac:dyDescent="0.3">
      <c r="B756" s="475" t="s">
        <v>3023</v>
      </c>
      <c r="C756" s="513">
        <v>0.46</v>
      </c>
      <c r="D756" s="479">
        <f>E756+F756</f>
        <v>385400</v>
      </c>
      <c r="E756" s="487">
        <v>318600</v>
      </c>
      <c r="F756" s="487">
        <v>66800</v>
      </c>
      <c r="G756" s="1260">
        <f>D756/$C$785</f>
        <v>9.8962612982744447E-2</v>
      </c>
      <c r="H756" s="513">
        <v>0.55000000000000004</v>
      </c>
      <c r="I756" s="1038">
        <v>2589000</v>
      </c>
      <c r="J756" s="1260">
        <f>I756/$C$785</f>
        <v>0.66480073952341823</v>
      </c>
      <c r="L756" s="554">
        <f t="shared" si="476"/>
        <v>2974400</v>
      </c>
      <c r="M756" s="1260">
        <f>L756/$C$785</f>
        <v>0.76376335250616267</v>
      </c>
    </row>
    <row r="757" spans="2:26" x14ac:dyDescent="0.3">
      <c r="B757" s="475" t="s">
        <v>3024</v>
      </c>
      <c r="C757" s="513">
        <v>0.16</v>
      </c>
      <c r="D757" s="479">
        <f>E757+F757</f>
        <v>328100</v>
      </c>
      <c r="E757" s="487">
        <v>70100</v>
      </c>
      <c r="F757" s="487">
        <v>258000</v>
      </c>
      <c r="G757" s="1260">
        <f>D757/$C$782</f>
        <v>7.633605546636886E-2</v>
      </c>
      <c r="H757" s="513">
        <v>0.06</v>
      </c>
      <c r="I757" s="1038">
        <v>290000</v>
      </c>
      <c r="J757" s="1260">
        <f>I757/$C$782</f>
        <v>6.7471673530164492E-2</v>
      </c>
      <c r="L757" s="554">
        <f t="shared" si="476"/>
        <v>618100</v>
      </c>
      <c r="M757" s="1260">
        <f>L757/$C$782</f>
        <v>0.14380772899653335</v>
      </c>
    </row>
    <row r="758" spans="2:26" x14ac:dyDescent="0.3">
      <c r="B758" s="475" t="s">
        <v>3025</v>
      </c>
      <c r="C758" s="68">
        <f>C760+C762+C759</f>
        <v>0.24000000000000002</v>
      </c>
      <c r="D758" s="951">
        <f>D760+D762+D759</f>
        <v>232400</v>
      </c>
      <c r="E758" s="487"/>
      <c r="F758" s="487"/>
      <c r="G758" s="1260">
        <f>D758/($C$783+$C$784+$C$787)</f>
        <v>2.5009685334251647E-2</v>
      </c>
      <c r="H758" s="68">
        <f>H760+H762+H759</f>
        <v>0.22000000000000003</v>
      </c>
      <c r="I758" s="1405">
        <f>I759+I760</f>
        <v>1040000</v>
      </c>
      <c r="J758" s="1260">
        <f>I758/($C$783+$C$784+$C$787)</f>
        <v>0.1119194180190263</v>
      </c>
      <c r="L758" s="554">
        <f t="shared" si="476"/>
        <v>1272400</v>
      </c>
      <c r="M758" s="1260">
        <f>L758/($C$783+$C$784+$C$787)</f>
        <v>0.13692910335327796</v>
      </c>
    </row>
    <row r="759" spans="2:26" x14ac:dyDescent="0.3">
      <c r="B759" s="475" t="s">
        <v>3026</v>
      </c>
      <c r="C759" s="513">
        <v>0.14000000000000001</v>
      </c>
      <c r="D759" s="479">
        <f t="shared" ref="D759:D765" si="477">E759+F759</f>
        <v>116500</v>
      </c>
      <c r="E759" s="487">
        <v>108100</v>
      </c>
      <c r="F759" s="487">
        <v>8400</v>
      </c>
      <c r="G759" s="1260">
        <f>D759/$C$783</f>
        <v>0.11404796867351934</v>
      </c>
      <c r="H759" s="513">
        <v>0.05</v>
      </c>
      <c r="I759" s="1038">
        <v>215000</v>
      </c>
      <c r="J759" s="1260">
        <f>I759/$C$783</f>
        <v>0.21047479197258934</v>
      </c>
      <c r="L759" s="554">
        <f t="shared" si="476"/>
        <v>331500</v>
      </c>
      <c r="M759" s="1260">
        <f>L759/$C$783</f>
        <v>0.32452276064610869</v>
      </c>
    </row>
    <row r="760" spans="2:26" x14ac:dyDescent="0.3">
      <c r="B760" s="475" t="s">
        <v>3027</v>
      </c>
      <c r="C760" s="513">
        <v>0.08</v>
      </c>
      <c r="D760" s="479">
        <f t="shared" si="477"/>
        <v>96700</v>
      </c>
      <c r="E760" s="487">
        <v>29900</v>
      </c>
      <c r="F760" s="487">
        <v>66800</v>
      </c>
      <c r="G760" s="1260">
        <f>D760/$C$784</f>
        <v>2.3179998561737421E-2</v>
      </c>
      <c r="H760" s="513">
        <v>0.17</v>
      </c>
      <c r="I760" s="1038">
        <v>825000</v>
      </c>
      <c r="J760" s="1260">
        <f>I760/$C$784</f>
        <v>0.19776110458566051</v>
      </c>
      <c r="L760" s="554">
        <f t="shared" si="476"/>
        <v>921700</v>
      </c>
      <c r="M760" s="1260">
        <f>L760/$C$784</f>
        <v>0.22094110314739795</v>
      </c>
    </row>
    <row r="761" spans="2:26" x14ac:dyDescent="0.3">
      <c r="B761" s="475" t="s">
        <v>3028</v>
      </c>
      <c r="C761" s="513">
        <v>7.0000000000000007E-2</v>
      </c>
      <c r="D761" s="479">
        <f t="shared" si="477"/>
        <v>222000</v>
      </c>
      <c r="E761" s="487">
        <v>63300</v>
      </c>
      <c r="F761" s="487">
        <v>158700</v>
      </c>
      <c r="G761" s="1272">
        <f>D761/$C$789</f>
        <v>0.52606635071090047</v>
      </c>
      <c r="H761" s="513">
        <v>0.12</v>
      </c>
      <c r="I761" s="1038"/>
      <c r="J761" s="1272">
        <f>I761/$C$789</f>
        <v>0</v>
      </c>
      <c r="L761" s="554">
        <f t="shared" si="476"/>
        <v>222000</v>
      </c>
      <c r="M761" s="1272">
        <f>L761/$C$789</f>
        <v>0.52606635071090047</v>
      </c>
    </row>
    <row r="762" spans="2:26" x14ac:dyDescent="0.3">
      <c r="B762" s="475" t="s">
        <v>3029</v>
      </c>
      <c r="C762" s="513">
        <v>0.02</v>
      </c>
      <c r="D762" s="479">
        <f t="shared" si="477"/>
        <v>19200</v>
      </c>
      <c r="E762" s="487">
        <v>19200</v>
      </c>
      <c r="F762" s="487">
        <v>0</v>
      </c>
      <c r="G762" s="1272">
        <f>D762/$C$787</f>
        <v>4.6838407494145199E-3</v>
      </c>
      <c r="H762" s="513">
        <v>0</v>
      </c>
      <c r="I762" s="1038"/>
      <c r="J762" s="1272">
        <f>I762/$C$787</f>
        <v>0</v>
      </c>
      <c r="L762" s="554">
        <f t="shared" si="476"/>
        <v>19200</v>
      </c>
      <c r="M762" s="1272">
        <f>L762/$C$787</f>
        <v>4.6838407494145199E-3</v>
      </c>
      <c r="Z762"/>
    </row>
    <row r="763" spans="2:26" ht="17.25" thickBot="1" x14ac:dyDescent="0.35">
      <c r="B763" s="475" t="s">
        <v>3030</v>
      </c>
      <c r="C763" s="513">
        <v>0.01</v>
      </c>
      <c r="D763" s="479">
        <f t="shared" si="477"/>
        <v>12600</v>
      </c>
      <c r="E763" s="487">
        <v>8800</v>
      </c>
      <c r="F763" s="487">
        <v>3800</v>
      </c>
      <c r="G763" s="1272">
        <f>D763/$C$786</f>
        <v>1.1993146773272416E-2</v>
      </c>
      <c r="H763" s="513">
        <v>0.05</v>
      </c>
      <c r="I763" s="1038">
        <v>258000</v>
      </c>
      <c r="J763" s="1272">
        <f>I763/$C$786</f>
        <v>0.24557395773843518</v>
      </c>
      <c r="L763" s="554">
        <f t="shared" si="476"/>
        <v>270600</v>
      </c>
      <c r="M763" s="1272">
        <f>L763/$C$786</f>
        <v>0.25756710451170761</v>
      </c>
      <c r="Z763" s="588"/>
    </row>
    <row r="764" spans="2:26" x14ac:dyDescent="0.3">
      <c r="B764" s="475" t="s">
        <v>50</v>
      </c>
      <c r="C764" s="513">
        <v>0.01</v>
      </c>
      <c r="D764" s="479">
        <f t="shared" si="477"/>
        <v>7500</v>
      </c>
      <c r="E764" s="487">
        <v>6100</v>
      </c>
      <c r="F764" s="487">
        <v>1400</v>
      </c>
      <c r="G764" s="1272">
        <f>D764/$C$788</f>
        <v>8.1721601743394172E-4</v>
      </c>
      <c r="H764" s="513">
        <v>0</v>
      </c>
      <c r="I764" s="1038"/>
      <c r="J764" s="1272">
        <f>I764/$C$788</f>
        <v>0</v>
      </c>
      <c r="L764" s="554">
        <f t="shared" si="476"/>
        <v>7500</v>
      </c>
      <c r="M764" s="1272">
        <f>L764/$C$788</f>
        <v>8.1721601743394172E-4</v>
      </c>
    </row>
    <row r="765" spans="2:26" x14ac:dyDescent="0.3">
      <c r="B765" s="475" t="s">
        <v>125</v>
      </c>
      <c r="C765" s="513">
        <f>0.05</f>
        <v>0.05</v>
      </c>
      <c r="D765" s="479">
        <f t="shared" si="477"/>
        <v>47300</v>
      </c>
      <c r="E765" s="487">
        <v>40100</v>
      </c>
      <c r="F765" s="487">
        <v>7200</v>
      </c>
      <c r="G765" s="1260">
        <f>D765/(Baseline!$AC$644+Baseline!$AC$650)</f>
        <v>8.9532462615937909E-4</v>
      </c>
      <c r="H765" s="513">
        <v>0</v>
      </c>
      <c r="I765" s="1038">
        <v>476000</v>
      </c>
      <c r="J765" s="1260">
        <f>I765/(Baseline!$AC$644+Baseline!$AC$650)</f>
        <v>9.0100321786863516E-3</v>
      </c>
      <c r="L765" s="554">
        <f t="shared" si="476"/>
        <v>523300</v>
      </c>
      <c r="M765" s="1260">
        <f>L765/(Baseline!$AC$644+Baseline!$AC$650)</f>
        <v>9.9053568048457323E-3</v>
      </c>
    </row>
    <row r="766" spans="2:26" x14ac:dyDescent="0.3">
      <c r="B766" s="1235" t="s">
        <v>338</v>
      </c>
      <c r="C766" s="68">
        <f>C761+C763</f>
        <v>0.08</v>
      </c>
      <c r="D766" s="951">
        <f>D761+D763</f>
        <v>234600</v>
      </c>
      <c r="E766" s="487"/>
      <c r="F766" s="487"/>
      <c r="G766" s="1174">
        <f>D766/(Baseline!$AC$829+Baseline!$AC$844)</f>
        <v>3.9362416107382552E-2</v>
      </c>
      <c r="H766" s="68">
        <f>H761+H763</f>
        <v>0.16999999999999998</v>
      </c>
      <c r="I766" s="1400">
        <f>I761+I763</f>
        <v>258000</v>
      </c>
      <c r="J766" s="1174">
        <f>I766/(Baseline!$AC$829+Baseline!$AC$844)</f>
        <v>4.3288590604026844E-2</v>
      </c>
      <c r="L766" s="554">
        <f t="shared" si="476"/>
        <v>492600</v>
      </c>
      <c r="M766" s="1174">
        <f>L766/(Baseline!$AC$829+Baseline!$AC$844)</f>
        <v>8.2651006711409403E-2</v>
      </c>
    </row>
    <row r="767" spans="2:26" x14ac:dyDescent="0.3">
      <c r="B767" s="1235" t="s">
        <v>55</v>
      </c>
      <c r="D767" s="1400">
        <f>SUM(D756:D757,D759:D764)</f>
        <v>1188000</v>
      </c>
      <c r="E767" s="1400"/>
      <c r="F767" s="1400"/>
      <c r="I767" s="554">
        <f>SUM(I759:I765,I756:I757)</f>
        <v>4653000</v>
      </c>
      <c r="Z767"/>
    </row>
    <row r="769" spans="2:26" ht="15" x14ac:dyDescent="0.3">
      <c r="B769" s="1007" t="s">
        <v>3031</v>
      </c>
      <c r="C769" s="1007"/>
      <c r="D769" s="1007"/>
      <c r="E769" s="1007"/>
      <c r="F769" s="1007"/>
      <c r="G769" s="1007"/>
      <c r="H769" s="1007"/>
      <c r="Z769"/>
    </row>
    <row r="771" spans="2:26" x14ac:dyDescent="0.3">
      <c r="B771" s="1171" t="s">
        <v>2600</v>
      </c>
      <c r="C771" s="2169" t="s">
        <v>3014</v>
      </c>
      <c r="D771" s="2169"/>
      <c r="E771" s="2169"/>
      <c r="F771" s="2169"/>
      <c r="G771" s="2169"/>
      <c r="H771" s="2169"/>
    </row>
    <row r="775" spans="2:26" ht="54" x14ac:dyDescent="0.3">
      <c r="B775" s="9" t="s">
        <v>3032</v>
      </c>
      <c r="C775" s="9" t="s">
        <v>3033</v>
      </c>
      <c r="D775" s="9" t="s">
        <v>3034</v>
      </c>
      <c r="E775" s="9" t="s">
        <v>3035</v>
      </c>
      <c r="F775" s="9" t="s">
        <v>3036</v>
      </c>
      <c r="G775" s="9" t="s">
        <v>3037</v>
      </c>
      <c r="H775" s="9" t="s">
        <v>3038</v>
      </c>
      <c r="K775" s="9" t="s">
        <v>3039</v>
      </c>
      <c r="L775" s="9" t="s">
        <v>3034</v>
      </c>
      <c r="M775" s="9" t="s">
        <v>3035</v>
      </c>
      <c r="N775" s="9" t="s">
        <v>3037</v>
      </c>
      <c r="O775" s="9" t="s">
        <v>3040</v>
      </c>
    </row>
    <row r="776" spans="2:26" ht="12" customHeight="1" x14ac:dyDescent="0.3">
      <c r="B776" s="475" t="s">
        <v>1162</v>
      </c>
      <c r="C776" s="1406">
        <f>C782</f>
        <v>4298100</v>
      </c>
      <c r="D776" s="1406">
        <f t="shared" ref="D776:G776" si="478">D782</f>
        <v>328100</v>
      </c>
      <c r="E776" s="1406">
        <f t="shared" si="478"/>
        <v>290000</v>
      </c>
      <c r="F776" s="1406">
        <f t="shared" si="478"/>
        <v>618100</v>
      </c>
      <c r="G776" s="1406">
        <f t="shared" si="478"/>
        <v>3680000</v>
      </c>
      <c r="H776" s="865">
        <f>G776/$G$780</f>
        <v>0.27058823529411763</v>
      </c>
      <c r="J776" s="475" t="s">
        <v>1162</v>
      </c>
      <c r="K776" s="1241">
        <f>C776/C$780</f>
        <v>0.22672293287617037</v>
      </c>
      <c r="L776" s="1241">
        <f>D782/D790</f>
        <v>0.27793307920372723</v>
      </c>
      <c r="M776" s="1241">
        <f>E782/E790</f>
        <v>6.9427819008858027E-2</v>
      </c>
      <c r="N776" s="1241">
        <f>G782/G790</f>
        <v>0.27058823529411763</v>
      </c>
      <c r="O776" s="866"/>
    </row>
    <row r="777" spans="2:26" ht="12" customHeight="1" x14ac:dyDescent="0.3">
      <c r="B777" s="475" t="s">
        <v>417</v>
      </c>
      <c r="C777" s="1407">
        <f>C784+C783</f>
        <v>5193200</v>
      </c>
      <c r="D777" s="1407">
        <f t="shared" ref="D777:G777" si="479">D784+D783</f>
        <v>213200</v>
      </c>
      <c r="E777" s="1407">
        <f t="shared" si="479"/>
        <v>1040000</v>
      </c>
      <c r="F777" s="1407">
        <f t="shared" si="479"/>
        <v>1253200</v>
      </c>
      <c r="G777" s="1407">
        <f t="shared" si="479"/>
        <v>3940000</v>
      </c>
      <c r="H777" s="865">
        <f t="shared" ref="H777:H779" si="480">G777/$G$780</f>
        <v>0.2897058823529412</v>
      </c>
      <c r="J777" s="475" t="s">
        <v>417</v>
      </c>
      <c r="K777" s="1241">
        <f t="shared" ref="K777:K779" si="481">C777/C$780</f>
        <v>0.27393907424502179</v>
      </c>
      <c r="L777" s="1241">
        <f>SUM(D783:D784,D787)/D790</f>
        <v>0.19686573485811096</v>
      </c>
      <c r="M777" s="1241">
        <f>SUM(E783:E784,E787)/E790</f>
        <v>0.24898252334211157</v>
      </c>
      <c r="N777" s="1241">
        <f>SUM(G783:G784,G787)/G790</f>
        <v>0.58970588235294119</v>
      </c>
      <c r="O777" s="866"/>
    </row>
    <row r="778" spans="2:26" ht="12" customHeight="1" x14ac:dyDescent="0.3">
      <c r="B778" s="475" t="s">
        <v>1163</v>
      </c>
      <c r="C778" s="1406">
        <f>C785</f>
        <v>3894400</v>
      </c>
      <c r="D778" s="1406">
        <f t="shared" ref="D778:G778" si="482">D785</f>
        <v>385400</v>
      </c>
      <c r="E778" s="1406">
        <f t="shared" si="482"/>
        <v>2589000</v>
      </c>
      <c r="F778" s="1406">
        <f t="shared" si="482"/>
        <v>2974400</v>
      </c>
      <c r="G778" s="1406">
        <f t="shared" si="482"/>
        <v>920000</v>
      </c>
      <c r="H778" s="865">
        <f t="shared" si="480"/>
        <v>6.7647058823529407E-2</v>
      </c>
      <c r="J778" s="475" t="s">
        <v>1163</v>
      </c>
      <c r="K778" s="1241">
        <f t="shared" si="481"/>
        <v>0.20542793089806147</v>
      </c>
      <c r="L778" s="1241">
        <f>D785/D790</f>
        <v>0.32647183396865737</v>
      </c>
      <c r="M778" s="1241">
        <f>E785/E790</f>
        <v>0.61982283935839122</v>
      </c>
      <c r="N778" s="1241">
        <f>G785/G790</f>
        <v>6.7647058823529407E-2</v>
      </c>
      <c r="O778" s="866"/>
    </row>
    <row r="779" spans="2:26" ht="12" customHeight="1" x14ac:dyDescent="0.3">
      <c r="B779" s="475" t="s">
        <v>1164</v>
      </c>
      <c r="C779" s="1407">
        <f>C786+C787+C789</f>
        <v>5571800</v>
      </c>
      <c r="D779" s="1407">
        <f t="shared" ref="D779:G779" si="483">D786+D787+D789</f>
        <v>253800</v>
      </c>
      <c r="E779" s="1407">
        <f t="shared" si="483"/>
        <v>258000</v>
      </c>
      <c r="F779" s="1407">
        <f t="shared" si="483"/>
        <v>511800</v>
      </c>
      <c r="G779" s="1407">
        <f t="shared" si="483"/>
        <v>5060000</v>
      </c>
      <c r="H779" s="865">
        <f t="shared" si="480"/>
        <v>0.37205882352941178</v>
      </c>
      <c r="J779" s="475" t="s">
        <v>1164</v>
      </c>
      <c r="K779" s="1241">
        <f t="shared" si="481"/>
        <v>0.29391006198074643</v>
      </c>
      <c r="L779" s="1242">
        <f t="shared" ref="L779:N779" si="484">1-SUM(L776:L778)</f>
        <v>0.19872935196950436</v>
      </c>
      <c r="M779" s="1242">
        <f t="shared" si="484"/>
        <v>6.1766818290639236E-2</v>
      </c>
      <c r="N779" s="1242">
        <f t="shared" si="484"/>
        <v>7.2058823529411731E-2</v>
      </c>
      <c r="O779" s="866"/>
    </row>
    <row r="780" spans="2:26" x14ac:dyDescent="0.3">
      <c r="B780" s="477" t="s">
        <v>55</v>
      </c>
      <c r="C780" s="1408">
        <f t="shared" ref="C780:F780" si="485">SUM(C776:C779)</f>
        <v>18957500</v>
      </c>
      <c r="D780" s="1408">
        <f t="shared" si="485"/>
        <v>1180500</v>
      </c>
      <c r="E780" s="1408">
        <f t="shared" si="485"/>
        <v>4177000</v>
      </c>
      <c r="F780" s="1408">
        <f t="shared" si="485"/>
        <v>5357500</v>
      </c>
      <c r="G780" s="1408">
        <f>SUM(G776:G779)</f>
        <v>13600000</v>
      </c>
      <c r="J780" s="477" t="s">
        <v>3041</v>
      </c>
      <c r="L780" s="865">
        <f>D790/$C790</f>
        <v>6.2270869049188979E-2</v>
      </c>
      <c r="M780" s="865">
        <f>E790/$C790</f>
        <v>0.2203349597784518</v>
      </c>
      <c r="N780" s="865">
        <f>G790/$C790</f>
        <v>0.71739417117235926</v>
      </c>
    </row>
    <row r="781" spans="2:26" x14ac:dyDescent="0.3">
      <c r="B781" s="477"/>
      <c r="C781" s="1402"/>
      <c r="D781" s="873">
        <f>D780/$C780</f>
        <v>6.2270869049188979E-2</v>
      </c>
      <c r="E781" s="873">
        <f t="shared" ref="E781:G781" si="486">E780/$C780</f>
        <v>0.2203349597784518</v>
      </c>
      <c r="F781" s="873"/>
      <c r="G781" s="873">
        <f t="shared" si="486"/>
        <v>0.71739417117235926</v>
      </c>
      <c r="J781" s="477"/>
      <c r="L781" s="865"/>
      <c r="M781" s="865"/>
      <c r="N781" s="865"/>
    </row>
    <row r="782" spans="2:26" x14ac:dyDescent="0.3">
      <c r="B782" s="475" t="s">
        <v>3024</v>
      </c>
      <c r="C782" s="67">
        <f>D782+E782+G782</f>
        <v>4298100</v>
      </c>
      <c r="D782" s="480" cm="1">
        <f t="array" ref="D782:D789">_xlfn.XLOOKUP(B782:B789,B756:B766,D756:D766)</f>
        <v>328100</v>
      </c>
      <c r="E782" s="480" cm="1">
        <f t="array" ref="E782:E789">_xlfn.XLOOKUP(B782:B789,B755:B766,I755:I766)</f>
        <v>290000</v>
      </c>
      <c r="F782" s="541">
        <f>D782+E782</f>
        <v>618100</v>
      </c>
      <c r="G782" s="1409">
        <v>3680000</v>
      </c>
      <c r="H782" s="865">
        <f t="shared" ref="H782:H787" si="487">G782/$G$790</f>
        <v>0.27058823529411763</v>
      </c>
      <c r="J782" s="477" t="s">
        <v>3042</v>
      </c>
    </row>
    <row r="783" spans="2:26" x14ac:dyDescent="0.3">
      <c r="B783" s="475" t="s">
        <v>3026</v>
      </c>
      <c r="C783" s="67">
        <f t="shared" ref="C783:C789" si="488">D783+E783+G783</f>
        <v>1021500</v>
      </c>
      <c r="D783" s="480">
        <v>116500</v>
      </c>
      <c r="E783" s="480">
        <v>215000</v>
      </c>
      <c r="F783" s="541">
        <f t="shared" ref="F783:F789" si="489">D783+E783</f>
        <v>331500</v>
      </c>
      <c r="G783" s="1409">
        <v>690000</v>
      </c>
      <c r="H783" s="865">
        <f t="shared" si="487"/>
        <v>5.0735294117647059E-2</v>
      </c>
      <c r="J783" s="475" t="s">
        <v>1162</v>
      </c>
      <c r="L783" s="1163">
        <f>D776/$C776</f>
        <v>7.633605546636886E-2</v>
      </c>
      <c r="M783" s="1163">
        <f>E776/$C776</f>
        <v>6.7471673530164492E-2</v>
      </c>
      <c r="N783" s="1163">
        <f>G776/$C776</f>
        <v>0.85619227100346662</v>
      </c>
      <c r="O783" s="866">
        <f>L783+M783</f>
        <v>0.14380772899653335</v>
      </c>
    </row>
    <row r="784" spans="2:26" x14ac:dyDescent="0.3">
      <c r="B784" s="475" t="s">
        <v>3027</v>
      </c>
      <c r="C784" s="67">
        <f t="shared" si="488"/>
        <v>4171700</v>
      </c>
      <c r="D784" s="480">
        <v>96700</v>
      </c>
      <c r="E784" s="480">
        <v>825000</v>
      </c>
      <c r="F784" s="541">
        <f t="shared" si="489"/>
        <v>921700</v>
      </c>
      <c r="G784" s="1409">
        <v>3250000</v>
      </c>
      <c r="H784" s="865">
        <f t="shared" si="487"/>
        <v>0.23897058823529413</v>
      </c>
      <c r="J784" s="475" t="s">
        <v>417</v>
      </c>
      <c r="L784" s="1163">
        <f t="shared" ref="L784:M784" si="490">D777/$C777</f>
        <v>4.1053685588846957E-2</v>
      </c>
      <c r="M784" s="1163">
        <f t="shared" si="490"/>
        <v>0.20026188092120464</v>
      </c>
      <c r="N784" s="1163">
        <f t="shared" ref="N784:N786" si="491">G777/$C777</f>
        <v>0.75868443348994841</v>
      </c>
      <c r="O784" s="866">
        <f t="shared" ref="O784:O786" si="492">L784+M784</f>
        <v>0.24131556651005159</v>
      </c>
    </row>
    <row r="785" spans="2:21" x14ac:dyDescent="0.3">
      <c r="B785" s="475" t="s">
        <v>3023</v>
      </c>
      <c r="C785" s="67">
        <f t="shared" si="488"/>
        <v>3894400</v>
      </c>
      <c r="D785" s="480">
        <v>385400</v>
      </c>
      <c r="E785" s="480">
        <v>2589000</v>
      </c>
      <c r="F785" s="541">
        <f t="shared" si="489"/>
        <v>2974400</v>
      </c>
      <c r="G785" s="1409">
        <v>920000</v>
      </c>
      <c r="H785" s="865">
        <f t="shared" si="487"/>
        <v>6.7647058823529407E-2</v>
      </c>
      <c r="J785" s="475" t="s">
        <v>1163</v>
      </c>
      <c r="L785" s="1163">
        <f t="shared" ref="L785:M785" si="493">D778/$C778</f>
        <v>9.8962612982744447E-2</v>
      </c>
      <c r="M785" s="1163">
        <f t="shared" si="493"/>
        <v>0.66480073952341823</v>
      </c>
      <c r="N785" s="1163">
        <f t="shared" si="491"/>
        <v>0.2362366474938373</v>
      </c>
      <c r="O785" s="866">
        <f t="shared" si="492"/>
        <v>0.76376335250616267</v>
      </c>
    </row>
    <row r="786" spans="2:21" x14ac:dyDescent="0.3">
      <c r="B786" s="475" t="s">
        <v>3030</v>
      </c>
      <c r="C786" s="67">
        <f t="shared" si="488"/>
        <v>1050600</v>
      </c>
      <c r="D786" s="480">
        <v>12600</v>
      </c>
      <c r="E786" s="480">
        <v>258000</v>
      </c>
      <c r="F786" s="541">
        <f t="shared" si="489"/>
        <v>270600</v>
      </c>
      <c r="G786" s="1409">
        <v>780000</v>
      </c>
      <c r="H786" s="865">
        <f t="shared" si="487"/>
        <v>5.7352941176470586E-2</v>
      </c>
      <c r="J786" s="475" t="s">
        <v>1164</v>
      </c>
      <c r="L786" s="1163">
        <f t="shared" ref="L786:M786" si="494">D779/$C779</f>
        <v>4.5550809433217272E-2</v>
      </c>
      <c r="M786" s="1163">
        <f t="shared" si="494"/>
        <v>4.6304605334003372E-2</v>
      </c>
      <c r="N786" s="1163">
        <f t="shared" si="491"/>
        <v>0.9081445852327793</v>
      </c>
      <c r="O786" s="866">
        <f t="shared" si="492"/>
        <v>9.1855414767220644E-2</v>
      </c>
    </row>
    <row r="787" spans="2:21" x14ac:dyDescent="0.3">
      <c r="B787" s="475" t="s">
        <v>3029</v>
      </c>
      <c r="C787" s="67">
        <f t="shared" si="488"/>
        <v>4099200</v>
      </c>
      <c r="D787" s="480">
        <v>19200</v>
      </c>
      <c r="E787" s="480">
        <v>0</v>
      </c>
      <c r="F787" s="541">
        <f t="shared" si="489"/>
        <v>19200</v>
      </c>
      <c r="G787" s="1409">
        <v>4080000</v>
      </c>
      <c r="H787" s="865">
        <f t="shared" si="487"/>
        <v>0.3</v>
      </c>
    </row>
    <row r="788" spans="2:21" x14ac:dyDescent="0.3">
      <c r="B788" s="475" t="s">
        <v>50</v>
      </c>
      <c r="C788" s="67">
        <f t="shared" si="488"/>
        <v>9177500</v>
      </c>
      <c r="D788" s="480">
        <v>7500</v>
      </c>
      <c r="E788" s="480">
        <v>0</v>
      </c>
      <c r="F788" s="541">
        <f t="shared" si="489"/>
        <v>7500</v>
      </c>
      <c r="G788" s="1409">
        <v>9170000</v>
      </c>
      <c r="H788" s="865"/>
    </row>
    <row r="789" spans="2:21" x14ac:dyDescent="0.3">
      <c r="B789" s="475" t="s">
        <v>3028</v>
      </c>
      <c r="C789" s="67">
        <f t="shared" si="488"/>
        <v>422000</v>
      </c>
      <c r="D789" s="480">
        <v>222000</v>
      </c>
      <c r="E789" s="480">
        <v>0</v>
      </c>
      <c r="F789" s="541">
        <f t="shared" si="489"/>
        <v>222000</v>
      </c>
      <c r="G789" s="1409">
        <v>200000</v>
      </c>
      <c r="H789" s="865">
        <f>G789/$G$790</f>
        <v>1.4705882352941176E-2</v>
      </c>
    </row>
    <row r="790" spans="2:21" x14ac:dyDescent="0.3">
      <c r="B790" s="1235" t="s">
        <v>3043</v>
      </c>
      <c r="C790" s="1400">
        <f>SUM(C782:C789)-C788</f>
        <v>18957500</v>
      </c>
      <c r="D790" s="1400">
        <f t="shared" ref="D790:G790" si="495">SUM(D782:D789)-D788</f>
        <v>1180500</v>
      </c>
      <c r="E790" s="1400">
        <f t="shared" si="495"/>
        <v>4177000</v>
      </c>
      <c r="F790" s="1400">
        <f t="shared" si="495"/>
        <v>5357500</v>
      </c>
      <c r="G790" s="1400">
        <f t="shared" si="495"/>
        <v>13600000</v>
      </c>
    </row>
    <row r="791" spans="2:21" x14ac:dyDescent="0.3">
      <c r="C791" s="607">
        <f>C786+C787+C789</f>
        <v>5571800</v>
      </c>
      <c r="G791" s="607"/>
    </row>
    <row r="794" spans="2:21" x14ac:dyDescent="0.3">
      <c r="B794" s="554" t="s">
        <v>3044</v>
      </c>
    </row>
    <row r="796" spans="2:21" ht="81" x14ac:dyDescent="0.3">
      <c r="C796" s="9"/>
      <c r="D796" s="9" t="s">
        <v>3045</v>
      </c>
      <c r="E796" s="9" t="s">
        <v>3046</v>
      </c>
      <c r="F796" s="9" t="s">
        <v>3047</v>
      </c>
      <c r="G796" s="9" t="s">
        <v>2776</v>
      </c>
      <c r="H796" s="9" t="s">
        <v>3048</v>
      </c>
      <c r="I796" s="9" t="s">
        <v>3049</v>
      </c>
      <c r="J796" s="9" t="s">
        <v>3050</v>
      </c>
      <c r="K796" s="9" t="s">
        <v>3051</v>
      </c>
      <c r="L796" s="9" t="s">
        <v>3052</v>
      </c>
      <c r="M796" s="9" t="s">
        <v>3053</v>
      </c>
      <c r="N796" s="9" t="s">
        <v>3054</v>
      </c>
      <c r="O796" s="9" t="s">
        <v>3055</v>
      </c>
      <c r="P796" s="9" t="s">
        <v>3056</v>
      </c>
      <c r="Q796" s="9" t="s">
        <v>3057</v>
      </c>
      <c r="R796" s="9" t="s">
        <v>3058</v>
      </c>
      <c r="S796" s="9" t="s">
        <v>3059</v>
      </c>
      <c r="T796" s="9" t="s">
        <v>3060</v>
      </c>
      <c r="U796" s="9" t="s">
        <v>3061</v>
      </c>
    </row>
    <row r="797" spans="2:21" x14ac:dyDescent="0.3">
      <c r="B797" s="554" t="s">
        <v>2715</v>
      </c>
      <c r="C797" s="475" t="s">
        <v>3062</v>
      </c>
      <c r="D797" s="966">
        <v>1482.5</v>
      </c>
      <c r="E797" s="966">
        <v>5090.2</v>
      </c>
      <c r="F797" s="966">
        <v>97.3</v>
      </c>
      <c r="G797" s="966">
        <v>485</v>
      </c>
      <c r="H797" s="966">
        <v>19.2</v>
      </c>
      <c r="I797" s="966">
        <v>0.4</v>
      </c>
      <c r="J797" s="966">
        <v>32.9</v>
      </c>
      <c r="K797" s="966">
        <v>769.7</v>
      </c>
      <c r="L797" s="966">
        <v>763</v>
      </c>
      <c r="M797" s="966">
        <v>207.5</v>
      </c>
      <c r="N797" s="966">
        <v>43.7</v>
      </c>
      <c r="O797" s="966">
        <v>1069.5</v>
      </c>
      <c r="P797" s="966">
        <v>26</v>
      </c>
      <c r="Q797" s="966">
        <v>191.9</v>
      </c>
      <c r="R797" s="966">
        <v>242.1</v>
      </c>
      <c r="S797" s="966">
        <v>9506</v>
      </c>
      <c r="T797" s="966">
        <v>9390</v>
      </c>
      <c r="U797" s="484">
        <f>S797+T797</f>
        <v>18896</v>
      </c>
    </row>
    <row r="798" spans="2:21" x14ac:dyDescent="0.3">
      <c r="C798" s="475" t="s">
        <v>3063</v>
      </c>
      <c r="D798" s="966">
        <v>4</v>
      </c>
      <c r="E798" s="966">
        <v>5.4</v>
      </c>
      <c r="F798" s="966">
        <v>2.2000000000000002</v>
      </c>
      <c r="G798" s="966">
        <v>7.1</v>
      </c>
      <c r="H798" s="966">
        <v>0.9</v>
      </c>
      <c r="I798" s="966">
        <v>0</v>
      </c>
      <c r="J798" s="966">
        <v>0.5</v>
      </c>
      <c r="K798" s="966">
        <v>72.099999999999994</v>
      </c>
      <c r="L798" s="966">
        <v>70.7</v>
      </c>
      <c r="M798" s="966">
        <v>0.6</v>
      </c>
      <c r="N798" s="966">
        <v>0</v>
      </c>
      <c r="O798" s="966">
        <v>0</v>
      </c>
      <c r="P798" s="966">
        <v>0</v>
      </c>
      <c r="Q798" s="966">
        <v>0</v>
      </c>
      <c r="R798" s="966">
        <v>0</v>
      </c>
      <c r="S798" s="966">
        <v>141</v>
      </c>
      <c r="T798" s="966">
        <v>65</v>
      </c>
      <c r="U798" s="484">
        <f t="shared" ref="U798:U836" si="496">S798+T798</f>
        <v>206</v>
      </c>
    </row>
    <row r="799" spans="2:21" x14ac:dyDescent="0.3">
      <c r="C799" s="475" t="s">
        <v>3064</v>
      </c>
      <c r="D799" s="966">
        <v>1.3</v>
      </c>
      <c r="E799" s="966">
        <v>0</v>
      </c>
      <c r="F799" s="966">
        <v>0.2</v>
      </c>
      <c r="G799" s="966">
        <v>0</v>
      </c>
      <c r="H799" s="966">
        <v>0.1</v>
      </c>
      <c r="I799" s="966">
        <v>0</v>
      </c>
      <c r="J799" s="966">
        <v>0</v>
      </c>
      <c r="K799" s="966">
        <v>27.1</v>
      </c>
      <c r="L799" s="966">
        <v>27.1</v>
      </c>
      <c r="M799" s="966">
        <v>0.8</v>
      </c>
      <c r="N799" s="966">
        <v>0</v>
      </c>
      <c r="O799" s="966">
        <v>0</v>
      </c>
      <c r="P799" s="966">
        <v>0</v>
      </c>
      <c r="Q799" s="966">
        <v>0</v>
      </c>
      <c r="R799" s="966">
        <v>0</v>
      </c>
      <c r="S799" s="966">
        <v>6</v>
      </c>
      <c r="T799" s="966">
        <v>0</v>
      </c>
      <c r="U799" s="484">
        <f t="shared" si="496"/>
        <v>6</v>
      </c>
    </row>
    <row r="800" spans="2:21" x14ac:dyDescent="0.3">
      <c r="C800" s="475" t="s">
        <v>3065</v>
      </c>
      <c r="D800" s="966">
        <v>0</v>
      </c>
      <c r="E800" s="966">
        <v>0</v>
      </c>
      <c r="F800" s="966">
        <v>0.7</v>
      </c>
      <c r="G800" s="966">
        <v>0</v>
      </c>
      <c r="H800" s="966">
        <v>0</v>
      </c>
      <c r="I800" s="966">
        <v>0</v>
      </c>
      <c r="J800" s="966">
        <v>0</v>
      </c>
      <c r="K800" s="966">
        <v>1.7</v>
      </c>
      <c r="L800" s="966">
        <v>1.7</v>
      </c>
      <c r="M800" s="966">
        <v>0.1</v>
      </c>
      <c r="N800" s="966">
        <v>0</v>
      </c>
      <c r="O800" s="966">
        <v>0</v>
      </c>
      <c r="P800" s="966">
        <v>0</v>
      </c>
      <c r="Q800" s="966">
        <v>0</v>
      </c>
      <c r="R800" s="966">
        <v>0</v>
      </c>
      <c r="S800" s="966">
        <v>8</v>
      </c>
      <c r="T800" s="966">
        <v>0</v>
      </c>
      <c r="U800" s="484">
        <f t="shared" si="496"/>
        <v>8</v>
      </c>
    </row>
    <row r="801" spans="3:21" x14ac:dyDescent="0.3">
      <c r="C801" s="475" t="s">
        <v>3066</v>
      </c>
      <c r="D801" s="966">
        <v>0</v>
      </c>
      <c r="E801" s="966">
        <v>0</v>
      </c>
      <c r="F801" s="966">
        <v>0</v>
      </c>
      <c r="G801" s="966">
        <v>0</v>
      </c>
      <c r="H801" s="966">
        <v>0</v>
      </c>
      <c r="I801" s="966">
        <v>0</v>
      </c>
      <c r="J801" s="966">
        <v>0.3</v>
      </c>
      <c r="K801" s="966">
        <v>2.2999999999999998</v>
      </c>
      <c r="L801" s="966">
        <v>2.2999999999999998</v>
      </c>
      <c r="M801" s="966">
        <v>0</v>
      </c>
      <c r="N801" s="966">
        <v>0</v>
      </c>
      <c r="O801" s="966">
        <v>0</v>
      </c>
      <c r="P801" s="966">
        <v>0</v>
      </c>
      <c r="Q801" s="966">
        <v>0</v>
      </c>
      <c r="R801" s="966">
        <v>0</v>
      </c>
      <c r="S801" s="966">
        <v>66</v>
      </c>
      <c r="T801" s="966">
        <v>3</v>
      </c>
      <c r="U801" s="484">
        <f t="shared" si="496"/>
        <v>69</v>
      </c>
    </row>
    <row r="802" spans="3:21" x14ac:dyDescent="0.3">
      <c r="C802" s="475" t="s">
        <v>3067</v>
      </c>
      <c r="D802" s="966">
        <v>0.1</v>
      </c>
      <c r="E802" s="966">
        <v>0</v>
      </c>
      <c r="F802" s="966">
        <v>0.1</v>
      </c>
      <c r="G802" s="966">
        <v>3</v>
      </c>
      <c r="H802" s="966">
        <v>0.2</v>
      </c>
      <c r="I802" s="966">
        <v>0</v>
      </c>
      <c r="J802" s="966">
        <v>0</v>
      </c>
      <c r="K802" s="966">
        <v>9.5</v>
      </c>
      <c r="L802" s="966">
        <v>9.5</v>
      </c>
      <c r="M802" s="966">
        <v>0.1</v>
      </c>
      <c r="N802" s="966">
        <v>0</v>
      </c>
      <c r="O802" s="966">
        <v>0</v>
      </c>
      <c r="P802" s="966">
        <v>0</v>
      </c>
      <c r="Q802" s="966">
        <v>0</v>
      </c>
      <c r="R802" s="966">
        <v>0</v>
      </c>
      <c r="S802" s="966">
        <v>23</v>
      </c>
      <c r="T802" s="966">
        <v>4</v>
      </c>
      <c r="U802" s="484">
        <f t="shared" si="496"/>
        <v>27</v>
      </c>
    </row>
    <row r="803" spans="3:21" x14ac:dyDescent="0.3">
      <c r="C803" s="475" t="s">
        <v>3068</v>
      </c>
      <c r="D803" s="966">
        <v>0.8</v>
      </c>
      <c r="E803" s="966">
        <v>17.7</v>
      </c>
      <c r="F803" s="966">
        <v>0.9</v>
      </c>
      <c r="G803" s="966">
        <v>35.799999999999997</v>
      </c>
      <c r="H803" s="966">
        <v>2.1</v>
      </c>
      <c r="I803" s="966">
        <v>0</v>
      </c>
      <c r="J803" s="966">
        <v>3.8</v>
      </c>
      <c r="K803" s="966">
        <v>4.8</v>
      </c>
      <c r="L803" s="966">
        <v>4.0999999999999996</v>
      </c>
      <c r="M803" s="966">
        <v>0.7</v>
      </c>
      <c r="N803" s="966">
        <v>0</v>
      </c>
      <c r="O803" s="966">
        <v>0</v>
      </c>
      <c r="P803" s="966">
        <v>0.8</v>
      </c>
      <c r="Q803" s="966">
        <v>0</v>
      </c>
      <c r="R803" s="966">
        <v>0</v>
      </c>
      <c r="S803" s="966">
        <v>335</v>
      </c>
      <c r="T803" s="966">
        <v>303</v>
      </c>
      <c r="U803" s="484">
        <f t="shared" si="496"/>
        <v>638</v>
      </c>
    </row>
    <row r="804" spans="3:21" x14ac:dyDescent="0.3">
      <c r="C804" s="475" t="s">
        <v>3069</v>
      </c>
      <c r="D804" s="966">
        <v>0.3</v>
      </c>
      <c r="E804" s="966">
        <v>0</v>
      </c>
      <c r="F804" s="966">
        <v>3</v>
      </c>
      <c r="G804" s="966">
        <v>2.7</v>
      </c>
      <c r="H804" s="966">
        <v>0.3</v>
      </c>
      <c r="I804" s="966">
        <v>0</v>
      </c>
      <c r="J804" s="966">
        <v>0.5</v>
      </c>
      <c r="K804" s="966">
        <v>0.5</v>
      </c>
      <c r="L804" s="966">
        <v>0.5</v>
      </c>
      <c r="M804" s="966">
        <v>0.3</v>
      </c>
      <c r="N804" s="966">
        <v>0</v>
      </c>
      <c r="O804" s="966">
        <v>0</v>
      </c>
      <c r="P804" s="966">
        <v>0</v>
      </c>
      <c r="Q804" s="966">
        <v>0</v>
      </c>
      <c r="R804" s="966">
        <v>0</v>
      </c>
      <c r="S804" s="966">
        <v>74</v>
      </c>
      <c r="T804" s="966">
        <v>37</v>
      </c>
      <c r="U804" s="484">
        <f t="shared" si="496"/>
        <v>111</v>
      </c>
    </row>
    <row r="805" spans="3:21" x14ac:dyDescent="0.3">
      <c r="C805" s="475" t="s">
        <v>3070</v>
      </c>
      <c r="D805" s="966">
        <v>1.9</v>
      </c>
      <c r="E805" s="966">
        <v>809.4</v>
      </c>
      <c r="F805" s="966">
        <v>1.7</v>
      </c>
      <c r="G805" s="966">
        <v>8.6</v>
      </c>
      <c r="H805" s="966">
        <v>0.6</v>
      </c>
      <c r="I805" s="966">
        <v>0</v>
      </c>
      <c r="J805" s="966">
        <v>0</v>
      </c>
      <c r="K805" s="966">
        <v>12</v>
      </c>
      <c r="L805" s="966">
        <v>12</v>
      </c>
      <c r="M805" s="966">
        <v>0.5</v>
      </c>
      <c r="N805" s="966">
        <v>0</v>
      </c>
      <c r="O805" s="966">
        <v>0</v>
      </c>
      <c r="P805" s="966">
        <v>0</v>
      </c>
      <c r="Q805" s="966">
        <v>0</v>
      </c>
      <c r="R805" s="966">
        <v>0</v>
      </c>
      <c r="S805" s="966">
        <v>598</v>
      </c>
      <c r="T805" s="966">
        <v>1411</v>
      </c>
      <c r="U805" s="484">
        <f t="shared" si="496"/>
        <v>2009</v>
      </c>
    </row>
    <row r="806" spans="3:21" x14ac:dyDescent="0.3">
      <c r="C806" s="475" t="s">
        <v>3071</v>
      </c>
      <c r="D806" s="966">
        <v>0</v>
      </c>
      <c r="E806" s="966">
        <v>113.2</v>
      </c>
      <c r="F806" s="966">
        <v>0</v>
      </c>
      <c r="G806" s="966">
        <v>25.4</v>
      </c>
      <c r="H806" s="966">
        <v>1.4</v>
      </c>
      <c r="I806" s="966">
        <v>0.1</v>
      </c>
      <c r="J806" s="966">
        <v>0</v>
      </c>
      <c r="K806" s="966">
        <v>1</v>
      </c>
      <c r="L806" s="966">
        <v>1</v>
      </c>
      <c r="M806" s="966">
        <v>0.2</v>
      </c>
      <c r="N806" s="966">
        <v>0</v>
      </c>
      <c r="O806" s="966">
        <v>0.3</v>
      </c>
      <c r="P806" s="966">
        <v>0</v>
      </c>
      <c r="Q806" s="966">
        <v>185</v>
      </c>
      <c r="R806" s="966">
        <v>0</v>
      </c>
      <c r="S806" s="966">
        <v>383</v>
      </c>
      <c r="T806" s="966">
        <v>613</v>
      </c>
      <c r="U806" s="484">
        <f t="shared" si="496"/>
        <v>996</v>
      </c>
    </row>
    <row r="807" spans="3:21" x14ac:dyDescent="0.3">
      <c r="C807" s="475" t="s">
        <v>3072</v>
      </c>
      <c r="D807" s="966">
        <v>0</v>
      </c>
      <c r="E807" s="966">
        <v>0</v>
      </c>
      <c r="F807" s="966">
        <v>0</v>
      </c>
      <c r="G807" s="966">
        <v>4.5</v>
      </c>
      <c r="H807" s="966">
        <v>0</v>
      </c>
      <c r="I807" s="966">
        <v>0</v>
      </c>
      <c r="J807" s="966">
        <v>0</v>
      </c>
      <c r="K807" s="966">
        <v>2.7</v>
      </c>
      <c r="L807" s="966">
        <v>2.7</v>
      </c>
      <c r="M807" s="966">
        <v>0</v>
      </c>
      <c r="N807" s="966">
        <v>0</v>
      </c>
      <c r="O807" s="966">
        <v>269.7</v>
      </c>
      <c r="P807" s="966">
        <v>0</v>
      </c>
      <c r="Q807" s="966">
        <v>0</v>
      </c>
      <c r="R807" s="966">
        <v>0</v>
      </c>
      <c r="S807" s="966">
        <v>182</v>
      </c>
      <c r="T807" s="966">
        <v>336</v>
      </c>
      <c r="U807" s="484">
        <f t="shared" si="496"/>
        <v>518</v>
      </c>
    </row>
    <row r="808" spans="3:21" x14ac:dyDescent="0.3">
      <c r="C808" s="475" t="s">
        <v>3073</v>
      </c>
      <c r="D808" s="966">
        <v>0</v>
      </c>
      <c r="E808" s="966">
        <v>0</v>
      </c>
      <c r="F808" s="966">
        <v>0.2</v>
      </c>
      <c r="G808" s="966">
        <v>6.4</v>
      </c>
      <c r="H808" s="966">
        <v>0.5</v>
      </c>
      <c r="I808" s="966">
        <v>0</v>
      </c>
      <c r="J808" s="966">
        <v>0</v>
      </c>
      <c r="K808" s="966">
        <v>0.3</v>
      </c>
      <c r="L808" s="966">
        <v>0.3</v>
      </c>
      <c r="M808" s="966">
        <v>0.2</v>
      </c>
      <c r="N808" s="966">
        <v>0</v>
      </c>
      <c r="O808" s="966">
        <v>0</v>
      </c>
      <c r="P808" s="966">
        <v>0.1</v>
      </c>
      <c r="Q808" s="966">
        <v>0</v>
      </c>
      <c r="R808" s="966">
        <v>0</v>
      </c>
      <c r="S808" s="966">
        <v>124</v>
      </c>
      <c r="T808" s="966">
        <v>227</v>
      </c>
      <c r="U808" s="484">
        <f t="shared" si="496"/>
        <v>351</v>
      </c>
    </row>
    <row r="809" spans="3:21" x14ac:dyDescent="0.3">
      <c r="C809" s="475" t="s">
        <v>3074</v>
      </c>
      <c r="D809" s="966">
        <v>0.1</v>
      </c>
      <c r="E809" s="966">
        <v>0</v>
      </c>
      <c r="F809" s="966">
        <v>0.5</v>
      </c>
      <c r="G809" s="966">
        <v>1.9</v>
      </c>
      <c r="H809" s="966">
        <v>0.9</v>
      </c>
      <c r="I809" s="966">
        <v>0</v>
      </c>
      <c r="J809" s="966">
        <v>0</v>
      </c>
      <c r="K809" s="966">
        <v>0.8</v>
      </c>
      <c r="L809" s="966">
        <v>0.8</v>
      </c>
      <c r="M809" s="966">
        <v>0.2</v>
      </c>
      <c r="N809" s="966">
        <v>0</v>
      </c>
      <c r="O809" s="966">
        <v>0</v>
      </c>
      <c r="P809" s="966">
        <v>0</v>
      </c>
      <c r="Q809" s="966">
        <v>0</v>
      </c>
      <c r="R809" s="966">
        <v>0</v>
      </c>
      <c r="S809" s="966">
        <v>102</v>
      </c>
      <c r="T809" s="966">
        <v>27</v>
      </c>
      <c r="U809" s="484">
        <f t="shared" si="496"/>
        <v>129</v>
      </c>
    </row>
    <row r="810" spans="3:21" x14ac:dyDescent="0.3">
      <c r="C810" s="475" t="s">
        <v>3075</v>
      </c>
      <c r="D810" s="966">
        <v>0.6</v>
      </c>
      <c r="E810" s="966">
        <v>0.6</v>
      </c>
      <c r="F810" s="966">
        <v>0</v>
      </c>
      <c r="G810" s="966">
        <v>16.3</v>
      </c>
      <c r="H810" s="966">
        <v>1.6</v>
      </c>
      <c r="I810" s="966">
        <v>0</v>
      </c>
      <c r="J810" s="966">
        <v>0</v>
      </c>
      <c r="K810" s="966">
        <v>3.4</v>
      </c>
      <c r="L810" s="966">
        <v>3.3</v>
      </c>
      <c r="M810" s="966">
        <v>0.2</v>
      </c>
      <c r="N810" s="966">
        <v>0</v>
      </c>
      <c r="O810" s="966">
        <v>0</v>
      </c>
      <c r="P810" s="966">
        <v>0</v>
      </c>
      <c r="Q810" s="966">
        <v>0</v>
      </c>
      <c r="R810" s="966">
        <v>0</v>
      </c>
      <c r="S810" s="966">
        <v>152</v>
      </c>
      <c r="T810" s="966">
        <v>42</v>
      </c>
      <c r="U810" s="484">
        <f t="shared" si="496"/>
        <v>194</v>
      </c>
    </row>
    <row r="811" spans="3:21" x14ac:dyDescent="0.3">
      <c r="C811" s="475" t="s">
        <v>3076</v>
      </c>
      <c r="D811" s="966">
        <v>0</v>
      </c>
      <c r="E811" s="966">
        <v>0</v>
      </c>
      <c r="F811" s="966">
        <v>0</v>
      </c>
      <c r="G811" s="966">
        <v>0.4</v>
      </c>
      <c r="H811" s="966">
        <v>0.4</v>
      </c>
      <c r="I811" s="966">
        <v>0</v>
      </c>
      <c r="J811" s="966">
        <v>0</v>
      </c>
      <c r="K811" s="966">
        <v>0.1</v>
      </c>
      <c r="L811" s="966">
        <v>0.1</v>
      </c>
      <c r="M811" s="966">
        <v>0</v>
      </c>
      <c r="N811" s="966">
        <v>0</v>
      </c>
      <c r="O811" s="966">
        <v>0</v>
      </c>
      <c r="P811" s="966">
        <v>0</v>
      </c>
      <c r="Q811" s="966">
        <v>0</v>
      </c>
      <c r="R811" s="966">
        <v>0</v>
      </c>
      <c r="S811" s="966">
        <v>14</v>
      </c>
      <c r="T811" s="966">
        <v>4</v>
      </c>
      <c r="U811" s="484">
        <f t="shared" si="496"/>
        <v>18</v>
      </c>
    </row>
    <row r="812" spans="3:21" x14ac:dyDescent="0.3">
      <c r="C812" s="475" t="s">
        <v>3077</v>
      </c>
      <c r="D812" s="966">
        <v>2.1</v>
      </c>
      <c r="E812" s="966">
        <v>0.3</v>
      </c>
      <c r="F812" s="966">
        <v>1</v>
      </c>
      <c r="G812" s="966">
        <v>8.6999999999999993</v>
      </c>
      <c r="H812" s="966">
        <v>0.5</v>
      </c>
      <c r="I812" s="966">
        <v>0</v>
      </c>
      <c r="J812" s="966">
        <v>0.1</v>
      </c>
      <c r="K812" s="966">
        <v>3</v>
      </c>
      <c r="L812" s="966">
        <v>2.9</v>
      </c>
      <c r="M812" s="966">
        <v>0.5</v>
      </c>
      <c r="N812" s="966">
        <v>0</v>
      </c>
      <c r="O812" s="966">
        <v>0</v>
      </c>
      <c r="P812" s="966">
        <v>0</v>
      </c>
      <c r="Q812" s="966">
        <v>0</v>
      </c>
      <c r="R812" s="966">
        <v>0</v>
      </c>
      <c r="S812" s="966">
        <v>125</v>
      </c>
      <c r="T812" s="966">
        <v>44</v>
      </c>
      <c r="U812" s="484">
        <f t="shared" si="496"/>
        <v>169</v>
      </c>
    </row>
    <row r="813" spans="3:21" x14ac:dyDescent="0.3">
      <c r="C813" s="475" t="s">
        <v>3078</v>
      </c>
      <c r="D813" s="966">
        <v>1.7</v>
      </c>
      <c r="E813" s="966">
        <v>2.1</v>
      </c>
      <c r="F813" s="966">
        <v>0.5</v>
      </c>
      <c r="G813" s="966">
        <v>13</v>
      </c>
      <c r="H813" s="966">
        <v>1</v>
      </c>
      <c r="I813" s="966">
        <v>0</v>
      </c>
      <c r="J813" s="966">
        <v>0.2</v>
      </c>
      <c r="K813" s="966">
        <v>1.8</v>
      </c>
      <c r="L813" s="966">
        <v>1.8</v>
      </c>
      <c r="M813" s="966">
        <v>0.4</v>
      </c>
      <c r="N813" s="966">
        <v>0</v>
      </c>
      <c r="O813" s="966">
        <v>0</v>
      </c>
      <c r="P813" s="966">
        <v>0</v>
      </c>
      <c r="Q813" s="966">
        <v>0</v>
      </c>
      <c r="R813" s="966">
        <v>0</v>
      </c>
      <c r="S813" s="966">
        <v>188</v>
      </c>
      <c r="T813" s="966">
        <v>85</v>
      </c>
      <c r="U813" s="484">
        <f t="shared" si="496"/>
        <v>273</v>
      </c>
    </row>
    <row r="814" spans="3:21" x14ac:dyDescent="0.3">
      <c r="C814" s="475" t="s">
        <v>3079</v>
      </c>
      <c r="D814" s="966">
        <v>1.1000000000000001</v>
      </c>
      <c r="E814" s="966">
        <v>17.399999999999999</v>
      </c>
      <c r="F814" s="966">
        <v>0.7</v>
      </c>
      <c r="G814" s="966">
        <v>2.9</v>
      </c>
      <c r="H814" s="966">
        <v>0.2</v>
      </c>
      <c r="I814" s="966">
        <v>0</v>
      </c>
      <c r="J814" s="966">
        <v>0.1</v>
      </c>
      <c r="K814" s="966">
        <v>1.8</v>
      </c>
      <c r="L814" s="966">
        <v>1.8</v>
      </c>
      <c r="M814" s="966">
        <v>0.7</v>
      </c>
      <c r="N814" s="966">
        <v>0</v>
      </c>
      <c r="O814" s="966">
        <v>0</v>
      </c>
      <c r="P814" s="966">
        <v>0</v>
      </c>
      <c r="Q814" s="966">
        <v>0</v>
      </c>
      <c r="R814" s="966">
        <v>0</v>
      </c>
      <c r="S814" s="966">
        <v>70</v>
      </c>
      <c r="T814" s="966">
        <v>47</v>
      </c>
      <c r="U814" s="484">
        <f t="shared" si="496"/>
        <v>117</v>
      </c>
    </row>
    <row r="815" spans="3:21" x14ac:dyDescent="0.3">
      <c r="C815" s="475" t="s">
        <v>3080</v>
      </c>
      <c r="D815" s="966">
        <v>2.8</v>
      </c>
      <c r="E815" s="966">
        <v>0</v>
      </c>
      <c r="F815" s="966">
        <v>0</v>
      </c>
      <c r="G815" s="966">
        <v>2.1</v>
      </c>
      <c r="H815" s="966">
        <v>0.2</v>
      </c>
      <c r="I815" s="966">
        <v>0</v>
      </c>
      <c r="J815" s="966">
        <v>0</v>
      </c>
      <c r="K815" s="966">
        <v>1.7</v>
      </c>
      <c r="L815" s="966">
        <v>1.7</v>
      </c>
      <c r="M815" s="966">
        <v>0.2</v>
      </c>
      <c r="N815" s="966">
        <v>0</v>
      </c>
      <c r="O815" s="966">
        <v>0</v>
      </c>
      <c r="P815" s="966">
        <v>0</v>
      </c>
      <c r="Q815" s="966">
        <v>0</v>
      </c>
      <c r="R815" s="966">
        <v>0</v>
      </c>
      <c r="S815" s="966">
        <v>29</v>
      </c>
      <c r="T815" s="966">
        <v>22</v>
      </c>
      <c r="U815" s="484">
        <f t="shared" si="496"/>
        <v>51</v>
      </c>
    </row>
    <row r="816" spans="3:21" x14ac:dyDescent="0.3">
      <c r="C816" s="475" t="s">
        <v>3081</v>
      </c>
      <c r="D816" s="966">
        <v>1.7</v>
      </c>
      <c r="E816" s="966">
        <v>3391</v>
      </c>
      <c r="F816" s="966">
        <v>5</v>
      </c>
      <c r="G816" s="966">
        <v>152.80000000000001</v>
      </c>
      <c r="H816" s="966">
        <v>0.6</v>
      </c>
      <c r="I816" s="966">
        <v>0</v>
      </c>
      <c r="J816" s="966">
        <v>20.7</v>
      </c>
      <c r="K816" s="966">
        <v>18.100000000000001</v>
      </c>
      <c r="L816" s="966">
        <v>14.8</v>
      </c>
      <c r="M816" s="966">
        <v>1.1000000000000001</v>
      </c>
      <c r="N816" s="966">
        <v>0</v>
      </c>
      <c r="O816" s="966">
        <v>799.5</v>
      </c>
      <c r="P816" s="966">
        <v>6.9</v>
      </c>
      <c r="Q816" s="966">
        <v>6.9</v>
      </c>
      <c r="R816" s="966">
        <v>240</v>
      </c>
      <c r="S816" s="966">
        <v>1257</v>
      </c>
      <c r="T816" s="966">
        <v>500</v>
      </c>
      <c r="U816" s="484">
        <f t="shared" si="496"/>
        <v>1757</v>
      </c>
    </row>
    <row r="817" spans="3:22" x14ac:dyDescent="0.3">
      <c r="C817" s="475" t="s">
        <v>3082</v>
      </c>
      <c r="D817" s="966">
        <v>0</v>
      </c>
      <c r="E817" s="966">
        <v>18.3</v>
      </c>
      <c r="F817" s="966">
        <v>0</v>
      </c>
      <c r="G817" s="966">
        <v>0.9</v>
      </c>
      <c r="H817" s="966">
        <v>0</v>
      </c>
      <c r="I817" s="966">
        <v>0</v>
      </c>
      <c r="J817" s="966">
        <v>0</v>
      </c>
      <c r="K817" s="966">
        <v>1.1000000000000001</v>
      </c>
      <c r="L817" s="966">
        <v>1.1000000000000001</v>
      </c>
      <c r="M817" s="966">
        <v>0.4</v>
      </c>
      <c r="N817" s="966">
        <v>0</v>
      </c>
      <c r="O817" s="966">
        <v>0</v>
      </c>
      <c r="P817" s="966">
        <v>3.1</v>
      </c>
      <c r="Q817" s="966">
        <v>0</v>
      </c>
      <c r="R817" s="966">
        <v>0</v>
      </c>
      <c r="S817" s="966">
        <v>163</v>
      </c>
      <c r="T817" s="966">
        <v>26</v>
      </c>
      <c r="U817" s="484">
        <f t="shared" si="496"/>
        <v>189</v>
      </c>
    </row>
    <row r="818" spans="3:22" x14ac:dyDescent="0.3">
      <c r="C818" s="475" t="s">
        <v>3083</v>
      </c>
      <c r="D818" s="966">
        <v>0.1</v>
      </c>
      <c r="E818" s="966">
        <v>0</v>
      </c>
      <c r="F818" s="966">
        <v>0</v>
      </c>
      <c r="G818" s="966">
        <v>1.3</v>
      </c>
      <c r="H818" s="966">
        <v>0</v>
      </c>
      <c r="I818" s="966">
        <v>0</v>
      </c>
      <c r="J818" s="966">
        <v>0</v>
      </c>
      <c r="K818" s="966">
        <v>4.5</v>
      </c>
      <c r="L818" s="966">
        <v>4.5</v>
      </c>
      <c r="M818" s="966">
        <v>0.2</v>
      </c>
      <c r="N818" s="966">
        <v>0</v>
      </c>
      <c r="O818" s="966">
        <v>0</v>
      </c>
      <c r="P818" s="966">
        <v>0.6</v>
      </c>
      <c r="Q818" s="966">
        <v>0</v>
      </c>
      <c r="R818" s="966">
        <v>2.1</v>
      </c>
      <c r="S818" s="966">
        <v>24</v>
      </c>
      <c r="T818" s="966">
        <v>10</v>
      </c>
      <c r="U818" s="484">
        <f t="shared" si="496"/>
        <v>34</v>
      </c>
    </row>
    <row r="819" spans="3:22" x14ac:dyDescent="0.3">
      <c r="C819" s="475" t="s">
        <v>201</v>
      </c>
      <c r="D819" s="966">
        <v>1.3</v>
      </c>
      <c r="E819" s="966">
        <v>1.7</v>
      </c>
      <c r="F819" s="966">
        <v>0.8</v>
      </c>
      <c r="G819" s="966">
        <v>23</v>
      </c>
      <c r="H819" s="966">
        <v>0.4</v>
      </c>
      <c r="I819" s="966">
        <v>0</v>
      </c>
      <c r="J819" s="966">
        <v>6.3</v>
      </c>
      <c r="K819" s="966">
        <v>85.5</v>
      </c>
      <c r="L819" s="966">
        <v>85.5</v>
      </c>
      <c r="M819" s="966">
        <v>6.7</v>
      </c>
      <c r="N819" s="966">
        <v>0</v>
      </c>
      <c r="O819" s="966">
        <v>0</v>
      </c>
      <c r="P819" s="966">
        <v>0</v>
      </c>
      <c r="Q819" s="966">
        <v>0</v>
      </c>
      <c r="R819" s="966">
        <v>0</v>
      </c>
      <c r="S819" s="966">
        <v>80</v>
      </c>
      <c r="T819" s="966">
        <v>20</v>
      </c>
      <c r="U819" s="484">
        <f t="shared" si="496"/>
        <v>100</v>
      </c>
    </row>
    <row r="820" spans="3:22" x14ac:dyDescent="0.3">
      <c r="C820" s="475" t="s">
        <v>2621</v>
      </c>
      <c r="D820" s="966">
        <v>3.6</v>
      </c>
      <c r="E820" s="966">
        <v>0.1</v>
      </c>
      <c r="F820" s="966">
        <v>2.4</v>
      </c>
      <c r="G820" s="966">
        <v>20</v>
      </c>
      <c r="H820" s="966">
        <v>1</v>
      </c>
      <c r="I820" s="966">
        <v>0.2</v>
      </c>
      <c r="J820" s="966">
        <v>0.1</v>
      </c>
      <c r="K820" s="966">
        <v>30.6</v>
      </c>
      <c r="L820" s="966">
        <v>30.6</v>
      </c>
      <c r="M820" s="966">
        <v>5.6</v>
      </c>
      <c r="N820" s="966">
        <v>0</v>
      </c>
      <c r="O820" s="966">
        <v>0</v>
      </c>
      <c r="P820" s="966">
        <v>0</v>
      </c>
      <c r="Q820" s="966">
        <v>0</v>
      </c>
      <c r="R820" s="966">
        <v>0</v>
      </c>
      <c r="S820" s="966">
        <v>625</v>
      </c>
      <c r="T820" s="966">
        <v>236</v>
      </c>
      <c r="U820" s="484">
        <f t="shared" si="496"/>
        <v>861</v>
      </c>
    </row>
    <row r="821" spans="3:22" x14ac:dyDescent="0.3">
      <c r="C821" s="475" t="s">
        <v>3084</v>
      </c>
      <c r="D821" s="966">
        <v>0.2</v>
      </c>
      <c r="E821" s="966">
        <v>0</v>
      </c>
      <c r="F821" s="966">
        <v>0.5</v>
      </c>
      <c r="G821" s="966">
        <v>7.6</v>
      </c>
      <c r="H821" s="966">
        <v>1.4</v>
      </c>
      <c r="I821" s="966">
        <v>0</v>
      </c>
      <c r="J821" s="966">
        <v>0</v>
      </c>
      <c r="K821" s="966">
        <v>274</v>
      </c>
      <c r="L821" s="966">
        <v>273.89999999999998</v>
      </c>
      <c r="M821" s="966">
        <v>15.9</v>
      </c>
      <c r="N821" s="966">
        <v>0</v>
      </c>
      <c r="O821" s="966">
        <v>0</v>
      </c>
      <c r="P821" s="966">
        <v>14.5</v>
      </c>
      <c r="Q821" s="966">
        <v>0</v>
      </c>
      <c r="R821" s="966">
        <v>0</v>
      </c>
      <c r="S821" s="966">
        <v>50</v>
      </c>
      <c r="T821" s="966">
        <v>33</v>
      </c>
      <c r="U821" s="484">
        <f t="shared" si="496"/>
        <v>83</v>
      </c>
    </row>
    <row r="822" spans="3:22" x14ac:dyDescent="0.3">
      <c r="C822" s="475" t="s">
        <v>3085</v>
      </c>
      <c r="D822" s="966">
        <v>0</v>
      </c>
      <c r="E822" s="966">
        <v>0</v>
      </c>
      <c r="F822" s="966">
        <v>0</v>
      </c>
      <c r="G822" s="966">
        <v>12.5</v>
      </c>
      <c r="H822" s="966">
        <v>0</v>
      </c>
      <c r="I822" s="966">
        <v>0</v>
      </c>
      <c r="J822" s="966">
        <v>0</v>
      </c>
      <c r="K822" s="966">
        <v>14.7</v>
      </c>
      <c r="L822" s="966">
        <v>14.7</v>
      </c>
      <c r="M822" s="966">
        <v>0.1</v>
      </c>
      <c r="N822" s="966">
        <v>0</v>
      </c>
      <c r="O822" s="966">
        <v>0</v>
      </c>
      <c r="P822" s="966">
        <v>0</v>
      </c>
      <c r="Q822" s="966">
        <v>0</v>
      </c>
      <c r="R822" s="966">
        <v>0</v>
      </c>
      <c r="S822" s="966">
        <v>12</v>
      </c>
      <c r="T822" s="966">
        <v>1</v>
      </c>
      <c r="U822" s="484">
        <f t="shared" si="496"/>
        <v>13</v>
      </c>
    </row>
    <row r="823" spans="3:22" x14ac:dyDescent="0.3">
      <c r="C823" s="475" t="s">
        <v>1311</v>
      </c>
      <c r="D823" s="966">
        <v>0</v>
      </c>
      <c r="E823" s="966">
        <v>0</v>
      </c>
      <c r="F823" s="966">
        <v>0</v>
      </c>
      <c r="G823" s="966">
        <v>0</v>
      </c>
      <c r="H823" s="966">
        <v>0</v>
      </c>
      <c r="I823" s="966">
        <v>0</v>
      </c>
      <c r="J823" s="966">
        <v>0</v>
      </c>
      <c r="K823" s="966">
        <v>0</v>
      </c>
      <c r="L823" s="966">
        <v>0</v>
      </c>
      <c r="M823" s="966">
        <v>0</v>
      </c>
      <c r="N823" s="966">
        <v>43.7</v>
      </c>
      <c r="O823" s="966">
        <v>0</v>
      </c>
      <c r="P823" s="966">
        <v>0</v>
      </c>
      <c r="Q823" s="966">
        <v>0</v>
      </c>
      <c r="R823" s="966">
        <v>0</v>
      </c>
      <c r="S823" s="966">
        <v>1</v>
      </c>
      <c r="T823" s="966">
        <v>0</v>
      </c>
      <c r="U823" s="484">
        <f t="shared" si="496"/>
        <v>1</v>
      </c>
    </row>
    <row r="824" spans="3:22" x14ac:dyDescent="0.3">
      <c r="C824" s="475" t="s">
        <v>3086</v>
      </c>
      <c r="D824" s="966">
        <v>0</v>
      </c>
      <c r="E824" s="966">
        <v>0</v>
      </c>
      <c r="F824" s="966">
        <v>0.1</v>
      </c>
      <c r="G824" s="966">
        <v>16.600000000000001</v>
      </c>
      <c r="H824" s="966">
        <v>0.6</v>
      </c>
      <c r="I824" s="966">
        <v>0.1</v>
      </c>
      <c r="J824" s="966">
        <v>0</v>
      </c>
      <c r="K824" s="966">
        <v>45.5</v>
      </c>
      <c r="L824" s="966">
        <v>45.5</v>
      </c>
      <c r="M824" s="966">
        <v>2.4</v>
      </c>
      <c r="N824" s="966">
        <v>0</v>
      </c>
      <c r="O824" s="966">
        <v>0</v>
      </c>
      <c r="P824" s="966">
        <v>0</v>
      </c>
      <c r="Q824" s="966">
        <v>0</v>
      </c>
      <c r="R824" s="966">
        <v>0</v>
      </c>
      <c r="S824" s="966">
        <v>346</v>
      </c>
      <c r="T824" s="966">
        <v>139</v>
      </c>
      <c r="U824" s="484">
        <f t="shared" si="496"/>
        <v>485</v>
      </c>
    </row>
    <row r="825" spans="3:22" x14ac:dyDescent="0.3">
      <c r="C825" s="475" t="s">
        <v>2623</v>
      </c>
      <c r="D825" s="966">
        <v>3</v>
      </c>
      <c r="E825" s="966">
        <v>2.2999999999999998</v>
      </c>
      <c r="F825" s="966">
        <v>0</v>
      </c>
      <c r="G825" s="966">
        <v>2.5</v>
      </c>
      <c r="H825" s="966">
        <v>0</v>
      </c>
      <c r="I825" s="966">
        <v>0</v>
      </c>
      <c r="J825" s="966">
        <v>0</v>
      </c>
      <c r="K825" s="966">
        <v>0.6</v>
      </c>
      <c r="L825" s="966">
        <v>0.6</v>
      </c>
      <c r="M825" s="966">
        <v>0.9</v>
      </c>
      <c r="N825" s="966">
        <v>0</v>
      </c>
      <c r="O825" s="966">
        <v>0</v>
      </c>
      <c r="P825" s="966">
        <v>0</v>
      </c>
      <c r="Q825" s="966">
        <v>0</v>
      </c>
      <c r="R825" s="966">
        <v>0</v>
      </c>
      <c r="S825" s="966">
        <v>130</v>
      </c>
      <c r="T825" s="966">
        <v>94</v>
      </c>
      <c r="U825" s="484">
        <f t="shared" si="496"/>
        <v>224</v>
      </c>
      <c r="V825" s="1174">
        <f t="shared" ref="V825:V834" si="497">U825/U$840</f>
        <v>2036.912415784408</v>
      </c>
    </row>
    <row r="826" spans="3:22" x14ac:dyDescent="0.3">
      <c r="C826" s="475" t="s">
        <v>2624</v>
      </c>
      <c r="D826" s="966">
        <v>0</v>
      </c>
      <c r="E826" s="966">
        <v>0</v>
      </c>
      <c r="F826" s="966">
        <v>0</v>
      </c>
      <c r="G826" s="966">
        <v>0.2</v>
      </c>
      <c r="H826" s="966">
        <v>0</v>
      </c>
      <c r="I826" s="966">
        <v>0</v>
      </c>
      <c r="J826" s="966">
        <v>0</v>
      </c>
      <c r="K826" s="966">
        <v>2</v>
      </c>
      <c r="L826" s="966">
        <v>2</v>
      </c>
      <c r="M826" s="966">
        <v>1.4</v>
      </c>
      <c r="N826" s="966">
        <v>0</v>
      </c>
      <c r="O826" s="966">
        <v>0</v>
      </c>
      <c r="P826" s="966">
        <v>0</v>
      </c>
      <c r="Q826" s="966">
        <v>0</v>
      </c>
      <c r="R826" s="966">
        <v>0</v>
      </c>
      <c r="S826" s="966">
        <v>324</v>
      </c>
      <c r="T826" s="966">
        <v>15</v>
      </c>
      <c r="U826" s="484">
        <f t="shared" si="496"/>
        <v>339</v>
      </c>
      <c r="V826" s="1174">
        <f t="shared" si="497"/>
        <v>3082.6487006737248</v>
      </c>
    </row>
    <row r="827" spans="3:22" x14ac:dyDescent="0.3">
      <c r="C827" s="475" t="s">
        <v>2625</v>
      </c>
      <c r="D827" s="966">
        <v>0.5</v>
      </c>
      <c r="E827" s="966">
        <v>0</v>
      </c>
      <c r="F827" s="966">
        <v>0</v>
      </c>
      <c r="G827" s="966">
        <v>0.1</v>
      </c>
      <c r="H827" s="966">
        <v>0</v>
      </c>
      <c r="I827" s="966">
        <v>0</v>
      </c>
      <c r="J827" s="966">
        <v>0</v>
      </c>
      <c r="K827" s="966">
        <v>0</v>
      </c>
      <c r="L827" s="966">
        <v>0</v>
      </c>
      <c r="M827" s="966">
        <v>0.2</v>
      </c>
      <c r="N827" s="966">
        <v>0</v>
      </c>
      <c r="O827" s="966">
        <v>0</v>
      </c>
      <c r="P827" s="966">
        <v>0</v>
      </c>
      <c r="Q827" s="966">
        <v>0</v>
      </c>
      <c r="R827" s="966">
        <v>0</v>
      </c>
      <c r="S827" s="966">
        <v>15</v>
      </c>
      <c r="T827" s="966">
        <v>10</v>
      </c>
      <c r="U827" s="484">
        <f t="shared" si="496"/>
        <v>25</v>
      </c>
      <c r="V827" s="1174">
        <f t="shared" si="497"/>
        <v>227.33397497593839</v>
      </c>
    </row>
    <row r="828" spans="3:22" x14ac:dyDescent="0.3">
      <c r="C828" s="475" t="s">
        <v>2626</v>
      </c>
      <c r="D828" s="966">
        <v>1.3</v>
      </c>
      <c r="E828" s="966">
        <v>5</v>
      </c>
      <c r="F828" s="966">
        <v>0.4</v>
      </c>
      <c r="G828" s="966">
        <v>28.4</v>
      </c>
      <c r="H828" s="966">
        <v>0</v>
      </c>
      <c r="I828" s="966">
        <v>0</v>
      </c>
      <c r="J828" s="966">
        <v>0.1</v>
      </c>
      <c r="K828" s="966">
        <v>1.7</v>
      </c>
      <c r="L828" s="966">
        <v>1.7</v>
      </c>
      <c r="M828" s="966">
        <v>1.2</v>
      </c>
      <c r="N828" s="966">
        <v>0</v>
      </c>
      <c r="O828" s="966">
        <v>0</v>
      </c>
      <c r="P828" s="966">
        <v>0</v>
      </c>
      <c r="Q828" s="966">
        <v>0</v>
      </c>
      <c r="R828" s="966">
        <v>0</v>
      </c>
      <c r="S828" s="966">
        <v>468</v>
      </c>
      <c r="T828" s="966">
        <v>333</v>
      </c>
      <c r="U828" s="484">
        <f t="shared" si="496"/>
        <v>801</v>
      </c>
      <c r="V828" s="1174">
        <f t="shared" si="497"/>
        <v>7283.7805582290666</v>
      </c>
    </row>
    <row r="829" spans="3:22" x14ac:dyDescent="0.3">
      <c r="C829" s="475" t="s">
        <v>2627</v>
      </c>
      <c r="D829" s="966">
        <v>0.4</v>
      </c>
      <c r="E829" s="966">
        <v>0</v>
      </c>
      <c r="F829" s="966">
        <v>0</v>
      </c>
      <c r="G829" s="966">
        <v>0.2</v>
      </c>
      <c r="H829" s="966">
        <v>0.1</v>
      </c>
      <c r="I829" s="966">
        <v>0</v>
      </c>
      <c r="J829" s="966">
        <v>0</v>
      </c>
      <c r="K829" s="966">
        <v>2.7</v>
      </c>
      <c r="L829" s="966">
        <v>2.7</v>
      </c>
      <c r="M829" s="966">
        <v>2.9</v>
      </c>
      <c r="N829" s="966">
        <v>0</v>
      </c>
      <c r="O829" s="966">
        <v>0</v>
      </c>
      <c r="P829" s="966">
        <v>0</v>
      </c>
      <c r="Q829" s="966">
        <v>0</v>
      </c>
      <c r="R829" s="966">
        <v>0</v>
      </c>
      <c r="S829" s="966">
        <v>42</v>
      </c>
      <c r="T829" s="966">
        <v>13</v>
      </c>
      <c r="U829" s="484">
        <f t="shared" si="496"/>
        <v>55</v>
      </c>
      <c r="V829" s="1174">
        <f t="shared" si="497"/>
        <v>500.13474494706446</v>
      </c>
    </row>
    <row r="830" spans="3:22" x14ac:dyDescent="0.3">
      <c r="C830" s="475" t="s">
        <v>2628</v>
      </c>
      <c r="D830" s="966">
        <v>1</v>
      </c>
      <c r="E830" s="966">
        <v>0</v>
      </c>
      <c r="F830" s="966">
        <v>2.6</v>
      </c>
      <c r="G830" s="966">
        <v>0</v>
      </c>
      <c r="H830" s="966">
        <v>0.3</v>
      </c>
      <c r="I830" s="966">
        <v>0</v>
      </c>
      <c r="J830" s="966">
        <v>0</v>
      </c>
      <c r="K830" s="966">
        <v>26.7</v>
      </c>
      <c r="L830" s="966">
        <v>26.7</v>
      </c>
      <c r="M830" s="966">
        <v>1.8</v>
      </c>
      <c r="N830" s="966">
        <v>0</v>
      </c>
      <c r="O830" s="966">
        <v>0</v>
      </c>
      <c r="P830" s="966">
        <v>0</v>
      </c>
      <c r="Q830" s="966">
        <v>0</v>
      </c>
      <c r="R830" s="966">
        <v>0</v>
      </c>
      <c r="S830" s="966">
        <v>24</v>
      </c>
      <c r="T830" s="966">
        <v>5</v>
      </c>
      <c r="U830" s="484">
        <f t="shared" si="496"/>
        <v>29</v>
      </c>
      <c r="V830" s="1174">
        <f t="shared" si="497"/>
        <v>263.70741097208855</v>
      </c>
    </row>
    <row r="831" spans="3:22" x14ac:dyDescent="0.3">
      <c r="C831" s="475" t="s">
        <v>2629</v>
      </c>
      <c r="D831" s="966">
        <v>0.8</v>
      </c>
      <c r="E831" s="966">
        <v>4.2</v>
      </c>
      <c r="F831" s="966">
        <v>2.5</v>
      </c>
      <c r="G831" s="966">
        <v>0.6</v>
      </c>
      <c r="H831" s="966">
        <v>0.1</v>
      </c>
      <c r="I831" s="966">
        <v>0</v>
      </c>
      <c r="J831" s="966">
        <v>0</v>
      </c>
      <c r="K831" s="966">
        <v>11.6</v>
      </c>
      <c r="L831" s="966">
        <v>11.6</v>
      </c>
      <c r="M831" s="966">
        <v>3.2</v>
      </c>
      <c r="N831" s="966">
        <v>0</v>
      </c>
      <c r="O831" s="966">
        <v>0</v>
      </c>
      <c r="P831" s="966">
        <v>0</v>
      </c>
      <c r="Q831" s="966">
        <v>0</v>
      </c>
      <c r="R831" s="966">
        <v>0</v>
      </c>
      <c r="S831" s="966">
        <v>685</v>
      </c>
      <c r="T831" s="966">
        <v>741</v>
      </c>
      <c r="U831" s="484">
        <f t="shared" si="496"/>
        <v>1426</v>
      </c>
      <c r="V831" s="1174">
        <f t="shared" si="497"/>
        <v>12967.129932627526</v>
      </c>
    </row>
    <row r="832" spans="3:22" x14ac:dyDescent="0.3">
      <c r="C832" s="475" t="s">
        <v>2630</v>
      </c>
      <c r="D832" s="966">
        <v>1.4</v>
      </c>
      <c r="E832" s="966">
        <v>1.5</v>
      </c>
      <c r="F832" s="966">
        <v>0.2</v>
      </c>
      <c r="G832" s="966">
        <v>3</v>
      </c>
      <c r="H832" s="966">
        <v>0.2</v>
      </c>
      <c r="I832" s="966">
        <v>0</v>
      </c>
      <c r="J832" s="966">
        <v>0</v>
      </c>
      <c r="K832" s="966">
        <v>0.4</v>
      </c>
      <c r="L832" s="966">
        <v>0.4</v>
      </c>
      <c r="M832" s="966">
        <v>0.5</v>
      </c>
      <c r="N832" s="966">
        <v>0</v>
      </c>
      <c r="O832" s="966">
        <v>0</v>
      </c>
      <c r="P832" s="966">
        <v>0</v>
      </c>
      <c r="Q832" s="966">
        <v>0</v>
      </c>
      <c r="R832" s="966">
        <v>0</v>
      </c>
      <c r="S832" s="966">
        <v>127</v>
      </c>
      <c r="T832" s="966">
        <v>108</v>
      </c>
      <c r="U832" s="484">
        <f t="shared" si="496"/>
        <v>235</v>
      </c>
      <c r="V832" s="1174">
        <f t="shared" si="497"/>
        <v>2136.9393647738211</v>
      </c>
    </row>
    <row r="833" spans="3:22" x14ac:dyDescent="0.3">
      <c r="C833" s="475" t="s">
        <v>2631</v>
      </c>
      <c r="D833" s="966">
        <v>0.4</v>
      </c>
      <c r="E833" s="966">
        <v>0</v>
      </c>
      <c r="F833" s="966">
        <v>0.3</v>
      </c>
      <c r="G833" s="966">
        <v>1.4</v>
      </c>
      <c r="H833" s="966">
        <v>0.1</v>
      </c>
      <c r="I833" s="966">
        <v>0</v>
      </c>
      <c r="J833" s="966">
        <v>0.2</v>
      </c>
      <c r="K833" s="966">
        <v>1.3</v>
      </c>
      <c r="L833" s="966">
        <v>1.3</v>
      </c>
      <c r="M833" s="966">
        <v>1</v>
      </c>
      <c r="N833" s="966">
        <v>0</v>
      </c>
      <c r="O833" s="966">
        <v>0</v>
      </c>
      <c r="P833" s="966">
        <v>0</v>
      </c>
      <c r="Q833" s="966">
        <v>0</v>
      </c>
      <c r="R833" s="966">
        <v>0</v>
      </c>
      <c r="S833" s="966">
        <v>216</v>
      </c>
      <c r="T833" s="966">
        <v>201</v>
      </c>
      <c r="U833" s="484">
        <f t="shared" si="496"/>
        <v>417</v>
      </c>
      <c r="V833" s="1174">
        <f t="shared" si="497"/>
        <v>3791.9307025986523</v>
      </c>
    </row>
    <row r="834" spans="3:22" x14ac:dyDescent="0.3">
      <c r="C834" s="475" t="s">
        <v>2632</v>
      </c>
      <c r="D834" s="966">
        <v>0</v>
      </c>
      <c r="E834" s="966">
        <v>0</v>
      </c>
      <c r="F834" s="966">
        <v>0.8</v>
      </c>
      <c r="G834" s="966">
        <v>0.4</v>
      </c>
      <c r="H834" s="966">
        <v>0</v>
      </c>
      <c r="I834" s="966">
        <v>0</v>
      </c>
      <c r="J834" s="966">
        <v>0</v>
      </c>
      <c r="K834" s="966">
        <v>5</v>
      </c>
      <c r="L834" s="966">
        <v>5</v>
      </c>
      <c r="M834" s="966">
        <v>0.8</v>
      </c>
      <c r="N834" s="966">
        <v>0</v>
      </c>
      <c r="O834" s="966">
        <v>0</v>
      </c>
      <c r="P834" s="966">
        <v>0</v>
      </c>
      <c r="Q834" s="966">
        <v>0</v>
      </c>
      <c r="R834" s="966">
        <v>0</v>
      </c>
      <c r="S834" s="966">
        <v>51</v>
      </c>
      <c r="T834" s="966">
        <v>78</v>
      </c>
      <c r="U834" s="484">
        <f t="shared" si="496"/>
        <v>129</v>
      </c>
      <c r="V834" s="1174">
        <f t="shared" si="497"/>
        <v>1173.0433108758421</v>
      </c>
    </row>
    <row r="835" spans="3:22" x14ac:dyDescent="0.3">
      <c r="C835" s="475" t="s">
        <v>2633</v>
      </c>
      <c r="D835" s="966">
        <v>0</v>
      </c>
      <c r="E835" s="966">
        <v>0</v>
      </c>
      <c r="F835" s="966">
        <v>0</v>
      </c>
      <c r="G835" s="966">
        <v>1.7</v>
      </c>
      <c r="H835" s="966">
        <v>0.1</v>
      </c>
      <c r="I835" s="966">
        <v>0</v>
      </c>
      <c r="J835" s="966">
        <v>0</v>
      </c>
      <c r="K835" s="966">
        <v>1.1000000000000001</v>
      </c>
      <c r="L835" s="966">
        <v>1.1000000000000001</v>
      </c>
      <c r="M835" s="966">
        <v>0.1</v>
      </c>
      <c r="N835" s="966">
        <v>0</v>
      </c>
      <c r="O835" s="966">
        <v>0</v>
      </c>
      <c r="P835" s="966">
        <v>0</v>
      </c>
      <c r="Q835" s="966">
        <v>0</v>
      </c>
      <c r="R835" s="966">
        <v>0</v>
      </c>
      <c r="S835" s="966">
        <v>17</v>
      </c>
      <c r="T835" s="966">
        <v>17</v>
      </c>
      <c r="U835" s="484">
        <f t="shared" si="496"/>
        <v>34</v>
      </c>
      <c r="V835" s="1174">
        <f>U835/U$840</f>
        <v>309.17420596727624</v>
      </c>
    </row>
    <row r="836" spans="3:22" x14ac:dyDescent="0.3">
      <c r="C836" s="475" t="s">
        <v>51</v>
      </c>
      <c r="D836" s="966" t="s">
        <v>3087</v>
      </c>
      <c r="E836" s="966" t="s">
        <v>3087</v>
      </c>
      <c r="F836" s="966">
        <v>70</v>
      </c>
      <c r="G836" s="966">
        <v>73</v>
      </c>
      <c r="H836" s="966">
        <v>3.4</v>
      </c>
      <c r="I836" s="966">
        <v>0</v>
      </c>
      <c r="J836" s="966">
        <v>0</v>
      </c>
      <c r="K836" s="966">
        <v>96</v>
      </c>
      <c r="L836" s="966">
        <v>95</v>
      </c>
      <c r="M836" s="966">
        <v>155.4</v>
      </c>
      <c r="N836" s="966">
        <v>0</v>
      </c>
      <c r="O836" s="966">
        <v>0</v>
      </c>
      <c r="P836" s="966">
        <v>0</v>
      </c>
      <c r="Q836" s="966">
        <v>0</v>
      </c>
      <c r="R836" s="966">
        <v>0</v>
      </c>
      <c r="S836" s="966">
        <v>2229</v>
      </c>
      <c r="T836" s="966">
        <v>3540</v>
      </c>
      <c r="U836" s="484">
        <f t="shared" si="496"/>
        <v>5769</v>
      </c>
    </row>
    <row r="838" spans="3:22" x14ac:dyDescent="0.3">
      <c r="C838" s="477" t="s">
        <v>3088</v>
      </c>
      <c r="D838" s="1161">
        <f t="shared" ref="D838:U838" si="498">IFERROR(SUM(D831:D833)/SUM(D824:D835),0)</f>
        <v>0.29545454545454541</v>
      </c>
      <c r="E838" s="1161">
        <f t="shared" si="498"/>
        <v>0.43846153846153846</v>
      </c>
      <c r="F838" s="1161">
        <f t="shared" si="498"/>
        <v>0.43478260869565222</v>
      </c>
      <c r="G838" s="1161">
        <f t="shared" si="498"/>
        <v>9.0744101633393831E-2</v>
      </c>
      <c r="H838" s="1161">
        <f t="shared" si="498"/>
        <v>0.26666666666666666</v>
      </c>
      <c r="I838" s="1161">
        <f t="shared" si="498"/>
        <v>0</v>
      </c>
      <c r="J838" s="1161">
        <f t="shared" si="498"/>
        <v>0.66666666666666663</v>
      </c>
      <c r="K838" s="1161">
        <f t="shared" si="498"/>
        <v>0.13488843813387424</v>
      </c>
      <c r="L838" s="1161">
        <f t="shared" si="498"/>
        <v>0.13488843813387424</v>
      </c>
      <c r="M838" s="1161">
        <f t="shared" si="498"/>
        <v>0.28658536585365851</v>
      </c>
      <c r="N838" s="1161">
        <f t="shared" si="498"/>
        <v>0</v>
      </c>
      <c r="O838" s="1161">
        <f t="shared" si="498"/>
        <v>0</v>
      </c>
      <c r="P838" s="1161">
        <f t="shared" si="498"/>
        <v>0</v>
      </c>
      <c r="Q838" s="1161">
        <f t="shared" si="498"/>
        <v>0</v>
      </c>
      <c r="R838" s="1161">
        <f t="shared" si="498"/>
        <v>0</v>
      </c>
      <c r="S838" s="1161">
        <f t="shared" si="498"/>
        <v>0.42044989775051123</v>
      </c>
      <c r="T838" s="1161">
        <f t="shared" si="498"/>
        <v>0.59863169897377422</v>
      </c>
      <c r="U838" s="1161">
        <f t="shared" si="498"/>
        <v>0.49487973326982615</v>
      </c>
      <c r="V838" s="1174"/>
    </row>
    <row r="839" spans="3:22" x14ac:dyDescent="0.3">
      <c r="C839" s="477" t="s">
        <v>3089</v>
      </c>
      <c r="D839" s="511">
        <f t="shared" ref="D839:U839" si="499">IFERROR(SUM(D824:D830,D834:D835)/SUM(D824:D835),0)</f>
        <v>0.70454545454545447</v>
      </c>
      <c r="E839" s="511">
        <f t="shared" si="499"/>
        <v>0.56153846153846154</v>
      </c>
      <c r="F839" s="511">
        <f t="shared" si="499"/>
        <v>0.56521739130434789</v>
      </c>
      <c r="G839" s="511">
        <f t="shared" si="499"/>
        <v>0.90925589836660614</v>
      </c>
      <c r="H839" s="511">
        <f t="shared" si="499"/>
        <v>0.73333333333333328</v>
      </c>
      <c r="I839" s="511">
        <f t="shared" si="499"/>
        <v>1</v>
      </c>
      <c r="J839" s="511">
        <f t="shared" si="499"/>
        <v>0.33333333333333331</v>
      </c>
      <c r="K839" s="511">
        <f t="shared" si="499"/>
        <v>0.86511156186612581</v>
      </c>
      <c r="L839" s="511">
        <f t="shared" si="499"/>
        <v>0.86511156186612581</v>
      </c>
      <c r="M839" s="511">
        <f t="shared" si="499"/>
        <v>0.71341463414634143</v>
      </c>
      <c r="N839" s="511">
        <f t="shared" si="499"/>
        <v>0</v>
      </c>
      <c r="O839" s="511">
        <f t="shared" si="499"/>
        <v>0</v>
      </c>
      <c r="P839" s="511">
        <f t="shared" si="499"/>
        <v>0</v>
      </c>
      <c r="Q839" s="511">
        <f t="shared" si="499"/>
        <v>0</v>
      </c>
      <c r="R839" s="511">
        <f t="shared" si="499"/>
        <v>0</v>
      </c>
      <c r="S839" s="511">
        <f t="shared" si="499"/>
        <v>0.57955010224948877</v>
      </c>
      <c r="T839" s="511">
        <f t="shared" si="499"/>
        <v>0.40136830102622578</v>
      </c>
      <c r="U839" s="511">
        <f t="shared" si="499"/>
        <v>0.50512026673017385</v>
      </c>
      <c r="V839" s="1174"/>
    </row>
    <row r="840" spans="3:22" x14ac:dyDescent="0.3">
      <c r="C840" s="477" t="s">
        <v>3090</v>
      </c>
      <c r="D840" s="1223">
        <f>SUM(D831:D833)/SUM(D798:D836)</f>
        <v>0.08</v>
      </c>
      <c r="E840" s="1223">
        <f t="shared" ref="E840:U840" si="500">SUM(E831:E833)/SUM(E798:E836)</f>
        <v>1.2983463167965011E-3</v>
      </c>
      <c r="F840" s="1223">
        <f t="shared" si="500"/>
        <v>3.0832476875642344E-2</v>
      </c>
      <c r="G840" s="1223">
        <f t="shared" si="500"/>
        <v>1.0309278350515464E-2</v>
      </c>
      <c r="H840" s="1223">
        <f t="shared" si="500"/>
        <v>2.0833333333333339E-2</v>
      </c>
      <c r="I840" s="1223">
        <f t="shared" si="500"/>
        <v>0</v>
      </c>
      <c r="J840" s="1223">
        <f t="shared" si="500"/>
        <v>6.0790273556230994E-3</v>
      </c>
      <c r="K840" s="1223">
        <f t="shared" si="500"/>
        <v>1.7279459529686885E-2</v>
      </c>
      <c r="L840" s="1223">
        <f t="shared" si="500"/>
        <v>1.7431192660550453E-2</v>
      </c>
      <c r="M840" s="1223">
        <f t="shared" si="500"/>
        <v>2.2650602409638555E-2</v>
      </c>
      <c r="N840" s="1223">
        <f t="shared" si="500"/>
        <v>0</v>
      </c>
      <c r="O840" s="1223">
        <f t="shared" si="500"/>
        <v>0</v>
      </c>
      <c r="P840" s="1223">
        <f t="shared" si="500"/>
        <v>0</v>
      </c>
      <c r="Q840" s="1223">
        <f t="shared" si="500"/>
        <v>0</v>
      </c>
      <c r="R840" s="1223">
        <f t="shared" si="500"/>
        <v>0</v>
      </c>
      <c r="S840" s="1223">
        <f t="shared" si="500"/>
        <v>0.10814222596254996</v>
      </c>
      <c r="T840" s="1223">
        <f t="shared" si="500"/>
        <v>0.11182108626198083</v>
      </c>
      <c r="U840" s="1223">
        <f t="shared" si="500"/>
        <v>0.10997036409822185</v>
      </c>
    </row>
    <row r="842" spans="3:22" x14ac:dyDescent="0.3">
      <c r="C842" s="477" t="s">
        <v>50</v>
      </c>
      <c r="D842" s="1174">
        <f>SUM(D801:D818)/D797</f>
        <v>8.9713322091062395E-3</v>
      </c>
      <c r="E842" s="1174">
        <f>SUM(E801:E818)/E797</f>
        <v>0.85851243566068136</v>
      </c>
      <c r="F842" s="68">
        <f t="shared" ref="F842:U842" si="501">SUM(F801:F818)/SUM(F798:F836)</f>
        <v>0.13977389516957861</v>
      </c>
      <c r="G842" s="68">
        <f t="shared" si="501"/>
        <v>0.59113402061855669</v>
      </c>
      <c r="H842" s="68">
        <f t="shared" si="501"/>
        <v>0.546875</v>
      </c>
      <c r="I842" s="68">
        <f t="shared" si="501"/>
        <v>0.25</v>
      </c>
      <c r="J842" s="68">
        <f t="shared" si="501"/>
        <v>0.78115501519756825</v>
      </c>
      <c r="K842" s="68">
        <f t="shared" si="501"/>
        <v>9.0164999350396222E-2</v>
      </c>
      <c r="L842" s="68">
        <f t="shared" si="501"/>
        <v>8.5452162516382657E-2</v>
      </c>
      <c r="M842" s="68">
        <f t="shared" si="501"/>
        <v>2.8433734939759044E-2</v>
      </c>
      <c r="N842" s="68">
        <f t="shared" si="501"/>
        <v>0</v>
      </c>
      <c r="O842" s="68">
        <f t="shared" si="501"/>
        <v>1</v>
      </c>
      <c r="P842" s="68">
        <f t="shared" si="501"/>
        <v>0.44230769230769229</v>
      </c>
      <c r="Q842" s="68">
        <f t="shared" si="501"/>
        <v>1</v>
      </c>
      <c r="R842" s="68">
        <f t="shared" si="501"/>
        <v>1</v>
      </c>
      <c r="S842" s="68">
        <f t="shared" si="501"/>
        <v>0.41121397012413213</v>
      </c>
      <c r="T842" s="68">
        <f t="shared" si="501"/>
        <v>0.39840255591054313</v>
      </c>
      <c r="U842" s="68">
        <f t="shared" si="501"/>
        <v>0.4048475867908552</v>
      </c>
    </row>
    <row r="843" spans="3:22" x14ac:dyDescent="0.3">
      <c r="C843" s="477" t="s">
        <v>51</v>
      </c>
      <c r="D843" s="1163">
        <f>1-SUM(D844:D846,D842)</f>
        <v>0.98138279932546379</v>
      </c>
      <c r="E843" s="1163">
        <f>1-SUM(E844:E846,E842)</f>
        <v>0.13787277513653684</v>
      </c>
      <c r="F843" s="511">
        <f t="shared" ref="F843:U843" si="502">F836/SUM(F798:F836)</f>
        <v>0.71942446043165464</v>
      </c>
      <c r="G843" s="511">
        <f t="shared" si="502"/>
        <v>0.15051546391752577</v>
      </c>
      <c r="H843" s="511">
        <f t="shared" si="502"/>
        <v>0.17708333333333337</v>
      </c>
      <c r="I843" s="511">
        <f t="shared" si="502"/>
        <v>0</v>
      </c>
      <c r="J843" s="511">
        <f t="shared" si="502"/>
        <v>0</v>
      </c>
      <c r="K843" s="511">
        <f t="shared" si="502"/>
        <v>0.12472391840977</v>
      </c>
      <c r="L843" s="511">
        <f t="shared" si="502"/>
        <v>0.12450851900393181</v>
      </c>
      <c r="M843" s="511">
        <f t="shared" si="502"/>
        <v>0.74891566265060239</v>
      </c>
      <c r="N843" s="511">
        <f t="shared" si="502"/>
        <v>0</v>
      </c>
      <c r="O843" s="511">
        <f t="shared" si="502"/>
        <v>0</v>
      </c>
      <c r="P843" s="511">
        <f t="shared" si="502"/>
        <v>0</v>
      </c>
      <c r="Q843" s="511">
        <f t="shared" si="502"/>
        <v>0</v>
      </c>
      <c r="R843" s="511">
        <f t="shared" si="502"/>
        <v>0</v>
      </c>
      <c r="S843" s="511">
        <f t="shared" si="502"/>
        <v>0.2344834841152956</v>
      </c>
      <c r="T843" s="511">
        <f t="shared" si="502"/>
        <v>0.3769968051118211</v>
      </c>
      <c r="U843" s="511">
        <f t="shared" si="502"/>
        <v>0.30530270956816258</v>
      </c>
    </row>
    <row r="844" spans="3:22" x14ac:dyDescent="0.3">
      <c r="C844" s="477" t="s">
        <v>52</v>
      </c>
      <c r="D844" s="1174">
        <f>SUM(D824:D835)/D797</f>
        <v>5.9359190556492417E-3</v>
      </c>
      <c r="E844" s="1174">
        <f>SUM(E824:E835)/E797</f>
        <v>2.5539271541393268E-3</v>
      </c>
      <c r="F844" s="68">
        <f t="shared" ref="F844:U844" si="503">SUM(F824:F835)/SUM(F798:F836)</f>
        <v>7.0914696813977385E-2</v>
      </c>
      <c r="G844" s="68">
        <f t="shared" si="503"/>
        <v>0.11360824742268041</v>
      </c>
      <c r="H844" s="68">
        <f t="shared" si="503"/>
        <v>7.8125000000000028E-2</v>
      </c>
      <c r="I844" s="68">
        <f t="shared" si="503"/>
        <v>0.25</v>
      </c>
      <c r="J844" s="68">
        <f t="shared" si="503"/>
        <v>9.11854103343465E-3</v>
      </c>
      <c r="K844" s="68">
        <f t="shared" si="503"/>
        <v>0.12810185786670125</v>
      </c>
      <c r="L844" s="68">
        <f t="shared" si="503"/>
        <v>0.12922673656618605</v>
      </c>
      <c r="M844" s="68">
        <f t="shared" si="503"/>
        <v>7.9036144578313261E-2</v>
      </c>
      <c r="N844" s="68">
        <f t="shared" si="503"/>
        <v>0</v>
      </c>
      <c r="O844" s="68">
        <f t="shared" si="503"/>
        <v>0</v>
      </c>
      <c r="P844" s="68">
        <f t="shared" si="503"/>
        <v>0</v>
      </c>
      <c r="Q844" s="68">
        <f t="shared" si="503"/>
        <v>0</v>
      </c>
      <c r="R844" s="68">
        <f t="shared" si="503"/>
        <v>0</v>
      </c>
      <c r="S844" s="68">
        <f t="shared" si="503"/>
        <v>0.25720597517357457</v>
      </c>
      <c r="T844" s="68">
        <f t="shared" si="503"/>
        <v>0.18679446219382323</v>
      </c>
      <c r="U844" s="68">
        <f t="shared" si="503"/>
        <v>0.22221634208298052</v>
      </c>
    </row>
    <row r="845" spans="3:22" x14ac:dyDescent="0.3">
      <c r="C845" s="477" t="s">
        <v>53</v>
      </c>
      <c r="D845" s="1163">
        <f>SUM(D821:D824)/D797</f>
        <v>1.3490725126475548E-4</v>
      </c>
      <c r="E845" s="1163">
        <f>SUM(E821:E824)/E797</f>
        <v>0</v>
      </c>
      <c r="F845" s="511">
        <f t="shared" ref="F845:U845" si="504">SUM(F821:F824)/SUM(F797:F836)</f>
        <v>3.0832476875642337E-3</v>
      </c>
      <c r="G845" s="511">
        <f t="shared" si="504"/>
        <v>3.7835051546391753E-2</v>
      </c>
      <c r="H845" s="511">
        <f t="shared" si="504"/>
        <v>5.2083333333333336E-2</v>
      </c>
      <c r="I845" s="511">
        <f t="shared" si="504"/>
        <v>0.12500000000000003</v>
      </c>
      <c r="J845" s="511">
        <f t="shared" si="504"/>
        <v>0</v>
      </c>
      <c r="K845" s="511">
        <f t="shared" si="504"/>
        <v>0.21709757048200598</v>
      </c>
      <c r="L845" s="511">
        <f t="shared" si="504"/>
        <v>0.2189384010484928</v>
      </c>
      <c r="M845" s="511">
        <f t="shared" si="504"/>
        <v>4.4337349397590355E-2</v>
      </c>
      <c r="N845" s="511">
        <f t="shared" si="504"/>
        <v>0.5</v>
      </c>
      <c r="O845" s="511">
        <f t="shared" si="504"/>
        <v>0</v>
      </c>
      <c r="P845" s="511">
        <f t="shared" si="504"/>
        <v>0.2788461538461538</v>
      </c>
      <c r="Q845" s="511">
        <f t="shared" si="504"/>
        <v>0</v>
      </c>
      <c r="R845" s="511">
        <f t="shared" si="504"/>
        <v>0</v>
      </c>
      <c r="S845" s="511">
        <f t="shared" si="504"/>
        <v>2.1512728802861352E-2</v>
      </c>
      <c r="T845" s="511">
        <f t="shared" si="504"/>
        <v>9.2119275825346108E-3</v>
      </c>
      <c r="U845" s="511">
        <f t="shared" si="504"/>
        <v>1.5400084674005081E-2</v>
      </c>
    </row>
    <row r="846" spans="3:22" x14ac:dyDescent="0.3">
      <c r="C846" s="477" t="s">
        <v>3091</v>
      </c>
      <c r="D846" s="1174">
        <f>SUM(D798:D800)/D797</f>
        <v>3.5750421585160203E-3</v>
      </c>
      <c r="E846" s="1174">
        <f>SUM(E798:E800)/E797</f>
        <v>1.0608620486424896E-3</v>
      </c>
      <c r="F846" s="68">
        <f t="shared" ref="F846:U846" si="505">1-SUM(F842:F845)</f>
        <v>6.6803699897225233E-2</v>
      </c>
      <c r="G846" s="68">
        <f t="shared" si="505"/>
        <v>0.10690721649484536</v>
      </c>
      <c r="H846" s="68">
        <f t="shared" si="505"/>
        <v>0.14583333333333326</v>
      </c>
      <c r="I846" s="68">
        <f t="shared" si="505"/>
        <v>0.375</v>
      </c>
      <c r="J846" s="68">
        <f t="shared" si="505"/>
        <v>0.20972644376899707</v>
      </c>
      <c r="K846" s="68">
        <f t="shared" si="505"/>
        <v>0.43991165389112652</v>
      </c>
      <c r="L846" s="68">
        <f t="shared" si="505"/>
        <v>0.44187418086500663</v>
      </c>
      <c r="M846" s="68">
        <f t="shared" si="505"/>
        <v>9.9277108433734829E-2</v>
      </c>
      <c r="N846" s="68">
        <f t="shared" si="505"/>
        <v>0.5</v>
      </c>
      <c r="O846" s="68">
        <f t="shared" si="505"/>
        <v>0</v>
      </c>
      <c r="P846" s="68">
        <f t="shared" si="505"/>
        <v>0.27884615384615397</v>
      </c>
      <c r="Q846" s="68">
        <f t="shared" si="505"/>
        <v>0</v>
      </c>
      <c r="R846" s="68">
        <f t="shared" si="505"/>
        <v>0</v>
      </c>
      <c r="S846" s="68">
        <f t="shared" si="505"/>
        <v>7.5583841784136352E-2</v>
      </c>
      <c r="T846" s="68">
        <f t="shared" si="505"/>
        <v>2.8594249201277955E-2</v>
      </c>
      <c r="U846" s="68">
        <f t="shared" si="505"/>
        <v>5.2233276883996482E-2</v>
      </c>
    </row>
    <row r="860" spans="26:26" x14ac:dyDescent="0.3">
      <c r="Z860"/>
    </row>
  </sheetData>
  <mergeCells count="32">
    <mergeCell ref="C753:F753"/>
    <mergeCell ref="H753:J753"/>
    <mergeCell ref="K753:M753"/>
    <mergeCell ref="C771:H771"/>
    <mergeCell ref="C584:F584"/>
    <mergeCell ref="C706:I706"/>
    <mergeCell ref="C751:H751"/>
    <mergeCell ref="C596:H596"/>
    <mergeCell ref="D626:G626"/>
    <mergeCell ref="C631:E631"/>
    <mergeCell ref="C632:E632"/>
    <mergeCell ref="C648:I648"/>
    <mergeCell ref="D621:G621"/>
    <mergeCell ref="D622:G622"/>
    <mergeCell ref="D623:G623"/>
    <mergeCell ref="D624:G624"/>
    <mergeCell ref="B62:B64"/>
    <mergeCell ref="C118:L118"/>
    <mergeCell ref="W282:AF282"/>
    <mergeCell ref="V282:V283"/>
    <mergeCell ref="U280:AF280"/>
    <mergeCell ref="C131:I131"/>
    <mergeCell ref="C250:N250"/>
    <mergeCell ref="C210:D210"/>
    <mergeCell ref="H210:I210"/>
    <mergeCell ref="C6:L6"/>
    <mergeCell ref="C62:E62"/>
    <mergeCell ref="C63:E63"/>
    <mergeCell ref="C64:E64"/>
    <mergeCell ref="D625:G625"/>
    <mergeCell ref="C523:E523"/>
    <mergeCell ref="C528:E528"/>
  </mergeCells>
  <phoneticPr fontId="0" type="noConversion"/>
  <hyperlinks>
    <hyperlink ref="F62" r:id="rId1" xr:uid="{0DBD7A9E-BB11-4037-8FB4-D615A8AB9A1E}"/>
    <hyperlink ref="B574" r:id="rId2" location="tab0" xr:uid="{D892C32E-5E4C-4CED-B893-8B253B9D28D7}"/>
    <hyperlink ref="U280" r:id="rId3" display="https://energiatalgud.ee/sites/default/files/2022-04/1.%20Riikliku%20energias%C3%A4%C3%A4stukohustuse%20t%C3%A4itmiseks%20sobilike%20finantsmeetmete%20arvutusmetoodikate%20v%C3%A4ljat%C3%B6%C3%B6tamine%20ja%20energias%C3%A4%C3%A4stu%20potentsiaali%20hindamine.pdf" xr:uid="{00AD8DD2-EB17-4057-997F-655213C77733}"/>
    <hyperlink ref="C399" r:id="rId4" display="https://energiatalgud.ee/sites/default/files/2022-04/1.%20Riikliku%20energias%C3%A4%C3%A4stukohustuse%20t%C3%A4itmiseks%20sobilike%20finantsmeetmete%20arvutusmetoodikate%20v%C3%A4ljat%C3%B6%C3%B6tamine%20ja%20energias%C3%A4%C3%A4stu%20potentsiaali%20hindamine.pdf" xr:uid="{55920C22-7119-4A0C-8BC6-21EB9BCCCD00}"/>
    <hyperlink ref="F528" r:id="rId5" xr:uid="{C5DB66FB-F9F1-4225-B2F2-6BA987D2864E}"/>
    <hyperlink ref="G528" r:id="rId6" xr:uid="{6EBC15D0-53A9-4A6F-8361-56E3C164E457}"/>
    <hyperlink ref="B547" r:id="rId7" xr:uid="{A4811512-55EA-426C-A579-CA56797652E8}"/>
    <hyperlink ref="O528" r:id="rId8" xr:uid="{071C7F5F-DF35-4EA5-8F7C-0808FA96CC18}"/>
    <hyperlink ref="L210" r:id="rId9" xr:uid="{68AE62EA-89BF-4F00-8545-B265EF7CAAA0}"/>
    <hyperlink ref="H528" r:id="rId10" xr:uid="{14ABEBE3-CA07-4EAA-B923-09C164307371}"/>
    <hyperlink ref="A533" r:id="rId11" xr:uid="{43FADC1C-2819-4DB1-82F3-2BE606E50ED7}"/>
    <hyperlink ref="C751" r:id="rId12" display="https://energy.ec.europa.eu/system/files/2020-09/ee_2020_ltrs_official_translation_en_0.pdf" xr:uid="{2C8E29E9-CD1D-4CAE-A941-1D693D268C35}"/>
    <hyperlink ref="D624" r:id="rId13" xr:uid="{052289CA-4979-45DA-9718-DDB9B1C747BD}"/>
    <hyperlink ref="D625" r:id="rId14" xr:uid="{D737C3DA-0AC9-43E4-BA5D-BAA054A93962}"/>
    <hyperlink ref="D626" r:id="rId15" xr:uid="{C1766669-DC9B-4CCC-9937-06E975476B38}"/>
    <hyperlink ref="C739" r:id="rId16" display="https://riigivara.fin.ee/rkvr-frontend/aruanded/energiatohusus?_x_tr_hist=true" xr:uid="{F6667963-2E7E-44F6-8ED9-FD92C1838BE5}"/>
    <hyperlink ref="C596" r:id="rId17" display="https://energy.ec.europa.eu/system/files/2018-05/ee_2018_cost-optimal_en_version_0.pdf; " xr:uid="{D57B93BC-1C60-42F8-9082-863C0328BFCF}"/>
    <hyperlink ref="C771" r:id="rId18" display="https://energy.ec.europa.eu/system/files/2020-09/ee_2020_ltrs_official_translation_en_0.pdf" xr:uid="{CCEF9032-6E3F-4A58-B0FC-AB673EA9F153}"/>
    <hyperlink ref="D275" r:id="rId19" xr:uid="{17529370-6394-4ECE-A118-1394CDDD14CC}"/>
    <hyperlink ref="D272" r:id="rId20" xr:uid="{ADB3E56F-F428-4D4F-8803-5BCD05333197}"/>
    <hyperlink ref="D269" r:id="rId21" xr:uid="{34566394-1924-45D0-AC72-88243B4BF5AC}"/>
  </hyperlinks>
  <pageMargins left="0.7" right="0.7" top="0.75" bottom="0.75" header="0.3" footer="0.3"/>
  <pageSetup orientation="portrait" horizontalDpi="1200" verticalDpi="1200" r:id="rId22"/>
  <legacyDrawing r:id="rId2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0BCE1F-79D0-4B6D-BB36-7C7EEC937C52}">
  <sheetPr codeName="Sheet7">
    <tabColor theme="0" tint="-0.249977111117893"/>
  </sheetPr>
  <dimension ref="B2:AH49"/>
  <sheetViews>
    <sheetView workbookViewId="0"/>
  </sheetViews>
  <sheetFormatPr defaultColWidth="9.1640625" defaultRowHeight="13.5" x14ac:dyDescent="0.3"/>
  <cols>
    <col min="7" max="7" width="42.1640625" customWidth="1"/>
    <col min="8" max="8" width="9.1640625" bestFit="1" customWidth="1"/>
    <col min="16" max="16" width="13.6640625" customWidth="1"/>
    <col min="19" max="20" width="11.1640625" bestFit="1" customWidth="1"/>
    <col min="21" max="21" width="15.1640625" bestFit="1" customWidth="1"/>
    <col min="22" max="22" width="12.6640625" bestFit="1" customWidth="1"/>
    <col min="33" max="33" width="74.1640625" style="69" customWidth="1"/>
    <col min="34" max="34" width="63.6640625" customWidth="1"/>
  </cols>
  <sheetData>
    <row r="2" spans="2:34" x14ac:dyDescent="0.3">
      <c r="B2" t="s">
        <v>3092</v>
      </c>
    </row>
    <row r="4" spans="2:34" x14ac:dyDescent="0.3">
      <c r="B4" s="64" t="s">
        <v>3093</v>
      </c>
      <c r="G4" s="64" t="s">
        <v>3094</v>
      </c>
      <c r="AG4" s="848"/>
      <c r="AH4" s="848" t="s">
        <v>3095</v>
      </c>
    </row>
    <row r="5" spans="2:34" x14ac:dyDescent="0.3">
      <c r="B5" t="s">
        <v>578</v>
      </c>
      <c r="G5" t="s">
        <v>394</v>
      </c>
      <c r="H5" s="60">
        <v>1.9E-2</v>
      </c>
      <c r="P5" s="9"/>
      <c r="Q5" s="9" t="s">
        <v>3096</v>
      </c>
      <c r="R5" s="9" t="s">
        <v>3097</v>
      </c>
      <c r="S5" s="9" t="s">
        <v>3098</v>
      </c>
      <c r="T5" s="9" t="s">
        <v>3099</v>
      </c>
      <c r="U5" s="9" t="s">
        <v>3100</v>
      </c>
      <c r="V5" s="9" t="s">
        <v>2931</v>
      </c>
      <c r="W5" s="9" t="s">
        <v>2743</v>
      </c>
      <c r="AG5" s="844" t="s">
        <v>3101</v>
      </c>
      <c r="AH5" s="845" t="s">
        <v>3102</v>
      </c>
    </row>
    <row r="6" spans="2:34" ht="27" x14ac:dyDescent="0.3">
      <c r="B6" t="s">
        <v>567</v>
      </c>
      <c r="G6" t="s">
        <v>3103</v>
      </c>
      <c r="H6">
        <v>33</v>
      </c>
      <c r="I6" t="s">
        <v>64</v>
      </c>
      <c r="P6" s="9" t="s">
        <v>2740</v>
      </c>
      <c r="Q6" s="9" t="s">
        <v>2392</v>
      </c>
      <c r="R6" s="9"/>
      <c r="S6" s="9"/>
      <c r="T6" s="9"/>
      <c r="U6" s="9"/>
      <c r="V6" s="9"/>
      <c r="W6" s="9"/>
      <c r="AG6" s="844" t="s">
        <v>3104</v>
      </c>
      <c r="AH6" s="845" t="s">
        <v>3105</v>
      </c>
    </row>
    <row r="7" spans="2:34" x14ac:dyDescent="0.3">
      <c r="B7" t="s">
        <v>590</v>
      </c>
      <c r="G7" t="s">
        <v>3106</v>
      </c>
      <c r="H7" s="547">
        <v>0.14000000000000001</v>
      </c>
      <c r="I7" t="s">
        <v>3107</v>
      </c>
      <c r="P7" s="509"/>
      <c r="Q7" s="509" t="s">
        <v>3097</v>
      </c>
      <c r="R7" s="509"/>
      <c r="S7" s="14">
        <v>1E-3</v>
      </c>
      <c r="T7" s="14">
        <v>9.9999999999999995E-7</v>
      </c>
      <c r="U7" s="14">
        <v>1.0000000000000001E-9</v>
      </c>
      <c r="V7" s="697">
        <v>2.7777800000000001E-4</v>
      </c>
      <c r="AG7" s="844" t="s">
        <v>3108</v>
      </c>
      <c r="AH7" s="845" t="s">
        <v>3109</v>
      </c>
    </row>
    <row r="8" spans="2:34" x14ac:dyDescent="0.3">
      <c r="G8" t="s">
        <v>76</v>
      </c>
      <c r="H8">
        <v>460</v>
      </c>
      <c r="I8" t="s">
        <v>77</v>
      </c>
      <c r="P8" s="509"/>
      <c r="Q8" s="509" t="s">
        <v>3098</v>
      </c>
      <c r="R8" s="509"/>
      <c r="S8" s="14">
        <v>1</v>
      </c>
      <c r="T8" s="14">
        <v>1E-3</v>
      </c>
      <c r="U8" s="14">
        <v>9.9999999999999995E-7</v>
      </c>
      <c r="V8" s="697">
        <v>0.27777777777777779</v>
      </c>
      <c r="AG8" s="844" t="s">
        <v>3110</v>
      </c>
      <c r="AH8" s="845" t="s">
        <v>3111</v>
      </c>
    </row>
    <row r="9" spans="2:34" ht="27" x14ac:dyDescent="0.3">
      <c r="B9" s="64" t="s">
        <v>3112</v>
      </c>
      <c r="G9" t="s">
        <v>3113</v>
      </c>
      <c r="H9">
        <v>8.3000000000000007</v>
      </c>
      <c r="I9" t="s">
        <v>64</v>
      </c>
      <c r="P9" s="509"/>
      <c r="Q9" s="509" t="s">
        <v>3099</v>
      </c>
      <c r="R9" s="509"/>
      <c r="S9" s="14">
        <v>1000</v>
      </c>
      <c r="T9" s="14">
        <v>1</v>
      </c>
      <c r="U9" s="14">
        <v>1E-3</v>
      </c>
      <c r="V9" s="697">
        <v>277.77777777777777</v>
      </c>
      <c r="AG9" s="844" t="s">
        <v>3114</v>
      </c>
      <c r="AH9" s="845" t="s">
        <v>3115</v>
      </c>
    </row>
    <row r="10" spans="2:34" ht="27" x14ac:dyDescent="0.3">
      <c r="B10" t="s">
        <v>563</v>
      </c>
      <c r="P10" s="509"/>
      <c r="Q10" s="509" t="s">
        <v>3100</v>
      </c>
      <c r="R10" s="509"/>
      <c r="S10" s="14">
        <v>1000000</v>
      </c>
      <c r="T10" s="14">
        <v>1000</v>
      </c>
      <c r="U10" s="14">
        <v>1</v>
      </c>
      <c r="V10" s="697">
        <v>277777.77777777781</v>
      </c>
      <c r="AG10" s="844" t="s">
        <v>3116</v>
      </c>
      <c r="AH10" s="845" t="s">
        <v>3117</v>
      </c>
    </row>
    <row r="11" spans="2:34" ht="40.5" x14ac:dyDescent="0.3">
      <c r="B11" t="s">
        <v>655</v>
      </c>
      <c r="G11" t="s">
        <v>3118</v>
      </c>
      <c r="P11" s="509" t="s">
        <v>390</v>
      </c>
      <c r="Q11" s="509" t="s">
        <v>3119</v>
      </c>
      <c r="R11" s="509"/>
      <c r="S11" s="14">
        <v>25.8</v>
      </c>
      <c r="T11" s="14">
        <v>2.58E-2</v>
      </c>
      <c r="U11" s="14">
        <v>2.58E-5</v>
      </c>
      <c r="V11" s="697">
        <v>7.1666666666666661</v>
      </c>
      <c r="W11" t="s">
        <v>3120</v>
      </c>
      <c r="AG11" s="844" t="s">
        <v>3121</v>
      </c>
      <c r="AH11" s="846"/>
    </row>
    <row r="12" spans="2:34" ht="27" x14ac:dyDescent="0.3">
      <c r="G12" t="s">
        <v>3122</v>
      </c>
      <c r="H12">
        <v>30</v>
      </c>
      <c r="I12" s="485" t="s">
        <v>2947</v>
      </c>
      <c r="J12" s="485"/>
      <c r="P12" s="509" t="s">
        <v>390</v>
      </c>
      <c r="Q12" s="509" t="s">
        <v>947</v>
      </c>
      <c r="R12" s="509"/>
      <c r="S12" s="14">
        <v>25800</v>
      </c>
      <c r="T12" s="14">
        <v>25.8</v>
      </c>
      <c r="U12" s="14">
        <v>2.58E-2</v>
      </c>
      <c r="V12" s="697">
        <v>7166.666666666667</v>
      </c>
      <c r="W12" t="s">
        <v>3120</v>
      </c>
      <c r="AG12" s="844" t="s">
        <v>3123</v>
      </c>
      <c r="AH12" s="843" t="s">
        <v>3124</v>
      </c>
    </row>
    <row r="13" spans="2:34" x14ac:dyDescent="0.3">
      <c r="B13" s="64" t="s">
        <v>563</v>
      </c>
      <c r="G13" t="s">
        <v>3125</v>
      </c>
      <c r="H13">
        <v>57</v>
      </c>
      <c r="I13" t="s">
        <v>3126</v>
      </c>
      <c r="P13" s="509" t="s">
        <v>390</v>
      </c>
      <c r="Q13" s="509" t="s">
        <v>3127</v>
      </c>
      <c r="R13" s="509"/>
      <c r="S13" s="14">
        <v>25800000</v>
      </c>
      <c r="T13" s="14">
        <v>25800</v>
      </c>
      <c r="U13" s="14">
        <v>25.8</v>
      </c>
      <c r="V13" s="697">
        <v>7166666.666666666</v>
      </c>
      <c r="W13" t="s">
        <v>3120</v>
      </c>
      <c r="AG13" s="844" t="s">
        <v>3128</v>
      </c>
      <c r="AH13" s="846"/>
    </row>
    <row r="14" spans="2:34" ht="54" x14ac:dyDescent="0.3">
      <c r="B14" t="s">
        <v>597</v>
      </c>
      <c r="G14" t="s">
        <v>3129</v>
      </c>
      <c r="H14">
        <v>40.35</v>
      </c>
      <c r="I14" s="485" t="s">
        <v>3126</v>
      </c>
      <c r="K14" s="485"/>
      <c r="P14" s="509" t="s">
        <v>2810</v>
      </c>
      <c r="Q14" s="509" t="s">
        <v>3130</v>
      </c>
      <c r="R14" s="509"/>
      <c r="S14" s="14"/>
      <c r="T14" s="14"/>
      <c r="U14" s="14"/>
      <c r="V14" s="697">
        <v>8791.6666666666661</v>
      </c>
      <c r="AG14" s="844" t="s">
        <v>3131</v>
      </c>
      <c r="AH14" s="847" t="s">
        <v>3132</v>
      </c>
    </row>
    <row r="15" spans="2:34" x14ac:dyDescent="0.3">
      <c r="B15" t="s">
        <v>781</v>
      </c>
      <c r="G15" t="s">
        <v>3133</v>
      </c>
      <c r="H15">
        <v>-15.76</v>
      </c>
      <c r="I15" t="s">
        <v>3126</v>
      </c>
      <c r="P15" s="509" t="s">
        <v>2810</v>
      </c>
      <c r="Q15" s="509" t="s">
        <v>3134</v>
      </c>
      <c r="R15" s="509"/>
      <c r="S15" s="14"/>
      <c r="T15" s="14"/>
      <c r="U15" s="14"/>
      <c r="V15" s="697">
        <v>8.7916666666666664E-3</v>
      </c>
      <c r="AG15" s="844" t="s">
        <v>3135</v>
      </c>
      <c r="AH15" s="843" t="s">
        <v>3136</v>
      </c>
    </row>
    <row r="16" spans="2:34" x14ac:dyDescent="0.3">
      <c r="B16" t="s">
        <v>564</v>
      </c>
      <c r="G16" t="s">
        <v>3137</v>
      </c>
      <c r="H16">
        <v>7.33</v>
      </c>
      <c r="I16" t="s">
        <v>3138</v>
      </c>
      <c r="P16" s="509" t="s">
        <v>2810</v>
      </c>
      <c r="Q16" s="509" t="s">
        <v>3139</v>
      </c>
      <c r="R16" s="509"/>
      <c r="S16" s="14"/>
      <c r="T16" s="14"/>
      <c r="U16" s="14"/>
      <c r="V16" s="697">
        <v>8.7916666666666661</v>
      </c>
      <c r="AG16" s="844" t="s">
        <v>3140</v>
      </c>
      <c r="AH16" s="843" t="s">
        <v>3141</v>
      </c>
    </row>
    <row r="17" spans="2:34" x14ac:dyDescent="0.3">
      <c r="B17" t="s">
        <v>725</v>
      </c>
      <c r="P17" s="509" t="s">
        <v>3142</v>
      </c>
      <c r="Q17" s="509" t="s">
        <v>947</v>
      </c>
      <c r="R17" s="509"/>
      <c r="S17" s="14">
        <v>7720</v>
      </c>
      <c r="T17" s="14">
        <v>7.72</v>
      </c>
      <c r="U17" s="14">
        <v>7.7200000000000003E-3</v>
      </c>
      <c r="V17" s="697">
        <v>2144.4444444444443</v>
      </c>
      <c r="W17" t="s">
        <v>3143</v>
      </c>
      <c r="AG17" s="844" t="s">
        <v>3144</v>
      </c>
      <c r="AH17" s="846"/>
    </row>
    <row r="18" spans="2:34" x14ac:dyDescent="0.3">
      <c r="B18" t="s">
        <v>641</v>
      </c>
      <c r="P18" s="509" t="s">
        <v>1329</v>
      </c>
      <c r="Q18" s="509" t="s">
        <v>947</v>
      </c>
      <c r="R18" s="509"/>
      <c r="S18" s="14">
        <v>27000</v>
      </c>
      <c r="T18" s="14">
        <v>27</v>
      </c>
      <c r="U18" s="14">
        <v>2.7E-2</v>
      </c>
      <c r="V18" s="697">
        <v>7500</v>
      </c>
      <c r="W18" t="s">
        <v>3120</v>
      </c>
      <c r="AG18" s="842" t="s">
        <v>3145</v>
      </c>
    </row>
    <row r="19" spans="2:34" ht="15" x14ac:dyDescent="0.35">
      <c r="B19" t="s">
        <v>3146</v>
      </c>
      <c r="G19" s="2176" t="s">
        <v>3147</v>
      </c>
      <c r="H19" s="2176"/>
      <c r="P19" s="509" t="s">
        <v>3148</v>
      </c>
      <c r="Q19" s="509" t="s">
        <v>947</v>
      </c>
      <c r="R19" s="509"/>
      <c r="S19" s="14">
        <v>27000</v>
      </c>
      <c r="T19" s="14">
        <v>27</v>
      </c>
      <c r="U19" s="14">
        <v>2.7E-2</v>
      </c>
      <c r="V19" s="697">
        <v>7500</v>
      </c>
      <c r="W19" t="s">
        <v>3120</v>
      </c>
    </row>
    <row r="20" spans="2:34" x14ac:dyDescent="0.3">
      <c r="B20" t="s">
        <v>648</v>
      </c>
      <c r="G20" s="1002" t="s">
        <v>3149</v>
      </c>
      <c r="H20" s="1002" t="s">
        <v>3150</v>
      </c>
      <c r="P20" s="509" t="s">
        <v>3151</v>
      </c>
      <c r="Q20" s="509" t="s">
        <v>947</v>
      </c>
      <c r="R20" s="509"/>
      <c r="S20" s="14">
        <v>50200</v>
      </c>
      <c r="T20" s="14">
        <v>50.2</v>
      </c>
      <c r="U20" s="14">
        <v>5.0200000000000002E-2</v>
      </c>
      <c r="V20" s="697">
        <v>13944.444444444445</v>
      </c>
      <c r="W20" t="s">
        <v>3152</v>
      </c>
    </row>
    <row r="21" spans="2:34" x14ac:dyDescent="0.3">
      <c r="B21" t="s">
        <v>3153</v>
      </c>
      <c r="G21" s="1003" t="s">
        <v>2901</v>
      </c>
      <c r="H21" s="1003">
        <v>1</v>
      </c>
      <c r="P21" s="509" t="s">
        <v>3154</v>
      </c>
      <c r="Q21" s="509" t="s">
        <v>947</v>
      </c>
      <c r="R21" s="509"/>
      <c r="S21" s="14">
        <v>49500</v>
      </c>
      <c r="T21" s="14">
        <v>49.5</v>
      </c>
      <c r="U21" s="14">
        <v>4.9500000000000002E-2</v>
      </c>
      <c r="V21" s="697">
        <v>13750</v>
      </c>
      <c r="W21" t="s">
        <v>3120</v>
      </c>
    </row>
    <row r="22" spans="2:34" x14ac:dyDescent="0.3">
      <c r="G22" s="1003" t="s">
        <v>2903</v>
      </c>
      <c r="H22" s="1003">
        <v>298</v>
      </c>
      <c r="P22" s="509" t="s">
        <v>3154</v>
      </c>
      <c r="Q22" s="509" t="s">
        <v>3155</v>
      </c>
      <c r="R22" s="509"/>
      <c r="S22" s="14">
        <v>49.5</v>
      </c>
      <c r="T22" s="14">
        <v>4.9500000000000002E-2</v>
      </c>
      <c r="U22" s="14">
        <v>4.9500000000000004E-5</v>
      </c>
      <c r="V22" s="697">
        <v>13.75</v>
      </c>
      <c r="W22" t="s">
        <v>3120</v>
      </c>
    </row>
    <row r="23" spans="2:34" x14ac:dyDescent="0.3">
      <c r="B23" s="64" t="s">
        <v>655</v>
      </c>
      <c r="G23" s="1003" t="s">
        <v>2902</v>
      </c>
      <c r="H23" s="1003">
        <v>25</v>
      </c>
      <c r="P23" s="509" t="s">
        <v>2746</v>
      </c>
      <c r="Q23" s="509" t="s">
        <v>947</v>
      </c>
      <c r="R23" s="509"/>
      <c r="S23" s="14"/>
      <c r="T23" s="14">
        <v>44.3</v>
      </c>
      <c r="U23" s="14"/>
      <c r="V23" s="697">
        <f>T23*V9</f>
        <v>12305.555555555555</v>
      </c>
    </row>
    <row r="24" spans="2:34" x14ac:dyDescent="0.3">
      <c r="B24" t="s">
        <v>3156</v>
      </c>
      <c r="G24" s="1003" t="s">
        <v>3157</v>
      </c>
      <c r="H24" s="1003"/>
      <c r="P24" s="509" t="s">
        <v>2746</v>
      </c>
      <c r="Q24" s="509" t="s">
        <v>3119</v>
      </c>
      <c r="R24" s="509"/>
      <c r="S24" s="14"/>
      <c r="T24" s="14"/>
      <c r="U24" s="14"/>
      <c r="V24" s="697">
        <f>V23/1000</f>
        <v>12.305555555555555</v>
      </c>
    </row>
    <row r="25" spans="2:34" x14ac:dyDescent="0.3">
      <c r="B25" t="s">
        <v>3158</v>
      </c>
      <c r="P25" s="509" t="s">
        <v>2746</v>
      </c>
      <c r="Q25" s="509" t="s">
        <v>3159</v>
      </c>
      <c r="R25" s="509">
        <v>34.200000000000003</v>
      </c>
      <c r="S25" s="14"/>
      <c r="T25" s="14"/>
      <c r="U25" s="14"/>
      <c r="V25" s="697">
        <f>R25*V7</f>
        <v>9.5000076000000006E-3</v>
      </c>
    </row>
    <row r="26" spans="2:34" x14ac:dyDescent="0.3">
      <c r="B26" t="s">
        <v>3160</v>
      </c>
      <c r="P26" s="509" t="s">
        <v>2746</v>
      </c>
      <c r="Q26" s="509" t="s">
        <v>3161</v>
      </c>
      <c r="R26" s="509"/>
      <c r="S26" s="14"/>
      <c r="T26" s="14"/>
      <c r="U26" s="14"/>
      <c r="V26" s="697">
        <f>V25*1000</f>
        <v>9.5000076</v>
      </c>
    </row>
    <row r="27" spans="2:34" x14ac:dyDescent="0.3">
      <c r="B27" t="s">
        <v>3162</v>
      </c>
      <c r="P27" s="509" t="s">
        <v>2730</v>
      </c>
      <c r="Q27" s="509" t="s">
        <v>947</v>
      </c>
      <c r="R27" s="509"/>
      <c r="S27" s="14">
        <v>43000</v>
      </c>
      <c r="T27" s="14">
        <v>43</v>
      </c>
      <c r="U27" s="14">
        <v>4.3000000000000003E-2</v>
      </c>
      <c r="V27" s="697">
        <f>T27*V9</f>
        <v>11944.444444444443</v>
      </c>
      <c r="W27" s="485" t="s">
        <v>3120</v>
      </c>
    </row>
    <row r="28" spans="2:34" x14ac:dyDescent="0.3">
      <c r="B28" t="s">
        <v>3163</v>
      </c>
      <c r="P28" s="509" t="s">
        <v>2730</v>
      </c>
      <c r="Q28" s="509" t="s">
        <v>3119</v>
      </c>
      <c r="R28" s="509"/>
      <c r="S28" s="14"/>
      <c r="T28" s="14"/>
      <c r="U28" s="14"/>
      <c r="V28" s="697">
        <f>V27/1000</f>
        <v>11.944444444444443</v>
      </c>
      <c r="W28" s="485"/>
    </row>
    <row r="29" spans="2:34" x14ac:dyDescent="0.3">
      <c r="B29" t="s">
        <v>3164</v>
      </c>
      <c r="P29" s="509" t="s">
        <v>2730</v>
      </c>
      <c r="Q29" s="509" t="s">
        <v>3159</v>
      </c>
      <c r="R29" s="509">
        <v>38.6</v>
      </c>
      <c r="S29" s="14"/>
      <c r="T29" s="14"/>
      <c r="U29" s="14"/>
      <c r="V29" s="1448">
        <f>R29*V7</f>
        <v>1.0722230800000001E-2</v>
      </c>
      <c r="W29" s="485" t="s">
        <v>3165</v>
      </c>
    </row>
    <row r="30" spans="2:34" x14ac:dyDescent="0.3">
      <c r="B30" t="s">
        <v>3153</v>
      </c>
      <c r="P30" s="509" t="s">
        <v>2730</v>
      </c>
      <c r="Q30" s="509" t="s">
        <v>3161</v>
      </c>
      <c r="R30" s="509"/>
      <c r="S30" s="14"/>
      <c r="T30" s="14"/>
      <c r="U30" s="14"/>
      <c r="V30" s="697">
        <f>V29*1000</f>
        <v>10.722230800000002</v>
      </c>
      <c r="W30" s="485"/>
    </row>
    <row r="31" spans="2:34" x14ac:dyDescent="0.3">
      <c r="P31" s="509" t="s">
        <v>3166</v>
      </c>
      <c r="Q31" s="509" t="s">
        <v>947</v>
      </c>
      <c r="R31" s="509"/>
      <c r="S31" s="14">
        <v>120000</v>
      </c>
      <c r="T31" s="14">
        <v>120</v>
      </c>
      <c r="U31" s="14">
        <v>0.12</v>
      </c>
      <c r="V31" s="697">
        <v>33333.333333333336</v>
      </c>
      <c r="W31" t="s">
        <v>3167</v>
      </c>
    </row>
    <row r="32" spans="2:34" x14ac:dyDescent="0.3">
      <c r="P32" s="509" t="s">
        <v>3166</v>
      </c>
      <c r="Q32" s="509" t="s">
        <v>3168</v>
      </c>
      <c r="R32" s="509"/>
      <c r="S32" s="14"/>
      <c r="T32" s="14"/>
      <c r="U32" s="14"/>
      <c r="V32" s="697">
        <v>3.3333333333333333E-2</v>
      </c>
    </row>
    <row r="33" spans="16:23" x14ac:dyDescent="0.3">
      <c r="P33" s="509" t="s">
        <v>3169</v>
      </c>
      <c r="Q33" s="509" t="s">
        <v>3119</v>
      </c>
      <c r="R33" s="509"/>
      <c r="S33" s="14">
        <v>44.5</v>
      </c>
      <c r="T33" s="14">
        <v>4.4499999999999998E-2</v>
      </c>
      <c r="U33" s="14">
        <v>4.4499999999999997E-5</v>
      </c>
      <c r="V33" s="697">
        <v>12.361111111111111</v>
      </c>
      <c r="W33" t="s">
        <v>3120</v>
      </c>
    </row>
    <row r="34" spans="16:23" x14ac:dyDescent="0.3">
      <c r="P34" s="509" t="s">
        <v>3169</v>
      </c>
      <c r="Q34" s="509" t="s">
        <v>947</v>
      </c>
      <c r="R34" s="509"/>
      <c r="S34" s="14">
        <v>44500</v>
      </c>
      <c r="T34" s="14">
        <v>44.5</v>
      </c>
      <c r="U34" s="14">
        <v>4.4499999999999998E-2</v>
      </c>
      <c r="V34" s="697">
        <v>12361.111111111111</v>
      </c>
      <c r="W34" t="s">
        <v>3120</v>
      </c>
    </row>
    <row r="35" spans="16:23" x14ac:dyDescent="0.3">
      <c r="P35" s="509" t="s">
        <v>2754</v>
      </c>
      <c r="Q35" s="509" t="s">
        <v>947</v>
      </c>
      <c r="R35" s="509"/>
      <c r="S35" s="14">
        <v>40400</v>
      </c>
      <c r="T35" s="14">
        <v>40.4</v>
      </c>
      <c r="U35" s="14">
        <v>4.0399999999999998E-2</v>
      </c>
      <c r="V35" s="697">
        <v>11222.222222222221</v>
      </c>
      <c r="W35" t="s">
        <v>3120</v>
      </c>
    </row>
    <row r="36" spans="16:23" x14ac:dyDescent="0.3">
      <c r="P36" s="509" t="s">
        <v>2754</v>
      </c>
      <c r="Q36" s="509" t="s">
        <v>3170</v>
      </c>
      <c r="R36" s="509"/>
      <c r="S36" s="14"/>
      <c r="T36" s="14"/>
      <c r="U36" s="14"/>
      <c r="V36" s="697">
        <v>10.688785458204917</v>
      </c>
    </row>
    <row r="37" spans="16:23" x14ac:dyDescent="0.3">
      <c r="P37" s="509" t="s">
        <v>2754</v>
      </c>
      <c r="Q37" s="509" t="s">
        <v>3171</v>
      </c>
      <c r="R37" s="509"/>
      <c r="S37" s="14"/>
      <c r="T37" s="14"/>
      <c r="U37" s="14"/>
      <c r="V37" s="697">
        <v>1.6994100000000001</v>
      </c>
    </row>
    <row r="38" spans="16:23" x14ac:dyDescent="0.3">
      <c r="P38" s="509" t="s">
        <v>3172</v>
      </c>
      <c r="Q38" s="509" t="s">
        <v>947</v>
      </c>
      <c r="R38" s="509"/>
      <c r="S38" s="14">
        <v>40400</v>
      </c>
      <c r="T38" s="14">
        <v>40.4</v>
      </c>
      <c r="U38" s="14">
        <v>4.0399999999999998E-2</v>
      </c>
      <c r="V38" s="697">
        <v>11222.222222222221</v>
      </c>
    </row>
    <row r="39" spans="16:23" x14ac:dyDescent="0.3">
      <c r="P39" s="509" t="s">
        <v>3172</v>
      </c>
      <c r="Q39" s="509" t="s">
        <v>3155</v>
      </c>
      <c r="R39" s="509"/>
      <c r="S39" s="14">
        <v>40.4</v>
      </c>
      <c r="T39" s="14">
        <v>4.0399999999999998E-2</v>
      </c>
      <c r="U39" s="14">
        <v>4.0399999999999999E-5</v>
      </c>
      <c r="V39" s="697">
        <v>11.222222222222221</v>
      </c>
    </row>
    <row r="40" spans="16:23" x14ac:dyDescent="0.3">
      <c r="P40" s="509" t="s">
        <v>3173</v>
      </c>
      <c r="Q40" s="509" t="s">
        <v>3159</v>
      </c>
      <c r="R40" s="509"/>
      <c r="S40" s="14"/>
      <c r="T40" s="14"/>
      <c r="U40" s="14"/>
      <c r="V40" s="697">
        <v>1.1169999999999999E-2</v>
      </c>
      <c r="W40" t="s">
        <v>3174</v>
      </c>
    </row>
    <row r="41" spans="16:23" x14ac:dyDescent="0.3">
      <c r="P41" s="509" t="s">
        <v>1327</v>
      </c>
      <c r="Q41" s="509" t="s">
        <v>947</v>
      </c>
      <c r="R41" s="509"/>
      <c r="S41" s="14">
        <v>47300</v>
      </c>
      <c r="T41" s="14">
        <v>47.3</v>
      </c>
      <c r="U41" s="14">
        <v>4.7299999999999995E-2</v>
      </c>
      <c r="V41" s="697">
        <v>13138.888888888889</v>
      </c>
      <c r="W41" t="s">
        <v>3120</v>
      </c>
    </row>
    <row r="42" spans="16:23" x14ac:dyDescent="0.3">
      <c r="P42" s="509" t="s">
        <v>1327</v>
      </c>
      <c r="Q42" s="509" t="s">
        <v>3159</v>
      </c>
      <c r="R42" s="509"/>
      <c r="S42" s="14"/>
      <c r="T42" s="14"/>
      <c r="U42" s="14"/>
      <c r="V42" s="697">
        <v>7.0949999999999997E-3</v>
      </c>
      <c r="W42" t="s">
        <v>3175</v>
      </c>
    </row>
    <row r="43" spans="16:23" x14ac:dyDescent="0.3">
      <c r="P43" s="509" t="s">
        <v>3176</v>
      </c>
      <c r="Q43" s="509" t="s">
        <v>947</v>
      </c>
      <c r="R43" s="509"/>
      <c r="S43" s="14">
        <v>44900</v>
      </c>
      <c r="T43" s="14">
        <v>44.9</v>
      </c>
      <c r="U43" s="14">
        <v>4.4900000000000002E-2</v>
      </c>
      <c r="V43" s="697">
        <v>12472.222222222221</v>
      </c>
      <c r="W43" t="s">
        <v>3177</v>
      </c>
    </row>
    <row r="44" spans="16:23" x14ac:dyDescent="0.3">
      <c r="P44" s="509" t="s">
        <v>3178</v>
      </c>
      <c r="Q44" s="509" t="s">
        <v>947</v>
      </c>
      <c r="R44" s="509"/>
      <c r="S44" s="14">
        <v>5000</v>
      </c>
      <c r="T44" s="14">
        <v>5</v>
      </c>
      <c r="U44" s="14">
        <v>5.0000000000000001E-3</v>
      </c>
      <c r="V44" s="697">
        <v>1388.8888888888889</v>
      </c>
    </row>
    <row r="45" spans="16:23" x14ac:dyDescent="0.3">
      <c r="P45" s="509" t="s">
        <v>3179</v>
      </c>
      <c r="Q45" s="509" t="s">
        <v>947</v>
      </c>
      <c r="R45" s="509"/>
      <c r="S45" s="14">
        <v>32500</v>
      </c>
      <c r="T45" s="14">
        <v>32.5</v>
      </c>
      <c r="U45" s="14">
        <v>3.2500000000000001E-2</v>
      </c>
      <c r="V45" s="697">
        <v>9027.7777777777774</v>
      </c>
      <c r="W45" t="s">
        <v>3120</v>
      </c>
    </row>
    <row r="46" spans="16:23" x14ac:dyDescent="0.3">
      <c r="P46" s="509" t="s">
        <v>3179</v>
      </c>
      <c r="Q46" s="509" t="s">
        <v>3168</v>
      </c>
      <c r="R46" s="509"/>
      <c r="S46" s="14">
        <v>3.2500000000000001E-2</v>
      </c>
      <c r="T46" s="14">
        <v>3.2500000000000004E-5</v>
      </c>
      <c r="U46" s="14">
        <v>3.2500000000000006E-8</v>
      </c>
      <c r="V46" s="697">
        <v>9.0277777777777787E-3</v>
      </c>
      <c r="W46" t="s">
        <v>3120</v>
      </c>
    </row>
    <row r="47" spans="16:23" x14ac:dyDescent="0.3">
      <c r="P47" s="509" t="s">
        <v>3179</v>
      </c>
      <c r="Q47" s="509" t="s">
        <v>3155</v>
      </c>
      <c r="R47" s="509"/>
      <c r="S47" s="14">
        <v>32.5</v>
      </c>
      <c r="T47" s="14">
        <v>3.2500000000000001E-2</v>
      </c>
      <c r="U47" s="14">
        <v>3.2500000000000004E-5</v>
      </c>
      <c r="V47" s="697">
        <v>9.0277777777777786</v>
      </c>
      <c r="W47" t="s">
        <v>3120</v>
      </c>
    </row>
    <row r="48" spans="16:23" x14ac:dyDescent="0.3">
      <c r="P48" s="509" t="s">
        <v>3180</v>
      </c>
      <c r="Q48" s="509" t="s">
        <v>3127</v>
      </c>
      <c r="R48" s="509"/>
      <c r="S48" s="14">
        <v>28200000</v>
      </c>
      <c r="T48" s="14">
        <v>28200</v>
      </c>
      <c r="U48" s="14">
        <v>28.2</v>
      </c>
      <c r="V48" s="697">
        <v>7833333.333333333</v>
      </c>
      <c r="W48" t="s">
        <v>3120</v>
      </c>
    </row>
    <row r="49" spans="16:23" x14ac:dyDescent="0.3">
      <c r="P49" s="509" t="s">
        <v>3180</v>
      </c>
      <c r="Q49" s="509" t="s">
        <v>947</v>
      </c>
      <c r="R49" s="509"/>
      <c r="S49" s="14">
        <v>28200</v>
      </c>
      <c r="T49" s="14">
        <v>28.2</v>
      </c>
      <c r="U49" s="14">
        <v>2.8199999999999999E-2</v>
      </c>
      <c r="V49" s="697">
        <v>7833.333333333333</v>
      </c>
      <c r="W49" t="s">
        <v>3120</v>
      </c>
    </row>
  </sheetData>
  <mergeCells count="1">
    <mergeCell ref="G19:H19"/>
  </mergeCells>
  <hyperlinks>
    <hyperlink ref="W29" r:id="rId1" xr:uid="{0F754AEF-4ACD-4692-90E9-230554F3663D}"/>
    <hyperlink ref="I12" r:id="rId2" xr:uid="{64B8A63D-B453-45FC-936E-7B7755A79DEB}"/>
    <hyperlink ref="I14" r:id="rId3" xr:uid="{0380FCD4-9D5D-4149-B853-BEB629D816D6}"/>
    <hyperlink ref="G21" r:id="rId4" display="CO@" xr:uid="{31A91E69-C68B-4BF1-8E05-78B8A38FB623}"/>
    <hyperlink ref="W27" r:id="rId5" xr:uid="{DB5A021B-FB4C-431C-BCAD-0D815A2DE4C0}"/>
  </hyperlinks>
  <pageMargins left="0.7" right="0.7" top="0.75" bottom="0.75" header="0.3" footer="0.3"/>
  <pageSetup orientation="portrait" r:id="rId6"/>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3E3E6E-E036-4EAC-98CA-420A21EE80B7}">
  <sheetPr>
    <tabColor theme="3"/>
  </sheetPr>
  <dimension ref="B2:C21"/>
  <sheetViews>
    <sheetView showGridLines="0" topLeftCell="A3" zoomScale="115" zoomScaleNormal="115" workbookViewId="0">
      <selection activeCell="C23" sqref="C23"/>
    </sheetView>
  </sheetViews>
  <sheetFormatPr defaultColWidth="11" defaultRowHeight="13.5" x14ac:dyDescent="0.3"/>
  <cols>
    <col min="2" max="2" width="22.1640625" customWidth="1"/>
    <col min="3" max="3" width="145.1640625" style="69" customWidth="1"/>
  </cols>
  <sheetData>
    <row r="2" spans="2:3" ht="19.5" thickBot="1" x14ac:dyDescent="0.35">
      <c r="B2" s="2050" t="s">
        <v>0</v>
      </c>
      <c r="C2" s="2050"/>
    </row>
    <row r="5" spans="2:3" s="63" customFormat="1" x14ac:dyDescent="0.3">
      <c r="B5" s="9" t="s">
        <v>1</v>
      </c>
      <c r="C5" s="9" t="s">
        <v>2</v>
      </c>
    </row>
    <row r="6" spans="2:3" s="63" customFormat="1" x14ac:dyDescent="0.3">
      <c r="B6" s="2053" t="s">
        <v>3</v>
      </c>
      <c r="C6" s="2053"/>
    </row>
    <row r="7" spans="2:3" s="63" customFormat="1" x14ac:dyDescent="0.3">
      <c r="B7" s="1971" t="s">
        <v>4</v>
      </c>
      <c r="C7" s="1972" t="s">
        <v>5</v>
      </c>
    </row>
    <row r="8" spans="2:3" x14ac:dyDescent="0.3">
      <c r="B8" s="1978" t="s">
        <v>6</v>
      </c>
      <c r="C8" s="1972" t="s">
        <v>7</v>
      </c>
    </row>
    <row r="9" spans="2:3" x14ac:dyDescent="0.3">
      <c r="B9" s="2051" t="s">
        <v>8</v>
      </c>
      <c r="C9" s="2052"/>
    </row>
    <row r="10" spans="2:3" ht="33.75" x14ac:dyDescent="0.3">
      <c r="B10" s="1978" t="s">
        <v>9</v>
      </c>
      <c r="C10" s="1972" t="s">
        <v>10</v>
      </c>
    </row>
    <row r="11" spans="2:3" ht="33.75" x14ac:dyDescent="0.3">
      <c r="B11" s="1971" t="s">
        <v>11</v>
      </c>
      <c r="C11" s="1973" t="s">
        <v>12</v>
      </c>
    </row>
    <row r="12" spans="2:3" ht="22.5" x14ac:dyDescent="0.3">
      <c r="B12" s="1971" t="s">
        <v>13</v>
      </c>
      <c r="C12" s="1973" t="s">
        <v>14</v>
      </c>
    </row>
    <row r="13" spans="2:3" x14ac:dyDescent="0.3">
      <c r="B13" s="1974" t="s">
        <v>15</v>
      </c>
      <c r="C13" s="1975"/>
    </row>
    <row r="14" spans="2:3" x14ac:dyDescent="0.3">
      <c r="B14" s="1979" t="s">
        <v>16</v>
      </c>
      <c r="C14" s="1977" t="s">
        <v>17</v>
      </c>
    </row>
    <row r="15" spans="2:3" x14ac:dyDescent="0.3">
      <c r="B15" s="1979" t="s">
        <v>18</v>
      </c>
      <c r="C15" s="1977" t="s">
        <v>19</v>
      </c>
    </row>
    <row r="16" spans="2:3" x14ac:dyDescent="0.3">
      <c r="B16" s="1979" t="s">
        <v>20</v>
      </c>
      <c r="C16" s="1977" t="s">
        <v>21</v>
      </c>
    </row>
    <row r="17" spans="2:3" x14ac:dyDescent="0.3">
      <c r="B17" s="1979" t="s">
        <v>22</v>
      </c>
      <c r="C17" s="1977" t="s">
        <v>23</v>
      </c>
    </row>
    <row r="18" spans="2:3" x14ac:dyDescent="0.3">
      <c r="B18" s="1979" t="s">
        <v>24</v>
      </c>
      <c r="C18" s="1977" t="s">
        <v>25</v>
      </c>
    </row>
    <row r="19" spans="2:3" x14ac:dyDescent="0.3">
      <c r="B19" s="2054" t="s">
        <v>26</v>
      </c>
      <c r="C19" s="2054"/>
    </row>
    <row r="20" spans="2:3" x14ac:dyDescent="0.3">
      <c r="B20" s="1980" t="s">
        <v>27</v>
      </c>
      <c r="C20" s="1976" t="s">
        <v>28</v>
      </c>
    </row>
    <row r="21" spans="2:3" x14ac:dyDescent="0.3">
      <c r="B21" s="1980" t="s">
        <v>29</v>
      </c>
      <c r="C21" s="1976" t="s">
        <v>30</v>
      </c>
    </row>
  </sheetData>
  <mergeCells count="4">
    <mergeCell ref="B2:C2"/>
    <mergeCell ref="B9:C9"/>
    <mergeCell ref="B6:C6"/>
    <mergeCell ref="B19:C19"/>
  </mergeCells>
  <hyperlinks>
    <hyperlink ref="B7" location="'Exec. Sum'!A1" display="Exec. Sum" xr:uid="{1FC88618-A681-464C-B6C4-4965F5059626}"/>
    <hyperlink ref="B11" location="'EE Measures'!A1" display="EE Measures" xr:uid="{82D21191-253B-4BB3-A1D7-F7B53001D3DF}"/>
    <hyperlink ref="B10" location="'Pathway Analysis'!A1" display="Pathway Analysis" xr:uid="{924D4E35-4CE9-4855-AF34-D9A2577E5E11}"/>
    <hyperlink ref="B12" location="Baseline!A1" display="Baseline" xr:uid="{D0DB2638-E761-4F5E-9539-8B4F66F6F613}"/>
    <hyperlink ref="B14" location="TalTech!A1" display="Taltech" xr:uid="{4D2839FD-AF83-4583-B1AF-78D01440E32C}"/>
    <hyperlink ref="B15" location="'MKM 2014-20'!A1" display="MKM 2014-20" xr:uid="{E6CA150D-C41C-4214-A0FA-86801224203D}"/>
    <hyperlink ref="B16" location="INTRO!A1" display="KLIM 2021-30" xr:uid="{C3E4A246-9767-4EAA-AAEA-5DD08F554FE4}"/>
    <hyperlink ref="B18" location="Sources!A1" display="Sources" xr:uid="{BBD49407-2197-40D1-A42F-AC5553A15B77}"/>
    <hyperlink ref="B17" location="CF!A1" display="CF" xr:uid="{EEB5E3B5-2182-4C70-B67E-743351EB299E}"/>
    <hyperlink ref="B20" location="Assumptions!A1" display="Assumptions" xr:uid="{F568F98D-C00E-44BC-915B-8AB32125C1A1}"/>
    <hyperlink ref="B21" location="Admin!A1" display="Admin " xr:uid="{BD7720FC-6118-4695-A3AF-A0DD46374C25}"/>
    <hyperlink ref="B8" location="'Pathway Comparison'!A1" display="Pathway Comparison" xr:uid="{716A9D36-721D-4BFC-AFFC-6FF44D9CB10A}"/>
  </hyperlinks>
  <pageMargins left="0.7" right="0.7" top="0.75" bottom="0.75" header="0.3" footer="0.3"/>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360AA4-3D15-4D08-9A2B-19C99F9F937D}">
  <sheetPr>
    <tabColor theme="4" tint="9.9978637043366805E-2"/>
  </sheetPr>
  <dimension ref="A1:BV1003"/>
  <sheetViews>
    <sheetView showGridLines="0" topLeftCell="A100" zoomScale="94" zoomScaleNormal="75" workbookViewId="0">
      <selection activeCell="B929" sqref="B929"/>
    </sheetView>
  </sheetViews>
  <sheetFormatPr defaultColWidth="0" defaultRowHeight="13.5" x14ac:dyDescent="0.3"/>
  <cols>
    <col min="1" max="1" width="9.1640625" customWidth="1"/>
    <col min="2" max="2" width="27.1640625" customWidth="1"/>
    <col min="3" max="3" width="16.1640625" customWidth="1"/>
    <col min="4" max="5" width="14.6640625" customWidth="1"/>
    <col min="6" max="6" width="19.1640625" customWidth="1"/>
    <col min="7" max="7" width="14.6640625" customWidth="1"/>
    <col min="8" max="8" width="17.6640625" customWidth="1"/>
    <col min="9" max="9" width="15.1640625" customWidth="1"/>
    <col min="10" max="10" width="20.1640625" customWidth="1"/>
    <col min="11" max="11" width="17.1640625" customWidth="1"/>
    <col min="12" max="16" width="9.1640625" customWidth="1"/>
    <col min="17" max="18" width="11.1640625" bestFit="1" customWidth="1"/>
    <col min="19" max="19" width="13.1640625" bestFit="1" customWidth="1"/>
    <col min="20" max="20" width="14.6640625" bestFit="1" customWidth="1"/>
    <col min="21" max="23" width="15.1640625" bestFit="1" customWidth="1"/>
    <col min="24" max="24" width="12.6640625" customWidth="1"/>
    <col min="25" max="25" width="11.1640625" customWidth="1"/>
    <col min="26" max="26" width="10.6640625" customWidth="1"/>
    <col min="27" max="28" width="11.1640625" customWidth="1"/>
    <col min="29" max="29" width="11.6640625" customWidth="1"/>
    <col min="30" max="30" width="9.6640625" customWidth="1"/>
    <col min="31" max="33" width="15.1640625" bestFit="1" customWidth="1"/>
    <col min="34" max="34" width="9.1640625" customWidth="1"/>
    <col min="35" max="36" width="9.1640625" bestFit="1" customWidth="1"/>
    <col min="37" max="44" width="9.1640625" customWidth="1"/>
    <col min="45" max="45" width="16.83203125" customWidth="1"/>
    <col min="46" max="46" width="27" customWidth="1"/>
    <col min="47" max="47" width="21.1640625" customWidth="1"/>
    <col min="48" max="48" width="14.1640625" customWidth="1"/>
    <col min="49" max="49" width="11.6640625" customWidth="1"/>
    <col min="50" max="50" width="12.6640625" customWidth="1"/>
    <col min="51" max="51" width="13.1640625" customWidth="1"/>
    <col min="52" max="52" width="14.1640625" customWidth="1"/>
    <col min="53" max="53" width="11.6640625" customWidth="1"/>
    <col min="54" max="54" width="14.1640625" customWidth="1"/>
    <col min="55" max="55" width="14.6640625" customWidth="1"/>
    <col min="56" max="56" width="12.6640625" bestFit="1" customWidth="1"/>
    <col min="57" max="57" width="12.6640625" customWidth="1"/>
    <col min="58" max="58" width="12.83203125" bestFit="1" customWidth="1"/>
    <col min="59" max="61" width="12.6640625" bestFit="1" customWidth="1"/>
    <col min="62" max="62" width="21.1640625" bestFit="1" customWidth="1"/>
    <col min="63" max="63" width="10.83203125" bestFit="1" customWidth="1"/>
    <col min="64" max="64" width="19" bestFit="1" customWidth="1"/>
    <col min="65" max="65" width="10.1640625" bestFit="1" customWidth="1"/>
    <col min="66" max="66" width="37.1640625" hidden="1" customWidth="1"/>
    <col min="67" max="67" width="9.6640625" hidden="1" customWidth="1"/>
    <col min="68" max="68" width="11.1640625" hidden="1" customWidth="1"/>
    <col min="69" max="69" width="10.1640625" hidden="1" customWidth="1"/>
    <col min="70" max="70" width="11.1640625" hidden="1" customWidth="1"/>
    <col min="71" max="71" width="19" hidden="1" customWidth="1"/>
    <col min="72" max="72" width="10.1640625" hidden="1" customWidth="1"/>
    <col min="73" max="73" width="14.1640625" hidden="1" customWidth="1"/>
    <col min="74" max="74" width="15.1640625" hidden="1" customWidth="1"/>
    <col min="75" max="16384" width="9.1640625" hidden="1"/>
  </cols>
  <sheetData>
    <row r="1" spans="2:14" s="1552" customFormat="1" ht="27.75" x14ac:dyDescent="0.45">
      <c r="B1" s="2049" t="s">
        <v>141</v>
      </c>
      <c r="C1" s="2049"/>
      <c r="D1" s="2049"/>
      <c r="E1" s="2049"/>
      <c r="F1" s="2049"/>
      <c r="G1" s="2049"/>
      <c r="H1" s="2049"/>
      <c r="I1" s="2049"/>
      <c r="J1" s="2049"/>
      <c r="K1" s="2049"/>
      <c r="L1" s="2049"/>
      <c r="M1" s="2049"/>
      <c r="N1" s="2049"/>
    </row>
    <row r="3" spans="2:14" ht="18.75" thickBot="1" x14ac:dyDescent="0.4">
      <c r="B3" s="1987" t="s">
        <v>142</v>
      </c>
      <c r="C3" s="2"/>
      <c r="D3" s="2"/>
      <c r="E3" s="2"/>
      <c r="F3" s="2"/>
      <c r="G3" s="2"/>
      <c r="H3" s="2"/>
      <c r="I3" s="2"/>
      <c r="J3" s="2"/>
      <c r="K3" s="2"/>
      <c r="L3" s="2"/>
      <c r="M3" s="2"/>
      <c r="N3" s="2"/>
    </row>
    <row r="4" spans="2:14" ht="14.25" thickTop="1" x14ac:dyDescent="0.3">
      <c r="B4" s="1982" t="s">
        <v>143</v>
      </c>
    </row>
    <row r="5" spans="2:14" x14ac:dyDescent="0.3">
      <c r="B5" s="63" t="s">
        <v>144</v>
      </c>
    </row>
    <row r="21" spans="2:14" ht="14.25" thickBot="1" x14ac:dyDescent="0.35">
      <c r="B21" s="1510"/>
      <c r="C21" s="1510"/>
      <c r="D21" s="1510"/>
      <c r="E21" s="1510"/>
      <c r="F21" s="1510"/>
      <c r="G21" s="1510"/>
      <c r="H21" s="1510"/>
      <c r="I21" s="1510"/>
      <c r="J21" s="1510"/>
      <c r="K21" s="1510"/>
      <c r="L21" s="1510"/>
      <c r="M21" s="1510"/>
      <c r="N21" s="1510"/>
    </row>
    <row r="22" spans="2:14" ht="24" customHeight="1" thickBot="1" x14ac:dyDescent="0.4">
      <c r="B22" s="1987" t="s">
        <v>145</v>
      </c>
      <c r="C22" s="2"/>
      <c r="D22" s="2"/>
      <c r="E22" s="2"/>
      <c r="F22" s="2"/>
      <c r="G22" s="2"/>
      <c r="H22" s="2"/>
      <c r="I22" s="2"/>
      <c r="J22" s="2"/>
      <c r="K22" s="2"/>
      <c r="L22" s="2"/>
      <c r="M22" s="2"/>
      <c r="N22" s="2"/>
    </row>
    <row r="23" spans="2:14" ht="27" customHeight="1" thickTop="1" x14ac:dyDescent="0.3">
      <c r="B23" s="5" t="s">
        <v>146</v>
      </c>
      <c r="C23" s="5"/>
      <c r="D23" s="5"/>
      <c r="E23" s="5"/>
      <c r="F23" s="5"/>
      <c r="G23" s="5"/>
      <c r="H23" s="5"/>
      <c r="I23" s="5"/>
      <c r="J23" s="5"/>
      <c r="K23" s="5"/>
      <c r="L23" s="5"/>
      <c r="M23" s="5"/>
      <c r="N23" s="5"/>
    </row>
    <row r="26" spans="2:14" x14ac:dyDescent="0.3">
      <c r="B26" s="9"/>
      <c r="C26" s="9" t="str">
        <f t="shared" ref="C26:I26" si="0">C527</f>
        <v>Baseline</v>
      </c>
      <c r="D26" s="9" t="str">
        <f t="shared" si="0"/>
        <v>EEO</v>
      </c>
      <c r="E26" s="9" t="str">
        <f t="shared" si="0"/>
        <v>VA</v>
      </c>
      <c r="F26" s="9" t="str">
        <f t="shared" si="0"/>
        <v>Renowave</v>
      </c>
      <c r="G26" s="9" t="str">
        <f t="shared" si="0"/>
        <v>EET</v>
      </c>
      <c r="H26" s="9" t="str">
        <f t="shared" si="0"/>
        <v>CEER1</v>
      </c>
      <c r="I26" s="9" t="str">
        <f t="shared" si="0"/>
        <v>CEER2</v>
      </c>
    </row>
    <row r="27" spans="2:14" x14ac:dyDescent="0.3">
      <c r="B27" s="475" t="s">
        <v>147</v>
      </c>
      <c r="C27" s="500">
        <f t="shared" ref="C27:I27" si="1">SUM(_xlfn.ANCHORARRAY(C541))</f>
        <v>330.79024391786061</v>
      </c>
      <c r="D27" s="500">
        <f t="shared" si="1"/>
        <v>2887.7470318077631</v>
      </c>
      <c r="E27" s="500">
        <f t="shared" si="1"/>
        <v>3210.4099267101628</v>
      </c>
      <c r="F27" s="500">
        <f t="shared" si="1"/>
        <v>4286.9620220185643</v>
      </c>
      <c r="G27" s="500">
        <f t="shared" si="1"/>
        <v>5950.6189461737695</v>
      </c>
      <c r="H27" s="500">
        <f t="shared" si="1"/>
        <v>4394.5010065043252</v>
      </c>
      <c r="I27" s="500">
        <f t="shared" si="1"/>
        <v>5748.80906657377</v>
      </c>
    </row>
    <row r="28" spans="2:14" x14ac:dyDescent="0.3">
      <c r="B28" s="475" t="s">
        <v>148</v>
      </c>
      <c r="C28" s="493">
        <f t="shared" ref="C28:I28" si="2">(SUM(_xlfn.ANCHORARRAY(C528))-SUM(_xlfn.ANCHORARRAY(C541)))</f>
        <v>1257.1284993295512</v>
      </c>
      <c r="D28" s="493">
        <f t="shared" si="2"/>
        <v>7154.1905420865496</v>
      </c>
      <c r="E28" s="493">
        <f t="shared" si="2"/>
        <v>7354.4993475788142</v>
      </c>
      <c r="F28" s="493">
        <f t="shared" si="2"/>
        <v>13564.055154874291</v>
      </c>
      <c r="G28" s="493">
        <f t="shared" si="2"/>
        <v>6643.025232121211</v>
      </c>
      <c r="H28" s="493">
        <f t="shared" si="2"/>
        <v>8063.5701569349467</v>
      </c>
      <c r="I28" s="493">
        <f t="shared" si="2"/>
        <v>11532.279966468559</v>
      </c>
    </row>
    <row r="29" spans="2:14" x14ac:dyDescent="0.3">
      <c r="B29" s="475" t="s">
        <v>149</v>
      </c>
      <c r="C29" s="541">
        <f t="shared" ref="C29:I29" si="3">C60</f>
        <v>5.4616173611366765</v>
      </c>
      <c r="D29" s="541">
        <f t="shared" si="3"/>
        <v>14.527378974475564</v>
      </c>
      <c r="E29" s="541">
        <f t="shared" si="3"/>
        <v>13.687783241666946</v>
      </c>
      <c r="F29" s="541">
        <f t="shared" si="3"/>
        <v>17.37128871838868</v>
      </c>
      <c r="G29" s="541">
        <f t="shared" si="3"/>
        <v>17.402733830709998</v>
      </c>
      <c r="H29" s="541">
        <f t="shared" si="3"/>
        <v>16.381110880025769</v>
      </c>
      <c r="I29" s="541">
        <f t="shared" si="3"/>
        <v>20.730439979513005</v>
      </c>
    </row>
    <row r="30" spans="2:14" x14ac:dyDescent="0.3">
      <c r="B30" s="2038" t="s">
        <v>150</v>
      </c>
    </row>
    <row r="50" spans="2:14" ht="14.25" thickBot="1" x14ac:dyDescent="0.35">
      <c r="B50" s="1510"/>
      <c r="C50" s="1510"/>
      <c r="D50" s="1510"/>
      <c r="E50" s="1510"/>
      <c r="F50" s="1510"/>
      <c r="G50" s="1510"/>
      <c r="H50" s="1510"/>
      <c r="I50" s="1510"/>
      <c r="J50" s="1510"/>
      <c r="K50" s="1510"/>
      <c r="L50" s="1510"/>
      <c r="M50" s="1510"/>
      <c r="N50" s="1510"/>
    </row>
    <row r="51" spans="2:14" ht="18.75" thickBot="1" x14ac:dyDescent="0.4">
      <c r="B51" s="1987" t="s">
        <v>151</v>
      </c>
      <c r="C51" s="2"/>
      <c r="D51" s="2"/>
      <c r="E51" s="2"/>
      <c r="F51" s="2"/>
      <c r="G51" s="2"/>
      <c r="H51" s="2"/>
      <c r="I51" s="2"/>
      <c r="J51" s="2"/>
      <c r="K51" s="2"/>
      <c r="L51" s="2"/>
      <c r="M51" s="2"/>
      <c r="N51" s="2"/>
    </row>
    <row r="52" spans="2:14" ht="24.6" customHeight="1" thickTop="1" x14ac:dyDescent="0.3">
      <c r="B52" s="5" t="s">
        <v>47</v>
      </c>
      <c r="C52" s="5"/>
      <c r="D52" s="5"/>
      <c r="E52" s="5"/>
      <c r="F52" s="5"/>
      <c r="G52" s="5"/>
      <c r="H52" s="5"/>
      <c r="I52" s="5"/>
      <c r="J52" s="5"/>
      <c r="K52" s="5"/>
      <c r="L52" s="5"/>
      <c r="M52" s="5"/>
      <c r="N52" s="5"/>
    </row>
    <row r="54" spans="2:14" x14ac:dyDescent="0.3">
      <c r="B54" s="9"/>
      <c r="C54" s="542" t="str">
        <f>'EE Measures'!IF6</f>
        <v>Baseline</v>
      </c>
      <c r="D54" s="542" t="str">
        <f>'EE Measures'!IG6</f>
        <v>EEO</v>
      </c>
      <c r="E54" s="542" t="str">
        <f>'EE Measures'!IH6</f>
        <v>VA</v>
      </c>
      <c r="F54" s="542" t="str">
        <f>'EE Measures'!II6</f>
        <v>Renowave</v>
      </c>
      <c r="G54" s="542" t="str">
        <f>'EE Measures'!IJ6</f>
        <v>EET</v>
      </c>
      <c r="H54" s="542" t="str">
        <f>'EE Measures'!IK6</f>
        <v>CEER1</v>
      </c>
      <c r="I54" s="542" t="str">
        <f>'EE Measures'!IL6</f>
        <v>CEER2</v>
      </c>
    </row>
    <row r="55" spans="2:14" x14ac:dyDescent="0.3">
      <c r="B55" s="540" t="s">
        <v>50</v>
      </c>
      <c r="C55" s="494" cm="1">
        <f t="array" ref="C55:C59">-'Pathway Analysis'!$Z$16:$Z$20/1000</f>
        <v>2.1865367716326678</v>
      </c>
      <c r="D55" s="501" cm="1">
        <f t="array" ref="D55:D59">-'Pathway Analysis'!$Z$22:$Z$26/1000</f>
        <v>3.3118980488134642</v>
      </c>
      <c r="E55" s="494" cm="1">
        <f t="array" ref="E55:E59">-'Pathway Analysis'!$Z$28:$Z$32/1000</f>
        <v>3.9300311087334685</v>
      </c>
      <c r="F55" s="501" cm="1">
        <f t="array" ref="F55:F59">-'Pathway Analysis'!$Z$34:$Z$38/1000</f>
        <v>2.6749923899522252</v>
      </c>
      <c r="G55" s="494" cm="1">
        <f t="array" ref="G55:G59">-'Pathway Analysis'!$Z$40:$Z$44/1000</f>
        <v>2.6749923899522252</v>
      </c>
      <c r="H55" s="501" cm="1">
        <f t="array" ref="H55:H59">-'Pathway Analysis'!$Z$46:$Z$50/1000</f>
        <v>3.1860477902600159</v>
      </c>
      <c r="I55" s="494" cm="1">
        <f t="array" ref="I55:I59">-'Pathway Analysis'!$Z$52:$Z$56/1000</f>
        <v>3.7665165557597846</v>
      </c>
    </row>
    <row r="56" spans="2:14" x14ac:dyDescent="0.3">
      <c r="B56" s="540" t="s">
        <v>51</v>
      </c>
      <c r="C56" s="494">
        <v>1.2177262273464082</v>
      </c>
      <c r="D56" s="501">
        <v>4.8309049239447255</v>
      </c>
      <c r="E56" s="494">
        <v>4.5664765715937845</v>
      </c>
      <c r="F56" s="501">
        <v>8.8692653420667131</v>
      </c>
      <c r="G56" s="494">
        <v>4.1599360800979905</v>
      </c>
      <c r="H56" s="501">
        <v>5.0868484007084023</v>
      </c>
      <c r="I56" s="494">
        <v>6.7536644158411621</v>
      </c>
    </row>
    <row r="57" spans="2:14" x14ac:dyDescent="0.3">
      <c r="B57" s="540" t="s">
        <v>52</v>
      </c>
      <c r="C57" s="494">
        <v>0.80183992043336738</v>
      </c>
      <c r="D57" s="501">
        <v>3.1090963974119177</v>
      </c>
      <c r="E57" s="494">
        <v>1.9157959570342364</v>
      </c>
      <c r="F57" s="501">
        <v>2.5515513820642841</v>
      </c>
      <c r="G57" s="494">
        <v>1.9157959570342364</v>
      </c>
      <c r="H57" s="501">
        <v>2.0792236512488258</v>
      </c>
      <c r="I57" s="494">
        <v>2.9160273820642848</v>
      </c>
    </row>
    <row r="58" spans="2:14" x14ac:dyDescent="0.3">
      <c r="B58" s="540" t="s">
        <v>53</v>
      </c>
      <c r="C58" s="494">
        <v>1.1451391013546304</v>
      </c>
      <c r="D58" s="501">
        <v>3.0971042639358553</v>
      </c>
      <c r="E58" s="494">
        <v>3.0971042639358553</v>
      </c>
      <c r="F58" s="501">
        <v>3.0971042639358553</v>
      </c>
      <c r="G58" s="494">
        <v>8.473634063255945</v>
      </c>
      <c r="H58" s="501">
        <v>5.8506156974389256</v>
      </c>
      <c r="I58" s="494">
        <v>7.1158562854781682</v>
      </c>
    </row>
    <row r="59" spans="2:14" x14ac:dyDescent="0.3">
      <c r="B59" s="540" t="s">
        <v>54</v>
      </c>
      <c r="C59" s="494">
        <v>0.11037534036960216</v>
      </c>
      <c r="D59" s="501">
        <v>0.17837534036960215</v>
      </c>
      <c r="E59" s="494">
        <v>0.17837534036960215</v>
      </c>
      <c r="F59" s="501">
        <v>0.17837534036960215</v>
      </c>
      <c r="G59" s="494">
        <v>0.17837534036960215</v>
      </c>
      <c r="H59" s="501">
        <v>0.17837534036960215</v>
      </c>
      <c r="I59" s="494">
        <v>0.17837534036960215</v>
      </c>
    </row>
    <row r="60" spans="2:14" x14ac:dyDescent="0.3">
      <c r="B60" s="59" t="s">
        <v>55</v>
      </c>
      <c r="C60" s="877">
        <f>SUM(C55:C59)</f>
        <v>5.4616173611366765</v>
      </c>
      <c r="D60" s="877">
        <f t="shared" ref="D60:I60" si="4">SUM(D55:D59)</f>
        <v>14.527378974475564</v>
      </c>
      <c r="E60" s="877">
        <f t="shared" si="4"/>
        <v>13.687783241666946</v>
      </c>
      <c r="F60" s="877">
        <f t="shared" si="4"/>
        <v>17.37128871838868</v>
      </c>
      <c r="G60" s="877">
        <f t="shared" si="4"/>
        <v>17.402733830709998</v>
      </c>
      <c r="H60" s="877">
        <f t="shared" si="4"/>
        <v>16.381110880025769</v>
      </c>
      <c r="I60" s="877">
        <f t="shared" si="4"/>
        <v>20.730439979513005</v>
      </c>
    </row>
    <row r="61" spans="2:14" x14ac:dyDescent="0.3">
      <c r="C61" t="e">
        <f>TEXT(C60,"0.0"&amp;" TWh")</f>
        <v>#VALUE!</v>
      </c>
      <c r="D61" t="e">
        <f t="shared" ref="D61:I61" si="5">TEXT(D60,"0.0"&amp;" TWh")</f>
        <v>#VALUE!</v>
      </c>
      <c r="E61" t="e">
        <f t="shared" si="5"/>
        <v>#VALUE!</v>
      </c>
      <c r="F61" t="e">
        <f t="shared" si="5"/>
        <v>#VALUE!</v>
      </c>
      <c r="G61" t="e">
        <f t="shared" si="5"/>
        <v>#VALUE!</v>
      </c>
      <c r="H61" t="e">
        <f t="shared" si="5"/>
        <v>#VALUE!</v>
      </c>
      <c r="I61" t="e">
        <f t="shared" si="5"/>
        <v>#VALUE!</v>
      </c>
    </row>
    <row r="62" spans="2:14" x14ac:dyDescent="0.3">
      <c r="C62" t="str" cm="1">
        <f t="array" ref="C62:I62">C54:I54</f>
        <v>Baseline</v>
      </c>
      <c r="D62" t="str">
        <v>EEO</v>
      </c>
      <c r="E62" t="str">
        <v>VA</v>
      </c>
      <c r="F62" t="str">
        <v>Renowave</v>
      </c>
      <c r="G62" t="str">
        <v>EET</v>
      </c>
      <c r="H62" t="str">
        <v>CEER1</v>
      </c>
      <c r="I62" t="str">
        <v>CEER2</v>
      </c>
    </row>
    <row r="63" spans="2:14" x14ac:dyDescent="0.3">
      <c r="B63" t="str">
        <f>B55</f>
        <v>Industry</v>
      </c>
      <c r="C63" s="534">
        <f t="shared" ref="C63:I67" si="6">C55/C$60</f>
        <v>0.40034601969582212</v>
      </c>
      <c r="D63" s="534">
        <f t="shared" si="6"/>
        <v>0.2279762959741348</v>
      </c>
      <c r="E63" s="534">
        <f t="shared" si="6"/>
        <v>0.28711961895846444</v>
      </c>
      <c r="F63" s="534">
        <f t="shared" si="6"/>
        <v>0.15398928849306187</v>
      </c>
      <c r="G63" s="534">
        <f t="shared" si="6"/>
        <v>0.15371104425166576</v>
      </c>
      <c r="H63" s="534">
        <f t="shared" si="6"/>
        <v>0.19449522157529062</v>
      </c>
      <c r="I63" s="534">
        <f t="shared" si="6"/>
        <v>0.18169014065702752</v>
      </c>
    </row>
    <row r="64" spans="2:14" x14ac:dyDescent="0.3">
      <c r="B64" t="str">
        <f t="shared" ref="B64:B67" si="7">B56</f>
        <v>Households</v>
      </c>
      <c r="C64" s="534">
        <f t="shared" si="6"/>
        <v>0.22296073613860309</v>
      </c>
      <c r="D64" s="534">
        <f t="shared" si="6"/>
        <v>0.33253795694547306</v>
      </c>
      <c r="E64" s="534">
        <f t="shared" si="6"/>
        <v>0.33361695542438052</v>
      </c>
      <c r="F64" s="534">
        <f t="shared" si="6"/>
        <v>0.51057037194241084</v>
      </c>
      <c r="G64" s="534">
        <f t="shared" si="6"/>
        <v>0.23903922915588677</v>
      </c>
      <c r="H64" s="534">
        <f t="shared" si="6"/>
        <v>0.31053134539923216</v>
      </c>
      <c r="I64" s="534">
        <f t="shared" si="6"/>
        <v>0.32578490483151906</v>
      </c>
    </row>
    <row r="65" spans="2:9" x14ac:dyDescent="0.3">
      <c r="B65" t="str">
        <f t="shared" si="7"/>
        <v>Services</v>
      </c>
      <c r="C65" s="534">
        <f t="shared" si="6"/>
        <v>0.14681363915001319</v>
      </c>
      <c r="D65" s="534">
        <f t="shared" si="6"/>
        <v>0.21401633445885621</v>
      </c>
      <c r="E65" s="534">
        <f t="shared" si="6"/>
        <v>0.13996393157384074</v>
      </c>
      <c r="F65" s="534">
        <f t="shared" si="6"/>
        <v>0.14688325221163903</v>
      </c>
      <c r="G65" s="534">
        <f t="shared" si="6"/>
        <v>0.11008591958428382</v>
      </c>
      <c r="H65" s="534">
        <f t="shared" si="6"/>
        <v>0.12692812266988054</v>
      </c>
      <c r="I65" s="534">
        <f t="shared" si="6"/>
        <v>0.14066403727784207</v>
      </c>
    </row>
    <row r="66" spans="2:9" x14ac:dyDescent="0.3">
      <c r="B66" t="str">
        <f t="shared" si="7"/>
        <v>Transport</v>
      </c>
      <c r="C66" s="534">
        <f t="shared" si="6"/>
        <v>0.20967032760352569</v>
      </c>
      <c r="D66" s="534">
        <f t="shared" si="6"/>
        <v>0.21319084945587441</v>
      </c>
      <c r="E66" s="534">
        <f t="shared" si="6"/>
        <v>0.22626777537709453</v>
      </c>
      <c r="F66" s="534">
        <f t="shared" si="6"/>
        <v>0.17828868739354736</v>
      </c>
      <c r="G66" s="534">
        <f t="shared" si="6"/>
        <v>0.48691396108712631</v>
      </c>
      <c r="H66" s="534">
        <f t="shared" si="6"/>
        <v>0.35715622342638842</v>
      </c>
      <c r="I66" s="534">
        <f t="shared" si="6"/>
        <v>0.34325640423022669</v>
      </c>
    </row>
    <row r="67" spans="2:9" x14ac:dyDescent="0.3">
      <c r="B67" t="str">
        <f t="shared" si="7"/>
        <v>Agriculture, fishing and forestry</v>
      </c>
      <c r="C67" s="534">
        <f t="shared" si="6"/>
        <v>2.0209277412035827E-2</v>
      </c>
      <c r="D67" s="534">
        <f t="shared" si="6"/>
        <v>1.2278563165661579E-2</v>
      </c>
      <c r="E67" s="534">
        <f t="shared" si="6"/>
        <v>1.3031718666219832E-2</v>
      </c>
      <c r="F67" s="534">
        <f t="shared" si="6"/>
        <v>1.0268399959340946E-2</v>
      </c>
      <c r="G67" s="534">
        <f t="shared" si="6"/>
        <v>1.0249845921037384E-2</v>
      </c>
      <c r="H67" s="534">
        <f t="shared" si="6"/>
        <v>1.0889086929208402E-2</v>
      </c>
      <c r="I67" s="534">
        <f t="shared" si="6"/>
        <v>8.6045130033845282E-3</v>
      </c>
    </row>
    <row r="68" spans="2:9" x14ac:dyDescent="0.3">
      <c r="C68" s="547">
        <f>C64+C65</f>
        <v>0.36977437528861629</v>
      </c>
      <c r="D68" s="547">
        <f t="shared" ref="D68:I68" si="8">D64+D65</f>
        <v>0.54655429140432932</v>
      </c>
      <c r="E68" s="547">
        <f t="shared" si="8"/>
        <v>0.47358088699822126</v>
      </c>
      <c r="F68" s="547">
        <f t="shared" si="8"/>
        <v>0.65745362415404984</v>
      </c>
      <c r="G68" s="547">
        <f t="shared" si="8"/>
        <v>0.34912514874017059</v>
      </c>
      <c r="H68" s="547">
        <f t="shared" si="8"/>
        <v>0.43745946806911273</v>
      </c>
      <c r="I68" s="547">
        <f t="shared" si="8"/>
        <v>0.46644894210936116</v>
      </c>
    </row>
    <row r="71" spans="2:9" x14ac:dyDescent="0.3">
      <c r="H71" s="2040" t="s">
        <v>152</v>
      </c>
    </row>
    <row r="90" spans="2:14" ht="14.25" thickBot="1" x14ac:dyDescent="0.35">
      <c r="B90" s="1510"/>
      <c r="C90" s="1510"/>
      <c r="D90" s="1510"/>
      <c r="E90" s="1510"/>
      <c r="F90" s="1510"/>
      <c r="G90" s="1510"/>
      <c r="H90" s="1510"/>
      <c r="I90" s="1510"/>
      <c r="J90" s="1510"/>
      <c r="K90" s="1510"/>
      <c r="L90" s="1510"/>
      <c r="M90" s="1510"/>
      <c r="N90" s="1510"/>
    </row>
    <row r="92" spans="2:14" ht="21.75" thickBot="1" x14ac:dyDescent="0.4">
      <c r="B92" s="2055" t="s">
        <v>153</v>
      </c>
      <c r="C92" s="2055"/>
      <c r="D92" s="2055"/>
      <c r="E92" s="2055"/>
      <c r="F92" s="2055"/>
      <c r="G92" s="2055"/>
      <c r="H92" s="2055"/>
      <c r="I92" s="2055"/>
      <c r="J92" s="2055"/>
      <c r="K92" s="2055"/>
      <c r="L92" s="2055"/>
      <c r="M92" s="2055"/>
      <c r="N92" s="2055"/>
    </row>
    <row r="93" spans="2:14" ht="14.25" thickTop="1" x14ac:dyDescent="0.3"/>
    <row r="94" spans="2:14" ht="18" x14ac:dyDescent="0.35">
      <c r="B94" s="2057" t="s">
        <v>154</v>
      </c>
      <c r="C94" s="2057"/>
      <c r="D94" s="2058"/>
      <c r="E94" s="667" t="s">
        <v>39</v>
      </c>
      <c r="F94" s="1459"/>
      <c r="G94" s="1587" t="s">
        <v>155</v>
      </c>
      <c r="H94" s="1459"/>
      <c r="I94" s="1459"/>
      <c r="J94" s="1459"/>
      <c r="K94" s="1459"/>
      <c r="L94" s="1459"/>
      <c r="M94" s="1459"/>
      <c r="N94" s="1459"/>
    </row>
    <row r="95" spans="2:14" x14ac:dyDescent="0.3">
      <c r="B95" s="1459"/>
      <c r="C95" s="1459"/>
      <c r="D95" s="1459"/>
      <c r="E95" s="1459"/>
      <c r="F95" s="1459"/>
      <c r="G95" s="1459"/>
      <c r="H95" s="1459"/>
      <c r="I95" s="1459"/>
      <c r="J95" s="1459"/>
      <c r="K95" s="1459"/>
      <c r="L95" s="1459"/>
      <c r="M95" s="1459"/>
      <c r="N95" s="1459"/>
    </row>
    <row r="96" spans="2:14" ht="18.75" thickBot="1" x14ac:dyDescent="0.4">
      <c r="B96" s="1987" t="s">
        <v>156</v>
      </c>
      <c r="C96" s="2"/>
      <c r="D96" s="2"/>
      <c r="E96" s="2"/>
      <c r="F96" s="2"/>
      <c r="G96" s="2"/>
      <c r="H96" s="2"/>
      <c r="I96" s="2"/>
      <c r="J96" s="2"/>
      <c r="K96" s="2"/>
      <c r="L96" s="2"/>
      <c r="M96" s="2"/>
      <c r="N96" s="2"/>
    </row>
    <row r="97" spans="2:23" ht="15.75" thickTop="1" x14ac:dyDescent="0.3">
      <c r="B97" s="5" t="s">
        <v>157</v>
      </c>
      <c r="C97" s="5"/>
      <c r="D97" s="5"/>
      <c r="E97" s="5"/>
      <c r="F97" s="5"/>
      <c r="G97" s="5"/>
      <c r="H97" s="5"/>
    </row>
    <row r="98" spans="2:23" x14ac:dyDescent="0.3">
      <c r="B98" s="63" t="s">
        <v>158</v>
      </c>
    </row>
    <row r="99" spans="2:23" ht="15" x14ac:dyDescent="0.3">
      <c r="B99" s="878" t="s">
        <v>159</v>
      </c>
      <c r="C99" s="878" t="s">
        <v>13</v>
      </c>
      <c r="D99" s="878" t="str">
        <f>E94</f>
        <v>CEER1</v>
      </c>
      <c r="E99" s="878" t="s">
        <v>160</v>
      </c>
      <c r="F99" s="878" t="s">
        <v>61</v>
      </c>
    </row>
    <row r="100" spans="2:23" x14ac:dyDescent="0.3">
      <c r="B100" s="891" t="s">
        <v>161</v>
      </c>
      <c r="C100" s="884">
        <f>_xlfn.XLOOKUP(C99,C368:I368,C378:I378)</f>
        <v>5.7239419582160627E-4</v>
      </c>
      <c r="D100" s="884">
        <f>_xlfn.XLOOKUP(E94,C368:I368,C378:I378)</f>
        <v>1.3215109740493398E-2</v>
      </c>
      <c r="E100" s="884">
        <f>F100</f>
        <v>1.9E-2</v>
      </c>
      <c r="F100" s="885">
        <v>1.9E-2</v>
      </c>
      <c r="G100" s="882"/>
    </row>
    <row r="101" spans="2:23" x14ac:dyDescent="0.3">
      <c r="B101" s="891" t="s">
        <v>162</v>
      </c>
      <c r="C101" s="884">
        <f>_xlfn.XLOOKUP(C99,G904:M904,G908:M908)</f>
        <v>1.4396817674703426E-3</v>
      </c>
      <c r="D101" s="884">
        <f>_xlfn.XLOOKUP(E94,G904:M904,G908:M908)</f>
        <v>1.334445651664423E-2</v>
      </c>
      <c r="E101" s="884">
        <f>F101</f>
        <v>1.4999999999999999E-2</v>
      </c>
      <c r="F101" s="885">
        <f>C380</f>
        <v>1.4999999999999999E-2</v>
      </c>
      <c r="G101" s="882"/>
    </row>
    <row r="102" spans="2:23" x14ac:dyDescent="0.3">
      <c r="B102" s="891" t="s">
        <v>163</v>
      </c>
      <c r="C102" s="883">
        <f>_xlfn.XLOOKUP(C99,C305:J305,C312:J312)</f>
        <v>32.800636129512888</v>
      </c>
      <c r="D102" s="883">
        <f>_xlfn.XLOOKUP(E94,C305:J305,C312:J312)</f>
        <v>29.898501679655404</v>
      </c>
      <c r="E102" s="883">
        <f>E905</f>
        <v>30</v>
      </c>
      <c r="F102" s="888">
        <f>F905</f>
        <v>33.333333333333336</v>
      </c>
    </row>
    <row r="103" spans="2:23" x14ac:dyDescent="0.3">
      <c r="B103" s="891" t="s">
        <v>164</v>
      </c>
      <c r="C103" s="883" cm="1">
        <f t="array" ref="C103:D103">_xlfn.XLOOKUP(C99:D99,G904:M904,G909:M909)</f>
        <v>51.486996461648047</v>
      </c>
      <c r="D103" s="883">
        <v>47.092397632414226</v>
      </c>
      <c r="E103" s="883">
        <f>E909</f>
        <v>45.7</v>
      </c>
      <c r="F103" s="888">
        <f>F909</f>
        <v>63.888888888888893</v>
      </c>
      <c r="H103" s="485" t="s">
        <v>165</v>
      </c>
    </row>
    <row r="104" spans="2:23" x14ac:dyDescent="0.3">
      <c r="B104" s="891" t="s">
        <v>166</v>
      </c>
      <c r="C104" s="910" cm="1">
        <f t="array" ref="C104:D104">_xlfn.XLOOKUP(C99:D99,G904:M904,_xlfn.ANCHORARRAY(G912))</f>
        <v>0.11572443884643135</v>
      </c>
      <c r="D104" s="910">
        <v>0.5869906349824735</v>
      </c>
      <c r="E104" s="1387"/>
      <c r="F104" s="911">
        <f>F912</f>
        <v>0.29618499999999998</v>
      </c>
      <c r="H104" s="485"/>
    </row>
    <row r="105" spans="2:23" x14ac:dyDescent="0.3">
      <c r="B105" s="891" t="s">
        <v>167</v>
      </c>
      <c r="C105" s="889">
        <f>_xlfn.XLOOKUP(C99,C428:I428,C439:I439)</f>
        <v>313.43335631074785</v>
      </c>
      <c r="D105" s="889">
        <f>_xlfn.XLOOKUP(E94,C428:I428,C439:I439)</f>
        <v>646.53283453549773</v>
      </c>
      <c r="E105" s="1388"/>
      <c r="F105" s="890">
        <v>460</v>
      </c>
    </row>
    <row r="106" spans="2:23" x14ac:dyDescent="0.3">
      <c r="B106" s="891" t="s">
        <v>168</v>
      </c>
      <c r="C106" s="883">
        <f>_xlfn.XLOOKUP(C99,C455:J455,C456:J456)</f>
        <v>10.069707948393493</v>
      </c>
      <c r="D106" s="883">
        <f>_xlfn.XLOOKUP(E94,C455:J455,C456:J456)</f>
        <v>8.9837115086772066</v>
      </c>
      <c r="E106" s="1387"/>
      <c r="F106" s="888">
        <v>8.3000000000000007</v>
      </c>
    </row>
    <row r="109" spans="2:23" ht="18.75" thickBot="1" x14ac:dyDescent="0.4">
      <c r="B109" s="1987" t="s">
        <v>169</v>
      </c>
      <c r="C109" s="2"/>
      <c r="D109" s="2"/>
      <c r="E109" s="2"/>
      <c r="F109" s="2"/>
      <c r="G109" s="2"/>
      <c r="H109" s="2"/>
      <c r="I109" s="2"/>
      <c r="J109" s="2"/>
      <c r="K109" s="2"/>
      <c r="L109" s="2"/>
      <c r="M109" s="2"/>
      <c r="N109" s="2"/>
      <c r="O109" s="2"/>
      <c r="P109" s="2"/>
      <c r="Q109" s="2"/>
      <c r="R109" s="2"/>
      <c r="S109" s="2"/>
      <c r="T109" s="2"/>
      <c r="U109" s="2"/>
    </row>
    <row r="110" spans="2:23" ht="14.25" thickTop="1" x14ac:dyDescent="0.3">
      <c r="B110" s="854" t="s">
        <v>63</v>
      </c>
      <c r="J110" s="63" t="s">
        <v>170</v>
      </c>
    </row>
    <row r="111" spans="2:23" ht="40.5" x14ac:dyDescent="0.3">
      <c r="B111" s="878"/>
      <c r="C111" s="1588" t="str" cm="1">
        <f t="array" ref="C111:G111">TRANSPOSE(B55:B59)</f>
        <v>Industry</v>
      </c>
      <c r="D111" s="1588" t="str">
        <v>Households</v>
      </c>
      <c r="E111" s="1588" t="str">
        <v>Services</v>
      </c>
      <c r="F111" s="1588" t="str">
        <v>Transport</v>
      </c>
      <c r="G111" s="1588" t="str">
        <v>Agriculture, fishing and forestry</v>
      </c>
      <c r="H111" s="1588" t="s">
        <v>171</v>
      </c>
      <c r="W111" s="63" t="s">
        <v>172</v>
      </c>
    </row>
    <row r="112" spans="2:23" x14ac:dyDescent="0.3">
      <c r="B112" s="475">
        <v>2021</v>
      </c>
      <c r="C112" s="482" cm="1">
        <f t="array" ref="C112:G126">INDEX('Pathway Analysis'!G9:U56, MATCH(E94&amp;_xlfn.ANCHORARRAY(C111),'Pathway Analysis'!C9:C56&amp;'Pathway Analysis'!E9:E56,0),MATCH(B112:B126,'Pathway Analysis'!G8:U8,0))/1000</f>
        <v>4.2928294941331924</v>
      </c>
      <c r="D112" s="482">
        <v>10.505541297169238</v>
      </c>
      <c r="E112" s="482">
        <v>5.337364028055867</v>
      </c>
      <c r="F112" s="482">
        <v>9.6632257318755794</v>
      </c>
      <c r="G112" s="482">
        <v>0.98846632075930985</v>
      </c>
      <c r="H112" s="499">
        <f>SUM(C112:G112)</f>
        <v>30.787426871993187</v>
      </c>
    </row>
    <row r="113" spans="2:9" x14ac:dyDescent="0.3">
      <c r="B113" s="475">
        <v>2022</v>
      </c>
      <c r="C113" s="482">
        <v>4.6858298233046431</v>
      </c>
      <c r="D113" s="482">
        <v>10.518620321098373</v>
      </c>
      <c r="E113" s="482">
        <v>5.3616428499941726</v>
      </c>
      <c r="F113" s="482">
        <v>9.7381741193571365</v>
      </c>
      <c r="G113" s="482">
        <v>0.98838351498080257</v>
      </c>
      <c r="H113" s="499">
        <f>SUM(C113:G113)</f>
        <v>31.292650628735128</v>
      </c>
      <c r="I113" s="854"/>
    </row>
    <row r="114" spans="2:9" x14ac:dyDescent="0.3">
      <c r="B114" s="475">
        <v>2023</v>
      </c>
      <c r="C114" s="482">
        <v>4.7413140790213708</v>
      </c>
      <c r="D114" s="482">
        <v>10.532318330770774</v>
      </c>
      <c r="E114" s="482">
        <v>5.3912699254265437</v>
      </c>
      <c r="F114" s="482">
        <v>9.8165670330763817</v>
      </c>
      <c r="G114" s="482">
        <v>0.98829947534863016</v>
      </c>
      <c r="H114" s="499">
        <f t="shared" ref="H114:H126" si="9">SUM(C114:G114)</f>
        <v>31.469768843643703</v>
      </c>
    </row>
    <row r="115" spans="2:9" x14ac:dyDescent="0.3">
      <c r="B115" s="475">
        <v>2024</v>
      </c>
      <c r="C115" s="482">
        <v>4.7658210928590012</v>
      </c>
      <c r="D115" s="482">
        <v>10.525771482686839</v>
      </c>
      <c r="E115" s="482">
        <v>5.4084641743286257</v>
      </c>
      <c r="F115" s="482">
        <v>9.8128155561982666</v>
      </c>
      <c r="G115" s="482">
        <v>0.97990554667046292</v>
      </c>
      <c r="H115" s="499">
        <f t="shared" si="9"/>
        <v>31.492777852743195</v>
      </c>
    </row>
    <row r="116" spans="2:9" x14ac:dyDescent="0.3">
      <c r="B116" s="475">
        <v>2025</v>
      </c>
      <c r="C116" s="482">
        <v>4.7422640702936834</v>
      </c>
      <c r="D116" s="482">
        <v>10.344196883640956</v>
      </c>
      <c r="E116" s="482">
        <v>5.3718968908204774</v>
      </c>
      <c r="F116" s="482">
        <v>9.6784137566290998</v>
      </c>
      <c r="G116" s="482">
        <v>0.97570819291926925</v>
      </c>
      <c r="H116" s="499">
        <f t="shared" si="9"/>
        <v>31.112479794303489</v>
      </c>
    </row>
    <row r="117" spans="2:9" x14ac:dyDescent="0.3">
      <c r="B117" s="476">
        <v>2026</v>
      </c>
      <c r="C117" s="893">
        <v>4.7355896819257168</v>
      </c>
      <c r="D117" s="893">
        <v>10.180327425224124</v>
      </c>
      <c r="E117" s="893">
        <v>5.3438233219729261</v>
      </c>
      <c r="F117" s="893">
        <v>9.6844626613432414</v>
      </c>
      <c r="G117" s="893">
        <v>0.97562025185425838</v>
      </c>
      <c r="H117" s="499">
        <f t="shared" si="9"/>
        <v>30.919823342320271</v>
      </c>
    </row>
    <row r="118" spans="2:9" x14ac:dyDescent="0.3">
      <c r="B118" s="475">
        <v>2027</v>
      </c>
      <c r="C118" s="482">
        <v>4.7321168257041366</v>
      </c>
      <c r="D118" s="482">
        <v>10.024916528270257</v>
      </c>
      <c r="E118" s="482">
        <v>5.3175536969801298</v>
      </c>
      <c r="F118" s="482">
        <v>9.347483281379299</v>
      </c>
      <c r="G118" s="482">
        <v>0.96873097548195086</v>
      </c>
      <c r="H118" s="499">
        <f t="shared" si="9"/>
        <v>30.390801307815774</v>
      </c>
    </row>
    <row r="119" spans="2:9" x14ac:dyDescent="0.3">
      <c r="B119" s="475">
        <v>2028</v>
      </c>
      <c r="C119" s="482">
        <v>4.7543177633827653</v>
      </c>
      <c r="D119" s="482">
        <v>9.8730514243401899</v>
      </c>
      <c r="E119" s="482">
        <v>5.2926436934639174</v>
      </c>
      <c r="F119" s="482">
        <v>9.3578202736881373</v>
      </c>
      <c r="G119" s="482">
        <v>0.96184035054063721</v>
      </c>
      <c r="H119" s="499">
        <f t="shared" si="9"/>
        <v>30.239673505415645</v>
      </c>
    </row>
    <row r="120" spans="2:9" x14ac:dyDescent="0.3">
      <c r="B120" s="475">
        <v>2029</v>
      </c>
      <c r="C120" s="482">
        <v>4.7554433108845853</v>
      </c>
      <c r="D120" s="482">
        <v>9.7245282484374069</v>
      </c>
      <c r="E120" s="482">
        <v>5.2691001693181763</v>
      </c>
      <c r="F120" s="482">
        <v>9.3688529972698724</v>
      </c>
      <c r="G120" s="482">
        <v>0.95494836355836432</v>
      </c>
      <c r="H120" s="499">
        <f t="shared" si="9"/>
        <v>30.072873089468406</v>
      </c>
    </row>
    <row r="121" spans="2:9" x14ac:dyDescent="0.3">
      <c r="B121" s="475">
        <v>2030</v>
      </c>
      <c r="C121" s="482">
        <v>4.7412116874785575</v>
      </c>
      <c r="D121" s="482">
        <v>9.5793112561452691</v>
      </c>
      <c r="E121" s="482">
        <v>5.2469304332957316</v>
      </c>
      <c r="F121" s="482">
        <v>9.3829933018857972</v>
      </c>
      <c r="G121" s="482">
        <v>0.94805500085004601</v>
      </c>
      <c r="H121" s="499">
        <f t="shared" si="9"/>
        <v>29.898501679655404</v>
      </c>
    </row>
    <row r="122" spans="2:9" x14ac:dyDescent="0.3">
      <c r="B122" s="475">
        <v>2031</v>
      </c>
      <c r="C122" s="482">
        <v>4.7269026389430362</v>
      </c>
      <c r="D122" s="482">
        <v>9.4373658067058894</v>
      </c>
      <c r="E122" s="482">
        <v>5.2261422473359715</v>
      </c>
      <c r="F122" s="482">
        <v>9.4438844433469828</v>
      </c>
      <c r="G122" s="482">
        <v>0.94796024851467919</v>
      </c>
      <c r="H122" s="499">
        <f t="shared" si="9"/>
        <v>29.782255384846561</v>
      </c>
    </row>
    <row r="123" spans="2:9" x14ac:dyDescent="0.3">
      <c r="B123" s="475">
        <v>2032</v>
      </c>
      <c r="C123" s="482">
        <v>4.7125222904912043</v>
      </c>
      <c r="D123" s="482">
        <v>9.298658346533637</v>
      </c>
      <c r="E123" s="482">
        <v>5.206743829068861</v>
      </c>
      <c r="F123" s="482">
        <v>9.505833797962536</v>
      </c>
      <c r="G123" s="482">
        <v>0.94786409243265179</v>
      </c>
      <c r="H123" s="499">
        <f t="shared" si="9"/>
        <v>29.671622356488889</v>
      </c>
    </row>
    <row r="124" spans="2:9" x14ac:dyDescent="0.3">
      <c r="B124" s="475">
        <v>2033</v>
      </c>
      <c r="C124" s="482">
        <v>4.6980731462110317</v>
      </c>
      <c r="D124" s="482">
        <v>9.1631563931556261</v>
      </c>
      <c r="E124" s="482">
        <v>5.1887438544961588</v>
      </c>
      <c r="F124" s="482">
        <v>9.5688519122272115</v>
      </c>
      <c r="G124" s="482">
        <v>0.94776651826313396</v>
      </c>
      <c r="H124" s="499">
        <f t="shared" si="9"/>
        <v>29.566591824353164</v>
      </c>
    </row>
    <row r="125" spans="2:9" x14ac:dyDescent="0.3">
      <c r="B125" s="475">
        <v>2034</v>
      </c>
      <c r="C125" s="482">
        <v>4.6835579763318247</v>
      </c>
      <c r="D125" s="482">
        <v>9.0308285195717151</v>
      </c>
      <c r="E125" s="482">
        <v>5.1721514608507633</v>
      </c>
      <c r="F125" s="482">
        <v>9.632949438083541</v>
      </c>
      <c r="G125" s="482">
        <v>0.94766751144153982</v>
      </c>
      <c r="H125" s="499">
        <f t="shared" si="9"/>
        <v>29.467154906279386</v>
      </c>
    </row>
    <row r="126" spans="2:9" x14ac:dyDescent="0.3">
      <c r="B126" s="475">
        <v>2035</v>
      </c>
      <c r="C126" s="482">
        <v>4.668964621285931</v>
      </c>
      <c r="D126" s="482">
        <v>8.9021570012751852</v>
      </c>
      <c r="E126" s="482">
        <v>5.1566218591695661</v>
      </c>
      <c r="F126" s="482">
        <v>9.698137133988368</v>
      </c>
      <c r="G126" s="482">
        <v>0.94756705717704737</v>
      </c>
      <c r="H126" s="499">
        <f t="shared" si="9"/>
        <v>29.373447672896095</v>
      </c>
    </row>
    <row r="127" spans="2:9" x14ac:dyDescent="0.3">
      <c r="B127" s="475" t="s">
        <v>66</v>
      </c>
      <c r="C127" s="511">
        <f>(C121-C112)/C112</f>
        <v>0.10444910378065281</v>
      </c>
      <c r="D127" s="511">
        <f>(D121-D113)/D113</f>
        <v>-8.929964541728222E-2</v>
      </c>
      <c r="E127" s="511">
        <f>(E121-E113)/E113</f>
        <v>-2.1395012668284252E-2</v>
      </c>
      <c r="F127" s="511">
        <f>(F121-F113)/F113</f>
        <v>-3.6473040337749327E-2</v>
      </c>
      <c r="G127" s="511">
        <f>(G121-G113)/G113</f>
        <v>-4.0802495710928421E-2</v>
      </c>
      <c r="H127" s="480"/>
    </row>
    <row r="128" spans="2:9" x14ac:dyDescent="0.3">
      <c r="B128" s="475" t="s">
        <v>173</v>
      </c>
      <c r="C128" s="501">
        <f t="shared" ref="C128:H128" si="10">C121-C112</f>
        <v>0.44838219334536511</v>
      </c>
      <c r="D128" s="501">
        <f t="shared" si="10"/>
        <v>-0.92623004102396855</v>
      </c>
      <c r="E128" s="501">
        <f t="shared" si="10"/>
        <v>-9.043359476013535E-2</v>
      </c>
      <c r="F128" s="501">
        <f t="shared" si="10"/>
        <v>-0.28023242998978226</v>
      </c>
      <c r="G128" s="501">
        <f t="shared" si="10"/>
        <v>-4.0411319909263832E-2</v>
      </c>
      <c r="H128" s="501">
        <f t="shared" si="10"/>
        <v>-0.88892519233778344</v>
      </c>
    </row>
    <row r="129" spans="2:21" x14ac:dyDescent="0.3">
      <c r="C129" s="854"/>
      <c r="D129" s="854"/>
      <c r="E129" s="854"/>
      <c r="F129" s="854"/>
      <c r="G129" s="854"/>
      <c r="H129" s="854"/>
    </row>
    <row r="130" spans="2:21" ht="18.75" thickBot="1" x14ac:dyDescent="0.4">
      <c r="B130" s="1987" t="s">
        <v>174</v>
      </c>
      <c r="C130" s="1989"/>
      <c r="D130" s="1989"/>
      <c r="E130" s="1989"/>
      <c r="F130" s="1989"/>
      <c r="G130" s="1989"/>
      <c r="H130" s="1989"/>
      <c r="I130" s="2"/>
      <c r="J130" s="2"/>
      <c r="K130" s="2"/>
      <c r="L130" s="2"/>
      <c r="M130" s="2"/>
      <c r="N130" s="2"/>
      <c r="O130" s="2"/>
      <c r="P130" s="2"/>
      <c r="Q130" s="2"/>
      <c r="R130" s="2"/>
      <c r="S130" s="2"/>
      <c r="T130" s="2"/>
      <c r="U130" s="2"/>
    </row>
    <row r="131" spans="2:21" ht="15.75" thickTop="1" x14ac:dyDescent="0.3">
      <c r="B131" s="878"/>
      <c r="C131" s="1588" t="str" cm="1">
        <f t="array" ref="C131:H131">TRANSPOSE(Assumptions!B135:B140)</f>
        <v>Oil products</v>
      </c>
      <c r="D131" s="1588" t="str">
        <v>Gas</v>
      </c>
      <c r="E131" s="1588" t="str">
        <v>Coal</v>
      </c>
      <c r="F131" s="1588" t="str">
        <v>Renewable energy</v>
      </c>
      <c r="G131" s="1588" t="str">
        <v>Heat final</v>
      </c>
      <c r="H131" s="1588" t="str">
        <v>Electricity final</v>
      </c>
    </row>
    <row r="132" spans="2:21" x14ac:dyDescent="0.3">
      <c r="B132" s="475">
        <v>2021</v>
      </c>
      <c r="C132" s="1988" cm="1">
        <f t="array" ref="C132:H146">INDEX('Pathway Analysis'!BO9:CC56,MATCH(E94&amp;_xlfn.ANCHORARRAY(C131),'Pathway Analysis'!BK9:BK56&amp;'Pathway Analysis'!BM9:BM56,0),MATCH(B132:B146,'Pathway Analysis'!BO8:CC8,0))/1000</f>
        <v>9.9925181844488158</v>
      </c>
      <c r="D132" s="1988">
        <v>1.3631916744793882</v>
      </c>
      <c r="E132" s="1988">
        <v>5.600601753607444E-3</v>
      </c>
      <c r="F132" s="1988">
        <v>0.77456660441162262</v>
      </c>
      <c r="G132" s="1988">
        <v>11.750287656771043</v>
      </c>
      <c r="H132" s="1988">
        <v>6.901256647467485</v>
      </c>
      <c r="J132" s="2040" t="s">
        <v>175</v>
      </c>
    </row>
    <row r="133" spans="2:21" x14ac:dyDescent="0.3">
      <c r="B133" s="475">
        <v>2022</v>
      </c>
      <c r="C133" s="1988">
        <v>10.367301701849321</v>
      </c>
      <c r="D133" s="1988">
        <v>1.3112231690929941</v>
      </c>
      <c r="E133" s="1988">
        <v>0.12457047388607956</v>
      </c>
      <c r="F133" s="1988">
        <v>0.8656367416514088</v>
      </c>
      <c r="G133" s="1988">
        <v>11.749437771200757</v>
      </c>
      <c r="H133" s="1988">
        <v>6.8744749572653046</v>
      </c>
    </row>
    <row r="134" spans="2:21" x14ac:dyDescent="0.3">
      <c r="B134" s="475">
        <v>2023</v>
      </c>
      <c r="C134" s="1988">
        <v>10.41057813854057</v>
      </c>
      <c r="D134" s="1988">
        <v>1.325855763496032</v>
      </c>
      <c r="E134" s="1988">
        <v>0.12602824055274622</v>
      </c>
      <c r="F134" s="1988">
        <v>0.87162335247875422</v>
      </c>
      <c r="G134" s="1988">
        <v>11.757792796958078</v>
      </c>
      <c r="H134" s="1988">
        <v>6.9778847527287988</v>
      </c>
    </row>
    <row r="135" spans="2:21" x14ac:dyDescent="0.3">
      <c r="B135" s="475">
        <v>2024</v>
      </c>
      <c r="C135" s="1988">
        <v>10.364867979603671</v>
      </c>
      <c r="D135" s="1988">
        <v>1.3201215596313229</v>
      </c>
      <c r="E135" s="1988">
        <v>0.12781625990547496</v>
      </c>
      <c r="F135" s="1988">
        <v>0.87774500462638017</v>
      </c>
      <c r="G135" s="1988">
        <v>11.743631694802325</v>
      </c>
      <c r="H135" s="1988">
        <v>7.0585896582721457</v>
      </c>
    </row>
    <row r="136" spans="2:21" x14ac:dyDescent="0.3">
      <c r="B136" s="475">
        <v>2025</v>
      </c>
      <c r="C136" s="1988">
        <v>10.206126152124773</v>
      </c>
      <c r="D136" s="1988">
        <v>1.305802561691386</v>
      </c>
      <c r="E136" s="1988">
        <v>0.12942433666190151</v>
      </c>
      <c r="F136" s="1988">
        <v>0.86969570194721713</v>
      </c>
      <c r="G136" s="1988">
        <v>11.519472256305116</v>
      </c>
      <c r="H136" s="1988">
        <v>7.0819459546865291</v>
      </c>
    </row>
    <row r="137" spans="2:21" x14ac:dyDescent="0.3">
      <c r="B137" s="476">
        <v>2026</v>
      </c>
      <c r="C137" s="1988">
        <v>10.184244865376066</v>
      </c>
      <c r="D137" s="1988">
        <v>1.3038119569670081</v>
      </c>
      <c r="E137" s="1988">
        <v>0.13106518852197011</v>
      </c>
      <c r="F137" s="1988">
        <v>0.86809349128932167</v>
      </c>
      <c r="G137" s="1988">
        <v>11.314648427315129</v>
      </c>
      <c r="H137" s="1988">
        <v>7.1179387021271117</v>
      </c>
    </row>
    <row r="138" spans="2:21" x14ac:dyDescent="0.3">
      <c r="B138" s="475">
        <v>2027</v>
      </c>
      <c r="C138" s="1988">
        <v>9.8512123465390431</v>
      </c>
      <c r="D138" s="1988">
        <v>1.2952831032641143</v>
      </c>
      <c r="E138" s="1988">
        <v>0.132718536711736</v>
      </c>
      <c r="F138" s="1988">
        <v>0.84426235304018771</v>
      </c>
      <c r="G138" s="1988">
        <v>11.120075551893958</v>
      </c>
      <c r="H138" s="1988">
        <v>7.1472210357446038</v>
      </c>
    </row>
    <row r="139" spans="2:21" x14ac:dyDescent="0.3">
      <c r="B139" s="475">
        <v>2028</v>
      </c>
      <c r="C139" s="1988">
        <v>9.8341793585634694</v>
      </c>
      <c r="D139" s="1988">
        <v>1.3000204399059365</v>
      </c>
      <c r="E139" s="1988">
        <v>0.13448082017364676</v>
      </c>
      <c r="F139" s="1988">
        <v>0.8442494917252058</v>
      </c>
      <c r="G139" s="1988">
        <v>10.931638732098939</v>
      </c>
      <c r="H139" s="1988">
        <v>7.1950710522459236</v>
      </c>
    </row>
    <row r="140" spans="2:21" x14ac:dyDescent="0.3">
      <c r="B140" s="475">
        <v>2029</v>
      </c>
      <c r="C140" s="1988">
        <v>9.8171704194488942</v>
      </c>
      <c r="D140" s="1988">
        <v>1.2997319384824599</v>
      </c>
      <c r="E140" s="1988">
        <v>0.13620016368955093</v>
      </c>
      <c r="F140" s="1988">
        <v>0.84343486848375548</v>
      </c>
      <c r="G140" s="1988">
        <v>10.744625752537637</v>
      </c>
      <c r="H140" s="1988">
        <v>7.2316689019792149</v>
      </c>
    </row>
    <row r="141" spans="2:21" x14ac:dyDescent="0.3">
      <c r="B141" s="475">
        <v>2030</v>
      </c>
      <c r="C141" s="1988">
        <v>9.8029387693803933</v>
      </c>
      <c r="D141" s="1988">
        <v>1.2958321861478306</v>
      </c>
      <c r="E141" s="1988">
        <v>0.13789557584467665</v>
      </c>
      <c r="F141" s="1988">
        <v>0.84223591467260006</v>
      </c>
      <c r="G141" s="1988">
        <v>10.559554556300641</v>
      </c>
      <c r="H141" s="1988">
        <v>7.2599945603962084</v>
      </c>
    </row>
    <row r="142" spans="2:21" x14ac:dyDescent="0.3">
      <c r="B142" s="475">
        <v>2031</v>
      </c>
      <c r="C142" s="1988">
        <v>9.8373725741305353</v>
      </c>
      <c r="D142" s="1988">
        <v>1.2931030818245333</v>
      </c>
      <c r="E142" s="1988">
        <v>0.13964008776190753</v>
      </c>
      <c r="F142" s="1988">
        <v>0.84438004711116732</v>
      </c>
      <c r="G142" s="1988">
        <v>10.378005837031003</v>
      </c>
      <c r="H142" s="1988">
        <v>7.2896944456694559</v>
      </c>
    </row>
    <row r="143" spans="2:21" x14ac:dyDescent="0.3">
      <c r="B143" s="475">
        <v>2032</v>
      </c>
      <c r="C143" s="1988">
        <v>9.8743194614959897</v>
      </c>
      <c r="D143" s="1988">
        <v>1.2903694578217695</v>
      </c>
      <c r="E143" s="1988">
        <v>0.14141123990573856</v>
      </c>
      <c r="F143" s="1988">
        <v>0.84670259308459117</v>
      </c>
      <c r="G143" s="1988">
        <v>10.199811948029014</v>
      </c>
      <c r="H143" s="1988">
        <v>7.318939026966599</v>
      </c>
    </row>
    <row r="144" spans="2:21" x14ac:dyDescent="0.3">
      <c r="B144" s="475">
        <v>2033</v>
      </c>
      <c r="C144" s="1988">
        <v>9.9137892756240831</v>
      </c>
      <c r="D144" s="1988">
        <v>1.2876319830076668</v>
      </c>
      <c r="E144" s="1988">
        <v>0.14320944326549306</v>
      </c>
      <c r="F144" s="1988">
        <v>0.84920674845844579</v>
      </c>
      <c r="G144" s="1988">
        <v>10.024939476129939</v>
      </c>
      <c r="H144" s="1988">
        <v>7.3477368258436053</v>
      </c>
    </row>
    <row r="145" spans="2:18" x14ac:dyDescent="0.3">
      <c r="B145" s="475">
        <v>2034</v>
      </c>
      <c r="C145" s="1988">
        <v>9.9557926049567111</v>
      </c>
      <c r="D145" s="1988">
        <v>1.2848913899696597</v>
      </c>
      <c r="E145" s="1988">
        <v>0.14503511573789424</v>
      </c>
      <c r="F145" s="1988">
        <v>0.85189577597300958</v>
      </c>
      <c r="G145" s="1988">
        <v>9.8533561583774425</v>
      </c>
      <c r="H145" s="1988">
        <v>7.3760962199213234</v>
      </c>
    </row>
    <row r="146" spans="2:18" x14ac:dyDescent="0.3">
      <c r="B146" s="475">
        <v>2035</v>
      </c>
      <c r="C146" s="1988">
        <v>10.000339213752023</v>
      </c>
      <c r="D146" s="1988">
        <v>1.2821448472645107</v>
      </c>
      <c r="E146" s="1988">
        <v>0.14688863272665836</v>
      </c>
      <c r="F146" s="1988">
        <v>0.85477231883407856</v>
      </c>
      <c r="G146" s="1988">
        <v>9.6853232524196997</v>
      </c>
      <c r="H146" s="1988">
        <v>7.4038820677371513</v>
      </c>
    </row>
    <row r="147" spans="2:18" x14ac:dyDescent="0.3">
      <c r="B147" s="475" t="s">
        <v>66</v>
      </c>
      <c r="C147" s="501">
        <f t="shared" ref="C147:H147" si="11">C141-C132</f>
        <v>-0.18957941506842246</v>
      </c>
      <c r="D147" s="501">
        <f t="shared" si="11"/>
        <v>-6.7359488331557582E-2</v>
      </c>
      <c r="E147" s="501">
        <f t="shared" si="11"/>
        <v>0.13229497409106922</v>
      </c>
      <c r="F147" s="501">
        <f t="shared" si="11"/>
        <v>6.7669310260977444E-2</v>
      </c>
      <c r="G147" s="501">
        <f t="shared" si="11"/>
        <v>-1.1907331004704016</v>
      </c>
      <c r="H147" s="501">
        <f t="shared" si="11"/>
        <v>0.35873791292872337</v>
      </c>
    </row>
    <row r="149" spans="2:18" x14ac:dyDescent="0.3">
      <c r="C149" s="854"/>
      <c r="D149" s="854"/>
      <c r="E149" s="854"/>
      <c r="F149" s="854"/>
      <c r="G149" s="854"/>
      <c r="H149" s="854"/>
    </row>
    <row r="151" spans="2:18" ht="18.75" thickBot="1" x14ac:dyDescent="0.4">
      <c r="B151" s="1987" t="s">
        <v>176</v>
      </c>
      <c r="C151" s="2"/>
      <c r="D151" s="2"/>
      <c r="E151" s="2"/>
      <c r="F151" s="2"/>
      <c r="G151" s="2"/>
      <c r="H151" s="2"/>
      <c r="I151" s="2"/>
      <c r="J151" s="2"/>
      <c r="K151" s="2"/>
      <c r="L151" s="2"/>
      <c r="M151" s="2"/>
      <c r="N151" s="2"/>
      <c r="O151" s="2"/>
      <c r="P151" s="2"/>
      <c r="Q151" s="2"/>
      <c r="R151" s="2"/>
    </row>
    <row r="152" spans="2:18" ht="15.75" thickTop="1" x14ac:dyDescent="0.3">
      <c r="B152" s="5" t="s">
        <v>177</v>
      </c>
      <c r="C152" s="5"/>
      <c r="D152" s="5"/>
      <c r="E152" s="5"/>
      <c r="F152" s="5"/>
    </row>
    <row r="153" spans="2:18" x14ac:dyDescent="0.3">
      <c r="B153" s="63" t="s">
        <v>178</v>
      </c>
    </row>
    <row r="154" spans="2:18" ht="15" x14ac:dyDescent="0.3">
      <c r="B154" s="878"/>
      <c r="C154" s="878" t="s">
        <v>13</v>
      </c>
      <c r="D154" s="900" t="str">
        <f>E94</f>
        <v>CEER1</v>
      </c>
    </row>
    <row r="155" spans="2:18" x14ac:dyDescent="0.3">
      <c r="B155" s="901" t="s">
        <v>179</v>
      </c>
      <c r="C155" s="902" cm="1">
        <f t="array" ref="C155">_xlfn.XLOOKUP(C154,_xlfn.ANCHORARRAY($C$527),$C$538:$I$538)</f>
        <v>1587.9187432474118</v>
      </c>
      <c r="D155" s="903" cm="1">
        <f t="array" ref="D155">_xlfn.XLOOKUP(D154,_xlfn.ANCHORARRAY($C$527),$C$538:$I$538)</f>
        <v>12458.071163439272</v>
      </c>
    </row>
    <row r="156" spans="2:18" x14ac:dyDescent="0.3">
      <c r="B156" s="904" t="s">
        <v>180</v>
      </c>
      <c r="C156" s="905" cm="1">
        <f t="array" ref="C156">_xlfn.XLOOKUP(C154,_xlfn.ANCHORARRAY($C$540),$C$551:$I$551)</f>
        <v>330.79024391786061</v>
      </c>
      <c r="D156" s="906" cm="1">
        <f t="array" ref="D156">_xlfn.XLOOKUP(D154,_xlfn.ANCHORARRAY($C$540),$C$551:$I$551)</f>
        <v>4394.5010065043252</v>
      </c>
      <c r="E156" s="534"/>
      <c r="F156" s="534"/>
    </row>
    <row r="157" spans="2:18" x14ac:dyDescent="0.3">
      <c r="B157" s="904" t="s">
        <v>181</v>
      </c>
      <c r="C157" s="905">
        <f>C155-C156</f>
        <v>1257.1284993295512</v>
      </c>
      <c r="D157" s="906">
        <f>D155-D156</f>
        <v>8063.5701569349467</v>
      </c>
      <c r="E157" s="534"/>
      <c r="F157" s="534"/>
    </row>
    <row r="158" spans="2:18" x14ac:dyDescent="0.3">
      <c r="B158" s="907" t="s">
        <v>182</v>
      </c>
      <c r="C158" s="905">
        <f>_xlfn.XLOOKUP(C154,$C$609:$I$609,$C$610:$I$610)</f>
        <v>119.13999999999999</v>
      </c>
      <c r="D158" s="906">
        <f>_xlfn.XLOOKUP(D154,$C$609:$I$609,$C$610:$I$610)</f>
        <v>4828.1502308059207</v>
      </c>
      <c r="E158" s="534"/>
      <c r="F158" s="534"/>
    </row>
    <row r="159" spans="2:18" x14ac:dyDescent="0.3">
      <c r="B159" s="907" t="s">
        <v>183</v>
      </c>
      <c r="C159" s="905">
        <f>C157-C158</f>
        <v>1137.9884993295514</v>
      </c>
      <c r="D159" s="906">
        <f>D157-D158</f>
        <v>3235.419926129026</v>
      </c>
      <c r="E159" s="534"/>
      <c r="F159" s="534"/>
    </row>
    <row r="160" spans="2:18" x14ac:dyDescent="0.3">
      <c r="B160" s="901" t="s">
        <v>184</v>
      </c>
      <c r="C160" s="902">
        <f>_xlfn.XLOOKUP(C154,$C$553:$I$553,$C$564:$I$564)</f>
        <v>488.89085016731224</v>
      </c>
      <c r="D160" s="903">
        <f>_xlfn.XLOOKUP(D154,$C$553:$I$553,$C$564:$I$564)</f>
        <v>1627.3088981897454</v>
      </c>
    </row>
    <row r="161" spans="2:17" x14ac:dyDescent="0.3">
      <c r="B161" s="904" t="s">
        <v>180</v>
      </c>
      <c r="C161" s="905" cm="1">
        <f t="array" ref="C161">_xlfn.XLOOKUP(C154,_xlfn.ANCHORARRAY($C$567),$C$578:$I$578)</f>
        <v>42.364002126832816</v>
      </c>
      <c r="D161" s="906" cm="1">
        <f t="array" ref="D161">_xlfn.XLOOKUP(D154,_xlfn.ANCHORARRAY($C$567),$C$578:$I$578)</f>
        <v>143.45049800357003</v>
      </c>
      <c r="F161" s="534"/>
    </row>
    <row r="162" spans="2:17" x14ac:dyDescent="0.3">
      <c r="B162" s="904" t="s">
        <v>181</v>
      </c>
      <c r="C162" s="905">
        <f>C160-C161</f>
        <v>446.52684804047942</v>
      </c>
      <c r="D162" s="906">
        <f>D160-D161</f>
        <v>1483.8584001861755</v>
      </c>
      <c r="F162" s="534"/>
    </row>
    <row r="163" spans="2:17" x14ac:dyDescent="0.3">
      <c r="B163" s="907" t="s">
        <v>182</v>
      </c>
      <c r="C163" s="905">
        <f>_xlfn.XLOOKUP(C154,$C$609:$I$609,$C$611:$I$611)</f>
        <v>118.40043368670489</v>
      </c>
      <c r="D163" s="906">
        <f>_xlfn.XLOOKUP(D154,$C$609:$I$609,$C$611:$I$611)</f>
        <v>811.60018614969658</v>
      </c>
      <c r="F163" s="534"/>
    </row>
    <row r="164" spans="2:17" x14ac:dyDescent="0.3">
      <c r="B164" s="907" t="s">
        <v>183</v>
      </c>
      <c r="C164" s="905">
        <f>C162-C163</f>
        <v>328.12641435377452</v>
      </c>
      <c r="D164" s="906">
        <f>D162-D163</f>
        <v>672.25821403647888</v>
      </c>
      <c r="F164" s="534"/>
    </row>
    <row r="165" spans="2:17" x14ac:dyDescent="0.3">
      <c r="B165" s="901" t="s">
        <v>185</v>
      </c>
      <c r="C165" s="902">
        <f t="shared" ref="C165:D169" si="12">C155-C160</f>
        <v>1099.0278930800996</v>
      </c>
      <c r="D165" s="903">
        <f t="shared" si="12"/>
        <v>10830.762265249527</v>
      </c>
    </row>
    <row r="166" spans="2:17" x14ac:dyDescent="0.3">
      <c r="B166" s="904" t="s">
        <v>180</v>
      </c>
      <c r="C166" s="905">
        <f t="shared" si="12"/>
        <v>288.42624179102779</v>
      </c>
      <c r="D166" s="906">
        <f t="shared" si="12"/>
        <v>4251.0505085007553</v>
      </c>
      <c r="E166" s="534"/>
      <c r="F166" s="534"/>
    </row>
    <row r="167" spans="2:17" x14ac:dyDescent="0.3">
      <c r="B167" s="904" t="s">
        <v>181</v>
      </c>
      <c r="C167" s="905">
        <f t="shared" si="12"/>
        <v>810.60165128907181</v>
      </c>
      <c r="D167" s="906">
        <f t="shared" si="12"/>
        <v>6579.7117567487712</v>
      </c>
      <c r="E167" s="534"/>
      <c r="F167" s="534"/>
    </row>
    <row r="168" spans="2:17" x14ac:dyDescent="0.3">
      <c r="B168" s="907" t="s">
        <v>182</v>
      </c>
      <c r="C168" s="905">
        <f t="shared" si="12"/>
        <v>0.73956631329510003</v>
      </c>
      <c r="D168" s="906">
        <f t="shared" si="12"/>
        <v>4016.5500446562241</v>
      </c>
      <c r="E168" s="534"/>
      <c r="F168" s="534"/>
    </row>
    <row r="169" spans="2:17" x14ac:dyDescent="0.3">
      <c r="B169" s="907" t="s">
        <v>183</v>
      </c>
      <c r="C169" s="905">
        <f t="shared" si="12"/>
        <v>809.86208497577684</v>
      </c>
      <c r="D169" s="906">
        <f t="shared" si="12"/>
        <v>2563.1617120925471</v>
      </c>
      <c r="E169" s="534"/>
      <c r="F169" s="534"/>
    </row>
    <row r="174" spans="2:17" ht="18.75" thickBot="1" x14ac:dyDescent="0.4">
      <c r="B174" s="1987" t="s">
        <v>186</v>
      </c>
      <c r="C174" s="2"/>
      <c r="D174" s="2"/>
      <c r="E174" s="2"/>
      <c r="F174" s="2"/>
      <c r="G174" s="2"/>
      <c r="H174" s="2"/>
      <c r="I174" s="2"/>
      <c r="J174" s="2"/>
      <c r="K174" s="2"/>
      <c r="L174" s="2"/>
      <c r="M174" s="2"/>
      <c r="N174" s="2"/>
      <c r="O174" s="2"/>
      <c r="P174" s="2"/>
      <c r="Q174" s="2"/>
    </row>
    <row r="175" spans="2:17" ht="14.25" thickTop="1" x14ac:dyDescent="0.3"/>
    <row r="176" spans="2:17" x14ac:dyDescent="0.3">
      <c r="B176" s="63" t="s">
        <v>187</v>
      </c>
    </row>
    <row r="180" spans="7:26" ht="15" x14ac:dyDescent="0.3">
      <c r="H180" s="5" t="s">
        <v>188</v>
      </c>
      <c r="I180" s="5"/>
      <c r="J180" s="5"/>
      <c r="K180" s="5"/>
      <c r="L180" s="5"/>
      <c r="M180" s="5"/>
      <c r="N180" s="5"/>
      <c r="O180" s="5"/>
      <c r="P180" s="5"/>
      <c r="Q180" s="5"/>
      <c r="R180" s="5"/>
      <c r="S180" s="5"/>
      <c r="T180" s="5"/>
      <c r="U180" s="5"/>
      <c r="V180" s="5"/>
      <c r="W180" s="5"/>
    </row>
    <row r="181" spans="7:26" x14ac:dyDescent="0.3">
      <c r="J181" s="61">
        <f t="shared" ref="J181:R181" si="13">J183-I183</f>
        <v>417825.26509515219</v>
      </c>
      <c r="K181" s="61">
        <f t="shared" si="13"/>
        <v>425963.2908116919</v>
      </c>
      <c r="L181" s="61">
        <f t="shared" si="13"/>
        <v>375600.55339957657</v>
      </c>
      <c r="M181" s="61">
        <f t="shared" si="13"/>
        <v>2832620.5132409362</v>
      </c>
      <c r="N181" s="61">
        <f t="shared" si="13"/>
        <v>2807725.5630471492</v>
      </c>
      <c r="O181" s="61">
        <f t="shared" si="13"/>
        <v>2614794.4840535149</v>
      </c>
      <c r="P181" s="61">
        <f t="shared" si="13"/>
        <v>2588814.0511047412</v>
      </c>
      <c r="Q181" s="61">
        <f t="shared" si="13"/>
        <v>2563432.6266866606</v>
      </c>
      <c r="R181" s="61">
        <f t="shared" si="13"/>
        <v>2538639.7863447331</v>
      </c>
    </row>
    <row r="182" spans="7:26" ht="15" x14ac:dyDescent="0.3">
      <c r="H182" s="878"/>
      <c r="I182" s="878">
        <v>2021</v>
      </c>
      <c r="J182" s="878">
        <v>2022</v>
      </c>
      <c r="K182" s="878">
        <v>2023</v>
      </c>
      <c r="L182" s="878">
        <v>2024</v>
      </c>
      <c r="M182" s="878">
        <v>2025</v>
      </c>
      <c r="N182" s="878">
        <v>2026</v>
      </c>
      <c r="O182" s="878">
        <v>2027</v>
      </c>
      <c r="P182" s="878">
        <v>2028</v>
      </c>
      <c r="Q182" s="878">
        <v>2029</v>
      </c>
      <c r="R182" s="878">
        <v>2030</v>
      </c>
      <c r="S182" s="878">
        <v>2031</v>
      </c>
      <c r="T182" s="878">
        <v>2032</v>
      </c>
      <c r="U182" s="878">
        <v>2033</v>
      </c>
      <c r="V182" s="878">
        <v>2034</v>
      </c>
      <c r="W182" s="878">
        <v>2035</v>
      </c>
    </row>
    <row r="183" spans="7:26" x14ac:dyDescent="0.3">
      <c r="G183" s="56">
        <v>1</v>
      </c>
      <c r="H183" s="904" t="str">
        <f>'Pathway Analysis'!E242</f>
        <v>Residential</v>
      </c>
      <c r="I183" s="951" cm="1">
        <f t="array" ref="I183">INDEX('Pathway Analysis'!G$241:G$296,MATCH($E$94,'Pathway Analysis'!$E$241:$E$296,0)+$G183)*1000000</f>
        <v>410085.33501896332</v>
      </c>
      <c r="J183" s="951" cm="1">
        <f t="array" ref="J183">(INDEX('Pathway Analysis'!H$241:H$296,MATCH($E$94,'Pathway Analysis'!$E$241:$E$296,0)+$G183)*1000000)+I183</f>
        <v>827910.60011411551</v>
      </c>
      <c r="K183" s="951" cm="1">
        <f t="array" ref="K183">(INDEX('Pathway Analysis'!I$241:I$296,MATCH($E$94,'Pathway Analysis'!$E$241:$E$296,0)+$G183)*1000000)+J183</f>
        <v>1253873.8909258074</v>
      </c>
      <c r="L183" s="951" cm="1">
        <f t="array" ref="L183">(INDEX('Pathway Analysis'!J$241:J$296,MATCH($E$94,'Pathway Analysis'!$E$241:$E$296,0)+$G183)*1000000)+K183</f>
        <v>1629474.444325384</v>
      </c>
      <c r="M183" s="951" cm="1">
        <f t="array" ref="M183">(INDEX('Pathway Analysis'!K$241:K$296,MATCH($E$94,'Pathway Analysis'!$E$241:$E$296,0)+$G183)*1000000)+L183</f>
        <v>4462094.95756632</v>
      </c>
      <c r="N183" s="951" cm="1">
        <f t="array" ref="N183">(INDEX('Pathway Analysis'!L$241:L$296,MATCH($E$94,'Pathway Analysis'!$E$241:$E$296,0)+$G183)*1000000)+M183</f>
        <v>7269820.5206134692</v>
      </c>
      <c r="O183" s="951" cm="1">
        <f t="array" ref="O183">(INDEX('Pathway Analysis'!M$241:M$296,MATCH($E$94,'Pathway Analysis'!$E$241:$E$296,0)+$G183)*1000000)+N183</f>
        <v>9884615.0046669841</v>
      </c>
      <c r="P183" s="951" cm="1">
        <f t="array" ref="P183">(INDEX('Pathway Analysis'!N$241:N$296,MATCH($E$94,'Pathway Analysis'!$E$241:$E$296,0)+$G183)*1000000)+O183</f>
        <v>12473429.055771725</v>
      </c>
      <c r="Q183" s="951" cm="1">
        <f t="array" ref="Q183">(INDEX('Pathway Analysis'!O$241:O$296,MATCH($E$94,'Pathway Analysis'!$E$241:$E$296,0)+$G183)*1000000)+P183</f>
        <v>15036861.682458386</v>
      </c>
      <c r="R183" s="951" cm="1">
        <f t="array" ref="R183">(INDEX('Pathway Analysis'!P$241:P$296,MATCH($E$94,'Pathway Analysis'!$E$241:$E$296,0)+$G183)*1000000)+Q183</f>
        <v>17575501.468803119</v>
      </c>
      <c r="S183" s="951" cm="1">
        <f t="array" ref="S183">(INDEX('Pathway Analysis'!Q$241:Q$296,MATCH($E$94,'Pathway Analysis'!$E$241:$E$296,0)+$G183)*1000000)+R183</f>
        <v>20089926.797594454</v>
      </c>
      <c r="T183" s="951" cm="1">
        <f t="array" ref="T183">(INDEX('Pathway Analysis'!R$241:R$296,MATCH($E$94,'Pathway Analysis'!$E$241:$E$296,0)+$G183)*1000000)+S183</f>
        <v>22580706.069394004</v>
      </c>
      <c r="U183" s="951" cm="1">
        <f t="array" ref="U183">(INDEX('Pathway Analysis'!S$241:S$296,MATCH($E$94,'Pathway Analysis'!$E$241:$E$296,0)+$G183)*1000000)+T183</f>
        <v>25048397.917575352</v>
      </c>
      <c r="V183" s="951" cm="1">
        <f t="array" ref="V183">(INDEX('Pathway Analysis'!T$241:T$296,MATCH($E$94,'Pathway Analysis'!$E$241:$E$296,0)+$G183)*1000000)+U183</f>
        <v>27493551.41942386</v>
      </c>
      <c r="W183" s="951" cm="1">
        <f t="array" ref="W183">(INDEX('Pathway Analysis'!U$241:U$296,MATCH($E$94,'Pathway Analysis'!$E$241:$E$296,0)+$G183)*1000000)+V183</f>
        <v>29910876.060366731</v>
      </c>
      <c r="Z183" s="534">
        <f>R183/Baseline!AL639</f>
        <v>0.29361099529345114</v>
      </c>
    </row>
    <row r="184" spans="7:26" x14ac:dyDescent="0.3">
      <c r="G184" s="56">
        <v>6</v>
      </c>
      <c r="H184" s="904" t="s">
        <v>189</v>
      </c>
      <c r="I184" s="951" cm="1">
        <f t="array" ref="I184">INDEX('Pathway Analysis'!G$241:G$296,MATCH($E$94,'Pathway Analysis'!$E$241:$E$296,0)+$G184)*1000000</f>
        <v>127514.15590821297</v>
      </c>
      <c r="J184" s="951" cm="1">
        <f t="array" ref="J184">(INDEX('Pathway Analysis'!H$241:H$296,MATCH($E$94,'Pathway Analysis'!$E$241:$E$296,0)+$G184)*1000000)+I184</f>
        <v>258035.47989287903</v>
      </c>
      <c r="K184" s="951" cm="1">
        <f t="array" ref="K184">(INDEX('Pathway Analysis'!I$241:I$296,MATCH($E$94,'Pathway Analysis'!$E$241:$E$296,0)+$G184)*1000000)+J184</f>
        <v>380174.94475342287</v>
      </c>
      <c r="L184" s="951" cm="1">
        <f t="array" ref="L184">(INDEX('Pathway Analysis'!J$241:J$296,MATCH($E$94,'Pathway Analysis'!$E$241:$E$296,0)+$G184)*1000000)+K184</f>
        <v>500865.96190534328</v>
      </c>
      <c r="M184" s="951" cm="1">
        <f t="array" ref="M184">(INDEX('Pathway Analysis'!K$241:K$296,MATCH($E$94,'Pathway Analysis'!$E$241:$E$296,0)+$G184)*1000000)+L184</f>
        <v>1309940.5428838774</v>
      </c>
      <c r="N184" s="951" cm="1">
        <f t="array" ref="N184">(INDEX('Pathway Analysis'!L$241:L$296,MATCH($E$94,'Pathway Analysis'!$E$241:$E$296,0)+$G184)*1000000)+M184</f>
        <v>2115017.7478648461</v>
      </c>
      <c r="O184" s="951" cm="1">
        <f t="array" ref="O184">(INDEX('Pathway Analysis'!M$241:M$296,MATCH($E$94,'Pathway Analysis'!$E$241:$E$296,0)+$G184)*1000000)+N184</f>
        <v>2913184.5987375472</v>
      </c>
      <c r="P184" s="951" cm="1">
        <f t="array" ref="P184">(INDEX('Pathway Analysis'!N$241:N$296,MATCH($E$94,'Pathway Analysis'!$E$241:$E$296,0)+$G184)*1000000)+O184</f>
        <v>3707608.8725372963</v>
      </c>
      <c r="Q184" s="951" cm="1">
        <f t="array" ref="Q184">(INDEX('Pathway Analysis'!O$241:O$296,MATCH($E$94,'Pathway Analysis'!$E$241:$E$296,0)+$G184)*1000000)+P184</f>
        <v>4498432.7760496791</v>
      </c>
      <c r="R184" s="951" cm="1">
        <f t="array" ref="R184">(INDEX('Pathway Analysis'!P$241:P$296,MATCH($E$94,'Pathway Analysis'!$E$241:$E$296,0)+$G184)*1000000)+Q184</f>
        <v>5285797.0977096958</v>
      </c>
      <c r="S184" s="951" cm="1">
        <f t="array" ref="S184">(INDEX('Pathway Analysis'!Q$241:Q$296,MATCH($E$94,'Pathway Analysis'!$E$241:$E$296,0)+$G184)*1000000)+R184</f>
        <v>6069841.2617006171</v>
      </c>
      <c r="T184" s="951" cm="1">
        <f t="array" ref="T184">(INDEX('Pathway Analysis'!R$241:R$296,MATCH($E$94,'Pathway Analysis'!$E$241:$E$296,0)+$G184)*1000000)+S184</f>
        <v>6850703.381514864</v>
      </c>
      <c r="U184" s="951" cm="1">
        <f t="array" ref="U184">(INDEX('Pathway Analysis'!S$241:S$296,MATCH($E$94,'Pathway Analysis'!$E$241:$E$296,0)+$G184)*1000000)+T184</f>
        <v>7628520.3129978124</v>
      </c>
      <c r="V184" s="951" cm="1">
        <f t="array" ref="V184">(INDEX('Pathway Analysis'!T$241:T$296,MATCH($E$94,'Pathway Analysis'!$E$241:$E$296,0)+$G184)*1000000)+U184</f>
        <v>8403427.7068952657</v>
      </c>
      <c r="W184" s="951" cm="1">
        <f t="array" ref="W184">(INDEX('Pathway Analysis'!U$241:U$296,MATCH($E$94,'Pathway Analysis'!$E$241:$E$296,0)+$G184)*1000000)+V184</f>
        <v>9180268.165634403</v>
      </c>
      <c r="Z184" s="534">
        <f>R184/(Assumptions!$N$780*Baseline!$AL$817)</f>
        <v>0.28903986280495408</v>
      </c>
    </row>
    <row r="185" spans="7:26" x14ac:dyDescent="0.3">
      <c r="G185" s="56">
        <v>5</v>
      </c>
      <c r="H185" s="904" t="s">
        <v>190</v>
      </c>
      <c r="I185" s="951" cm="1">
        <f t="array" ref="I185">INDEX('Pathway Analysis'!G$241:G$296,MATCH($E$94,'Pathway Analysis'!$E$241:$E$296,0)+$G185)*1000000</f>
        <v>51272.325563402934</v>
      </c>
      <c r="J185" s="951" cm="1">
        <f t="array" ref="J185">(INDEX('Pathway Analysis'!H$241:H$296,MATCH($E$94,'Pathway Analysis'!$E$241:$E$296,0)+$G185)*1000000)+I185</f>
        <v>107449.27820049031</v>
      </c>
      <c r="K185" s="951" cm="1">
        <f t="array" ref="K185">(INDEX('Pathway Analysis'!I$241:I$296,MATCH($E$94,'Pathway Analysis'!$E$241:$E$296,0)+$G185)*1000000)+J185</f>
        <v>158496.9158454313</v>
      </c>
      <c r="L185" s="951" cm="1">
        <f t="array" ref="L185">(INDEX('Pathway Analysis'!J$241:J$296,MATCH($E$94,'Pathway Analysis'!$E$241:$E$296,0)+$G185)*1000000)+K185</f>
        <v>205150.83085108135</v>
      </c>
      <c r="M185" s="951" cm="1">
        <f t="array" ref="M185">(INDEX('Pathway Analysis'!K$241:K$296,MATCH($E$94,'Pathway Analysis'!$E$241:$E$296,0)+$G185)*1000000)+L185</f>
        <v>550777.29107973631</v>
      </c>
      <c r="N185" s="951" cm="1">
        <f t="array" ref="N185">(INDEX('Pathway Analysis'!L$241:L$296,MATCH($E$94,'Pathway Analysis'!$E$241:$E$296,0)+$G185)*1000000)+M185</f>
        <v>895212.01401816215</v>
      </c>
      <c r="O185" s="951" cm="1">
        <f t="array" ref="O185">(INDEX('Pathway Analysis'!M$241:M$296,MATCH($E$94,'Pathway Analysis'!$E$241:$E$296,0)+$G185)*1000000)+N185</f>
        <v>1229892.0291380933</v>
      </c>
      <c r="P185" s="951" cm="1">
        <f t="array" ref="P185">(INDEX('Pathway Analysis'!N$241:N$296,MATCH($E$94,'Pathway Analysis'!$E$241:$E$296,0)+$G185)*1000000)+O185</f>
        <v>1563370.1917367997</v>
      </c>
      <c r="Q185" s="951" cm="1">
        <f t="array" ref="Q185">(INDEX('Pathway Analysis'!O$241:O$296,MATCH($E$94,'Pathway Analysis'!$E$241:$E$296,0)+$G185)*1000000)+P185</f>
        <v>1895688.655907426</v>
      </c>
      <c r="R185" s="951" cm="1">
        <f t="array" ref="R185">(INDEX('Pathway Analysis'!P$241:P$296,MATCH($E$94,'Pathway Analysis'!$E$241:$E$296,0)+$G185)*1000000)+Q185</f>
        <v>2226889.0942824455</v>
      </c>
      <c r="S185" s="951" cm="1">
        <f t="array" ref="S185">(INDEX('Pathway Analysis'!Q$241:Q$296,MATCH($E$94,'Pathway Analysis'!$E$241:$E$296,0)+$G185)*1000000)+R185</f>
        <v>2557012.7134945886</v>
      </c>
      <c r="T185" s="951" cm="1">
        <f t="array" ref="T185">(INDEX('Pathway Analysis'!R$241:R$296,MATCH($E$94,'Pathway Analysis'!$E$241:$E$296,0)+$G185)*1000000)+S185</f>
        <v>2886100.2694452112</v>
      </c>
      <c r="U185" s="951" cm="1">
        <f t="array" ref="U185">(INDEX('Pathway Analysis'!S$241:S$296,MATCH($E$94,'Pathway Analysis'!$E$241:$E$296,0)+$G185)*1000000)+T185</f>
        <v>3214192.0823859032</v>
      </c>
      <c r="V185" s="951" cm="1">
        <f t="array" ref="V185">(INDEX('Pathway Analysis'!T$241:T$296,MATCH($E$94,'Pathway Analysis'!$E$241:$E$296,0)+$G185)*1000000)+U185</f>
        <v>3541328.0518190665</v>
      </c>
      <c r="W185" s="951" cm="1">
        <f t="array" ref="W185">(INDEX('Pathway Analysis'!U$241:U$296,MATCH($E$94,'Pathway Analysis'!$E$241:$E$296,0)+$G185)*1000000)+V185</f>
        <v>3868993.6825003806</v>
      </c>
      <c r="Z185" s="534">
        <f>R185/(Assumptions!$M$780*Baseline!$AL$817)</f>
        <v>0.39647907893865586</v>
      </c>
    </row>
    <row r="186" spans="7:26" x14ac:dyDescent="0.3">
      <c r="G186" s="56">
        <v>4</v>
      </c>
      <c r="H186" s="904" t="str">
        <f>'Pathway Analysis'!E245</f>
        <v>Central gov.</v>
      </c>
      <c r="I186" s="951" cm="1">
        <f t="array" ref="I186">INDEX('Pathway Analysis'!G$241:G$296,MATCH($E$94,'Pathway Analysis'!$E$241:$E$296,0)+$G186)*1000000</f>
        <v>11921.188528384109</v>
      </c>
      <c r="J186" s="951" cm="1">
        <f t="array" ref="J186">(INDEX('Pathway Analysis'!H$241:H$296,MATCH($E$94,'Pathway Analysis'!$E$241:$E$296,0)+$G186)*1000000)+I186</f>
        <v>24525.081906630687</v>
      </c>
      <c r="K186" s="951" cm="1">
        <f t="array" ref="K186">(INDEX('Pathway Analysis'!I$241:I$296,MATCH($E$94,'Pathway Analysis'!$E$241:$E$296,0)+$G186)*1000000)+J186</f>
        <v>36726.232997502208</v>
      </c>
      <c r="L186" s="951" cm="1">
        <f t="array" ref="L186">(INDEX('Pathway Analysis'!J$241:J$296,MATCH($E$94,'Pathway Analysis'!$E$241:$E$296,0)+$G186)*1000000)+K186</f>
        <v>48386.576395058502</v>
      </c>
      <c r="M186" s="951" cm="1">
        <f t="array" ref="M186">(INDEX('Pathway Analysis'!K$241:K$296,MATCH($E$94,'Pathway Analysis'!$E$241:$E$296,0)+$G186)*1000000)+L186</f>
        <v>139830.237806994</v>
      </c>
      <c r="N186" s="951" cm="1">
        <f t="array" ref="N186">(INDEX('Pathway Analysis'!L$241:L$296,MATCH($E$94,'Pathway Analysis'!$E$241:$E$296,0)+$G186)*1000000)+M186</f>
        <v>230934.18422403769</v>
      </c>
      <c r="O186" s="951" cm="1">
        <f t="array" ref="O186">(INDEX('Pathway Analysis'!M$241:M$296,MATCH($E$94,'Pathway Analysis'!$E$241:$E$296,0)+$G186)*1000000)+N186</f>
        <v>320429.79964374547</v>
      </c>
      <c r="P186" s="951" cm="1">
        <f t="array" ref="P186">(INDEX('Pathway Analysis'!N$241:N$296,MATCH($E$94,'Pathway Analysis'!$E$241:$E$296,0)+$G186)*1000000)+O186</f>
        <v>409596.28014336922</v>
      </c>
      <c r="Q186" s="951" cm="1">
        <f t="array" ref="Q186">(INDEX('Pathway Analysis'!O$241:O$296,MATCH($E$94,'Pathway Analysis'!$E$241:$E$296,0)+$G186)*1000000)+P186</f>
        <v>498445.85696971533</v>
      </c>
      <c r="R186" s="951" cm="1">
        <f t="array" ref="R186">(INDEX('Pathway Analysis'!P$241:P$296,MATCH($E$94,'Pathway Analysis'!$E$241:$E$296,0)+$G186)*1000000)+Q186</f>
        <v>586990.63498247345</v>
      </c>
      <c r="S186" s="951" cm="1">
        <f t="array" ref="S186">(INDEX('Pathway Analysis'!Q$241:Q$296,MATCH($E$94,'Pathway Analysis'!$E$241:$E$296,0)+$G186)*1000000)+R186</f>
        <v>675242.59726814949</v>
      </c>
      <c r="T186" s="951" cm="1">
        <f t="array" ref="T186">(INDEX('Pathway Analysis'!R$241:R$296,MATCH($E$94,'Pathway Analysis'!$E$241:$E$296,0)+$G186)*1000000)+S186</f>
        <v>763213.60970546422</v>
      </c>
      <c r="U186" s="951" cm="1">
        <f t="array" ref="U186">(INDEX('Pathway Analysis'!S$241:S$296,MATCH($E$94,'Pathway Analysis'!$E$241:$E$296,0)+$G186)*1000000)+T186</f>
        <v>850915.42548399419</v>
      </c>
      <c r="V186" s="951" cm="1">
        <f t="array" ref="V186">(INDEX('Pathway Analysis'!T$241:T$296,MATCH($E$94,'Pathway Analysis'!$E$241:$E$296,0)+$G186)*1000000)+U186</f>
        <v>938359.68957781198</v>
      </c>
      <c r="W186" s="951" cm="1">
        <f t="array" ref="W186">(INDEX('Pathway Analysis'!U$241:U$296,MATCH($E$94,'Pathway Analysis'!$E$241:$E$296,0)+$G186)*1000000)+V186</f>
        <v>1025966.6135883168</v>
      </c>
      <c r="Y186" s="1386">
        <f>SUM(R185:R186)/1000000</f>
        <v>2.8138797292649187</v>
      </c>
      <c r="Z186" s="534">
        <f>R186/(Assumptions!$L$780*Baseline!$AL$817)</f>
        <v>0.36978674827403757</v>
      </c>
    </row>
    <row r="187" spans="7:26" x14ac:dyDescent="0.3">
      <c r="I187" s="65"/>
      <c r="J187" s="65"/>
      <c r="K187" s="65"/>
      <c r="L187" s="65"/>
      <c r="M187" s="65"/>
      <c r="N187" s="65"/>
      <c r="O187" s="65"/>
      <c r="P187" s="65"/>
      <c r="Q187" s="65"/>
      <c r="R187" s="65"/>
    </row>
    <row r="188" spans="7:26" ht="15" x14ac:dyDescent="0.3">
      <c r="I188" s="878">
        <v>2021</v>
      </c>
      <c r="J188" s="878">
        <v>2022</v>
      </c>
      <c r="K188" s="878">
        <v>2023</v>
      </c>
      <c r="L188" s="878">
        <v>2024</v>
      </c>
      <c r="M188" s="878">
        <v>2025</v>
      </c>
      <c r="N188" s="878">
        <v>2026</v>
      </c>
      <c r="O188" s="878">
        <v>2027</v>
      </c>
      <c r="P188" s="878">
        <v>2028</v>
      </c>
      <c r="Q188" s="878">
        <v>2029</v>
      </c>
      <c r="R188" s="878">
        <v>2030</v>
      </c>
      <c r="S188" s="878">
        <v>2031</v>
      </c>
      <c r="T188" s="878">
        <v>2032</v>
      </c>
      <c r="U188" s="878">
        <v>2033</v>
      </c>
      <c r="V188" s="878">
        <v>2034</v>
      </c>
      <c r="W188" s="878">
        <v>2035</v>
      </c>
    </row>
    <row r="189" spans="7:26" x14ac:dyDescent="0.3">
      <c r="H189" t="str" cm="1">
        <f t="array" ref="H189:H190">TRANSPOSE(C99:D99)</f>
        <v>Baseline</v>
      </c>
      <c r="I189" s="66">
        <f>INDEX('Pathway Analysis'!G$241:G$296,MATCH($H189,'Pathway Analysis'!$E$241:$E$296,0))*1000000</f>
        <v>600793.00501896336</v>
      </c>
      <c r="J189" s="66">
        <f>(INDEX('Pathway Analysis'!H$241:H$296,MATCH($H189,'Pathway Analysis'!$E$241:$E$296,0))*1000000)+I189</f>
        <v>1217920.4401141158</v>
      </c>
      <c r="K189" s="66">
        <f>(INDEX('Pathway Analysis'!I$241:I$296,MATCH($H189,'Pathway Analysis'!$E$241:$E$296,0))*1000000)+J189</f>
        <v>1829271.9845221643</v>
      </c>
      <c r="L189" s="66">
        <f>(INDEX('Pathway Analysis'!J$241:J$296,MATCH($H189,'Pathway Analysis'!$E$241:$E$296,0))*1000000)+K189</f>
        <v>2383877.8134768675</v>
      </c>
      <c r="M189" s="66">
        <f>(INDEX('Pathway Analysis'!K$241:K$296,MATCH($H189,'Pathway Analysis'!$E$241:$E$296,0))*1000000)+L189</f>
        <v>2943068.9552628538</v>
      </c>
      <c r="N189" s="66">
        <f>(INDEX('Pathway Analysis'!L$241:L$296,MATCH($H189,'Pathway Analysis'!$E$241:$E$296,0))*1000000)+M189</f>
        <v>3509381.7070981478</v>
      </c>
      <c r="O189" s="66">
        <f>(INDEX('Pathway Analysis'!M$241:M$296,MATCH($H189,'Pathway Analysis'!$E$241:$E$296,0))*1000000)+N189</f>
        <v>3901299.19145275</v>
      </c>
      <c r="P189" s="66">
        <f>(INDEX('Pathway Analysis'!N$241:N$296,MATCH($H189,'Pathway Analysis'!$E$241:$E$296,0))*1000000)+O189</f>
        <v>4298050.1336747482</v>
      </c>
      <c r="Q189" s="66">
        <f>(INDEX('Pathway Analysis'!O$241:O$296,MATCH($H189,'Pathway Analysis'!$E$241:$E$296,0))*1000000)+P189</f>
        <v>4699722.5372570325</v>
      </c>
      <c r="R189" s="66">
        <f>(INDEX('Pathway Analysis'!P$241:P$296,MATCH($H189,'Pathway Analysis'!$E$241:$E$296,0))*1000000)+Q189</f>
        <v>5106405.8294937573</v>
      </c>
      <c r="S189" s="66">
        <f>(INDEX('Pathway Analysis'!Q$241:Q$296,MATCH($H189,'Pathway Analysis'!$E$241:$E$296,0))*1000000)+R189</f>
        <v>5518190.8867728636</v>
      </c>
      <c r="T189" s="66">
        <f>(INDEX('Pathway Analysis'!R$241:R$296,MATCH($H189,'Pathway Analysis'!$E$241:$E$296,0))*1000000)+S189</f>
        <v>5935170.0603175862</v>
      </c>
      <c r="U189" s="66">
        <f>(INDEX('Pathway Analysis'!S$241:S$296,MATCH($H189,'Pathway Analysis'!$E$241:$E$296,0))*1000000)+T189</f>
        <v>6357437.2023852225</v>
      </c>
      <c r="V189" s="66">
        <f>(INDEX('Pathway Analysis'!T$241:T$296,MATCH($H189,'Pathway Analysis'!$E$241:$E$296,0))*1000000)+U189</f>
        <v>6785087.6929316306</v>
      </c>
      <c r="W189" s="66">
        <f>(INDEX('Pathway Analysis'!U$241:U$296,MATCH($H189,'Pathway Analysis'!$E$241:$E$296,0))*1000000)+V189</f>
        <v>7218218.4667500379</v>
      </c>
    </row>
    <row r="190" spans="7:26" x14ac:dyDescent="0.3">
      <c r="H190" t="str">
        <v>CEER1</v>
      </c>
      <c r="I190" s="66">
        <f>INDEX('Pathway Analysis'!G$241:G$296,MATCH($H190,'Pathway Analysis'!$E$241:$E$296,0))*1000000</f>
        <v>600793.00501896336</v>
      </c>
      <c r="J190" s="66">
        <f>(INDEX('Pathway Analysis'!H$241:H$296,MATCH($H190,'Pathway Analysis'!$E$241:$E$296,0))*1000000)+I190</f>
        <v>1217920.4401141158</v>
      </c>
      <c r="K190" s="66">
        <f>(INDEX('Pathway Analysis'!I$241:I$296,MATCH($H190,'Pathway Analysis'!$E$241:$E$296,0))*1000000)+J190</f>
        <v>1829271.9845221643</v>
      </c>
      <c r="L190" s="66">
        <f>(INDEX('Pathway Analysis'!J$241:J$296,MATCH($H190,'Pathway Analysis'!$E$241:$E$296,0))*1000000)+K190</f>
        <v>2383877.8134768675</v>
      </c>
      <c r="M190" s="66">
        <f>(INDEX('Pathway Analysis'!K$241:K$296,MATCH($H190,'Pathway Analysis'!$E$241:$E$296,0))*1000000)+L190</f>
        <v>6462643.0293369275</v>
      </c>
      <c r="N190" s="66">
        <f>(INDEX('Pathway Analysis'!L$241:L$296,MATCH($H190,'Pathway Analysis'!$E$241:$E$296,0))*1000000)+M190</f>
        <v>10510984.466720516</v>
      </c>
      <c r="O190" s="66">
        <f>(INDEX('Pathway Analysis'!M$241:M$296,MATCH($H190,'Pathway Analysis'!$E$241:$E$296,0))*1000000)+N190</f>
        <v>14348121.432186371</v>
      </c>
      <c r="P190" s="66">
        <f>(INDEX('Pathway Analysis'!N$241:N$296,MATCH($H190,'Pathway Analysis'!$E$241:$E$296,0))*1000000)+O190</f>
        <v>18154004.400189191</v>
      </c>
      <c r="Q190" s="66">
        <f>(INDEX('Pathway Analysis'!O$241:O$296,MATCH($H190,'Pathway Analysis'!$E$241:$E$296,0))*1000000)+P190</f>
        <v>21929428.971385207</v>
      </c>
      <c r="R190" s="66">
        <f>(INDEX('Pathway Analysis'!P$241:P$296,MATCH($H190,'Pathway Analysis'!$E$241:$E$296,0))*1000000)+Q190</f>
        <v>25675178.295777734</v>
      </c>
      <c r="S190" s="66">
        <f>(INDEX('Pathway Analysis'!Q$241:Q$296,MATCH($H190,'Pathway Analysis'!$E$241:$E$296,0))*1000000)+R190</f>
        <v>29392023.37005781</v>
      </c>
      <c r="T190" s="66">
        <f>(INDEX('Pathway Analysis'!R$241:R$296,MATCH($H190,'Pathway Analysis'!$E$241:$E$296,0))*1000000)+S190</f>
        <v>33080723.330059543</v>
      </c>
      <c r="U190" s="66">
        <f>(INDEX('Pathway Analysis'!S$241:S$296,MATCH($H190,'Pathway Analysis'!$E$241:$E$296,0))*1000000)+T190</f>
        <v>36742025.738443062</v>
      </c>
      <c r="V190" s="66">
        <f>(INDEX('Pathway Analysis'!T$241:T$296,MATCH($H190,'Pathway Analysis'!$E$241:$E$296,0))*1000000)+U190</f>
        <v>40376666.867716007</v>
      </c>
      <c r="W190" s="66">
        <f>(INDEX('Pathway Analysis'!U$241:U$296,MATCH($H190,'Pathway Analysis'!$E$241:$E$296,0))*1000000)+V190</f>
        <v>43986104.522089839</v>
      </c>
    </row>
    <row r="196" spans="2:2" x14ac:dyDescent="0.3">
      <c r="B196" s="63" t="s">
        <v>191</v>
      </c>
    </row>
    <row r="211" spans="1:19" ht="136.5" customHeight="1" x14ac:dyDescent="0.3"/>
    <row r="212" spans="1:19" ht="18.75" thickBot="1" x14ac:dyDescent="0.4">
      <c r="B212" s="1987" t="s">
        <v>192</v>
      </c>
      <c r="C212" s="2"/>
      <c r="D212" s="2"/>
      <c r="E212" s="2"/>
      <c r="F212" s="2"/>
      <c r="G212" s="2"/>
      <c r="H212" s="2"/>
      <c r="I212" s="2"/>
      <c r="J212" s="2"/>
      <c r="K212" s="2"/>
      <c r="L212" s="2"/>
      <c r="M212" s="2"/>
      <c r="N212" s="2"/>
      <c r="O212" s="2"/>
      <c r="P212" s="2"/>
      <c r="Q212" s="2"/>
      <c r="R212" s="2"/>
      <c r="S212" s="2"/>
    </row>
    <row r="213" spans="1:19" ht="15.75" thickTop="1" x14ac:dyDescent="0.3">
      <c r="B213" s="1389" t="s">
        <v>193</v>
      </c>
      <c r="C213" s="1389"/>
      <c r="D213" s="1390"/>
      <c r="E213" s="5"/>
      <c r="F213" s="5"/>
    </row>
    <row r="214" spans="1:19" x14ac:dyDescent="0.3">
      <c r="B214" s="2041" t="s">
        <v>194</v>
      </c>
      <c r="C214" s="895"/>
      <c r="D214" s="897"/>
    </row>
    <row r="215" spans="1:19" ht="15" x14ac:dyDescent="0.3">
      <c r="B215" s="878"/>
      <c r="C215" s="878" t="str">
        <f>C154</f>
        <v>Baseline</v>
      </c>
      <c r="D215" s="900" t="str">
        <f>D154</f>
        <v>CEER1</v>
      </c>
    </row>
    <row r="216" spans="1:19" x14ac:dyDescent="0.3">
      <c r="B216" s="901" t="s">
        <v>195</v>
      </c>
      <c r="C216" s="902">
        <f>_xlfn.XLOOKUP(C154,'Pathway Analysis'!$E$802:$E$857,'Pathway Analysis'!$V$802:$V$857)-'Pathway Analysis'!$V$802</f>
        <v>2551.6432750897366</v>
      </c>
      <c r="D216" s="903">
        <f>_xlfn.XLOOKUP(D154,'Pathway Analysis'!$E$802:$E$857,'Pathway Analysis'!$V$802:$V$857)-'Pathway Analysis'!$V$802</f>
        <v>17305.80666870065</v>
      </c>
    </row>
    <row r="217" spans="1:19" x14ac:dyDescent="0.3">
      <c r="B217" s="904" t="s">
        <v>196</v>
      </c>
      <c r="C217" s="886">
        <f>_xlfn.XLOOKUP(C154,'Pathway Analysis'!$X$802:$X$807,'Pathway Analysis'!$AN$802:$AN$807)</f>
        <v>5.994303939774113E-3</v>
      </c>
      <c r="D217" s="961">
        <f>_xlfn.XLOOKUP(D154,'Pathway Analysis'!$X$802:$X$809,'Pathway Analysis'!$AN$802:$AN$809)</f>
        <v>4.065468951239401E-2</v>
      </c>
    </row>
    <row r="218" spans="1:19" x14ac:dyDescent="0.3">
      <c r="B218" s="1229" t="s">
        <v>197</v>
      </c>
      <c r="C218" s="905" cm="1">
        <f t="array" ref="C218:D218">_xlfn.XLOOKUP(C215:D215,'Pathway Analysis'!E802:E857,'Pathway Analysis'!P802:P857)</f>
        <v>45214.364567204881</v>
      </c>
      <c r="D218" s="906">
        <v>47559.401021286394</v>
      </c>
    </row>
    <row r="219" spans="1:19" x14ac:dyDescent="0.3">
      <c r="B219" s="904" t="str" cm="1">
        <f t="array" ref="B219:B223">'Pathway Analysis'!E803:E807</f>
        <v>Compensation of employees</v>
      </c>
      <c r="C219" s="889" cm="1">
        <f t="array" ref="C219:D223">INDEX('Pathway Analysis'!P802:P857,MATCH( C215:D215&amp;_xlfn.ANCHORARRAY(B219),'Pathway Analysis'!C802:C857&amp;'Pathway Analysis'!E802:E857,0))</f>
        <v>21607.944826667212</v>
      </c>
      <c r="D219" s="890">
        <v>22728.637748072768</v>
      </c>
    </row>
    <row r="220" spans="1:19" x14ac:dyDescent="0.3">
      <c r="B220" s="904" t="str">
        <v>Consumption of fixed capital</v>
      </c>
      <c r="C220" s="889">
        <v>7392.5486067379979</v>
      </c>
      <c r="D220" s="890">
        <v>7775.9620669803253</v>
      </c>
    </row>
    <row r="221" spans="1:19" x14ac:dyDescent="0.3">
      <c r="B221" s="904" t="str">
        <v>Operating surplus and mixed income</v>
      </c>
      <c r="C221" s="889">
        <v>10647.982855576747</v>
      </c>
      <c r="D221" s="890">
        <v>11200.238940512943</v>
      </c>
    </row>
    <row r="222" spans="1:19" x14ac:dyDescent="0.3">
      <c r="B222" s="904" t="str">
        <v>Taxes on production and imports</v>
      </c>
      <c r="C222" s="889">
        <v>6248.6251831877144</v>
      </c>
      <c r="D222" s="890">
        <v>6572.7092211417794</v>
      </c>
    </row>
    <row r="223" spans="1:19" x14ac:dyDescent="0.3">
      <c r="B223" s="904" t="str">
        <v>Subsidies</v>
      </c>
      <c r="C223" s="889">
        <v>-682.73690496478957</v>
      </c>
      <c r="D223" s="890">
        <v>-718.14695542141999</v>
      </c>
    </row>
    <row r="224" spans="1:19" x14ac:dyDescent="0.3">
      <c r="A224" t="str">
        <f>'Pathway Analysis'!E966</f>
        <v>Renovation costs (-)</v>
      </c>
      <c r="B224" s="901" t="s">
        <v>198</v>
      </c>
      <c r="C224" s="912">
        <f>_xlfn.XLOOKUP(C215,'Pathway Analysis'!$E$691:$E$746,'Pathway Analysis'!$W$691:$W$746)</f>
        <v>0.83038189388920358</v>
      </c>
      <c r="D224" s="913">
        <f>_xlfn.XLOOKUP(D215,'Pathway Analysis'!$E$691:$E$746,'Pathway Analysis'!$W$691:$W$746)</f>
        <v>16.399783366436484</v>
      </c>
    </row>
    <row r="225" spans="1:6" x14ac:dyDescent="0.3">
      <c r="A225" t="str">
        <f>'Pathway Analysis'!E967</f>
        <v>Personal transport costs (-)</v>
      </c>
      <c r="B225" s="904" t="s">
        <v>199</v>
      </c>
      <c r="C225" s="908" cm="1">
        <f t="array" ref="C225:D225">_xlfn.XLOOKUP(C215:D215,'Pathway Analysis'!E689:E746,'Pathway Analysis'!P689:P746)</f>
        <v>665.1683508208273</v>
      </c>
      <c r="D225" s="890">
        <v>685.99729234533459</v>
      </c>
    </row>
    <row r="226" spans="1:6" x14ac:dyDescent="0.3">
      <c r="A226" t="str">
        <f>'Pathway Analysis'!E968</f>
        <v>Increase in taxes (-)</v>
      </c>
      <c r="B226" s="904" t="s">
        <v>200</v>
      </c>
      <c r="C226" s="1228" cm="1">
        <f t="array" ref="C226:D226">INDEX('Pathway Analysis'!$F$689:$F$746,MATCH($C$215:$D$215,'Pathway Analysis'!$D$689:$D$746,0)+1)</f>
        <v>0.81852460318790288</v>
      </c>
      <c r="D226" s="911">
        <v>16.387926075735184</v>
      </c>
    </row>
    <row r="227" spans="1:6" x14ac:dyDescent="0.3">
      <c r="A227" t="str">
        <f>'Pathway Analysis'!E972</f>
        <v>Increase in employment (+)</v>
      </c>
      <c r="B227" s="907" t="s">
        <v>50</v>
      </c>
      <c r="C227" s="1228" cm="1">
        <f t="array" ref="C227:D227">INDEX('Pathway Analysis'!$F$689:$F$746,MATCH($C$215:$D$215,'Pathway Analysis'!$D$689:$D$746,0)+2)</f>
        <v>0.23747496008006</v>
      </c>
      <c r="D227" s="911">
        <v>0.46502923013344344</v>
      </c>
    </row>
    <row r="228" spans="1:6" x14ac:dyDescent="0.3">
      <c r="B228" s="907" t="s">
        <v>201</v>
      </c>
      <c r="C228" s="1228" cm="1">
        <f t="array" ref="C228:D228">INDEX('Pathway Analysis'!$F$689:$F$746,MATCH($C$215:$D$215,'Pathway Analysis'!$D$689:$D$746,0)+3)</f>
        <v>0.58885485530196058</v>
      </c>
      <c r="D228" s="911">
        <v>13.565454032577506</v>
      </c>
    </row>
    <row r="229" spans="1:6" x14ac:dyDescent="0.3">
      <c r="B229" s="907" t="s">
        <v>53</v>
      </c>
      <c r="C229" s="1228" cm="1">
        <f t="array" ref="C229:D229">INDEX('Pathway Analysis'!$F$689:$F$746,MATCH($C$215:$D$215,'Pathway Analysis'!$D$689:$D$746,0)+4)</f>
        <v>-7.8052121941176679E-3</v>
      </c>
      <c r="D229" s="911">
        <v>2.3574428130242309</v>
      </c>
    </row>
    <row r="230" spans="1:6" x14ac:dyDescent="0.3">
      <c r="B230" s="904" t="s">
        <v>202</v>
      </c>
      <c r="C230" s="1228" cm="1">
        <f t="array" ref="C230:D230">INDEX('Pathway Analysis'!$F$689:$F$746,MATCH($C$215:$D$215,'Pathway Analysis'!$D$689:$D$746,0)+5)</f>
        <v>1.1857290701300658E-2</v>
      </c>
      <c r="D230" s="911">
        <v>1.1857290701300658E-2</v>
      </c>
    </row>
    <row r="231" spans="1:6" x14ac:dyDescent="0.3">
      <c r="B231" s="904" t="s">
        <v>203</v>
      </c>
      <c r="C231" s="908" cm="1">
        <f t="array" ref="C231:D231">_xlfn.XLOOKUP(C215:D215,'Pathway Analysis'!E864:E871,'Pathway Analysis'!V864:V871)</f>
        <v>63357.564450178317</v>
      </c>
      <c r="D231" s="890">
        <v>64064.727490398684</v>
      </c>
    </row>
    <row r="232" spans="1:6" x14ac:dyDescent="0.3">
      <c r="B232" s="901" t="s">
        <v>204</v>
      </c>
      <c r="C232" s="902">
        <f>SUM(C233:C237)</f>
        <v>896.63804232544226</v>
      </c>
      <c r="D232" s="903">
        <f>SUM(D233:D237)</f>
        <v>2614.4845863071628</v>
      </c>
    </row>
    <row r="233" spans="1:6" x14ac:dyDescent="0.3">
      <c r="B233" s="904" t="s">
        <v>205</v>
      </c>
      <c r="C233" s="908" cm="1">
        <f t="array" ref="C233:D236">INDEX('Pathway Analysis'!V880:V976,MATCH(C215:D215&amp;A224:A227,'Pathway Analysis'!D880:D976&amp;'Pathway Analysis'!E880:E976,0))</f>
        <v>-119.13999999999999</v>
      </c>
      <c r="D233" s="909">
        <v>-4788.7319114960001</v>
      </c>
    </row>
    <row r="234" spans="1:6" x14ac:dyDescent="0.3">
      <c r="B234" s="904" t="s">
        <v>206</v>
      </c>
      <c r="C234" s="908">
        <v>0</v>
      </c>
      <c r="D234" s="909">
        <v>-39.418319309920939</v>
      </c>
    </row>
    <row r="235" spans="1:6" x14ac:dyDescent="0.3">
      <c r="B235" s="904" t="s">
        <v>207</v>
      </c>
      <c r="C235" s="908">
        <v>-322.05271252661595</v>
      </c>
      <c r="D235" s="909">
        <v>-1639.4103760086844</v>
      </c>
    </row>
    <row r="236" spans="1:6" x14ac:dyDescent="0.3">
      <c r="B236" s="904" t="s">
        <v>208</v>
      </c>
      <c r="C236" s="908">
        <v>1219.4303211653532</v>
      </c>
      <c r="D236" s="909">
        <v>8270.4450069720715</v>
      </c>
    </row>
    <row r="237" spans="1:6" x14ac:dyDescent="0.3">
      <c r="B237" s="904" t="s">
        <v>209</v>
      </c>
      <c r="C237" s="908">
        <f>C163</f>
        <v>118.40043368670489</v>
      </c>
      <c r="D237" s="909">
        <f>D163</f>
        <v>811.60018614969658</v>
      </c>
    </row>
    <row r="238" spans="1:6" x14ac:dyDescent="0.3">
      <c r="B238" s="904" t="s">
        <v>210</v>
      </c>
      <c r="C238" s="884" cm="1">
        <f t="array" ref="C238:D238">_xlfn.XLOOKUP(C215:D215,'Pathway Analysis'!E984:E991,'Pathway Analysis'!F984:F991)</f>
        <v>7.9751925040030258E-2</v>
      </c>
      <c r="D238" s="885">
        <v>7.4833078803128145E-2</v>
      </c>
    </row>
    <row r="239" spans="1:6" x14ac:dyDescent="0.3">
      <c r="B239" s="901" t="s">
        <v>211</v>
      </c>
      <c r="C239" s="902">
        <f>_xlfn.XLOOKUP(C154,'Pathway Analysis'!$E$768:$E$795,'Pathway Analysis'!$V$768:$V$795)</f>
        <v>1007.1939126635714</v>
      </c>
      <c r="D239" s="903">
        <f>_xlfn.XLOOKUP(D154,'Pathway Analysis'!$E$768:$E$795,'Pathway Analysis'!$V$768:$V$795)</f>
        <v>3267.6944313118802</v>
      </c>
      <c r="F239" s="62"/>
    </row>
    <row r="240" spans="1:6" x14ac:dyDescent="0.3">
      <c r="B240" s="904" t="str">
        <f>'Pathway Analysis'!E769</f>
        <v>Impact on taxes via measures (indirect)</v>
      </c>
      <c r="C240" s="908" cm="1">
        <f t="array" ref="C240">INDEX('Pathway Analysis'!$V$768:$V$795,MATCH(C$154&amp;$B240,'Pathway Analysis'!$C$768:$C$795&amp;'Pathway Analysis'!$E$768:$E$795,0))</f>
        <v>71.675555022210247</v>
      </c>
      <c r="D240" s="909" cm="1">
        <f t="array" ref="D240">INDEX('Pathway Analysis'!$V$768:$V$795,MATCH(D$154&amp;$B240,'Pathway Analysis'!$C$768:$C$795&amp;'Pathway Analysis'!$E$768:$E$795,0))</f>
        <v>1822.1107336271157</v>
      </c>
    </row>
    <row r="241" spans="2:20" x14ac:dyDescent="0.3">
      <c r="B241" s="904" t="str">
        <f>'Pathway Analysis'!E770</f>
        <v>Ìmpact on taxes via tax meaures (direct)</v>
      </c>
      <c r="C241" s="908" cm="1">
        <f t="array" ref="C241">INDEX('Pathway Analysis'!$V$768:$V$795,MATCH(C$154&amp;$B241,'Pathway Analysis'!$C$768:$C$795&amp;'Pathway Analysis'!$E$768:$E$795,0))</f>
        <v>1020.1511362793361</v>
      </c>
      <c r="D241" s="909" cm="1">
        <f t="array" ref="D241">INDEX('Pathway Analysis'!$V$768:$V$795,MATCH(D$154&amp;$B241,'Pathway Analysis'!$C$768:$C$795&amp;'Pathway Analysis'!$E$768:$E$795,0))</f>
        <v>1804.0110071017361</v>
      </c>
    </row>
    <row r="242" spans="2:20" x14ac:dyDescent="0.3">
      <c r="B242" s="904" t="s">
        <v>212</v>
      </c>
      <c r="C242" s="889">
        <f>C239-SUM(C240:C241)</f>
        <v>-84.63277863797498</v>
      </c>
      <c r="D242" s="890">
        <f>D239-SUM(D240:D241)</f>
        <v>-358.42730941697164</v>
      </c>
    </row>
    <row r="243" spans="2:20" x14ac:dyDescent="0.3">
      <c r="B243" s="894"/>
      <c r="C243" s="896"/>
      <c r="D243" s="896"/>
    </row>
    <row r="244" spans="2:20" ht="18.75" thickBot="1" x14ac:dyDescent="0.4">
      <c r="B244" s="1987" t="s">
        <v>213</v>
      </c>
      <c r="C244" s="2"/>
      <c r="D244" s="2"/>
      <c r="E244" s="2"/>
      <c r="F244" s="2"/>
      <c r="G244" s="2"/>
      <c r="H244" s="2"/>
      <c r="I244" s="2"/>
      <c r="J244" s="2"/>
      <c r="K244" s="2"/>
      <c r="L244" s="2"/>
      <c r="M244" s="2"/>
      <c r="N244" s="2"/>
      <c r="O244" s="2"/>
      <c r="P244" s="2"/>
      <c r="Q244" s="2"/>
      <c r="R244" s="2"/>
      <c r="S244" s="2"/>
      <c r="T244" s="2"/>
    </row>
    <row r="245" spans="2:20" ht="14.25" thickTop="1" x14ac:dyDescent="0.3"/>
    <row r="246" spans="2:20" x14ac:dyDescent="0.3">
      <c r="B246" s="63" t="s">
        <v>214</v>
      </c>
    </row>
    <row r="247" spans="2:20" ht="15" x14ac:dyDescent="0.3">
      <c r="B247" s="878"/>
      <c r="C247" s="878" t="s">
        <v>13</v>
      </c>
      <c r="D247" s="900" t="str">
        <f>E94</f>
        <v>CEER1</v>
      </c>
      <c r="E247" s="1990" t="s">
        <v>215</v>
      </c>
    </row>
    <row r="248" spans="2:20" x14ac:dyDescent="0.3">
      <c r="B248" s="901" t="s">
        <v>216</v>
      </c>
      <c r="C248" s="912" cm="1">
        <f t="array" ref="C248:D248">_xlfn.XLOOKUP(C247:D247,'Pathway Analysis'!E182:E223,'Pathway Analysis'!F182:F223)/1000</f>
        <v>1.2591580423140167</v>
      </c>
      <c r="D248" s="913">
        <v>4.171217588617818</v>
      </c>
      <c r="E248" s="1991">
        <f t="shared" ref="E248:E257" si="14">D248-C248</f>
        <v>2.9120595463038015</v>
      </c>
    </row>
    <row r="249" spans="2:20" x14ac:dyDescent="0.3">
      <c r="B249" s="904" t="str">
        <f>'Pathway Analysis'!E183</f>
        <v>Industry</v>
      </c>
      <c r="C249" s="910" cm="1">
        <f t="array" ref="C249:D253">INDEX('Pathway Analysis'!F182:F223,MATCH(C247:D247&amp;B249:B253,'Pathway Analysis'!C182:C223&amp;'Pathway Analysis'!E182:E223,0))/1000</f>
        <v>0.56323398937814184</v>
      </c>
      <c r="D249" s="911">
        <v>0.96409193761456036</v>
      </c>
      <c r="E249" s="1991">
        <f t="shared" si="14"/>
        <v>0.40085794823641852</v>
      </c>
    </row>
    <row r="250" spans="2:20" x14ac:dyDescent="0.3">
      <c r="B250" s="904" t="str">
        <f>'Pathway Analysis'!E184</f>
        <v>Households</v>
      </c>
      <c r="C250" s="910">
        <v>0.37320263056070679</v>
      </c>
      <c r="D250" s="911">
        <v>1.0763326408560197</v>
      </c>
      <c r="E250" s="1991">
        <f t="shared" si="14"/>
        <v>0.70313001029531286</v>
      </c>
    </row>
    <row r="251" spans="2:20" x14ac:dyDescent="0.3">
      <c r="B251" s="904" t="str">
        <f>'Pathway Analysis'!E185</f>
        <v>Services</v>
      </c>
      <c r="C251" s="910">
        <v>0.12878676665079647</v>
      </c>
      <c r="D251" s="911">
        <v>0.6253471895224999</v>
      </c>
      <c r="E251" s="1991">
        <f t="shared" si="14"/>
        <v>0.49656042287170343</v>
      </c>
    </row>
    <row r="252" spans="2:20" x14ac:dyDescent="0.3">
      <c r="B252" s="904" t="str">
        <f>'Pathway Analysis'!E186</f>
        <v>Transport</v>
      </c>
      <c r="C252" s="910">
        <v>5.5501018356972111E-2</v>
      </c>
      <c r="D252" s="911">
        <v>1.3468003928971315</v>
      </c>
      <c r="E252" s="1991">
        <f t="shared" si="14"/>
        <v>1.2912993745401593</v>
      </c>
    </row>
    <row r="253" spans="2:20" x14ac:dyDescent="0.3">
      <c r="B253" s="904" t="str">
        <f>'Pathway Analysis'!E187</f>
        <v>Agriculture, fishing and forestry</v>
      </c>
      <c r="C253" s="910">
        <v>0.13843363736739966</v>
      </c>
      <c r="D253" s="911">
        <v>0.1586454277276064</v>
      </c>
      <c r="E253" s="1991">
        <f t="shared" si="14"/>
        <v>2.0211790360206733E-2</v>
      </c>
    </row>
    <row r="254" spans="2:20" x14ac:dyDescent="0.3">
      <c r="B254" s="901" t="s">
        <v>217</v>
      </c>
      <c r="C254" s="912"/>
      <c r="D254" s="913"/>
      <c r="E254" s="1991">
        <f t="shared" si="14"/>
        <v>0</v>
      </c>
    </row>
    <row r="255" spans="2:20" x14ac:dyDescent="0.3">
      <c r="B255" s="904" t="str">
        <f>'Pathway Analysis'!Y183</f>
        <v>SOx</v>
      </c>
      <c r="C255" s="910" cm="1">
        <f t="array" ref="C255:D257">INDEX('Pathway Analysis'!Z182:Z209,MATCH(C247:D247&amp;B255:B257,'Pathway Analysis'!W182:W209&amp;'Pathway Analysis'!Y182:Y209,0))</f>
        <v>0.68554936221490259</v>
      </c>
      <c r="D255" s="911">
        <v>2.2505571474499524</v>
      </c>
      <c r="E255" s="1991">
        <f t="shared" si="14"/>
        <v>1.5650077852350499</v>
      </c>
    </row>
    <row r="256" spans="2:20" x14ac:dyDescent="0.3">
      <c r="B256" s="904" t="str">
        <f>'Pathway Analysis'!Y184</f>
        <v>NOx</v>
      </c>
      <c r="C256" s="910">
        <v>0.72192297147606932</v>
      </c>
      <c r="D256" s="911">
        <v>2.1111980733213862</v>
      </c>
      <c r="E256" s="1991">
        <f t="shared" si="14"/>
        <v>1.3892751018453169</v>
      </c>
    </row>
    <row r="257" spans="1:20" x14ac:dyDescent="0.3">
      <c r="B257" s="904" t="str">
        <f>'Pathway Analysis'!Y185</f>
        <v>PM2.5</v>
      </c>
      <c r="C257" s="910">
        <v>0.63854076473075672</v>
      </c>
      <c r="D257" s="911">
        <v>2.1809039448679624</v>
      </c>
      <c r="E257" s="1991">
        <f t="shared" si="14"/>
        <v>1.5423631801372055</v>
      </c>
    </row>
    <row r="260" spans="1:20" ht="18.75" thickBot="1" x14ac:dyDescent="0.4">
      <c r="B260" s="1987" t="s">
        <v>218</v>
      </c>
      <c r="C260" s="2"/>
      <c r="D260" s="2"/>
      <c r="E260" s="2"/>
      <c r="F260" s="2"/>
      <c r="G260" s="2"/>
      <c r="H260" s="2"/>
      <c r="I260" s="2"/>
      <c r="J260" s="2"/>
      <c r="K260" s="2"/>
      <c r="L260" s="2"/>
      <c r="M260" s="2"/>
      <c r="N260" s="2"/>
      <c r="O260" s="2"/>
      <c r="P260" s="2"/>
      <c r="Q260" s="2"/>
      <c r="R260" s="2"/>
      <c r="S260" s="2"/>
      <c r="T260" s="2"/>
    </row>
    <row r="261" spans="1:20" ht="15.75" thickTop="1" x14ac:dyDescent="0.3">
      <c r="B261" s="5" t="s">
        <v>219</v>
      </c>
      <c r="C261" s="5"/>
      <c r="D261" s="5"/>
      <c r="E261" s="5"/>
      <c r="F261" s="5"/>
    </row>
    <row r="262" spans="1:20" x14ac:dyDescent="0.3">
      <c r="B262" s="63" t="s">
        <v>220</v>
      </c>
      <c r="L262">
        <v>1</v>
      </c>
      <c r="M262">
        <v>2</v>
      </c>
      <c r="N262">
        <v>3</v>
      </c>
      <c r="O262">
        <v>4</v>
      </c>
      <c r="P262">
        <v>5</v>
      </c>
    </row>
    <row r="263" spans="1:20" ht="54" x14ac:dyDescent="0.3">
      <c r="B263" s="1588" t="s">
        <v>221</v>
      </c>
      <c r="C263" s="1588" t="s">
        <v>222</v>
      </c>
      <c r="D263" s="1589" t="s">
        <v>223</v>
      </c>
      <c r="E263" s="1588" t="s">
        <v>224</v>
      </c>
      <c r="F263" s="1589" t="s">
        <v>225</v>
      </c>
      <c r="K263" s="878"/>
      <c r="L263" s="878" t="str" cm="1">
        <f t="array" ref="L263:P263">TRANSPOSE(_xlfn.ANCHORARRAY(B264))</f>
        <v xml:space="preserve">Põhja-Eesti </v>
      </c>
      <c r="M263" s="900" t="str">
        <v>Lääne-Eesti</v>
      </c>
      <c r="N263" s="878" t="str">
        <v>Kirde-Eesti</v>
      </c>
      <c r="O263" s="900" t="str">
        <v>Lõuna-Eesti </v>
      </c>
      <c r="P263" s="878" t="str">
        <v>Kesk-Eesti</v>
      </c>
    </row>
    <row r="264" spans="1:20" x14ac:dyDescent="0.3">
      <c r="A264">
        <v>1</v>
      </c>
      <c r="B264" s="904" t="str" cm="1">
        <f t="array" ref="B264:B268">Assumptions!B742:B746</f>
        <v xml:space="preserve">Põhja-Eesti </v>
      </c>
      <c r="C264" s="1150" cm="1">
        <f t="array" ref="C264">-INDEX('Pathway Analysis'!$AR$15:$AR$56,MATCH($E$94,'Pathway Analysis'!$AQ$15:$AQ$56,0)+A264)/1000</f>
        <v>7.9118728834552972</v>
      </c>
      <c r="D264" s="908" cm="1">
        <f t="array" ref="D264">INDEX('Pathway Analysis'!$X$356:$X$397,MATCH($E$94,'Pathway Analysis'!$W$356:$W$397,0)+A264)</f>
        <v>4970.7066035234729</v>
      </c>
      <c r="E264" s="908" cm="1">
        <f t="array" ref="E264">INDEX('Pathway Analysis'!$X$495:$X$536,MATCH($E$94,'Pathway Analysis'!$W$495:$W$536,0)+A264)</f>
        <v>787.6497454447865</v>
      </c>
      <c r="F264" s="909">
        <f>(D264-E264)/C264</f>
        <v>528.70627722368681</v>
      </c>
      <c r="J264" s="2060" t="s">
        <v>222</v>
      </c>
      <c r="K264" t="str" cm="1">
        <f t="array" ref="K264:K270">TRANSPOSE(G904:M904)</f>
        <v>Baseline</v>
      </c>
      <c r="L264" s="528" cm="1">
        <f t="array" ref="L264:P270">-INDEX('Pathway Analysis'!$AR$15:$AR$56,MATCH(_xlfn.ANCHORARRAY(K264),'Pathway Analysis'!$AQ$15:$AQ$56,0)+L262:P262)/1000</f>
        <v>2.6717572745726912</v>
      </c>
      <c r="M264" s="528">
        <v>0.51799202464138472</v>
      </c>
      <c r="N264" s="528">
        <v>0.54486799486057347</v>
      </c>
      <c r="O264" s="528">
        <v>1.2147834452686928</v>
      </c>
      <c r="P264" s="528">
        <v>0.51221662179333327</v>
      </c>
    </row>
    <row r="265" spans="1:20" x14ac:dyDescent="0.3">
      <c r="A265">
        <v>2</v>
      </c>
      <c r="B265" s="904" t="str">
        <v>Lääne-Eesti</v>
      </c>
      <c r="C265" s="1150" cm="1">
        <f t="array" ref="C265">-INDEX('Pathway Analysis'!$AR$15:$AR$56,MATCH($E$94,'Pathway Analysis'!$AQ$15:$AQ$56,0)+A265)/1000</f>
        <v>2.2834642796325966</v>
      </c>
      <c r="D265" s="908" cm="1">
        <f t="array" ref="D265">INDEX('Pathway Analysis'!$X$356:$X$397,MATCH($E$94,'Pathway Analysis'!$W$356:$W$397,0)+A265)</f>
        <v>2204.4334109715264</v>
      </c>
      <c r="E265" s="908" cm="1">
        <f t="array" ref="E265">INDEX('Pathway Analysis'!$X$495:$X$536,MATCH($E$94,'Pathway Analysis'!$W$495:$W$536,0)+A265)</f>
        <v>233.29706040880762</v>
      </c>
      <c r="F265" s="909">
        <f t="shared" ref="F265:F269" si="15">(D265-E265)/C265</f>
        <v>863.22188971568642</v>
      </c>
      <c r="J265" s="2061"/>
      <c r="K265" t="str">
        <v>EEO</v>
      </c>
      <c r="L265" s="528">
        <v>6.3593919865969548</v>
      </c>
      <c r="M265" s="528">
        <v>1.9950012207443881</v>
      </c>
      <c r="N265" s="528">
        <v>1.2814924566399972</v>
      </c>
      <c r="O265" s="528">
        <v>3.3934812891565667</v>
      </c>
      <c r="P265" s="528">
        <v>1.4946491149015513</v>
      </c>
    </row>
    <row r="266" spans="1:20" x14ac:dyDescent="0.3">
      <c r="A266">
        <v>3</v>
      </c>
      <c r="B266" s="904" t="str">
        <v>Kirde-Eesti</v>
      </c>
      <c r="C266" s="1150" cm="1">
        <f t="array" ref="C266">-INDEX('Pathway Analysis'!$AR$15:$AR$56,MATCH($E$94,'Pathway Analysis'!$AQ$15:$AQ$56,0)+A266)/1000</f>
        <v>1.4137692925331884</v>
      </c>
      <c r="D266" s="908" cm="1">
        <f t="array" ref="D266">INDEX('Pathway Analysis'!$X$356:$X$397,MATCH($E$94,'Pathway Analysis'!$W$356:$W$397,0)+A266)</f>
        <v>1109.7517239276913</v>
      </c>
      <c r="E266" s="908" cm="1">
        <f t="array" ref="E266">INDEX('Pathway Analysis'!$X$495:$X$536,MATCH($E$94,'Pathway Analysis'!$W$495:$W$536,0)+A266)</f>
        <v>136.06358861101947</v>
      </c>
      <c r="F266" s="909">
        <f t="shared" si="15"/>
        <v>688.71784134738118</v>
      </c>
      <c r="J266" s="2061"/>
      <c r="K266" t="str">
        <v>VA</v>
      </c>
      <c r="L266" s="528">
        <v>6.3564134846155005</v>
      </c>
      <c r="M266" s="528">
        <v>1.701965794600629</v>
      </c>
      <c r="N266" s="528">
        <v>1.3233571060019926</v>
      </c>
      <c r="O266" s="528">
        <v>3.0039224769806943</v>
      </c>
      <c r="P266" s="528">
        <v>1.2987614730320245</v>
      </c>
    </row>
    <row r="267" spans="1:20" x14ac:dyDescent="0.3">
      <c r="A267">
        <v>4</v>
      </c>
      <c r="B267" s="904" t="str">
        <v>Lõuna-Eesti </v>
      </c>
      <c r="C267" s="1150" cm="1">
        <f t="array" ref="C267">-INDEX('Pathway Analysis'!$AR$15:$AR$56,MATCH($E$94,'Pathway Analysis'!$AQ$15:$AQ$56,0)+A267)/1000</f>
        <v>3.3466540092172155</v>
      </c>
      <c r="D267" s="908" cm="1">
        <f t="array" ref="D267">INDEX('Pathway Analysis'!$X$356:$X$397,MATCH($E$94,'Pathway Analysis'!$W$356:$W$397,0)+A267)</f>
        <v>2882.3688483959245</v>
      </c>
      <c r="E267" s="908" cm="1">
        <f t="array" ref="E267">INDEX('Pathway Analysis'!$X$495:$X$536,MATCH($E$94,'Pathway Analysis'!$W$495:$W$536,0)+A267)</f>
        <v>330.1337847804773</v>
      </c>
      <c r="F267" s="909">
        <f t="shared" si="15"/>
        <v>762.62292324996463</v>
      </c>
      <c r="J267" s="2061"/>
      <c r="K267" t="str">
        <v>RenoWave</v>
      </c>
      <c r="L267" s="528">
        <v>7.5244281619817661</v>
      </c>
      <c r="M267" s="528">
        <v>2.2810527853544316</v>
      </c>
      <c r="N267" s="528">
        <v>1.7094687100468016</v>
      </c>
      <c r="O267" s="528">
        <v>4.0680302310417877</v>
      </c>
      <c r="P267" s="528">
        <v>1.784945923527786</v>
      </c>
    </row>
    <row r="268" spans="1:20" x14ac:dyDescent="0.3">
      <c r="A268">
        <v>5</v>
      </c>
      <c r="B268" s="904" t="str">
        <v>Kesk-Eesti</v>
      </c>
      <c r="C268" s="1150" cm="1">
        <f t="array" ref="C268">-INDEX('Pathway Analysis'!$AR$15:$AR$56,MATCH($E$94,'Pathway Analysis'!$AQ$15:$AQ$56,0)+A268)/1000</f>
        <v>1.4169431490972071</v>
      </c>
      <c r="D268" s="908" cm="1">
        <f t="array" ref="D268">INDEX('Pathway Analysis'!$X$356:$X$397,MATCH($E$94,'Pathway Analysis'!$W$356:$W$397,0)+A268)</f>
        <v>1289.7920766206562</v>
      </c>
      <c r="E268" s="908" cm="1">
        <f t="array" ref="E268">INDEX('Pathway Analysis'!$X$495:$X$536,MATCH($E$94,'Pathway Analysis'!$W$495:$W$536,0)+A268)</f>
        <v>139.23844694745577</v>
      </c>
      <c r="F268" s="909">
        <f t="shared" si="15"/>
        <v>811.99703065452252</v>
      </c>
      <c r="J268" s="2061"/>
      <c r="K268" t="str">
        <v>EET</v>
      </c>
      <c r="L268" s="528">
        <v>8.9718738695259308</v>
      </c>
      <c r="M268" s="528">
        <v>2.8135582767112579</v>
      </c>
      <c r="N268" s="528">
        <v>1.2700246063293812</v>
      </c>
      <c r="O268" s="528">
        <v>3.0826899416045936</v>
      </c>
      <c r="P268" s="528">
        <v>1.2561798704485685</v>
      </c>
    </row>
    <row r="269" spans="1:20" x14ac:dyDescent="0.3">
      <c r="B269" s="1391" t="s">
        <v>55</v>
      </c>
      <c r="C269" s="1392">
        <f>SUM(C264:C268)</f>
        <v>16.372703613935506</v>
      </c>
      <c r="D269" s="1393">
        <f t="shared" ref="D269:E269" si="16">SUM(D264:D268)</f>
        <v>12457.052663439274</v>
      </c>
      <c r="E269" s="1392">
        <f t="shared" si="16"/>
        <v>1626.3826261925467</v>
      </c>
      <c r="F269" s="1394">
        <f t="shared" si="15"/>
        <v>661.50773217614972</v>
      </c>
      <c r="J269" s="2061"/>
      <c r="K269" t="str">
        <v>CEER1</v>
      </c>
      <c r="L269" s="528">
        <v>7.9118728834552972</v>
      </c>
      <c r="M269" s="528">
        <v>2.2834642796325966</v>
      </c>
      <c r="N269" s="528">
        <v>1.4137692925331884</v>
      </c>
      <c r="O269" s="528">
        <v>3.3466540092172155</v>
      </c>
      <c r="P269" s="528">
        <v>1.4169431490972071</v>
      </c>
    </row>
    <row r="270" spans="1:20" x14ac:dyDescent="0.3">
      <c r="J270" s="2061"/>
      <c r="K270" t="str">
        <v>CEER2</v>
      </c>
      <c r="L270" s="528">
        <v>10.1422806616019</v>
      </c>
      <c r="M270" s="528">
        <v>2.7636322840316492</v>
      </c>
      <c r="N270" s="528">
        <v>1.7779805027411835</v>
      </c>
      <c r="O270" s="528">
        <v>4.2486833326202182</v>
      </c>
      <c r="P270" s="528">
        <v>1.789455932427783</v>
      </c>
    </row>
    <row r="271" spans="1:20" x14ac:dyDescent="0.3">
      <c r="J271" s="2060" t="s">
        <v>223</v>
      </c>
      <c r="K271" t="str" cm="1">
        <f t="array" ref="K271:K277">_xlfn.ANCHORARRAY(K264)</f>
        <v>Baseline</v>
      </c>
      <c r="L271" s="493" cm="1">
        <f t="array" ref="L271:P277">INDEX('Pathway Analysis'!$X$356:$X$397,MATCH(_xlfn.ANCHORARRAY(K271),'Pathway Analysis'!$W$356:$W$397,0)+L262:P262)</f>
        <v>739.44853600183149</v>
      </c>
      <c r="M271" s="493">
        <v>166.26901301956923</v>
      </c>
      <c r="N271" s="493">
        <v>150.5776291570667</v>
      </c>
      <c r="O271" s="493">
        <v>373.82658511240567</v>
      </c>
      <c r="P271" s="493">
        <v>157.79697995653868</v>
      </c>
    </row>
    <row r="272" spans="1:20" ht="15" x14ac:dyDescent="0.35">
      <c r="B272" s="1454" t="s">
        <v>226</v>
      </c>
      <c r="J272" s="2061"/>
      <c r="K272" t="str">
        <v>EEO</v>
      </c>
      <c r="L272" s="493">
        <v>3757.9655580676954</v>
      </c>
      <c r="M272" s="493">
        <v>1663.4051929325094</v>
      </c>
      <c r="N272" s="493">
        <v>873.27021678014728</v>
      </c>
      <c r="O272" s="493">
        <v>2583.4557539915832</v>
      </c>
      <c r="P272" s="493">
        <v>1163.4334521223773</v>
      </c>
    </row>
    <row r="273" spans="10:16" x14ac:dyDescent="0.3">
      <c r="J273" s="2061"/>
      <c r="K273" t="str">
        <v>VA</v>
      </c>
      <c r="L273" s="493">
        <v>4112.0654343016668</v>
      </c>
      <c r="M273" s="493">
        <v>1661.4582838522456</v>
      </c>
      <c r="N273" s="493">
        <v>1002.7140255026154</v>
      </c>
      <c r="O273" s="493">
        <v>2613.8435558770143</v>
      </c>
      <c r="P273" s="493">
        <v>1174.4205747554347</v>
      </c>
    </row>
    <row r="274" spans="10:16" x14ac:dyDescent="0.3">
      <c r="J274" s="2061"/>
      <c r="K274" t="str">
        <v>RenoWave</v>
      </c>
      <c r="L274" s="493">
        <v>6757.1422536204782</v>
      </c>
      <c r="M274" s="493">
        <v>2651.7569532960088</v>
      </c>
      <c r="N274" s="493">
        <v>1819.7574069287537</v>
      </c>
      <c r="O274" s="493">
        <v>4567.1147282730826</v>
      </c>
      <c r="P274" s="493">
        <v>2054.838434774535</v>
      </c>
    </row>
    <row r="275" spans="10:16" x14ac:dyDescent="0.3">
      <c r="J275" s="2061"/>
      <c r="K275" t="str">
        <v>EET</v>
      </c>
      <c r="L275" s="493">
        <v>5254.8240885625582</v>
      </c>
      <c r="M275" s="493">
        <v>2702.0735610131087</v>
      </c>
      <c r="N275" s="493">
        <v>967.97432197017474</v>
      </c>
      <c r="O275" s="493">
        <v>2539.957771579403</v>
      </c>
      <c r="P275" s="493">
        <v>1127.7959351697366</v>
      </c>
    </row>
    <row r="276" spans="10:16" x14ac:dyDescent="0.3">
      <c r="J276" s="2061"/>
      <c r="K276" t="str">
        <v>CEER1</v>
      </c>
      <c r="L276" s="493">
        <v>4970.7066035234729</v>
      </c>
      <c r="M276" s="493">
        <v>2204.4334109715264</v>
      </c>
      <c r="N276" s="493">
        <v>1109.7517239276913</v>
      </c>
      <c r="O276" s="493">
        <v>2882.3688483959245</v>
      </c>
      <c r="P276" s="493">
        <v>1289.7920766206562</v>
      </c>
    </row>
    <row r="277" spans="10:16" x14ac:dyDescent="0.3">
      <c r="J277" s="2061"/>
      <c r="K277" t="str">
        <v>CEER2</v>
      </c>
      <c r="L277" s="493">
        <v>6726.5127365759454</v>
      </c>
      <c r="M277" s="493">
        <v>2955.6669906783195</v>
      </c>
      <c r="N277" s="493">
        <v>1562.7628964842615</v>
      </c>
      <c r="O277" s="493">
        <v>4157.0580100521793</v>
      </c>
      <c r="P277" s="493">
        <v>1878.06989925162</v>
      </c>
    </row>
    <row r="278" spans="10:16" x14ac:dyDescent="0.3">
      <c r="J278" s="2060" t="s">
        <v>224</v>
      </c>
      <c r="K278" t="str" cm="1">
        <f t="array" ref="K278:K284">_xlfn.ANCHORARRAY(K271)</f>
        <v>Baseline</v>
      </c>
      <c r="L278" s="528" cm="1">
        <f t="array" ref="L278:P284">INDEX('Pathway Analysis'!X495:X536,MATCH(_xlfn.ANCHORARRAY(K278),'Pathway Analysis'!W495:W536,0)+L262:P262)</f>
        <v>239.99959486942436</v>
      </c>
      <c r="M278" s="528">
        <v>46.31924335965202</v>
      </c>
      <c r="N278" s="528">
        <v>47.984013620893961</v>
      </c>
      <c r="O278" s="528">
        <v>108.91778641120781</v>
      </c>
      <c r="P278" s="528">
        <v>45.670211906134099</v>
      </c>
    </row>
    <row r="279" spans="10:16" x14ac:dyDescent="0.3">
      <c r="J279" s="2061"/>
      <c r="K279" t="str">
        <v>EEO</v>
      </c>
      <c r="L279" s="528">
        <v>616.18241120723599</v>
      </c>
      <c r="M279" s="528">
        <v>196.51346283381986</v>
      </c>
      <c r="N279" s="528">
        <v>122.22463696651717</v>
      </c>
      <c r="O279" s="528">
        <v>328.36939774550609</v>
      </c>
      <c r="P279" s="528">
        <v>144.27349104942328</v>
      </c>
    </row>
    <row r="280" spans="10:16" x14ac:dyDescent="0.3">
      <c r="J280" s="2061"/>
      <c r="K280" t="str">
        <v>VA</v>
      </c>
      <c r="L280" s="528">
        <v>609.36944882157843</v>
      </c>
      <c r="M280" s="528">
        <v>167.29054395767719</v>
      </c>
      <c r="N280" s="528">
        <v>124.35916189272103</v>
      </c>
      <c r="O280" s="528">
        <v>288.01308872295738</v>
      </c>
      <c r="P280" s="528">
        <v>124.21759837936681</v>
      </c>
    </row>
    <row r="281" spans="10:16" x14ac:dyDescent="0.3">
      <c r="J281" s="2061"/>
      <c r="K281" t="str">
        <v>RenoWave</v>
      </c>
      <c r="L281" s="528">
        <v>738.4042108046641</v>
      </c>
      <c r="M281" s="528">
        <v>228.36737528138727</v>
      </c>
      <c r="N281" s="528">
        <v>166.30356719993591</v>
      </c>
      <c r="O281" s="528">
        <v>401.96788679795065</v>
      </c>
      <c r="P281" s="528">
        <v>176.18025772424608</v>
      </c>
    </row>
    <row r="282" spans="10:16" x14ac:dyDescent="0.3">
      <c r="J282" s="2061"/>
      <c r="K282" t="str">
        <v>EET</v>
      </c>
      <c r="L282" s="528">
        <v>911.56366046340486</v>
      </c>
      <c r="M282" s="528">
        <v>292.56333887714908</v>
      </c>
      <c r="N282" s="528">
        <v>122.14983546386424</v>
      </c>
      <c r="O282" s="528">
        <v>302.41753287944675</v>
      </c>
      <c r="P282" s="528">
        <v>122.10413867375658</v>
      </c>
    </row>
    <row r="283" spans="10:16" x14ac:dyDescent="0.3">
      <c r="J283" s="2061"/>
      <c r="K283" t="str">
        <v>CEER1</v>
      </c>
      <c r="L283" s="528">
        <v>787.6497454447865</v>
      </c>
      <c r="M283" s="528">
        <v>233.29706040880762</v>
      </c>
      <c r="N283" s="528">
        <v>136.06358861101947</v>
      </c>
      <c r="O283" s="528">
        <v>330.1337847804773</v>
      </c>
      <c r="P283" s="528">
        <v>139.23844694745577</v>
      </c>
    </row>
    <row r="284" spans="10:16" x14ac:dyDescent="0.3">
      <c r="J284" s="2061"/>
      <c r="K284" t="str">
        <v>CEER2</v>
      </c>
      <c r="L284" s="528">
        <v>1016.3422776650298</v>
      </c>
      <c r="M284" s="528">
        <v>279.86739708793215</v>
      </c>
      <c r="N284" s="528">
        <v>171.97045334729896</v>
      </c>
      <c r="O284" s="528">
        <v>418.72142903702888</v>
      </c>
      <c r="P284" s="528">
        <v>175.25047872775323</v>
      </c>
    </row>
    <row r="285" spans="10:16" x14ac:dyDescent="0.3">
      <c r="J285" s="2060" t="s">
        <v>225</v>
      </c>
      <c r="K285" t="str" cm="1">
        <f t="array" ref="K285:K291">_xlfn.ANCHORARRAY(K278)</f>
        <v>Baseline</v>
      </c>
      <c r="L285" s="493">
        <f>(L271)/L264</f>
        <v>276.76486297584631</v>
      </c>
      <c r="M285" s="493">
        <f t="shared" ref="M285:P285" si="17">(M271-M278)/M264</f>
        <v>231.5668271976979</v>
      </c>
      <c r="N285" s="493">
        <f t="shared" si="17"/>
        <v>188.29077226755714</v>
      </c>
      <c r="O285" s="493">
        <f t="shared" si="17"/>
        <v>218.07080079413149</v>
      </c>
      <c r="P285" s="493">
        <f t="shared" si="17"/>
        <v>218.90497746409517</v>
      </c>
    </row>
    <row r="286" spans="10:16" x14ac:dyDescent="0.3">
      <c r="J286" s="2061"/>
      <c r="K286" t="str">
        <v>EEO</v>
      </c>
      <c r="L286" s="493">
        <f t="shared" ref="L286:P291" si="18">(L272-L279)/L265</f>
        <v>494.03829068597707</v>
      </c>
      <c r="M286" s="493">
        <f t="shared" si="18"/>
        <v>735.28362531595496</v>
      </c>
      <c r="N286" s="493">
        <f t="shared" si="18"/>
        <v>586.07101112622252</v>
      </c>
      <c r="O286" s="493">
        <f t="shared" si="18"/>
        <v>664.53478422053365</v>
      </c>
      <c r="P286" s="493">
        <f t="shared" si="18"/>
        <v>681.87238791499465</v>
      </c>
    </row>
    <row r="287" spans="10:16" x14ac:dyDescent="0.3">
      <c r="J287" s="2061"/>
      <c r="K287" t="str">
        <v>VA</v>
      </c>
      <c r="L287" s="493">
        <f t="shared" si="18"/>
        <v>551.04910873996846</v>
      </c>
      <c r="M287" s="493">
        <f t="shared" si="18"/>
        <v>877.90703234736816</v>
      </c>
      <c r="N287" s="493">
        <f t="shared" si="18"/>
        <v>663.73230598617567</v>
      </c>
      <c r="O287" s="493">
        <f t="shared" si="18"/>
        <v>774.26447752133674</v>
      </c>
      <c r="P287" s="493">
        <f t="shared" si="18"/>
        <v>808.61882507518169</v>
      </c>
    </row>
    <row r="288" spans="10:16" x14ac:dyDescent="0.3">
      <c r="J288" s="2061"/>
      <c r="K288" t="str">
        <v>RenoWave</v>
      </c>
      <c r="L288" s="493">
        <f t="shared" si="18"/>
        <v>799.89308333440363</v>
      </c>
      <c r="M288" s="493">
        <f t="shared" si="18"/>
        <v>1062.3996049429752</v>
      </c>
      <c r="N288" s="493">
        <f t="shared" si="18"/>
        <v>967.23258519516844</v>
      </c>
      <c r="O288" s="493">
        <f t="shared" si="18"/>
        <v>1023.8731289881474</v>
      </c>
      <c r="P288" s="493">
        <f t="shared" si="18"/>
        <v>1052.5014524458472</v>
      </c>
    </row>
    <row r="289" spans="2:21" x14ac:dyDescent="0.3">
      <c r="J289" s="2061"/>
      <c r="K289" t="str">
        <v>EET</v>
      </c>
      <c r="L289" s="493">
        <f t="shared" si="18"/>
        <v>484.09735705843678</v>
      </c>
      <c r="M289" s="493">
        <f t="shared" si="18"/>
        <v>856.39250556146783</v>
      </c>
      <c r="N289" s="493">
        <f t="shared" si="18"/>
        <v>665.99062907206826</v>
      </c>
      <c r="O289" s="493">
        <f t="shared" si="18"/>
        <v>725.84018538539033</v>
      </c>
      <c r="P289" s="493">
        <f t="shared" si="18"/>
        <v>800.5953766293502</v>
      </c>
    </row>
    <row r="290" spans="2:21" x14ac:dyDescent="0.3">
      <c r="J290" s="2061"/>
      <c r="K290" t="str">
        <v>CEER1</v>
      </c>
      <c r="L290" s="493">
        <f t="shared" si="18"/>
        <v>528.70627722368681</v>
      </c>
      <c r="M290" s="493">
        <f t="shared" si="18"/>
        <v>863.22188971568642</v>
      </c>
      <c r="N290" s="493">
        <f t="shared" si="18"/>
        <v>688.71784134738118</v>
      </c>
      <c r="O290" s="493">
        <f t="shared" si="18"/>
        <v>762.62292324996463</v>
      </c>
      <c r="P290" s="493">
        <f t="shared" si="18"/>
        <v>811.99703065452252</v>
      </c>
    </row>
    <row r="291" spans="2:21" x14ac:dyDescent="0.3">
      <c r="J291" s="2061"/>
      <c r="K291" t="str">
        <v>CEER2</v>
      </c>
      <c r="L291" s="493">
        <f t="shared" si="18"/>
        <v>563.00655142874302</v>
      </c>
      <c r="M291" s="493">
        <f t="shared" si="18"/>
        <v>968.21838746465596</v>
      </c>
      <c r="N291" s="493">
        <f t="shared" si="18"/>
        <v>782.23154921705975</v>
      </c>
      <c r="O291" s="493">
        <f t="shared" si="18"/>
        <v>879.88119809100237</v>
      </c>
      <c r="P291" s="493">
        <f t="shared" si="18"/>
        <v>951.58499835959901</v>
      </c>
    </row>
    <row r="295" spans="2:21" ht="27.75" x14ac:dyDescent="0.45">
      <c r="B295" s="2049" t="s">
        <v>141</v>
      </c>
      <c r="C295" s="2049"/>
      <c r="D295" s="2049"/>
      <c r="E295" s="2049"/>
      <c r="F295" s="2049"/>
      <c r="G295" s="2049"/>
      <c r="H295" s="2049"/>
      <c r="I295" s="2049"/>
      <c r="J295" s="2049"/>
      <c r="K295" s="2049"/>
      <c r="L295" s="2049"/>
      <c r="M295" s="2049"/>
      <c r="N295" s="2049"/>
      <c r="O295" s="1552"/>
      <c r="P295" s="1552"/>
      <c r="Q295" s="1552"/>
      <c r="R295" s="1552"/>
      <c r="S295" s="1552"/>
      <c r="T295" s="1552"/>
      <c r="U295" s="1552"/>
    </row>
    <row r="297" spans="2:21" ht="18.75" thickBot="1" x14ac:dyDescent="0.4">
      <c r="B297" s="1987" t="s">
        <v>227</v>
      </c>
      <c r="C297" s="2"/>
      <c r="D297" s="2"/>
      <c r="E297" s="2"/>
      <c r="F297" s="2"/>
      <c r="G297" s="2"/>
      <c r="H297" s="2"/>
      <c r="I297" s="2"/>
      <c r="J297" s="2"/>
      <c r="K297" s="2"/>
      <c r="L297" s="2"/>
      <c r="M297" s="2"/>
      <c r="N297" s="2"/>
      <c r="O297" s="2"/>
      <c r="P297" s="2"/>
      <c r="Q297" s="2"/>
      <c r="R297" s="2"/>
      <c r="S297" s="2"/>
      <c r="T297" s="2"/>
      <c r="U297" s="2"/>
    </row>
    <row r="298" spans="2:21" ht="14.25" thickTop="1" x14ac:dyDescent="0.3">
      <c r="B298" s="63" t="s">
        <v>228</v>
      </c>
    </row>
    <row r="299" spans="2:21" ht="35.1" customHeight="1" x14ac:dyDescent="0.3">
      <c r="B299" s="878"/>
      <c r="C299" s="879" t="s">
        <v>229</v>
      </c>
      <c r="D299" s="879" t="s">
        <v>13</v>
      </c>
      <c r="E299" s="879" t="s">
        <v>35</v>
      </c>
      <c r="F299" s="879" t="s">
        <v>36</v>
      </c>
      <c r="G299" s="879" t="s">
        <v>62</v>
      </c>
      <c r="H299" s="879" t="s">
        <v>38</v>
      </c>
      <c r="I299" s="879" t="s">
        <v>39</v>
      </c>
      <c r="J299" s="880" t="s">
        <v>40</v>
      </c>
    </row>
    <row r="300" spans="2:21" ht="30" x14ac:dyDescent="0.3">
      <c r="B300" s="1395" t="s">
        <v>163</v>
      </c>
      <c r="C300" s="1590">
        <v>30</v>
      </c>
      <c r="D300" s="1324">
        <f t="shared" ref="D300:J300" si="19">D312</f>
        <v>32.800636129512888</v>
      </c>
      <c r="E300" s="1030">
        <f t="shared" si="19"/>
        <v>30.380158035912608</v>
      </c>
      <c r="F300" s="1030">
        <f t="shared" si="19"/>
        <v>30.505241511688403</v>
      </c>
      <c r="G300" s="1030">
        <f t="shared" si="19"/>
        <v>29.550812071545629</v>
      </c>
      <c r="H300" s="1030">
        <f t="shared" si="19"/>
        <v>29.749509864005553</v>
      </c>
      <c r="I300" s="1030">
        <f t="shared" si="19"/>
        <v>29.898501679655404</v>
      </c>
      <c r="J300" s="1322">
        <f t="shared" si="19"/>
        <v>28.657361055021678</v>
      </c>
    </row>
    <row r="301" spans="2:21" ht="14.1" customHeight="1" x14ac:dyDescent="0.3"/>
    <row r="302" spans="2:21" ht="18.75" thickBot="1" x14ac:dyDescent="0.4">
      <c r="B302" s="1987" t="s">
        <v>163</v>
      </c>
      <c r="C302" s="2"/>
      <c r="D302" s="2"/>
      <c r="E302" s="2"/>
      <c r="F302" s="2"/>
      <c r="G302" s="2"/>
      <c r="H302" s="2"/>
      <c r="I302" s="2"/>
      <c r="J302" s="2"/>
      <c r="K302" s="2"/>
      <c r="L302" s="2"/>
      <c r="M302" s="2"/>
      <c r="N302" s="2"/>
      <c r="O302" s="2"/>
      <c r="P302" s="2"/>
      <c r="Q302" s="2"/>
      <c r="R302" s="2"/>
      <c r="S302" s="2"/>
      <c r="T302" s="2"/>
      <c r="U302" s="2"/>
    </row>
    <row r="303" spans="2:21" ht="15.75" thickTop="1" x14ac:dyDescent="0.3">
      <c r="B303" s="5" t="s">
        <v>230</v>
      </c>
      <c r="C303" s="5"/>
      <c r="D303" s="5"/>
      <c r="E303" s="5"/>
      <c r="F303" s="5"/>
      <c r="G303" s="5"/>
      <c r="H303" s="5"/>
      <c r="I303" s="5"/>
      <c r="J303" s="5"/>
      <c r="K303" s="5"/>
      <c r="L303" s="5"/>
      <c r="M303" s="5"/>
      <c r="N303" s="5"/>
      <c r="O303" s="5"/>
      <c r="P303" s="5"/>
      <c r="Q303" s="5"/>
      <c r="R303" s="5"/>
      <c r="S303" s="5"/>
      <c r="T303" s="5"/>
      <c r="U303" s="5"/>
    </row>
    <row r="304" spans="2:21" x14ac:dyDescent="0.3">
      <c r="L304" s="2040" t="s">
        <v>231</v>
      </c>
    </row>
    <row r="305" spans="2:12" ht="27" x14ac:dyDescent="0.3">
      <c r="B305" s="9"/>
      <c r="C305" s="9" t="str">
        <f>'Pathway Analysis'!E9</f>
        <v>W/o EE measures</v>
      </c>
      <c r="D305" s="542" t="str">
        <f t="shared" ref="D305:J305" si="20">C54</f>
        <v>Baseline</v>
      </c>
      <c r="E305" s="542" t="str">
        <f t="shared" si="20"/>
        <v>EEO</v>
      </c>
      <c r="F305" s="542" t="str">
        <f t="shared" si="20"/>
        <v>VA</v>
      </c>
      <c r="G305" s="542" t="str">
        <f t="shared" si="20"/>
        <v>Renowave</v>
      </c>
      <c r="H305" s="542" t="str">
        <f t="shared" si="20"/>
        <v>EET</v>
      </c>
      <c r="I305" s="542" t="str">
        <f t="shared" si="20"/>
        <v>CEER1</v>
      </c>
      <c r="J305" s="542" t="str">
        <f t="shared" si="20"/>
        <v>CEER2</v>
      </c>
    </row>
    <row r="306" spans="2:12" x14ac:dyDescent="0.3">
      <c r="B306" s="540" t="s">
        <v>50</v>
      </c>
      <c r="C306" s="501" cm="1">
        <f t="array" ref="C306:J310">INDEX('Pathway Analysis'!P9:P56,MATCH(C305:J305&amp;B306:B310,'Pathway Analysis'!C9:C56&amp;'Pathway Analysis'!E9:E56,0))/1000</f>
        <v>5.3877445220140556</v>
      </c>
      <c r="D306" s="494">
        <v>5.0743111657033078</v>
      </c>
      <c r="E306" s="501">
        <v>4.823722772845862</v>
      </c>
      <c r="F306" s="494">
        <v>4.5226184244762271</v>
      </c>
      <c r="G306" s="501">
        <v>4.9702241179233972</v>
      </c>
      <c r="H306" s="494">
        <v>4.9702241179233972</v>
      </c>
      <c r="I306" s="501">
        <v>4.7412116874785575</v>
      </c>
      <c r="J306" s="494">
        <v>4.5521252692796104</v>
      </c>
      <c r="L306" s="854"/>
    </row>
    <row r="307" spans="2:12" x14ac:dyDescent="0.3">
      <c r="B307" s="540" t="s">
        <v>51</v>
      </c>
      <c r="C307" s="501">
        <v>10.867919286368789</v>
      </c>
      <c r="D307" s="494">
        <v>10.67221906267803</v>
      </c>
      <c r="E307" s="501">
        <v>9.6406363866099962</v>
      </c>
      <c r="F307" s="494">
        <v>9.7255758195629767</v>
      </c>
      <c r="G307" s="501">
        <v>8.5038616574724362</v>
      </c>
      <c r="H307" s="494">
        <v>9.839845009733061</v>
      </c>
      <c r="I307" s="501">
        <v>9.5793112561452691</v>
      </c>
      <c r="J307" s="494">
        <v>9.1108075764479253</v>
      </c>
      <c r="L307" s="854"/>
    </row>
    <row r="308" spans="2:12" x14ac:dyDescent="0.3">
      <c r="B308" s="540" t="s">
        <v>52</v>
      </c>
      <c r="C308" s="501">
        <v>5.7116266861403782</v>
      </c>
      <c r="D308" s="494">
        <v>5.609861158679422</v>
      </c>
      <c r="E308" s="501">
        <v>4.9530882882189937</v>
      </c>
      <c r="F308" s="494">
        <v>5.2943366794114404</v>
      </c>
      <c r="G308" s="501">
        <v>5.1140157079120412</v>
      </c>
      <c r="H308" s="494">
        <v>5.2943366794114404</v>
      </c>
      <c r="I308" s="501">
        <v>5.2469304332957316</v>
      </c>
      <c r="J308" s="494">
        <v>5.0098797079120407</v>
      </c>
      <c r="L308" s="854"/>
    </row>
    <row r="309" spans="2:12" x14ac:dyDescent="0.3">
      <c r="B309" s="540" t="s">
        <v>53</v>
      </c>
      <c r="C309" s="501">
        <v>10.631532254885895</v>
      </c>
      <c r="D309" s="494">
        <v>10.468989741602083</v>
      </c>
      <c r="E309" s="501">
        <v>10.014655587387709</v>
      </c>
      <c r="F309" s="494">
        <v>10.014655587387709</v>
      </c>
      <c r="G309" s="501">
        <v>10.014655587387709</v>
      </c>
      <c r="H309" s="494">
        <v>8.697049056087609</v>
      </c>
      <c r="I309" s="501">
        <v>9.3829933018857972</v>
      </c>
      <c r="J309" s="494">
        <v>9.0364935005320532</v>
      </c>
      <c r="L309" s="854"/>
    </row>
    <row r="310" spans="2:12" x14ac:dyDescent="0.3">
      <c r="B310" s="540" t="s">
        <v>54</v>
      </c>
      <c r="C310" s="501">
        <v>0.99083333333333334</v>
      </c>
      <c r="D310" s="494">
        <v>0.97525500085004602</v>
      </c>
      <c r="E310" s="501">
        <v>0.94805500085004601</v>
      </c>
      <c r="F310" s="494">
        <v>0.94805500085004601</v>
      </c>
      <c r="G310" s="501">
        <v>0.94805500085004601</v>
      </c>
      <c r="H310" s="494">
        <v>0.94805500085004601</v>
      </c>
      <c r="I310" s="501">
        <v>0.94805500085004601</v>
      </c>
      <c r="J310" s="494">
        <v>0.94805500085004601</v>
      </c>
      <c r="L310" s="854"/>
    </row>
    <row r="311" spans="2:12" x14ac:dyDescent="0.3">
      <c r="B311" s="540" t="s">
        <v>60</v>
      </c>
      <c r="C311" s="488">
        <v>30</v>
      </c>
      <c r="D311" s="488">
        <v>30</v>
      </c>
      <c r="E311" s="488">
        <v>30</v>
      </c>
      <c r="F311" s="488">
        <v>30</v>
      </c>
      <c r="G311" s="488">
        <v>30</v>
      </c>
      <c r="H311" s="488">
        <v>30</v>
      </c>
      <c r="I311" s="488">
        <v>30</v>
      </c>
      <c r="J311" s="488">
        <v>30</v>
      </c>
      <c r="L311" s="854"/>
    </row>
    <row r="312" spans="2:12" x14ac:dyDescent="0.3">
      <c r="B312" s="59" t="s">
        <v>55</v>
      </c>
      <c r="C312" s="548">
        <f t="shared" ref="C312:J312" si="21">SUM(C306:C310)</f>
        <v>33.589656082742451</v>
      </c>
      <c r="D312" s="548">
        <f t="shared" si="21"/>
        <v>32.800636129512888</v>
      </c>
      <c r="E312" s="548">
        <f t="shared" si="21"/>
        <v>30.380158035912608</v>
      </c>
      <c r="F312" s="548">
        <f t="shared" si="21"/>
        <v>30.505241511688403</v>
      </c>
      <c r="G312" s="548">
        <f t="shared" si="21"/>
        <v>29.550812071545629</v>
      </c>
      <c r="H312" s="548">
        <f t="shared" si="21"/>
        <v>29.749509864005553</v>
      </c>
      <c r="I312" s="548">
        <f t="shared" si="21"/>
        <v>29.898501679655404</v>
      </c>
      <c r="J312" s="548">
        <f t="shared" si="21"/>
        <v>28.657361055021678</v>
      </c>
    </row>
    <row r="313" spans="2:12" x14ac:dyDescent="0.3">
      <c r="E313" s="854">
        <f t="shared" ref="E313:J313" si="22">$D312-E312</f>
        <v>2.4204780936002805</v>
      </c>
      <c r="F313" s="854">
        <f t="shared" si="22"/>
        <v>2.2953946178244848</v>
      </c>
      <c r="G313" s="854">
        <f t="shared" si="22"/>
        <v>3.2498240579672597</v>
      </c>
      <c r="H313" s="854">
        <f t="shared" si="22"/>
        <v>3.0511262655073352</v>
      </c>
      <c r="I313" s="854">
        <f t="shared" si="22"/>
        <v>2.9021344498574848</v>
      </c>
      <c r="J313" s="854">
        <f t="shared" si="22"/>
        <v>4.1432750744912106</v>
      </c>
    </row>
    <row r="329" spans="2:22" ht="18.75" thickBot="1" x14ac:dyDescent="0.4">
      <c r="B329" s="1987" t="s">
        <v>232</v>
      </c>
      <c r="C329" s="2"/>
      <c r="D329" s="2"/>
      <c r="E329" s="2"/>
      <c r="F329" s="2"/>
      <c r="G329" s="2"/>
      <c r="H329" s="2"/>
      <c r="I329" s="2"/>
      <c r="J329" s="2"/>
      <c r="K329" s="2"/>
      <c r="L329" s="2"/>
      <c r="M329" s="2"/>
      <c r="N329" s="2"/>
      <c r="O329" s="2"/>
      <c r="P329" s="2"/>
      <c r="Q329" s="2"/>
      <c r="R329" s="2"/>
      <c r="S329" s="2"/>
      <c r="T329" s="2"/>
      <c r="U329" s="2"/>
      <c r="V329" s="2"/>
    </row>
    <row r="330" spans="2:22" ht="14.25" thickTop="1" x14ac:dyDescent="0.3">
      <c r="B330" s="2040" t="s">
        <v>233</v>
      </c>
    </row>
    <row r="331" spans="2:22" ht="15" x14ac:dyDescent="0.3">
      <c r="B331" s="878"/>
      <c r="C331" s="879" t="s">
        <v>229</v>
      </c>
      <c r="D331" s="879" t="s">
        <v>13</v>
      </c>
      <c r="E331" s="879" t="s">
        <v>35</v>
      </c>
      <c r="F331" s="879" t="s">
        <v>36</v>
      </c>
      <c r="G331" s="879" t="s">
        <v>62</v>
      </c>
      <c r="H331" s="879" t="s">
        <v>38</v>
      </c>
      <c r="I331" s="879" t="s">
        <v>39</v>
      </c>
      <c r="J331" s="880" t="s">
        <v>40</v>
      </c>
    </row>
    <row r="332" spans="2:22" ht="30" x14ac:dyDescent="0.3">
      <c r="B332" s="1395" t="s">
        <v>234</v>
      </c>
      <c r="C332" s="1330">
        <v>45.7</v>
      </c>
      <c r="D332" s="1324">
        <f>((_xlfn.XLOOKUP(G904,'Pathway Analysis'!$E$120:$E$167,'Pathway Analysis'!$P$120:$P$167)))/1000</f>
        <v>51.486996461648047</v>
      </c>
      <c r="E332" s="1030">
        <f>((_xlfn.XLOOKUP(H904,'Pathway Analysis'!$E$120:$E$167,'Pathway Analysis'!$P$120:$P$167)))/1000</f>
        <v>47.488591810276674</v>
      </c>
      <c r="F332" s="1030">
        <f>((_xlfn.XLOOKUP(I904,'Pathway Analysis'!$E$120:$E$167,'Pathway Analysis'!$P$120:$P$167)))/1000</f>
        <v>47.705242914700747</v>
      </c>
      <c r="G332" s="1030">
        <f>((_xlfn.XLOOKUP(J904,'Pathway Analysis'!$E$120:$E$167,'Pathway Analysis'!$P$120:$P$167)))/1000</f>
        <v>46.306453260598076</v>
      </c>
      <c r="H332" s="1030">
        <f>((_xlfn.XLOOKUP(K904,'Pathway Analysis'!$E$120:$E$167,'Pathway Analysis'!$P$120:$P$167)))/1000</f>
        <v>47.270345703817043</v>
      </c>
      <c r="I332" s="1030">
        <f>((_xlfn.XLOOKUP(L904,'Pathway Analysis'!$E$120:$E$167,'Pathway Analysis'!$P$120:$P$167)))/1000</f>
        <v>47.092397632414226</v>
      </c>
      <c r="J332" s="1322">
        <f>((_xlfn.XLOOKUP(M904,'Pathway Analysis'!$E$120:$E$167,'Pathway Analysis'!$P$120:$P$167)))/1000</f>
        <v>45.105556691626482</v>
      </c>
    </row>
    <row r="334" spans="2:22" ht="18.75" thickBot="1" x14ac:dyDescent="0.4">
      <c r="B334" s="1987" t="s">
        <v>164</v>
      </c>
      <c r="C334" s="2"/>
      <c r="D334" s="2"/>
      <c r="E334" s="2"/>
      <c r="F334" s="2"/>
      <c r="G334" s="2"/>
      <c r="H334" s="2"/>
      <c r="I334" s="2"/>
      <c r="J334" s="2"/>
      <c r="K334" s="2"/>
      <c r="L334" s="2"/>
      <c r="M334" s="2"/>
      <c r="N334" s="2"/>
      <c r="O334" s="2"/>
      <c r="P334" s="2"/>
      <c r="Q334" s="2"/>
      <c r="R334" s="2"/>
      <c r="S334" s="2"/>
      <c r="T334" s="2"/>
      <c r="U334" s="2"/>
    </row>
    <row r="335" spans="2:22" ht="15.75" thickTop="1" x14ac:dyDescent="0.3">
      <c r="B335" s="5" t="s">
        <v>235</v>
      </c>
      <c r="C335" s="5"/>
      <c r="D335" s="5"/>
      <c r="E335" s="5"/>
      <c r="F335" s="5"/>
      <c r="G335" s="5"/>
      <c r="H335" s="5"/>
      <c r="I335" s="5"/>
      <c r="J335" s="5"/>
      <c r="K335" s="5"/>
      <c r="L335" s="5"/>
      <c r="M335" s="5"/>
      <c r="N335" s="5"/>
      <c r="O335" s="5"/>
      <c r="P335" s="5"/>
      <c r="Q335" s="5"/>
      <c r="R335" s="5"/>
      <c r="S335" s="5"/>
      <c r="T335" s="5"/>
      <c r="U335" s="5"/>
    </row>
    <row r="336" spans="2:22" x14ac:dyDescent="0.3">
      <c r="L336" s="2038" t="s">
        <v>236</v>
      </c>
    </row>
    <row r="337" spans="2:12" ht="27" x14ac:dyDescent="0.3">
      <c r="B337" s="9"/>
      <c r="C337" s="9" t="str">
        <f>'Pathway Analysis'!E9</f>
        <v>W/o EE measures</v>
      </c>
      <c r="D337" s="9" t="str">
        <f t="shared" ref="D337:J337" si="23">C54</f>
        <v>Baseline</v>
      </c>
      <c r="E337" s="9" t="str">
        <f t="shared" si="23"/>
        <v>EEO</v>
      </c>
      <c r="F337" s="9" t="str">
        <f t="shared" si="23"/>
        <v>VA</v>
      </c>
      <c r="G337" s="9" t="str">
        <f t="shared" si="23"/>
        <v>Renowave</v>
      </c>
      <c r="H337" s="9" t="str">
        <f t="shared" si="23"/>
        <v>EET</v>
      </c>
      <c r="I337" s="9" t="str">
        <f t="shared" si="23"/>
        <v>CEER1</v>
      </c>
      <c r="J337" s="9" t="str">
        <f t="shared" si="23"/>
        <v>CEER2</v>
      </c>
    </row>
    <row r="338" spans="2:12" x14ac:dyDescent="0.3">
      <c r="B338" s="540" t="s">
        <v>50</v>
      </c>
      <c r="C338" s="501" cm="1">
        <f t="array" ref="C338:J342">INDEX('Pathway Analysis'!P120:P167,MATCH(C337:J337&amp;B338:B342,'Pathway Analysis'!C120:C167&amp;'Pathway Analysis'!E120:E167,0))/1000</f>
        <v>10.731012170399106</v>
      </c>
      <c r="D338" s="494">
        <v>10.106732910787454</v>
      </c>
      <c r="E338" s="501">
        <v>9.6076247807477664</v>
      </c>
      <c r="F338" s="494">
        <v>9.0079017586719576</v>
      </c>
      <c r="G338" s="501">
        <v>9.8994180739492741</v>
      </c>
      <c r="H338" s="494">
        <v>9.8994180739492741</v>
      </c>
      <c r="I338" s="501">
        <v>9.4432837549898512</v>
      </c>
      <c r="J338" s="494">
        <v>9.066671863564908</v>
      </c>
      <c r="L338" s="854"/>
    </row>
    <row r="339" spans="2:12" x14ac:dyDescent="0.3">
      <c r="B339" s="540" t="s">
        <v>51</v>
      </c>
      <c r="C339" s="501">
        <v>17.166957486029265</v>
      </c>
      <c r="D339" s="494">
        <v>16.857829553480165</v>
      </c>
      <c r="E339" s="501">
        <v>15.228342300515733</v>
      </c>
      <c r="F339" s="494">
        <v>15.362512567700195</v>
      </c>
      <c r="G339" s="501">
        <v>13.432693756201111</v>
      </c>
      <c r="H339" s="494">
        <v>15.54301209828405</v>
      </c>
      <c r="I339" s="501">
        <v>15.131473168552855</v>
      </c>
      <c r="J339" s="494">
        <v>14.391425093159038</v>
      </c>
      <c r="L339" s="854"/>
    </row>
    <row r="340" spans="2:12" x14ac:dyDescent="0.3">
      <c r="B340" s="540" t="s">
        <v>52</v>
      </c>
      <c r="C340" s="501">
        <v>11.418350588080951</v>
      </c>
      <c r="D340" s="494">
        <v>11.214906887331072</v>
      </c>
      <c r="E340" s="501">
        <v>9.9019249114861019</v>
      </c>
      <c r="F340" s="494">
        <v>10.584128770801527</v>
      </c>
      <c r="G340" s="501">
        <v>10.223641612920622</v>
      </c>
      <c r="H340" s="494">
        <v>10.584128770801527</v>
      </c>
      <c r="I340" s="501">
        <v>10.489356971459756</v>
      </c>
      <c r="J340" s="494">
        <v>10.015459001874675</v>
      </c>
      <c r="L340" s="854"/>
    </row>
    <row r="341" spans="2:12" x14ac:dyDescent="0.3">
      <c r="B341" s="540" t="s">
        <v>53</v>
      </c>
      <c r="C341" s="501">
        <v>12.159012867281358</v>
      </c>
      <c r="D341" s="494">
        <v>11.973117131547703</v>
      </c>
      <c r="E341" s="501">
        <v>11.453506722182748</v>
      </c>
      <c r="F341" s="494">
        <v>11.453506722182748</v>
      </c>
      <c r="G341" s="501">
        <v>11.453506722182748</v>
      </c>
      <c r="H341" s="494">
        <v>9.9465936654378719</v>
      </c>
      <c r="I341" s="501">
        <v>10.731090642067445</v>
      </c>
      <c r="J341" s="494">
        <v>10.334807637683534</v>
      </c>
      <c r="L341" s="854"/>
    </row>
    <row r="342" spans="2:12" x14ac:dyDescent="0.3">
      <c r="B342" s="540" t="s">
        <v>54</v>
      </c>
      <c r="C342" s="501">
        <v>1.3557253086419756</v>
      </c>
      <c r="D342" s="494">
        <v>1.3344099785016572</v>
      </c>
      <c r="E342" s="501">
        <v>1.2971930953443198</v>
      </c>
      <c r="F342" s="494">
        <v>1.2971930953443198</v>
      </c>
      <c r="G342" s="501">
        <v>1.2971930953443198</v>
      </c>
      <c r="H342" s="494">
        <v>1.2971930953443198</v>
      </c>
      <c r="I342" s="501">
        <v>1.2971930953443198</v>
      </c>
      <c r="J342" s="494">
        <v>1.2971930953443198</v>
      </c>
      <c r="L342" s="854"/>
    </row>
    <row r="343" spans="2:12" x14ac:dyDescent="0.3">
      <c r="B343" s="540" t="s">
        <v>60</v>
      </c>
      <c r="C343" s="482">
        <f>E909</f>
        <v>45.7</v>
      </c>
      <c r="D343" s="482">
        <f>C343</f>
        <v>45.7</v>
      </c>
      <c r="E343" s="482">
        <f t="shared" ref="E343:J343" si="24">D343</f>
        <v>45.7</v>
      </c>
      <c r="F343" s="482">
        <f t="shared" si="24"/>
        <v>45.7</v>
      </c>
      <c r="G343" s="482">
        <f t="shared" si="24"/>
        <v>45.7</v>
      </c>
      <c r="H343" s="482">
        <f t="shared" si="24"/>
        <v>45.7</v>
      </c>
      <c r="I343" s="482">
        <f t="shared" si="24"/>
        <v>45.7</v>
      </c>
      <c r="J343" s="482">
        <f t="shared" si="24"/>
        <v>45.7</v>
      </c>
      <c r="L343" s="854"/>
    </row>
    <row r="344" spans="2:12" x14ac:dyDescent="0.3">
      <c r="B344" s="59" t="s">
        <v>55</v>
      </c>
      <c r="C344" s="548">
        <f t="shared" ref="C344:J344" si="25">SUM(C338:C342)</f>
        <v>52.831058420432669</v>
      </c>
      <c r="D344" s="548">
        <f t="shared" si="25"/>
        <v>51.486996461648047</v>
      </c>
      <c r="E344" s="548">
        <f t="shared" si="25"/>
        <v>47.488591810276667</v>
      </c>
      <c r="F344" s="548">
        <f t="shared" si="25"/>
        <v>47.705242914700754</v>
      </c>
      <c r="G344" s="548">
        <f t="shared" si="25"/>
        <v>46.306453260598069</v>
      </c>
      <c r="H344" s="548">
        <f t="shared" si="25"/>
        <v>47.270345703817043</v>
      </c>
      <c r="I344" s="548">
        <f t="shared" si="25"/>
        <v>47.092397632414226</v>
      </c>
      <c r="J344" s="548">
        <f t="shared" si="25"/>
        <v>45.105556691626475</v>
      </c>
    </row>
    <row r="358" spans="2:29" ht="18.75" thickBot="1" x14ac:dyDescent="0.4">
      <c r="B358" s="1987" t="s">
        <v>237</v>
      </c>
      <c r="C358" s="2"/>
      <c r="D358" s="2"/>
      <c r="E358" s="2"/>
      <c r="F358" s="2"/>
      <c r="G358" s="2"/>
      <c r="H358" s="2"/>
      <c r="I358" s="2"/>
      <c r="J358" s="2"/>
      <c r="K358" s="2"/>
      <c r="L358" s="2"/>
      <c r="M358" s="2"/>
      <c r="N358" s="2"/>
      <c r="O358" s="2"/>
      <c r="P358" s="2"/>
      <c r="Q358" s="2"/>
      <c r="R358" s="2"/>
      <c r="S358" s="2"/>
      <c r="T358" s="2"/>
      <c r="U358" s="2"/>
    </row>
    <row r="359" spans="2:29" ht="14.25" thickTop="1" x14ac:dyDescent="0.3">
      <c r="B359" s="2040" t="s">
        <v>238</v>
      </c>
    </row>
    <row r="360" spans="2:29" ht="15" x14ac:dyDescent="0.3">
      <c r="B360" s="878"/>
      <c r="C360" s="879" t="s">
        <v>229</v>
      </c>
      <c r="D360" s="879" t="s">
        <v>13</v>
      </c>
      <c r="E360" s="879" t="s">
        <v>35</v>
      </c>
      <c r="F360" s="879" t="s">
        <v>36</v>
      </c>
      <c r="G360" s="879" t="s">
        <v>62</v>
      </c>
      <c r="H360" s="879" t="s">
        <v>38</v>
      </c>
      <c r="I360" s="879" t="s">
        <v>39</v>
      </c>
      <c r="J360" s="880" t="s">
        <v>40</v>
      </c>
    </row>
    <row r="361" spans="2:29" ht="30" x14ac:dyDescent="0.3">
      <c r="B361" s="1395" t="s">
        <v>161</v>
      </c>
      <c r="C361" s="1591">
        <v>1.9E-2</v>
      </c>
      <c r="D361" s="1592">
        <f t="shared" ref="D361:J361" si="26">C378</f>
        <v>5.7239419582160627E-4</v>
      </c>
      <c r="E361" s="1567">
        <f t="shared" si="26"/>
        <v>1.1070831875549018E-2</v>
      </c>
      <c r="F361" s="1567">
        <f t="shared" si="26"/>
        <v>1.22603910046093E-2</v>
      </c>
      <c r="G361" s="1567">
        <f t="shared" si="26"/>
        <v>1.5141178089776513E-2</v>
      </c>
      <c r="H361" s="1567">
        <f t="shared" si="26"/>
        <v>1.0916867432062839E-2</v>
      </c>
      <c r="I361" s="1567">
        <f t="shared" si="26"/>
        <v>1.3215109740493398E-2</v>
      </c>
      <c r="J361" s="1424">
        <f t="shared" si="26"/>
        <v>1.9632542681103211E-2</v>
      </c>
    </row>
    <row r="364" spans="2:29" ht="18.75" thickBot="1" x14ac:dyDescent="0.4">
      <c r="B364" s="1987" t="s">
        <v>239</v>
      </c>
      <c r="C364" s="2"/>
      <c r="D364" s="2"/>
      <c r="E364" s="2"/>
      <c r="F364" s="2"/>
      <c r="G364" s="2"/>
      <c r="H364" s="2"/>
      <c r="I364" s="2"/>
      <c r="J364" s="2"/>
      <c r="K364" s="2"/>
      <c r="L364" s="2"/>
      <c r="M364" s="2"/>
      <c r="N364" s="2"/>
      <c r="O364" s="2"/>
      <c r="P364" s="2"/>
      <c r="Q364" s="2"/>
      <c r="R364" s="2"/>
      <c r="S364" s="2"/>
      <c r="T364" s="2"/>
      <c r="U364" s="2"/>
    </row>
    <row r="365" spans="2:29" ht="15.75" thickTop="1" x14ac:dyDescent="0.3">
      <c r="B365" s="5" t="s">
        <v>32</v>
      </c>
      <c r="C365" s="5"/>
      <c r="D365" s="5"/>
      <c r="E365" s="5"/>
      <c r="F365" s="5"/>
      <c r="G365" s="5"/>
      <c r="H365" s="5"/>
      <c r="I365" s="5"/>
      <c r="J365" s="5"/>
      <c r="K365" s="5"/>
      <c r="L365" s="5"/>
      <c r="M365" s="5"/>
      <c r="N365" s="5"/>
      <c r="O365" s="5"/>
      <c r="P365" s="5"/>
      <c r="Q365" s="5"/>
      <c r="R365" s="5"/>
      <c r="S365" s="5"/>
      <c r="T365" s="5"/>
      <c r="U365" s="5"/>
    </row>
    <row r="367" spans="2:29" x14ac:dyDescent="0.3">
      <c r="P367" s="2040" t="s">
        <v>240</v>
      </c>
      <c r="AC367" s="63" t="s">
        <v>241</v>
      </c>
    </row>
    <row r="368" spans="2:29" x14ac:dyDescent="0.3">
      <c r="B368" s="496" t="s">
        <v>34</v>
      </c>
      <c r="C368" s="892" t="str">
        <f t="shared" ref="C368:I368" si="27">C54</f>
        <v>Baseline</v>
      </c>
      <c r="D368" s="892" t="str">
        <f t="shared" si="27"/>
        <v>EEO</v>
      </c>
      <c r="E368" s="892" t="str">
        <f t="shared" si="27"/>
        <v>VA</v>
      </c>
      <c r="F368" s="892" t="str">
        <f t="shared" si="27"/>
        <v>Renowave</v>
      </c>
      <c r="G368" s="892" t="str">
        <f t="shared" si="27"/>
        <v>EET</v>
      </c>
      <c r="H368" s="892" t="str">
        <f t="shared" si="27"/>
        <v>CEER1</v>
      </c>
      <c r="I368" s="892" t="str">
        <f t="shared" si="27"/>
        <v>CEER2</v>
      </c>
      <c r="J368" s="892" t="s">
        <v>41</v>
      </c>
      <c r="K368" s="496" t="s">
        <v>42</v>
      </c>
    </row>
    <row r="369" spans="2:21" x14ac:dyDescent="0.3">
      <c r="B369" s="545">
        <v>2021</v>
      </c>
      <c r="C369" s="543" cm="1">
        <f t="array" ref="C369:C378">TRANSPOSE(Baseline!$AC$107:$AL$107)</f>
        <v>2.947326249992656E-3</v>
      </c>
      <c r="D369" s="544" cm="1">
        <f t="array" ref="D369:D378">TRANSPOSE(Baseline!$AC$130:$AL$130)</f>
        <v>3.5491552501608738E-3</v>
      </c>
      <c r="E369" s="543" cm="1">
        <f t="array" ref="E369:E378">TRANSPOSE(Baseline!$AC$153:$AL$153)</f>
        <v>3.5491552501608738E-3</v>
      </c>
      <c r="F369" s="544" cm="1">
        <f t="array" ref="F369:F378">TRANSPOSE(Baseline!$AC$176:$AL$176)</f>
        <v>3.5491552501608738E-3</v>
      </c>
      <c r="G369" s="543" cm="1">
        <f t="array" ref="G369:G378">TRANSPOSE(Baseline!$AC$199:$AL$199)</f>
        <v>4.4518987504133176E-3</v>
      </c>
      <c r="H369" s="544" cm="1">
        <f t="array" ref="H369:H378">TRANSPOSE(Baseline!$AC$222:$AL$222)</f>
        <v>4.4518987504133176E-3</v>
      </c>
      <c r="I369" s="543" cm="1">
        <f t="array" ref="I369:I378">TRANSPOSE(Baseline!$AC$245:$AL$245)</f>
        <v>4.4518987504133176E-3</v>
      </c>
      <c r="J369" s="1466">
        <v>8.0000000000000002E-3</v>
      </c>
      <c r="K369" s="551" cm="1">
        <f t="array" ref="K369:K378">TRANSPOSE(Baseline!$AC$13:$AL$13)</f>
        <v>8.0000000000000002E-3</v>
      </c>
    </row>
    <row r="370" spans="2:21" x14ac:dyDescent="0.3">
      <c r="B370" s="545" cm="1">
        <f t="array" ref="B370:B378">TRANSPOSE(Baseline!AD3:AL3)</f>
        <v>2022</v>
      </c>
      <c r="C370" s="543">
        <v>1.2148997818662547E-3</v>
      </c>
      <c r="D370" s="544">
        <v>1.3852573990583532E-3</v>
      </c>
      <c r="E370" s="543">
        <v>1.3852573990583532E-3</v>
      </c>
      <c r="F370" s="544">
        <v>1.3852573990583532E-3</v>
      </c>
      <c r="G370" s="543">
        <v>1.640793824846731E-3</v>
      </c>
      <c r="H370" s="544">
        <v>1.640793824846731E-3</v>
      </c>
      <c r="I370" s="543">
        <v>1.640793824846731E-3</v>
      </c>
      <c r="J370" s="1466">
        <v>8.0000000000000002E-3</v>
      </c>
      <c r="K370" s="551">
        <v>8.0000000000000002E-3</v>
      </c>
    </row>
    <row r="371" spans="2:21" x14ac:dyDescent="0.3">
      <c r="B371" s="545">
        <v>2023</v>
      </c>
      <c r="C371" s="543">
        <v>9.0605821142066955E-4</v>
      </c>
      <c r="D371" s="544">
        <v>1.0786401583195641E-3</v>
      </c>
      <c r="E371" s="543">
        <v>1.0786401583195641E-3</v>
      </c>
      <c r="F371" s="544">
        <v>1.0786401583195641E-3</v>
      </c>
      <c r="G371" s="543">
        <v>1.3375130786675627E-3</v>
      </c>
      <c r="H371" s="544">
        <v>1.3375130786675627E-3</v>
      </c>
      <c r="I371" s="543">
        <v>1.3375130786675627E-3</v>
      </c>
      <c r="J371" s="1466">
        <v>8.0000000000000002E-3</v>
      </c>
      <c r="K371" s="551">
        <v>8.0000000000000002E-3</v>
      </c>
    </row>
    <row r="372" spans="2:21" x14ac:dyDescent="0.3">
      <c r="B372" s="545">
        <v>2024</v>
      </c>
      <c r="C372" s="543">
        <v>5.810109226686011E-3</v>
      </c>
      <c r="D372" s="544">
        <v>7.0330170044556484E-3</v>
      </c>
      <c r="E372" s="543">
        <v>7.0330170044556484E-3</v>
      </c>
      <c r="F372" s="544">
        <v>6.4959313212955422E-3</v>
      </c>
      <c r="G372" s="543">
        <v>6.7190359384701913E-3</v>
      </c>
      <c r="H372" s="544">
        <v>6.7190359384701913E-3</v>
      </c>
      <c r="I372" s="543">
        <v>6.7190359384701913E-3</v>
      </c>
      <c r="J372" s="1466">
        <v>8.0000000000000002E-3</v>
      </c>
      <c r="K372" s="551">
        <v>1.2999999999999999E-2</v>
      </c>
    </row>
    <row r="373" spans="2:21" x14ac:dyDescent="0.3">
      <c r="B373" s="545">
        <v>2025</v>
      </c>
      <c r="C373" s="543">
        <v>4.7005525303616055E-3</v>
      </c>
      <c r="D373" s="544">
        <v>1.7996230726165539E-2</v>
      </c>
      <c r="E373" s="543">
        <v>1.5799255304943437E-2</v>
      </c>
      <c r="F373" s="544">
        <v>2.2179061301365734E-2</v>
      </c>
      <c r="G373" s="543">
        <v>1.9938112879147166E-2</v>
      </c>
      <c r="H373" s="544">
        <v>1.9299920652553291E-2</v>
      </c>
      <c r="I373" s="543">
        <v>2.6313412189133811E-2</v>
      </c>
      <c r="J373" s="1466">
        <v>8.0000000000000002E-3</v>
      </c>
      <c r="K373" s="551">
        <v>1.2999999999999999E-2</v>
      </c>
    </row>
    <row r="374" spans="2:21" x14ac:dyDescent="0.3">
      <c r="B374" s="545">
        <v>2026</v>
      </c>
      <c r="C374" s="543">
        <v>2.0968694907554154E-3</v>
      </c>
      <c r="D374" s="544">
        <v>1.3388915359993524E-2</v>
      </c>
      <c r="E374" s="543">
        <v>1.1615762384214044E-2</v>
      </c>
      <c r="F374" s="544">
        <v>1.7777627358929484E-2</v>
      </c>
      <c r="G374" s="543">
        <v>1.3225976018348143E-2</v>
      </c>
      <c r="H374" s="544">
        <v>1.3527756892357657E-2</v>
      </c>
      <c r="I374" s="543">
        <v>1.9579441044698415E-2</v>
      </c>
      <c r="J374" s="1466">
        <v>8.0000000000000002E-3</v>
      </c>
      <c r="K374" s="551">
        <v>1.4999999999999999E-2</v>
      </c>
    </row>
    <row r="375" spans="2:21" x14ac:dyDescent="0.3">
      <c r="B375" s="545">
        <v>2027</v>
      </c>
      <c r="C375" s="543">
        <v>1.8698158784367048E-3</v>
      </c>
      <c r="D375" s="544">
        <v>1.6925595178451134E-2</v>
      </c>
      <c r="E375" s="543">
        <v>1.5731530062482221E-2</v>
      </c>
      <c r="F375" s="544">
        <v>2.1429592165918457E-2</v>
      </c>
      <c r="G375" s="543">
        <v>3.3626616130063916E-2</v>
      </c>
      <c r="H375" s="544">
        <v>2.3969808339110877E-2</v>
      </c>
      <c r="I375" s="543">
        <v>2.9856024921172963E-2</v>
      </c>
      <c r="J375" s="1466">
        <v>8.0000000000000002E-3</v>
      </c>
      <c r="K375" s="551">
        <v>1.4999999999999999E-2</v>
      </c>
    </row>
    <row r="376" spans="2:21" x14ac:dyDescent="0.3">
      <c r="B376" s="545">
        <v>2028</v>
      </c>
      <c r="C376" s="543">
        <v>5.7176197869410097E-4</v>
      </c>
      <c r="D376" s="544">
        <v>1.1298652310592631E-2</v>
      </c>
      <c r="E376" s="543">
        <v>1.0865284029014119E-2</v>
      </c>
      <c r="F376" s="544">
        <v>1.5654129719762298E-2</v>
      </c>
      <c r="G376" s="543">
        <v>1.1265460181214165E-2</v>
      </c>
      <c r="H376" s="544">
        <v>1.2472319396810989E-2</v>
      </c>
      <c r="I376" s="543">
        <v>1.8522931019847092E-2</v>
      </c>
      <c r="J376" s="1466">
        <v>8.0000000000000002E-3</v>
      </c>
      <c r="K376" s="551">
        <v>1.9E-2</v>
      </c>
    </row>
    <row r="377" spans="2:21" x14ac:dyDescent="0.3">
      <c r="B377" s="545">
        <v>2029</v>
      </c>
      <c r="C377" s="543">
        <v>5.721075836055508E-4</v>
      </c>
      <c r="D377" s="544">
        <v>1.119875728276248E-2</v>
      </c>
      <c r="E377" s="543">
        <v>1.1711159782388124E-2</v>
      </c>
      <c r="F377" s="544">
        <v>1.5409714603306642E-2</v>
      </c>
      <c r="G377" s="543">
        <v>1.1125861163135676E-2</v>
      </c>
      <c r="H377" s="544">
        <v>1.2968248677639642E-2</v>
      </c>
      <c r="I377" s="543">
        <v>1.9246350722587423E-2</v>
      </c>
      <c r="J377" s="1466">
        <v>8.0000000000000002E-3</v>
      </c>
      <c r="K377" s="551">
        <v>1.9E-2</v>
      </c>
    </row>
    <row r="378" spans="2:21" x14ac:dyDescent="0.3">
      <c r="B378" s="545">
        <v>2030</v>
      </c>
      <c r="C378" s="543">
        <v>5.7239419582160627E-4</v>
      </c>
      <c r="D378" s="544">
        <v>1.1070831875549018E-2</v>
      </c>
      <c r="E378" s="543">
        <v>1.22603910046093E-2</v>
      </c>
      <c r="F378" s="544">
        <v>1.5141178089776513E-2</v>
      </c>
      <c r="G378" s="543">
        <v>1.0916867432062839E-2</v>
      </c>
      <c r="H378" s="544">
        <v>1.3215109740493398E-2</v>
      </c>
      <c r="I378" s="543">
        <v>1.9632542681103211E-2</v>
      </c>
      <c r="J378" s="1466">
        <v>8.0000000000000002E-3</v>
      </c>
      <c r="K378" s="551">
        <v>1.9E-2</v>
      </c>
    </row>
    <row r="379" spans="2:21" x14ac:dyDescent="0.3">
      <c r="B379" s="545" t="s">
        <v>43</v>
      </c>
      <c r="C379" s="550">
        <f>Baseline!$AF$108</f>
        <v>1.4396817674703426E-3</v>
      </c>
      <c r="D379" s="550">
        <f>Baseline!$AF$131</f>
        <v>1.1441664692584083E-2</v>
      </c>
      <c r="E379" s="550">
        <f>Baseline!$AF$154</f>
        <v>1.0909683420612923E-2</v>
      </c>
      <c r="F379" s="550">
        <f>Baseline!$AF$177</f>
        <v>1.5042082465692611E-2</v>
      </c>
      <c r="G379" s="550">
        <f>Baseline!$AF$200</f>
        <v>1.3978120196927374E-2</v>
      </c>
      <c r="H379" s="550">
        <f>Baseline!$AF$223</f>
        <v>1.334445651664423E-2</v>
      </c>
      <c r="I379" s="550">
        <f>Baseline!$AF$246</f>
        <v>1.8623039991340743E-2</v>
      </c>
      <c r="J379" s="550"/>
      <c r="K379" s="882"/>
    </row>
    <row r="380" spans="2:21" x14ac:dyDescent="0.3">
      <c r="B380" s="545" t="s">
        <v>44</v>
      </c>
      <c r="C380" s="2018">
        <v>1.4999999999999999E-2</v>
      </c>
      <c r="D380" s="551">
        <f>C380</f>
        <v>1.4999999999999999E-2</v>
      </c>
      <c r="E380" s="551">
        <f t="shared" ref="E380:I381" si="28">D380</f>
        <v>1.4999999999999999E-2</v>
      </c>
      <c r="F380" s="551">
        <f t="shared" si="28"/>
        <v>1.4999999999999999E-2</v>
      </c>
      <c r="G380" s="551">
        <f t="shared" si="28"/>
        <v>1.4999999999999999E-2</v>
      </c>
      <c r="H380" s="551">
        <f t="shared" si="28"/>
        <v>1.4999999999999999E-2</v>
      </c>
      <c r="I380" s="551">
        <f t="shared" si="28"/>
        <v>1.4999999999999999E-2</v>
      </c>
      <c r="J380" s="551"/>
    </row>
    <row r="381" spans="2:21" x14ac:dyDescent="0.3">
      <c r="B381" s="545" t="s">
        <v>45</v>
      </c>
      <c r="C381" s="2018">
        <v>8.0000000000000002E-3</v>
      </c>
      <c r="D381" s="551">
        <f>C381</f>
        <v>8.0000000000000002E-3</v>
      </c>
      <c r="E381" s="551">
        <f t="shared" si="28"/>
        <v>8.0000000000000002E-3</v>
      </c>
      <c r="F381" s="551">
        <f t="shared" si="28"/>
        <v>8.0000000000000002E-3</v>
      </c>
      <c r="G381" s="551">
        <f t="shared" si="28"/>
        <v>8.0000000000000002E-3</v>
      </c>
      <c r="H381" s="551">
        <f t="shared" si="28"/>
        <v>8.0000000000000002E-3</v>
      </c>
      <c r="I381" s="551">
        <f t="shared" si="28"/>
        <v>8.0000000000000002E-3</v>
      </c>
      <c r="J381" s="551"/>
    </row>
    <row r="384" spans="2:21" ht="18.75" thickBot="1" x14ac:dyDescent="0.4">
      <c r="B384" s="1987" t="s">
        <v>242</v>
      </c>
      <c r="C384" s="2"/>
      <c r="D384" s="2"/>
      <c r="E384" s="2"/>
      <c r="F384" s="2"/>
      <c r="G384" s="2"/>
      <c r="H384" s="2"/>
      <c r="I384" s="2"/>
      <c r="J384" s="2"/>
      <c r="K384" s="2"/>
      <c r="L384" s="2"/>
      <c r="M384" s="2"/>
      <c r="N384" s="2"/>
      <c r="O384" s="2"/>
      <c r="P384" s="2"/>
      <c r="Q384" s="2"/>
      <c r="R384" s="2"/>
      <c r="S384" s="2"/>
      <c r="T384" s="2"/>
      <c r="U384" s="2"/>
    </row>
    <row r="385" spans="2:21" ht="14.25" thickTop="1" x14ac:dyDescent="0.3"/>
    <row r="386" spans="2:21" x14ac:dyDescent="0.3">
      <c r="B386" s="2039" t="s">
        <v>243</v>
      </c>
    </row>
    <row r="387" spans="2:21" ht="15" x14ac:dyDescent="0.3">
      <c r="B387" s="878"/>
      <c r="C387" s="879" t="s">
        <v>229</v>
      </c>
      <c r="D387" s="879" t="s">
        <v>13</v>
      </c>
      <c r="E387" s="879" t="s">
        <v>35</v>
      </c>
      <c r="F387" s="879" t="s">
        <v>36</v>
      </c>
      <c r="G387" s="879" t="s">
        <v>62</v>
      </c>
      <c r="H387" s="879" t="s">
        <v>38</v>
      </c>
      <c r="I387" s="879" t="s">
        <v>39</v>
      </c>
      <c r="J387" s="880" t="s">
        <v>40</v>
      </c>
    </row>
    <row r="388" spans="2:21" ht="30" x14ac:dyDescent="0.3">
      <c r="B388" s="1395" t="s">
        <v>244</v>
      </c>
      <c r="C388" s="1591">
        <v>1.4999999999999999E-2</v>
      </c>
      <c r="D388" s="1592">
        <f>C379</f>
        <v>1.4396817674703426E-3</v>
      </c>
      <c r="E388" s="1567">
        <f t="shared" ref="E388:J388" si="29">D379</f>
        <v>1.1441664692584083E-2</v>
      </c>
      <c r="F388" s="1567">
        <f t="shared" si="29"/>
        <v>1.0909683420612923E-2</v>
      </c>
      <c r="G388" s="1567">
        <f t="shared" si="29"/>
        <v>1.5042082465692611E-2</v>
      </c>
      <c r="H388" s="1567">
        <f t="shared" si="29"/>
        <v>1.3978120196927374E-2</v>
      </c>
      <c r="I388" s="1567">
        <f t="shared" si="29"/>
        <v>1.334445651664423E-2</v>
      </c>
      <c r="J388" s="1424">
        <f t="shared" si="29"/>
        <v>1.8623039991340743E-2</v>
      </c>
    </row>
    <row r="390" spans="2:21" ht="18.75" thickBot="1" x14ac:dyDescent="0.4">
      <c r="B390" s="1987" t="s">
        <v>245</v>
      </c>
      <c r="C390" s="2"/>
      <c r="D390" s="2"/>
      <c r="E390" s="2"/>
      <c r="F390" s="2"/>
      <c r="G390" s="2"/>
      <c r="H390" s="2"/>
      <c r="I390" s="2"/>
      <c r="J390" s="2"/>
      <c r="K390" s="2"/>
      <c r="L390" s="2"/>
      <c r="M390" s="2"/>
      <c r="N390" s="2"/>
      <c r="O390" s="2"/>
      <c r="P390" s="2"/>
      <c r="Q390" s="2"/>
      <c r="R390" s="2"/>
      <c r="S390" s="2"/>
      <c r="T390" s="2"/>
      <c r="U390" s="2"/>
    </row>
    <row r="391" spans="2:21" ht="14.25" thickTop="1" x14ac:dyDescent="0.3"/>
    <row r="392" spans="2:21" ht="15" x14ac:dyDescent="0.3">
      <c r="B392" s="2042"/>
    </row>
    <row r="393" spans="2:21" x14ac:dyDescent="0.3">
      <c r="B393" s="2040" t="s">
        <v>246</v>
      </c>
    </row>
    <row r="412" spans="2:21" ht="18.75" thickBot="1" x14ac:dyDescent="0.4">
      <c r="B412" s="1987" t="s">
        <v>247</v>
      </c>
      <c r="C412" s="2"/>
      <c r="D412" s="2"/>
      <c r="E412" s="2"/>
      <c r="F412" s="2"/>
      <c r="G412" s="2"/>
      <c r="H412" s="2"/>
      <c r="I412" s="2"/>
      <c r="J412" s="2"/>
      <c r="K412" s="2"/>
      <c r="L412" s="2"/>
      <c r="M412" s="2"/>
      <c r="N412" s="2"/>
      <c r="O412" s="2"/>
      <c r="P412" s="2"/>
      <c r="Q412" s="2"/>
      <c r="R412" s="2"/>
      <c r="S412" s="2"/>
      <c r="T412" s="2"/>
      <c r="U412" s="2"/>
    </row>
    <row r="413" spans="2:21" ht="14.25" thickTop="1" x14ac:dyDescent="0.3">
      <c r="B413" t="s">
        <v>248</v>
      </c>
    </row>
    <row r="414" spans="2:21" ht="45.6" customHeight="1" x14ac:dyDescent="0.3">
      <c r="B414" s="878"/>
      <c r="C414" s="879" t="s">
        <v>229</v>
      </c>
      <c r="D414" s="879" t="s">
        <v>13</v>
      </c>
      <c r="E414" s="879" t="s">
        <v>35</v>
      </c>
      <c r="F414" s="879" t="s">
        <v>36</v>
      </c>
      <c r="G414" s="879" t="s">
        <v>62</v>
      </c>
      <c r="H414" s="879" t="s">
        <v>38</v>
      </c>
      <c r="I414" s="879" t="s">
        <v>39</v>
      </c>
      <c r="J414" s="880" t="s">
        <v>40</v>
      </c>
    </row>
    <row r="415" spans="2:21" ht="30" x14ac:dyDescent="0.3">
      <c r="B415" s="1395" t="s">
        <v>249</v>
      </c>
      <c r="C415" s="1572">
        <v>21.279</v>
      </c>
      <c r="D415" s="1593" cm="1">
        <f t="array" ref="D415:J415">-_xlfn.XLOOKUP(G904:M904,'Pathway Analysis'!Y15:Y56,'Pathway Analysis'!Z15:Z56)/1000</f>
        <v>5.4616173611366756</v>
      </c>
      <c r="E415" s="1594">
        <v>14.527378974475566</v>
      </c>
      <c r="F415" s="1594">
        <v>13.687783241666946</v>
      </c>
      <c r="G415" s="1594">
        <v>17.37128871838868</v>
      </c>
      <c r="H415" s="1594">
        <v>17.402733830709998</v>
      </c>
      <c r="I415" s="1594">
        <v>16.381110880025773</v>
      </c>
      <c r="J415" s="1595">
        <v>20.730439979513001</v>
      </c>
    </row>
    <row r="417" spans="2:21" ht="18.75" thickBot="1" x14ac:dyDescent="0.4">
      <c r="B417" s="1987" t="s">
        <v>250</v>
      </c>
      <c r="C417" s="2"/>
      <c r="D417" s="2"/>
      <c r="E417" s="2"/>
      <c r="F417" s="2"/>
      <c r="G417" s="2"/>
      <c r="H417" s="2"/>
      <c r="I417" s="2"/>
      <c r="J417" s="2"/>
      <c r="K417" s="2"/>
      <c r="L417" s="2"/>
      <c r="M417" s="2"/>
      <c r="N417" s="2"/>
      <c r="O417" s="2"/>
      <c r="P417" s="2"/>
      <c r="Q417" s="2"/>
      <c r="R417" s="2"/>
      <c r="S417" s="2"/>
      <c r="T417" s="2"/>
      <c r="U417" s="2"/>
    </row>
    <row r="418" spans="2:21" ht="14.25" thickTop="1" x14ac:dyDescent="0.3">
      <c r="B418" t="s">
        <v>251</v>
      </c>
    </row>
    <row r="420" spans="2:21" ht="18.75" thickBot="1" x14ac:dyDescent="0.4">
      <c r="B420" s="1987" t="s">
        <v>252</v>
      </c>
      <c r="C420" s="2"/>
      <c r="D420" s="2"/>
      <c r="E420" s="2"/>
      <c r="F420" s="2"/>
      <c r="G420" s="2"/>
      <c r="H420" s="2"/>
      <c r="I420" s="2"/>
      <c r="J420" s="2"/>
      <c r="K420" s="2"/>
      <c r="L420" s="2"/>
      <c r="M420" s="2"/>
      <c r="N420" s="2"/>
      <c r="O420" s="2"/>
      <c r="P420" s="2"/>
      <c r="Q420" s="2"/>
      <c r="R420" s="2"/>
      <c r="S420" s="2"/>
      <c r="T420" s="2"/>
      <c r="U420" s="2"/>
    </row>
    <row r="421" spans="2:21" ht="14.25" thickTop="1" x14ac:dyDescent="0.3">
      <c r="B421" t="s">
        <v>253</v>
      </c>
    </row>
    <row r="422" spans="2:21" ht="26.1" customHeight="1" x14ac:dyDescent="0.3">
      <c r="B422" s="878"/>
      <c r="C422" s="879" t="s">
        <v>229</v>
      </c>
      <c r="D422" s="879" t="s">
        <v>13</v>
      </c>
      <c r="E422" s="879" t="s">
        <v>35</v>
      </c>
      <c r="F422" s="879" t="s">
        <v>36</v>
      </c>
      <c r="G422" s="879" t="s">
        <v>62</v>
      </c>
      <c r="H422" s="879" t="s">
        <v>38</v>
      </c>
      <c r="I422" s="879" t="s">
        <v>39</v>
      </c>
      <c r="J422" s="880" t="s">
        <v>40</v>
      </c>
    </row>
    <row r="423" spans="2:21" ht="30" x14ac:dyDescent="0.3">
      <c r="B423" s="1395" t="s">
        <v>254</v>
      </c>
      <c r="C423" s="1441">
        <v>232</v>
      </c>
      <c r="D423" s="1596">
        <f t="shared" ref="D423:J423" si="30">C439</f>
        <v>313.43335631074785</v>
      </c>
      <c r="E423" s="1456">
        <f t="shared" si="30"/>
        <v>564.02174916819285</v>
      </c>
      <c r="F423" s="1456">
        <f t="shared" si="30"/>
        <v>865.12609753782806</v>
      </c>
      <c r="G423" s="1456">
        <f t="shared" si="30"/>
        <v>417.52040409065864</v>
      </c>
      <c r="H423" s="1456">
        <f t="shared" si="30"/>
        <v>417.52040409065864</v>
      </c>
      <c r="I423" s="1456">
        <f t="shared" si="30"/>
        <v>646.53283453549773</v>
      </c>
      <c r="J423" s="1597">
        <f t="shared" si="30"/>
        <v>835.61925273444467</v>
      </c>
    </row>
    <row r="425" spans="2:21" ht="18.75" thickBot="1" x14ac:dyDescent="0.4">
      <c r="B425" s="1987" t="s">
        <v>255</v>
      </c>
      <c r="C425" s="2"/>
      <c r="D425" s="2"/>
      <c r="E425" s="2"/>
      <c r="F425" s="2"/>
      <c r="G425" s="2"/>
      <c r="H425" s="2"/>
      <c r="I425" s="2"/>
      <c r="J425" s="2"/>
      <c r="K425" s="2"/>
      <c r="L425" s="2"/>
      <c r="M425" s="2"/>
      <c r="N425" s="2"/>
      <c r="O425" s="2"/>
      <c r="P425" s="2"/>
      <c r="Q425" s="2"/>
      <c r="R425" s="2"/>
      <c r="S425" s="2"/>
      <c r="T425" s="2"/>
      <c r="U425" s="2"/>
    </row>
    <row r="426" spans="2:21" ht="15.75" thickTop="1" x14ac:dyDescent="0.3">
      <c r="B426" s="5" t="s">
        <v>256</v>
      </c>
      <c r="C426" s="5"/>
      <c r="D426" s="5"/>
      <c r="E426" s="5"/>
      <c r="F426" s="5"/>
      <c r="G426" s="5"/>
      <c r="H426" s="5"/>
      <c r="I426" s="5"/>
      <c r="J426" s="5"/>
      <c r="K426" s="5"/>
      <c r="L426" s="5"/>
      <c r="M426" s="5"/>
      <c r="N426" s="5"/>
      <c r="O426" s="5"/>
      <c r="P426" s="5"/>
      <c r="Q426" s="5"/>
      <c r="R426" s="5"/>
      <c r="S426" s="5"/>
      <c r="T426" s="5"/>
      <c r="U426" s="5"/>
    </row>
    <row r="427" spans="2:21" x14ac:dyDescent="0.3">
      <c r="L427" s="2040" t="s">
        <v>257</v>
      </c>
    </row>
    <row r="428" spans="2:21" x14ac:dyDescent="0.3">
      <c r="B428" s="9" t="s">
        <v>34</v>
      </c>
      <c r="C428" s="542" t="str">
        <f t="shared" ref="C428:I428" si="31">C54</f>
        <v>Baseline</v>
      </c>
      <c r="D428" s="542" t="str">
        <f t="shared" si="31"/>
        <v>EEO</v>
      </c>
      <c r="E428" s="542" t="str">
        <f t="shared" si="31"/>
        <v>VA</v>
      </c>
      <c r="F428" s="542" t="str">
        <f t="shared" si="31"/>
        <v>Renowave</v>
      </c>
      <c r="G428" s="542" t="str">
        <f t="shared" si="31"/>
        <v>EET</v>
      </c>
      <c r="H428" s="542" t="str">
        <f t="shared" si="31"/>
        <v>CEER1</v>
      </c>
      <c r="I428" s="542" t="str">
        <f t="shared" si="31"/>
        <v>CEER2</v>
      </c>
      <c r="J428" s="9" t="s">
        <v>258</v>
      </c>
    </row>
    <row r="429" spans="2:21" x14ac:dyDescent="0.3">
      <c r="B429" s="9"/>
      <c r="C429" s="542"/>
      <c r="D429" s="542"/>
      <c r="E429" s="542"/>
      <c r="F429" s="542"/>
      <c r="G429" s="542"/>
      <c r="H429" s="542"/>
      <c r="I429" s="542"/>
      <c r="J429" s="9"/>
    </row>
    <row r="430" spans="2:21" x14ac:dyDescent="0.3">
      <c r="B430" s="475">
        <v>2021</v>
      </c>
      <c r="C430" s="500" cm="1">
        <f t="array" ref="C430:C439">-INDEX('Pathway Analysis'!$AA$15:$AJ$56,MATCH(C$428,'Pathway Analysis'!$Y$15:$Y$56,0)+1,MATCH($B$430:$B$439,'Pathway Analysis'!$AA$8:$AJ$8,0))</f>
        <v>105.78161697791808</v>
      </c>
      <c r="D430" s="500" cm="1">
        <f t="array" ref="D430:D439">-INDEX('Pathway Analysis'!$AA$15:$AJ$56,MATCH(D$428,'Pathway Analysis'!$Y$15:$Y$56,0)+1,MATCH($B$430:$B$439,'Pathway Analysis'!$AA$8:$AJ$8,0))</f>
        <v>105.78161697791808</v>
      </c>
      <c r="E430" s="500" cm="1">
        <f t="array" ref="E430:E439">-INDEX('Pathway Analysis'!$AA$15:$AJ$56,MATCH(E$428,'Pathway Analysis'!$Y$15:$Y$56,0)+1,MATCH($B$430:$B$439,'Pathway Analysis'!$AA$8:$AJ$8,0))</f>
        <v>105.78161697791808</v>
      </c>
      <c r="F430" s="500" cm="1">
        <f t="array" ref="F430:F439">-INDEX('Pathway Analysis'!$AA$15:$AJ$56,MATCH(F$428,'Pathway Analysis'!$Y$15:$Y$56,0)+1,MATCH($B$430:$B$439,'Pathway Analysis'!$AA$8:$AJ$8,0))</f>
        <v>105.78161697791808</v>
      </c>
      <c r="G430" s="500" cm="1">
        <f t="array" ref="G430:G439">-INDEX('Pathway Analysis'!$AA$15:$AJ$56,MATCH(G$428,'Pathway Analysis'!$Y$15:$Y$56,0)+1,MATCH($B$430:$B$439,'Pathway Analysis'!$AA$8:$AJ$8,0))</f>
        <v>105.78161697791808</v>
      </c>
      <c r="H430" s="500" cm="1">
        <f t="array" ref="H430:H439">-INDEX('Pathway Analysis'!$AA$15:$AJ$56,MATCH(H$428,'Pathway Analysis'!$Y$15:$Y$56,0)+1,MATCH($B$430:$B$439,'Pathway Analysis'!$AA$8:$AJ$8,0))</f>
        <v>105.78161697791808</v>
      </c>
      <c r="I430" s="500" cm="1">
        <f t="array" ref="I430:I439">-INDEX('Pathway Analysis'!$AA$15:$AJ$56,MATCH(I$428,'Pathway Analysis'!$Y$15:$Y$56,0)+1,MATCH($B$430:$B$439,'Pathway Analysis'!$AA$8:$AJ$8,0))</f>
        <v>105.78161697791808</v>
      </c>
      <c r="J430" s="527">
        <f>Admin!H8</f>
        <v>460</v>
      </c>
    </row>
    <row r="431" spans="2:21" x14ac:dyDescent="0.3">
      <c r="B431" s="475" cm="1">
        <f t="array" ref="B431:B439">_xlfn.ANCHORARRAY(B370)</f>
        <v>2022</v>
      </c>
      <c r="C431" s="500">
        <v>111.10906558424406</v>
      </c>
      <c r="D431" s="500">
        <v>111.10906558424406</v>
      </c>
      <c r="E431" s="500">
        <v>111.10906558424406</v>
      </c>
      <c r="F431" s="500">
        <v>111.10906558424406</v>
      </c>
      <c r="G431" s="500">
        <v>111.10906558424406</v>
      </c>
      <c r="H431" s="500">
        <v>111.10906558424406</v>
      </c>
      <c r="I431" s="500">
        <v>111.10906558424406</v>
      </c>
      <c r="J431" s="484">
        <f>J430</f>
        <v>460</v>
      </c>
    </row>
    <row r="432" spans="2:21" x14ac:dyDescent="0.3">
      <c r="B432" s="475">
        <v>2023</v>
      </c>
      <c r="C432" s="500">
        <v>113.18807653418617</v>
      </c>
      <c r="D432" s="500">
        <v>113.18807653418617</v>
      </c>
      <c r="E432" s="500">
        <v>113.18807653418617</v>
      </c>
      <c r="F432" s="500">
        <v>113.18807653418617</v>
      </c>
      <c r="G432" s="500">
        <v>113.18807653418617</v>
      </c>
      <c r="H432" s="500">
        <v>113.18807653418617</v>
      </c>
      <c r="I432" s="500">
        <v>113.18807653418617</v>
      </c>
      <c r="J432" s="484">
        <f>J431</f>
        <v>460</v>
      </c>
    </row>
    <row r="433" spans="2:21" x14ac:dyDescent="0.3">
      <c r="B433" s="475">
        <v>2024</v>
      </c>
      <c r="C433" s="500">
        <v>144.28699612650331</v>
      </c>
      <c r="D433" s="500">
        <v>178.71019393327018</v>
      </c>
      <c r="E433" s="500">
        <v>178.71019393327018</v>
      </c>
      <c r="F433" s="500">
        <v>161.49859502988676</v>
      </c>
      <c r="G433" s="500">
        <v>161.49859502988676</v>
      </c>
      <c r="H433" s="500">
        <v>161.49859502988676</v>
      </c>
      <c r="I433" s="500">
        <v>161.49859502988676</v>
      </c>
      <c r="J433" s="484">
        <f t="shared" ref="J433:J439" si="32">J432</f>
        <v>460</v>
      </c>
    </row>
    <row r="434" spans="2:21" x14ac:dyDescent="0.3">
      <c r="B434" s="475">
        <v>2025</v>
      </c>
      <c r="C434" s="500">
        <v>210.28171567285588</v>
      </c>
      <c r="D434" s="500">
        <v>311.7174220138981</v>
      </c>
      <c r="E434" s="500">
        <v>306.89892573173745</v>
      </c>
      <c r="F434" s="500">
        <v>257.46504406857508</v>
      </c>
      <c r="G434" s="500">
        <v>257.46504406857508</v>
      </c>
      <c r="H434" s="500">
        <v>258.96541291353725</v>
      </c>
      <c r="I434" s="500">
        <v>287.63811917835403</v>
      </c>
      <c r="J434" s="484">
        <f t="shared" si="32"/>
        <v>460</v>
      </c>
    </row>
    <row r="435" spans="2:21" x14ac:dyDescent="0.3">
      <c r="B435" s="475">
        <v>2026</v>
      </c>
      <c r="C435" s="500">
        <v>261.94527582783059</v>
      </c>
      <c r="D435" s="500">
        <v>407.15783218358069</v>
      </c>
      <c r="E435" s="500">
        <v>412.78334169463704</v>
      </c>
      <c r="F435" s="500">
        <v>327.48250445610171</v>
      </c>
      <c r="G435" s="500">
        <v>327.48250445610171</v>
      </c>
      <c r="H435" s="500">
        <v>340.65824352961113</v>
      </c>
      <c r="I435" s="500">
        <v>391.4733274912536</v>
      </c>
      <c r="J435" s="484">
        <f t="shared" si="32"/>
        <v>460</v>
      </c>
    </row>
    <row r="436" spans="2:21" x14ac:dyDescent="0.3">
      <c r="B436" s="475">
        <v>2027</v>
      </c>
      <c r="C436" s="500">
        <v>306.57462925319226</v>
      </c>
      <c r="D436" s="500">
        <v>478.13114473436605</v>
      </c>
      <c r="E436" s="500">
        <v>514.71225503102676</v>
      </c>
      <c r="F436" s="500">
        <v>381.74931266937335</v>
      </c>
      <c r="G436" s="500">
        <v>381.74931266937335</v>
      </c>
      <c r="H436" s="500">
        <v>420.2748186330216</v>
      </c>
      <c r="I436" s="500">
        <v>491.35303317764334</v>
      </c>
      <c r="J436" s="484">
        <f t="shared" si="32"/>
        <v>460</v>
      </c>
    </row>
    <row r="437" spans="2:21" x14ac:dyDescent="0.3">
      <c r="B437" s="475">
        <v>2028</v>
      </c>
      <c r="C437" s="500">
        <v>308.82497514475244</v>
      </c>
      <c r="D437" s="500">
        <v>506.72544975135003</v>
      </c>
      <c r="E437" s="500">
        <v>601.03321495884416</v>
      </c>
      <c r="F437" s="500">
        <v>393.6371133488434</v>
      </c>
      <c r="G437" s="500">
        <v>393.6371133488434</v>
      </c>
      <c r="H437" s="500">
        <v>475.35975561944997</v>
      </c>
      <c r="I437" s="500">
        <v>575.62478545546071</v>
      </c>
      <c r="J437" s="484">
        <f t="shared" si="32"/>
        <v>460</v>
      </c>
    </row>
    <row r="438" spans="2:21" x14ac:dyDescent="0.3">
      <c r="B438" s="475">
        <v>2029</v>
      </c>
      <c r="C438" s="500">
        <v>311.11106420043689</v>
      </c>
      <c r="D438" s="500">
        <v>535.35549793245809</v>
      </c>
      <c r="E438" s="500">
        <v>720.68832074977695</v>
      </c>
      <c r="F438" s="500">
        <v>405.56065719243782</v>
      </c>
      <c r="G438" s="500">
        <v>405.56065719243782</v>
      </c>
      <c r="H438" s="500">
        <v>552.67937090266321</v>
      </c>
      <c r="I438" s="500">
        <v>693.23068359639342</v>
      </c>
      <c r="J438" s="484">
        <f t="shared" si="32"/>
        <v>460</v>
      </c>
    </row>
    <row r="439" spans="2:21" x14ac:dyDescent="0.3">
      <c r="B439" s="475">
        <v>2030</v>
      </c>
      <c r="C439" s="500">
        <v>313.43335631074785</v>
      </c>
      <c r="D439" s="500">
        <v>564.02174916819285</v>
      </c>
      <c r="E439" s="500">
        <v>865.12609753782806</v>
      </c>
      <c r="F439" s="500">
        <v>417.52040409065864</v>
      </c>
      <c r="G439" s="500">
        <v>417.52040409065864</v>
      </c>
      <c r="H439" s="500">
        <v>646.53283453549773</v>
      </c>
      <c r="I439" s="500">
        <v>835.61925273444467</v>
      </c>
      <c r="J439" s="484">
        <f t="shared" si="32"/>
        <v>460</v>
      </c>
    </row>
    <row r="440" spans="2:21" x14ac:dyDescent="0.3">
      <c r="B440" t="s">
        <v>259</v>
      </c>
      <c r="C440" s="62">
        <f>AVERAGE(C432:C439)</f>
        <v>246.20576113381321</v>
      </c>
      <c r="D440" s="62">
        <f t="shared" ref="D440:I440" si="33">AVERAGE(D432:D439)</f>
        <v>386.87592078141273</v>
      </c>
      <c r="E440" s="62">
        <f>AVERAGE(E432:E439)</f>
        <v>464.14255327141336</v>
      </c>
      <c r="F440" s="62">
        <f t="shared" si="33"/>
        <v>307.26271342375787</v>
      </c>
      <c r="G440" s="62">
        <f t="shared" si="33"/>
        <v>307.26271342375787</v>
      </c>
      <c r="H440" s="62">
        <f t="shared" si="33"/>
        <v>371.14463846223174</v>
      </c>
      <c r="I440" s="62">
        <f t="shared" si="33"/>
        <v>443.70323414970289</v>
      </c>
    </row>
    <row r="446" spans="2:21" ht="18.75" thickBot="1" x14ac:dyDescent="0.4">
      <c r="B446" s="1987" t="s">
        <v>260</v>
      </c>
      <c r="C446" s="2"/>
      <c r="D446" s="2"/>
      <c r="E446" s="2"/>
      <c r="F446" s="2"/>
      <c r="G446" s="2"/>
      <c r="H446" s="2"/>
      <c r="I446" s="2"/>
      <c r="J446" s="2"/>
      <c r="K446" s="2"/>
      <c r="L446" s="2"/>
      <c r="M446" s="2"/>
      <c r="N446" s="2"/>
      <c r="O446" s="2"/>
      <c r="P446" s="2"/>
      <c r="Q446" s="2"/>
      <c r="R446" s="2"/>
      <c r="S446" s="2"/>
      <c r="T446" s="2"/>
      <c r="U446" s="2"/>
    </row>
    <row r="447" spans="2:21" ht="14.25" thickTop="1" x14ac:dyDescent="0.3">
      <c r="B447" t="s">
        <v>261</v>
      </c>
    </row>
    <row r="448" spans="2:21" ht="38.1" customHeight="1" x14ac:dyDescent="0.3">
      <c r="B448" s="878"/>
      <c r="C448" s="879" t="s">
        <v>229</v>
      </c>
      <c r="D448" s="879" t="s">
        <v>13</v>
      </c>
      <c r="E448" s="879" t="s">
        <v>35</v>
      </c>
      <c r="F448" s="879" t="s">
        <v>36</v>
      </c>
      <c r="G448" s="879" t="s">
        <v>62</v>
      </c>
      <c r="H448" s="879" t="s">
        <v>38</v>
      </c>
      <c r="I448" s="879" t="s">
        <v>39</v>
      </c>
      <c r="J448" s="880" t="s">
        <v>40</v>
      </c>
    </row>
    <row r="449" spans="2:21" ht="38.1" customHeight="1" x14ac:dyDescent="0.3">
      <c r="B449" s="1395" t="s">
        <v>262</v>
      </c>
      <c r="C449" s="1441">
        <v>8.3000000000000007</v>
      </c>
      <c r="D449" s="1598" cm="1">
        <f t="array" ref="D449:J449">_xlfn.XLOOKUP(G904:M904,'Pathway Analysis'!$E$109:$E$115,'Pathway Analysis'!$P$109:$P$115)/1000</f>
        <v>10.069707948393493</v>
      </c>
      <c r="E449" s="1455">
        <v>9.6153737941791189</v>
      </c>
      <c r="F449" s="1455">
        <v>9.6153737941791189</v>
      </c>
      <c r="G449" s="1455">
        <v>9.6153737941791189</v>
      </c>
      <c r="H449" s="1455">
        <v>8.2977672628790184</v>
      </c>
      <c r="I449" s="1455">
        <v>8.9837115086772066</v>
      </c>
      <c r="J449" s="1599">
        <v>8.6372117073234627</v>
      </c>
    </row>
    <row r="451" spans="2:21" ht="18.75" thickBot="1" x14ac:dyDescent="0.4">
      <c r="B451" s="1987" t="s">
        <v>263</v>
      </c>
      <c r="C451" s="2"/>
      <c r="D451" s="2"/>
      <c r="E451" s="2"/>
      <c r="F451" s="2"/>
      <c r="G451" s="2"/>
      <c r="H451" s="2"/>
      <c r="I451" s="2"/>
      <c r="J451" s="2"/>
      <c r="K451" s="2"/>
      <c r="L451" s="2"/>
      <c r="M451" s="2"/>
      <c r="N451" s="2"/>
      <c r="O451" s="2"/>
      <c r="P451" s="2"/>
      <c r="Q451" s="2"/>
      <c r="R451" s="2"/>
      <c r="S451" s="2"/>
      <c r="T451" s="2"/>
      <c r="U451" s="2"/>
    </row>
    <row r="452" spans="2:21" ht="15.75" thickTop="1" x14ac:dyDescent="0.3">
      <c r="B452" s="5" t="s">
        <v>264</v>
      </c>
      <c r="C452" s="5"/>
      <c r="D452" s="5"/>
      <c r="E452" s="5"/>
      <c r="F452" s="5"/>
      <c r="G452" s="5"/>
      <c r="H452" s="5"/>
      <c r="I452" s="5"/>
      <c r="J452" s="5"/>
      <c r="K452" s="5"/>
      <c r="L452" s="5"/>
      <c r="M452" s="5"/>
      <c r="N452" s="5"/>
      <c r="O452" s="5"/>
      <c r="P452" s="5"/>
      <c r="Q452" s="5"/>
      <c r="R452" s="5"/>
      <c r="S452" s="5"/>
      <c r="T452" s="5"/>
      <c r="U452" s="5"/>
    </row>
    <row r="453" spans="2:21" x14ac:dyDescent="0.3">
      <c r="K453" s="2038" t="s">
        <v>265</v>
      </c>
    </row>
    <row r="455" spans="2:21" ht="22.5" customHeight="1" x14ac:dyDescent="0.3">
      <c r="B455" s="9"/>
      <c r="C455" s="9" t="s">
        <v>266</v>
      </c>
      <c r="D455" s="542" t="str">
        <f t="shared" ref="D455:J455" si="34">D305</f>
        <v>Baseline</v>
      </c>
      <c r="E455" s="542" t="str">
        <f t="shared" si="34"/>
        <v>EEO</v>
      </c>
      <c r="F455" s="542" t="str">
        <f t="shared" si="34"/>
        <v>VA</v>
      </c>
      <c r="G455" s="542" t="str">
        <f t="shared" si="34"/>
        <v>Renowave</v>
      </c>
      <c r="H455" s="542" t="str">
        <f t="shared" si="34"/>
        <v>EET</v>
      </c>
      <c r="I455" s="542" t="str">
        <f t="shared" si="34"/>
        <v>CEER1</v>
      </c>
      <c r="J455" s="542" t="str">
        <f t="shared" si="34"/>
        <v>CEER2</v>
      </c>
    </row>
    <row r="456" spans="2:21" ht="24" x14ac:dyDescent="0.3">
      <c r="B456" s="2021" t="s">
        <v>267</v>
      </c>
      <c r="C456" s="494" cm="1">
        <f t="array" ref="C456:J456">TRANSPOSE('Pathway Analysis'!P108:P115)/1000</f>
        <v>10.232250461677303</v>
      </c>
      <c r="D456" s="494">
        <v>10.069707948393493</v>
      </c>
      <c r="E456" s="494">
        <v>9.6153737941791189</v>
      </c>
      <c r="F456" s="494">
        <v>9.6153737941791189</v>
      </c>
      <c r="G456" s="494">
        <v>9.6153737941791189</v>
      </c>
      <c r="H456" s="494">
        <v>8.2977672628790184</v>
      </c>
      <c r="I456" s="494">
        <v>8.9837115086772066</v>
      </c>
      <c r="J456" s="494">
        <v>8.6372117073234627</v>
      </c>
    </row>
    <row r="457" spans="2:21" x14ac:dyDescent="0.3">
      <c r="B457" s="475" t="s">
        <v>258</v>
      </c>
      <c r="C457" s="499">
        <f>Admin!H9</f>
        <v>8.3000000000000007</v>
      </c>
      <c r="D457" s="482">
        <f>C457</f>
        <v>8.3000000000000007</v>
      </c>
      <c r="E457" s="482">
        <f t="shared" ref="E457:J457" si="35">D457</f>
        <v>8.3000000000000007</v>
      </c>
      <c r="F457" s="482">
        <f t="shared" si="35"/>
        <v>8.3000000000000007</v>
      </c>
      <c r="G457" s="482">
        <f t="shared" si="35"/>
        <v>8.3000000000000007</v>
      </c>
      <c r="H457" s="482">
        <f t="shared" si="35"/>
        <v>8.3000000000000007</v>
      </c>
      <c r="I457" s="482">
        <f t="shared" si="35"/>
        <v>8.3000000000000007</v>
      </c>
      <c r="J457" s="482">
        <f t="shared" si="35"/>
        <v>8.3000000000000007</v>
      </c>
    </row>
    <row r="473" spans="2:21" ht="18.75" thickBot="1" x14ac:dyDescent="0.4">
      <c r="B473" s="1987" t="s">
        <v>268</v>
      </c>
      <c r="C473" s="2"/>
      <c r="D473" s="2"/>
      <c r="E473" s="2"/>
      <c r="F473" s="2"/>
      <c r="G473" s="2"/>
      <c r="H473" s="2"/>
      <c r="I473" s="2"/>
      <c r="J473" s="2"/>
      <c r="K473" s="2"/>
      <c r="L473" s="2"/>
      <c r="M473" s="2"/>
      <c r="N473" s="2"/>
      <c r="O473" s="2"/>
      <c r="P473" s="2"/>
      <c r="Q473" s="2"/>
      <c r="R473" s="2"/>
      <c r="S473" s="2"/>
      <c r="T473" s="2"/>
      <c r="U473" s="2"/>
    </row>
    <row r="474" spans="2:21" ht="15" thickTop="1" thickBot="1" x14ac:dyDescent="0.35">
      <c r="B474" s="2038" t="s">
        <v>269</v>
      </c>
    </row>
    <row r="475" spans="2:21" ht="25.7" customHeight="1" x14ac:dyDescent="0.3">
      <c r="B475" s="1742" t="s">
        <v>270</v>
      </c>
      <c r="C475" s="1736" t="s">
        <v>229</v>
      </c>
      <c r="D475" s="1727" t="s">
        <v>13</v>
      </c>
      <c r="E475" s="1727" t="s">
        <v>35</v>
      </c>
      <c r="F475" s="1727" t="s">
        <v>36</v>
      </c>
      <c r="G475" s="1727" t="s">
        <v>62</v>
      </c>
      <c r="H475" s="1727" t="s">
        <v>38</v>
      </c>
      <c r="I475" s="1727" t="s">
        <v>39</v>
      </c>
      <c r="J475" s="1728" t="s">
        <v>40</v>
      </c>
    </row>
    <row r="476" spans="2:21" ht="27" x14ac:dyDescent="0.3">
      <c r="B476" s="1743" t="s">
        <v>163</v>
      </c>
      <c r="C476" s="1737">
        <f>C300</f>
        <v>30</v>
      </c>
      <c r="D476" s="1722">
        <f t="shared" ref="D476:J476" si="36">D300</f>
        <v>32.800636129512888</v>
      </c>
      <c r="E476" s="1722">
        <f t="shared" si="36"/>
        <v>30.380158035912608</v>
      </c>
      <c r="F476" s="1722">
        <f t="shared" si="36"/>
        <v>30.505241511688403</v>
      </c>
      <c r="G476" s="1722">
        <f t="shared" si="36"/>
        <v>29.550812071545629</v>
      </c>
      <c r="H476" s="1722">
        <f t="shared" si="36"/>
        <v>29.749509864005553</v>
      </c>
      <c r="I476" s="1722">
        <f t="shared" si="36"/>
        <v>29.898501679655404</v>
      </c>
      <c r="J476" s="1729">
        <f t="shared" si="36"/>
        <v>28.657361055021678</v>
      </c>
    </row>
    <row r="477" spans="2:21" ht="27" x14ac:dyDescent="0.3">
      <c r="B477" s="1743" t="s">
        <v>271</v>
      </c>
      <c r="C477" s="1737">
        <f>C415</f>
        <v>21.279</v>
      </c>
      <c r="D477" s="1723">
        <f t="shared" ref="D477:J477" si="37">D415</f>
        <v>5.4616173611366756</v>
      </c>
      <c r="E477" s="1723">
        <f t="shared" si="37"/>
        <v>14.527378974475566</v>
      </c>
      <c r="F477" s="1723">
        <f t="shared" si="37"/>
        <v>13.687783241666946</v>
      </c>
      <c r="G477" s="1723">
        <f t="shared" si="37"/>
        <v>17.37128871838868</v>
      </c>
      <c r="H477" s="1723">
        <f t="shared" si="37"/>
        <v>17.402733830709998</v>
      </c>
      <c r="I477" s="1723">
        <f t="shared" si="37"/>
        <v>16.381110880025773</v>
      </c>
      <c r="J477" s="1730">
        <f t="shared" si="37"/>
        <v>20.730439979513001</v>
      </c>
    </row>
    <row r="478" spans="2:21" ht="27" x14ac:dyDescent="0.3">
      <c r="B478" s="1743" t="s">
        <v>161</v>
      </c>
      <c r="C478" s="1738">
        <f>C361</f>
        <v>1.9E-2</v>
      </c>
      <c r="D478" s="1724">
        <f t="shared" ref="D478:J478" si="38">D361</f>
        <v>5.7239419582160627E-4</v>
      </c>
      <c r="E478" s="1724">
        <f t="shared" si="38"/>
        <v>1.1070831875549018E-2</v>
      </c>
      <c r="F478" s="1724">
        <f t="shared" si="38"/>
        <v>1.22603910046093E-2</v>
      </c>
      <c r="G478" s="1724">
        <f t="shared" si="38"/>
        <v>1.5141178089776513E-2</v>
      </c>
      <c r="H478" s="1724">
        <f t="shared" si="38"/>
        <v>1.0916867432062839E-2</v>
      </c>
      <c r="I478" s="1724">
        <f t="shared" si="38"/>
        <v>1.3215109740493398E-2</v>
      </c>
      <c r="J478" s="1731">
        <f t="shared" si="38"/>
        <v>1.9632542681103211E-2</v>
      </c>
    </row>
    <row r="479" spans="2:21" ht="27" x14ac:dyDescent="0.3">
      <c r="B479" s="1743" t="s">
        <v>272</v>
      </c>
      <c r="C479" s="1738">
        <f>C388</f>
        <v>1.4999999999999999E-2</v>
      </c>
      <c r="D479" s="1724">
        <f t="shared" ref="D479:J479" si="39">D388</f>
        <v>1.4396817674703426E-3</v>
      </c>
      <c r="E479" s="1724">
        <f t="shared" si="39"/>
        <v>1.1441664692584083E-2</v>
      </c>
      <c r="F479" s="1724">
        <f t="shared" si="39"/>
        <v>1.0909683420612923E-2</v>
      </c>
      <c r="G479" s="1724">
        <f t="shared" si="39"/>
        <v>1.5042082465692611E-2</v>
      </c>
      <c r="H479" s="1724">
        <f t="shared" si="39"/>
        <v>1.3978120196927374E-2</v>
      </c>
      <c r="I479" s="1724">
        <f t="shared" si="39"/>
        <v>1.334445651664423E-2</v>
      </c>
      <c r="J479" s="1731">
        <f t="shared" si="39"/>
        <v>1.8623039991340743E-2</v>
      </c>
    </row>
    <row r="480" spans="2:21" ht="54" x14ac:dyDescent="0.3">
      <c r="B480" s="1743" t="s">
        <v>273</v>
      </c>
      <c r="C480" s="1738">
        <v>1.9E-2</v>
      </c>
      <c r="D480" s="1724" cm="1">
        <f t="array" ref="D480:J480">_xlfn.XLOOKUP(G904:M904,'Pathway Analysis'!$E$94:$E$100,'Pathway Analysis'!$F$94:$F$100)</f>
        <v>1.009935746581334E-4</v>
      </c>
      <c r="E480" s="1724">
        <v>1.6101978416147536E-2</v>
      </c>
      <c r="F480" s="1724">
        <v>9.1704358749986076E-3</v>
      </c>
      <c r="G480" s="1724">
        <v>1.1850386847023515E-2</v>
      </c>
      <c r="H480" s="1724">
        <v>9.1704358749986076E-3</v>
      </c>
      <c r="I480" s="1724">
        <v>1.1124905756411667E-2</v>
      </c>
      <c r="J480" s="1731">
        <v>1.623956302475188E-2</v>
      </c>
    </row>
    <row r="481" spans="2:21" ht="54.75" thickBot="1" x14ac:dyDescent="0.35">
      <c r="B481" s="1746" t="s">
        <v>274</v>
      </c>
      <c r="C481" s="1747">
        <v>0.03</v>
      </c>
      <c r="D481" s="1748" cm="1">
        <f t="array" ref="D481:J481">INDEX('Pathway Analysis'!$AM$241:$AM$296,MATCH(G904:M904,'Pathway Analysis'!$W$241:$W$296,0)+3)</f>
        <v>8.6854546222829461E-3</v>
      </c>
      <c r="E481" s="1748">
        <v>6.4597047658599291E-2</v>
      </c>
      <c r="F481" s="1748">
        <v>3.4869311979302285E-2</v>
      </c>
      <c r="G481" s="1748">
        <v>4.3453138479220256E-2</v>
      </c>
      <c r="H481" s="1748">
        <v>3.4869311979302285E-2</v>
      </c>
      <c r="I481" s="1748">
        <v>4.1889615541430954E-2</v>
      </c>
      <c r="J481" s="1749">
        <v>6.3983789464313615E-2</v>
      </c>
    </row>
    <row r="482" spans="2:21" ht="27.6" customHeight="1" x14ac:dyDescent="0.3">
      <c r="B482" s="1742" t="s">
        <v>275</v>
      </c>
      <c r="C482" s="1736" t="s">
        <v>229</v>
      </c>
      <c r="D482" s="1727" t="s">
        <v>13</v>
      </c>
      <c r="E482" s="1727" t="s">
        <v>35</v>
      </c>
      <c r="F482" s="1727" t="s">
        <v>36</v>
      </c>
      <c r="G482" s="1727" t="s">
        <v>62</v>
      </c>
      <c r="H482" s="1727" t="s">
        <v>38</v>
      </c>
      <c r="I482" s="1727" t="s">
        <v>39</v>
      </c>
      <c r="J482" s="1728" t="s">
        <v>40</v>
      </c>
    </row>
    <row r="483" spans="2:21" ht="40.5" x14ac:dyDescent="0.3">
      <c r="B483" s="1743" t="s">
        <v>276</v>
      </c>
      <c r="C483" s="1739">
        <f>296185/1000000</f>
        <v>0.29618499999999998</v>
      </c>
      <c r="D483" s="1725" cm="1">
        <f t="array" ref="D483:J483">INDEX('Pathway Analysis'!$F$234:$F$296,MATCH(G904:M904,'Pathway Analysis'!$E$234:$E$296,0)+4)</f>
        <v>0.11572443884643135</v>
      </c>
      <c r="E483" s="1725">
        <v>0.86683063864333521</v>
      </c>
      <c r="F483" s="1725">
        <v>0.48251395468883423</v>
      </c>
      <c r="G483" s="1725">
        <v>0.5869906349824735</v>
      </c>
      <c r="H483" s="1725">
        <v>0.48251395468883423</v>
      </c>
      <c r="I483" s="1725">
        <v>0.5869906349824735</v>
      </c>
      <c r="J483" s="1732">
        <v>0.91570093855180934</v>
      </c>
    </row>
    <row r="484" spans="2:21" ht="15" x14ac:dyDescent="0.3">
      <c r="B484" s="1744" t="s">
        <v>76</v>
      </c>
      <c r="C484" s="1740">
        <f>C423</f>
        <v>232</v>
      </c>
      <c r="D484" s="1726">
        <f t="shared" ref="D484:J484" si="40">D423</f>
        <v>313.43335631074785</v>
      </c>
      <c r="E484" s="1726">
        <f t="shared" si="40"/>
        <v>564.02174916819285</v>
      </c>
      <c r="F484" s="1726">
        <f t="shared" si="40"/>
        <v>865.12609753782806</v>
      </c>
      <c r="G484" s="1726">
        <f t="shared" si="40"/>
        <v>417.52040409065864</v>
      </c>
      <c r="H484" s="1726">
        <f t="shared" si="40"/>
        <v>417.52040409065864</v>
      </c>
      <c r="I484" s="1726">
        <f t="shared" si="40"/>
        <v>646.53283453549773</v>
      </c>
      <c r="J484" s="1733">
        <f t="shared" si="40"/>
        <v>835.61925273444467</v>
      </c>
    </row>
    <row r="485" spans="2:21" ht="15.75" thickBot="1" x14ac:dyDescent="0.35">
      <c r="B485" s="1745" t="s">
        <v>78</v>
      </c>
      <c r="C485" s="1741">
        <f>C449</f>
        <v>8.3000000000000007</v>
      </c>
      <c r="D485" s="1734">
        <f t="shared" ref="D485:J485" si="41">D449</f>
        <v>10.069707948393493</v>
      </c>
      <c r="E485" s="1734">
        <f t="shared" si="41"/>
        <v>9.6153737941791189</v>
      </c>
      <c r="F485" s="1734">
        <f t="shared" si="41"/>
        <v>9.6153737941791189</v>
      </c>
      <c r="G485" s="1734">
        <f t="shared" si="41"/>
        <v>9.6153737941791189</v>
      </c>
      <c r="H485" s="1734">
        <f t="shared" si="41"/>
        <v>8.2977672628790184</v>
      </c>
      <c r="I485" s="1734">
        <f t="shared" si="41"/>
        <v>8.9837115086772066</v>
      </c>
      <c r="J485" s="1735">
        <f t="shared" si="41"/>
        <v>8.6372117073234627</v>
      </c>
    </row>
    <row r="488" spans="2:21" ht="18.75" thickBot="1" x14ac:dyDescent="0.4">
      <c r="B488" s="1987" t="s">
        <v>277</v>
      </c>
      <c r="C488" s="2"/>
      <c r="D488" s="2"/>
      <c r="E488" s="2"/>
      <c r="F488" s="2"/>
      <c r="G488" s="2"/>
      <c r="H488" s="2"/>
      <c r="I488" s="2"/>
      <c r="J488" s="2"/>
      <c r="K488" s="2"/>
      <c r="L488" s="2"/>
      <c r="M488" s="2"/>
      <c r="N488" s="2"/>
      <c r="O488" s="2"/>
      <c r="P488" s="2"/>
      <c r="Q488" s="2"/>
      <c r="R488" s="2"/>
      <c r="S488" s="2"/>
      <c r="T488" s="2"/>
      <c r="U488" s="2"/>
    </row>
    <row r="489" spans="2:21" ht="14.25" thickTop="1" x14ac:dyDescent="0.3"/>
    <row r="490" spans="2:21" x14ac:dyDescent="0.3">
      <c r="B490" s="2038" t="s">
        <v>278</v>
      </c>
    </row>
    <row r="512" spans="2:21" ht="18.75" thickBot="1" x14ac:dyDescent="0.4">
      <c r="B512" s="1987" t="s">
        <v>279</v>
      </c>
      <c r="C512" s="2"/>
      <c r="D512" s="2"/>
      <c r="E512" s="2"/>
      <c r="F512" s="2"/>
      <c r="G512" s="2"/>
      <c r="H512" s="2"/>
      <c r="I512" s="2"/>
      <c r="J512" s="2"/>
      <c r="K512" s="2"/>
      <c r="L512" s="2"/>
      <c r="M512" s="2"/>
      <c r="N512" s="2"/>
      <c r="O512" s="2"/>
      <c r="P512" s="2"/>
      <c r="Q512" s="2"/>
      <c r="R512" s="2"/>
      <c r="S512" s="2"/>
      <c r="T512" s="2"/>
      <c r="U512" s="2"/>
    </row>
    <row r="513" spans="2:22" ht="15" thickTop="1" thickBot="1" x14ac:dyDescent="0.35">
      <c r="B513" t="s">
        <v>280</v>
      </c>
    </row>
    <row r="514" spans="2:22" ht="38.1" customHeight="1" x14ac:dyDescent="0.3">
      <c r="B514" s="1742" t="s">
        <v>270</v>
      </c>
      <c r="C514" s="1736" t="s">
        <v>229</v>
      </c>
      <c r="D514" s="1727" t="s">
        <v>13</v>
      </c>
      <c r="E514" s="1727" t="s">
        <v>35</v>
      </c>
      <c r="F514" s="1727" t="s">
        <v>36</v>
      </c>
      <c r="G514" s="1727" t="s">
        <v>62</v>
      </c>
      <c r="H514" s="1727" t="s">
        <v>38</v>
      </c>
      <c r="I514" s="1727" t="s">
        <v>39</v>
      </c>
      <c r="J514" s="1728" t="s">
        <v>40</v>
      </c>
    </row>
    <row r="515" spans="2:22" ht="54" x14ac:dyDescent="0.3">
      <c r="B515" s="1750" t="s">
        <v>273</v>
      </c>
      <c r="C515" s="1738">
        <v>1.9E-2</v>
      </c>
      <c r="D515" s="1724" cm="1">
        <f t="array" ref="D515:J515">_xlfn.XLOOKUP(G904:M904,'Pathway Analysis'!$E$94:$E$100,'Pathway Analysis'!$F$94:$F$100)</f>
        <v>1.009935746581334E-4</v>
      </c>
      <c r="E515" s="1724">
        <v>1.6101978416147536E-2</v>
      </c>
      <c r="F515" s="1724">
        <v>9.1704358749986076E-3</v>
      </c>
      <c r="G515" s="1724">
        <v>1.1850386847023515E-2</v>
      </c>
      <c r="H515" s="1724">
        <v>9.1704358749986076E-3</v>
      </c>
      <c r="I515" s="1724">
        <v>1.1124905756411667E-2</v>
      </c>
      <c r="J515" s="1731">
        <v>1.623956302475188E-2</v>
      </c>
    </row>
    <row r="516" spans="2:22" ht="54.75" thickBot="1" x14ac:dyDescent="0.35">
      <c r="B516" s="1751" t="s">
        <v>274</v>
      </c>
      <c r="C516" s="1752">
        <v>0.03</v>
      </c>
      <c r="D516" s="1753" cm="1">
        <f t="array" ref="D516:J516">INDEX('Pathway Analysis'!$AM$241:$AM$296,MATCH(G904:M904,'Pathway Analysis'!$W$241:$W$296,0)+3)</f>
        <v>8.6854546222829461E-3</v>
      </c>
      <c r="E516" s="1753">
        <v>6.4597047658599291E-2</v>
      </c>
      <c r="F516" s="1753">
        <v>3.4869311979302285E-2</v>
      </c>
      <c r="G516" s="1753">
        <v>4.3453138479220256E-2</v>
      </c>
      <c r="H516" s="1753">
        <v>3.4869311979302285E-2</v>
      </c>
      <c r="I516" s="1753">
        <v>4.1889615541430954E-2</v>
      </c>
      <c r="J516" s="1754">
        <v>6.3983789464313615E-2</v>
      </c>
    </row>
    <row r="518" spans="2:22" ht="18.75" thickBot="1" x14ac:dyDescent="0.4">
      <c r="B518" s="1987" t="s">
        <v>281</v>
      </c>
      <c r="C518" s="2"/>
      <c r="D518" s="2"/>
      <c r="E518" s="2"/>
      <c r="F518" s="2"/>
      <c r="G518" s="2"/>
      <c r="H518" s="2"/>
      <c r="I518" s="2"/>
      <c r="J518" s="2"/>
      <c r="K518" s="2"/>
      <c r="L518" s="2"/>
      <c r="M518" s="2"/>
      <c r="N518" s="2"/>
      <c r="O518" s="2"/>
      <c r="P518" s="2"/>
      <c r="Q518" s="2"/>
      <c r="R518" s="2"/>
      <c r="S518" s="2"/>
      <c r="T518" s="2"/>
      <c r="U518" s="2"/>
    </row>
    <row r="519" spans="2:22" ht="15" thickTop="1" thickBot="1" x14ac:dyDescent="0.35">
      <c r="B519" s="2038" t="s">
        <v>282</v>
      </c>
    </row>
    <row r="520" spans="2:22" ht="36" customHeight="1" x14ac:dyDescent="0.3">
      <c r="B520" s="1742" t="s">
        <v>270</v>
      </c>
      <c r="C520" s="1736" t="s">
        <v>229</v>
      </c>
      <c r="D520" s="1727" t="s">
        <v>13</v>
      </c>
      <c r="E520" s="1727" t="s">
        <v>35</v>
      </c>
      <c r="F520" s="1727" t="s">
        <v>36</v>
      </c>
      <c r="G520" s="1727" t="s">
        <v>62</v>
      </c>
      <c r="H520" s="1727" t="s">
        <v>38</v>
      </c>
      <c r="I520" s="1727" t="s">
        <v>39</v>
      </c>
      <c r="J520" s="1728" t="s">
        <v>40</v>
      </c>
    </row>
    <row r="521" spans="2:22" ht="40.5" x14ac:dyDescent="0.3">
      <c r="B521" s="1750" t="s">
        <v>283</v>
      </c>
      <c r="C521" s="1755">
        <f>296185/1000000</f>
        <v>0.29618499999999998</v>
      </c>
      <c r="D521" s="1725" cm="1">
        <f t="array" ref="D521:J521">INDEX('Pathway Analysis'!$F$234:$F$296,MATCH(G904:M904,'Pathway Analysis'!$E$234:$E$296,0)+4)</f>
        <v>0.11572443884643135</v>
      </c>
      <c r="E521" s="1725">
        <v>0.86683063864333521</v>
      </c>
      <c r="F521" s="1725">
        <v>0.48251395468883423</v>
      </c>
      <c r="G521" s="1725">
        <v>0.5869906349824735</v>
      </c>
      <c r="H521" s="1725">
        <v>0.48251395468883423</v>
      </c>
      <c r="I521" s="1725">
        <v>0.5869906349824735</v>
      </c>
      <c r="J521" s="1732">
        <v>0.91570093855180934</v>
      </c>
    </row>
    <row r="524" spans="2:22" ht="18.75" thickBot="1" x14ac:dyDescent="0.4">
      <c r="B524" s="1987" t="s">
        <v>284</v>
      </c>
      <c r="C524" s="2"/>
      <c r="D524" s="2"/>
      <c r="E524" s="2"/>
      <c r="F524" s="2"/>
      <c r="G524" s="2"/>
      <c r="H524" s="2"/>
      <c r="I524" s="2"/>
      <c r="J524" s="2"/>
      <c r="K524" s="2"/>
      <c r="L524" s="2"/>
      <c r="M524" s="2"/>
      <c r="N524" s="2"/>
      <c r="O524" s="2"/>
      <c r="P524" s="2"/>
      <c r="Q524" s="2"/>
      <c r="R524" s="2"/>
      <c r="S524" s="2"/>
      <c r="T524" s="2"/>
      <c r="U524" s="2"/>
    </row>
    <row r="525" spans="2:22" ht="15.75" thickTop="1" x14ac:dyDescent="0.3">
      <c r="B525" s="5" t="s">
        <v>285</v>
      </c>
      <c r="C525" s="5"/>
      <c r="D525" s="5"/>
      <c r="E525" s="5"/>
      <c r="F525" s="5"/>
      <c r="G525" s="5"/>
      <c r="H525" s="5"/>
      <c r="I525" s="5"/>
      <c r="J525" s="5"/>
      <c r="K525" s="5"/>
      <c r="L525" s="5"/>
      <c r="M525" s="5"/>
      <c r="N525" s="5"/>
      <c r="O525" s="5"/>
      <c r="P525" s="5"/>
      <c r="Q525" s="5"/>
      <c r="R525" s="5"/>
      <c r="S525" s="5"/>
      <c r="T525" s="5"/>
      <c r="U525" s="5"/>
      <c r="V525" s="5"/>
    </row>
    <row r="526" spans="2:22" ht="15" x14ac:dyDescent="0.3">
      <c r="B526" s="5" t="s">
        <v>286</v>
      </c>
      <c r="C526" s="5"/>
      <c r="D526" s="5"/>
      <c r="E526" s="5"/>
      <c r="F526" s="5"/>
      <c r="G526" s="5"/>
      <c r="H526" s="5"/>
      <c r="I526" s="5"/>
      <c r="J526" s="5"/>
      <c r="K526" s="5"/>
      <c r="L526" s="5"/>
      <c r="M526" s="5"/>
      <c r="N526" s="5"/>
      <c r="O526" s="5"/>
      <c r="P526" s="5"/>
      <c r="Q526" s="5"/>
      <c r="R526" s="5"/>
      <c r="S526" s="5"/>
      <c r="T526" s="5"/>
      <c r="U526" s="5"/>
      <c r="V526" s="5"/>
    </row>
    <row r="527" spans="2:22" x14ac:dyDescent="0.3">
      <c r="B527" s="9"/>
      <c r="C527" s="9" t="str" cm="1">
        <f t="array" ref="C527:I527">C428:I428</f>
        <v>Baseline</v>
      </c>
      <c r="D527" s="9" t="str">
        <v>EEO</v>
      </c>
      <c r="E527" s="9" t="str">
        <v>VA</v>
      </c>
      <c r="F527" s="9" t="str">
        <v>Renowave</v>
      </c>
      <c r="G527" s="9" t="str">
        <v>EET</v>
      </c>
      <c r="H527" s="9" t="str">
        <v>CEER1</v>
      </c>
      <c r="I527" s="9" t="str">
        <v>CEER2</v>
      </c>
    </row>
    <row r="528" spans="2:22" x14ac:dyDescent="0.3">
      <c r="B528" s="475">
        <f t="shared" ref="B528:B537" si="42">B430</f>
        <v>2021</v>
      </c>
      <c r="C528" s="500" cm="1">
        <f t="array" ref="C528:C537">TRANSPOSE('Pathway Analysis'!G356:P356)</f>
        <v>166.73424608362066</v>
      </c>
      <c r="D528" s="500" cm="1">
        <f t="array" ref="D528:D537">TRANSPOSE('Pathway Analysis'!G362:P362)</f>
        <v>280.06666720746978</v>
      </c>
      <c r="E528" s="500" cm="1">
        <f t="array" ref="E528:E537">TRANSPOSE('Pathway Analysis'!G368:P368)</f>
        <v>280.06666720746978</v>
      </c>
      <c r="F528" s="500" cm="1">
        <f t="array" ref="F528:F537">TRANSPOSE('Pathway Analysis'!G374:P374)</f>
        <v>280.06666720746978</v>
      </c>
      <c r="G528" s="500" cm="1">
        <f t="array" ref="G528:G537">TRANSPOSE('Pathway Analysis'!G380:P380)</f>
        <v>533.06529889324338</v>
      </c>
      <c r="H528" s="500" cm="1">
        <f t="array" ref="H528:H537">TRANSPOSE('Pathway Analysis'!G386:P386)</f>
        <v>450.06529889324349</v>
      </c>
      <c r="I528" s="500" cm="1">
        <f t="array" ref="I528:I537">TRANSPOSE('Pathway Analysis'!G392:P392)</f>
        <v>450.06529889324349</v>
      </c>
      <c r="K528" s="2062" t="s">
        <v>287</v>
      </c>
      <c r="L528" s="2062"/>
      <c r="M528" s="2062"/>
      <c r="N528" s="2062"/>
      <c r="O528" s="2062"/>
      <c r="P528" s="2062"/>
      <c r="Q528" s="2062"/>
      <c r="R528" s="2062"/>
      <c r="S528" s="2062"/>
      <c r="T528" s="2062"/>
      <c r="U528" s="2062"/>
      <c r="V528" s="2062"/>
    </row>
    <row r="529" spans="2:9" x14ac:dyDescent="0.3">
      <c r="B529" s="475">
        <f t="shared" si="42"/>
        <v>2022</v>
      </c>
      <c r="C529" s="500">
        <v>141.11435217805385</v>
      </c>
      <c r="D529" s="500">
        <v>210.06394151473643</v>
      </c>
      <c r="E529" s="500">
        <v>210.06394151473643</v>
      </c>
      <c r="F529" s="500">
        <v>210.06394151473643</v>
      </c>
      <c r="G529" s="500">
        <v>454.48832551976034</v>
      </c>
      <c r="H529" s="500">
        <v>313.48832551976022</v>
      </c>
      <c r="I529" s="500">
        <v>313.48832551976022</v>
      </c>
    </row>
    <row r="530" spans="2:9" x14ac:dyDescent="0.3">
      <c r="B530" s="475">
        <f t="shared" si="42"/>
        <v>2023</v>
      </c>
      <c r="C530" s="500">
        <v>120.8848866328765</v>
      </c>
      <c r="D530" s="500">
        <v>173.89861988837592</v>
      </c>
      <c r="E530" s="500">
        <v>173.89861988837592</v>
      </c>
      <c r="F530" s="500">
        <v>173.89861988837592</v>
      </c>
      <c r="G530" s="500">
        <v>353.41921977162508</v>
      </c>
      <c r="H530" s="500">
        <v>253.41921977162505</v>
      </c>
      <c r="I530" s="500">
        <v>253.41921977162505</v>
      </c>
    </row>
    <row r="531" spans="2:9" x14ac:dyDescent="0.3">
      <c r="B531" s="475">
        <f t="shared" si="42"/>
        <v>2024</v>
      </c>
      <c r="C531" s="500">
        <v>100.64309816325147</v>
      </c>
      <c r="D531" s="500">
        <v>325.22114029600851</v>
      </c>
      <c r="E531" s="500">
        <v>325.22114029600851</v>
      </c>
      <c r="F531" s="500">
        <v>301.88780696267514</v>
      </c>
      <c r="G531" s="500">
        <v>988.7548701618108</v>
      </c>
      <c r="H531" s="500">
        <v>568.7548701618108</v>
      </c>
      <c r="I531" s="500">
        <v>568.7548701618108</v>
      </c>
    </row>
    <row r="532" spans="2:9" x14ac:dyDescent="0.3">
      <c r="B532" s="475">
        <f t="shared" si="42"/>
        <v>2025</v>
      </c>
      <c r="C532" s="500">
        <v>182.57406027011979</v>
      </c>
      <c r="D532" s="500">
        <v>1614.2952768808439</v>
      </c>
      <c r="E532" s="500">
        <v>1680.1498368674411</v>
      </c>
      <c r="F532" s="500">
        <v>2853.3681504656465</v>
      </c>
      <c r="G532" s="500">
        <v>2350.9635360201587</v>
      </c>
      <c r="H532" s="500">
        <v>2114.3600849576173</v>
      </c>
      <c r="I532" s="500">
        <v>2879.6544459092902</v>
      </c>
    </row>
    <row r="533" spans="2:9" x14ac:dyDescent="0.3">
      <c r="B533" s="475">
        <f t="shared" si="42"/>
        <v>2026</v>
      </c>
      <c r="C533" s="500">
        <v>188.44514562045626</v>
      </c>
      <c r="D533" s="500">
        <v>1515.3170264485473</v>
      </c>
      <c r="E533" s="500">
        <v>1586.965169004485</v>
      </c>
      <c r="F533" s="500">
        <v>2782.49342586181</v>
      </c>
      <c r="G533" s="500">
        <v>1845.8917168554328</v>
      </c>
      <c r="H533" s="500">
        <v>1848.0055081880462</v>
      </c>
      <c r="I533" s="500">
        <v>2625.2475363119552</v>
      </c>
    </row>
    <row r="534" spans="2:9" x14ac:dyDescent="0.3">
      <c r="B534" s="475">
        <f t="shared" si="42"/>
        <v>2027</v>
      </c>
      <c r="C534" s="500">
        <v>188.6802376244481</v>
      </c>
      <c r="D534" s="500">
        <v>1468.8893161308283</v>
      </c>
      <c r="E534" s="500">
        <v>1548.4575860775326</v>
      </c>
      <c r="F534" s="500">
        <v>2763.4568118891207</v>
      </c>
      <c r="G534" s="500">
        <v>1516.9738813750657</v>
      </c>
      <c r="H534" s="500">
        <v>1713.373308730763</v>
      </c>
      <c r="I534" s="500">
        <v>2504.7138817603659</v>
      </c>
    </row>
    <row r="535" spans="2:9" x14ac:dyDescent="0.3">
      <c r="B535" s="475">
        <f t="shared" si="42"/>
        <v>2028</v>
      </c>
      <c r="C535" s="500">
        <v>159.59158280022066</v>
      </c>
      <c r="D535" s="500">
        <v>1453.1126851976962</v>
      </c>
      <c r="E535" s="500">
        <v>1543.1383803187362</v>
      </c>
      <c r="F535" s="500">
        <v>2772.0031992279187</v>
      </c>
      <c r="G535" s="500">
        <v>1484.9351787917349</v>
      </c>
      <c r="H535" s="500">
        <v>1690.3438850481475</v>
      </c>
      <c r="I535" s="500">
        <v>2500.441038960143</v>
      </c>
    </row>
    <row r="536" spans="2:9" x14ac:dyDescent="0.3">
      <c r="B536" s="475">
        <f t="shared" si="42"/>
        <v>2029</v>
      </c>
      <c r="C536" s="500">
        <v>166.1986831292846</v>
      </c>
      <c r="D536" s="500">
        <v>1485.8542146242232</v>
      </c>
      <c r="E536" s="500">
        <v>1588.9834152081128</v>
      </c>
      <c r="F536" s="500">
        <v>2829.5542072918147</v>
      </c>
      <c r="G536" s="500">
        <v>1519.8908422278769</v>
      </c>
      <c r="H536" s="500">
        <v>1736.146434153037</v>
      </c>
      <c r="I536" s="500">
        <v>2566.1548111600828</v>
      </c>
    </row>
    <row r="537" spans="2:9" x14ac:dyDescent="0.3">
      <c r="B537" s="475">
        <f t="shared" si="42"/>
        <v>2030</v>
      </c>
      <c r="C537" s="500">
        <v>173.05245074507985</v>
      </c>
      <c r="D537" s="500">
        <v>1515.2186857055833</v>
      </c>
      <c r="E537" s="500">
        <v>1627.9645179060783</v>
      </c>
      <c r="F537" s="500">
        <v>2884.2243465832894</v>
      </c>
      <c r="G537" s="500">
        <v>1545.2613086782733</v>
      </c>
      <c r="H537" s="500">
        <v>1770.1142280152217</v>
      </c>
      <c r="I537" s="500">
        <v>2619.1496045940503</v>
      </c>
    </row>
    <row r="538" spans="2:9" x14ac:dyDescent="0.3">
      <c r="B538" s="475"/>
      <c r="C538" s="493">
        <f>SUM(_xlfn.ANCHORARRAY(C528))</f>
        <v>1587.9187432474118</v>
      </c>
      <c r="D538" s="493">
        <f t="shared" ref="D538:I538" si="43">SUM(_xlfn.ANCHORARRAY(D528))</f>
        <v>10041.937573894313</v>
      </c>
      <c r="E538" s="493">
        <f t="shared" si="43"/>
        <v>10564.909274288977</v>
      </c>
      <c r="F538" s="493">
        <f t="shared" si="43"/>
        <v>17851.017176892856</v>
      </c>
      <c r="G538" s="493">
        <f t="shared" si="43"/>
        <v>12593.644178294981</v>
      </c>
      <c r="H538" s="493">
        <f t="shared" si="43"/>
        <v>12458.071163439272</v>
      </c>
      <c r="I538" s="493">
        <f t="shared" si="43"/>
        <v>17281.089033042328</v>
      </c>
    </row>
    <row r="539" spans="2:9" x14ac:dyDescent="0.3">
      <c r="B539" t="s">
        <v>288</v>
      </c>
    </row>
    <row r="540" spans="2:9" x14ac:dyDescent="0.3">
      <c r="B540" s="9"/>
      <c r="C540" s="9" t="str" cm="1">
        <f t="array" ref="C540:I540">_xlfn.ANCHORARRAY(C527)</f>
        <v>Baseline</v>
      </c>
      <c r="D540" s="9" t="str">
        <v>EEO</v>
      </c>
      <c r="E540" s="9" t="str">
        <v>VA</v>
      </c>
      <c r="F540" s="9" t="str">
        <v>Renowave</v>
      </c>
      <c r="G540" s="9" t="str">
        <v>EET</v>
      </c>
      <c r="H540" s="9" t="str">
        <v>CEER1</v>
      </c>
      <c r="I540" s="9" t="str">
        <v>CEER2</v>
      </c>
    </row>
    <row r="541" spans="2:9" x14ac:dyDescent="0.3">
      <c r="B541" cm="1">
        <f t="array" ref="B541:B550">B528:B537</f>
        <v>2021</v>
      </c>
      <c r="C541" s="500" cm="1">
        <f t="array" ref="C541:C550">TRANSPOSE('Pathway Analysis'!G402:P402)</f>
        <v>106.64505229216485</v>
      </c>
      <c r="D541" s="500" cm="1">
        <f t="array" ref="D541:D550">TRANSPOSE('Pathway Analysis'!G408:P408)</f>
        <v>219.97747341601396</v>
      </c>
      <c r="E541" s="500" cm="1">
        <f t="array" ref="E541:E550">TRANSPOSE('Pathway Analysis'!G414:P414)</f>
        <v>219.97747341601396</v>
      </c>
      <c r="F541" s="500" cm="1">
        <f t="array" ref="F541:F550">TRANSPOSE('Pathway Analysis'!G420:P420)</f>
        <v>219.97747341601396</v>
      </c>
      <c r="G541" s="500" cm="1">
        <f t="array" ref="G541:G550">TRANSPOSE('Pathway Analysis'!G426:P426)</f>
        <v>472.97610510178771</v>
      </c>
      <c r="H541" s="500" cm="1">
        <f t="array" ref="H541:H550">TRANSPOSE('Pathway Analysis'!G432:P432)</f>
        <v>389.97610510178771</v>
      </c>
      <c r="I541" s="500" cm="1">
        <f t="array" ref="I541:I550">TRANSPOSE('Pathway Analysis'!G438:P438)</f>
        <v>389.97610510178771</v>
      </c>
    </row>
    <row r="542" spans="2:9" x14ac:dyDescent="0.3">
      <c r="B542" s="475">
        <v>2022</v>
      </c>
      <c r="C542" s="500">
        <v>92.956395832151443</v>
      </c>
      <c r="D542" s="500">
        <v>161.90598516883404</v>
      </c>
      <c r="E542" s="500">
        <v>161.90598516883404</v>
      </c>
      <c r="F542" s="500">
        <v>161.90598516883404</v>
      </c>
      <c r="G542" s="500">
        <v>406.33036917385795</v>
      </c>
      <c r="H542" s="500">
        <v>265.33036917385795</v>
      </c>
      <c r="I542" s="500">
        <v>265.33036917385795</v>
      </c>
    </row>
    <row r="543" spans="2:9" x14ac:dyDescent="0.3">
      <c r="B543" s="475">
        <v>2023</v>
      </c>
      <c r="C543" s="500">
        <v>60.157287177050712</v>
      </c>
      <c r="D543" s="500">
        <v>113.17102043255014</v>
      </c>
      <c r="E543" s="500">
        <v>113.17102043255014</v>
      </c>
      <c r="F543" s="500">
        <v>113.17102043255014</v>
      </c>
      <c r="G543" s="500">
        <v>292.6916203157993</v>
      </c>
      <c r="H543" s="500">
        <v>192.6916203157993</v>
      </c>
      <c r="I543" s="500">
        <v>192.6916203157993</v>
      </c>
    </row>
    <row r="544" spans="2:9" x14ac:dyDescent="0.3">
      <c r="B544" s="475">
        <v>2024</v>
      </c>
      <c r="C544" s="500">
        <v>5.8422447747708413</v>
      </c>
      <c r="D544" s="500">
        <v>197.75362024086124</v>
      </c>
      <c r="E544" s="500">
        <v>197.75362024086124</v>
      </c>
      <c r="F544" s="500">
        <v>190.75362024086124</v>
      </c>
      <c r="G544" s="500">
        <v>877.62068343999681</v>
      </c>
      <c r="H544" s="500">
        <v>457.62068343999681</v>
      </c>
      <c r="I544" s="500">
        <v>457.62068343999681</v>
      </c>
    </row>
    <row r="545" spans="2:9" x14ac:dyDescent="0.3">
      <c r="B545" s="475">
        <v>2025</v>
      </c>
      <c r="C545" s="500">
        <v>21.29607085670634</v>
      </c>
      <c r="D545" s="500">
        <v>523.45660574980741</v>
      </c>
      <c r="E545" s="500">
        <v>574.55083137975134</v>
      </c>
      <c r="F545" s="500">
        <v>739.76278614204057</v>
      </c>
      <c r="G545" s="500">
        <v>1335.4452037369938</v>
      </c>
      <c r="H545" s="500">
        <v>886.65573242202174</v>
      </c>
      <c r="I545" s="500">
        <v>1104.1787218076106</v>
      </c>
    </row>
    <row r="546" spans="2:9" x14ac:dyDescent="0.3">
      <c r="B546" s="475">
        <v>2026</v>
      </c>
      <c r="C546" s="500">
        <v>21.296070856706343</v>
      </c>
      <c r="D546" s="500">
        <v>400.40702170364409</v>
      </c>
      <c r="E546" s="500">
        <v>452.546131846187</v>
      </c>
      <c r="F546" s="500">
        <v>626.01905937507479</v>
      </c>
      <c r="G546" s="500">
        <v>809.08731704994739</v>
      </c>
      <c r="H546" s="500">
        <v>591.11537347867579</v>
      </c>
      <c r="I546" s="500">
        <v>809.60210548197642</v>
      </c>
    </row>
    <row r="547" spans="2:9" x14ac:dyDescent="0.3">
      <c r="B547" s="475">
        <v>2027</v>
      </c>
      <c r="C547" s="500">
        <v>18.481199888592013</v>
      </c>
      <c r="D547" s="500">
        <v>330.70574905684509</v>
      </c>
      <c r="E547" s="500">
        <v>383.91064140223875</v>
      </c>
      <c r="F547" s="500">
        <v>564.53526115305715</v>
      </c>
      <c r="G547" s="500">
        <v>459.73689065387697</v>
      </c>
      <c r="H547" s="500">
        <v>426.65242538118014</v>
      </c>
      <c r="I547" s="500">
        <v>647.36387485454668</v>
      </c>
    </row>
    <row r="548" spans="2:9" x14ac:dyDescent="0.3">
      <c r="B548" s="475">
        <v>2028</v>
      </c>
      <c r="C548" s="500">
        <v>1.3719740799060245</v>
      </c>
      <c r="D548" s="500">
        <v>307.9730088458781</v>
      </c>
      <c r="E548" s="500">
        <v>362.26499903817967</v>
      </c>
      <c r="F548" s="500">
        <v>546.56844485536715</v>
      </c>
      <c r="G548" s="500">
        <v>423.63986963435605</v>
      </c>
      <c r="H548" s="500">
        <v>388.39263222620536</v>
      </c>
      <c r="I548" s="500">
        <v>614.95639351903924</v>
      </c>
    </row>
    <row r="549" spans="2:9" x14ac:dyDescent="0.3">
      <c r="B549" s="475">
        <v>2029</v>
      </c>
      <c r="C549" s="500">
        <v>1.3719740799060245</v>
      </c>
      <c r="D549" s="500">
        <v>314.79318888409654</v>
      </c>
      <c r="E549" s="500">
        <v>370.19401888024419</v>
      </c>
      <c r="F549" s="500">
        <v>558.24986728512829</v>
      </c>
      <c r="G549" s="500">
        <v>435.62993034066744</v>
      </c>
      <c r="H549" s="500">
        <v>398.20946535435354</v>
      </c>
      <c r="I549" s="500">
        <v>630.70978470304419</v>
      </c>
    </row>
    <row r="550" spans="2:9" x14ac:dyDescent="0.3">
      <c r="B550" s="475">
        <v>2030</v>
      </c>
      <c r="C550" s="500">
        <v>1.3719740799060245</v>
      </c>
      <c r="D550" s="500">
        <v>317.60335830923208</v>
      </c>
      <c r="E550" s="500">
        <v>374.1352049053026</v>
      </c>
      <c r="F550" s="500">
        <v>566.01850394963708</v>
      </c>
      <c r="G550" s="500">
        <v>437.4609567264863</v>
      </c>
      <c r="H550" s="500">
        <v>397.85659961044627</v>
      </c>
      <c r="I550" s="500">
        <v>636.3794081761107</v>
      </c>
    </row>
    <row r="551" spans="2:9" x14ac:dyDescent="0.3">
      <c r="C551" s="493">
        <f t="shared" ref="C551:I551" si="44">SUM(_xlfn.ANCHORARRAY(C541))</f>
        <v>330.79024391786061</v>
      </c>
      <c r="D551" s="493">
        <f t="shared" si="44"/>
        <v>2887.7470318077631</v>
      </c>
      <c r="E551" s="493">
        <f t="shared" si="44"/>
        <v>3210.4099267101628</v>
      </c>
      <c r="F551" s="493">
        <f t="shared" si="44"/>
        <v>4286.9620220185643</v>
      </c>
      <c r="G551" s="493">
        <f t="shared" si="44"/>
        <v>5950.6189461737695</v>
      </c>
      <c r="H551" s="493">
        <f t="shared" si="44"/>
        <v>4394.5010065043252</v>
      </c>
      <c r="I551" s="493">
        <f t="shared" si="44"/>
        <v>5748.80906657377</v>
      </c>
    </row>
    <row r="552" spans="2:9" x14ac:dyDescent="0.3">
      <c r="B552" t="s">
        <v>289</v>
      </c>
    </row>
    <row r="553" spans="2:9" x14ac:dyDescent="0.3">
      <c r="B553" s="9"/>
      <c r="C553" s="9" t="str">
        <f>C527</f>
        <v>Baseline</v>
      </c>
      <c r="D553" s="9" t="str">
        <f t="shared" ref="D553:I553" si="45">D527</f>
        <v>EEO</v>
      </c>
      <c r="E553" s="9" t="str">
        <f t="shared" si="45"/>
        <v>VA</v>
      </c>
      <c r="F553" s="9" t="str">
        <f t="shared" si="45"/>
        <v>Renowave</v>
      </c>
      <c r="G553" s="9" t="str">
        <f t="shared" si="45"/>
        <v>EET</v>
      </c>
      <c r="H553" s="9" t="str">
        <f t="shared" si="45"/>
        <v>CEER1</v>
      </c>
      <c r="I553" s="9" t="str">
        <f t="shared" si="45"/>
        <v>CEER2</v>
      </c>
    </row>
    <row r="554" spans="2:9" x14ac:dyDescent="0.3">
      <c r="B554">
        <f t="shared" ref="B554:B563" si="46">B528</f>
        <v>2021</v>
      </c>
      <c r="C554" s="500" cm="1">
        <f t="array" ref="C554:C563">TRANSPOSE('Pathway Analysis'!G495:P495)</f>
        <v>14.464385174483949</v>
      </c>
      <c r="D554" s="500" cm="1">
        <f t="array" ref="D554:D563">TRANSPOSE('Pathway Analysis'!G501:P501)</f>
        <v>16.139708292291441</v>
      </c>
      <c r="E554" s="500" cm="1">
        <f t="array" ref="E554:E563">TRANSPOSE('Pathway Analysis'!G507:P507)</f>
        <v>16.139708292291441</v>
      </c>
      <c r="F554" s="500" cm="1">
        <f t="array" ref="F554:F563">TRANSPOSE('Pathway Analysis'!G513:P513)</f>
        <v>16.139708292291441</v>
      </c>
      <c r="G554" s="500" cm="1">
        <f t="array" ref="G554:G563">TRANSPOSE('Pathway Analysis'!G519:P519)</f>
        <v>18.652692969002675</v>
      </c>
      <c r="H554" s="500" cm="1">
        <f t="array" ref="H554:H563">TRANSPOSE('Pathway Analysis'!G525:P525)</f>
        <v>18.652692969002675</v>
      </c>
      <c r="I554" s="500" cm="1">
        <f t="array" ref="I554:I563">TRANSPOSE('Pathway Analysis'!G531:P531)</f>
        <v>18.652692969002675</v>
      </c>
    </row>
    <row r="555" spans="2:9" x14ac:dyDescent="0.3">
      <c r="B555">
        <f t="shared" si="46"/>
        <v>2022</v>
      </c>
      <c r="C555" s="500">
        <v>17.632456856369082</v>
      </c>
      <c r="D555" s="500">
        <v>19.787614427678925</v>
      </c>
      <c r="E555" s="500">
        <v>19.827698487834322</v>
      </c>
      <c r="F555" s="500">
        <v>19.827698487834322</v>
      </c>
      <c r="G555" s="500">
        <v>23.120560935032184</v>
      </c>
      <c r="H555" s="500">
        <v>23.120560935032184</v>
      </c>
      <c r="I555" s="500">
        <v>23.120560935032184</v>
      </c>
    </row>
    <row r="556" spans="2:9" x14ac:dyDescent="0.3">
      <c r="B556">
        <f t="shared" si="46"/>
        <v>2023</v>
      </c>
      <c r="C556" s="500">
        <v>20.171062162756833</v>
      </c>
      <c r="D556" s="500">
        <v>22.85492772551606</v>
      </c>
      <c r="E556" s="500">
        <v>22.914557329211885</v>
      </c>
      <c r="F556" s="500">
        <v>22.914557329211885</v>
      </c>
      <c r="G556" s="500">
        <v>27.029800078894457</v>
      </c>
      <c r="H556" s="500">
        <v>27.029800078894457</v>
      </c>
      <c r="I556" s="500">
        <v>27.029800078894457</v>
      </c>
    </row>
    <row r="557" spans="2:9" x14ac:dyDescent="0.3">
      <c r="B557">
        <f t="shared" si="46"/>
        <v>2024</v>
      </c>
      <c r="C557" s="500">
        <v>38.471746798197948</v>
      </c>
      <c r="D557" s="500">
        <v>43.747153537176068</v>
      </c>
      <c r="E557" s="500">
        <v>44.511048504742554</v>
      </c>
      <c r="F557" s="500">
        <v>43.201831236725361</v>
      </c>
      <c r="G557" s="500">
        <v>48.333131992490706</v>
      </c>
      <c r="H557" s="500">
        <v>48.333131992490706</v>
      </c>
      <c r="I557" s="500">
        <v>48.333131992490706</v>
      </c>
    </row>
    <row r="558" spans="2:9" x14ac:dyDescent="0.3">
      <c r="B558">
        <f t="shared" si="46"/>
        <v>2025</v>
      </c>
      <c r="C558" s="500">
        <v>53.6982840369513</v>
      </c>
      <c r="D558" s="500">
        <v>99.778333646994056</v>
      </c>
      <c r="E558" s="500">
        <v>94.29394519407353</v>
      </c>
      <c r="F558" s="500">
        <v>113.69773997546287</v>
      </c>
      <c r="G558" s="500">
        <v>113.19191628668298</v>
      </c>
      <c r="H558" s="500">
        <v>111.88900900182622</v>
      </c>
      <c r="I558" s="500">
        <v>132.93568849062078</v>
      </c>
    </row>
    <row r="559" spans="2:9" x14ac:dyDescent="0.3">
      <c r="B559">
        <f t="shared" si="46"/>
        <v>2026</v>
      </c>
      <c r="C559" s="500">
        <v>60.259054972927451</v>
      </c>
      <c r="D559" s="500">
        <v>142.32227710113239</v>
      </c>
      <c r="E559" s="500">
        <v>130.53706293037669</v>
      </c>
      <c r="F559" s="500">
        <v>169.84565484535855</v>
      </c>
      <c r="G559" s="500">
        <v>156.30792783627513</v>
      </c>
      <c r="H559" s="500">
        <v>155.20299404222089</v>
      </c>
      <c r="I559" s="500">
        <v>195.37439388154721</v>
      </c>
    </row>
    <row r="560" spans="2:9" x14ac:dyDescent="0.3">
      <c r="B560">
        <f t="shared" si="46"/>
        <v>2027</v>
      </c>
      <c r="C560" s="500">
        <v>66.553993921793833</v>
      </c>
      <c r="D560" s="500">
        <v>200.54716366975381</v>
      </c>
      <c r="E560" s="500">
        <v>183.62977751605328</v>
      </c>
      <c r="F560" s="500">
        <v>242.83206779171618</v>
      </c>
      <c r="G560" s="500">
        <v>274.17533219951684</v>
      </c>
      <c r="H560" s="500">
        <v>237.96439470588459</v>
      </c>
      <c r="I560" s="500">
        <v>297.87003857143452</v>
      </c>
    </row>
    <row r="561" spans="2:9" x14ac:dyDescent="0.3">
      <c r="B561">
        <f t="shared" si="46"/>
        <v>2028</v>
      </c>
      <c r="C561" s="500">
        <v>69.476946654656984</v>
      </c>
      <c r="D561" s="500">
        <v>242.65785071615551</v>
      </c>
      <c r="E561" s="500">
        <v>222.42586440399708</v>
      </c>
      <c r="F561" s="500">
        <v>300.19322351658371</v>
      </c>
      <c r="G561" s="500">
        <v>317.73874561760067</v>
      </c>
      <c r="H561" s="500">
        <v>283.95890200191093</v>
      </c>
      <c r="I561" s="500">
        <v>365.15113075447903</v>
      </c>
    </row>
    <row r="562" spans="2:9" x14ac:dyDescent="0.3">
      <c r="B562">
        <f t="shared" si="46"/>
        <v>2029</v>
      </c>
      <c r="C562" s="500">
        <v>72.51736908625999</v>
      </c>
      <c r="D562" s="500">
        <v>286.90321421708393</v>
      </c>
      <c r="E562" s="500">
        <v>265.91728561846099</v>
      </c>
      <c r="F562" s="500">
        <v>360.18509391856787</v>
      </c>
      <c r="G562" s="500">
        <v>363.11525789327226</v>
      </c>
      <c r="H562" s="500">
        <v>333.92353429975742</v>
      </c>
      <c r="I562" s="500">
        <v>438.2469000719168</v>
      </c>
    </row>
    <row r="563" spans="2:9" x14ac:dyDescent="0.3">
      <c r="B563">
        <f t="shared" si="46"/>
        <v>2030</v>
      </c>
      <c r="C563" s="500">
        <v>75.645550502914872</v>
      </c>
      <c r="D563" s="500">
        <v>333.19566526759968</v>
      </c>
      <c r="E563" s="500">
        <v>313.42340229613842</v>
      </c>
      <c r="F563" s="500">
        <v>422.75623121331108</v>
      </c>
      <c r="G563" s="500">
        <v>410.05941254605239</v>
      </c>
      <c r="H563" s="500">
        <v>387.23387816272532</v>
      </c>
      <c r="I563" s="500">
        <v>516.36397011682311</v>
      </c>
    </row>
    <row r="564" spans="2:9" x14ac:dyDescent="0.3">
      <c r="C564" s="493">
        <f t="shared" ref="C564:I564" si="47">SUM(_xlfn.ANCHORARRAY(C554))</f>
        <v>488.89085016731224</v>
      </c>
      <c r="D564" s="493">
        <f t="shared" si="47"/>
        <v>1407.9339086013817</v>
      </c>
      <c r="E564" s="493">
        <f t="shared" si="47"/>
        <v>1313.6203505731801</v>
      </c>
      <c r="F564" s="493">
        <f t="shared" si="47"/>
        <v>1711.5938066070632</v>
      </c>
      <c r="G564" s="493">
        <f t="shared" si="47"/>
        <v>1751.72477835482</v>
      </c>
      <c r="H564" s="493">
        <f t="shared" si="47"/>
        <v>1627.3088981897454</v>
      </c>
      <c r="I564" s="493">
        <f t="shared" si="47"/>
        <v>2063.0783078622417</v>
      </c>
    </row>
    <row r="566" spans="2:9" x14ac:dyDescent="0.3">
      <c r="B566" t="s">
        <v>290</v>
      </c>
    </row>
    <row r="567" spans="2:9" x14ac:dyDescent="0.3">
      <c r="B567" s="9"/>
      <c r="C567" s="9" t="str" cm="1">
        <f t="array" ref="C567:I567">C553:I553</f>
        <v>Baseline</v>
      </c>
      <c r="D567" s="9" t="str">
        <v>EEO</v>
      </c>
      <c r="E567" s="9" t="str">
        <v>VA</v>
      </c>
      <c r="F567" s="9" t="str">
        <v>Renowave</v>
      </c>
      <c r="G567" s="9" t="str">
        <v>EET</v>
      </c>
      <c r="H567" s="9" t="str">
        <v>CEER1</v>
      </c>
      <c r="I567" s="9" t="str">
        <v>CEER2</v>
      </c>
    </row>
    <row r="568" spans="2:9" x14ac:dyDescent="0.3">
      <c r="B568" cm="1">
        <f t="array" ref="B568:B577">B554:B563</f>
        <v>2021</v>
      </c>
      <c r="C568" s="500" cm="1">
        <f t="array" ref="C568:C577">TRANSPOSE('Pathway Analysis'!G541:P541)</f>
        <v>1.8486097525949754</v>
      </c>
      <c r="D568" s="500" cm="1">
        <f t="array" ref="D568:D577">TRANSPOSE('Pathway Analysis'!G547:P547)</f>
        <v>3.5239328704024651</v>
      </c>
      <c r="E568" s="500" cm="1">
        <f t="array" ref="E568:E577">TRANSPOSE('Pathway Analysis'!G553:P553)</f>
        <v>3.5239328704024651</v>
      </c>
      <c r="F568" s="500" cm="1">
        <f t="array" ref="F568:F577">TRANSPOSE('Pathway Analysis'!G559:P559)</f>
        <v>3.5239328704024651</v>
      </c>
      <c r="G568" s="500" cm="1">
        <f t="array" ref="G568:G577">TRANSPOSE('Pathway Analysis'!G565:P565)</f>
        <v>6.0369175471136991</v>
      </c>
      <c r="H568" s="500" cm="1">
        <f t="array" ref="H568:H577">TRANSPOSE('Pathway Analysis'!G571:P571)</f>
        <v>6.0369175471136991</v>
      </c>
      <c r="I568" s="500" cm="1">
        <f t="array" ref="I568:I577">TRANSPOSE('Pathway Analysis'!G577:P577)</f>
        <v>6.0369175471136991</v>
      </c>
    </row>
    <row r="569" spans="2:9" x14ac:dyDescent="0.3">
      <c r="B569">
        <v>2022</v>
      </c>
      <c r="C569" s="500">
        <v>2.3930381767016553</v>
      </c>
      <c r="D569" s="500">
        <v>4.1881836356227922</v>
      </c>
      <c r="E569" s="500">
        <v>4.1939791978245911</v>
      </c>
      <c r="F569" s="500">
        <v>4.1939791978245911</v>
      </c>
      <c r="G569" s="500">
        <v>6.8953907295089936</v>
      </c>
      <c r="H569" s="500">
        <v>6.8953907295089936</v>
      </c>
      <c r="I569" s="500">
        <v>6.8953907295089936</v>
      </c>
    </row>
    <row r="570" spans="2:9" x14ac:dyDescent="0.3">
      <c r="B570">
        <v>2023</v>
      </c>
      <c r="C570" s="500">
        <v>2.6355143102545675</v>
      </c>
      <c r="D570" s="500">
        <v>4.5765660922855798</v>
      </c>
      <c r="E570" s="500">
        <v>4.5765660922855798</v>
      </c>
      <c r="F570" s="500">
        <v>4.5765660922855798</v>
      </c>
      <c r="G570" s="500">
        <v>7.4881437653320964</v>
      </c>
      <c r="H570" s="500">
        <v>7.4881437653320964</v>
      </c>
      <c r="I570" s="500">
        <v>7.4881437653320964</v>
      </c>
    </row>
    <row r="571" spans="2:9" x14ac:dyDescent="0.3">
      <c r="B571">
        <v>2024</v>
      </c>
      <c r="C571" s="500">
        <v>3.7998739852449734</v>
      </c>
      <c r="D571" s="500">
        <v>5.928376049331149</v>
      </c>
      <c r="E571" s="500">
        <v>5.928376049331149</v>
      </c>
      <c r="F571" s="500">
        <v>5.928376049331149</v>
      </c>
      <c r="G571" s="500">
        <v>9.1211291454604098</v>
      </c>
      <c r="H571" s="500">
        <v>9.1211291454604098</v>
      </c>
      <c r="I571" s="500">
        <v>9.1211291454604098</v>
      </c>
    </row>
    <row r="572" spans="2:9" x14ac:dyDescent="0.3">
      <c r="B572">
        <v>2025</v>
      </c>
      <c r="C572" s="500">
        <v>4.5697897681210522</v>
      </c>
      <c r="D572" s="500">
        <v>8.8492310207915175</v>
      </c>
      <c r="E572" s="500">
        <v>8.5232504067902468</v>
      </c>
      <c r="F572" s="500">
        <v>8.6536426523907544</v>
      </c>
      <c r="G572" s="500">
        <v>13.253240013243902</v>
      </c>
      <c r="H572" s="500">
        <v>12.389453992097437</v>
      </c>
      <c r="I572" s="500">
        <v>13.253240013243902</v>
      </c>
    </row>
    <row r="573" spans="2:9" x14ac:dyDescent="0.3">
      <c r="B573">
        <v>2026</v>
      </c>
      <c r="C573" s="500">
        <v>4.8401033216511538</v>
      </c>
      <c r="D573" s="500">
        <v>11.207750672883805</v>
      </c>
      <c r="E573" s="500">
        <v>10.537321723782949</v>
      </c>
      <c r="F573" s="500">
        <v>10.80549330342329</v>
      </c>
      <c r="G573" s="500">
        <v>16.614751832563851</v>
      </c>
      <c r="H573" s="500">
        <v>14.857915878465773</v>
      </c>
      <c r="I573" s="500">
        <v>16.614751832563851</v>
      </c>
    </row>
    <row r="574" spans="2:9" x14ac:dyDescent="0.3">
      <c r="B574">
        <v>2027</v>
      </c>
      <c r="C574" s="500">
        <v>5.1207425747587596</v>
      </c>
      <c r="D574" s="500">
        <v>13.871825202696893</v>
      </c>
      <c r="E574" s="500">
        <v>12.837647203614655</v>
      </c>
      <c r="F574" s="500">
        <v>13.251318403247549</v>
      </c>
      <c r="G574" s="500">
        <v>20.605348786641155</v>
      </c>
      <c r="H574" s="500">
        <v>17.924657602685656</v>
      </c>
      <c r="I574" s="500">
        <v>20.605348786641155</v>
      </c>
    </row>
    <row r="575" spans="2:9" x14ac:dyDescent="0.3">
      <c r="B575">
        <v>2028</v>
      </c>
      <c r="C575" s="500">
        <v>5.4121800372357205</v>
      </c>
      <c r="D575" s="500">
        <v>16.355668559482289</v>
      </c>
      <c r="E575" s="500">
        <v>14.93758876903517</v>
      </c>
      <c r="F575" s="500">
        <v>15.504820685214018</v>
      </c>
      <c r="G575" s="500">
        <v>24.004589910997225</v>
      </c>
      <c r="H575" s="500">
        <v>20.367656561422542</v>
      </c>
      <c r="I575" s="500">
        <v>24.004589910997225</v>
      </c>
    </row>
    <row r="576" spans="2:9" x14ac:dyDescent="0.3">
      <c r="B576">
        <v>2029</v>
      </c>
      <c r="C576" s="500">
        <v>5.7148687814054959</v>
      </c>
      <c r="D576" s="500">
        <v>18.96895922359565</v>
      </c>
      <c r="E576" s="500">
        <v>17.145935582122949</v>
      </c>
      <c r="F576" s="500">
        <v>17.875145038712031</v>
      </c>
      <c r="G576" s="500">
        <v>27.580494194140559</v>
      </c>
      <c r="H576" s="500">
        <v>22.95330792276236</v>
      </c>
      <c r="I576" s="500">
        <v>27.580494194140559</v>
      </c>
    </row>
    <row r="577" spans="2:21" x14ac:dyDescent="0.3">
      <c r="B577">
        <v>2030</v>
      </c>
      <c r="C577" s="500">
        <v>6.0292814188644597</v>
      </c>
      <c r="D577" s="500">
        <v>21.608659179066251</v>
      </c>
      <c r="E577" s="500">
        <v>19.358725157472541</v>
      </c>
      <c r="F577" s="500">
        <v>20.25869876611003</v>
      </c>
      <c r="G577" s="500">
        <v>31.069042776789644</v>
      </c>
      <c r="H577" s="500">
        <v>25.415924858721041</v>
      </c>
      <c r="I577" s="500">
        <v>31.069042776789644</v>
      </c>
    </row>
    <row r="578" spans="2:21" x14ac:dyDescent="0.3">
      <c r="C578" s="493">
        <f t="shared" ref="C578:I578" si="48">SUM(_xlfn.ANCHORARRAY(C568))</f>
        <v>42.364002126832816</v>
      </c>
      <c r="D578" s="493">
        <f t="shared" si="48"/>
        <v>109.07915250615838</v>
      </c>
      <c r="E578" s="493">
        <f t="shared" si="48"/>
        <v>101.5633230526623</v>
      </c>
      <c r="F578" s="493">
        <f t="shared" si="48"/>
        <v>104.57197305894145</v>
      </c>
      <c r="G578" s="493">
        <f t="shared" si="48"/>
        <v>162.66904870179155</v>
      </c>
      <c r="H578" s="493">
        <f t="shared" si="48"/>
        <v>143.45049800357003</v>
      </c>
      <c r="I578" s="493">
        <f t="shared" si="48"/>
        <v>162.66904870179155</v>
      </c>
    </row>
    <row r="592" spans="2:21" ht="18.75" thickBot="1" x14ac:dyDescent="0.4">
      <c r="B592" s="1987" t="s">
        <v>291</v>
      </c>
      <c r="C592" s="2"/>
      <c r="D592" s="2"/>
      <c r="E592" s="2"/>
      <c r="F592" s="2"/>
      <c r="G592" s="2"/>
      <c r="H592" s="2"/>
      <c r="I592" s="2"/>
      <c r="J592" s="2"/>
      <c r="K592" s="2"/>
      <c r="L592" s="2"/>
      <c r="M592" s="2"/>
      <c r="N592" s="2"/>
      <c r="O592" s="2"/>
      <c r="P592" s="2"/>
      <c r="Q592" s="2"/>
      <c r="R592" s="2"/>
      <c r="S592" s="2"/>
      <c r="T592" s="2"/>
      <c r="U592" s="2"/>
    </row>
    <row r="593" spans="2:23" ht="14.25" thickTop="1" x14ac:dyDescent="0.3">
      <c r="B593" t="s">
        <v>251</v>
      </c>
    </row>
    <row r="596" spans="2:23" ht="18.75" thickBot="1" x14ac:dyDescent="0.4">
      <c r="B596" s="1987" t="s">
        <v>292</v>
      </c>
      <c r="C596" s="2"/>
      <c r="D596" s="2"/>
      <c r="E596" s="2"/>
      <c r="F596" s="2"/>
      <c r="G596" s="2"/>
      <c r="H596" s="2"/>
      <c r="I596" s="2"/>
      <c r="J596" s="2"/>
      <c r="K596" s="2"/>
      <c r="L596" s="2"/>
      <c r="M596" s="2"/>
      <c r="N596" s="2"/>
      <c r="O596" s="2"/>
      <c r="P596" s="2"/>
      <c r="Q596" s="2"/>
      <c r="R596" s="2"/>
      <c r="S596" s="2"/>
      <c r="T596" s="2"/>
      <c r="U596" s="2"/>
    </row>
    <row r="597" spans="2:23" ht="15.75" thickTop="1" x14ac:dyDescent="0.3">
      <c r="B597" s="5" t="s">
        <v>293</v>
      </c>
      <c r="C597" s="5"/>
      <c r="D597" s="5"/>
      <c r="E597" s="5"/>
      <c r="F597" s="5"/>
      <c r="G597" s="5"/>
      <c r="H597" s="5"/>
      <c r="I597" s="5"/>
      <c r="J597" s="5"/>
      <c r="K597" s="5"/>
      <c r="L597" s="5"/>
      <c r="M597" s="5"/>
      <c r="N597" s="5"/>
      <c r="O597" s="5"/>
      <c r="P597" s="5"/>
      <c r="Q597" s="5"/>
      <c r="R597" s="5"/>
      <c r="S597" s="5"/>
      <c r="T597" s="5"/>
      <c r="U597" s="5"/>
    </row>
    <row r="599" spans="2:23" x14ac:dyDescent="0.3">
      <c r="J599" t="s">
        <v>294</v>
      </c>
      <c r="W599" s="2038" t="s">
        <v>295</v>
      </c>
    </row>
    <row r="600" spans="2:23" x14ac:dyDescent="0.3">
      <c r="B600" s="9"/>
      <c r="C600" s="9" t="s">
        <v>13</v>
      </c>
      <c r="D600" s="9" t="s">
        <v>35</v>
      </c>
      <c r="E600" s="9" t="s">
        <v>36</v>
      </c>
      <c r="F600" s="9" t="s">
        <v>296</v>
      </c>
      <c r="G600" s="9" t="s">
        <v>38</v>
      </c>
      <c r="H600" s="9" t="s">
        <v>39</v>
      </c>
      <c r="I600" s="9" t="s">
        <v>40</v>
      </c>
    </row>
    <row r="601" spans="2:23" x14ac:dyDescent="0.3">
      <c r="B601" s="475" t="s">
        <v>297</v>
      </c>
      <c r="C601" s="2034">
        <f t="shared" ref="C601:I601" si="49">(SUM(_xlfn.ANCHORARRAY(C528))-SUM(_xlfn.ANCHORARRAY(C554)))/C60</f>
        <v>201.22755228157709</v>
      </c>
      <c r="D601" s="2034">
        <f t="shared" si="49"/>
        <v>594.32631863344204</v>
      </c>
      <c r="E601" s="2034">
        <f t="shared" si="49"/>
        <v>675.87926842339039</v>
      </c>
      <c r="F601" s="2034">
        <f t="shared" si="49"/>
        <v>929.08612780127964</v>
      </c>
      <c r="G601" s="2034">
        <f t="shared" si="49"/>
        <v>623.00093223329111</v>
      </c>
      <c r="H601" s="2034">
        <f t="shared" si="49"/>
        <v>661.17385716837839</v>
      </c>
      <c r="I601" s="2034">
        <f t="shared" si="49"/>
        <v>734.09009843589365</v>
      </c>
    </row>
    <row r="602" spans="2:23" x14ac:dyDescent="0.3">
      <c r="B602" s="475" t="s">
        <v>298</v>
      </c>
      <c r="C602" s="2034">
        <f t="shared" ref="C602:I602" si="50">(SUM(_xlfn.ANCHORARRAY(C541))-SUM(_xlfn.ANCHORARRAY(C568)))/C60</f>
        <v>52.809675727814131</v>
      </c>
      <c r="D602" s="2034">
        <f t="shared" si="50"/>
        <v>191.27110844865351</v>
      </c>
      <c r="E602" s="2034">
        <f t="shared" si="50"/>
        <v>227.12564545834337</v>
      </c>
      <c r="F602" s="2034">
        <f t="shared" si="50"/>
        <v>240.76452339038502</v>
      </c>
      <c r="G602" s="2034">
        <f t="shared" si="50"/>
        <v>332.5885434883906</v>
      </c>
      <c r="H602" s="2034">
        <f t="shared" si="50"/>
        <v>259.50929333396147</v>
      </c>
      <c r="I602" s="2034">
        <f t="shared" si="50"/>
        <v>269.46557928305037</v>
      </c>
    </row>
    <row r="603" spans="2:23" x14ac:dyDescent="0.3">
      <c r="B603" s="475" t="s">
        <v>299</v>
      </c>
      <c r="C603" s="2034">
        <f t="shared" ref="C603:I603" si="51">((SUM(_xlfn.ANCHORARRAY(C528))-SUM(_xlfn.ANCHORARRAY(C541)))-(SUM(_xlfn.ANCHORARRAY(C554))-SUM(_xlfn.ANCHORARRAY(C568))))/C60</f>
        <v>148.41787655376294</v>
      </c>
      <c r="D603" s="2034">
        <f t="shared" si="51"/>
        <v>403.05521018478856</v>
      </c>
      <c r="E603" s="2034">
        <f t="shared" si="51"/>
        <v>448.75362296504699</v>
      </c>
      <c r="F603" s="2034">
        <f t="shared" si="51"/>
        <v>688.32160441089457</v>
      </c>
      <c r="G603" s="2034">
        <f t="shared" si="51"/>
        <v>290.41238874490045</v>
      </c>
      <c r="H603" s="2034">
        <f t="shared" si="51"/>
        <v>401.66456383441687</v>
      </c>
      <c r="I603" s="2034">
        <f t="shared" si="51"/>
        <v>464.62451915284333</v>
      </c>
    </row>
    <row r="604" spans="2:23" x14ac:dyDescent="0.3">
      <c r="B604" s="475" t="s">
        <v>300</v>
      </c>
      <c r="C604" s="2034" cm="1">
        <f t="array" ref="C604:I604">C29:I29</f>
        <v>5.4616173611366765</v>
      </c>
      <c r="D604" s="2034">
        <v>14.527378974475564</v>
      </c>
      <c r="E604" s="2034">
        <v>13.687783241666946</v>
      </c>
      <c r="F604" s="2034">
        <v>17.37128871838868</v>
      </c>
      <c r="G604" s="2034">
        <v>17.402733830709998</v>
      </c>
      <c r="H604" s="2034">
        <v>16.381110880025769</v>
      </c>
      <c r="I604" s="2034">
        <v>20.730439979513005</v>
      </c>
    </row>
    <row r="609" spans="2:21" x14ac:dyDescent="0.3">
      <c r="B609" s="9"/>
      <c r="C609" s="9" t="s">
        <v>13</v>
      </c>
      <c r="D609" s="9" t="s">
        <v>35</v>
      </c>
      <c r="E609" s="9" t="s">
        <v>36</v>
      </c>
      <c r="F609" s="9" t="s">
        <v>296</v>
      </c>
      <c r="G609" s="9" t="s">
        <v>38</v>
      </c>
      <c r="H609" s="9" t="s">
        <v>39</v>
      </c>
      <c r="I609" s="9" t="s">
        <v>40</v>
      </c>
    </row>
    <row r="610" spans="2:21" x14ac:dyDescent="0.3">
      <c r="B610" s="475" t="s">
        <v>301</v>
      </c>
      <c r="C610" s="2035">
        <f>-SUM('Pathway Analysis'!F882:F883)</f>
        <v>119.13999999999999</v>
      </c>
      <c r="D610" s="2035">
        <f>-SUM('Pathway Analysis'!F896:F897)</f>
        <v>4809.2835297923011</v>
      </c>
      <c r="E610" s="2035">
        <f>-SUM('Pathway Analysis'!F910:F911)</f>
        <v>4296.6330031453017</v>
      </c>
      <c r="F610" s="2035">
        <f>-SUM('Pathway Analysis'!F924:F925)</f>
        <v>10710.076312960635</v>
      </c>
      <c r="G610" s="2035">
        <f>-SUM('Pathway Analysis'!F938:F939)</f>
        <v>3952.3102718779214</v>
      </c>
      <c r="H610" s="2035">
        <f>-SUM('Pathway Analysis'!F952:F953)</f>
        <v>4828.1502308059207</v>
      </c>
      <c r="I610" s="2035">
        <f>-SUM('Pathway Analysis'!F966:F967)</f>
        <v>6353.0188450725873</v>
      </c>
    </row>
    <row r="611" spans="2:21" x14ac:dyDescent="0.3">
      <c r="B611" s="475" t="s">
        <v>302</v>
      </c>
      <c r="C611" s="2035">
        <f>'Pathway Analysis'!F889</f>
        <v>118.40043368670489</v>
      </c>
      <c r="D611" s="2035">
        <f>'Pathway Analysis'!F903</f>
        <v>617.93043341519206</v>
      </c>
      <c r="E611" s="2035">
        <f>'Pathway Analysis'!F917</f>
        <v>581.83220822802127</v>
      </c>
      <c r="F611" s="549">
        <f>'Pathway Analysis'!F931</f>
        <v>1031.8577106931041</v>
      </c>
      <c r="G611" s="549">
        <f>'Pathway Analysis'!F945</f>
        <v>824.62000636586754</v>
      </c>
      <c r="H611" s="549">
        <f>'Pathway Analysis'!F959</f>
        <v>811.60018614969658</v>
      </c>
      <c r="I611" s="2035">
        <f>'Pathway Analysis'!F973</f>
        <v>1101.9524645561678</v>
      </c>
    </row>
    <row r="624" spans="2:21" ht="18.75" thickBot="1" x14ac:dyDescent="0.4">
      <c r="B624" s="1987" t="s">
        <v>303</v>
      </c>
      <c r="C624" s="2"/>
      <c r="D624" s="2"/>
      <c r="E624" s="2"/>
      <c r="F624" s="2"/>
      <c r="G624" s="2"/>
      <c r="H624" s="2"/>
      <c r="I624" s="2"/>
      <c r="J624" s="2"/>
      <c r="K624" s="2"/>
      <c r="L624" s="2"/>
      <c r="M624" s="2"/>
      <c r="N624" s="2"/>
      <c r="O624" s="2"/>
      <c r="P624" s="2"/>
      <c r="Q624" s="2"/>
      <c r="R624" s="2"/>
      <c r="S624" s="2"/>
      <c r="T624" s="2"/>
      <c r="U624" s="2"/>
    </row>
    <row r="625" spans="2:21" ht="15.75" thickTop="1" x14ac:dyDescent="0.3">
      <c r="B625" s="5" t="s">
        <v>304</v>
      </c>
      <c r="C625" s="5"/>
      <c r="D625" s="5"/>
      <c r="E625" s="5"/>
      <c r="F625" s="5"/>
      <c r="G625" s="5"/>
      <c r="H625" s="5"/>
      <c r="I625" s="5"/>
      <c r="J625" s="5"/>
      <c r="K625" s="5"/>
      <c r="L625" s="5"/>
      <c r="M625" s="5"/>
      <c r="N625" s="5"/>
      <c r="O625" s="5"/>
      <c r="P625" s="5"/>
      <c r="Q625" s="5"/>
      <c r="R625" s="5"/>
      <c r="S625" s="5"/>
      <c r="T625" s="5"/>
      <c r="U625" s="5"/>
    </row>
    <row r="627" spans="2:21" x14ac:dyDescent="0.3">
      <c r="B627" s="9" t="str">
        <f t="shared" ref="B627:H627" si="52">C527</f>
        <v>Baseline</v>
      </c>
      <c r="C627" s="9" t="str">
        <f t="shared" si="52"/>
        <v>EEO</v>
      </c>
      <c r="D627" s="9" t="str">
        <f t="shared" si="52"/>
        <v>VA</v>
      </c>
      <c r="E627" s="9" t="str">
        <f t="shared" si="52"/>
        <v>Renowave</v>
      </c>
      <c r="F627" s="9" t="str">
        <f t="shared" si="52"/>
        <v>EET</v>
      </c>
      <c r="G627" s="9" t="str">
        <f t="shared" si="52"/>
        <v>CEER1</v>
      </c>
      <c r="H627" s="9" t="str">
        <f t="shared" si="52"/>
        <v>CEER2</v>
      </c>
    </row>
    <row r="628" spans="2:21" x14ac:dyDescent="0.3">
      <c r="B628" s="62">
        <f t="shared" ref="B628:H628" si="53">C538</f>
        <v>1587.9187432474118</v>
      </c>
      <c r="C628" s="62">
        <f t="shared" si="53"/>
        <v>10041.937573894313</v>
      </c>
      <c r="D628" s="62">
        <f t="shared" si="53"/>
        <v>10564.909274288977</v>
      </c>
      <c r="E628" s="62">
        <f t="shared" si="53"/>
        <v>17851.017176892856</v>
      </c>
      <c r="F628" s="62">
        <f t="shared" si="53"/>
        <v>12593.644178294981</v>
      </c>
      <c r="G628" s="62">
        <f t="shared" si="53"/>
        <v>12458.071163439272</v>
      </c>
      <c r="H628" s="62">
        <f t="shared" si="53"/>
        <v>17281.089033042328</v>
      </c>
      <c r="I628" s="62" t="s">
        <v>305</v>
      </c>
      <c r="J628" s="62"/>
      <c r="K628" s="62"/>
      <c r="L628" s="62"/>
      <c r="M628" s="62"/>
    </row>
    <row r="629" spans="2:21" x14ac:dyDescent="0.3">
      <c r="B629" s="62">
        <f t="shared" ref="B629:H629" si="54">C563</f>
        <v>75.645550502914872</v>
      </c>
      <c r="C629" s="62">
        <f t="shared" si="54"/>
        <v>333.19566526759968</v>
      </c>
      <c r="D629" s="62">
        <f t="shared" si="54"/>
        <v>313.42340229613842</v>
      </c>
      <c r="E629" s="62">
        <f t="shared" si="54"/>
        <v>422.75623121331108</v>
      </c>
      <c r="F629" s="62">
        <f t="shared" si="54"/>
        <v>410.05941254605239</v>
      </c>
      <c r="G629" s="62">
        <f t="shared" si="54"/>
        <v>387.23387816272532</v>
      </c>
      <c r="H629" s="62">
        <f t="shared" si="54"/>
        <v>516.36397011682311</v>
      </c>
      <c r="I629" t="s">
        <v>306</v>
      </c>
    </row>
    <row r="630" spans="2:21" x14ac:dyDescent="0.3">
      <c r="B630" s="62">
        <f>B629*20</f>
        <v>1512.9110100582975</v>
      </c>
      <c r="C630" s="62">
        <f t="shared" ref="C630:H630" si="55">C629*20</f>
        <v>6663.9133053519936</v>
      </c>
      <c r="D630" s="62">
        <f t="shared" si="55"/>
        <v>6268.4680459227684</v>
      </c>
      <c r="E630" s="62">
        <f t="shared" si="55"/>
        <v>8455.1246242662219</v>
      </c>
      <c r="F630" s="62">
        <f t="shared" si="55"/>
        <v>8201.1882509210482</v>
      </c>
      <c r="G630" s="62">
        <f t="shared" si="55"/>
        <v>7744.6775632545068</v>
      </c>
      <c r="H630" s="62">
        <f t="shared" si="55"/>
        <v>10327.279402336462</v>
      </c>
      <c r="I630" t="s">
        <v>307</v>
      </c>
    </row>
    <row r="631" spans="2:21" x14ac:dyDescent="0.3">
      <c r="B631" s="62">
        <f t="shared" ref="B631:H631" si="56">B630+C564</f>
        <v>2001.8018602256097</v>
      </c>
      <c r="C631" s="62">
        <f t="shared" si="56"/>
        <v>8071.8472139533751</v>
      </c>
      <c r="D631" s="62">
        <f t="shared" si="56"/>
        <v>7582.0883964959485</v>
      </c>
      <c r="E631" s="62">
        <f t="shared" si="56"/>
        <v>10166.718430873285</v>
      </c>
      <c r="F631" s="62">
        <f t="shared" si="56"/>
        <v>9952.9130292758673</v>
      </c>
      <c r="G631" s="62">
        <f t="shared" si="56"/>
        <v>9371.9864614442522</v>
      </c>
      <c r="H631" s="62">
        <f t="shared" si="56"/>
        <v>12390.357710198703</v>
      </c>
      <c r="I631" t="s">
        <v>308</v>
      </c>
    </row>
    <row r="632" spans="2:21" x14ac:dyDescent="0.3">
      <c r="B632" s="1583">
        <f>B628-B631</f>
        <v>-413.8831169781979</v>
      </c>
      <c r="C632" s="1583">
        <f t="shared" ref="C632:H632" si="57">C628-C631</f>
        <v>1970.0903599409376</v>
      </c>
      <c r="D632" s="1583">
        <f t="shared" si="57"/>
        <v>2982.8208777930286</v>
      </c>
      <c r="E632" s="1583">
        <f t="shared" si="57"/>
        <v>7684.2987460195709</v>
      </c>
      <c r="F632" s="1583">
        <f t="shared" si="57"/>
        <v>2640.7311490191132</v>
      </c>
      <c r="G632" s="1583">
        <f t="shared" si="57"/>
        <v>3086.0847019950197</v>
      </c>
      <c r="H632" s="1583">
        <f t="shared" si="57"/>
        <v>4890.7313228436251</v>
      </c>
      <c r="I632" s="63" t="s">
        <v>309</v>
      </c>
      <c r="J632" s="63"/>
    </row>
    <row r="634" spans="2:21" x14ac:dyDescent="0.3">
      <c r="B634" s="529">
        <f>-'Pathway Analysis'!AJ15/1000</f>
        <v>0.78901995322956164</v>
      </c>
      <c r="C634" s="529">
        <f>-'Pathway Analysis'!AJ21/1000</f>
        <v>3.2094980468298435</v>
      </c>
      <c r="D634" s="529">
        <f>-'Pathway Analysis'!AJ27/1000</f>
        <v>3.0844145710540509</v>
      </c>
      <c r="E634" s="529">
        <f>-'Pathway Analysis'!AJ33/1000</f>
        <v>4.0388440111968222</v>
      </c>
      <c r="F634" s="529">
        <f>-'Pathway Analysis'!AJ39/1000</f>
        <v>3.8401462187368978</v>
      </c>
      <c r="G634" s="529">
        <f>-'Pathway Analysis'!AJ45/1000</f>
        <v>3.6911544030870491</v>
      </c>
      <c r="H634" s="529">
        <f>-'Pathway Analysis'!AJ51/1000</f>
        <v>4.9322950277207749</v>
      </c>
      <c r="I634" t="s">
        <v>310</v>
      </c>
    </row>
    <row r="635" spans="2:21" x14ac:dyDescent="0.3">
      <c r="B635" s="529">
        <f>B634*20</f>
        <v>15.780399064591233</v>
      </c>
      <c r="C635" s="529">
        <f t="shared" ref="C635:H635" si="58">C634*20</f>
        <v>64.189960936596876</v>
      </c>
      <c r="D635" s="529">
        <f t="shared" si="58"/>
        <v>61.688291421081018</v>
      </c>
      <c r="E635" s="529">
        <f t="shared" si="58"/>
        <v>80.776880223936445</v>
      </c>
      <c r="F635" s="529">
        <f t="shared" si="58"/>
        <v>76.802924374737955</v>
      </c>
      <c r="G635" s="529">
        <f t="shared" si="58"/>
        <v>73.823088061740975</v>
      </c>
      <c r="H635" s="529">
        <f t="shared" si="58"/>
        <v>98.645900554415505</v>
      </c>
      <c r="I635" t="s">
        <v>307</v>
      </c>
    </row>
    <row r="636" spans="2:21" x14ac:dyDescent="0.3">
      <c r="B636" s="529">
        <f t="shared" ref="B636:H636" si="59">C60</f>
        <v>5.4616173611366765</v>
      </c>
      <c r="C636" s="529">
        <f t="shared" si="59"/>
        <v>14.527378974475564</v>
      </c>
      <c r="D636" s="529">
        <f t="shared" si="59"/>
        <v>13.687783241666946</v>
      </c>
      <c r="E636" s="529">
        <f t="shared" si="59"/>
        <v>17.37128871838868</v>
      </c>
      <c r="F636" s="529">
        <f t="shared" si="59"/>
        <v>17.402733830709998</v>
      </c>
      <c r="G636" s="529">
        <f t="shared" si="59"/>
        <v>16.381110880025769</v>
      </c>
      <c r="H636" s="529">
        <f t="shared" si="59"/>
        <v>20.730439979513005</v>
      </c>
      <c r="I636" t="s">
        <v>311</v>
      </c>
    </row>
    <row r="637" spans="2:21" x14ac:dyDescent="0.3">
      <c r="B637" s="1582">
        <f>B635+B636</f>
        <v>21.242016425727911</v>
      </c>
      <c r="C637" s="1582">
        <f t="shared" ref="C637:H637" si="60">C635+C636</f>
        <v>78.717339911072443</v>
      </c>
      <c r="D637" s="1582">
        <f t="shared" si="60"/>
        <v>75.376074662747968</v>
      </c>
      <c r="E637" s="1582">
        <f t="shared" si="60"/>
        <v>98.148168942325128</v>
      </c>
      <c r="F637" s="1582">
        <f t="shared" si="60"/>
        <v>94.205658205447946</v>
      </c>
      <c r="G637" s="1582">
        <f t="shared" si="60"/>
        <v>90.204198941766748</v>
      </c>
      <c r="H637" s="1582">
        <f t="shared" si="60"/>
        <v>119.37634053392851</v>
      </c>
      <c r="I637" s="63" t="s">
        <v>312</v>
      </c>
    </row>
    <row r="640" spans="2:21" x14ac:dyDescent="0.3">
      <c r="B640" s="62">
        <f>B632/B637</f>
        <v>-19.484172720858592</v>
      </c>
      <c r="C640" s="62">
        <f t="shared" ref="C640:H640" si="61">C632/C637</f>
        <v>25.027400089568108</v>
      </c>
      <c r="D640" s="62">
        <f t="shared" si="61"/>
        <v>39.572515431971482</v>
      </c>
      <c r="E640" s="62">
        <f t="shared" si="61"/>
        <v>78.292838560596081</v>
      </c>
      <c r="F640" s="62">
        <f t="shared" si="61"/>
        <v>28.031555633952344</v>
      </c>
      <c r="G640" s="62">
        <f t="shared" si="61"/>
        <v>34.212206728727871</v>
      </c>
      <c r="H640" s="62">
        <f t="shared" si="61"/>
        <v>40.969016984178765</v>
      </c>
      <c r="I640" t="s">
        <v>313</v>
      </c>
    </row>
    <row r="643" spans="2:2" x14ac:dyDescent="0.3">
      <c r="B643" s="2038" t="s">
        <v>314</v>
      </c>
    </row>
    <row r="668" spans="2:21" ht="18.75" thickBot="1" x14ac:dyDescent="0.35">
      <c r="B668" s="1987" t="s">
        <v>315</v>
      </c>
      <c r="C668" s="1987"/>
      <c r="D668" s="1987"/>
      <c r="E668" s="1987"/>
      <c r="F668" s="1987"/>
      <c r="G668" s="1987"/>
      <c r="H668" s="1987"/>
      <c r="I668" s="1987"/>
      <c r="J668" s="1987"/>
      <c r="K668" s="1987"/>
      <c r="L668" s="1987"/>
      <c r="M668" s="1987"/>
      <c r="N668" s="1987"/>
      <c r="O668" s="1987"/>
      <c r="P668" s="1987"/>
      <c r="Q668" s="1987"/>
      <c r="R668" s="1987"/>
      <c r="S668" s="1987"/>
      <c r="T668" s="1987"/>
      <c r="U668" s="1987"/>
    </row>
    <row r="669" spans="2:21" ht="14.25" thickTop="1" x14ac:dyDescent="0.3"/>
    <row r="670" spans="2:21" x14ac:dyDescent="0.3">
      <c r="B670" s="1982" t="s">
        <v>316</v>
      </c>
    </row>
    <row r="671" spans="2:21" x14ac:dyDescent="0.3">
      <c r="B671" t="s">
        <v>317</v>
      </c>
    </row>
    <row r="702" spans="2:22" ht="18.75" thickBot="1" x14ac:dyDescent="0.4">
      <c r="B702" s="1987" t="s">
        <v>318</v>
      </c>
      <c r="C702" s="2"/>
      <c r="D702" s="2"/>
      <c r="E702" s="2"/>
      <c r="F702" s="2"/>
      <c r="G702" s="2"/>
      <c r="H702" s="2"/>
      <c r="I702" s="2"/>
      <c r="J702" s="2"/>
      <c r="K702" s="2"/>
      <c r="L702" s="2"/>
      <c r="M702" s="2"/>
      <c r="N702" s="2"/>
      <c r="O702" s="2"/>
      <c r="P702" s="2"/>
      <c r="Q702" s="2"/>
      <c r="R702" s="2"/>
      <c r="S702" s="2"/>
      <c r="T702" s="2"/>
      <c r="U702" s="2"/>
      <c r="V702" s="2"/>
    </row>
    <row r="703" spans="2:22" ht="15.75" thickTop="1" x14ac:dyDescent="0.3">
      <c r="B703" s="5" t="s">
        <v>319</v>
      </c>
      <c r="C703" s="5"/>
      <c r="D703" s="5"/>
      <c r="E703" s="5"/>
      <c r="F703" s="5"/>
      <c r="G703" s="5"/>
      <c r="H703" s="5"/>
      <c r="I703" s="5"/>
      <c r="J703" s="5"/>
      <c r="K703" s="5"/>
      <c r="L703" s="5"/>
      <c r="M703" s="5"/>
      <c r="N703" s="5"/>
      <c r="O703" s="5"/>
      <c r="P703" s="5"/>
      <c r="Q703" s="5"/>
      <c r="R703" s="5"/>
      <c r="S703" s="5"/>
      <c r="T703" s="5"/>
      <c r="U703" s="5"/>
      <c r="V703" s="5"/>
    </row>
    <row r="706" spans="2:14" ht="15" x14ac:dyDescent="0.35">
      <c r="B706" s="1452"/>
      <c r="C706" s="1453" t="s">
        <v>13</v>
      </c>
      <c r="D706" s="1453" t="s">
        <v>35</v>
      </c>
      <c r="E706" s="1453" t="s">
        <v>36</v>
      </c>
      <c r="F706" s="1453" t="s">
        <v>296</v>
      </c>
      <c r="G706" s="1453" t="s">
        <v>38</v>
      </c>
      <c r="H706" s="1453" t="s">
        <v>39</v>
      </c>
      <c r="I706" s="1453" t="s">
        <v>40</v>
      </c>
      <c r="J706" s="1454"/>
      <c r="K706" s="1454"/>
      <c r="L706" s="1454"/>
      <c r="M706" s="1454"/>
      <c r="N706" s="1454"/>
    </row>
    <row r="707" spans="2:14" x14ac:dyDescent="0.3">
      <c r="B707" s="540" t="s">
        <v>50</v>
      </c>
      <c r="C707" s="869" cm="1">
        <f t="array" ref="C707:I711">INDEX('Pathway Analysis'!$F$176:$F$223,MATCH(C706:I706&amp;B707:B711,'Pathway Analysis'!$C$176:$C$223&amp;'Pathway Analysis'!$E$176:$E$223,0))/1000</f>
        <v>0.56323398937814184</v>
      </c>
      <c r="D707" s="869">
        <v>1.0441255892441093</v>
      </c>
      <c r="E707" s="869">
        <v>1.2922789127425081</v>
      </c>
      <c r="F707" s="869">
        <v>0.77260348316126082</v>
      </c>
      <c r="G707" s="869">
        <v>0.76290020505392897</v>
      </c>
      <c r="H707" s="869">
        <v>0.96409193761456036</v>
      </c>
      <c r="I707" s="869">
        <v>1.2024839656207866</v>
      </c>
    </row>
    <row r="708" spans="2:14" x14ac:dyDescent="0.3">
      <c r="B708" s="540" t="s">
        <v>51</v>
      </c>
      <c r="C708" s="869">
        <v>0.37320263056070679</v>
      </c>
      <c r="D708" s="869">
        <v>1.051738208493366</v>
      </c>
      <c r="E708" s="869">
        <v>1.002521122345108</v>
      </c>
      <c r="F708" s="869">
        <v>1.8108773665215192</v>
      </c>
      <c r="G708" s="869">
        <v>0.92055429134478717</v>
      </c>
      <c r="H708" s="869">
        <v>1.0763326408560197</v>
      </c>
      <c r="I708" s="869">
        <v>1.39105206746083</v>
      </c>
    </row>
    <row r="709" spans="2:14" x14ac:dyDescent="0.3">
      <c r="B709" s="540" t="s">
        <v>52</v>
      </c>
      <c r="C709" s="869">
        <v>0.12878676665079647</v>
      </c>
      <c r="D709" s="869">
        <v>1.0529909967540054</v>
      </c>
      <c r="E709" s="869">
        <v>0.57514214084471327</v>
      </c>
      <c r="F709" s="869">
        <v>0.8298628608496047</v>
      </c>
      <c r="G709" s="869">
        <v>0.57176724932086587</v>
      </c>
      <c r="H709" s="869">
        <v>0.6253471895224999</v>
      </c>
      <c r="I709" s="869">
        <v>0.96675096238807012</v>
      </c>
    </row>
    <row r="710" spans="2:14" x14ac:dyDescent="0.3">
      <c r="B710" s="540" t="s">
        <v>53</v>
      </c>
      <c r="C710" s="869">
        <v>5.5501018356972111E-2</v>
      </c>
      <c r="D710" s="869">
        <v>0.59743932994224247</v>
      </c>
      <c r="E710" s="869">
        <v>0.59743932994224247</v>
      </c>
      <c r="F710" s="869">
        <v>0.59743932994224247</v>
      </c>
      <c r="G710" s="869">
        <v>2.085234294019517</v>
      </c>
      <c r="H710" s="869">
        <v>1.3468003928971315</v>
      </c>
      <c r="I710" s="869">
        <v>1.6982489954687685</v>
      </c>
    </row>
    <row r="711" spans="2:14" x14ac:dyDescent="0.3">
      <c r="B711" s="540" t="s">
        <v>54</v>
      </c>
      <c r="C711" s="869">
        <v>0.13843363736739966</v>
      </c>
      <c r="D711" s="869">
        <v>0.15951352012024331</v>
      </c>
      <c r="E711" s="869">
        <v>0.15951352012024331</v>
      </c>
      <c r="F711" s="869">
        <v>0.15951352012024331</v>
      </c>
      <c r="G711" s="869">
        <v>0.15899649852036332</v>
      </c>
      <c r="H711" s="869">
        <v>0.1586454277276064</v>
      </c>
      <c r="I711" s="869">
        <v>0.1586454277276064</v>
      </c>
    </row>
    <row r="713" spans="2:14" x14ac:dyDescent="0.3">
      <c r="B713" s="2038" t="s">
        <v>320</v>
      </c>
    </row>
    <row r="740" spans="2:22" ht="18.75" thickBot="1" x14ac:dyDescent="0.4">
      <c r="B740" s="1987" t="s">
        <v>321</v>
      </c>
      <c r="C740" s="2"/>
      <c r="D740" s="2"/>
      <c r="E740" s="2"/>
      <c r="F740" s="2"/>
      <c r="G740" s="2"/>
      <c r="H740" s="2"/>
      <c r="I740" s="2"/>
      <c r="J740" s="2"/>
      <c r="K740" s="2"/>
      <c r="L740" s="2"/>
      <c r="M740" s="2"/>
      <c r="N740" s="2"/>
      <c r="O740" s="2"/>
      <c r="P740" s="2"/>
      <c r="Q740" s="2"/>
      <c r="R740" s="2"/>
      <c r="S740" s="2"/>
      <c r="T740" s="2"/>
      <c r="U740" s="2"/>
      <c r="V740" s="2"/>
    </row>
    <row r="741" spans="2:22" ht="15.75" thickTop="1" x14ac:dyDescent="0.3">
      <c r="B741" s="5" t="s">
        <v>322</v>
      </c>
      <c r="C741" s="5"/>
      <c r="D741" s="5"/>
      <c r="E741" s="5"/>
      <c r="F741" s="5"/>
      <c r="G741" s="5"/>
      <c r="H741" s="5"/>
      <c r="I741" s="5"/>
      <c r="J741" s="5"/>
      <c r="K741" s="5"/>
      <c r="L741" s="5"/>
      <c r="M741" s="5"/>
      <c r="N741" s="5"/>
      <c r="O741" s="5"/>
      <c r="P741" s="5"/>
      <c r="Q741" s="5"/>
      <c r="R741" s="5"/>
      <c r="S741" s="5"/>
      <c r="T741" s="5"/>
      <c r="U741" s="5"/>
      <c r="V741" s="5"/>
    </row>
    <row r="745" spans="2:22" ht="15" x14ac:dyDescent="0.35">
      <c r="B745" s="1452"/>
      <c r="C745" s="1453" t="str" cm="1">
        <f t="array" ref="C745:E745">TRANSPOSE('Pathway Analysis'!Y183:Y185)</f>
        <v>SOx</v>
      </c>
      <c r="D745" s="1453" t="str">
        <v>NOx</v>
      </c>
      <c r="E745" s="1453" t="str">
        <v>PM2.5</v>
      </c>
      <c r="F745" s="554"/>
      <c r="G745" s="554"/>
      <c r="H745" s="554"/>
      <c r="I745" s="554"/>
      <c r="J745" s="554"/>
      <c r="K745" s="554"/>
      <c r="L745" s="554"/>
    </row>
    <row r="746" spans="2:22" x14ac:dyDescent="0.3">
      <c r="B746" s="540" t="str" cm="1">
        <f t="array" ref="B746:B752">'Pathway Analysis'!E985:E991</f>
        <v>Baseline</v>
      </c>
      <c r="C746" s="869" cm="1">
        <f t="array" ref="C746:E752">INDEX('Pathway Analysis'!Z182:Z209,MATCH(_xlfn.ANCHORARRAY(B746)&amp;_xlfn.ANCHORARRAY(C745),'Pathway Analysis'!W182:W209&amp;'Pathway Analysis'!Y182:Y209,0))</f>
        <v>0.68554936221490259</v>
      </c>
      <c r="D746" s="869">
        <v>0.72192297147606932</v>
      </c>
      <c r="E746" s="869">
        <v>0.63854076473075672</v>
      </c>
      <c r="F746" s="554"/>
      <c r="G746" s="554"/>
      <c r="H746" s="554"/>
      <c r="I746" s="554"/>
      <c r="J746" s="554"/>
      <c r="K746" s="554"/>
      <c r="L746" s="554"/>
    </row>
    <row r="747" spans="2:22" x14ac:dyDescent="0.3">
      <c r="B747" s="540" t="str">
        <v>EEO</v>
      </c>
      <c r="C747" s="869">
        <v>1.5667560863140937</v>
      </c>
      <c r="D747" s="869">
        <v>2.0494450608393864</v>
      </c>
      <c r="E747" s="869">
        <v>2.0935494503139442</v>
      </c>
      <c r="F747" s="554"/>
      <c r="G747" s="554"/>
      <c r="H747" s="554"/>
      <c r="I747" s="554"/>
      <c r="J747" s="554"/>
      <c r="K747" s="554"/>
      <c r="L747" s="554"/>
    </row>
    <row r="748" spans="2:22" x14ac:dyDescent="0.3">
      <c r="B748" s="540" t="str">
        <v>VA</v>
      </c>
      <c r="C748" s="869">
        <v>1.6086418670673872</v>
      </c>
      <c r="D748" s="869">
        <v>1.9593630101336283</v>
      </c>
      <c r="E748" s="869">
        <v>1.9226421039756698</v>
      </c>
      <c r="F748" s="554"/>
      <c r="G748" s="554"/>
      <c r="H748" s="554"/>
      <c r="I748" s="554"/>
      <c r="J748" s="554"/>
      <c r="K748" s="554"/>
      <c r="L748" s="554"/>
    </row>
    <row r="749" spans="2:22" x14ac:dyDescent="0.3">
      <c r="B749" s="540" t="str">
        <v>Renowave</v>
      </c>
      <c r="C749" s="869">
        <v>1.6362986150153995</v>
      </c>
      <c r="D749" s="869">
        <v>2.8881203760643341</v>
      </c>
      <c r="E749" s="869">
        <v>3.1231835566734785</v>
      </c>
      <c r="F749" s="554"/>
      <c r="G749" s="554"/>
      <c r="H749" s="554"/>
      <c r="I749" s="554"/>
      <c r="J749" s="554"/>
      <c r="K749" s="554"/>
      <c r="L749" s="554"/>
    </row>
    <row r="750" spans="2:22" x14ac:dyDescent="0.3">
      <c r="B750" s="540" t="str">
        <v>EET</v>
      </c>
      <c r="C750" s="869">
        <v>2.8211642729326938</v>
      </c>
      <c r="D750" s="869">
        <v>1.9087547417359074</v>
      </c>
      <c r="E750" s="869">
        <v>2.0034801200959138</v>
      </c>
      <c r="F750" s="554"/>
      <c r="G750" s="554"/>
      <c r="H750" s="554"/>
      <c r="I750" s="554"/>
      <c r="J750" s="554"/>
      <c r="K750" s="554"/>
      <c r="L750" s="554"/>
    </row>
    <row r="751" spans="2:22" x14ac:dyDescent="0.3">
      <c r="B751" s="540" t="str">
        <v>CEER1</v>
      </c>
      <c r="C751" s="869">
        <v>2.2505571474499524</v>
      </c>
      <c r="D751" s="869">
        <v>2.1111980733213862</v>
      </c>
      <c r="E751" s="869">
        <v>2.1809039448679624</v>
      </c>
      <c r="F751" s="554"/>
      <c r="G751" s="554"/>
      <c r="H751" s="554"/>
      <c r="I751" s="554"/>
      <c r="J751" s="554"/>
      <c r="K751" s="554"/>
      <c r="L751" s="554"/>
    </row>
    <row r="752" spans="2:22" x14ac:dyDescent="0.3">
      <c r="B752" s="540" t="str">
        <v>CEER2</v>
      </c>
      <c r="C752" s="869">
        <v>2.7472829660406362</v>
      </c>
      <c r="D752" s="869">
        <v>2.7244590295831443</v>
      </c>
      <c r="E752" s="869">
        <v>2.8475189947075519</v>
      </c>
      <c r="F752" s="554"/>
      <c r="G752" s="554"/>
      <c r="H752" s="554"/>
      <c r="I752" s="554"/>
      <c r="J752" s="554"/>
      <c r="K752" s="554"/>
      <c r="L752" s="554"/>
    </row>
    <row r="753" spans="2:12" x14ac:dyDescent="0.3">
      <c r="B753" s="554"/>
      <c r="C753" s="554"/>
      <c r="D753" s="554"/>
      <c r="E753" s="554"/>
      <c r="F753" s="554"/>
      <c r="G753" s="554"/>
      <c r="H753" s="554"/>
      <c r="I753" s="554"/>
      <c r="J753" s="554"/>
      <c r="K753" s="554"/>
      <c r="L753" s="554"/>
    </row>
    <row r="754" spans="2:12" x14ac:dyDescent="0.3">
      <c r="B754" s="2038" t="s">
        <v>323</v>
      </c>
      <c r="C754" s="554"/>
      <c r="D754" s="554"/>
      <c r="E754" s="554"/>
      <c r="F754" s="554"/>
      <c r="G754" s="554"/>
      <c r="H754" s="554"/>
      <c r="I754" s="554"/>
      <c r="J754" s="554"/>
      <c r="K754" s="554"/>
      <c r="L754" s="554"/>
    </row>
    <row r="755" spans="2:12" x14ac:dyDescent="0.3">
      <c r="B755" s="554"/>
      <c r="C755" s="554"/>
      <c r="D755" s="554"/>
      <c r="E755" s="554"/>
      <c r="F755" s="554"/>
      <c r="G755" s="554"/>
      <c r="H755" s="554"/>
      <c r="I755" s="554"/>
      <c r="J755" s="554"/>
      <c r="K755" s="554"/>
      <c r="L755" s="554"/>
    </row>
    <row r="756" spans="2:12" x14ac:dyDescent="0.3">
      <c r="B756" s="554"/>
      <c r="C756" s="554"/>
      <c r="D756" s="554"/>
      <c r="E756" s="554"/>
      <c r="F756" s="554"/>
      <c r="G756" s="554"/>
      <c r="H756" s="554"/>
      <c r="I756" s="554"/>
      <c r="J756" s="554"/>
      <c r="K756" s="554"/>
      <c r="L756" s="554"/>
    </row>
    <row r="757" spans="2:12" x14ac:dyDescent="0.3">
      <c r="B757" s="554"/>
      <c r="C757" s="554"/>
      <c r="D757" s="554"/>
      <c r="E757" s="554"/>
      <c r="F757" s="554"/>
      <c r="G757" s="554"/>
      <c r="H757" s="554"/>
      <c r="I757" s="554"/>
      <c r="J757" s="554"/>
      <c r="K757" s="554"/>
      <c r="L757" s="554"/>
    </row>
    <row r="758" spans="2:12" x14ac:dyDescent="0.3">
      <c r="B758" s="554"/>
      <c r="C758" s="554"/>
      <c r="D758" s="554"/>
      <c r="E758" s="554"/>
      <c r="F758" s="554"/>
      <c r="G758" s="554"/>
      <c r="H758" s="554"/>
      <c r="I758" s="554"/>
      <c r="J758" s="554"/>
      <c r="K758" s="554"/>
      <c r="L758" s="554"/>
    </row>
    <row r="759" spans="2:12" x14ac:dyDescent="0.3">
      <c r="B759" s="554"/>
      <c r="C759" s="554"/>
      <c r="D759" s="554"/>
      <c r="E759" s="554"/>
      <c r="F759" s="554"/>
      <c r="G759" s="554"/>
      <c r="H759" s="554"/>
      <c r="I759" s="554"/>
      <c r="J759" s="554"/>
      <c r="K759" s="554"/>
      <c r="L759" s="554"/>
    </row>
    <row r="760" spans="2:12" x14ac:dyDescent="0.3">
      <c r="B760" s="554"/>
      <c r="C760" s="554"/>
      <c r="D760" s="554"/>
      <c r="E760" s="554"/>
      <c r="F760" s="554"/>
      <c r="G760" s="554"/>
      <c r="H760" s="554"/>
      <c r="I760" s="554"/>
      <c r="J760" s="554"/>
      <c r="K760" s="554"/>
      <c r="L760" s="554"/>
    </row>
    <row r="761" spans="2:12" x14ac:dyDescent="0.3">
      <c r="B761" s="554"/>
      <c r="C761" s="554"/>
      <c r="D761" s="554"/>
      <c r="E761" s="554"/>
      <c r="F761" s="554"/>
      <c r="G761" s="554"/>
      <c r="H761" s="554"/>
      <c r="I761" s="554"/>
      <c r="J761" s="554"/>
      <c r="K761" s="554"/>
      <c r="L761" s="554"/>
    </row>
    <row r="762" spans="2:12" x14ac:dyDescent="0.3">
      <c r="B762" s="554"/>
      <c r="C762" s="554"/>
      <c r="D762" s="554"/>
      <c r="E762" s="554"/>
      <c r="F762" s="554"/>
      <c r="G762" s="554"/>
      <c r="H762" s="554"/>
      <c r="I762" s="554"/>
      <c r="J762" s="554"/>
      <c r="K762" s="554"/>
      <c r="L762" s="554"/>
    </row>
    <row r="763" spans="2:12" x14ac:dyDescent="0.3">
      <c r="B763" s="554"/>
      <c r="C763" s="554"/>
      <c r="D763" s="554"/>
      <c r="E763" s="554"/>
      <c r="F763" s="554"/>
      <c r="G763" s="554"/>
      <c r="H763" s="554"/>
      <c r="I763" s="554"/>
      <c r="J763" s="554"/>
      <c r="K763" s="554"/>
      <c r="L763" s="554"/>
    </row>
    <row r="764" spans="2:12" x14ac:dyDescent="0.3">
      <c r="B764" s="554"/>
      <c r="C764" s="554"/>
      <c r="D764" s="554"/>
      <c r="E764" s="554"/>
      <c r="F764" s="554"/>
      <c r="G764" s="554"/>
      <c r="H764" s="554"/>
      <c r="I764" s="554"/>
      <c r="J764" s="554"/>
      <c r="K764" s="554"/>
      <c r="L764" s="554"/>
    </row>
    <row r="765" spans="2:12" x14ac:dyDescent="0.3">
      <c r="B765" s="554"/>
      <c r="C765" s="554"/>
      <c r="D765" s="554"/>
      <c r="E765" s="554"/>
      <c r="F765" s="554"/>
      <c r="G765" s="554"/>
      <c r="H765" s="554"/>
      <c r="I765" s="554"/>
      <c r="J765" s="554"/>
      <c r="K765" s="554"/>
      <c r="L765" s="554"/>
    </row>
    <row r="766" spans="2:12" x14ac:dyDescent="0.3">
      <c r="B766" s="554"/>
      <c r="C766" s="554"/>
      <c r="D766" s="554"/>
      <c r="E766" s="554"/>
      <c r="F766" s="554"/>
      <c r="G766" s="554"/>
      <c r="H766" s="554"/>
      <c r="I766" s="554"/>
      <c r="J766" s="554"/>
      <c r="K766" s="554"/>
      <c r="L766" s="554"/>
    </row>
    <row r="767" spans="2:12" x14ac:dyDescent="0.3">
      <c r="B767" s="554"/>
      <c r="C767" s="554"/>
      <c r="D767" s="554"/>
      <c r="E767" s="554"/>
      <c r="F767" s="554"/>
      <c r="G767" s="554"/>
      <c r="H767" s="554"/>
      <c r="I767" s="554"/>
      <c r="J767" s="554"/>
      <c r="K767" s="554"/>
      <c r="L767" s="554"/>
    </row>
    <row r="768" spans="2:12" x14ac:dyDescent="0.3">
      <c r="B768" s="554"/>
      <c r="C768" s="554"/>
      <c r="D768" s="554"/>
      <c r="E768" s="554"/>
      <c r="F768" s="554"/>
      <c r="G768" s="554"/>
      <c r="H768" s="554"/>
      <c r="I768" s="554"/>
      <c r="J768" s="554"/>
      <c r="K768" s="554"/>
      <c r="L768" s="554"/>
    </row>
    <row r="769" spans="2:22" x14ac:dyDescent="0.3">
      <c r="B769" s="554"/>
      <c r="C769" s="554"/>
      <c r="D769" s="554"/>
      <c r="E769" s="554"/>
      <c r="F769" s="554"/>
      <c r="G769" s="554"/>
      <c r="H769" s="554"/>
      <c r="I769" s="554"/>
      <c r="J769" s="554"/>
      <c r="K769" s="554"/>
      <c r="L769" s="554"/>
    </row>
    <row r="770" spans="2:22" x14ac:dyDescent="0.3">
      <c r="B770" s="554"/>
      <c r="C770" s="554"/>
      <c r="D770" s="554"/>
      <c r="E770" s="554"/>
      <c r="F770" s="554"/>
      <c r="G770" s="554"/>
      <c r="H770" s="554"/>
      <c r="I770" s="554"/>
      <c r="J770" s="554"/>
      <c r="K770" s="554"/>
      <c r="L770" s="554"/>
    </row>
    <row r="771" spans="2:22" x14ac:dyDescent="0.3">
      <c r="B771" s="554"/>
      <c r="C771" s="554"/>
      <c r="D771" s="554"/>
      <c r="E771" s="554"/>
      <c r="F771" s="554"/>
      <c r="G771" s="554"/>
      <c r="H771" s="554"/>
      <c r="I771" s="554"/>
      <c r="J771" s="554"/>
      <c r="K771" s="554"/>
      <c r="L771" s="554"/>
    </row>
    <row r="772" spans="2:22" x14ac:dyDescent="0.3">
      <c r="B772" s="554"/>
      <c r="C772" s="554"/>
      <c r="D772" s="554"/>
      <c r="E772" s="554"/>
      <c r="F772" s="554"/>
      <c r="G772" s="554"/>
      <c r="H772" s="554"/>
      <c r="I772" s="554"/>
      <c r="J772" s="554"/>
      <c r="K772" s="554"/>
      <c r="L772" s="554"/>
    </row>
    <row r="773" spans="2:22" x14ac:dyDescent="0.3">
      <c r="B773" s="554"/>
      <c r="C773" s="554"/>
      <c r="D773" s="554"/>
      <c r="E773" s="554"/>
      <c r="F773" s="554"/>
      <c r="G773" s="554"/>
      <c r="H773" s="554"/>
      <c r="I773" s="554"/>
      <c r="J773" s="554"/>
      <c r="K773" s="554"/>
      <c r="L773" s="554"/>
    </row>
    <row r="775" spans="2:22" ht="18.75" thickBot="1" x14ac:dyDescent="0.4">
      <c r="B775" s="1987" t="s">
        <v>324</v>
      </c>
      <c r="C775" s="2"/>
      <c r="D775" s="2"/>
      <c r="E775" s="2"/>
      <c r="F775" s="2"/>
      <c r="G775" s="2"/>
      <c r="H775" s="2"/>
      <c r="I775" s="2"/>
      <c r="J775" s="2"/>
      <c r="K775" s="2"/>
      <c r="L775" s="2"/>
      <c r="M775" s="2"/>
      <c r="N775" s="2"/>
      <c r="O775" s="2"/>
      <c r="P775" s="2"/>
      <c r="Q775" s="2"/>
      <c r="R775" s="2"/>
      <c r="S775" s="2"/>
      <c r="T775" s="2"/>
      <c r="U775" s="2"/>
      <c r="V775" s="2"/>
    </row>
    <row r="776" spans="2:22" ht="15.75" thickTop="1" x14ac:dyDescent="0.3">
      <c r="B776" s="5" t="s">
        <v>325</v>
      </c>
      <c r="C776" s="5"/>
      <c r="D776" s="5"/>
      <c r="E776" s="5"/>
      <c r="F776" s="5"/>
      <c r="G776" s="5"/>
      <c r="H776" s="5"/>
      <c r="I776" s="5"/>
      <c r="J776" s="5"/>
      <c r="K776" s="5"/>
      <c r="L776" s="5"/>
      <c r="M776" s="5"/>
      <c r="N776" s="5"/>
      <c r="O776" s="5"/>
      <c r="P776" s="5"/>
      <c r="Q776" s="5"/>
      <c r="R776" s="5"/>
      <c r="S776" s="5"/>
      <c r="T776" s="5"/>
      <c r="U776" s="5"/>
      <c r="V776" s="5"/>
    </row>
    <row r="777" spans="2:22" x14ac:dyDescent="0.3">
      <c r="B777" s="2038" t="s">
        <v>326</v>
      </c>
    </row>
    <row r="778" spans="2:22" x14ac:dyDescent="0.3">
      <c r="D778" s="2022" t="s">
        <v>327</v>
      </c>
      <c r="E778" s="2019"/>
      <c r="F778" s="2019"/>
      <c r="G778" s="2019"/>
      <c r="H778" s="2019"/>
      <c r="I778" s="2020" t="s">
        <v>328</v>
      </c>
      <c r="J778" s="2020"/>
      <c r="K778" s="2020"/>
      <c r="L778" s="2020"/>
      <c r="M778" s="2020"/>
    </row>
    <row r="779" spans="2:22" ht="38.25" x14ac:dyDescent="0.3">
      <c r="B779" s="1151"/>
      <c r="C779" s="1151"/>
      <c r="D779" s="1151" t="s">
        <v>329</v>
      </c>
      <c r="E779" s="1151" t="s">
        <v>330</v>
      </c>
      <c r="F779" s="1151" t="s">
        <v>331</v>
      </c>
      <c r="G779" s="1151" t="s">
        <v>332</v>
      </c>
      <c r="H779" s="1151" t="s">
        <v>333</v>
      </c>
      <c r="I779" s="1151" t="s">
        <v>329</v>
      </c>
      <c r="J779" s="1151" t="s">
        <v>334</v>
      </c>
      <c r="K779" s="1151" t="s">
        <v>331</v>
      </c>
      <c r="L779" s="1151" t="s">
        <v>335</v>
      </c>
      <c r="M779" s="1151" t="s">
        <v>336</v>
      </c>
    </row>
    <row r="780" spans="2:22" x14ac:dyDescent="0.3">
      <c r="B780" s="2059" t="s">
        <v>337</v>
      </c>
      <c r="C780" s="2024" t="s">
        <v>51</v>
      </c>
      <c r="D780" s="501">
        <f>'Pathway Analysis'!Z637</f>
        <v>77.22351864547089</v>
      </c>
      <c r="E780" s="501">
        <f>'Pathway Analysis'!AA637</f>
        <v>2.4075619630275371</v>
      </c>
      <c r="F780" s="501">
        <f>'Pathway Analysis'!AB637</f>
        <v>101.29913827574626</v>
      </c>
      <c r="G780" s="501">
        <f>'Pathway Analysis'!AC637</f>
        <v>24.075619630275369</v>
      </c>
      <c r="H780" s="501">
        <f>'Pathway Analysis'!AD637</f>
        <v>0.311765379933091</v>
      </c>
      <c r="I780" s="501">
        <f>'Pathway Analysis'!AE637</f>
        <v>77.22351864547089</v>
      </c>
      <c r="J780" s="501">
        <f>'Pathway Analysis'!AF637</f>
        <v>0.62464352300312509</v>
      </c>
      <c r="K780" s="501">
        <f>'Pathway Analysis'!AG637</f>
        <v>107.54557350577751</v>
      </c>
      <c r="L780" s="501">
        <f>'Pathway Analysis'!AH637</f>
        <v>6.2464352300312527</v>
      </c>
      <c r="M780" s="501">
        <f>'Pathway Analysis'!AI637</f>
        <v>8.0887731349154224E-2</v>
      </c>
    </row>
    <row r="781" spans="2:22" x14ac:dyDescent="0.3">
      <c r="B781" s="2059"/>
      <c r="C781" s="2024" t="s">
        <v>338</v>
      </c>
      <c r="D781" s="501">
        <f>'Pathway Analysis'!Z638</f>
        <v>64.623518645470881</v>
      </c>
      <c r="E781" s="501">
        <f>'Pathway Analysis'!AA638</f>
        <v>2.0235477514026883</v>
      </c>
      <c r="F781" s="501">
        <f>'Pathway Analysis'!AB638</f>
        <v>84.858996159497764</v>
      </c>
      <c r="G781" s="501">
        <f>'Pathway Analysis'!AC638</f>
        <v>20.235477514026883</v>
      </c>
      <c r="H781" s="501">
        <f>'Pathway Analysis'!AD638</f>
        <v>0.31312868655512432</v>
      </c>
      <c r="I781" s="501">
        <f>'Pathway Analysis'!AE638</f>
        <v>64.623518645470881</v>
      </c>
      <c r="J781" s="501">
        <f>'Pathway Analysis'!AF638</f>
        <v>0.16391226348854104</v>
      </c>
      <c r="K781" s="501">
        <f>'Pathway Analysis'!AG638</f>
        <v>86.498118794383174</v>
      </c>
      <c r="L781" s="501">
        <f>'Pathway Analysis'!AH638</f>
        <v>1.6391226348854104</v>
      </c>
      <c r="M781" s="501">
        <f>'Pathway Analysis'!AI638</f>
        <v>2.5364181171838529E-2</v>
      </c>
    </row>
    <row r="782" spans="2:22" x14ac:dyDescent="0.3">
      <c r="B782" s="2059" t="s">
        <v>339</v>
      </c>
      <c r="C782" s="2025" t="s">
        <v>51</v>
      </c>
      <c r="D782" s="501">
        <f>'Pathway Analysis'!Z639</f>
        <v>99.16</v>
      </c>
      <c r="E782" s="501">
        <f>'Pathway Analysis'!AA639</f>
        <v>3.3386535724678681</v>
      </c>
      <c r="F782" s="501">
        <f>'Pathway Analysis'!AB639</f>
        <v>132.54653572467868</v>
      </c>
      <c r="G782" s="501">
        <f>'Pathway Analysis'!AC639</f>
        <v>33.38653572467868</v>
      </c>
      <c r="H782" s="501">
        <f>'Pathway Analysis'!AD639</f>
        <v>0.3366935833469008</v>
      </c>
      <c r="I782" s="501">
        <f>'Pathway Analysis'!AE639</f>
        <v>99.16</v>
      </c>
      <c r="J782" s="501">
        <f>'Pathway Analysis'!AF639</f>
        <v>0.14681174625120841</v>
      </c>
      <c r="K782" s="501">
        <f>'Pathway Analysis'!AG639</f>
        <v>134.01465318719076</v>
      </c>
      <c r="L782" s="501">
        <f>'Pathway Analysis'!AH639</f>
        <v>1.4681174625120832</v>
      </c>
      <c r="M782" s="501">
        <f>'Pathway Analysis'!AI639</f>
        <v>1.4805541170956837E-2</v>
      </c>
    </row>
    <row r="783" spans="2:22" x14ac:dyDescent="0.3">
      <c r="B783" s="2059"/>
      <c r="C783" s="2025" t="s">
        <v>338</v>
      </c>
      <c r="D783" s="501">
        <f>'Pathway Analysis'!Z645</f>
        <v>78.600000000000009</v>
      </c>
      <c r="E783" s="501">
        <f>'Pathway Analysis'!AA645</f>
        <v>2.7120399065149399</v>
      </c>
      <c r="F783" s="501">
        <f>'Pathway Analysis'!AB645</f>
        <v>105.72039906514941</v>
      </c>
      <c r="G783" s="501">
        <f>'Pathway Analysis'!AC645</f>
        <v>27.1203990651494</v>
      </c>
      <c r="H783" s="501">
        <f>'Pathway Analysis'!AD645</f>
        <v>0.34504324510368189</v>
      </c>
      <c r="I783" s="501">
        <f>'Pathway Analysis'!AE645</f>
        <v>78.600000000000009</v>
      </c>
      <c r="J783" s="501">
        <f>'Pathway Analysis'!AF645</f>
        <v>0.14620707368625707</v>
      </c>
      <c r="K783" s="501">
        <f>'Pathway Analysis'!AG645</f>
        <v>107.18246980201198</v>
      </c>
      <c r="L783" s="501">
        <f>'Pathway Analysis'!AH645</f>
        <v>1.4620707368625716</v>
      </c>
      <c r="M783" s="501">
        <f>'Pathway Analysis'!AI645</f>
        <v>1.8601408865936031E-2</v>
      </c>
    </row>
    <row r="784" spans="2:22" x14ac:dyDescent="0.3">
      <c r="B784" s="2059" t="s">
        <v>340</v>
      </c>
      <c r="C784" s="2025" t="s">
        <v>51</v>
      </c>
      <c r="D784" s="501">
        <f>'Pathway Analysis'!Z653</f>
        <v>40.649763033175354</v>
      </c>
      <c r="E784" s="501">
        <f>'Pathway Analysis'!AA653</f>
        <v>1.545425506419783</v>
      </c>
      <c r="F784" s="501">
        <f>'Pathway Analysis'!AB653</f>
        <v>56.104018097373185</v>
      </c>
      <c r="G784" s="501">
        <f>'Pathway Analysis'!AC653</f>
        <v>15.454255064197831</v>
      </c>
      <c r="H784" s="501">
        <f>'Pathway Analysis'!AD653</f>
        <v>0.38018069260539605</v>
      </c>
      <c r="I784" s="2023">
        <v>0</v>
      </c>
      <c r="J784" s="2023">
        <v>0</v>
      </c>
      <c r="K784" s="2023">
        <v>0</v>
      </c>
      <c r="L784" s="2023">
        <v>0</v>
      </c>
      <c r="M784" s="2023">
        <v>0</v>
      </c>
    </row>
    <row r="785" spans="2:22" x14ac:dyDescent="0.3">
      <c r="B785" s="2059"/>
      <c r="C785" s="2025" t="s">
        <v>338</v>
      </c>
      <c r="D785" s="501">
        <f>'Pathway Analysis'!Z657</f>
        <v>39.749763033175356</v>
      </c>
      <c r="E785" s="501">
        <f>'Pathway Analysis'!AA657</f>
        <v>1.5179959198751511</v>
      </c>
      <c r="F785" s="501">
        <f>'Pathway Analysis'!AB657</f>
        <v>54.929722231926867</v>
      </c>
      <c r="G785" s="501">
        <f>'Pathway Analysis'!AC657</f>
        <v>15.179959198751511</v>
      </c>
      <c r="H785" s="501">
        <f>'Pathway Analysis'!AD657</f>
        <v>0.3818880426049896</v>
      </c>
      <c r="I785" s="2023">
        <v>0</v>
      </c>
      <c r="J785" s="2023">
        <v>0</v>
      </c>
      <c r="K785" s="2023">
        <v>0</v>
      </c>
      <c r="L785" s="2023">
        <v>0</v>
      </c>
      <c r="M785" s="2023">
        <v>0</v>
      </c>
    </row>
    <row r="787" spans="2:22" ht="18.75" thickBot="1" x14ac:dyDescent="0.4">
      <c r="B787" s="1987" t="s">
        <v>341</v>
      </c>
      <c r="C787" s="2"/>
      <c r="D787" s="2"/>
      <c r="E787" s="2"/>
      <c r="F787" s="2"/>
      <c r="G787" s="2"/>
      <c r="H787" s="2"/>
      <c r="I787" s="2"/>
      <c r="J787" s="2"/>
      <c r="K787" s="2"/>
      <c r="L787" s="2"/>
      <c r="M787" s="2"/>
      <c r="N787" s="2"/>
      <c r="O787" s="2"/>
      <c r="P787" s="2"/>
      <c r="Q787" s="2"/>
      <c r="R787" s="2"/>
      <c r="S787" s="2"/>
      <c r="T787" s="2"/>
      <c r="U787" s="2"/>
      <c r="V787" s="2"/>
    </row>
    <row r="788" spans="2:22" ht="14.25" thickTop="1" x14ac:dyDescent="0.3"/>
    <row r="790" spans="2:22" x14ac:dyDescent="0.3">
      <c r="C790" s="1573" t="s">
        <v>342</v>
      </c>
      <c r="D790" s="1573" t="s">
        <v>208</v>
      </c>
      <c r="E790" s="1573" t="s">
        <v>207</v>
      </c>
      <c r="F790" s="1573" t="s">
        <v>206</v>
      </c>
      <c r="G790" s="1573" t="s">
        <v>205</v>
      </c>
      <c r="J790" s="2038" t="s">
        <v>343</v>
      </c>
    </row>
    <row r="791" spans="2:22" ht="40.5" x14ac:dyDescent="0.3">
      <c r="B791" s="9"/>
      <c r="C791" s="9" t="s">
        <v>342</v>
      </c>
      <c r="D791" s="9" t="s">
        <v>208</v>
      </c>
      <c r="E791" s="9" t="s">
        <v>207</v>
      </c>
      <c r="F791" s="9" t="s">
        <v>206</v>
      </c>
      <c r="G791" s="9" t="s">
        <v>205</v>
      </c>
      <c r="H791" s="9" t="s">
        <v>204</v>
      </c>
    </row>
    <row r="792" spans="2:22" x14ac:dyDescent="0.3">
      <c r="B792" s="554" t="s">
        <v>13</v>
      </c>
      <c r="C792" s="62" cm="1">
        <f t="array" ref="C792:G798">INDEX('Pathway Analysis'!V878:V977,MATCH(B792:B798&amp;C790:G790,'Pathway Analysis'!D878:D977&amp;'Pathway Analysis'!E878:E977,0))</f>
        <v>118.40043368670489</v>
      </c>
      <c r="D792" s="62">
        <v>1219.4303211653532</v>
      </c>
      <c r="E792" s="62">
        <v>-322.05271252661595</v>
      </c>
      <c r="F792" s="62">
        <v>0</v>
      </c>
      <c r="G792" s="62">
        <v>-119.13999999999999</v>
      </c>
      <c r="H792" s="62" cm="1">
        <f t="array" ref="H792:H798">INDEX('Pathway Analysis'!V878:V977,MATCH(B792:B798,'Pathway Analysis'!D878:D977,0))</f>
        <v>978.27169062210351</v>
      </c>
    </row>
    <row r="793" spans="2:22" x14ac:dyDescent="0.3">
      <c r="B793" s="554" t="s">
        <v>35</v>
      </c>
      <c r="C793" s="62">
        <v>617.93043341519206</v>
      </c>
      <c r="D793" s="62">
        <v>6722.9660838790824</v>
      </c>
      <c r="E793" s="62">
        <v>-1805.732921698622</v>
      </c>
      <c r="F793" s="62">
        <v>-15.767327723968378</v>
      </c>
      <c r="G793" s="62">
        <v>-4793.5162020683329</v>
      </c>
      <c r="H793" s="62">
        <v>2291.1939232720179</v>
      </c>
    </row>
    <row r="794" spans="2:22" x14ac:dyDescent="0.3">
      <c r="B794" s="554" t="s">
        <v>36</v>
      </c>
      <c r="C794" s="62">
        <v>581.83220822802127</v>
      </c>
      <c r="D794" s="62">
        <v>6974.659227956201</v>
      </c>
      <c r="E794" s="62">
        <v>-1551.504109230061</v>
      </c>
      <c r="F794" s="62">
        <v>-15.767327723968378</v>
      </c>
      <c r="G794" s="62">
        <v>-4280.8656754213334</v>
      </c>
      <c r="H794" s="62">
        <v>3019.4393688089658</v>
      </c>
    </row>
    <row r="795" spans="2:22" x14ac:dyDescent="0.3">
      <c r="B795" s="554" t="s">
        <v>296</v>
      </c>
      <c r="C795" s="62">
        <v>1031.8577106931041</v>
      </c>
      <c r="D795" s="62">
        <v>11486.484398995499</v>
      </c>
      <c r="E795" s="62">
        <v>-3431.429912868362</v>
      </c>
      <c r="F795" s="62">
        <v>-15.767327723968378</v>
      </c>
      <c r="G795" s="62">
        <v>-10694.308985236667</v>
      </c>
      <c r="H795" s="62">
        <v>1567.8467324980131</v>
      </c>
    </row>
    <row r="796" spans="2:22" x14ac:dyDescent="0.3">
      <c r="B796" s="554" t="s">
        <v>38</v>
      </c>
      <c r="C796" s="62">
        <v>824.62000636586754</v>
      </c>
      <c r="D796" s="62">
        <v>8423.1014386256593</v>
      </c>
      <c r="E796" s="62">
        <v>-1413.5803904898935</v>
      </c>
      <c r="F796" s="62">
        <v>-39.418319309920939</v>
      </c>
      <c r="G796" s="62">
        <v>-3912.8919525680003</v>
      </c>
      <c r="H796" s="62">
        <v>5054.9921088836509</v>
      </c>
    </row>
    <row r="797" spans="2:22" x14ac:dyDescent="0.3">
      <c r="B797" s="554" t="s">
        <v>39</v>
      </c>
      <c r="C797" s="62">
        <v>811.60018614969658</v>
      </c>
      <c r="D797" s="62">
        <v>8270.4450069720715</v>
      </c>
      <c r="E797" s="62">
        <v>-1639.4103760086844</v>
      </c>
      <c r="F797" s="62">
        <v>-39.418319309920939</v>
      </c>
      <c r="G797" s="62">
        <v>-4788.7319114960001</v>
      </c>
      <c r="H797" s="62">
        <v>4013.4758980858924</v>
      </c>
    </row>
    <row r="798" spans="2:22" x14ac:dyDescent="0.3">
      <c r="B798" s="554" t="s">
        <v>40</v>
      </c>
      <c r="C798" s="62">
        <v>1101.9524645561678</v>
      </c>
      <c r="D798" s="62">
        <v>11358.221893809057</v>
      </c>
      <c r="E798" s="62">
        <v>-2100.4790281258238</v>
      </c>
      <c r="F798" s="62">
        <v>-39.418319309920939</v>
      </c>
      <c r="G798" s="62">
        <v>-6313.6005257626666</v>
      </c>
      <c r="H798" s="62">
        <v>5866.7364490626824</v>
      </c>
    </row>
    <row r="809" spans="2:22" ht="18.75" thickBot="1" x14ac:dyDescent="0.4">
      <c r="B809" s="1987" t="s">
        <v>344</v>
      </c>
      <c r="C809" s="2"/>
      <c r="D809" s="2"/>
      <c r="E809" s="2"/>
      <c r="F809" s="2"/>
      <c r="G809" s="2"/>
      <c r="H809" s="2"/>
      <c r="I809" s="2"/>
      <c r="J809" s="2"/>
      <c r="K809" s="2"/>
      <c r="L809" s="2"/>
      <c r="M809" s="2"/>
      <c r="N809" s="2"/>
      <c r="O809" s="2"/>
      <c r="P809" s="2"/>
      <c r="Q809" s="2"/>
      <c r="R809" s="2"/>
      <c r="S809" s="2"/>
      <c r="T809" s="2"/>
      <c r="U809" s="2"/>
      <c r="V809" s="2"/>
    </row>
    <row r="810" spans="2:22" ht="14.25" thickTop="1" x14ac:dyDescent="0.3"/>
    <row r="815" spans="2:22" x14ac:dyDescent="0.3">
      <c r="B815" s="625"/>
      <c r="C815" s="625">
        <v>2021</v>
      </c>
      <c r="D815" s="625">
        <v>2022</v>
      </c>
      <c r="E815" s="625">
        <v>2023</v>
      </c>
      <c r="F815" s="625">
        <v>2024</v>
      </c>
      <c r="G815" s="625">
        <v>2025</v>
      </c>
      <c r="H815" s="625">
        <v>2026</v>
      </c>
      <c r="I815" s="625">
        <v>2027</v>
      </c>
      <c r="J815" s="625">
        <v>2028</v>
      </c>
      <c r="K815" s="625">
        <v>2029</v>
      </c>
      <c r="L815" s="625">
        <v>2030</v>
      </c>
      <c r="M815" s="625">
        <v>2031</v>
      </c>
      <c r="N815" s="625">
        <v>2032</v>
      </c>
      <c r="O815" s="625">
        <v>2033</v>
      </c>
      <c r="P815" s="625">
        <v>2034</v>
      </c>
      <c r="Q815" s="625">
        <v>2035</v>
      </c>
    </row>
    <row r="816" spans="2:22" x14ac:dyDescent="0.3">
      <c r="B816" s="628" t="s">
        <v>345</v>
      </c>
      <c r="C816" s="850" cm="1">
        <f t="array" ref="C816:Q823">'Pathway Analysis'!G984:U991</f>
        <v>9.8655539695314681E-2</v>
      </c>
      <c r="D816" s="850">
        <v>8.4877554525475768E-2</v>
      </c>
      <c r="E816" s="850">
        <v>8.304726539688348E-2</v>
      </c>
      <c r="F816" s="850">
        <v>8.281559464425467E-2</v>
      </c>
      <c r="G816" s="850">
        <v>8.2541306852183416E-2</v>
      </c>
      <c r="H816" s="850">
        <v>8.1956305115581482E-2</v>
      </c>
      <c r="I816" s="850">
        <v>8.1535098372314777E-2</v>
      </c>
      <c r="J816" s="850">
        <v>7.9926374134731679E-2</v>
      </c>
      <c r="K816" s="850">
        <v>7.8454582197528461E-2</v>
      </c>
      <c r="L816" s="850">
        <v>7.7100343679738725E-2</v>
      </c>
      <c r="M816" s="850">
        <v>7.5764441104324093E-2</v>
      </c>
      <c r="N816" s="850">
        <v>7.4499641535204483E-2</v>
      </c>
      <c r="O816" s="850">
        <v>7.3300335663719657E-2</v>
      </c>
      <c r="P816" s="850">
        <v>7.2214283259682432E-2</v>
      </c>
      <c r="Q816" s="850">
        <v>7.1326057346866589E-2</v>
      </c>
    </row>
    <row r="817" spans="2:17" x14ac:dyDescent="0.3">
      <c r="B817" s="628" t="str">
        <f>'EE Measures'!$IF$6</f>
        <v>Baseline</v>
      </c>
      <c r="C817" s="850">
        <v>9.749025637603255E-2</v>
      </c>
      <c r="D817" s="850">
        <v>8.4050454574671224E-2</v>
      </c>
      <c r="E817" s="850">
        <v>8.2293834359138673E-2</v>
      </c>
      <c r="F817" s="850">
        <v>8.1496967515123128E-2</v>
      </c>
      <c r="G817" s="850">
        <v>8.0699838209752295E-2</v>
      </c>
      <c r="H817" s="850">
        <v>8.0030665528768044E-2</v>
      </c>
      <c r="I817" s="850">
        <v>7.9544915129257432E-2</v>
      </c>
      <c r="J817" s="850">
        <v>7.8023896660600611E-2</v>
      </c>
      <c r="K817" s="850">
        <v>7.6511399313910475E-2</v>
      </c>
      <c r="L817" s="850">
        <v>7.5115354069050469E-2</v>
      </c>
      <c r="M817" s="850">
        <v>7.3739406100159235E-2</v>
      </c>
      <c r="N817" s="850">
        <v>7.243469054094144E-2</v>
      </c>
      <c r="O817" s="850">
        <v>7.1195655240084435E-2</v>
      </c>
      <c r="P817" s="850">
        <v>7.0068168476153242E-2</v>
      </c>
      <c r="Q817" s="850">
        <v>6.9133352115008651E-2</v>
      </c>
    </row>
    <row r="818" spans="2:17" x14ac:dyDescent="0.3">
      <c r="B818" s="628" t="str">
        <f>'EE Measures'!$IG$6</f>
        <v>EEO</v>
      </c>
      <c r="C818" s="850">
        <v>9.6743307745435728E-2</v>
      </c>
      <c r="D818" s="850">
        <v>8.3713302258396016E-2</v>
      </c>
      <c r="E818" s="850">
        <v>8.2044456861066553E-2</v>
      </c>
      <c r="F818" s="850">
        <v>8.0550962632492257E-2</v>
      </c>
      <c r="G818" s="850">
        <v>7.8411839616602363E-2</v>
      </c>
      <c r="H818" s="850">
        <v>7.6714397934499426E-2</v>
      </c>
      <c r="I818" s="850">
        <v>7.4939716965217604E-2</v>
      </c>
      <c r="J818" s="850">
        <v>7.2096586758210832E-2</v>
      </c>
      <c r="K818" s="850">
        <v>6.9303373274945526E-2</v>
      </c>
      <c r="L818" s="850">
        <v>6.6703294683522305E-2</v>
      </c>
      <c r="M818" s="850">
        <v>6.4225309952168311E-2</v>
      </c>
      <c r="N818" s="850">
        <v>6.1848142535423326E-2</v>
      </c>
      <c r="O818" s="850">
        <v>5.958943356855291E-2</v>
      </c>
      <c r="P818" s="850">
        <v>5.7480913120981046E-2</v>
      </c>
      <c r="Q818" s="850">
        <v>5.5579069938421877E-2</v>
      </c>
    </row>
    <row r="819" spans="2:17" x14ac:dyDescent="0.3">
      <c r="B819" s="628" t="s">
        <v>36</v>
      </c>
      <c r="C819" s="850">
        <v>9.6743307745435728E-2</v>
      </c>
      <c r="D819" s="850">
        <v>8.3712973926733422E-2</v>
      </c>
      <c r="E819" s="850">
        <v>8.2044028279348646E-2</v>
      </c>
      <c r="F819" s="850">
        <v>8.0545575437931075E-2</v>
      </c>
      <c r="G819" s="850">
        <v>7.7743255803853703E-2</v>
      </c>
      <c r="H819" s="850">
        <v>7.61752926247284E-2</v>
      </c>
      <c r="I819" s="850">
        <v>7.4532687653073484E-2</v>
      </c>
      <c r="J819" s="850">
        <v>7.1833498767292461E-2</v>
      </c>
      <c r="K819" s="850">
        <v>6.9177697384782882E-2</v>
      </c>
      <c r="L819" s="850">
        <v>6.6726295353373211E-2</v>
      </c>
      <c r="M819" s="850">
        <v>6.4424691014898755E-2</v>
      </c>
      <c r="N819" s="850">
        <v>6.2225890261163971E-2</v>
      </c>
      <c r="O819" s="850">
        <v>6.0147113058707395E-2</v>
      </c>
      <c r="P819" s="850">
        <v>5.8220156662434332E-2</v>
      </c>
      <c r="Q819" s="850">
        <v>5.6505028459837549E-2</v>
      </c>
    </row>
    <row r="820" spans="2:17" x14ac:dyDescent="0.3">
      <c r="B820" s="628" t="str">
        <f>'EE Measures'!$II$6</f>
        <v>Renowave</v>
      </c>
      <c r="C820" s="850">
        <v>9.6743307745435728E-2</v>
      </c>
      <c r="D820" s="850">
        <v>8.3712973926733422E-2</v>
      </c>
      <c r="E820" s="850">
        <v>8.2044028279348646E-2</v>
      </c>
      <c r="F820" s="850">
        <v>8.0645222647612438E-2</v>
      </c>
      <c r="G820" s="850">
        <v>7.8052381046382319E-2</v>
      </c>
      <c r="H820" s="850">
        <v>7.4674449329166462E-2</v>
      </c>
      <c r="I820" s="850">
        <v>7.1297286537139917E-2</v>
      </c>
      <c r="J820" s="850">
        <v>6.7005430996397539E-2</v>
      </c>
      <c r="K820" s="850">
        <v>6.2883473982284541E-2</v>
      </c>
      <c r="L820" s="850">
        <v>5.9053967543475923E-2</v>
      </c>
      <c r="M820" s="850">
        <v>5.5441286225135708E-2</v>
      </c>
      <c r="N820" s="850">
        <v>5.2017843962150964E-2</v>
      </c>
      <c r="O820" s="850">
        <v>4.8790531440053679E-2</v>
      </c>
      <c r="P820" s="850">
        <v>4.5775944402969698E-2</v>
      </c>
      <c r="Q820" s="850">
        <v>4.3011511212614408E-2</v>
      </c>
    </row>
    <row r="821" spans="2:17" x14ac:dyDescent="0.3">
      <c r="B821" s="628" t="str">
        <f>'EE Measures'!$IJ$6</f>
        <v>EET</v>
      </c>
      <c r="C821" s="850">
        <v>9.5124096058611537E-2</v>
      </c>
      <c r="D821" s="850">
        <v>8.2564884609969399E-2</v>
      </c>
      <c r="E821" s="850">
        <v>8.1242507791473198E-2</v>
      </c>
      <c r="F821" s="850">
        <v>7.7926295987201993E-2</v>
      </c>
      <c r="G821" s="850">
        <v>7.5001388642319061E-2</v>
      </c>
      <c r="H821" s="850">
        <v>7.501438152904237E-2</v>
      </c>
      <c r="I821" s="850">
        <v>7.4262361290275386E-2</v>
      </c>
      <c r="J821" s="850">
        <v>7.1760966163704573E-2</v>
      </c>
      <c r="K821" s="850">
        <v>6.9250527083863297E-2</v>
      </c>
      <c r="L821" s="850">
        <v>6.6946293541392574E-2</v>
      </c>
      <c r="M821" s="850">
        <v>6.4857951113428833E-2</v>
      </c>
      <c r="N821" s="850">
        <v>6.2801955448920338E-2</v>
      </c>
      <c r="O821" s="850">
        <v>6.0855711308294994E-2</v>
      </c>
      <c r="P821" s="850">
        <v>5.9052247620770756E-2</v>
      </c>
      <c r="Q821" s="850">
        <v>5.7452975722319909E-2</v>
      </c>
    </row>
    <row r="822" spans="2:17" x14ac:dyDescent="0.3">
      <c r="B822" s="628" t="str">
        <f>'EE Measures'!$IK$6</f>
        <v>CEER1</v>
      </c>
      <c r="C822" s="850">
        <v>9.5644102034602704E-2</v>
      </c>
      <c r="D822" s="850">
        <v>8.3211803998416586E-2</v>
      </c>
      <c r="E822" s="850">
        <v>8.1672149880162359E-2</v>
      </c>
      <c r="F822" s="850">
        <v>7.9545808922553932E-2</v>
      </c>
      <c r="G822" s="850">
        <v>7.6331925615161736E-2</v>
      </c>
      <c r="H822" s="850">
        <v>7.5173733702779286E-2</v>
      </c>
      <c r="I822" s="850">
        <v>7.3568089485292018E-2</v>
      </c>
      <c r="J822" s="850">
        <v>7.0741085327399783E-2</v>
      </c>
      <c r="K822" s="850">
        <v>6.7921006058234437E-2</v>
      </c>
      <c r="L822" s="850">
        <v>6.5332106238153081E-2</v>
      </c>
      <c r="M822" s="850">
        <v>6.2931740268998199E-2</v>
      </c>
      <c r="N822" s="850">
        <v>6.061466330469073E-2</v>
      </c>
      <c r="O822" s="850">
        <v>5.8426496875612625E-2</v>
      </c>
      <c r="P822" s="850">
        <v>5.6396763234746863E-2</v>
      </c>
      <c r="Q822" s="850">
        <v>5.4582479979592764E-2</v>
      </c>
    </row>
    <row r="823" spans="2:17" x14ac:dyDescent="0.3">
      <c r="B823" s="628" t="str">
        <f>'EE Measures'!$IL$6</f>
        <v>CEER2</v>
      </c>
      <c r="C823" s="850">
        <v>9.5644102034602704E-2</v>
      </c>
      <c r="D823" s="850">
        <v>8.3211803998416586E-2</v>
      </c>
      <c r="E823" s="850">
        <v>8.1672149880162359E-2</v>
      </c>
      <c r="F823" s="850">
        <v>7.9545808922553932E-2</v>
      </c>
      <c r="G823" s="850">
        <v>7.4339884064694203E-2</v>
      </c>
      <c r="H823" s="850">
        <v>7.2512122494241257E-2</v>
      </c>
      <c r="I823" s="850">
        <v>7.0281088152139765E-2</v>
      </c>
      <c r="J823" s="850">
        <v>6.6935721484971025E-2</v>
      </c>
      <c r="K823" s="850">
        <v>6.3648514037690021E-2</v>
      </c>
      <c r="L823" s="850">
        <v>6.0627989852778119E-2</v>
      </c>
      <c r="M823" s="850">
        <v>5.7886504011915758E-2</v>
      </c>
      <c r="N823" s="850">
        <v>5.5234506149354143E-2</v>
      </c>
      <c r="O823" s="850">
        <v>5.2735517595879515E-2</v>
      </c>
      <c r="P823" s="850">
        <v>5.0412086304451396E-2</v>
      </c>
      <c r="Q823" s="850">
        <v>4.8311766540814573E-2</v>
      </c>
    </row>
    <row r="825" spans="2:17" x14ac:dyDescent="0.3">
      <c r="B825" s="2038" t="s">
        <v>346</v>
      </c>
    </row>
    <row r="847" spans="2:22" ht="18.75" thickBot="1" x14ac:dyDescent="0.4">
      <c r="B847" s="1987" t="s">
        <v>347</v>
      </c>
      <c r="C847" s="2"/>
      <c r="D847" s="2"/>
      <c r="E847" s="2"/>
      <c r="F847" s="2"/>
      <c r="G847" s="2"/>
      <c r="H847" s="2"/>
      <c r="I847" s="2"/>
      <c r="J847" s="2"/>
      <c r="K847" s="2"/>
      <c r="L847" s="2"/>
      <c r="M847" s="2"/>
      <c r="N847" s="2"/>
      <c r="O847" s="2"/>
      <c r="P847" s="2"/>
      <c r="Q847" s="2"/>
      <c r="R847" s="2"/>
      <c r="S847" s="2"/>
      <c r="T847" s="2"/>
      <c r="U847" s="2"/>
      <c r="V847" s="2"/>
    </row>
    <row r="848" spans="2:22" ht="14.25" thickTop="1" x14ac:dyDescent="0.3">
      <c r="B848" s="474"/>
    </row>
    <row r="849" spans="2:17" x14ac:dyDescent="0.3">
      <c r="B849" s="625"/>
      <c r="C849" s="625">
        <v>2021</v>
      </c>
      <c r="D849" s="625">
        <v>2022</v>
      </c>
      <c r="E849" s="625">
        <v>2023</v>
      </c>
      <c r="F849" s="625">
        <v>2024</v>
      </c>
      <c r="G849" s="625">
        <v>2025</v>
      </c>
      <c r="H849" s="625">
        <v>2026</v>
      </c>
      <c r="I849" s="625">
        <v>2027</v>
      </c>
      <c r="J849" s="625">
        <v>2028</v>
      </c>
      <c r="K849" s="625">
        <v>2029</v>
      </c>
      <c r="L849" s="625">
        <v>2030</v>
      </c>
      <c r="M849" s="625">
        <v>2031</v>
      </c>
      <c r="N849" s="625">
        <v>2032</v>
      </c>
      <c r="O849" s="625">
        <v>2033</v>
      </c>
      <c r="P849" s="625">
        <v>2034</v>
      </c>
      <c r="Q849" s="625">
        <v>2035</v>
      </c>
    </row>
    <row r="850" spans="2:17" x14ac:dyDescent="0.3">
      <c r="B850" s="628" t="s">
        <v>345</v>
      </c>
      <c r="C850" s="1574" cm="1">
        <f t="array" ref="C850:Q857">INDEX('Pathway Analysis'!G689:U746,MATCH(B850:B857,'Pathway Analysis'!E689:E746,0),MATCH(C849:Q849,'Pathway Analysis'!G688:U688,0))</f>
        <v>650.5</v>
      </c>
      <c r="D850" s="1574">
        <v>677.4</v>
      </c>
      <c r="E850" s="1574">
        <v>679.2</v>
      </c>
      <c r="F850" s="1574">
        <v>683.3</v>
      </c>
      <c r="G850" s="1574">
        <v>685.4</v>
      </c>
      <c r="H850" s="1574">
        <v>685.7</v>
      </c>
      <c r="I850" s="1574">
        <v>685.7</v>
      </c>
      <c r="J850" s="1574">
        <v>670.40077048021942</v>
      </c>
      <c r="K850" s="1574">
        <v>667.85705838006504</v>
      </c>
      <c r="L850" s="1574">
        <v>665.17299172607909</v>
      </c>
      <c r="M850" s="1574">
        <v>662.71256873394532</v>
      </c>
      <c r="N850" s="1574">
        <v>660.30437843289576</v>
      </c>
      <c r="O850" s="1574">
        <v>657.95269452091168</v>
      </c>
      <c r="P850" s="1574">
        <v>655.34736559679754</v>
      </c>
      <c r="Q850" s="1574">
        <v>651.93050565537055</v>
      </c>
    </row>
    <row r="851" spans="2:17" x14ac:dyDescent="0.3">
      <c r="B851" s="628" t="str">
        <f>'EE Measures'!$IF$6</f>
        <v>Baseline</v>
      </c>
      <c r="C851" s="1574">
        <v>653.09919543081423</v>
      </c>
      <c r="D851" s="1574">
        <v>679.64963069437954</v>
      </c>
      <c r="E851" s="1574">
        <v>680.89773751346058</v>
      </c>
      <c r="F851" s="1574">
        <v>683.41759069068166</v>
      </c>
      <c r="G851" s="1574">
        <v>685.99368042191122</v>
      </c>
      <c r="H851" s="1574">
        <v>686.27104032651994</v>
      </c>
      <c r="I851" s="1574">
        <v>686.18881406090043</v>
      </c>
      <c r="J851" s="1574">
        <v>670.39615973311163</v>
      </c>
      <c r="K851" s="1574">
        <v>667.85243983264911</v>
      </c>
      <c r="L851" s="1574">
        <v>665.1683508208273</v>
      </c>
      <c r="M851" s="1574">
        <v>662.70773263943715</v>
      </c>
      <c r="N851" s="1574">
        <v>660.29948918643674</v>
      </c>
      <c r="O851" s="1574">
        <v>657.9477421581264</v>
      </c>
      <c r="P851" s="1574">
        <v>655.34233709484681</v>
      </c>
      <c r="Q851" s="1574">
        <v>651.92538219160826</v>
      </c>
    </row>
    <row r="852" spans="2:17" x14ac:dyDescent="0.3">
      <c r="B852" s="628" t="str">
        <f>'EE Measures'!$IG$6</f>
        <v>EEO</v>
      </c>
      <c r="C852" s="1574">
        <v>653.09919543081423</v>
      </c>
      <c r="D852" s="1574">
        <v>679.64963069437954</v>
      </c>
      <c r="E852" s="1574">
        <v>680.89773751346058</v>
      </c>
      <c r="F852" s="1574">
        <v>684.07092402401497</v>
      </c>
      <c r="G852" s="1574">
        <v>713.99278049329473</v>
      </c>
      <c r="H852" s="1574">
        <v>709.38919099706004</v>
      </c>
      <c r="I852" s="1574">
        <v>706.69905145907626</v>
      </c>
      <c r="J852" s="1574">
        <v>690.63177622686317</v>
      </c>
      <c r="K852" s="1574">
        <v>688.31914487840982</v>
      </c>
      <c r="L852" s="1574">
        <v>685.70801939113881</v>
      </c>
      <c r="M852" s="1574">
        <v>684.7117058586183</v>
      </c>
      <c r="N852" s="1574">
        <v>682.73820525980193</v>
      </c>
      <c r="O852" s="1574">
        <v>680.82989648919227</v>
      </c>
      <c r="P852" s="1574">
        <v>678.67679892166871</v>
      </c>
      <c r="Q852" s="1574">
        <v>675.72119803529984</v>
      </c>
    </row>
    <row r="853" spans="2:17" x14ac:dyDescent="0.3">
      <c r="B853" s="628" t="s">
        <v>36</v>
      </c>
      <c r="C853" s="1574">
        <v>653.09919543081423</v>
      </c>
      <c r="D853" s="1574">
        <v>679.64963069437954</v>
      </c>
      <c r="E853" s="1574">
        <v>680.89773751346058</v>
      </c>
      <c r="F853" s="1574">
        <v>684.07092402401497</v>
      </c>
      <c r="G853" s="1574">
        <v>713.00905900441387</v>
      </c>
      <c r="H853" s="1574">
        <v>708.59059629159594</v>
      </c>
      <c r="I853" s="1574">
        <v>706.00008440258694</v>
      </c>
      <c r="J853" s="1574">
        <v>690.06774930906374</v>
      </c>
      <c r="K853" s="1574">
        <v>687.92687331933939</v>
      </c>
      <c r="L853" s="1574">
        <v>685.43845206756464</v>
      </c>
      <c r="M853" s="1574">
        <v>684.43387416082658</v>
      </c>
      <c r="N853" s="1574">
        <v>682.45208238633973</v>
      </c>
      <c r="O853" s="1574">
        <v>680.53523298567654</v>
      </c>
      <c r="P853" s="1574">
        <v>678.37333782177166</v>
      </c>
      <c r="Q853" s="1574">
        <v>675.40880455811362</v>
      </c>
    </row>
    <row r="854" spans="2:17" x14ac:dyDescent="0.3">
      <c r="B854" s="628" t="str">
        <f>'EE Measures'!$II$6</f>
        <v>Renowave</v>
      </c>
      <c r="C854" s="1574">
        <v>653.09919543081423</v>
      </c>
      <c r="D854" s="1574">
        <v>679.64963069437954</v>
      </c>
      <c r="E854" s="1574">
        <v>680.89773751346058</v>
      </c>
      <c r="F854" s="1574">
        <v>683.74425735734837</v>
      </c>
      <c r="G854" s="1574">
        <v>733.02395150589996</v>
      </c>
      <c r="H854" s="1574">
        <v>728.98920472093175</v>
      </c>
      <c r="I854" s="1574">
        <v>726.74409065394912</v>
      </c>
      <c r="J854" s="1574">
        <v>711.08013420559223</v>
      </c>
      <c r="K854" s="1574">
        <v>709.17888738894715</v>
      </c>
      <c r="L854" s="1574">
        <v>706.9873731090903</v>
      </c>
      <c r="M854" s="1574">
        <v>706.41881211886073</v>
      </c>
      <c r="N854" s="1574">
        <v>704.88187191658778</v>
      </c>
      <c r="O854" s="1574">
        <v>703.41885420401957</v>
      </c>
      <c r="P854" s="1574">
        <v>701.71995304279687</v>
      </c>
      <c r="Q854" s="1574">
        <v>699.22763211965639</v>
      </c>
    </row>
    <row r="855" spans="2:17" x14ac:dyDescent="0.3">
      <c r="B855" s="628" t="str">
        <f>'EE Measures'!$IJ$6</f>
        <v>EET</v>
      </c>
      <c r="C855" s="1574">
        <v>653.09919543081423</v>
      </c>
      <c r="D855" s="1574">
        <v>679.64963069437954</v>
      </c>
      <c r="E855" s="1574">
        <v>680.89773751346058</v>
      </c>
      <c r="F855" s="1574">
        <v>683.74425735734837</v>
      </c>
      <c r="G855" s="1574">
        <v>740.70373106257057</v>
      </c>
      <c r="H855" s="1574">
        <v>719.37294728953361</v>
      </c>
      <c r="I855" s="1574">
        <v>704.85184976772837</v>
      </c>
      <c r="J855" s="1574">
        <v>687.78940325068606</v>
      </c>
      <c r="K855" s="1574">
        <v>685.22717495417703</v>
      </c>
      <c r="L855" s="1574">
        <v>682.11601436456579</v>
      </c>
      <c r="M855" s="1574">
        <v>682.16314510522125</v>
      </c>
      <c r="N855" s="1574">
        <v>680.1388002020667</v>
      </c>
      <c r="O855" s="1574">
        <v>678.17862969459918</v>
      </c>
      <c r="P855" s="1574">
        <v>675.97263268257927</v>
      </c>
      <c r="Q855" s="1574">
        <v>672.96307399162549</v>
      </c>
    </row>
    <row r="856" spans="2:17" x14ac:dyDescent="0.3">
      <c r="B856" s="628" t="str">
        <f>'EE Measures'!$IK$6</f>
        <v>CEER1</v>
      </c>
      <c r="C856" s="1574">
        <v>653.09919543081423</v>
      </c>
      <c r="D856" s="1574">
        <v>679.64963069437954</v>
      </c>
      <c r="E856" s="1574">
        <v>680.89773751346058</v>
      </c>
      <c r="F856" s="1574">
        <v>683.74425735734837</v>
      </c>
      <c r="G856" s="1574">
        <v>727.14406948733108</v>
      </c>
      <c r="H856" s="1574">
        <v>715.2755167500485</v>
      </c>
      <c r="I856" s="1574">
        <v>708.38511392763314</v>
      </c>
      <c r="J856" s="1574">
        <v>691.43149722616886</v>
      </c>
      <c r="K856" s="1574">
        <v>689.00434351820968</v>
      </c>
      <c r="L856" s="1574">
        <v>685.99729234533459</v>
      </c>
      <c r="M856" s="1574">
        <v>686.59254896762604</v>
      </c>
      <c r="N856" s="1574">
        <v>684.65473389215663</v>
      </c>
      <c r="O856" s="1574">
        <v>682.78276841930358</v>
      </c>
      <c r="P856" s="1574">
        <v>680.66668342204014</v>
      </c>
      <c r="Q856" s="1574">
        <v>677.7488626809502</v>
      </c>
    </row>
    <row r="857" spans="2:17" x14ac:dyDescent="0.3">
      <c r="B857" s="628" t="str">
        <f>'EE Measures'!$IL$6</f>
        <v>CEER2</v>
      </c>
      <c r="C857" s="1574">
        <v>653.09919543081423</v>
      </c>
      <c r="D857" s="1574">
        <v>679.64963069437954</v>
      </c>
      <c r="E857" s="1574">
        <v>680.89773751346058</v>
      </c>
      <c r="F857" s="1574">
        <v>683.74425735734837</v>
      </c>
      <c r="G857" s="1574">
        <v>737.06279561388396</v>
      </c>
      <c r="H857" s="1574">
        <v>725.41488441104764</v>
      </c>
      <c r="I857" s="1574">
        <v>718.77543861522781</v>
      </c>
      <c r="J857" s="1574">
        <v>702.13819871199121</v>
      </c>
      <c r="K857" s="1574">
        <v>700.04379820655424</v>
      </c>
      <c r="L857" s="1574">
        <v>697.35733674845949</v>
      </c>
      <c r="M857" s="1574">
        <v>697.70448879810954</v>
      </c>
      <c r="N857" s="1574">
        <v>695.98605131275417</v>
      </c>
      <c r="O857" s="1574">
        <v>694.33782328700511</v>
      </c>
      <c r="P857" s="1574">
        <v>692.44992192551263</v>
      </c>
      <c r="Q857" s="1574">
        <v>689.76486234031529</v>
      </c>
    </row>
    <row r="860" spans="2:17" x14ac:dyDescent="0.3">
      <c r="B860" s="2038" t="s">
        <v>348</v>
      </c>
    </row>
    <row r="880" spans="2:21" ht="18.75" thickBot="1" x14ac:dyDescent="0.4">
      <c r="B880" s="1987" t="s">
        <v>349</v>
      </c>
      <c r="C880" s="2"/>
      <c r="D880" s="2"/>
      <c r="E880" s="2"/>
      <c r="F880" s="2"/>
      <c r="G880" s="2"/>
      <c r="H880" s="2"/>
      <c r="I880" s="2"/>
      <c r="J880" s="2"/>
      <c r="K880" s="2"/>
      <c r="L880" s="2"/>
      <c r="M880" s="2"/>
      <c r="N880" s="2"/>
      <c r="O880" s="2"/>
      <c r="P880" s="2"/>
      <c r="Q880" s="2"/>
      <c r="R880" s="2"/>
      <c r="S880" s="2"/>
      <c r="T880" s="2"/>
      <c r="U880" s="2"/>
    </row>
    <row r="881" spans="2:21" ht="15" thickTop="1" thickBot="1" x14ac:dyDescent="0.35">
      <c r="B881" s="2038" t="s">
        <v>350</v>
      </c>
    </row>
    <row r="882" spans="2:21" ht="15.75" thickBot="1" x14ac:dyDescent="0.35">
      <c r="B882" s="2026"/>
      <c r="C882" s="959" t="s">
        <v>13</v>
      </c>
      <c r="D882" s="959" t="s">
        <v>35</v>
      </c>
      <c r="E882" s="959" t="s">
        <v>36</v>
      </c>
      <c r="F882" s="959" t="s">
        <v>62</v>
      </c>
      <c r="G882" s="959" t="s">
        <v>38</v>
      </c>
      <c r="H882" s="1576" t="s">
        <v>39</v>
      </c>
      <c r="I882" s="1576" t="s">
        <v>40</v>
      </c>
    </row>
    <row r="883" spans="2:21" ht="27.75" thickBot="1" x14ac:dyDescent="0.35">
      <c r="B883" s="2027" t="s">
        <v>203</v>
      </c>
      <c r="C883" s="2031" cm="1">
        <f t="array" ref="C883:I883">TRANSPOSE('Pathway Analysis'!$V$865:$V$871)</f>
        <v>63357.564450178317</v>
      </c>
      <c r="D883" s="2031">
        <v>63801.006030663957</v>
      </c>
      <c r="E883" s="2031">
        <v>63911.793137348257</v>
      </c>
      <c r="F883" s="2031">
        <v>64122.063369505842</v>
      </c>
      <c r="G883" s="2031">
        <v>64084.757785881768</v>
      </c>
      <c r="H883" s="2031">
        <v>64064.727490398684</v>
      </c>
      <c r="I883" s="2032">
        <v>64407.155675534719</v>
      </c>
    </row>
    <row r="891" spans="2:21" ht="18.75" thickBot="1" x14ac:dyDescent="0.4">
      <c r="B891" s="1987" t="s">
        <v>351</v>
      </c>
      <c r="C891" s="2"/>
      <c r="D891" s="2"/>
      <c r="E891" s="2"/>
      <c r="F891" s="2"/>
      <c r="G891" s="2"/>
      <c r="H891" s="2"/>
      <c r="I891" s="2"/>
      <c r="J891" s="2"/>
      <c r="K891" s="2"/>
      <c r="L891" s="2"/>
      <c r="M891" s="2"/>
      <c r="N891" s="2"/>
      <c r="O891" s="2"/>
      <c r="P891" s="2"/>
      <c r="Q891" s="2"/>
      <c r="R891" s="2"/>
      <c r="S891" s="2"/>
      <c r="T891" s="2"/>
      <c r="U891" s="2"/>
    </row>
    <row r="892" spans="2:21" ht="15" thickTop="1" thickBot="1" x14ac:dyDescent="0.35">
      <c r="B892" s="2038" t="s">
        <v>352</v>
      </c>
    </row>
    <row r="893" spans="2:21" ht="15.75" thickBot="1" x14ac:dyDescent="0.35">
      <c r="B893" s="1575"/>
      <c r="C893" s="959" t="s">
        <v>13</v>
      </c>
      <c r="D893" s="959" t="s">
        <v>35</v>
      </c>
      <c r="E893" s="959" t="s">
        <v>36</v>
      </c>
      <c r="F893" s="959" t="s">
        <v>62</v>
      </c>
      <c r="G893" s="959" t="s">
        <v>38</v>
      </c>
      <c r="H893" s="1576" t="s">
        <v>39</v>
      </c>
      <c r="I893" s="1576" t="s">
        <v>40</v>
      </c>
    </row>
    <row r="894" spans="2:21" ht="27.75" thickBot="1" x14ac:dyDescent="0.35">
      <c r="B894" s="2028" t="s">
        <v>211</v>
      </c>
      <c r="C894" s="2029" cm="1">
        <f t="array" ref="C894:I894">INDEX('Pathway Analysis'!$V$768:$V$795,MATCH($C$893:$I$893,'Pathway Analysis'!$E$768:$E$795,0))</f>
        <v>1007.1939126635714</v>
      </c>
      <c r="D894" s="2029">
        <v>2877.4896650522137</v>
      </c>
      <c r="E894" s="2029">
        <v>2974.9461879842511</v>
      </c>
      <c r="F894" s="2029">
        <v>4879.2318671312414</v>
      </c>
      <c r="G894" s="2029">
        <v>2736.3963187861259</v>
      </c>
      <c r="H894" s="2029">
        <v>3267.6944313118802</v>
      </c>
      <c r="I894" s="2030">
        <v>4364.653270480605</v>
      </c>
    </row>
    <row r="895" spans="2:21" ht="27.75" thickBot="1" x14ac:dyDescent="0.35">
      <c r="B895" s="2027" t="s">
        <v>353</v>
      </c>
      <c r="C895" s="2031" cm="1">
        <f t="array" ref="C895:I895">INDEX('Pathway Analysis'!$V$768:$V$795,MATCH($C$893:$I$893,'Pathway Analysis'!$E$768:$E$795,0)+1)</f>
        <v>71.675555022210247</v>
      </c>
      <c r="D895" s="2031">
        <v>2019.5219229795732</v>
      </c>
      <c r="E895" s="2031">
        <v>1401.380388589846</v>
      </c>
      <c r="F895" s="2031">
        <v>3366.2659329677062</v>
      </c>
      <c r="G895" s="2031">
        <v>1576.8357192889391</v>
      </c>
      <c r="H895" s="2031">
        <v>1822.1107336271157</v>
      </c>
      <c r="I895" s="2032">
        <v>2204.4963487624368</v>
      </c>
    </row>
    <row r="896" spans="2:21" ht="27.75" thickBot="1" x14ac:dyDescent="0.35">
      <c r="B896" s="2027" t="s">
        <v>354</v>
      </c>
      <c r="C896" s="2031" cm="1">
        <f t="array" ref="C896:I896">INDEX('Pathway Analysis'!$V$768:$V$795,MATCH($C$893:$I$893,'Pathway Analysis'!$E$768:$E$795,0)+2)</f>
        <v>1020.1511362793361</v>
      </c>
      <c r="D896" s="2031">
        <v>1100.3371233615762</v>
      </c>
      <c r="E896" s="2031">
        <v>1813.0110071017361</v>
      </c>
      <c r="F896" s="2031">
        <v>1804.0110071017361</v>
      </c>
      <c r="G896" s="2031">
        <v>1612.5460393961362</v>
      </c>
      <c r="H896" s="2031">
        <v>1804.0110071017361</v>
      </c>
      <c r="I896" s="2032">
        <v>2605.870877924136</v>
      </c>
    </row>
    <row r="897" spans="2:21" ht="27.75" thickBot="1" x14ac:dyDescent="0.35">
      <c r="B897" s="2027" t="s">
        <v>212</v>
      </c>
      <c r="C897" s="2031" cm="1">
        <f t="array" ref="C897:I897">INDEX('Pathway Analysis'!$V$768:$V$795,MATCH($C$893:$I$893,'Pathway Analysis'!$E$768:$E$795,0)+3)</f>
        <v>-84.632778637974795</v>
      </c>
      <c r="D897" s="2031">
        <v>-242.36938128893593</v>
      </c>
      <c r="E897" s="2031">
        <v>-239.44520770733095</v>
      </c>
      <c r="F897" s="2031">
        <v>-291.04507293820143</v>
      </c>
      <c r="G897" s="2031">
        <v>-452.98543989894921</v>
      </c>
      <c r="H897" s="2031">
        <v>-358.427309416973</v>
      </c>
      <c r="I897" s="2032">
        <v>-445.71395620596655</v>
      </c>
    </row>
    <row r="902" spans="2:21" ht="18.75" thickBot="1" x14ac:dyDescent="0.4">
      <c r="B902" s="1987" t="s">
        <v>355</v>
      </c>
      <c r="C902" s="2"/>
      <c r="D902" s="2"/>
      <c r="E902" s="2"/>
      <c r="F902" s="2"/>
      <c r="G902" s="2"/>
      <c r="H902" s="2"/>
      <c r="I902" s="2"/>
      <c r="J902" s="2"/>
      <c r="K902" s="2"/>
      <c r="L902" s="2"/>
      <c r="M902" s="2"/>
      <c r="N902" s="2"/>
      <c r="O902" s="2"/>
      <c r="P902" s="2"/>
      <c r="Q902" s="2"/>
      <c r="R902" s="2"/>
      <c r="S902" s="2"/>
      <c r="T902" s="2"/>
      <c r="U902" s="2"/>
    </row>
    <row r="903" spans="2:21" ht="14.25" thickTop="1" x14ac:dyDescent="0.3">
      <c r="B903" s="2038" t="s">
        <v>356</v>
      </c>
    </row>
    <row r="904" spans="2:21" ht="15" x14ac:dyDescent="0.3">
      <c r="B904" s="878"/>
      <c r="C904" s="879" t="s">
        <v>34</v>
      </c>
      <c r="D904" s="879" t="s">
        <v>59</v>
      </c>
      <c r="E904" s="879" t="s">
        <v>60</v>
      </c>
      <c r="F904" s="879" t="s">
        <v>61</v>
      </c>
      <c r="G904" s="879" t="s">
        <v>13</v>
      </c>
      <c r="H904" s="879" t="s">
        <v>35</v>
      </c>
      <c r="I904" s="879" t="s">
        <v>36</v>
      </c>
      <c r="J904" s="879" t="s">
        <v>62</v>
      </c>
      <c r="K904" s="879" t="s">
        <v>38</v>
      </c>
      <c r="L904" s="879" t="s">
        <v>39</v>
      </c>
      <c r="M904" s="880" t="s">
        <v>40</v>
      </c>
    </row>
    <row r="905" spans="2:21" ht="15" x14ac:dyDescent="0.3">
      <c r="B905" s="1395" t="s">
        <v>63</v>
      </c>
      <c r="C905" s="1031">
        <v>2030</v>
      </c>
      <c r="D905" s="1328" t="s">
        <v>64</v>
      </c>
      <c r="E905" s="1570">
        <v>30</v>
      </c>
      <c r="F905" s="1438">
        <f>(120*Admin!V10)/1000000</f>
        <v>33.333333333333336</v>
      </c>
      <c r="G905" s="1324">
        <f t="shared" ref="G905:M905" si="62">D312</f>
        <v>32.800636129512888</v>
      </c>
      <c r="H905" s="1030">
        <f t="shared" si="62"/>
        <v>30.380158035912608</v>
      </c>
      <c r="I905" s="1030">
        <f t="shared" si="62"/>
        <v>30.505241511688403</v>
      </c>
      <c r="J905" s="1030">
        <f t="shared" si="62"/>
        <v>29.550812071545629</v>
      </c>
      <c r="K905" s="1030">
        <f t="shared" si="62"/>
        <v>29.749509864005553</v>
      </c>
      <c r="L905" s="1030">
        <f t="shared" si="62"/>
        <v>29.898501679655404</v>
      </c>
      <c r="M905" s="1322">
        <f t="shared" si="62"/>
        <v>28.657361055021678</v>
      </c>
      <c r="P905" s="56">
        <v>30</v>
      </c>
      <c r="Q905" s="56"/>
    </row>
    <row r="906" spans="2:21" ht="15" x14ac:dyDescent="0.3">
      <c r="B906" s="1395" t="s">
        <v>65</v>
      </c>
      <c r="C906" s="1031" t="s">
        <v>66</v>
      </c>
      <c r="D906" s="1032" t="s">
        <v>64</v>
      </c>
      <c r="E906" s="1572">
        <v>21.279</v>
      </c>
      <c r="F906" s="1438" t="s">
        <v>357</v>
      </c>
      <c r="G906" s="1324" cm="1">
        <f t="array" ref="G906:M906">-_xlfn.XLOOKUP(G904:M904,'Pathway Analysis'!Y15:Y56,'Pathway Analysis'!Z15:Z56)/1000</f>
        <v>5.4616173611366756</v>
      </c>
      <c r="H906" s="1030">
        <v>14.527378974475566</v>
      </c>
      <c r="I906" s="1030">
        <v>13.687783241666946</v>
      </c>
      <c r="J906" s="1030">
        <v>17.37128871838868</v>
      </c>
      <c r="K906" s="1030">
        <v>17.402733830709998</v>
      </c>
      <c r="L906" s="1030">
        <v>16.381110880025773</v>
      </c>
      <c r="M906" s="1322">
        <v>20.730439979513001</v>
      </c>
      <c r="P906" s="56" t="str">
        <f>F906</f>
        <v>/</v>
      </c>
      <c r="Q906" s="56"/>
    </row>
    <row r="907" spans="2:21" ht="15" x14ac:dyDescent="0.3">
      <c r="B907" s="1395" t="s">
        <v>67</v>
      </c>
      <c r="C907" s="1031">
        <v>2030</v>
      </c>
      <c r="D907" s="1328" t="s">
        <v>68</v>
      </c>
      <c r="E907" s="1571">
        <f>F100</f>
        <v>1.9E-2</v>
      </c>
      <c r="F907" s="1331">
        <f>E907</f>
        <v>1.9E-2</v>
      </c>
      <c r="G907" s="1325">
        <f t="shared" ref="G907:M908" si="63">C378</f>
        <v>5.7239419582160627E-4</v>
      </c>
      <c r="H907" s="1567">
        <f t="shared" si="63"/>
        <v>1.1070831875549018E-2</v>
      </c>
      <c r="I907" s="1567">
        <f t="shared" si="63"/>
        <v>1.22603910046093E-2</v>
      </c>
      <c r="J907" s="1567">
        <f t="shared" si="63"/>
        <v>1.5141178089776513E-2</v>
      </c>
      <c r="K907" s="1567">
        <f t="shared" si="63"/>
        <v>1.0916867432062839E-2</v>
      </c>
      <c r="L907" s="1567">
        <f t="shared" si="63"/>
        <v>1.3215109740493398E-2</v>
      </c>
      <c r="M907" s="1424">
        <f t="shared" si="63"/>
        <v>1.9632542681103211E-2</v>
      </c>
      <c r="P907" s="1425">
        <v>1.9E-2</v>
      </c>
      <c r="Q907" s="56"/>
    </row>
    <row r="908" spans="2:21" ht="30" x14ac:dyDescent="0.3">
      <c r="B908" s="1395" t="s">
        <v>69</v>
      </c>
      <c r="C908" s="1031" t="s">
        <v>70</v>
      </c>
      <c r="D908" s="1328" t="s">
        <v>68</v>
      </c>
      <c r="E908" s="1331">
        <v>1.4999999999999999E-2</v>
      </c>
      <c r="F908" s="1331">
        <f>E908</f>
        <v>1.4999999999999999E-2</v>
      </c>
      <c r="G908" s="1325">
        <f t="shared" si="63"/>
        <v>1.4396817674703426E-3</v>
      </c>
      <c r="H908" s="1567">
        <f t="shared" si="63"/>
        <v>1.1441664692584083E-2</v>
      </c>
      <c r="I908" s="1567">
        <f t="shared" si="63"/>
        <v>1.0909683420612923E-2</v>
      </c>
      <c r="J908" s="1567">
        <f t="shared" si="63"/>
        <v>1.5042082465692611E-2</v>
      </c>
      <c r="K908" s="1567">
        <f t="shared" si="63"/>
        <v>1.3978120196927374E-2</v>
      </c>
      <c r="L908" s="1567">
        <f t="shared" si="63"/>
        <v>1.334445651664423E-2</v>
      </c>
      <c r="M908" s="1424">
        <f t="shared" si="63"/>
        <v>1.8623039991340743E-2</v>
      </c>
      <c r="P908" s="1321">
        <f>E908</f>
        <v>1.4999999999999999E-2</v>
      </c>
      <c r="Q908" s="56"/>
    </row>
    <row r="909" spans="2:21" ht="30" x14ac:dyDescent="0.3">
      <c r="B909" s="1395" t="s">
        <v>71</v>
      </c>
      <c r="C909" s="1031">
        <v>2030</v>
      </c>
      <c r="D909" s="1328" t="s">
        <v>64</v>
      </c>
      <c r="E909" s="1330">
        <v>45.7</v>
      </c>
      <c r="F909" s="1438">
        <f>230*Admin!V10/1000000</f>
        <v>63.888888888888893</v>
      </c>
      <c r="G909" s="1324">
        <f>((_xlfn.XLOOKUP(G904,'Pathway Analysis'!$E$120:$E$167,'Pathway Analysis'!$P$120:$P$167)))/1000</f>
        <v>51.486996461648047</v>
      </c>
      <c r="H909" s="1030">
        <f>((_xlfn.XLOOKUP(H904,'Pathway Analysis'!$E$120:$E$167,'Pathway Analysis'!$P$120:$P$167)))/1000</f>
        <v>47.488591810276674</v>
      </c>
      <c r="I909" s="1030">
        <f>((_xlfn.XLOOKUP(I904,'Pathway Analysis'!$E$120:$E$167,'Pathway Analysis'!$P$120:$P$167)))/1000</f>
        <v>47.705242914700747</v>
      </c>
      <c r="J909" s="1030">
        <f>((_xlfn.XLOOKUP(J904,'Pathway Analysis'!$E$120:$E$167,'Pathway Analysis'!$P$120:$P$167)))/1000</f>
        <v>46.306453260598076</v>
      </c>
      <c r="K909" s="1030">
        <f>((_xlfn.XLOOKUP(K904,'Pathway Analysis'!$E$120:$E$167,'Pathway Analysis'!$P$120:$P$167)))/1000</f>
        <v>47.270345703817043</v>
      </c>
      <c r="L909" s="1030">
        <f>((_xlfn.XLOOKUP(L904,'Pathway Analysis'!$E$120:$E$167,'Pathway Analysis'!$P$120:$P$167)))/1000</f>
        <v>47.092397632414226</v>
      </c>
      <c r="M909" s="1322">
        <f>((_xlfn.XLOOKUP(M904,'Pathway Analysis'!$E$120:$E$167,'Pathway Analysis'!$P$120:$P$167)))/1000</f>
        <v>45.105556691626482</v>
      </c>
      <c r="P909" s="56">
        <f>E909</f>
        <v>45.7</v>
      </c>
      <c r="Q909" s="56"/>
    </row>
    <row r="910" spans="2:21" ht="30" x14ac:dyDescent="0.3">
      <c r="B910" s="1395" t="s">
        <v>72</v>
      </c>
      <c r="C910" s="1031" t="s">
        <v>66</v>
      </c>
      <c r="D910" s="1328" t="s">
        <v>68</v>
      </c>
      <c r="E910" s="1332">
        <v>1.9E-2</v>
      </c>
      <c r="F910" s="1439"/>
      <c r="G910" s="1325" cm="1">
        <f t="array" ref="G910:M910">_xlfn.XLOOKUP(G904:M904,'Pathway Analysis'!$E$94:$E$100,'Pathway Analysis'!$F$94:$F$100)</f>
        <v>1.009935746581334E-4</v>
      </c>
      <c r="H910" s="881">
        <v>1.6101978416147536E-2</v>
      </c>
      <c r="I910" s="881">
        <v>9.1704358749986076E-3</v>
      </c>
      <c r="J910" s="881">
        <v>1.1850386847023515E-2</v>
      </c>
      <c r="K910" s="881">
        <v>9.1704358749986076E-3</v>
      </c>
      <c r="L910" s="881">
        <v>1.1124905756411667E-2</v>
      </c>
      <c r="M910" s="1323">
        <v>1.623956302475188E-2</v>
      </c>
      <c r="P910" s="1321">
        <f>E910</f>
        <v>1.9E-2</v>
      </c>
      <c r="Q910" s="56"/>
    </row>
    <row r="911" spans="2:21" ht="30" x14ac:dyDescent="0.3">
      <c r="B911" s="1395" t="s">
        <v>73</v>
      </c>
      <c r="C911" s="1031" t="s">
        <v>66</v>
      </c>
      <c r="D911" s="1328" t="s">
        <v>68</v>
      </c>
      <c r="E911" s="1332">
        <v>0.03</v>
      </c>
      <c r="F911" s="1439"/>
      <c r="G911" s="1325" cm="1">
        <f t="array" ref="G911:M911">INDEX('Pathway Analysis'!$AM$241:$AM$296,MATCH(G904:M904,'Pathway Analysis'!$W$241:$W$296,0)+3)</f>
        <v>8.6854546222829461E-3</v>
      </c>
      <c r="H911" s="881">
        <v>6.4597047658599291E-2</v>
      </c>
      <c r="I911" s="881">
        <v>3.4869311979302285E-2</v>
      </c>
      <c r="J911" s="881">
        <v>4.3453138479220256E-2</v>
      </c>
      <c r="K911" s="881">
        <v>3.4869311979302285E-2</v>
      </c>
      <c r="L911" s="881">
        <v>4.1889615541430954E-2</v>
      </c>
      <c r="M911" s="1323">
        <v>6.3983789464313615E-2</v>
      </c>
      <c r="P911" s="1321">
        <f>E911</f>
        <v>0.03</v>
      </c>
      <c r="Q911" s="56"/>
    </row>
    <row r="912" spans="2:21" ht="45" x14ac:dyDescent="0.3">
      <c r="B912" s="1395" t="s">
        <v>358</v>
      </c>
      <c r="C912" s="1031" t="s">
        <v>66</v>
      </c>
      <c r="D912" s="1328" t="s">
        <v>75</v>
      </c>
      <c r="E912" s="1334"/>
      <c r="F912" s="1440">
        <f>296185/1000000</f>
        <v>0.29618499999999998</v>
      </c>
      <c r="G912" s="1326" cm="1">
        <f t="array" ref="G912:M912">INDEX('Pathway Analysis'!$F$234:$F$296,MATCH(G904:M904,'Pathway Analysis'!$E$234:$E$296,0)+4)</f>
        <v>0.11572443884643135</v>
      </c>
      <c r="H912" s="1568">
        <v>0.86683063864333521</v>
      </c>
      <c r="I912" s="1568">
        <v>0.48251395468883423</v>
      </c>
      <c r="J912" s="1568">
        <v>0.5869906349824735</v>
      </c>
      <c r="K912" s="1568">
        <v>0.48251395468883423</v>
      </c>
      <c r="L912" s="1568">
        <v>0.5869906349824735</v>
      </c>
      <c r="M912" s="1569">
        <v>0.91570093855180934</v>
      </c>
      <c r="P912" s="56">
        <f>F912</f>
        <v>0.29618499999999998</v>
      </c>
      <c r="Q912" s="56"/>
    </row>
    <row r="913" spans="2:21" ht="15" x14ac:dyDescent="0.35">
      <c r="B913" s="1396" t="s">
        <v>76</v>
      </c>
      <c r="C913" s="1033">
        <v>2030</v>
      </c>
      <c r="D913" s="1329" t="s">
        <v>77</v>
      </c>
      <c r="E913" s="1335"/>
      <c r="F913" s="1441">
        <v>232</v>
      </c>
      <c r="G913" s="1327">
        <f t="shared" ref="G913:M913" si="64">C439</f>
        <v>313.43335631074785</v>
      </c>
      <c r="H913" s="1034">
        <f t="shared" si="64"/>
        <v>564.02174916819285</v>
      </c>
      <c r="I913" s="1034">
        <f t="shared" si="64"/>
        <v>865.12609753782806</v>
      </c>
      <c r="J913" s="1034">
        <f t="shared" si="64"/>
        <v>417.52040409065864</v>
      </c>
      <c r="K913" s="1034">
        <f t="shared" si="64"/>
        <v>417.52040409065864</v>
      </c>
      <c r="L913" s="1034">
        <f t="shared" si="64"/>
        <v>646.53283453549773</v>
      </c>
      <c r="M913" s="1034">
        <f t="shared" si="64"/>
        <v>835.61925273444467</v>
      </c>
      <c r="P913" s="56">
        <f>F913</f>
        <v>232</v>
      </c>
      <c r="Q913" s="56" t="s">
        <v>359</v>
      </c>
    </row>
    <row r="914" spans="2:21" ht="15" x14ac:dyDescent="0.35">
      <c r="B914" s="1396" t="s">
        <v>78</v>
      </c>
      <c r="C914" s="1033">
        <v>2030</v>
      </c>
      <c r="D914" s="1329" t="s">
        <v>64</v>
      </c>
      <c r="E914" s="1333"/>
      <c r="F914" s="1441">
        <v>8.3000000000000007</v>
      </c>
      <c r="G914" s="1324" cm="1">
        <f t="array" ref="G914:M914">_xlfn.XLOOKUP(G904:M904,'Pathway Analysis'!$E$109:$E$115,'Pathway Analysis'!$P$109:$P$115)/1000</f>
        <v>10.069707948393493</v>
      </c>
      <c r="H914" s="1030">
        <v>9.6153737941791189</v>
      </c>
      <c r="I914" s="1030">
        <v>9.6153737941791189</v>
      </c>
      <c r="J914" s="1030">
        <v>9.6153737941791189</v>
      </c>
      <c r="K914" s="1030">
        <v>8.2977672628790184</v>
      </c>
      <c r="L914" s="1030">
        <v>8.9837115086772066</v>
      </c>
      <c r="M914" s="1322">
        <v>8.6372117073234627</v>
      </c>
      <c r="P914" s="56">
        <v>8.3000000000000007</v>
      </c>
      <c r="Q914" s="56" t="s">
        <v>360</v>
      </c>
    </row>
    <row r="918" spans="2:21" ht="18.75" thickBot="1" x14ac:dyDescent="0.4">
      <c r="B918" s="1987" t="s">
        <v>361</v>
      </c>
      <c r="C918" s="2"/>
      <c r="D918" s="2"/>
      <c r="E918" s="2"/>
      <c r="F918" s="2"/>
      <c r="G918" s="2"/>
      <c r="H918" s="2"/>
      <c r="I918" s="2"/>
      <c r="J918" s="2"/>
      <c r="K918" s="2"/>
      <c r="L918" s="2"/>
      <c r="M918" s="2"/>
      <c r="N918" s="2"/>
      <c r="O918" s="2"/>
      <c r="P918" s="2"/>
      <c r="Q918" s="2"/>
      <c r="R918" s="2"/>
      <c r="S918" s="2"/>
      <c r="T918" s="2"/>
      <c r="U918" s="2"/>
    </row>
    <row r="919" spans="2:21" ht="14.25" thickTop="1" x14ac:dyDescent="0.3"/>
    <row r="920" spans="2:21" x14ac:dyDescent="0.3">
      <c r="B920" s="2038" t="s">
        <v>362</v>
      </c>
    </row>
    <row r="921" spans="2:21" ht="15" x14ac:dyDescent="0.3">
      <c r="B921" s="878"/>
      <c r="C921" s="879" t="s">
        <v>34</v>
      </c>
      <c r="D921" s="879" t="s">
        <v>59</v>
      </c>
      <c r="E921" s="879" t="s">
        <v>60</v>
      </c>
      <c r="F921" s="879" t="s">
        <v>61</v>
      </c>
      <c r="G921" s="879" t="s">
        <v>13</v>
      </c>
      <c r="H921" s="879" t="s">
        <v>35</v>
      </c>
      <c r="I921" s="879" t="s">
        <v>36</v>
      </c>
      <c r="J921" s="879" t="s">
        <v>62</v>
      </c>
      <c r="K921" s="879" t="s">
        <v>38</v>
      </c>
      <c r="L921" s="879" t="s">
        <v>39</v>
      </c>
      <c r="M921" s="880" t="s">
        <v>40</v>
      </c>
    </row>
    <row r="922" spans="2:21" ht="45" x14ac:dyDescent="0.3">
      <c r="B922" s="1395" t="s">
        <v>358</v>
      </c>
      <c r="C922" s="1031" t="s">
        <v>66</v>
      </c>
      <c r="D922" s="1328" t="s">
        <v>75</v>
      </c>
      <c r="E922" s="1334"/>
      <c r="F922" s="1440">
        <f>296185/1000000</f>
        <v>0.29618499999999998</v>
      </c>
      <c r="G922" s="1326" cm="1">
        <f t="array" ref="G922:M922">INDEX('Pathway Analysis'!$F$234:$F$296,MATCH(G921:M921,'Pathway Analysis'!$E$234:$E$296,0)+4)</f>
        <v>0.11572443884643135</v>
      </c>
      <c r="H922" s="1568">
        <v>0.86683063864333521</v>
      </c>
      <c r="I922" s="1568">
        <v>0.48251395468883423</v>
      </c>
      <c r="J922" s="1568">
        <v>0.5869906349824735</v>
      </c>
      <c r="K922" s="1568">
        <v>0.48251395468883423</v>
      </c>
      <c r="L922" s="1568">
        <v>0.5869906349824735</v>
      </c>
      <c r="M922" s="1569">
        <v>0.91570093855180934</v>
      </c>
    </row>
    <row r="923" spans="2:21" ht="15" x14ac:dyDescent="0.35">
      <c r="B923" s="1396" t="s">
        <v>76</v>
      </c>
      <c r="C923" s="1033">
        <v>2030</v>
      </c>
      <c r="D923" s="1329" t="s">
        <v>77</v>
      </c>
      <c r="E923" s="1335"/>
      <c r="F923" s="1441">
        <v>232</v>
      </c>
      <c r="G923" s="1326">
        <f>D423</f>
        <v>313.43335631074785</v>
      </c>
      <c r="H923" s="2036">
        <f t="shared" ref="H923:M923" si="65">E423</f>
        <v>564.02174916819285</v>
      </c>
      <c r="I923" s="2036">
        <f t="shared" si="65"/>
        <v>865.12609753782806</v>
      </c>
      <c r="J923" s="2036">
        <f t="shared" si="65"/>
        <v>417.52040409065864</v>
      </c>
      <c r="K923" s="2036">
        <f t="shared" si="65"/>
        <v>417.52040409065864</v>
      </c>
      <c r="L923" s="2036">
        <f t="shared" si="65"/>
        <v>646.53283453549773</v>
      </c>
      <c r="M923" s="2037">
        <f t="shared" si="65"/>
        <v>835.61925273444467</v>
      </c>
    </row>
    <row r="924" spans="2:21" ht="15" x14ac:dyDescent="0.35">
      <c r="B924" s="1396" t="s">
        <v>78</v>
      </c>
      <c r="C924" s="1033">
        <v>2030</v>
      </c>
      <c r="D924" s="1329" t="s">
        <v>64</v>
      </c>
      <c r="E924" s="1333"/>
      <c r="F924" s="1441">
        <v>8.3000000000000007</v>
      </c>
      <c r="G924" s="1324" cm="1">
        <f t="array" ref="G924:M924">_xlfn.XLOOKUP(G921:M921,'Pathway Analysis'!$E$109:$E$115,'Pathway Analysis'!$P$109:$P$115)/1000</f>
        <v>10.069707948393493</v>
      </c>
      <c r="H924" s="1030">
        <v>9.6153737941791189</v>
      </c>
      <c r="I924" s="1030">
        <v>9.6153737941791189</v>
      </c>
      <c r="J924" s="1030">
        <v>9.6153737941791189</v>
      </c>
      <c r="K924" s="1030">
        <v>8.2977672628790184</v>
      </c>
      <c r="L924" s="1030">
        <v>8.9837115086772066</v>
      </c>
      <c r="M924" s="1322">
        <v>8.6372117073234627</v>
      </c>
    </row>
    <row r="927" spans="2:21" ht="18.75" thickBot="1" x14ac:dyDescent="0.4">
      <c r="B927" s="1987" t="s">
        <v>363</v>
      </c>
      <c r="C927" s="2"/>
      <c r="D927" s="2"/>
      <c r="E927" s="2"/>
      <c r="F927" s="2"/>
      <c r="G927" s="2"/>
      <c r="H927" s="2"/>
      <c r="I927" s="2"/>
      <c r="J927" s="2"/>
      <c r="K927" s="2"/>
      <c r="L927" s="2"/>
      <c r="M927" s="2"/>
      <c r="N927" s="2"/>
      <c r="O927" s="2"/>
      <c r="P927" s="2"/>
      <c r="Q927" s="2"/>
      <c r="R927" s="2"/>
      <c r="S927" s="2"/>
      <c r="T927" s="2"/>
      <c r="U927" s="2"/>
    </row>
    <row r="928" spans="2:21" ht="14.25" thickTop="1" x14ac:dyDescent="0.3"/>
    <row r="929" spans="2:11" x14ac:dyDescent="0.3">
      <c r="B929" s="2038" t="s">
        <v>364</v>
      </c>
    </row>
    <row r="930" spans="2:11" ht="15" x14ac:dyDescent="0.3">
      <c r="E930" s="1998" t="s">
        <v>13</v>
      </c>
      <c r="F930" s="1998" t="s">
        <v>35</v>
      </c>
      <c r="G930" s="1998" t="s">
        <v>36</v>
      </c>
      <c r="H930" s="1998" t="s">
        <v>62</v>
      </c>
      <c r="I930" s="1998" t="s">
        <v>38</v>
      </c>
      <c r="J930" s="1999" t="s">
        <v>39</v>
      </c>
      <c r="K930" s="1999" t="s">
        <v>40</v>
      </c>
    </row>
    <row r="931" spans="2:11" ht="15" x14ac:dyDescent="0.3">
      <c r="B931" s="2000" t="s">
        <v>95</v>
      </c>
      <c r="C931" s="2001" t="s">
        <v>66</v>
      </c>
      <c r="D931" s="2002" t="s">
        <v>96</v>
      </c>
      <c r="E931" s="2003" cm="1">
        <f t="array" ref="E931:K931">_xlfn.XLOOKUP(G904:M904,'Pathway Analysis'!$E$182:$E$223,'Pathway Analysis'!$F$182:$F$223)/1000</f>
        <v>1.2591580423140167</v>
      </c>
      <c r="F931" s="2004">
        <v>3.9058076445539665</v>
      </c>
      <c r="G931" s="2004">
        <v>3.6268950259948149</v>
      </c>
      <c r="H931" s="2004">
        <v>4.1702965605948714</v>
      </c>
      <c r="I931" s="2004">
        <v>4.4994525382594617</v>
      </c>
      <c r="J931" s="2004">
        <v>4.171217588617818</v>
      </c>
      <c r="K931" s="2004">
        <v>5.4171814186660612</v>
      </c>
    </row>
    <row r="932" spans="2:11" ht="15" x14ac:dyDescent="0.3">
      <c r="B932" s="2000" t="s">
        <v>97</v>
      </c>
      <c r="C932" s="2001" t="s">
        <v>66</v>
      </c>
      <c r="D932" s="2002" t="s">
        <v>98</v>
      </c>
      <c r="E932" s="2005">
        <f t="shared" ref="E932:K932" si="66">SUM(_xlfn.ANCHORARRAY(C528))</f>
        <v>1587.9187432474118</v>
      </c>
      <c r="F932" s="2006">
        <f t="shared" si="66"/>
        <v>10041.937573894313</v>
      </c>
      <c r="G932" s="2006">
        <f t="shared" si="66"/>
        <v>10564.909274288977</v>
      </c>
      <c r="H932" s="2006">
        <f t="shared" si="66"/>
        <v>17851.017176892856</v>
      </c>
      <c r="I932" s="2006">
        <f t="shared" si="66"/>
        <v>12593.644178294981</v>
      </c>
      <c r="J932" s="2006">
        <f t="shared" si="66"/>
        <v>12458.071163439272</v>
      </c>
      <c r="K932" s="2006">
        <f t="shared" si="66"/>
        <v>17281.089033042328</v>
      </c>
    </row>
    <row r="933" spans="2:11" x14ac:dyDescent="0.3">
      <c r="B933" s="2007" t="s">
        <v>99</v>
      </c>
      <c r="C933" s="2008" t="s">
        <v>66</v>
      </c>
      <c r="D933" s="2009" t="s">
        <v>98</v>
      </c>
      <c r="E933" s="2010">
        <f t="shared" ref="E933:K933" si="67">C27</f>
        <v>330.79024391786061</v>
      </c>
      <c r="F933" s="2011">
        <f t="shared" si="67"/>
        <v>2887.7470318077631</v>
      </c>
      <c r="G933" s="2011">
        <f t="shared" si="67"/>
        <v>3210.4099267101628</v>
      </c>
      <c r="H933" s="2011">
        <f t="shared" si="67"/>
        <v>4286.9620220185643</v>
      </c>
      <c r="I933" s="2011">
        <f t="shared" si="67"/>
        <v>5950.6189461737695</v>
      </c>
      <c r="J933" s="2011">
        <f t="shared" si="67"/>
        <v>4394.5010065043252</v>
      </c>
      <c r="K933" s="2011">
        <f t="shared" si="67"/>
        <v>5748.80906657377</v>
      </c>
    </row>
    <row r="934" spans="2:11" ht="15" x14ac:dyDescent="0.3">
      <c r="B934" s="2000" t="s">
        <v>100</v>
      </c>
      <c r="C934" s="2001" t="s">
        <v>66</v>
      </c>
      <c r="D934" s="2002" t="s">
        <v>98</v>
      </c>
      <c r="E934" s="2005">
        <f t="shared" ref="E934:K934" si="68">SUM(_xlfn.ANCHORARRAY(C554))</f>
        <v>488.89085016731224</v>
      </c>
      <c r="F934" s="2006">
        <f t="shared" si="68"/>
        <v>1407.9339086013817</v>
      </c>
      <c r="G934" s="2006">
        <f t="shared" si="68"/>
        <v>1313.6203505731801</v>
      </c>
      <c r="H934" s="2006">
        <f t="shared" si="68"/>
        <v>1711.5938066070632</v>
      </c>
      <c r="I934" s="2006">
        <f t="shared" si="68"/>
        <v>1751.72477835482</v>
      </c>
      <c r="J934" s="2006">
        <f t="shared" si="68"/>
        <v>1627.3088981897454</v>
      </c>
      <c r="K934" s="2006">
        <f t="shared" si="68"/>
        <v>2063.0783078622417</v>
      </c>
    </row>
    <row r="935" spans="2:11" ht="15" x14ac:dyDescent="0.3">
      <c r="B935" s="2000" t="s">
        <v>101</v>
      </c>
      <c r="C935" s="2001" t="s">
        <v>66</v>
      </c>
      <c r="D935" s="2002" t="s">
        <v>68</v>
      </c>
      <c r="E935" s="2012" cm="1">
        <f t="array" ref="E935:K935">TRANSPOSE('Pathway Analysis'!$AN$802:$AN$808)</f>
        <v>5.994303939774113E-3</v>
      </c>
      <c r="F935" s="2013">
        <v>3.3047810427618694E-2</v>
      </c>
      <c r="G935" s="2013">
        <v>3.4285048159836094E-2</v>
      </c>
      <c r="H935" s="2013">
        <v>5.646364330292427E-2</v>
      </c>
      <c r="I935" s="2013">
        <v>4.1405096512950296E-2</v>
      </c>
      <c r="J935" s="2013">
        <v>4.065468951239401E-2</v>
      </c>
      <c r="K935" s="2013">
        <v>5.5833148532685978E-2</v>
      </c>
    </row>
    <row r="936" spans="2:11" ht="15" x14ac:dyDescent="0.3">
      <c r="B936" s="2000" t="s">
        <v>102</v>
      </c>
      <c r="C936" s="2001" t="s">
        <v>66</v>
      </c>
      <c r="D936" s="2002" t="s">
        <v>68</v>
      </c>
      <c r="E936" s="2012" cm="1">
        <f t="array" ref="E936:K936">_xlfn.XLOOKUP(G904:M904,'Pathway Analysis'!$E$880:$E$977,'Pathway Analysis'!$F$880:$F$977)</f>
        <v>8.012843345329923E-3</v>
      </c>
      <c r="F936" s="2013">
        <v>1.8766747680571294E-2</v>
      </c>
      <c r="G936" s="2013">
        <v>2.4731672075272826E-2</v>
      </c>
      <c r="H936" s="2013">
        <v>1.284194398900107E-2</v>
      </c>
      <c r="I936" s="2013">
        <v>4.1404509880692331E-2</v>
      </c>
      <c r="J936" s="2013">
        <v>3.287364231215717E-2</v>
      </c>
      <c r="K936" s="2013">
        <v>4.8053358351587416E-2</v>
      </c>
    </row>
    <row r="937" spans="2:11" ht="15" x14ac:dyDescent="0.3">
      <c r="B937" s="2000" t="s">
        <v>103</v>
      </c>
      <c r="C937" s="2001" t="s">
        <v>66</v>
      </c>
      <c r="D937" s="2002" t="s">
        <v>104</v>
      </c>
      <c r="E937" s="2003">
        <f>'Pathway Analysis'!$F$692</f>
        <v>0.83038189388920358</v>
      </c>
      <c r="F937" s="2004">
        <f>'Pathway Analysis'!$F$700</f>
        <v>14.18266305221484</v>
      </c>
      <c r="G937" s="2004">
        <f>'Pathway Analysis'!$F$708</f>
        <v>13.811948147087014</v>
      </c>
      <c r="H937" s="2004">
        <f>'Pathway Analysis'!$F$716</f>
        <v>26.276364199404963</v>
      </c>
      <c r="I937" s="2004">
        <f>'Pathway Analysis'!$F$724</f>
        <v>16.682112109890049</v>
      </c>
      <c r="J937" s="2004">
        <f>'Pathway Analysis'!$F$732</f>
        <v>16.399783366436484</v>
      </c>
      <c r="K937" s="2004">
        <f>'Pathway Analysis'!$F$740</f>
        <v>22.755245271680341</v>
      </c>
    </row>
    <row r="938" spans="2:11" ht="15" x14ac:dyDescent="0.3">
      <c r="B938" s="2000" t="s">
        <v>105</v>
      </c>
      <c r="C938" s="2001" t="s">
        <v>66</v>
      </c>
      <c r="D938" s="2002" t="s">
        <v>68</v>
      </c>
      <c r="E938" s="2012" cm="1">
        <f t="array" ref="E938:K938">_xlfn.XLOOKUP(G904:M904,'Pathway Analysis'!$E$768:$E$795,'Pathway Analysis'!$F$768:$F$795)</f>
        <v>6.3180281234014313E-3</v>
      </c>
      <c r="F938" s="2013">
        <v>1.8050209001480466E-2</v>
      </c>
      <c r="G938" s="2013">
        <v>1.8661544162417831E-2</v>
      </c>
      <c r="H938" s="2013">
        <v>3.0606940500272684E-2</v>
      </c>
      <c r="I938" s="2013">
        <v>1.7165144349554184E-2</v>
      </c>
      <c r="J938" s="2013">
        <v>2.0497925033236442E-2</v>
      </c>
      <c r="K938" s="2013">
        <v>2.7379039691439067E-2</v>
      </c>
    </row>
    <row r="939" spans="2:11" ht="15" x14ac:dyDescent="0.3">
      <c r="B939" s="2000" t="s">
        <v>106</v>
      </c>
      <c r="C939" s="2001" t="s">
        <v>66</v>
      </c>
      <c r="D939" s="2002" t="s">
        <v>68</v>
      </c>
      <c r="E939" s="2014" cm="1">
        <f t="array" ref="E939:K939">_xlfn.XLOOKUP(G904:M904,'Pathway Analysis'!$E$984:$E$991,'Pathway Analysis'!$F$984:$F$991)</f>
        <v>7.9751925040030258E-2</v>
      </c>
      <c r="F939" s="2015">
        <v>7.6053103442772552E-2</v>
      </c>
      <c r="G939" s="2015">
        <v>7.5832367247901919E-2</v>
      </c>
      <c r="H939" s="2015">
        <v>7.3263246032060123E-2</v>
      </c>
      <c r="I939" s="2015">
        <v>7.488551184880464E-2</v>
      </c>
      <c r="J939" s="2015">
        <v>7.4833078803128145E-2</v>
      </c>
      <c r="K939" s="2015">
        <v>7.2530564765294139E-2</v>
      </c>
    </row>
    <row r="940" spans="2:11" ht="15" x14ac:dyDescent="0.3">
      <c r="B940" s="2000" t="s">
        <v>365</v>
      </c>
      <c r="C940" s="2001" t="s">
        <v>66</v>
      </c>
      <c r="D940" s="2002" t="s">
        <v>98</v>
      </c>
      <c r="E940" s="2016">
        <f>SUM('Pathway Analysis'!$G$809:$P$809)/10</f>
        <v>42822.963703826412</v>
      </c>
      <c r="F940" s="2017">
        <f>SUM('Pathway Analysis'!$G$816:$P$816)/10</f>
        <v>43974.571940426882</v>
      </c>
      <c r="G940" s="2017">
        <f>SUM('Pathway Analysis'!$G$823:$P$823)/10</f>
        <v>44027.238427992721</v>
      </c>
      <c r="H940" s="2017">
        <f>SUM('Pathway Analysis'!$G$830:$P$830)/10</f>
        <v>44971.332416492267</v>
      </c>
      <c r="I940" s="2017">
        <f>SUM('Pathway Analysis'!$G$837:$P$837)/10</f>
        <v>44330.323217837766</v>
      </c>
      <c r="J940" s="2017">
        <f>SUM('Pathway Analysis'!$G$844:$P$844)/10</f>
        <v>44298.380043187506</v>
      </c>
      <c r="K940" s="2017">
        <f>SUM('Pathway Analysis'!$G$851:$P$851)/10</f>
        <v>44944.493641604946</v>
      </c>
    </row>
    <row r="941" spans="2:11" ht="15" x14ac:dyDescent="0.3">
      <c r="B941" s="2000" t="s">
        <v>366</v>
      </c>
      <c r="C941" s="2001" t="s">
        <v>66</v>
      </c>
      <c r="D941" s="2002" t="s">
        <v>98</v>
      </c>
      <c r="E941" s="2016">
        <f>SUM('Pathway Analysis'!$G$768:$P$768)/10</f>
        <v>16042.305800688127</v>
      </c>
      <c r="F941" s="2017">
        <f>SUM('Pathway Analysis'!$G$772:$P$772)/10</f>
        <v>16229.33537592699</v>
      </c>
      <c r="G941" s="2017">
        <f>SUM('Pathway Analysis'!$G$776:$P$776)/10</f>
        <v>16239.081028220191</v>
      </c>
      <c r="H941" s="2017">
        <f>SUM('Pathway Analysis'!$G$780:$P$780)/10</f>
        <v>16429.509596134892</v>
      </c>
      <c r="I941" s="2017">
        <f>SUM('Pathway Analysis'!$G$784:$P$784)</f>
        <v>162152.26041300382</v>
      </c>
      <c r="J941" s="2017">
        <f>SUM('Pathway Analysis'!$G$788:$P$788)/10</f>
        <v>16268.355852552955</v>
      </c>
      <c r="K941" s="2017">
        <f>SUM('Pathway Analysis'!$G$792:$P$792)/10</f>
        <v>16378.051736469828</v>
      </c>
    </row>
    <row r="947" spans="2:21" ht="27.75" x14ac:dyDescent="0.45">
      <c r="B947" s="2049" t="s">
        <v>367</v>
      </c>
      <c r="C947" s="2049"/>
      <c r="D947" s="2049"/>
      <c r="E947" s="2049"/>
      <c r="F947" s="2049"/>
      <c r="G947" s="2049"/>
      <c r="H947" s="2049"/>
      <c r="I947" s="2049"/>
      <c r="J947" s="2049"/>
      <c r="K947" s="2049"/>
      <c r="L947" s="2049"/>
      <c r="M947" s="2049"/>
      <c r="N947" s="2049"/>
      <c r="O947" s="1552"/>
      <c r="P947" s="1552"/>
      <c r="Q947" s="1552"/>
      <c r="R947" s="1552"/>
      <c r="S947" s="1552"/>
      <c r="T947" s="1552"/>
      <c r="U947" s="1552"/>
    </row>
    <row r="950" spans="2:21" ht="15" x14ac:dyDescent="0.3">
      <c r="B950" s="5" t="s">
        <v>368</v>
      </c>
      <c r="C950" s="5"/>
      <c r="D950" s="5"/>
      <c r="E950" s="5"/>
      <c r="F950" s="5"/>
      <c r="G950" s="5"/>
      <c r="H950" s="5"/>
      <c r="I950" s="5"/>
      <c r="J950" s="5"/>
      <c r="K950" s="5"/>
      <c r="L950" s="5"/>
      <c r="M950" s="5"/>
      <c r="N950" s="5"/>
      <c r="O950" s="5"/>
      <c r="P950" s="5"/>
      <c r="Q950" s="5"/>
    </row>
    <row r="951" spans="2:21" ht="15" x14ac:dyDescent="0.35">
      <c r="B951" s="1412"/>
      <c r="C951" s="1413"/>
      <c r="D951" s="1414"/>
      <c r="E951" s="1992" t="s">
        <v>13</v>
      </c>
      <c r="F951" s="1992" t="s">
        <v>35</v>
      </c>
      <c r="G951" s="1992" t="s">
        <v>36</v>
      </c>
      <c r="H951" s="1992" t="s">
        <v>62</v>
      </c>
      <c r="I951" s="1992" t="s">
        <v>38</v>
      </c>
      <c r="J951" s="1993" t="s">
        <v>39</v>
      </c>
      <c r="K951" s="1993" t="s">
        <v>40</v>
      </c>
      <c r="L951" s="1992" t="s">
        <v>35</v>
      </c>
      <c r="M951" s="1992" t="s">
        <v>36</v>
      </c>
      <c r="N951" s="1992" t="s">
        <v>62</v>
      </c>
      <c r="O951" s="1992" t="s">
        <v>38</v>
      </c>
      <c r="P951" s="1993" t="s">
        <v>39</v>
      </c>
      <c r="Q951" s="1993" t="s">
        <v>40</v>
      </c>
    </row>
    <row r="952" spans="2:21" ht="15" x14ac:dyDescent="0.35">
      <c r="B952" s="1396" t="s">
        <v>369</v>
      </c>
      <c r="C952" s="1033" t="s">
        <v>370</v>
      </c>
      <c r="D952" s="1329" t="s">
        <v>68</v>
      </c>
      <c r="E952" s="1994" cm="1">
        <f t="array" ref="E952:K952">INDEX('Pathway Analysis'!$AN$241:$AN$296,MATCH($E$951:$K$951,'Pathway Analysis'!$W$241:$W$296,0)+1)</f>
        <v>4.5552950137612369E-3</v>
      </c>
      <c r="F952" s="1995">
        <v>4.6221128404256177E-2</v>
      </c>
      <c r="G952" s="1995">
        <v>3.4761739693005271E-2</v>
      </c>
      <c r="H952" s="1995">
        <v>8.0410074695796654E-2</v>
      </c>
      <c r="I952" s="1995">
        <v>3.2181661480517806E-2</v>
      </c>
      <c r="J952" s="1995">
        <v>4.0025099246479699E-2</v>
      </c>
      <c r="K952" s="1995">
        <v>5.0603419917678298E-2</v>
      </c>
      <c r="L952" s="1996">
        <f t="shared" ref="L952:Q952" si="69">(F952-$E952)/$E952</f>
        <v>9.1466816670765088</v>
      </c>
      <c r="M952" s="1996">
        <f t="shared" si="69"/>
        <v>6.6310622227522948</v>
      </c>
      <c r="N952" s="1996">
        <f t="shared" si="69"/>
        <v>16.652001561453929</v>
      </c>
      <c r="O952" s="1996">
        <f t="shared" si="69"/>
        <v>6.0646711976500303</v>
      </c>
      <c r="P952" s="1996">
        <f t="shared" si="69"/>
        <v>7.7864999139609168</v>
      </c>
      <c r="Q952" s="1996">
        <f t="shared" si="69"/>
        <v>10.108703116880204</v>
      </c>
    </row>
    <row r="953" spans="2:21" ht="15" x14ac:dyDescent="0.35">
      <c r="B953" s="1396" t="s">
        <v>371</v>
      </c>
      <c r="C953" s="1033" t="s">
        <v>370</v>
      </c>
      <c r="D953" s="1329"/>
      <c r="E953" s="1994" cm="1">
        <f t="array" ref="E953:K953">INDEX('Pathway Analysis'!$V$241:$V$296,MATCH(E951:K951,'Pathway Analysis'!$E$241:$E$296,0)+1)/'Pathway Analysis'!$U$235</f>
        <v>5.0850771352590356E-2</v>
      </c>
      <c r="F953" s="1995">
        <v>0.52189112447816288</v>
      </c>
      <c r="G953" s="1995">
        <v>0.39198106001905608</v>
      </c>
      <c r="H953" s="1995">
        <v>0.9077943749934958</v>
      </c>
      <c r="I953" s="1995">
        <v>0.36287591114033746</v>
      </c>
      <c r="J953" s="1995">
        <v>0.4513555637316421</v>
      </c>
      <c r="K953" s="1995">
        <v>0.57068667413438856</v>
      </c>
      <c r="L953" s="1996"/>
      <c r="M953" s="1996"/>
      <c r="N953" s="1996"/>
      <c r="O953" s="1996"/>
      <c r="P953" s="1996"/>
      <c r="Q953" s="1996"/>
    </row>
    <row r="954" spans="2:21" ht="15" x14ac:dyDescent="0.35">
      <c r="B954" s="1396" t="s">
        <v>119</v>
      </c>
      <c r="C954" s="1033" t="s">
        <v>370</v>
      </c>
      <c r="D954" s="1329" t="s">
        <v>68</v>
      </c>
      <c r="E954" s="1994" cm="1">
        <f t="array" ref="E954:K954">INDEX('Pathway Analysis'!$AN$241:$AN$296,MATCH($E$951:$K$951,'Pathway Analysis'!$W$241:$W$296,0)+2)</f>
        <v>7.1042118208975609E-3</v>
      </c>
      <c r="F954" s="1995">
        <v>8.631480983025458E-2</v>
      </c>
      <c r="G954" s="1995">
        <v>3.8743994791444046E-2</v>
      </c>
      <c r="H954" s="1995">
        <v>5.7949603888361852E-2</v>
      </c>
      <c r="I954" s="1995">
        <v>3.8743994791444046E-2</v>
      </c>
      <c r="J954" s="1995">
        <v>4.4218560602261481E-2</v>
      </c>
      <c r="K954" s="1995">
        <v>7.527617832633858E-2</v>
      </c>
      <c r="L954" s="1996">
        <f t="shared" ref="L954:Q954" si="70">(F954-$E954)/$E954</f>
        <v>11.149808030266389</v>
      </c>
      <c r="M954" s="1996">
        <f t="shared" si="70"/>
        <v>4.4536654829851408</v>
      </c>
      <c r="N954" s="1996">
        <f t="shared" si="70"/>
        <v>7.1570771465314182</v>
      </c>
      <c r="O954" s="1996">
        <f t="shared" si="70"/>
        <v>4.4536654829851408</v>
      </c>
      <c r="P954" s="1996">
        <f t="shared" si="70"/>
        <v>5.2242739542463159</v>
      </c>
      <c r="Q954" s="1996">
        <f t="shared" si="70"/>
        <v>9.5959929439192919</v>
      </c>
    </row>
    <row r="955" spans="2:21" ht="15" x14ac:dyDescent="0.35">
      <c r="B955" s="1396" t="s">
        <v>372</v>
      </c>
      <c r="C955" s="1033" t="s">
        <v>370</v>
      </c>
      <c r="D955" s="1329"/>
      <c r="E955" s="1994" cm="1">
        <f t="array" ref="E955:K955">INDEX('Pathway Analysis'!$V$241:$V$296,MATCH(E951:K951,'Pathway Analysis'!$E$241:$E$296,0)+2)/'Pathway Analysis'!$U$236</f>
        <v>7.9420393651007837E-2</v>
      </c>
      <c r="F955" s="1995">
        <v>0.96942443611341644</v>
      </c>
      <c r="G955" s="1995">
        <v>0.43461381837693058</v>
      </c>
      <c r="H955" s="1995">
        <v>0.65027471142396831</v>
      </c>
      <c r="I955" s="1995">
        <v>0.43461381837693058</v>
      </c>
      <c r="J955" s="1995">
        <v>0.4962835171538027</v>
      </c>
      <c r="K955" s="1995">
        <v>0.84506031583276964</v>
      </c>
      <c r="L955" s="1996"/>
      <c r="M955" s="1996"/>
      <c r="N955" s="1996"/>
      <c r="O955" s="1996"/>
      <c r="P955" s="1996"/>
      <c r="Q955" s="1996"/>
    </row>
    <row r="956" spans="2:21" ht="15" x14ac:dyDescent="0.35">
      <c r="B956" s="1396" t="s">
        <v>121</v>
      </c>
      <c r="C956" s="1033" t="s">
        <v>370</v>
      </c>
      <c r="D956" s="1329" t="s">
        <v>68</v>
      </c>
      <c r="E956" s="1994" cm="1">
        <f t="array" ref="E956:K956">TRANSPOSE('Pathway Analysis'!$F$72:$F$78)</f>
        <v>3.4832037785103437E-3</v>
      </c>
      <c r="F956" s="1995">
        <v>9.5163230738914573E-3</v>
      </c>
      <c r="G956" s="1995">
        <v>2.3224950514593005E-2</v>
      </c>
      <c r="H956" s="1995">
        <v>5.8977353870216702E-3</v>
      </c>
      <c r="I956" s="1995">
        <v>5.8977353870216702E-3</v>
      </c>
      <c r="J956" s="1995">
        <v>1.5839524399728345E-2</v>
      </c>
      <c r="K956" s="1995">
        <v>2.2584822058858589E-2</v>
      </c>
      <c r="L956" s="1996">
        <f t="shared" ref="L956:Q957" si="71">(F956-$E956)/$E956</f>
        <v>1.7320603900933089</v>
      </c>
      <c r="M956" s="1996">
        <f t="shared" si="71"/>
        <v>5.6676978986643105</v>
      </c>
      <c r="N956" s="1996">
        <f t="shared" si="71"/>
        <v>0.69319275071065334</v>
      </c>
      <c r="O956" s="1996">
        <f t="shared" si="71"/>
        <v>0.69319275071065334</v>
      </c>
      <c r="P956" s="1996">
        <f t="shared" si="71"/>
        <v>3.5474010155393234</v>
      </c>
      <c r="Q956" s="1996">
        <f t="shared" si="71"/>
        <v>5.4839221288733802</v>
      </c>
    </row>
    <row r="957" spans="2:21" ht="15" x14ac:dyDescent="0.35">
      <c r="B957" s="1997" t="s">
        <v>122</v>
      </c>
      <c r="C957" s="1033" t="s">
        <v>370</v>
      </c>
      <c r="D957" s="1329" t="s">
        <v>68</v>
      </c>
      <c r="E957" s="1994" cm="1">
        <f t="array" ref="E957:K957">TRANSPOSE('Pathway Analysis'!$F$82:$F$88)</f>
        <v>1.1430858101690753E-3</v>
      </c>
      <c r="F957" s="1995">
        <v>5.3859404057132925E-3</v>
      </c>
      <c r="G957" s="1995">
        <v>5.3859404057132925E-3</v>
      </c>
      <c r="H957" s="1995">
        <v>5.3859404057132925E-3</v>
      </c>
      <c r="I957" s="1995">
        <v>1.6968730197245922E-2</v>
      </c>
      <c r="J957" s="1995">
        <v>1.1033669578666916E-2</v>
      </c>
      <c r="K957" s="1995">
        <v>1.4227435542103194E-2</v>
      </c>
      <c r="L957" s="1996">
        <f t="shared" si="71"/>
        <v>3.7117551086708449</v>
      </c>
      <c r="M957" s="1996">
        <f t="shared" si="71"/>
        <v>3.7117551086708449</v>
      </c>
      <c r="N957" s="1996">
        <f t="shared" si="71"/>
        <v>3.7117551086708449</v>
      </c>
      <c r="O957" s="1996">
        <f t="shared" si="71"/>
        <v>13.844668743404359</v>
      </c>
      <c r="P957" s="1996">
        <f t="shared" si="71"/>
        <v>8.6525295655930776</v>
      </c>
      <c r="Q957" s="1996">
        <f t="shared" si="71"/>
        <v>11.446515751952862</v>
      </c>
    </row>
    <row r="961" spans="2:24" ht="15" x14ac:dyDescent="0.3">
      <c r="B961" s="5" t="s">
        <v>373</v>
      </c>
      <c r="C961" s="5"/>
      <c r="D961" s="5"/>
      <c r="E961" s="5"/>
      <c r="F961" s="5"/>
      <c r="G961" s="5"/>
      <c r="H961" s="5"/>
      <c r="I961" s="5"/>
      <c r="J961" s="5"/>
      <c r="K961" s="5"/>
      <c r="L961" s="5"/>
      <c r="M961" s="5"/>
      <c r="N961" s="5"/>
      <c r="O961" s="5"/>
      <c r="P961" s="5"/>
      <c r="Q961" s="5"/>
      <c r="R961" s="5"/>
      <c r="S961" s="5"/>
      <c r="T961" s="5"/>
      <c r="U961" s="5"/>
      <c r="V961" s="5"/>
      <c r="W961" s="5"/>
      <c r="X961" s="5"/>
    </row>
    <row r="963" spans="2:24" x14ac:dyDescent="0.3">
      <c r="D963" s="2033" t="s">
        <v>374</v>
      </c>
      <c r="E963" s="2056" t="s">
        <v>36</v>
      </c>
      <c r="F963" s="2056"/>
      <c r="G963" s="2056"/>
      <c r="H963" s="2056"/>
    </row>
    <row r="965" spans="2:24" x14ac:dyDescent="0.3">
      <c r="B965" s="9"/>
      <c r="C965" s="9"/>
      <c r="D965" s="9">
        <f>Baseline!AA3</f>
        <v>0</v>
      </c>
      <c r="E965" s="9">
        <f>Baseline!AD3</f>
        <v>2022</v>
      </c>
      <c r="F965" s="9">
        <f>Baseline!AE3</f>
        <v>2023</v>
      </c>
      <c r="G965" s="9">
        <f>Baseline!AF3</f>
        <v>2024</v>
      </c>
      <c r="H965" s="9">
        <f>Baseline!AG3</f>
        <v>2025</v>
      </c>
      <c r="I965" s="9">
        <f>Baseline!AH3</f>
        <v>2026</v>
      </c>
      <c r="J965" s="9">
        <f>Baseline!AI3</f>
        <v>2027</v>
      </c>
      <c r="K965" s="9">
        <f>Baseline!AJ3</f>
        <v>2028</v>
      </c>
      <c r="L965" s="9">
        <f>Baseline!AK3</f>
        <v>2029</v>
      </c>
      <c r="M965" s="9">
        <f>Baseline!AL3</f>
        <v>2030</v>
      </c>
    </row>
    <row r="966" spans="2:24" ht="25.5" customHeight="1" x14ac:dyDescent="0.3">
      <c r="B966" t="str" cm="1">
        <f t="array" ref="B966:B970">B55:B59</f>
        <v>Industry</v>
      </c>
      <c r="E966" s="62">
        <f>Baseline!AD6</f>
        <v>4796.938888888888</v>
      </c>
      <c r="F966" s="62">
        <f>Baseline!AE6</f>
        <v>4854.5021555555568</v>
      </c>
      <c r="G966" s="62">
        <f>Baseline!AF6</f>
        <v>4927.3196878888884</v>
      </c>
      <c r="H966" s="62">
        <f>Baseline!AG6</f>
        <v>5001.2294832072203</v>
      </c>
      <c r="I966" s="62">
        <f>Baseline!AH6</f>
        <v>5076.2479254553282</v>
      </c>
      <c r="J966" s="62">
        <f>Baseline!AI6</f>
        <v>5152.3916443371581</v>
      </c>
      <c r="K966" s="62">
        <f>Baseline!AJ6</f>
        <v>5229.6775190022154</v>
      </c>
      <c r="L966" s="62">
        <f>Baseline!AK6</f>
        <v>5308.1226817872484</v>
      </c>
      <c r="M966" s="62">
        <f>Baseline!AL6</f>
        <v>5387.7445220140553</v>
      </c>
    </row>
    <row r="967" spans="2:24" x14ac:dyDescent="0.3">
      <c r="B967" t="str">
        <v>Households</v>
      </c>
      <c r="E967" s="62">
        <f>Baseline!AD7</f>
        <v>10565.232398437502</v>
      </c>
      <c r="F967" s="62">
        <f>Baseline!AE7</f>
        <v>10596.024181042589</v>
      </c>
      <c r="G967" s="62">
        <f>Baseline!AF7</f>
        <v>10628.275414227639</v>
      </c>
      <c r="H967" s="62">
        <f>Baseline!AG7</f>
        <v>10662.005057906583</v>
      </c>
      <c r="I967" s="62">
        <f>Baseline!AH7</f>
        <v>10697.232472134878</v>
      </c>
      <c r="J967" s="62">
        <f>Baseline!AI7</f>
        <v>10738.450455025293</v>
      </c>
      <c r="K967" s="62">
        <f>Baseline!AJ7</f>
        <v>10780.629357659825</v>
      </c>
      <c r="L967" s="62">
        <f>Baseline!AK7</f>
        <v>10823.781475688736</v>
      </c>
      <c r="M967" s="62">
        <f>Baseline!AL7</f>
        <v>10867.919286368789</v>
      </c>
    </row>
    <row r="968" spans="2:24" x14ac:dyDescent="0.3">
      <c r="B968" t="str">
        <v>Services</v>
      </c>
      <c r="E968" s="62">
        <f>Baseline!AD8</f>
        <v>5417.2423307032623</v>
      </c>
      <c r="F968" s="62">
        <f>Baseline!AE8</f>
        <v>5450.3686442362277</v>
      </c>
      <c r="G968" s="62">
        <f>Baseline!AF8</f>
        <v>5484.4685950765415</v>
      </c>
      <c r="H968" s="62">
        <f>Baseline!AG8</f>
        <v>5519.5564318341085</v>
      </c>
      <c r="I968" s="62">
        <f>Baseline!AH8</f>
        <v>5555.6467026143164</v>
      </c>
      <c r="J968" s="62">
        <f>Baseline!AI8</f>
        <v>5593.1545212250676</v>
      </c>
      <c r="K968" s="62">
        <f>Baseline!AJ8</f>
        <v>5631.6437889430599</v>
      </c>
      <c r="L968" s="62">
        <f>Baseline!AK8</f>
        <v>5671.129434132431</v>
      </c>
      <c r="M968" s="62">
        <f>Baseline!AL8</f>
        <v>5711.6266861403783</v>
      </c>
    </row>
    <row r="969" spans="2:24" ht="36" customHeight="1" x14ac:dyDescent="0.3">
      <c r="B969" t="str">
        <v>Transport</v>
      </c>
      <c r="E969" s="62">
        <f>Baseline!AD9</f>
        <v>9818.0416666666679</v>
      </c>
      <c r="F969" s="62">
        <f>Baseline!AE9</f>
        <v>9916.222083333334</v>
      </c>
      <c r="G969" s="62">
        <f>Baseline!AF9</f>
        <v>10015.384304166668</v>
      </c>
      <c r="H969" s="62">
        <f>Baseline!AG9</f>
        <v>10115.538147208335</v>
      </c>
      <c r="I969" s="62">
        <f>Baseline!AH9</f>
        <v>10216.693528680418</v>
      </c>
      <c r="J969" s="62">
        <f>Baseline!AI9</f>
        <v>10318.860463967223</v>
      </c>
      <c r="K969" s="62">
        <f>Baseline!AJ9</f>
        <v>10422.049068606895</v>
      </c>
      <c r="L969" s="62">
        <f>Baseline!AK9</f>
        <v>10526.269559292965</v>
      </c>
      <c r="M969" s="62">
        <f>Baseline!AL9</f>
        <v>10631.532254885895</v>
      </c>
    </row>
    <row r="970" spans="2:24" x14ac:dyDescent="0.3">
      <c r="B970" t="str">
        <v>Agriculture, fishing and forestry</v>
      </c>
      <c r="E970" s="62">
        <f>Baseline!AD10</f>
        <v>990.83333333333337</v>
      </c>
      <c r="F970" s="62">
        <f>Baseline!AE10</f>
        <v>990.83333333333337</v>
      </c>
      <c r="G970" s="62">
        <f>Baseline!AF10</f>
        <v>990.83333333333337</v>
      </c>
      <c r="H970" s="62">
        <f>Baseline!AG10</f>
        <v>990.83333333333337</v>
      </c>
      <c r="I970" s="62">
        <f>Baseline!AH10</f>
        <v>990.83333333333337</v>
      </c>
      <c r="J970" s="62">
        <f>Baseline!AI10</f>
        <v>990.83333333333337</v>
      </c>
      <c r="K970" s="62">
        <f>Baseline!AJ10</f>
        <v>990.83333333333337</v>
      </c>
      <c r="L970" s="62">
        <f>Baseline!AK10</f>
        <v>990.83333333333337</v>
      </c>
      <c r="M970" s="62">
        <f>Baseline!AL10</f>
        <v>990.83333333333337</v>
      </c>
    </row>
    <row r="971" spans="2:24" x14ac:dyDescent="0.3">
      <c r="B971" t="s">
        <v>55</v>
      </c>
      <c r="E971" s="62">
        <f>SUM(E966:E970)</f>
        <v>31588.288618029652</v>
      </c>
      <c r="F971" s="62">
        <f t="shared" ref="F971:M971" si="72">SUM(F966:F970)</f>
        <v>31807.950397501038</v>
      </c>
      <c r="G971" s="62">
        <f t="shared" si="72"/>
        <v>32046.281334693067</v>
      </c>
      <c r="H971" s="62">
        <f t="shared" si="72"/>
        <v>32289.162453489578</v>
      </c>
      <c r="I971" s="62">
        <f t="shared" si="72"/>
        <v>32536.653962218275</v>
      </c>
      <c r="J971" s="62">
        <f t="shared" si="72"/>
        <v>32793.690417888072</v>
      </c>
      <c r="K971" s="62">
        <f t="shared" si="72"/>
        <v>33054.833067545333</v>
      </c>
      <c r="L971" s="62">
        <f t="shared" si="72"/>
        <v>33320.136484234717</v>
      </c>
      <c r="M971" s="62">
        <f t="shared" si="72"/>
        <v>33589.656082742455</v>
      </c>
    </row>
    <row r="972" spans="2:24" x14ac:dyDescent="0.3">
      <c r="B972" s="9"/>
      <c r="C972" s="9"/>
      <c r="D972" s="9"/>
      <c r="E972" s="9">
        <v>2022</v>
      </c>
      <c r="F972" s="9">
        <v>2023</v>
      </c>
      <c r="G972" s="9">
        <v>2024</v>
      </c>
      <c r="H972" s="9">
        <v>2025</v>
      </c>
      <c r="I972" s="9">
        <v>2026</v>
      </c>
      <c r="J972" s="9">
        <v>2027</v>
      </c>
      <c r="K972" s="9">
        <v>2028</v>
      </c>
      <c r="L972" s="9">
        <v>2029</v>
      </c>
      <c r="M972" s="9">
        <v>2030</v>
      </c>
    </row>
    <row r="973" spans="2:24" x14ac:dyDescent="0.3">
      <c r="B973" t="str">
        <f>B966</f>
        <v>Industry</v>
      </c>
      <c r="E973" s="62">
        <f>Baseline!AD22+Baseline!AD43</f>
        <v>-6.0079777863337984</v>
      </c>
      <c r="F973" s="62">
        <f>Baseline!AE22+Baseline!AE43</f>
        <v>-8.7858424125658257</v>
      </c>
      <c r="G973" s="62">
        <f>Baseline!AF22+Baseline!AF43</f>
        <v>-37.272972857533041</v>
      </c>
      <c r="H973" s="62">
        <f>Baseline!AG22+Baseline!AG43</f>
        <v>-102.82493881867367</v>
      </c>
      <c r="I973" s="62">
        <f>Baseline!AH22+Baseline!AH43</f>
        <v>-155.57066635998518</v>
      </c>
      <c r="J973" s="62">
        <f>Baseline!AI22+Baseline!AI43</f>
        <v>-201.30444827932592</v>
      </c>
      <c r="K973" s="62">
        <f>Baseline!AJ22+Baseline!AJ43</f>
        <v>-204.69001677953992</v>
      </c>
      <c r="L973" s="62">
        <f>Baseline!AK22+Baseline!AK43</f>
        <v>-208.14213143706422</v>
      </c>
      <c r="M973" s="62">
        <f>Baseline!AL22+Baseline!AL43</f>
        <v>-211.66125421198461</v>
      </c>
    </row>
    <row r="974" spans="2:24" x14ac:dyDescent="0.3">
      <c r="B974" t="str">
        <f t="shared" ref="B974:B977" si="73">B967</f>
        <v>Households</v>
      </c>
      <c r="E974" s="62">
        <f>Baseline!AD23+Baseline!AD44</f>
        <v>-9.5999444709687971</v>
      </c>
      <c r="F974" s="62">
        <f>Baseline!AE23+Baseline!AE44</f>
        <v>-19.937189014716964</v>
      </c>
      <c r="G974" s="62">
        <f>Baseline!AF23+Baseline!AF44</f>
        <v>-81.409644087335096</v>
      </c>
      <c r="H974" s="62">
        <f>Baseline!AG23+Baseline!AG44</f>
        <v>-114.97863198496619</v>
      </c>
      <c r="I974" s="62">
        <f>Baseline!AH23+Baseline!AH44</f>
        <v>-120.7906809983397</v>
      </c>
      <c r="J974" s="62">
        <f>Baseline!AI23+Baseline!AI44</f>
        <v>-126.64198870517582</v>
      </c>
      <c r="K974" s="62">
        <f>Baseline!AJ23+Baseline!AJ44</f>
        <v>-132.33331655504401</v>
      </c>
      <c r="L974" s="62">
        <f>Baseline!AK23+Baseline!AK44</f>
        <v>-138.03176994483607</v>
      </c>
      <c r="M974" s="62">
        <f>Baseline!AL23+Baseline!AL44</f>
        <v>-143.73747968949431</v>
      </c>
    </row>
    <row r="975" spans="2:24" x14ac:dyDescent="0.3">
      <c r="B975" t="str">
        <f t="shared" si="73"/>
        <v>Services</v>
      </c>
      <c r="E975" s="62">
        <f>Baseline!AD24+Baseline!AD45</f>
        <v>-8.0086865116585457</v>
      </c>
      <c r="F975" s="62">
        <f>Baseline!AE24+Baseline!AE45</f>
        <v>-11.62306272095598</v>
      </c>
      <c r="G975" s="62">
        <f>Baseline!AF24+Baseline!AF45</f>
        <v>-43.381110561101998</v>
      </c>
      <c r="H975" s="62">
        <f>Baseline!AG24+Baseline!AG45</f>
        <v>-60.794409316586233</v>
      </c>
      <c r="I975" s="62">
        <f>Baseline!AH24+Baseline!AH45</f>
        <v>-63.904308294953758</v>
      </c>
      <c r="J975" s="62">
        <f>Baseline!AI24+Baseline!AI45</f>
        <v>-67.033482837921596</v>
      </c>
      <c r="K975" s="62">
        <f>Baseline!AJ24+Baseline!AJ45</f>
        <v>-70.187455608211096</v>
      </c>
      <c r="L975" s="62">
        <f>Baseline!AK24+Baseline!AK45</f>
        <v>-73.366876471771576</v>
      </c>
      <c r="M975" s="62">
        <f>Baseline!AL24+Baseline!AL45</f>
        <v>-76.572409721238884</v>
      </c>
    </row>
    <row r="976" spans="2:24" x14ac:dyDescent="0.3">
      <c r="B976" t="str">
        <f t="shared" si="73"/>
        <v>Transport</v>
      </c>
      <c r="E976" s="62">
        <f>Baseline!AD25+Baseline!AD46</f>
        <v>-14.196579775630344</v>
      </c>
      <c r="F976" s="62">
        <f>Baseline!AE25+Baseline!AE46</f>
        <v>-25.726650850990964</v>
      </c>
      <c r="G976" s="62">
        <f>Baseline!AF25+Baseline!AF46</f>
        <v>-84.489549909497384</v>
      </c>
      <c r="H976" s="62">
        <f>Baseline!AG25+Baseline!AG46</f>
        <v>-116.64973806899692</v>
      </c>
      <c r="I976" s="62">
        <f>Baseline!AH25+Baseline!AH46</f>
        <v>-122.71696717885176</v>
      </c>
      <c r="J976" s="62">
        <f>Baseline!AI25+Baseline!AI46</f>
        <v>-128.83632740862041</v>
      </c>
      <c r="K976" s="62">
        <f>Baseline!AJ25+Baseline!AJ46</f>
        <v>-135.02449039483571</v>
      </c>
      <c r="L976" s="62">
        <f>Baseline!AK25+Baseline!AK46</f>
        <v>-141.280897753358</v>
      </c>
      <c r="M976" s="62">
        <f>Baseline!AL25+Baseline!AL46</f>
        <v>-147.60498846689856</v>
      </c>
    </row>
    <row r="977" spans="2:61" x14ac:dyDescent="0.3">
      <c r="B977" t="str">
        <f t="shared" si="73"/>
        <v>Agriculture, fishing and forestry</v>
      </c>
      <c r="E977" s="62">
        <f>Baseline!AD26+Baseline!AD47</f>
        <v>-0.56341640698250117</v>
      </c>
      <c r="F977" s="62">
        <f>Baseline!AE26+Baseline!AE47</f>
        <v>-1.123714598459449</v>
      </c>
      <c r="G977" s="62">
        <f>Baseline!AF26+Baseline!AF47</f>
        <v>-6.8355770458988951</v>
      </c>
      <c r="H977" s="62">
        <f>Baseline!AG26+Baseline!AG47</f>
        <v>-9.9180405461482763</v>
      </c>
      <c r="I977" s="62">
        <f>Baseline!AH26+Baseline!AH47</f>
        <v>-10.408252927879586</v>
      </c>
      <c r="J977" s="62">
        <f>Baseline!AI26+Baseline!AI47</f>
        <v>-10.8927915848812</v>
      </c>
      <c r="K977" s="62">
        <f>Baseline!AJ26+Baseline!AJ47</f>
        <v>-11.373256238386841</v>
      </c>
      <c r="L977" s="62">
        <f>Baseline!AK26+Baseline!AK47</f>
        <v>-11.849562738389633</v>
      </c>
      <c r="M977" s="62">
        <f>Baseline!AL26+Baseline!AL47</f>
        <v>-12.321630437215722</v>
      </c>
    </row>
    <row r="978" spans="2:61" ht="12.6" customHeight="1" x14ac:dyDescent="0.3">
      <c r="B978" s="9"/>
      <c r="C978" s="9"/>
      <c r="D978" s="9"/>
      <c r="E978" s="9">
        <v>2022</v>
      </c>
      <c r="F978" s="9">
        <v>2023</v>
      </c>
      <c r="G978" s="9">
        <v>2024</v>
      </c>
      <c r="H978" s="9">
        <v>2025</v>
      </c>
      <c r="I978" s="9">
        <v>2026</v>
      </c>
      <c r="J978" s="9">
        <v>2027</v>
      </c>
      <c r="K978" s="9">
        <v>2028</v>
      </c>
      <c r="L978" s="9">
        <v>2029</v>
      </c>
      <c r="M978" s="9">
        <v>2030</v>
      </c>
    </row>
    <row r="979" spans="2:61" ht="12.6" customHeight="1" x14ac:dyDescent="0.3">
      <c r="B979" t="str">
        <f>B973</f>
        <v>Industry</v>
      </c>
      <c r="E979" s="62">
        <f t="shared" ref="E979:M983" si="74">E966+E973</f>
        <v>4790.9309111025541</v>
      </c>
      <c r="F979" s="62">
        <f t="shared" si="74"/>
        <v>4845.7163131429907</v>
      </c>
      <c r="G979" s="62">
        <f t="shared" si="74"/>
        <v>4890.0467150313552</v>
      </c>
      <c r="H979" s="62">
        <f t="shared" si="74"/>
        <v>4898.4045443885461</v>
      </c>
      <c r="I979" s="62">
        <f t="shared" si="74"/>
        <v>4920.6772590953433</v>
      </c>
      <c r="J979" s="62">
        <f t="shared" si="74"/>
        <v>4951.0871960578324</v>
      </c>
      <c r="K979" s="62">
        <f t="shared" si="74"/>
        <v>5024.9875022226752</v>
      </c>
      <c r="L979" s="62">
        <f t="shared" si="74"/>
        <v>5099.9805503501839</v>
      </c>
      <c r="M979" s="62">
        <f t="shared" si="74"/>
        <v>5176.0832678020706</v>
      </c>
    </row>
    <row r="980" spans="2:61" ht="12.6" customHeight="1" x14ac:dyDescent="0.3">
      <c r="B980" t="str">
        <f t="shared" ref="B980:B983" si="75">B974</f>
        <v>Households</v>
      </c>
      <c r="E980" s="62">
        <f t="shared" si="74"/>
        <v>10555.632453966533</v>
      </c>
      <c r="F980" s="62">
        <f t="shared" si="74"/>
        <v>10576.086992027871</v>
      </c>
      <c r="G980" s="62">
        <f t="shared" si="74"/>
        <v>10546.865770140304</v>
      </c>
      <c r="H980" s="62">
        <f t="shared" si="74"/>
        <v>10547.026425921616</v>
      </c>
      <c r="I980" s="62">
        <f t="shared" si="74"/>
        <v>10576.441791136538</v>
      </c>
      <c r="J980" s="62">
        <f t="shared" si="74"/>
        <v>10611.808466320117</v>
      </c>
      <c r="K980" s="62">
        <f t="shared" si="74"/>
        <v>10648.296041104781</v>
      </c>
      <c r="L980" s="62">
        <f t="shared" si="74"/>
        <v>10685.7497057439</v>
      </c>
      <c r="M980" s="62">
        <f t="shared" si="74"/>
        <v>10724.181806679295</v>
      </c>
      <c r="AT980" s="1412"/>
      <c r="BH980" s="56"/>
      <c r="BI980" s="56"/>
    </row>
    <row r="981" spans="2:61" ht="12.6" customHeight="1" x14ac:dyDescent="0.3">
      <c r="B981" t="str">
        <f t="shared" si="75"/>
        <v>Services</v>
      </c>
      <c r="E981" s="62">
        <f t="shared" si="74"/>
        <v>5409.2336441916041</v>
      </c>
      <c r="F981" s="62">
        <f t="shared" si="74"/>
        <v>5438.7455815152716</v>
      </c>
      <c r="G981" s="62">
        <f t="shared" si="74"/>
        <v>5441.0874845154394</v>
      </c>
      <c r="H981" s="62">
        <f t="shared" si="74"/>
        <v>5458.7620225175224</v>
      </c>
      <c r="I981" s="62">
        <f t="shared" si="74"/>
        <v>5491.7423943193626</v>
      </c>
      <c r="J981" s="62">
        <f t="shared" si="74"/>
        <v>5526.1210383871457</v>
      </c>
      <c r="K981" s="62">
        <f t="shared" si="74"/>
        <v>5561.4563333348488</v>
      </c>
      <c r="L981" s="62">
        <f t="shared" si="74"/>
        <v>5597.7625576606597</v>
      </c>
      <c r="M981" s="62">
        <f t="shared" si="74"/>
        <v>5635.0542764191396</v>
      </c>
    </row>
    <row r="982" spans="2:61" x14ac:dyDescent="0.3">
      <c r="B982" t="str">
        <f t="shared" si="75"/>
        <v>Transport</v>
      </c>
      <c r="E982" s="62">
        <f t="shared" si="74"/>
        <v>9803.8450868910368</v>
      </c>
      <c r="F982" s="62">
        <f t="shared" si="74"/>
        <v>9890.4954324823429</v>
      </c>
      <c r="G982" s="62">
        <f t="shared" si="74"/>
        <v>9930.8947542571696</v>
      </c>
      <c r="H982" s="62">
        <f t="shared" si="74"/>
        <v>9998.8884091393393</v>
      </c>
      <c r="I982" s="62">
        <f t="shared" si="74"/>
        <v>10093.976561501566</v>
      </c>
      <c r="J982" s="62">
        <f t="shared" si="74"/>
        <v>10190.024136558603</v>
      </c>
      <c r="K982" s="62">
        <f t="shared" si="74"/>
        <v>10287.02457821206</v>
      </c>
      <c r="L982" s="62">
        <f t="shared" si="74"/>
        <v>10384.988661539606</v>
      </c>
      <c r="M982" s="62">
        <f t="shared" si="74"/>
        <v>10483.927266418996</v>
      </c>
    </row>
    <row r="983" spans="2:61" x14ac:dyDescent="0.3">
      <c r="B983" t="str">
        <f t="shared" si="75"/>
        <v>Agriculture, fishing and forestry</v>
      </c>
      <c r="E983" s="62">
        <f t="shared" si="74"/>
        <v>990.2699169263509</v>
      </c>
      <c r="F983" s="62">
        <f t="shared" si="74"/>
        <v>989.70961873487397</v>
      </c>
      <c r="G983" s="62">
        <f t="shared" si="74"/>
        <v>983.99775628743453</v>
      </c>
      <c r="H983" s="62">
        <f t="shared" si="74"/>
        <v>980.91529278718508</v>
      </c>
      <c r="I983" s="62">
        <f t="shared" si="74"/>
        <v>980.42508040545374</v>
      </c>
      <c r="J983" s="62">
        <f t="shared" si="74"/>
        <v>979.94054174845212</v>
      </c>
      <c r="K983" s="62">
        <f t="shared" si="74"/>
        <v>979.46007709494654</v>
      </c>
      <c r="L983" s="62">
        <f t="shared" si="74"/>
        <v>978.98377059494373</v>
      </c>
      <c r="M983" s="62">
        <f t="shared" si="74"/>
        <v>978.51170289611764</v>
      </c>
    </row>
    <row r="984" spans="2:61" x14ac:dyDescent="0.3">
      <c r="B984" t="s">
        <v>55</v>
      </c>
      <c r="E984" s="62">
        <f>SUM(E979:E983)</f>
        <v>31549.912013078079</v>
      </c>
      <c r="F984" s="62">
        <f t="shared" ref="F984:M984" si="76">SUM(F979:F983)</f>
        <v>31740.753937903348</v>
      </c>
      <c r="G984" s="62">
        <f t="shared" si="76"/>
        <v>31792.892480231701</v>
      </c>
      <c r="H984" s="62">
        <f t="shared" si="76"/>
        <v>31883.996694754205</v>
      </c>
      <c r="I984" s="62">
        <f t="shared" si="76"/>
        <v>32063.263086458261</v>
      </c>
      <c r="J984" s="62">
        <f t="shared" si="76"/>
        <v>32258.981379072153</v>
      </c>
      <c r="K984" s="62">
        <f t="shared" si="76"/>
        <v>32501.22453196931</v>
      </c>
      <c r="L984" s="62">
        <f t="shared" si="76"/>
        <v>32747.465245889292</v>
      </c>
      <c r="M984" s="62">
        <f t="shared" si="76"/>
        <v>32997.758320215624</v>
      </c>
    </row>
    <row r="985" spans="2:61" x14ac:dyDescent="0.3">
      <c r="E985" s="838">
        <f>(E984-E971)/E971</f>
        <v>-1.2148997818662547E-3</v>
      </c>
      <c r="F985" s="838">
        <f>((F984-E984)-(F971-E971))/F971</f>
        <v>-9.0605821142066955E-4</v>
      </c>
      <c r="G985" s="838">
        <f t="shared" ref="G985:M985" si="77">((G984-F984)-(G971-F971))/G971</f>
        <v>-5.810109226686011E-3</v>
      </c>
      <c r="H985" s="838">
        <f t="shared" si="77"/>
        <v>-4.7005525303616055E-3</v>
      </c>
      <c r="I985" s="838">
        <f t="shared" si="77"/>
        <v>-2.0968694907554154E-3</v>
      </c>
      <c r="J985" s="838">
        <f t="shared" si="77"/>
        <v>-1.8698158784367048E-3</v>
      </c>
      <c r="K985" s="838">
        <f t="shared" si="77"/>
        <v>-5.7176197869410097E-4</v>
      </c>
      <c r="L985" s="838">
        <f t="shared" si="77"/>
        <v>-5.721075836055508E-4</v>
      </c>
      <c r="M985" s="838">
        <f t="shared" si="77"/>
        <v>-5.7239419582160627E-4</v>
      </c>
    </row>
    <row r="987" spans="2:61" x14ac:dyDescent="0.3">
      <c r="B987" s="9"/>
      <c r="C987" s="9"/>
      <c r="D987" s="9"/>
      <c r="E987" s="9">
        <v>2022</v>
      </c>
      <c r="F987" s="9"/>
      <c r="G987" s="9">
        <v>2023</v>
      </c>
      <c r="H987" s="9"/>
      <c r="I987" s="9">
        <v>2024</v>
      </c>
      <c r="J987" s="9"/>
      <c r="K987" s="9">
        <v>2025</v>
      </c>
      <c r="L987" s="9"/>
      <c r="M987" s="9">
        <v>2026</v>
      </c>
      <c r="N987" s="9"/>
      <c r="O987" s="9">
        <v>2027</v>
      </c>
      <c r="P987" s="9"/>
      <c r="Q987" s="9">
        <v>2028</v>
      </c>
      <c r="R987" s="9"/>
      <c r="S987" s="9">
        <v>2029</v>
      </c>
      <c r="T987" s="9"/>
      <c r="U987" s="9">
        <v>2030</v>
      </c>
      <c r="V987" s="9"/>
    </row>
    <row r="988" spans="2:61" ht="40.5" x14ac:dyDescent="0.3">
      <c r="B988" s="9"/>
      <c r="C988" s="9"/>
      <c r="D988" s="9"/>
      <c r="E988" s="9" t="s">
        <v>375</v>
      </c>
      <c r="F988" s="9" t="s">
        <v>376</v>
      </c>
      <c r="G988" s="9" t="s">
        <v>375</v>
      </c>
      <c r="H988" s="9" t="s">
        <v>376</v>
      </c>
      <c r="I988" s="9" t="s">
        <v>375</v>
      </c>
      <c r="J988" s="9" t="s">
        <v>376</v>
      </c>
      <c r="K988" s="9" t="s">
        <v>375</v>
      </c>
      <c r="L988" s="9" t="s">
        <v>376</v>
      </c>
      <c r="M988" s="9" t="s">
        <v>375</v>
      </c>
      <c r="N988" s="9" t="s">
        <v>376</v>
      </c>
      <c r="O988" s="9" t="s">
        <v>375</v>
      </c>
      <c r="P988" s="9" t="s">
        <v>376</v>
      </c>
      <c r="Q988" s="9" t="s">
        <v>375</v>
      </c>
      <c r="R988" s="9" t="s">
        <v>376</v>
      </c>
      <c r="S988" s="9" t="s">
        <v>375</v>
      </c>
      <c r="T988" s="9" t="s">
        <v>376</v>
      </c>
      <c r="U988" s="9" t="s">
        <v>375</v>
      </c>
      <c r="V988" s="9" t="s">
        <v>376</v>
      </c>
    </row>
    <row r="989" spans="2:61" x14ac:dyDescent="0.3">
      <c r="B989" s="475" t="s">
        <v>50</v>
      </c>
      <c r="C989" s="475"/>
      <c r="D989" s="475"/>
      <c r="E989" s="2035" cm="1">
        <f t="array" ref="E989:E993">INDEX($E$966:$M$970,MATCH($B$989:$B$993,_xlfn.ANCHORARRAY($B$966),0),MATCH(E$987,$E$965:$M$965,0))</f>
        <v>4796.938888888888</v>
      </c>
      <c r="F989" s="2035" cm="1">
        <f t="array" ref="F989:F993">INDEX($E$979:$M$983,MATCH($B$989:$B$993,$B$979:$B$983,0),MATCH(E$987,$E$978:$M$978,0))</f>
        <v>4790.9309111025541</v>
      </c>
      <c r="G989" s="2035" cm="1">
        <f t="array" ref="G989:G993">INDEX($E$966:$M$970,MATCH($B$989:$B$993,_xlfn.ANCHORARRAY($B$966),0),MATCH(G$987,$E$965:$M$965,0))</f>
        <v>4854.5021555555568</v>
      </c>
      <c r="H989" s="2035" cm="1">
        <f t="array" ref="H989:H993">INDEX($E$979:$M$983,MATCH($B$989:$B$993,$B$979:$B$983,0),MATCH(G$987,$E$978:$M$978,0))</f>
        <v>4845.7163131429907</v>
      </c>
      <c r="I989" s="2035" cm="1">
        <f t="array" ref="I989:I993">INDEX($E$966:$M$970,MATCH($B$989:$B$993,_xlfn.ANCHORARRAY($B$966),0),MATCH(I$987,$E$965:$M$965,0))</f>
        <v>4927.3196878888884</v>
      </c>
      <c r="J989" s="2035" cm="1">
        <f t="array" ref="J989:J993">INDEX($E$979:$M$983,MATCH($B$989:$B$993,$B$979:$B$983,0),MATCH(I$987,$E$978:$M$978,0))</f>
        <v>4890.0467150313552</v>
      </c>
      <c r="K989" s="2035" cm="1">
        <f t="array" ref="K989:K993">INDEX($E$966:$M$970,MATCH($B$989:$B$993,_xlfn.ANCHORARRAY($B$966),0),MATCH(K$987,$E$965:$M$965,0))</f>
        <v>5001.2294832072203</v>
      </c>
      <c r="L989" s="2035" cm="1">
        <f t="array" ref="L989:L993">INDEX($E$979:$M$983,MATCH($B$989:$B$993,$B$979:$B$983,0),MATCH(K$987,$E$978:$M$978,0))</f>
        <v>4898.4045443885461</v>
      </c>
      <c r="M989" s="2035" cm="1">
        <f t="array" ref="M989:M993">INDEX($E$966:$M$970,MATCH($B$989:$B$993,_xlfn.ANCHORARRAY($B$966),0),MATCH(M$987,$E$965:$M$965,0))</f>
        <v>5076.2479254553282</v>
      </c>
      <c r="N989" s="2035" cm="1">
        <f t="array" ref="N989:N993">INDEX($E$979:$M$983,MATCH($B$989:$B$993,$B$979:$B$983,0),MATCH(M$987,$E$978:$M$978,0))</f>
        <v>4920.6772590953433</v>
      </c>
      <c r="O989" s="2035" cm="1">
        <f t="array" ref="O989:O993">INDEX($E$966:$M$970,MATCH($B$989:$B$993,_xlfn.ANCHORARRAY($B$966),0),MATCH(O$987,$E$965:$M$965,0))</f>
        <v>5152.3916443371581</v>
      </c>
      <c r="P989" s="2035" cm="1">
        <f t="array" ref="P989:P993">INDEX($E$979:$M$983,MATCH($B$989:$B$993,$B$979:$B$983,0),MATCH(O$987,$E$978:$M$978,0))</f>
        <v>4951.0871960578324</v>
      </c>
      <c r="Q989" s="2035" cm="1">
        <f t="array" ref="Q989:Q993">INDEX($E$966:$M$970,MATCH($B$989:$B$993,_xlfn.ANCHORARRAY($B$966),0),MATCH(Q$987,$E$965:$M$965,0))</f>
        <v>5229.6775190022154</v>
      </c>
      <c r="R989" s="2035" cm="1">
        <f t="array" ref="R989:R993">INDEX($E$979:$M$983,MATCH($B$989:$B$993,$B$979:$B$983,0),MATCH(Q$987,$E$978:$M$978,0))</f>
        <v>5024.9875022226752</v>
      </c>
      <c r="S989" s="2035" cm="1">
        <f t="array" ref="S989:S993">INDEX($E$966:$M$970,MATCH($B$989:$B$993,_xlfn.ANCHORARRAY($B$966),0),MATCH(S$987,$E$965:$M$965,0))</f>
        <v>5308.1226817872484</v>
      </c>
      <c r="T989" s="2035" cm="1">
        <f t="array" ref="T989:T993">INDEX($E$979:$M$983,MATCH($B$989:$B$993,$B$979:$B$983,0),MATCH(S$987,$E$978:$M$978,0))</f>
        <v>5099.9805503501839</v>
      </c>
      <c r="U989" s="2035" cm="1">
        <f t="array" ref="U989:U993">INDEX($E$966:$M$970,MATCH($B$989:$B$993,_xlfn.ANCHORARRAY($B$966),0),MATCH(U$987,$E$965:$M$965,0))</f>
        <v>5387.7445220140553</v>
      </c>
      <c r="V989" s="2035" cm="1">
        <f t="array" ref="V989:V993">INDEX($E$979:$M$983,MATCH($B$989:$B$993,$B$979:$B$983,0),MATCH(U$987,$E$978:$M$978,0))</f>
        <v>5176.0832678020706</v>
      </c>
    </row>
    <row r="990" spans="2:61" x14ac:dyDescent="0.3">
      <c r="B990" s="475" t="s">
        <v>51</v>
      </c>
      <c r="C990" s="475"/>
      <c r="D990" s="475"/>
      <c r="E990" s="475">
        <v>10565.232398437502</v>
      </c>
      <c r="F990" s="475">
        <v>10555.632453966533</v>
      </c>
      <c r="G990" s="475">
        <v>10596.024181042589</v>
      </c>
      <c r="H990" s="475">
        <v>10576.086992027871</v>
      </c>
      <c r="I990" s="475">
        <v>10628.275414227639</v>
      </c>
      <c r="J990" s="475">
        <v>10546.865770140304</v>
      </c>
      <c r="K990" s="475">
        <v>10662.005057906583</v>
      </c>
      <c r="L990" s="475">
        <v>10547.026425921616</v>
      </c>
      <c r="M990" s="475">
        <v>10697.232472134878</v>
      </c>
      <c r="N990" s="475">
        <v>10576.441791136538</v>
      </c>
      <c r="O990" s="475">
        <v>10738.450455025293</v>
      </c>
      <c r="P990" s="475">
        <v>10611.808466320117</v>
      </c>
      <c r="Q990" s="475">
        <v>10780.629357659825</v>
      </c>
      <c r="R990" s="475">
        <v>10648.296041104781</v>
      </c>
      <c r="S990" s="475">
        <v>10823.781475688736</v>
      </c>
      <c r="T990" s="475">
        <v>10685.7497057439</v>
      </c>
      <c r="U990" s="475">
        <v>10867.919286368789</v>
      </c>
      <c r="V990" s="475">
        <v>10724.181806679295</v>
      </c>
    </row>
    <row r="991" spans="2:61" x14ac:dyDescent="0.3">
      <c r="B991" s="475" t="s">
        <v>52</v>
      </c>
      <c r="C991" s="475"/>
      <c r="D991" s="475"/>
      <c r="E991" s="475">
        <v>5417.2423307032623</v>
      </c>
      <c r="F991" s="475">
        <v>5409.2336441916041</v>
      </c>
      <c r="G991" s="475">
        <v>5450.3686442362277</v>
      </c>
      <c r="H991" s="475">
        <v>5438.7455815152716</v>
      </c>
      <c r="I991" s="475">
        <v>5484.4685950765415</v>
      </c>
      <c r="J991" s="475">
        <v>5441.0874845154394</v>
      </c>
      <c r="K991" s="475">
        <v>5519.5564318341085</v>
      </c>
      <c r="L991" s="475">
        <v>5458.7620225175224</v>
      </c>
      <c r="M991" s="475">
        <v>5555.6467026143164</v>
      </c>
      <c r="N991" s="475">
        <v>5491.7423943193626</v>
      </c>
      <c r="O991" s="475">
        <v>5593.1545212250676</v>
      </c>
      <c r="P991" s="475">
        <v>5526.1210383871457</v>
      </c>
      <c r="Q991" s="475">
        <v>5631.6437889430599</v>
      </c>
      <c r="R991" s="475">
        <v>5561.4563333348488</v>
      </c>
      <c r="S991" s="475">
        <v>5671.129434132431</v>
      </c>
      <c r="T991" s="475">
        <v>5597.7625576606597</v>
      </c>
      <c r="U991" s="475">
        <v>5711.6266861403783</v>
      </c>
      <c r="V991" s="475">
        <v>5635.0542764191396</v>
      </c>
    </row>
    <row r="992" spans="2:61" x14ac:dyDescent="0.3">
      <c r="B992" s="475" t="s">
        <v>53</v>
      </c>
      <c r="C992" s="475"/>
      <c r="D992" s="475"/>
      <c r="E992" s="475">
        <v>9818.0416666666679</v>
      </c>
      <c r="F992" s="475">
        <v>9803.8450868910368</v>
      </c>
      <c r="G992" s="475">
        <v>9916.222083333334</v>
      </c>
      <c r="H992" s="475">
        <v>9890.4954324823429</v>
      </c>
      <c r="I992" s="475">
        <v>10015.384304166668</v>
      </c>
      <c r="J992" s="475">
        <v>9930.8947542571696</v>
      </c>
      <c r="K992" s="475">
        <v>10115.538147208335</v>
      </c>
      <c r="L992" s="475">
        <v>9998.8884091393393</v>
      </c>
      <c r="M992" s="475">
        <v>10216.693528680418</v>
      </c>
      <c r="N992" s="475">
        <v>10093.976561501566</v>
      </c>
      <c r="O992" s="475">
        <v>10318.860463967223</v>
      </c>
      <c r="P992" s="475">
        <v>10190.024136558603</v>
      </c>
      <c r="Q992" s="475">
        <v>10422.049068606895</v>
      </c>
      <c r="R992" s="475">
        <v>10287.02457821206</v>
      </c>
      <c r="S992" s="475">
        <v>10526.269559292965</v>
      </c>
      <c r="T992" s="475">
        <v>10384.988661539606</v>
      </c>
      <c r="U992" s="475">
        <v>10631.532254885895</v>
      </c>
      <c r="V992" s="475">
        <v>10483.927266418996</v>
      </c>
    </row>
    <row r="993" spans="2:22" x14ac:dyDescent="0.3">
      <c r="B993" s="475" t="s">
        <v>54</v>
      </c>
      <c r="C993" s="475"/>
      <c r="D993" s="475"/>
      <c r="E993" s="475">
        <v>990.83333333333337</v>
      </c>
      <c r="F993" s="475">
        <v>990.2699169263509</v>
      </c>
      <c r="G993" s="475">
        <v>990.83333333333337</v>
      </c>
      <c r="H993" s="475">
        <v>989.70961873487397</v>
      </c>
      <c r="I993" s="475">
        <v>990.83333333333337</v>
      </c>
      <c r="J993" s="475">
        <v>983.99775628743453</v>
      </c>
      <c r="K993" s="475">
        <v>990.83333333333337</v>
      </c>
      <c r="L993" s="475">
        <v>980.91529278718508</v>
      </c>
      <c r="M993" s="475">
        <v>990.83333333333337</v>
      </c>
      <c r="N993" s="475">
        <v>980.42508040545374</v>
      </c>
      <c r="O993" s="475">
        <v>990.83333333333337</v>
      </c>
      <c r="P993" s="475">
        <v>979.94054174845212</v>
      </c>
      <c r="Q993" s="475">
        <v>990.83333333333337</v>
      </c>
      <c r="R993" s="475">
        <v>979.46007709494654</v>
      </c>
      <c r="S993" s="475">
        <v>990.83333333333337</v>
      </c>
      <c r="T993" s="475">
        <v>978.98377059494373</v>
      </c>
      <c r="U993" s="475">
        <v>990.83333333333337</v>
      </c>
      <c r="V993" s="475">
        <v>978.51170289611764</v>
      </c>
    </row>
    <row r="1002" spans="2:22" x14ac:dyDescent="0.3">
      <c r="E1002" s="1336"/>
    </row>
    <row r="1003" spans="2:22" x14ac:dyDescent="0.3">
      <c r="E1003" s="1336"/>
    </row>
  </sheetData>
  <mergeCells count="14">
    <mergeCell ref="B92:N92"/>
    <mergeCell ref="B295:N295"/>
    <mergeCell ref="B1:N1"/>
    <mergeCell ref="E963:H963"/>
    <mergeCell ref="B94:D94"/>
    <mergeCell ref="B780:B781"/>
    <mergeCell ref="B782:B783"/>
    <mergeCell ref="B784:B785"/>
    <mergeCell ref="B947:N947"/>
    <mergeCell ref="J264:J270"/>
    <mergeCell ref="J271:J277"/>
    <mergeCell ref="J278:J284"/>
    <mergeCell ref="J285:J291"/>
    <mergeCell ref="K528:V528"/>
  </mergeCells>
  <conditionalFormatting sqref="C100:D101 C104:D105">
    <cfRule type="cellIs" dxfId="34" priority="807" operator="greaterThanOrEqual">
      <formula>$F100</formula>
    </cfRule>
  </conditionalFormatting>
  <conditionalFormatting sqref="C102:D103">
    <cfRule type="cellIs" dxfId="33" priority="808" operator="lessThanOrEqual">
      <formula>$E102</formula>
    </cfRule>
  </conditionalFormatting>
  <conditionalFormatting sqref="C106:D106">
    <cfRule type="cellIs" dxfId="32" priority="810" operator="lessThanOrEqual">
      <formula>$F106</formula>
    </cfRule>
  </conditionalFormatting>
  <conditionalFormatting sqref="E300:J300">
    <cfRule type="cellIs" dxfId="31" priority="816" operator="lessThanOrEqual">
      <formula>#REF!</formula>
    </cfRule>
  </conditionalFormatting>
  <conditionalFormatting sqref="E332:J332">
    <cfRule type="cellIs" dxfId="30" priority="814" operator="lessThanOrEqual">
      <formula>$P953</formula>
    </cfRule>
  </conditionalFormatting>
  <conditionalFormatting sqref="E361:J361 E388:J388 E415:J415 E423:J423 E449:J449">
    <cfRule type="cellIs" dxfId="29" priority="815" operator="lessThanOrEqual">
      <formula>#REF!</formula>
    </cfRule>
  </conditionalFormatting>
  <conditionalFormatting sqref="F931:K931">
    <cfRule type="colorScale" priority="53">
      <colorScale>
        <cfvo type="min"/>
        <cfvo type="percentile" val="50"/>
        <cfvo type="max"/>
        <color theme="6" tint="0.79998168889431442"/>
        <color theme="8"/>
        <color rgb="FF92D050"/>
      </colorScale>
    </cfRule>
  </conditionalFormatting>
  <conditionalFormatting sqref="F932:K933">
    <cfRule type="colorScale" priority="46">
      <colorScale>
        <cfvo type="min"/>
        <cfvo type="percentile" val="50"/>
        <cfvo type="max"/>
        <color rgb="FF92D050"/>
        <color theme="8"/>
        <color theme="6" tint="0.79998168889431442"/>
      </colorScale>
    </cfRule>
  </conditionalFormatting>
  <conditionalFormatting sqref="F934:K934">
    <cfRule type="colorScale" priority="52">
      <colorScale>
        <cfvo type="min"/>
        <cfvo type="percentile" val="50"/>
        <cfvo type="max"/>
        <color theme="6" tint="0.79998168889431442"/>
        <color theme="8"/>
        <color rgb="FF92D050"/>
      </colorScale>
    </cfRule>
  </conditionalFormatting>
  <conditionalFormatting sqref="F935:K935">
    <cfRule type="colorScale" priority="51">
      <colorScale>
        <cfvo type="min"/>
        <cfvo type="percentile" val="50"/>
        <cfvo type="max"/>
        <color theme="6" tint="0.79998168889431442"/>
        <color theme="8"/>
        <color rgb="FF92D050"/>
      </colorScale>
    </cfRule>
  </conditionalFormatting>
  <conditionalFormatting sqref="F936:K936">
    <cfRule type="colorScale" priority="50">
      <colorScale>
        <cfvo type="min"/>
        <cfvo type="percentile" val="50"/>
        <cfvo type="max"/>
        <color theme="6" tint="0.79998168889431442"/>
        <color theme="8"/>
        <color rgb="FF92D050"/>
      </colorScale>
    </cfRule>
  </conditionalFormatting>
  <conditionalFormatting sqref="F937:K937">
    <cfRule type="colorScale" priority="49">
      <colorScale>
        <cfvo type="min"/>
        <cfvo type="percentile" val="50"/>
        <cfvo type="max"/>
        <color theme="6" tint="0.79998168889431442"/>
        <color theme="8"/>
        <color rgb="FF92D050"/>
      </colorScale>
    </cfRule>
  </conditionalFormatting>
  <conditionalFormatting sqref="F938:K938">
    <cfRule type="colorScale" priority="48">
      <colorScale>
        <cfvo type="min"/>
        <cfvo type="percentile" val="50"/>
        <cfvo type="max"/>
        <color theme="6" tint="0.79998168889431442"/>
        <color theme="8"/>
        <color rgb="FF92D050"/>
      </colorScale>
    </cfRule>
  </conditionalFormatting>
  <conditionalFormatting sqref="F939:K939">
    <cfRule type="colorScale" priority="47">
      <colorScale>
        <cfvo type="min"/>
        <cfvo type="percentile" val="50"/>
        <cfvo type="max"/>
        <color rgb="FF92D050"/>
        <color theme="8"/>
        <color theme="6" tint="0.79998168889431442"/>
      </colorScale>
    </cfRule>
  </conditionalFormatting>
  <conditionalFormatting sqref="F940:K940">
    <cfRule type="colorScale" priority="23">
      <colorScale>
        <cfvo type="min"/>
        <cfvo type="percentile" val="50"/>
        <cfvo type="max"/>
        <color theme="6" tint="0.79998168889431442"/>
        <color theme="8"/>
        <color rgb="FF92D050"/>
      </colorScale>
    </cfRule>
  </conditionalFormatting>
  <conditionalFormatting sqref="F941:K941">
    <cfRule type="colorScale" priority="22">
      <colorScale>
        <cfvo type="min"/>
        <cfvo type="percentile" val="50"/>
        <cfvo type="max"/>
        <color theme="6" tint="0.79998168889431442"/>
        <color theme="8"/>
        <color rgb="FF92D050"/>
      </colorScale>
    </cfRule>
  </conditionalFormatting>
  <conditionalFormatting sqref="F952:K957">
    <cfRule type="colorScale" priority="57">
      <colorScale>
        <cfvo type="min"/>
        <cfvo type="max"/>
        <color rgb="FFFCFCFF"/>
        <color theme="7"/>
      </colorScale>
    </cfRule>
  </conditionalFormatting>
  <conditionalFormatting sqref="F954:K955">
    <cfRule type="colorScale" priority="41">
      <colorScale>
        <cfvo type="min"/>
        <cfvo type="max"/>
        <color rgb="FFFCFCFF"/>
        <color theme="7"/>
      </colorScale>
    </cfRule>
  </conditionalFormatting>
  <conditionalFormatting sqref="F956:K956">
    <cfRule type="colorScale" priority="40">
      <colorScale>
        <cfvo type="min"/>
        <cfvo type="max"/>
        <color rgb="FFFCFCFF"/>
        <color theme="7"/>
      </colorScale>
    </cfRule>
  </conditionalFormatting>
  <conditionalFormatting sqref="F957:K957">
    <cfRule type="colorScale" priority="39">
      <colorScale>
        <cfvo type="min"/>
        <cfvo type="max"/>
        <color rgb="FFFCFCFF"/>
        <color theme="7"/>
      </colorScale>
    </cfRule>
  </conditionalFormatting>
  <conditionalFormatting sqref="H905:M905 H909:M909 H914:M914">
    <cfRule type="cellIs" dxfId="28" priority="811" operator="lessThanOrEqual">
      <formula>$P905</formula>
    </cfRule>
  </conditionalFormatting>
  <conditionalFormatting sqref="H906:M908 H910:M913">
    <cfRule type="cellIs" dxfId="27" priority="812" operator="greaterThanOrEqual">
      <formula>$P906</formula>
    </cfRule>
  </conditionalFormatting>
  <conditionalFormatting sqref="H922:M922">
    <cfRule type="cellIs" dxfId="26" priority="817" operator="greaterThanOrEqual">
      <formula>#REF!</formula>
    </cfRule>
  </conditionalFormatting>
  <conditionalFormatting sqref="H923:M923">
    <cfRule type="cellIs" dxfId="25" priority="1" operator="greaterThanOrEqual">
      <formula>#REF!</formula>
    </cfRule>
  </conditionalFormatting>
  <conditionalFormatting sqref="H924:M924">
    <cfRule type="cellIs" dxfId="24" priority="818" operator="lessThanOrEqual">
      <formula>#REF!</formula>
    </cfRule>
  </conditionalFormatting>
  <conditionalFormatting sqref="L952:Q953">
    <cfRule type="colorScale" priority="38">
      <colorScale>
        <cfvo type="min"/>
        <cfvo type="max"/>
        <color rgb="FFFCFCFF"/>
        <color theme="7"/>
      </colorScale>
    </cfRule>
  </conditionalFormatting>
  <conditionalFormatting sqref="L954:Q955">
    <cfRule type="colorScale" priority="37">
      <colorScale>
        <cfvo type="min"/>
        <cfvo type="max"/>
        <color rgb="FFFCFCFF"/>
        <color theme="7"/>
      </colorScale>
    </cfRule>
  </conditionalFormatting>
  <conditionalFormatting sqref="L956:Q956">
    <cfRule type="colorScale" priority="36">
      <colorScale>
        <cfvo type="min"/>
        <cfvo type="max"/>
        <color rgb="FFFCFCFF"/>
        <color theme="7"/>
      </colorScale>
    </cfRule>
  </conditionalFormatting>
  <conditionalFormatting sqref="L957:Q957">
    <cfRule type="colorScale" priority="35">
      <colorScale>
        <cfvo type="min"/>
        <cfvo type="max"/>
        <color rgb="FFFCFCFF"/>
        <color theme="7"/>
      </colorScale>
    </cfRule>
  </conditionalFormatting>
  <dataValidations disablePrompts="1" count="1">
    <dataValidation type="list" allowBlank="1" showInputMessage="1" showErrorMessage="1" sqref="E94" xr:uid="{AD63A343-6EE3-4C08-875C-8961971E6F8F}">
      <formula1>$G$904:$M$904</formula1>
    </dataValidation>
  </dataValidations>
  <hyperlinks>
    <hyperlink ref="H103" r:id="rId1" xr:uid="{FBF70D9D-B539-4166-B852-D1284001487D}"/>
  </hyperlinks>
  <pageMargins left="0.7" right="0.7" top="0.75" bottom="0.75" header="0.3" footer="0.3"/>
  <pageSetup orientation="portrait" horizontalDpi="1200" verticalDpi="1200" r:id="rId2"/>
  <drawing r:id="rId3"/>
  <legacyDrawing r:id="rId4"/>
  <extLst>
    <ext xmlns:x14="http://schemas.microsoft.com/office/spreadsheetml/2009/9/main" uri="{CCE6A557-97BC-4b89-ADB6-D9C93CAAB3DF}">
      <x14:dataValidations xmlns:xm="http://schemas.microsoft.com/office/excel/2006/main" disablePrompts="1" count="1">
        <x14:dataValidation type="list" allowBlank="1" showInputMessage="1" showErrorMessage="1" xr:uid="{F9363B8A-AB97-4A07-93AD-A2377DE4DB92}">
          <x14:formula1>
            <xm:f>'EE Measures'!$IF$6:$IL$6</xm:f>
          </x14:formula1>
          <xm:sqref>E963:H963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632BDF-E811-4483-B7EC-D1896B7C3C2F}">
  <sheetPr codeName="Sheet2">
    <tabColor theme="4" tint="0.249977111117893"/>
    <outlinePr summaryBelow="0"/>
  </sheetPr>
  <dimension ref="A1:CI994"/>
  <sheetViews>
    <sheetView showGridLines="0" topLeftCell="H13" zoomScale="85" zoomScaleNormal="85" workbookViewId="0">
      <selection activeCell="AC28" sqref="AC28"/>
    </sheetView>
  </sheetViews>
  <sheetFormatPr defaultColWidth="0" defaultRowHeight="13.5" zeroHeight="1" outlineLevelRow="1" x14ac:dyDescent="0.3"/>
  <cols>
    <col min="1" max="2" width="9" style="554" customWidth="1"/>
    <col min="3" max="3" width="9" style="587" customWidth="1"/>
    <col min="4" max="4" width="9" style="554" customWidth="1"/>
    <col min="5" max="5" width="44.6640625" style="554" customWidth="1"/>
    <col min="6" max="7" width="13.83203125" style="554" customWidth="1"/>
    <col min="8" max="8" width="13.1640625" style="554" customWidth="1"/>
    <col min="9" max="22" width="10.1640625" style="554" customWidth="1"/>
    <col min="23" max="23" width="16.1640625" style="554" customWidth="1"/>
    <col min="24" max="24" width="15" style="554" customWidth="1"/>
    <col min="25" max="25" width="16.6640625" style="554" customWidth="1"/>
    <col min="26" max="26" width="13.83203125" style="554" customWidth="1"/>
    <col min="27" max="36" width="10" style="554" customWidth="1"/>
    <col min="37" max="41" width="9" style="554" customWidth="1"/>
    <col min="42" max="42" width="22.1640625" style="554" customWidth="1"/>
    <col min="43" max="66" width="9" style="554" customWidth="1"/>
    <col min="67" max="67" width="9.1640625" style="554" bestFit="1" customWidth="1"/>
    <col min="68" max="87" width="9" style="554" customWidth="1"/>
    <col min="88" max="16384" width="9" style="554" hidden="1"/>
  </cols>
  <sheetData>
    <row r="1" spans="1:81" s="1985" customFormat="1" ht="28.5" thickBot="1" x14ac:dyDescent="0.5">
      <c r="A1" s="1983" t="s">
        <v>377</v>
      </c>
      <c r="B1" s="1984"/>
      <c r="C1" s="1984"/>
      <c r="D1" s="1984"/>
      <c r="E1" s="1984"/>
      <c r="F1" s="1984"/>
      <c r="G1" s="1984"/>
      <c r="H1" s="1984"/>
      <c r="I1" s="1984"/>
      <c r="J1" s="1984"/>
      <c r="K1" s="1984"/>
      <c r="L1" s="1984"/>
      <c r="M1" s="1984"/>
      <c r="N1" s="1984"/>
      <c r="O1" s="1984"/>
      <c r="P1" s="1984"/>
      <c r="Q1" s="1984"/>
      <c r="R1" s="1984"/>
      <c r="S1" s="1984"/>
      <c r="T1" s="1984"/>
      <c r="U1" s="1984"/>
      <c r="V1" s="1984"/>
      <c r="W1" s="1984"/>
      <c r="X1" s="1984"/>
      <c r="Y1" s="1984"/>
      <c r="Z1" s="1984"/>
      <c r="AA1" s="1984"/>
      <c r="AB1" s="1984"/>
      <c r="AC1" s="1984"/>
      <c r="AD1" s="1984"/>
      <c r="AE1" s="1984"/>
      <c r="AF1" s="1984"/>
      <c r="AG1" s="1984"/>
      <c r="AH1" s="1984"/>
      <c r="AI1" s="1984"/>
      <c r="AJ1" s="1984"/>
      <c r="AK1" s="1984"/>
      <c r="AL1" s="1984"/>
      <c r="AM1" s="1984"/>
      <c r="AN1" s="1984"/>
      <c r="AO1" s="1984"/>
      <c r="AP1" s="1984"/>
      <c r="AQ1" s="1984"/>
      <c r="AR1" s="1984"/>
      <c r="AS1" s="1984"/>
    </row>
    <row r="2" spans="1:81" ht="18.75" thickTop="1" x14ac:dyDescent="0.35">
      <c r="B2" s="1981" t="s">
        <v>378</v>
      </c>
    </row>
    <row r="3" spans="1:81" x14ac:dyDescent="0.3">
      <c r="V3"/>
      <c r="AJ3"/>
      <c r="AK3"/>
      <c r="AL3"/>
      <c r="AM3"/>
      <c r="AN3"/>
      <c r="AO3"/>
      <c r="AP3"/>
      <c r="AQ3"/>
      <c r="AR3"/>
      <c r="AS3"/>
      <c r="AT3"/>
    </row>
    <row r="4" spans="1:81" ht="19.5" thickBot="1" x14ac:dyDescent="0.35">
      <c r="B4" s="1" t="s">
        <v>379</v>
      </c>
      <c r="C4" s="1"/>
      <c r="D4" s="1"/>
      <c r="E4" s="1"/>
      <c r="F4" s="1"/>
      <c r="G4" s="1"/>
      <c r="H4" s="1"/>
      <c r="I4" s="1"/>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row>
    <row r="5" spans="1:81" outlineLevel="1" x14ac:dyDescent="0.3">
      <c r="V5"/>
      <c r="W5"/>
      <c r="X5"/>
      <c r="Y5"/>
      <c r="Z5"/>
      <c r="AA5"/>
      <c r="AB5"/>
      <c r="AC5"/>
      <c r="AD5"/>
      <c r="AE5"/>
      <c r="AF5"/>
      <c r="AG5"/>
      <c r="AH5"/>
    </row>
    <row r="6" spans="1:81" ht="15" outlineLevel="1" x14ac:dyDescent="0.3">
      <c r="C6" s="5" t="s">
        <v>380</v>
      </c>
      <c r="D6" s="5"/>
      <c r="E6" s="5"/>
      <c r="F6" s="5"/>
      <c r="G6" s="5"/>
      <c r="H6" s="5"/>
      <c r="I6" s="5"/>
      <c r="J6" s="5"/>
      <c r="K6" s="5"/>
      <c r="L6" s="5"/>
      <c r="M6" s="5"/>
      <c r="N6" s="5"/>
      <c r="O6" s="5"/>
      <c r="P6" s="5"/>
      <c r="Q6" s="5"/>
      <c r="R6" s="5"/>
      <c r="S6" s="5"/>
      <c r="T6" s="5"/>
      <c r="U6" s="5"/>
      <c r="V6"/>
      <c r="W6"/>
      <c r="X6"/>
      <c r="Y6" s="5" t="s">
        <v>381</v>
      </c>
      <c r="Z6" s="5"/>
      <c r="AA6" s="5"/>
      <c r="AB6" s="5"/>
      <c r="AC6" s="5"/>
      <c r="AD6" s="5"/>
      <c r="AE6" s="5"/>
      <c r="AF6" s="5"/>
      <c r="AG6" s="5"/>
      <c r="AH6" s="5"/>
      <c r="AI6" s="5"/>
      <c r="AJ6" s="5"/>
      <c r="AK6" s="5"/>
      <c r="AL6" s="5"/>
      <c r="AM6" s="5"/>
      <c r="AN6" s="5"/>
      <c r="AO6" s="5"/>
      <c r="AQ6" s="5" t="s">
        <v>382</v>
      </c>
      <c r="AR6" s="5"/>
      <c r="AS6" s="5"/>
      <c r="AT6" s="5"/>
      <c r="AU6" s="5"/>
      <c r="AV6" s="5"/>
      <c r="AW6" s="5"/>
      <c r="AX6" s="5"/>
      <c r="AY6" s="5"/>
      <c r="AZ6" s="5"/>
      <c r="BA6" s="5"/>
      <c r="BB6" s="5"/>
      <c r="BC6" s="5"/>
      <c r="BD6" s="5"/>
      <c r="BE6" s="5"/>
      <c r="BF6" s="5"/>
      <c r="BG6" s="5"/>
      <c r="BH6" s="5"/>
      <c r="BK6" s="5" t="s">
        <v>380</v>
      </c>
      <c r="BL6" s="5"/>
      <c r="BM6" s="5"/>
      <c r="BN6" s="5"/>
      <c r="BO6" s="5"/>
      <c r="BP6" s="5"/>
      <c r="BQ6" s="5"/>
      <c r="BR6" s="5"/>
      <c r="BS6" s="5"/>
      <c r="BT6" s="5"/>
      <c r="BU6" s="5"/>
      <c r="BV6" s="5"/>
      <c r="BW6" s="5"/>
      <c r="BX6" s="5"/>
      <c r="BY6" s="5"/>
      <c r="BZ6" s="5"/>
      <c r="CA6" s="5"/>
      <c r="CB6" s="5"/>
      <c r="CC6" s="5"/>
    </row>
    <row r="7" spans="1:81" outlineLevel="1" x14ac:dyDescent="0.3">
      <c r="E7"/>
      <c r="F7"/>
      <c r="G7"/>
      <c r="H7" s="56" t="s">
        <v>383</v>
      </c>
      <c r="I7"/>
      <c r="J7"/>
      <c r="K7"/>
      <c r="L7"/>
      <c r="M7"/>
      <c r="N7"/>
      <c r="O7"/>
      <c r="P7"/>
      <c r="Q7"/>
      <c r="R7"/>
      <c r="S7"/>
      <c r="T7"/>
      <c r="U7"/>
      <c r="V7"/>
      <c r="W7"/>
      <c r="AB7" s="56" t="s">
        <v>384</v>
      </c>
      <c r="AR7" s="56" t="s">
        <v>385</v>
      </c>
      <c r="AS7" s="56"/>
      <c r="BK7" s="587"/>
      <c r="BM7"/>
      <c r="BN7"/>
      <c r="BO7"/>
      <c r="BP7" s="56" t="s">
        <v>383</v>
      </c>
      <c r="BQ7"/>
      <c r="BR7"/>
      <c r="BS7"/>
      <c r="BT7"/>
      <c r="BU7"/>
      <c r="BV7"/>
      <c r="BW7"/>
      <c r="BX7"/>
      <c r="BY7"/>
      <c r="BZ7"/>
      <c r="CA7"/>
      <c r="CB7"/>
      <c r="CC7"/>
    </row>
    <row r="8" spans="1:81" ht="40.5" outlineLevel="1" x14ac:dyDescent="0.3">
      <c r="E8" s="625"/>
      <c r="F8" s="625" t="s">
        <v>386</v>
      </c>
      <c r="G8" s="625">
        <v>2021</v>
      </c>
      <c r="H8" s="625">
        <v>2022</v>
      </c>
      <c r="I8" s="625">
        <v>2023</v>
      </c>
      <c r="J8" s="625">
        <v>2024</v>
      </c>
      <c r="K8" s="625">
        <v>2025</v>
      </c>
      <c r="L8" s="625">
        <v>2026</v>
      </c>
      <c r="M8" s="625">
        <v>2027</v>
      </c>
      <c r="N8" s="625">
        <v>2028</v>
      </c>
      <c r="O8" s="625">
        <v>2029</v>
      </c>
      <c r="P8" s="625">
        <v>2030</v>
      </c>
      <c r="Q8" s="625">
        <v>2031</v>
      </c>
      <c r="R8" s="625">
        <v>2032</v>
      </c>
      <c r="S8" s="625">
        <v>2033</v>
      </c>
      <c r="T8" s="625">
        <v>2034</v>
      </c>
      <c r="U8" s="625">
        <v>2035</v>
      </c>
      <c r="V8"/>
      <c r="W8"/>
      <c r="Y8" s="625"/>
      <c r="Z8" s="625" t="s">
        <v>386</v>
      </c>
      <c r="AA8" s="625">
        <v>2021</v>
      </c>
      <c r="AB8" s="625">
        <v>2022</v>
      </c>
      <c r="AC8" s="625">
        <v>2023</v>
      </c>
      <c r="AD8" s="625">
        <v>2024</v>
      </c>
      <c r="AE8" s="625">
        <v>2025</v>
      </c>
      <c r="AF8" s="625">
        <v>2026</v>
      </c>
      <c r="AG8" s="625">
        <v>2027</v>
      </c>
      <c r="AH8" s="625">
        <v>2028</v>
      </c>
      <c r="AI8" s="625">
        <v>2029</v>
      </c>
      <c r="AJ8" s="625">
        <v>2030</v>
      </c>
      <c r="AK8" s="625">
        <v>2031</v>
      </c>
      <c r="AL8" s="625">
        <v>2032</v>
      </c>
      <c r="AM8" s="625">
        <v>2033</v>
      </c>
      <c r="AN8" s="625">
        <v>2034</v>
      </c>
      <c r="AO8" s="625">
        <v>2035</v>
      </c>
      <c r="AP8" s="554" t="s">
        <v>387</v>
      </c>
      <c r="AR8" s="625" t="s">
        <v>386</v>
      </c>
      <c r="AS8" s="625">
        <v>2021</v>
      </c>
      <c r="AT8" s="625">
        <v>2022</v>
      </c>
      <c r="AU8" s="625">
        <v>2023</v>
      </c>
      <c r="AV8" s="625">
        <v>2024</v>
      </c>
      <c r="AW8" s="625">
        <v>2025</v>
      </c>
      <c r="AX8" s="625">
        <v>2026</v>
      </c>
      <c r="AY8" s="625">
        <v>2027</v>
      </c>
      <c r="AZ8" s="625">
        <v>2028</v>
      </c>
      <c r="BA8" s="625">
        <v>2029</v>
      </c>
      <c r="BB8" s="625">
        <v>2030</v>
      </c>
      <c r="BC8" s="625">
        <v>2031</v>
      </c>
      <c r="BD8" s="625">
        <v>2032</v>
      </c>
      <c r="BE8" s="625">
        <v>2033</v>
      </c>
      <c r="BF8" s="625">
        <v>2034</v>
      </c>
      <c r="BG8" s="625">
        <v>2035</v>
      </c>
      <c r="BK8" s="587"/>
      <c r="BM8" s="625"/>
      <c r="BN8" s="625" t="s">
        <v>386</v>
      </c>
      <c r="BO8" s="625">
        <v>2021</v>
      </c>
      <c r="BP8" s="625">
        <v>2022</v>
      </c>
      <c r="BQ8" s="625">
        <v>2023</v>
      </c>
      <c r="BR8" s="625">
        <v>2024</v>
      </c>
      <c r="BS8" s="625">
        <v>2025</v>
      </c>
      <c r="BT8" s="625">
        <v>2026</v>
      </c>
      <c r="BU8" s="625">
        <v>2027</v>
      </c>
      <c r="BV8" s="625">
        <v>2028</v>
      </c>
      <c r="BW8" s="625">
        <v>2029</v>
      </c>
      <c r="BX8" s="625">
        <v>2030</v>
      </c>
      <c r="BY8" s="625">
        <v>2031</v>
      </c>
      <c r="BZ8" s="625">
        <v>2032</v>
      </c>
      <c r="CA8" s="625">
        <v>2033</v>
      </c>
      <c r="CB8" s="625">
        <v>2034</v>
      </c>
      <c r="CC8" s="625">
        <v>2035</v>
      </c>
    </row>
    <row r="9" spans="1:81" outlineLevel="1" x14ac:dyDescent="0.3">
      <c r="C9" s="587" t="str">
        <f>E9</f>
        <v>W/o EE measures</v>
      </c>
      <c r="E9" s="555" t="s">
        <v>345</v>
      </c>
      <c r="F9" s="590">
        <f>SUM(G9:P9)</f>
        <v>324057.88779611996</v>
      </c>
      <c r="G9" s="591">
        <f>SUM(G10:G14)</f>
        <v>31031.234977777774</v>
      </c>
      <c r="H9" s="591">
        <f>SUM(H10:H14)</f>
        <v>31588.288618029652</v>
      </c>
      <c r="I9" s="591">
        <f t="shared" ref="I9" si="0">SUM(I10:I14)</f>
        <v>31807.950397501038</v>
      </c>
      <c r="J9" s="591">
        <f t="shared" ref="J9" si="1">SUM(J10:J14)</f>
        <v>32046.281334693067</v>
      </c>
      <c r="K9" s="591">
        <f t="shared" ref="K9" si="2">SUM(K10:K14)</f>
        <v>32289.162453489578</v>
      </c>
      <c r="L9" s="591">
        <f t="shared" ref="L9" si="3">SUM(L10:L14)</f>
        <v>32536.653962218275</v>
      </c>
      <c r="M9" s="591">
        <f t="shared" ref="M9" si="4">SUM(M10:M14)</f>
        <v>32793.690417888072</v>
      </c>
      <c r="N9" s="591">
        <f t="shared" ref="N9" si="5">SUM(N10:N14)</f>
        <v>33054.833067545333</v>
      </c>
      <c r="O9" s="591">
        <f t="shared" ref="O9" si="6">SUM(O10:O14)</f>
        <v>33320.136484234717</v>
      </c>
      <c r="P9" s="591">
        <f t="shared" ref="P9:U9" si="7">SUM(P10:P14)</f>
        <v>33589.656082742455</v>
      </c>
      <c r="Q9" s="591">
        <f t="shared" si="7"/>
        <v>33863.448132615697</v>
      </c>
      <c r="R9" s="591">
        <f t="shared" si="7"/>
        <v>34141.56977139732</v>
      </c>
      <c r="S9" s="591">
        <f t="shared" si="7"/>
        <v>34424.079018079712</v>
      </c>
      <c r="T9" s="591">
        <f t="shared" si="7"/>
        <v>34711.034786781376</v>
      </c>
      <c r="U9" s="591">
        <f t="shared" si="7"/>
        <v>35002.496900650134</v>
      </c>
      <c r="V9"/>
      <c r="W9"/>
      <c r="Y9" s="229"/>
      <c r="Z9" s="229"/>
      <c r="AA9" s="229"/>
      <c r="AB9" s="229"/>
      <c r="AC9" s="229"/>
      <c r="AD9" s="229"/>
      <c r="AE9" s="229"/>
      <c r="AF9" s="229"/>
      <c r="AG9" s="229"/>
      <c r="AH9" s="229"/>
      <c r="AI9" s="229"/>
      <c r="AJ9" s="229"/>
      <c r="AK9" s="229"/>
      <c r="AL9" s="229"/>
      <c r="AM9" s="229"/>
      <c r="AN9" s="229"/>
      <c r="AO9" s="229"/>
      <c r="AQ9" s="229"/>
      <c r="AR9" s="229"/>
      <c r="AS9" s="229"/>
      <c r="AT9" s="229"/>
      <c r="AU9" s="229"/>
      <c r="AV9" s="229"/>
      <c r="AW9" s="229"/>
      <c r="AX9" s="229"/>
      <c r="AY9" s="229"/>
      <c r="AZ9" s="229"/>
      <c r="BA9" s="229"/>
      <c r="BB9" s="229"/>
      <c r="BC9" s="229"/>
      <c r="BD9" s="229"/>
      <c r="BE9" s="229"/>
      <c r="BF9" s="229"/>
      <c r="BG9" s="229"/>
      <c r="BK9" s="587" t="s">
        <v>345</v>
      </c>
      <c r="BM9" s="648" t="s">
        <v>388</v>
      </c>
      <c r="BN9" s="590"/>
      <c r="BO9" s="618" cm="1">
        <f t="array" ref="BO9:BO14">Baseline!AC14:AC19</f>
        <v>10049.722222222223</v>
      </c>
      <c r="BP9" s="618" cm="1">
        <f t="array" ref="BP9:BP14">Baseline!AD14:AD19</f>
        <v>10445.590222222223</v>
      </c>
      <c r="BQ9" s="618" cm="1">
        <f t="array" ref="BQ9:BQ14">Baseline!AE14:AE19</f>
        <v>10508.010748344444</v>
      </c>
      <c r="BR9" s="618" cm="1">
        <f t="array" ref="BR9:BR14">Baseline!AF14:AF19</f>
        <v>10575.326125301934</v>
      </c>
      <c r="BS9" s="618" cm="1">
        <f t="array" ref="BS9:BS14">Baseline!AG14:AG19</f>
        <v>10645.246107139308</v>
      </c>
      <c r="BT9" s="618" cm="1">
        <f t="array" ref="BT9:BT14">Baseline!AH14:AH19</f>
        <v>10717.777341427935</v>
      </c>
      <c r="BU9" s="618" cm="1">
        <f t="array" ref="BU9:BU14">Baseline!AI14:AI19</f>
        <v>10792.927234040111</v>
      </c>
      <c r="BV9" s="618" cm="1">
        <f t="array" ref="BV9:BV14">Baseline!AJ14:AJ19</f>
        <v>10870.703947171907</v>
      </c>
      <c r="BW9" s="618" cm="1">
        <f t="array" ref="BW9:BW14">Baseline!AK14:AK19</f>
        <v>10951.116397607773</v>
      </c>
      <c r="BX9" s="618" cm="1">
        <f t="array" ref="BX9:BX14">Baseline!AL14:AL19</f>
        <v>11034.174255225011</v>
      </c>
      <c r="BY9" s="618" cm="1">
        <f t="array" ref="BY9:BY14">Baseline!AM14:AM19</f>
        <v>11119.887941736351</v>
      </c>
      <c r="BZ9" s="618" cm="1">
        <f t="array" ref="BZ9:BZ14">Baseline!AN14:AN19</f>
        <v>11208.268629668899</v>
      </c>
      <c r="CA9" s="618" cm="1">
        <f t="array" ref="CA9:CA14">Baseline!AO14:AO19</f>
        <v>11299.32824157783</v>
      </c>
      <c r="CB9" s="618" cm="1">
        <f t="array" ref="CB9:CB14">Baseline!AP14:AP19</f>
        <v>11393.079449493318</v>
      </c>
      <c r="CC9" s="618" cm="1">
        <f t="array" ref="CC9:CC14">Baseline!AQ14:AQ19</f>
        <v>11489.535674599132</v>
      </c>
    </row>
    <row r="10" spans="1:81" outlineLevel="1" x14ac:dyDescent="0.3">
      <c r="C10" s="587" t="str">
        <f>C9</f>
        <v>W/o EE measures</v>
      </c>
      <c r="E10" s="563" t="s">
        <v>50</v>
      </c>
      <c r="F10" s="592">
        <f>SUM(G10:P10)</f>
        <v>50132.785619247683</v>
      </c>
      <c r="G10" s="593">
        <f>Baseline!AC6</f>
        <v>4398.6111111111104</v>
      </c>
      <c r="H10" s="593">
        <f>Baseline!AD6</f>
        <v>4796.938888888888</v>
      </c>
      <c r="I10" s="593">
        <f>Baseline!AE6</f>
        <v>4854.5021555555568</v>
      </c>
      <c r="J10" s="593">
        <f>Baseline!AF6</f>
        <v>4927.3196878888884</v>
      </c>
      <c r="K10" s="593">
        <f>Baseline!AG6</f>
        <v>5001.2294832072203</v>
      </c>
      <c r="L10" s="593">
        <f>Baseline!AH6</f>
        <v>5076.2479254553282</v>
      </c>
      <c r="M10" s="593">
        <f>Baseline!AI6</f>
        <v>5152.3916443371581</v>
      </c>
      <c r="N10" s="593">
        <f>Baseline!AJ6</f>
        <v>5229.6775190022154</v>
      </c>
      <c r="O10" s="593">
        <f>Baseline!AK6</f>
        <v>5308.1226817872484</v>
      </c>
      <c r="P10" s="593">
        <f>Baseline!AL6</f>
        <v>5387.7445220140553</v>
      </c>
      <c r="Q10" s="593">
        <f>Baseline!AM6</f>
        <v>5468.5606898442657</v>
      </c>
      <c r="R10" s="593">
        <f>Baseline!AN6</f>
        <v>5550.5891001919308</v>
      </c>
      <c r="S10" s="593">
        <f>Baseline!AO6</f>
        <v>5633.8479366948086</v>
      </c>
      <c r="T10" s="593">
        <f>Baseline!AP6</f>
        <v>5718.3556557452293</v>
      </c>
      <c r="U10" s="593">
        <f>Baseline!AQ6</f>
        <v>5804.1309905814087</v>
      </c>
      <c r="V10"/>
      <c r="W10"/>
      <c r="Y10" s="229"/>
      <c r="Z10" s="229"/>
      <c r="AA10" s="229"/>
      <c r="AB10" s="229"/>
      <c r="AC10" s="229"/>
      <c r="AD10" s="229"/>
      <c r="AE10" s="229"/>
      <c r="AF10" s="229"/>
      <c r="AG10" s="229"/>
      <c r="AH10" s="229"/>
      <c r="AI10" s="229"/>
      <c r="AJ10" s="229"/>
      <c r="AK10" s="229"/>
      <c r="AL10" s="229"/>
      <c r="AM10" s="229"/>
      <c r="AN10" s="229"/>
      <c r="AO10" s="229"/>
      <c r="AQ10" s="229"/>
      <c r="AR10" s="229"/>
      <c r="AS10" s="229"/>
      <c r="AT10" s="229"/>
      <c r="AU10" s="229"/>
      <c r="AV10" s="229"/>
      <c r="AW10" s="229"/>
      <c r="AX10" s="229"/>
      <c r="AY10" s="229"/>
      <c r="AZ10" s="229"/>
      <c r="BA10" s="229"/>
      <c r="BB10" s="229"/>
      <c r="BC10" s="229"/>
      <c r="BD10" s="229"/>
      <c r="BE10" s="229"/>
      <c r="BF10" s="229"/>
      <c r="BG10" s="229"/>
      <c r="BK10" s="587" t="s">
        <v>345</v>
      </c>
      <c r="BM10" s="648" t="s">
        <v>389</v>
      </c>
      <c r="BN10" s="592"/>
      <c r="BO10" s="618">
        <v>1381.3888888888887</v>
      </c>
      <c r="BP10" s="618">
        <v>1330.8916666666664</v>
      </c>
      <c r="BQ10" s="618">
        <v>1346.0450333333331</v>
      </c>
      <c r="BR10" s="618">
        <v>1364.6989421666663</v>
      </c>
      <c r="BS10" s="618">
        <v>1383.6224586324993</v>
      </c>
      <c r="BT10" s="618">
        <v>1402.8195248353206</v>
      </c>
      <c r="BU10" s="618">
        <v>1422.2941409910832</v>
      </c>
      <c r="BV10" s="618">
        <v>1442.050366288682</v>
      </c>
      <c r="BW10" s="618">
        <v>1462.092319764238</v>
      </c>
      <c r="BX10" s="618">
        <v>1482.4241811884069</v>
      </c>
      <c r="BY10" s="618">
        <v>1503.0501919668818</v>
      </c>
      <c r="BZ10" s="618">
        <v>1523.9746560543076</v>
      </c>
      <c r="CA10" s="618">
        <v>1545.2019408817894</v>
      </c>
      <c r="CB10" s="618">
        <v>1566.7364782982177</v>
      </c>
      <c r="CC10" s="618">
        <v>1588.5827655255905</v>
      </c>
    </row>
    <row r="11" spans="1:81" outlineLevel="1" x14ac:dyDescent="0.3">
      <c r="C11" s="587" t="str">
        <f t="shared" ref="C11:C14" si="8">C10</f>
        <v>W/o EE measures</v>
      </c>
      <c r="E11" s="563" t="s">
        <v>51</v>
      </c>
      <c r="F11" s="592">
        <f t="shared" ref="F11:F14" si="9">SUM(G11:P11)</f>
        <v>106895.43159849184</v>
      </c>
      <c r="G11" s="593">
        <f>Baseline!AC7</f>
        <v>10535.8815</v>
      </c>
      <c r="H11" s="593">
        <f>Baseline!AD7</f>
        <v>10565.232398437502</v>
      </c>
      <c r="I11" s="593">
        <f>Baseline!AE7</f>
        <v>10596.024181042589</v>
      </c>
      <c r="J11" s="593">
        <f>Baseline!AF7</f>
        <v>10628.275414227639</v>
      </c>
      <c r="K11" s="593">
        <f>Baseline!AG7</f>
        <v>10662.005057906583</v>
      </c>
      <c r="L11" s="593">
        <f>Baseline!AH7</f>
        <v>10697.232472134878</v>
      </c>
      <c r="M11" s="593">
        <f>Baseline!AI7</f>
        <v>10738.450455025293</v>
      </c>
      <c r="N11" s="593">
        <f>Baseline!AJ7</f>
        <v>10780.629357659825</v>
      </c>
      <c r="O11" s="593">
        <f>Baseline!AK7</f>
        <v>10823.781475688736</v>
      </c>
      <c r="P11" s="593">
        <f>Baseline!AL7</f>
        <v>10867.919286368789</v>
      </c>
      <c r="Q11" s="593">
        <f>Baseline!AM7</f>
        <v>10913.055451137174</v>
      </c>
      <c r="R11" s="593">
        <f>Baseline!AN7</f>
        <v>10959.202818222388</v>
      </c>
      <c r="S11" s="593">
        <f>Baseline!AO7</f>
        <v>11006.37442529255</v>
      </c>
      <c r="T11" s="593">
        <f>Baseline!AP7</f>
        <v>11054.583502141741</v>
      </c>
      <c r="U11" s="593">
        <f>Baseline!AQ7</f>
        <v>11103.84347341486</v>
      </c>
      <c r="V11"/>
      <c r="W11"/>
      <c r="Y11" s="229"/>
      <c r="Z11" s="229"/>
      <c r="AA11" s="229"/>
      <c r="AB11" s="229"/>
      <c r="AC11" s="229"/>
      <c r="AD11" s="229"/>
      <c r="AE11" s="229"/>
      <c r="AF11" s="229"/>
      <c r="AG11" s="229"/>
      <c r="AH11" s="229"/>
      <c r="AI11" s="229"/>
      <c r="AJ11" s="229"/>
      <c r="AK11" s="229"/>
      <c r="AL11" s="229"/>
      <c r="AM11" s="229"/>
      <c r="AN11" s="229"/>
      <c r="AO11" s="229"/>
      <c r="AQ11" s="229"/>
      <c r="AR11" s="229"/>
      <c r="AS11" s="229"/>
      <c r="AT11" s="229"/>
      <c r="AU11" s="229"/>
      <c r="AV11" s="229"/>
      <c r="AW11" s="229"/>
      <c r="AX11" s="229"/>
      <c r="AY11" s="229"/>
      <c r="AZ11" s="229"/>
      <c r="BA11" s="229"/>
      <c r="BB11" s="229"/>
      <c r="BC11" s="229"/>
      <c r="BD11" s="229"/>
      <c r="BE11" s="229"/>
      <c r="BF11" s="229"/>
      <c r="BG11" s="229"/>
      <c r="BK11" s="587" t="s">
        <v>345</v>
      </c>
      <c r="BM11" s="648" t="s">
        <v>390</v>
      </c>
      <c r="BN11" s="592"/>
      <c r="BO11" s="618">
        <v>5.833333333333333</v>
      </c>
      <c r="BP11" s="618">
        <v>124.81388888888888</v>
      </c>
      <c r="BQ11" s="618">
        <v>126.27165555555554</v>
      </c>
      <c r="BR11" s="618">
        <v>128.11573038888886</v>
      </c>
      <c r="BS11" s="618">
        <v>129.98746634472218</v>
      </c>
      <c r="BT11" s="618">
        <v>131.88727833989302</v>
      </c>
      <c r="BU11" s="618">
        <v>133.81558751499139</v>
      </c>
      <c r="BV11" s="618">
        <v>135.77282132771623</v>
      </c>
      <c r="BW11" s="618">
        <v>137.75941364763196</v>
      </c>
      <c r="BX11" s="618">
        <v>139.77580485234645</v>
      </c>
      <c r="BY11" s="618">
        <v>141.82244192513164</v>
      </c>
      <c r="BZ11" s="618">
        <v>143.89977855400858</v>
      </c>
      <c r="CA11" s="618">
        <v>146.00827523231871</v>
      </c>
      <c r="CB11" s="618">
        <v>148.14839936080347</v>
      </c>
      <c r="CC11" s="618">
        <v>150.32062535121551</v>
      </c>
    </row>
    <row r="12" spans="1:81" outlineLevel="1" x14ac:dyDescent="0.3">
      <c r="C12" s="587" t="str">
        <f t="shared" si="8"/>
        <v>W/o EE measures</v>
      </c>
      <c r="E12" s="563" t="s">
        <v>52</v>
      </c>
      <c r="F12" s="592">
        <f t="shared" si="9"/>
        <v>55419.912834905401</v>
      </c>
      <c r="G12" s="593">
        <f>Baseline!AC8</f>
        <v>5385.0756999999994</v>
      </c>
      <c r="H12" s="593">
        <f>Baseline!AD8</f>
        <v>5417.2423307032623</v>
      </c>
      <c r="I12" s="593">
        <f>Baseline!AE8</f>
        <v>5450.3686442362277</v>
      </c>
      <c r="J12" s="593">
        <f>Baseline!AF8</f>
        <v>5484.4685950765415</v>
      </c>
      <c r="K12" s="593">
        <f>Baseline!AG8</f>
        <v>5519.5564318341085</v>
      </c>
      <c r="L12" s="593">
        <f>Baseline!AH8</f>
        <v>5555.6467026143164</v>
      </c>
      <c r="M12" s="593">
        <f>Baseline!AI8</f>
        <v>5593.1545212250676</v>
      </c>
      <c r="N12" s="593">
        <f>Baseline!AJ8</f>
        <v>5631.6437889430599</v>
      </c>
      <c r="O12" s="593">
        <f>Baseline!AK8</f>
        <v>5671.129434132431</v>
      </c>
      <c r="P12" s="593">
        <f>Baseline!AL8</f>
        <v>5711.6266861403783</v>
      </c>
      <c r="Q12" s="593">
        <f>Baseline!AM8</f>
        <v>5753.1510808661678</v>
      </c>
      <c r="R12" s="593">
        <f>Baseline!AN8</f>
        <v>5795.7184664405668</v>
      </c>
      <c r="S12" s="593">
        <f>Baseline!AO8</f>
        <v>5839.3450090178249</v>
      </c>
      <c r="T12" s="593">
        <f>Baseline!AP8</f>
        <v>5884.0471986824687</v>
      </c>
      <c r="U12" s="593">
        <f>Baseline!AQ8</f>
        <v>5929.8418554731425</v>
      </c>
      <c r="V12"/>
      <c r="W12"/>
      <c r="Y12" s="229"/>
      <c r="Z12" s="229"/>
      <c r="AA12" s="229"/>
      <c r="AB12" s="229"/>
      <c r="AC12" s="229"/>
      <c r="AD12" s="229"/>
      <c r="AE12" s="229"/>
      <c r="AF12" s="229"/>
      <c r="AG12" s="229"/>
      <c r="AH12" s="229"/>
      <c r="AI12" s="229"/>
      <c r="AJ12" s="229"/>
      <c r="AK12" s="229"/>
      <c r="AL12" s="229"/>
      <c r="AM12" s="229"/>
      <c r="AN12" s="229"/>
      <c r="AO12" s="229"/>
      <c r="AQ12" s="229"/>
      <c r="AR12" s="229"/>
      <c r="AS12" s="229"/>
      <c r="AT12" s="229"/>
      <c r="AU12" s="229"/>
      <c r="AV12" s="229"/>
      <c r="AW12" s="229"/>
      <c r="AX12" s="229"/>
      <c r="AY12" s="229"/>
      <c r="AZ12" s="229"/>
      <c r="BA12" s="229"/>
      <c r="BB12" s="229"/>
      <c r="BC12" s="229"/>
      <c r="BD12" s="229"/>
      <c r="BE12" s="229"/>
      <c r="BF12" s="229"/>
      <c r="BG12" s="229"/>
      <c r="BK12" s="587" t="s">
        <v>345</v>
      </c>
      <c r="BM12" s="648" t="s">
        <v>391</v>
      </c>
      <c r="BN12" s="592"/>
      <c r="BO12" s="618">
        <v>781.3888888888888</v>
      </c>
      <c r="BP12" s="618">
        <v>878.25683333333336</v>
      </c>
      <c r="BQ12" s="618">
        <v>889.37120410833325</v>
      </c>
      <c r="BR12" s="618">
        <v>901.36054284668364</v>
      </c>
      <c r="BS12" s="618">
        <v>913.57854237096421</v>
      </c>
      <c r="BT12" s="618">
        <v>926.02824600445024</v>
      </c>
      <c r="BU12" s="618">
        <v>938.71276265776567</v>
      </c>
      <c r="BV12" s="618">
        <v>951.63526765006043</v>
      </c>
      <c r="BW12" s="618">
        <v>964.79900355066059</v>
      </c>
      <c r="BX12" s="618">
        <v>978.20728104142847</v>
      </c>
      <c r="BY12" s="618">
        <v>991.86347980008009</v>
      </c>
      <c r="BZ12" s="618">
        <v>1005.7710494047093</v>
      </c>
      <c r="CA12" s="618">
        <v>1019.9335102597842</v>
      </c>
      <c r="CB12" s="618">
        <v>1034.354454543877</v>
      </c>
      <c r="CC12" s="618">
        <v>1049.0375471794057</v>
      </c>
    </row>
    <row r="13" spans="1:81" outlineLevel="1" x14ac:dyDescent="0.3">
      <c r="C13" s="587" t="str">
        <f t="shared" si="8"/>
        <v>W/o EE measures</v>
      </c>
      <c r="E13" s="563" t="s">
        <v>53</v>
      </c>
      <c r="F13" s="592">
        <f t="shared" si="9"/>
        <v>101701.42441014174</v>
      </c>
      <c r="G13" s="593">
        <f>Baseline!AC9</f>
        <v>9720.8333333333339</v>
      </c>
      <c r="H13" s="593">
        <f>Baseline!AD9</f>
        <v>9818.0416666666679</v>
      </c>
      <c r="I13" s="593">
        <f>Baseline!AE9</f>
        <v>9916.222083333334</v>
      </c>
      <c r="J13" s="593">
        <f>Baseline!AF9</f>
        <v>10015.384304166668</v>
      </c>
      <c r="K13" s="593">
        <f>Baseline!AG9</f>
        <v>10115.538147208335</v>
      </c>
      <c r="L13" s="593">
        <f>Baseline!AH9</f>
        <v>10216.693528680418</v>
      </c>
      <c r="M13" s="593">
        <f>Baseline!AI9</f>
        <v>10318.860463967223</v>
      </c>
      <c r="N13" s="593">
        <f>Baseline!AJ9</f>
        <v>10422.049068606895</v>
      </c>
      <c r="O13" s="593">
        <f>Baseline!AK9</f>
        <v>10526.269559292965</v>
      </c>
      <c r="P13" s="593">
        <f>Baseline!AL9</f>
        <v>10631.532254885895</v>
      </c>
      <c r="Q13" s="593">
        <f>Baseline!AM9</f>
        <v>10737.847577434753</v>
      </c>
      <c r="R13" s="593">
        <f>Baseline!AN9</f>
        <v>10845.2260532091</v>
      </c>
      <c r="S13" s="593">
        <f>Baseline!AO9</f>
        <v>10953.678313741191</v>
      </c>
      <c r="T13" s="593">
        <f>Baseline!AP9</f>
        <v>11063.215096878603</v>
      </c>
      <c r="U13" s="593">
        <f>Baseline!AQ9</f>
        <v>11173.847247847389</v>
      </c>
      <c r="V13"/>
      <c r="W13"/>
      <c r="Y13" s="229"/>
      <c r="Z13" s="229"/>
      <c r="AA13" s="229"/>
      <c r="AB13" s="229"/>
      <c r="AC13" s="229"/>
      <c r="AD13" s="229"/>
      <c r="AE13" s="229"/>
      <c r="AF13" s="229"/>
      <c r="AG13" s="229"/>
      <c r="AH13" s="229"/>
      <c r="AI13" s="229"/>
      <c r="AJ13" s="229"/>
      <c r="AK13" s="229"/>
      <c r="AL13" s="229"/>
      <c r="AM13" s="229"/>
      <c r="AN13" s="229"/>
      <c r="AO13" s="229"/>
      <c r="AQ13" s="229"/>
      <c r="AR13" s="229"/>
      <c r="AS13" s="229"/>
      <c r="AT13" s="229"/>
      <c r="AU13" s="229"/>
      <c r="AV13" s="229"/>
      <c r="AW13" s="229"/>
      <c r="AX13" s="229"/>
      <c r="AY13" s="229"/>
      <c r="AZ13" s="229"/>
      <c r="BA13" s="229"/>
      <c r="BB13" s="229"/>
      <c r="BC13" s="229"/>
      <c r="BD13" s="229"/>
      <c r="BE13" s="229"/>
      <c r="BF13" s="229"/>
      <c r="BG13" s="229"/>
      <c r="BK13" s="587" t="s">
        <v>345</v>
      </c>
      <c r="BM13" s="648" t="s">
        <v>392</v>
      </c>
      <c r="BN13" s="592"/>
      <c r="BO13" s="618">
        <v>11760.36413888889</v>
      </c>
      <c r="BP13" s="618">
        <v>11775.381003582776</v>
      </c>
      <c r="BQ13" s="618">
        <v>11799.737793833589</v>
      </c>
      <c r="BR13" s="618">
        <v>11827.019909230195</v>
      </c>
      <c r="BS13" s="618">
        <v>11855.842970272412</v>
      </c>
      <c r="BT13" s="618">
        <v>11886.226061283594</v>
      </c>
      <c r="BU13" s="618">
        <v>11924.24277947966</v>
      </c>
      <c r="BV13" s="618">
        <v>11963.381171284229</v>
      </c>
      <c r="BW13" s="618">
        <v>12003.655707826209</v>
      </c>
      <c r="BX13" s="618">
        <v>12045.081106889727</v>
      </c>
      <c r="BY13" s="618">
        <v>12087.672336805814</v>
      </c>
      <c r="BZ13" s="618">
        <v>12131.444620410319</v>
      </c>
      <c r="CA13" s="618">
        <v>12176.413439069283</v>
      </c>
      <c r="CB13" s="618">
        <v>12222.594536772849</v>
      </c>
      <c r="CC13" s="618">
        <v>12270.003924298955</v>
      </c>
    </row>
    <row r="14" spans="1:81" outlineLevel="1" x14ac:dyDescent="0.3">
      <c r="C14" s="587" t="str">
        <f t="shared" si="8"/>
        <v>W/o EE measures</v>
      </c>
      <c r="E14" s="563" t="s">
        <v>54</v>
      </c>
      <c r="F14" s="592">
        <f t="shared" si="9"/>
        <v>9908.3333333333339</v>
      </c>
      <c r="G14" s="593">
        <f>Baseline!AC10</f>
        <v>990.83333333333337</v>
      </c>
      <c r="H14" s="593">
        <f>Baseline!AD10</f>
        <v>990.83333333333337</v>
      </c>
      <c r="I14" s="593">
        <f>Baseline!AE10</f>
        <v>990.83333333333337</v>
      </c>
      <c r="J14" s="593">
        <f>Baseline!AF10</f>
        <v>990.83333333333337</v>
      </c>
      <c r="K14" s="593">
        <f>Baseline!AG10</f>
        <v>990.83333333333337</v>
      </c>
      <c r="L14" s="593">
        <f>Baseline!AH10</f>
        <v>990.83333333333337</v>
      </c>
      <c r="M14" s="593">
        <f>Baseline!AI10</f>
        <v>990.83333333333337</v>
      </c>
      <c r="N14" s="593">
        <f>Baseline!AJ10</f>
        <v>990.83333333333337</v>
      </c>
      <c r="O14" s="593">
        <f>Baseline!AK10</f>
        <v>990.83333333333337</v>
      </c>
      <c r="P14" s="593">
        <f>Baseline!AL10</f>
        <v>990.83333333333337</v>
      </c>
      <c r="Q14" s="593">
        <f>Baseline!AM10</f>
        <v>990.83333333333337</v>
      </c>
      <c r="R14" s="593">
        <f>Baseline!AN10</f>
        <v>990.83333333333337</v>
      </c>
      <c r="S14" s="593">
        <f>Baseline!AO10</f>
        <v>990.83333333333337</v>
      </c>
      <c r="T14" s="593">
        <f>Baseline!AP10</f>
        <v>990.83333333333337</v>
      </c>
      <c r="U14" s="593">
        <f>Baseline!AQ10</f>
        <v>990.83333333333337</v>
      </c>
      <c r="V14"/>
      <c r="W14"/>
      <c r="Y14" s="229"/>
      <c r="Z14" s="229"/>
      <c r="AA14" s="229"/>
      <c r="AB14" s="229"/>
      <c r="AC14" s="229"/>
      <c r="AD14" s="229"/>
      <c r="AE14" s="229"/>
      <c r="AF14" s="229"/>
      <c r="AG14" s="229"/>
      <c r="AH14" s="229"/>
      <c r="AI14" s="229"/>
      <c r="AJ14" s="229"/>
      <c r="AK14" s="229"/>
      <c r="AL14" s="229"/>
      <c r="AM14" s="229"/>
      <c r="AN14" s="229"/>
      <c r="AO14" s="229"/>
      <c r="AQ14" s="229"/>
      <c r="AR14" s="229"/>
      <c r="AS14" s="229"/>
      <c r="AT14" s="229"/>
      <c r="AU14" s="229"/>
      <c r="AV14" s="229"/>
      <c r="AW14" s="229"/>
      <c r="AX14" s="229"/>
      <c r="AY14" s="229"/>
      <c r="AZ14" s="229"/>
      <c r="BA14" s="229"/>
      <c r="BB14" s="229"/>
      <c r="BC14" s="229"/>
      <c r="BD14" s="229"/>
      <c r="BE14" s="229"/>
      <c r="BF14" s="229"/>
      <c r="BG14" s="229"/>
      <c r="BK14" s="587" t="s">
        <v>345</v>
      </c>
      <c r="BM14" s="648" t="s">
        <v>393</v>
      </c>
      <c r="BN14" s="592"/>
      <c r="BO14" s="618">
        <v>7052.537505555556</v>
      </c>
      <c r="BP14" s="618">
        <v>7033.3550033357724</v>
      </c>
      <c r="BQ14" s="618">
        <v>7138.5139623257865</v>
      </c>
      <c r="BR14" s="618">
        <v>7249.7600847587055</v>
      </c>
      <c r="BS14" s="618">
        <v>7360.8849087296749</v>
      </c>
      <c r="BT14" s="618">
        <v>7471.9155103270814</v>
      </c>
      <c r="BU14" s="618">
        <v>7581.6979132044662</v>
      </c>
      <c r="BV14" s="618">
        <v>7691.2894938227355</v>
      </c>
      <c r="BW14" s="618">
        <v>7800.7136418382033</v>
      </c>
      <c r="BX14" s="618">
        <v>7909.9934535455332</v>
      </c>
      <c r="BY14" s="618">
        <v>8019.1517403814414</v>
      </c>
      <c r="BZ14" s="618">
        <v>8128.21103730508</v>
      </c>
      <c r="CA14" s="618">
        <v>8237.1936110587012</v>
      </c>
      <c r="CB14" s="618">
        <v>8346.1214683123108</v>
      </c>
      <c r="CC14" s="618">
        <v>8455.0163636958368</v>
      </c>
    </row>
    <row r="15" spans="1:81" outlineLevel="1" x14ac:dyDescent="0.3">
      <c r="C15" s="587" t="str">
        <f>E15</f>
        <v>Baseline</v>
      </c>
      <c r="D15" s="873"/>
      <c r="E15" s="555" t="str">
        <f>'EE Measures'!$IF$6</f>
        <v>Baseline</v>
      </c>
      <c r="F15" s="590">
        <f>SUM(G15:P15)</f>
        <v>318596.27043498331</v>
      </c>
      <c r="G15" s="591">
        <f>SUM(G16:G20)</f>
        <v>30834.115614794839</v>
      </c>
      <c r="H15" s="591">
        <f>SUM(H16:H20)</f>
        <v>31352.792635487149</v>
      </c>
      <c r="I15" s="591">
        <f t="shared" ref="I15" si="10">SUM(I16:I20)</f>
        <v>31543.634545411875</v>
      </c>
      <c r="J15" s="591">
        <f t="shared" ref="J15" si="11">SUM(J16:J20)</f>
        <v>31595.771275629821</v>
      </c>
      <c r="K15" s="591">
        <f t="shared" ref="K15" si="12">SUM(K16:K20)</f>
        <v>31686.874586205853</v>
      </c>
      <c r="L15" s="591">
        <f t="shared" ref="L15" si="13">SUM(L16:L20)</f>
        <v>31866.140962089648</v>
      </c>
      <c r="M15" s="591">
        <f t="shared" ref="M15" si="14">SUM(M16:M20)</f>
        <v>32061.859238578156</v>
      </c>
      <c r="N15" s="591">
        <f t="shared" ref="N15" si="15">SUM(N16:N20)</f>
        <v>32304.102375044633</v>
      </c>
      <c r="O15" s="591">
        <f t="shared" ref="O15" si="16">SUM(O16:O20)</f>
        <v>32550.343072228428</v>
      </c>
      <c r="P15" s="591">
        <f t="shared" ref="P15:U15" si="17">SUM(P16:P20)</f>
        <v>32800.636129512888</v>
      </c>
      <c r="Q15" s="591">
        <f t="shared" si="17"/>
        <v>33055.037159873413</v>
      </c>
      <c r="R15" s="591">
        <f t="shared" si="17"/>
        <v>33313.602602372128</v>
      </c>
      <c r="S15" s="591">
        <f t="shared" si="17"/>
        <v>33576.389734903569</v>
      </c>
      <c r="T15" s="591">
        <f t="shared" si="17"/>
        <v>33843.456687193822</v>
      </c>
      <c r="U15" s="591">
        <f t="shared" si="17"/>
        <v>34114.862454055095</v>
      </c>
      <c r="V15"/>
      <c r="W15"/>
      <c r="Y15" s="555" t="str">
        <f>'EE Measures'!$IF$6</f>
        <v>Baseline</v>
      </c>
      <c r="Z15" s="590">
        <f>SUM(AA15:AJ15)</f>
        <v>-5461.6173611366758</v>
      </c>
      <c r="AA15" s="591">
        <f>SUM(AA16:AA20)</f>
        <v>-197.11936298293813</v>
      </c>
      <c r="AB15" s="591">
        <f>SUM(AB16:AB20)</f>
        <v>-235.49598254250483</v>
      </c>
      <c r="AC15" s="591">
        <f t="shared" ref="AC15:AJ15" si="18">SUM(AC16:AC20)</f>
        <v>-264.31585208916869</v>
      </c>
      <c r="AD15" s="591">
        <f t="shared" si="18"/>
        <v>-450.51005906325156</v>
      </c>
      <c r="AE15" s="591">
        <f t="shared" si="18"/>
        <v>-602.28786728372665</v>
      </c>
      <c r="AF15" s="591">
        <f t="shared" si="18"/>
        <v>-670.51300012862475</v>
      </c>
      <c r="AG15" s="591">
        <f t="shared" si="18"/>
        <v>-731.83117930991762</v>
      </c>
      <c r="AH15" s="591">
        <f t="shared" si="18"/>
        <v>-750.73069250069773</v>
      </c>
      <c r="AI15" s="591">
        <f t="shared" si="18"/>
        <v>-769.79341200628392</v>
      </c>
      <c r="AJ15" s="591">
        <f t="shared" si="18"/>
        <v>-789.01995322956168</v>
      </c>
      <c r="AK15" s="591">
        <f t="shared" ref="AK15:AO15" si="19">SUM(AK16:AK20)</f>
        <v>-808.41097274228082</v>
      </c>
      <c r="AL15" s="591">
        <f t="shared" si="19"/>
        <v>-827.96716902519438</v>
      </c>
      <c r="AM15" s="591">
        <f t="shared" si="19"/>
        <v>-847.68928317613643</v>
      </c>
      <c r="AN15" s="591">
        <f t="shared" si="19"/>
        <v>-867.57809958755149</v>
      </c>
      <c r="AO15" s="591">
        <f t="shared" si="19"/>
        <v>-887.63444659503921</v>
      </c>
      <c r="AP15" s="898">
        <f>SUM(AD15:AO15)</f>
        <v>-9003.9661346482662</v>
      </c>
      <c r="AQ15" s="967" t="s">
        <v>13</v>
      </c>
      <c r="AR15" s="590">
        <f>SUM(AS15:BB15)</f>
        <v>-5461.6173611366758</v>
      </c>
      <c r="AS15" s="591">
        <f t="shared" ref="AS15:BB15" si="20">SUM(AS16:AS20)</f>
        <v>-197.11936298293813</v>
      </c>
      <c r="AT15" s="591">
        <f t="shared" si="20"/>
        <v>-235.49598254250481</v>
      </c>
      <c r="AU15" s="591">
        <f t="shared" si="20"/>
        <v>-264.31585208916869</v>
      </c>
      <c r="AV15" s="591">
        <f t="shared" si="20"/>
        <v>-450.51005906325162</v>
      </c>
      <c r="AW15" s="591">
        <f t="shared" si="20"/>
        <v>-602.28786728372677</v>
      </c>
      <c r="AX15" s="591">
        <f t="shared" si="20"/>
        <v>-670.51300012862464</v>
      </c>
      <c r="AY15" s="591">
        <f t="shared" si="20"/>
        <v>-731.83117930991762</v>
      </c>
      <c r="AZ15" s="591">
        <f t="shared" si="20"/>
        <v>-750.73069250069784</v>
      </c>
      <c r="BA15" s="591">
        <f t="shared" si="20"/>
        <v>-769.7934120062838</v>
      </c>
      <c r="BB15" s="591">
        <f t="shared" si="20"/>
        <v>-789.01995322956145</v>
      </c>
      <c r="BC15" s="591">
        <f t="shared" ref="BC15:BG15" si="21">SUM(BC16:BC20)</f>
        <v>-808.41097274228071</v>
      </c>
      <c r="BD15" s="591">
        <f t="shared" si="21"/>
        <v>-827.96716902519438</v>
      </c>
      <c r="BE15" s="591">
        <f t="shared" si="21"/>
        <v>-847.68928317613643</v>
      </c>
      <c r="BF15" s="591">
        <f t="shared" si="21"/>
        <v>-867.57809958755149</v>
      </c>
      <c r="BG15" s="591">
        <f t="shared" si="21"/>
        <v>-887.63444659503909</v>
      </c>
      <c r="BH15" s="1214">
        <f>AR15-Z15</f>
        <v>0</v>
      </c>
      <c r="BK15" s="587" t="s">
        <v>13</v>
      </c>
      <c r="BL15" s="873"/>
      <c r="BM15" s="648" t="s">
        <v>388</v>
      </c>
      <c r="BN15" s="590"/>
      <c r="BO15" s="541">
        <f>BO$9-SUMPRODUCT('EE Measures'!BH$8:BH$86,'EE Measures'!$S$8:$S$86,'EE Measures'!$IF$8:$IF$86)</f>
        <v>10034.429121932433</v>
      </c>
      <c r="BP15" s="541">
        <f>BP$9-SUMPRODUCT('EE Measures'!BI$8:BI$86,'EE Measures'!$S$8:$S$86,'EE Measures'!$IF$8:$IF$86)</f>
        <v>10421.289188636691</v>
      </c>
      <c r="BQ15" s="541">
        <f>BQ$9-SUMPRODUCT('EE Measures'!BJ$8:BJ$86,'EE Measures'!$S$8:$S$86,'EE Measures'!$IF$8:$IF$86)</f>
        <v>10476.884931639306</v>
      </c>
      <c r="BR15" s="541">
        <f>BR$9-SUMPRODUCT('EE Measures'!BK$8:BK$86,'EE Measures'!$S$8:$S$86,'EE Measures'!$IF$8:$IF$86)</f>
        <v>10443.647243048894</v>
      </c>
      <c r="BS15" s="541">
        <f>BS$9-SUMPRODUCT('EE Measures'!BL$8:BL$86,'EE Measures'!$S$8:$S$86,'EE Measures'!$IF$8:$IF$86)</f>
        <v>10458.616507227769</v>
      </c>
      <c r="BT15" s="541">
        <f>BT$9-SUMPRODUCT('EE Measures'!BM$8:BM$86,'EE Measures'!$S$8:$S$86,'EE Measures'!$IF$8:$IF$86)</f>
        <v>10525.018723454295</v>
      </c>
      <c r="BU15" s="541">
        <f>BU$9-SUMPRODUCT('EE Measures'!BN$8:BN$86,'EE Measures'!$S$8:$S$86,'EE Measures'!$IF$8:$IF$86)</f>
        <v>10594.746075061037</v>
      </c>
      <c r="BV15" s="541">
        <f>BV$9-SUMPRODUCT('EE Measures'!BO$8:BO$86,'EE Measures'!$S$8:$S$86,'EE Measures'!$IF$8:$IF$86)</f>
        <v>10671.452895609438</v>
      </c>
      <c r="BW15" s="541">
        <f>BW$9-SUMPRODUCT('EE Measures'!BP$8:BP$86,'EE Measures'!$S$8:$S$86,'EE Measures'!$IF$8:$IF$86)</f>
        <v>10750.771627560423</v>
      </c>
      <c r="BX15" s="541">
        <f>BX$9-SUMPRODUCT('EE Measures'!BQ$8:BQ$86,'EE Measures'!$S$8:$S$86,'EE Measures'!$IF$8:$IF$86)</f>
        <v>10832.711446551943</v>
      </c>
      <c r="BY15" s="541">
        <f>BY$9-SUMPRODUCT('EE Measures'!BR$8:BR$86,'EE Measures'!$S$8:$S$86,'EE Measures'!$IF$8:$IF$86)</f>
        <v>10917.282274671759</v>
      </c>
      <c r="BZ15" s="541">
        <f>BZ$9-SUMPRODUCT('EE Measures'!BS$8:BS$86,'EE Measures'!$S$8:$S$86,'EE Measures'!$IF$8:$IF$86)</f>
        <v>11004.494779506669</v>
      </c>
      <c r="CA15" s="541">
        <f>CA$9-SUMPRODUCT('EE Measures'!BT$8:BT$86,'EE Measures'!$S$8:$S$86,'EE Measures'!$IF$8:$IF$86)</f>
        <v>11094.360373424728</v>
      </c>
      <c r="CB15" s="541">
        <f>CB$9-SUMPRODUCT('EE Measures'!BU$8:BU$86,'EE Measures'!$S$8:$S$86,'EE Measures'!$IF$8:$IF$86)</f>
        <v>11186.891213088556</v>
      </c>
      <c r="CC15" s="541">
        <f>CC$9-SUMPRODUCT('EE Measures'!BV$8:BV$86,'EE Measures'!$S$8:$S$86,'EE Measures'!$IF$8:$IF$86)</f>
        <v>11282.100199197766</v>
      </c>
    </row>
    <row r="16" spans="1:81" outlineLevel="1" x14ac:dyDescent="0.3">
      <c r="C16" s="587" t="str">
        <f>C15</f>
        <v>Baseline</v>
      </c>
      <c r="E16" s="563" t="s">
        <v>50</v>
      </c>
      <c r="F16" s="592">
        <f>SUM(G16:P16)</f>
        <v>47946.248847615003</v>
      </c>
      <c r="G16" s="593">
        <f t="shared" ref="G16:P16" si="22">G$10+AA16</f>
        <v>4292.8294941331924</v>
      </c>
      <c r="H16" s="593">
        <f t="shared" si="22"/>
        <v>4685.8298233046435</v>
      </c>
      <c r="I16" s="593">
        <f t="shared" si="22"/>
        <v>4741.3140790213711</v>
      </c>
      <c r="J16" s="593">
        <f t="shared" si="22"/>
        <v>4783.0326917623852</v>
      </c>
      <c r="K16" s="593">
        <f t="shared" si="22"/>
        <v>4790.9477675343642</v>
      </c>
      <c r="L16" s="593">
        <f t="shared" si="22"/>
        <v>4814.3026496274979</v>
      </c>
      <c r="M16" s="593">
        <f t="shared" si="22"/>
        <v>4845.817015083966</v>
      </c>
      <c r="N16" s="593">
        <f t="shared" si="22"/>
        <v>4920.8525438574634</v>
      </c>
      <c r="O16" s="593">
        <f t="shared" si="22"/>
        <v>4997.0116175868116</v>
      </c>
      <c r="P16" s="593">
        <f t="shared" si="22"/>
        <v>5074.3111657033078</v>
      </c>
      <c r="Q16" s="593">
        <f t="shared" ref="Q16:U16" si="23">Q$10+AK16</f>
        <v>5152.7683719556962</v>
      </c>
      <c r="R16" s="593">
        <f t="shared" si="23"/>
        <v>5232.4006782917741</v>
      </c>
      <c r="S16" s="593">
        <f t="shared" si="23"/>
        <v>5313.2257887995111</v>
      </c>
      <c r="T16" s="593">
        <f t="shared" si="23"/>
        <v>5395.2616737082144</v>
      </c>
      <c r="U16" s="593">
        <f t="shared" si="23"/>
        <v>5478.52657345023</v>
      </c>
      <c r="V16"/>
      <c r="W16"/>
      <c r="Y16" s="563" t="s">
        <v>50</v>
      </c>
      <c r="Z16" s="592">
        <f>SUM(AA16:AJ16)</f>
        <v>-2186.5367716326678</v>
      </c>
      <c r="AA16" s="593">
        <f>-SUMPRODUCT('EE Measures'!BH$8:BH$86,'EE Measures'!$N$8:$N$86,'EE Measures'!$IF$8:$IF$86)</f>
        <v>-105.78161697791808</v>
      </c>
      <c r="AB16" s="593">
        <f>-SUMPRODUCT('EE Measures'!BI$8:BI$86,'EE Measures'!$N$8:$N$86,'EE Measures'!$IF$8:$IF$86)</f>
        <v>-111.10906558424406</v>
      </c>
      <c r="AC16" s="593">
        <f>-SUMPRODUCT('EE Measures'!BJ$8:BJ$86,'EE Measures'!$N$8:$N$86,'EE Measures'!$IF$8:$IF$86)</f>
        <v>-113.18807653418617</v>
      </c>
      <c r="AD16" s="593">
        <f>-SUMPRODUCT('EE Measures'!BK$8:BK$86,'EE Measures'!$N$8:$N$86,'EE Measures'!$IF$8:$IF$86)</f>
        <v>-144.28699612650331</v>
      </c>
      <c r="AE16" s="593">
        <f>-SUMPRODUCT('EE Measures'!BL$8:BL$86,'EE Measures'!$N$8:$N$86,'EE Measures'!$IF$8:$IF$86)</f>
        <v>-210.28171567285588</v>
      </c>
      <c r="AF16" s="593">
        <f>-SUMPRODUCT('EE Measures'!BM$8:BM$86,'EE Measures'!$N$8:$N$86,'EE Measures'!$IF$8:$IF$86)</f>
        <v>-261.94527582783059</v>
      </c>
      <c r="AG16" s="593">
        <f>-SUMPRODUCT('EE Measures'!BN$8:BN$86,'EE Measures'!$N$8:$N$86,'EE Measures'!$IF$8:$IF$86)</f>
        <v>-306.57462925319226</v>
      </c>
      <c r="AH16" s="593">
        <f>-SUMPRODUCT('EE Measures'!BO$8:BO$86,'EE Measures'!$N$8:$N$86,'EE Measures'!$IF$8:$IF$86)</f>
        <v>-308.82497514475244</v>
      </c>
      <c r="AI16" s="593">
        <f>-SUMPRODUCT('EE Measures'!BP$8:BP$86,'EE Measures'!$N$8:$N$86,'EE Measures'!$IF$8:$IF$86)</f>
        <v>-311.11106420043689</v>
      </c>
      <c r="AJ16" s="593">
        <f>-SUMPRODUCT('EE Measures'!BQ$8:BQ$86,'EE Measures'!$N$8:$N$86,'EE Measures'!$IF$8:$IF$86)</f>
        <v>-313.43335631074785</v>
      </c>
      <c r="AK16" s="593">
        <f>-SUMPRODUCT('EE Measures'!BR$8:BR$86,'EE Measures'!$N$8:$N$86,'EE Measures'!$IF$8:$IF$86)</f>
        <v>-315.79231788856941</v>
      </c>
      <c r="AL16" s="593">
        <f>-SUMPRODUCT('EE Measures'!BS$8:BS$86,'EE Measures'!$N$8:$N$86,'EE Measures'!$IF$8:$IF$86)</f>
        <v>-318.18842190015653</v>
      </c>
      <c r="AM16" s="593">
        <f>-SUMPRODUCT('EE Measures'!BT$8:BT$86,'EE Measures'!$N$8:$N$86,'EE Measures'!$IF$8:$IF$86)</f>
        <v>-320.62214789529742</v>
      </c>
      <c r="AN16" s="593">
        <f>-SUMPRODUCT('EE Measures'!BU$8:BU$86,'EE Measures'!$N$8:$N$86,'EE Measures'!$IF$8:$IF$86)</f>
        <v>-323.09398203701511</v>
      </c>
      <c r="AO16" s="593">
        <f>-SUMPRODUCT('EE Measures'!BV$8:BV$86,'EE Measures'!$N$8:$N$86,'EE Measures'!$IF$8:$IF$86)</f>
        <v>-325.60441713117876</v>
      </c>
      <c r="AP16" s="898">
        <f t="shared" ref="AP16:AP56" si="24">SUM(AD16:AO16)</f>
        <v>-3459.7592993885364</v>
      </c>
      <c r="AQ16" s="554" t="str" cm="1">
        <f t="array" ref="AQ16:AQ20">_xlfn.ANCHORARRAY(Assumptions!C698)</f>
        <v xml:space="preserve">Põhja-Eesti </v>
      </c>
      <c r="AR16" s="592">
        <f>SUM(AS16:BB16)</f>
        <v>-2671.7572745726911</v>
      </c>
      <c r="AS16" s="593">
        <f>-SUMPRODUCT('EE Measures'!BH$8:BH$86,'EE Measures'!$Y$8:$Y$86,'EE Measures'!$IF$8:$IF$86)</f>
        <v>-104.91789714585629</v>
      </c>
      <c r="AT16" s="593">
        <f>-SUMPRODUCT('EE Measures'!BI$8:BI$86,'EE Measures'!$Y$8:$Y$86,'EE Measures'!$IF$8:$IF$86)</f>
        <v>-122.40793029879006</v>
      </c>
      <c r="AU16" s="593">
        <f>-SUMPRODUCT('EE Measures'!BJ$8:BJ$86,'EE Measures'!$Y$8:$Y$86,'EE Measures'!$IF$8:$IF$86)</f>
        <v>-134.57701751827977</v>
      </c>
      <c r="AV16" s="593">
        <f>-SUMPRODUCT('EE Measures'!BK$8:BK$86,'EE Measures'!$Y$8:$Y$86,'EE Measures'!$IF$8:$IF$86)</f>
        <v>-220.1126661462196</v>
      </c>
      <c r="AW16" s="593">
        <f>-SUMPRODUCT('EE Measures'!BL$8:BL$86,'EE Measures'!$Y$8:$Y$86,'EE Measures'!$IF$8:$IF$86)</f>
        <v>-292.12793932765123</v>
      </c>
      <c r="AX16" s="593">
        <f>-SUMPRODUCT('EE Measures'!BM$8:BM$86,'EE Measures'!$Y$8:$Y$86,'EE Measures'!$IF$8:$IF$86)</f>
        <v>-325.58320099831008</v>
      </c>
      <c r="AY16" s="593">
        <f>-SUMPRODUCT('EE Measures'!BN$8:BN$86,'EE Measures'!$Y$8:$Y$86,'EE Measures'!$IF$8:$IF$86)</f>
        <v>-355.50432386886433</v>
      </c>
      <c r="AZ16" s="593">
        <f>-SUMPRODUCT('EE Measures'!BO$8:BO$86,'EE Measures'!$Y$8:$Y$86,'EE Measures'!$IF$8:$IF$86)</f>
        <v>-363.78969376002266</v>
      </c>
      <c r="BA16" s="593">
        <f>-SUMPRODUCT('EE Measures'!BP$8:BP$86,'EE Measures'!$Y$8:$Y$86,'EE Measures'!$IF$8:$IF$86)</f>
        <v>-372.15025695069289</v>
      </c>
      <c r="BB16" s="593">
        <f>-SUMPRODUCT('EE Measures'!BQ$8:BQ$86,'EE Measures'!$Y$8:$Y$86,'EE Measures'!$IF$8:$IF$86)</f>
        <v>-380.58634855800454</v>
      </c>
      <c r="BC16" s="593">
        <f>-SUMPRODUCT('EE Measures'!BR$8:BR$86,'EE Measures'!$Y$8:$Y$86,'EE Measures'!$IF$8:$IF$86)</f>
        <v>-389.09832205025691</v>
      </c>
      <c r="BD16" s="593">
        <f>-SUMPRODUCT('EE Measures'!BS$8:BS$86,'EE Measures'!$Y$8:$Y$86,'EE Measures'!$IF$8:$IF$86)</f>
        <v>-397.68654957965367</v>
      </c>
      <c r="BE16" s="593">
        <f>-SUMPRODUCT('EE Measures'!BT$8:BT$86,'EE Measures'!$Y$8:$Y$86,'EE Measures'!$IF$8:$IF$86)</f>
        <v>-406.35142230136773</v>
      </c>
      <c r="BF16" s="593">
        <f>-SUMPRODUCT('EE Measures'!BU$8:BU$86,'EE Measures'!$Y$8:$Y$86,'EE Measures'!$IF$8:$IF$86)</f>
        <v>-415.09335067960001</v>
      </c>
      <c r="BG16" s="593">
        <f>-SUMPRODUCT('EE Measures'!BV$8:BV$86,'EE Measures'!$Y$8:$Y$86,'EE Measures'!$IF$8:$IF$86)</f>
        <v>-423.91276478131738</v>
      </c>
      <c r="BH16" s="867">
        <f>AR16/$AR$15</f>
        <v>0.48918792692878121</v>
      </c>
      <c r="BI16" s="965"/>
      <c r="BK16" s="587" t="s">
        <v>13</v>
      </c>
      <c r="BM16" s="648" t="s">
        <v>389</v>
      </c>
      <c r="BN16" s="592"/>
      <c r="BO16" s="541">
        <f>BO$10-SUMPRODUCT('EE Measures'!BH$8:BH$86,'EE Measures'!$T$8:$T$86,'EE Measures'!$IF$8:$IF$86)</f>
        <v>1364.15226584436</v>
      </c>
      <c r="BP16" s="541">
        <f>BP$10-SUMPRODUCT('EE Measures'!BI$8:BI$86,'EE Measures'!$T$8:$T$86,'EE Measures'!$IF$8:$IF$86)</f>
        <v>1312.4605528581449</v>
      </c>
      <c r="BQ16" s="541">
        <f>BQ$10-SUMPRODUCT('EE Measures'!BJ$8:BJ$86,'EE Measures'!$T$8:$T$86,'EE Measures'!$IF$8:$IF$86)</f>
        <v>1327.3755036095649</v>
      </c>
      <c r="BR16" s="541">
        <f>BR$10-SUMPRODUCT('EE Measures'!BK$8:BK$86,'EE Measures'!$T$8:$T$86,'EE Measures'!$IF$8:$IF$86)</f>
        <v>1325.9953754542421</v>
      </c>
      <c r="BS16" s="541">
        <f>BS$10-SUMPRODUCT('EE Measures'!BL$8:BL$86,'EE Measures'!$T$8:$T$86,'EE Measures'!$IF$8:$IF$86)</f>
        <v>1323.0966883323099</v>
      </c>
      <c r="BT16" s="541">
        <f>BT$10-SUMPRODUCT('EE Measures'!BM$8:BM$86,'EE Measures'!$T$8:$T$86,'EE Measures'!$IF$8:$IF$86)</f>
        <v>1330.2273759047421</v>
      </c>
      <c r="BU16" s="541">
        <f>BU$10-SUMPRODUCT('EE Measures'!BN$8:BN$86,'EE Measures'!$T$8:$T$86,'EE Measures'!$IF$8:$IF$86)</f>
        <v>1339.3181197147881</v>
      </c>
      <c r="BV16" s="541">
        <f>BV$10-SUMPRODUCT('EE Measures'!BO$8:BO$86,'EE Measures'!$T$8:$T$86,'EE Measures'!$IF$8:$IF$86)</f>
        <v>1358.8108504084494</v>
      </c>
      <c r="BW16" s="541">
        <f>BW$10-SUMPRODUCT('EE Measures'!BP$8:BP$86,'EE Measures'!$T$8:$T$86,'EE Measures'!$IF$8:$IF$86)</f>
        <v>1378.584093887614</v>
      </c>
      <c r="BX16" s="541">
        <f>BX$10-SUMPRODUCT('EE Measures'!BQ$8:BQ$86,'EE Measures'!$T$8:$T$86,'EE Measures'!$IF$8:$IF$86)</f>
        <v>1398.6419620005049</v>
      </c>
      <c r="BY16" s="541">
        <f>BY$10-SUMPRODUCT('EE Measures'!BR$8:BR$86,'EE Measures'!$T$8:$T$86,'EE Measures'!$IF$8:$IF$86)</f>
        <v>1418.9886275999049</v>
      </c>
      <c r="BZ16" s="541">
        <f>BZ$10-SUMPRODUCT('EE Measures'!BS$8:BS$86,'EE Measures'!$T$8:$T$86,'EE Measures'!$IF$8:$IF$86)</f>
        <v>1439.6283254347979</v>
      </c>
      <c r="CA16" s="541">
        <f>CA$10-SUMPRODUCT('EE Measures'!BT$8:BT$86,'EE Measures'!$T$8:$T$86,'EE Measures'!$IF$8:$IF$86)</f>
        <v>1460.565353055202</v>
      </c>
      <c r="CB16" s="541">
        <f>CB$10-SUMPRODUCT('EE Measures'!BU$8:BU$86,'EE Measures'!$T$8:$T$86,'EE Measures'!$IF$8:$IF$86)</f>
        <v>1481.8040717304405</v>
      </c>
      <c r="CC16" s="541">
        <f>CC$10-SUMPRODUCT('EE Measures'!BV$8:BV$86,'EE Measures'!$T$8:$T$86,'EE Measures'!$IF$8:$IF$86)</f>
        <v>1503.3489073810561</v>
      </c>
    </row>
    <row r="17" spans="3:81" outlineLevel="1" x14ac:dyDescent="0.3">
      <c r="C17" s="587" t="str">
        <f t="shared" ref="C17:C20" si="25">C16</f>
        <v>Baseline</v>
      </c>
      <c r="E17" s="563" t="s">
        <v>51</v>
      </c>
      <c r="F17" s="592">
        <f t="shared" ref="F17:F20" si="26">SUM(G17:P17)</f>
        <v>105677.70537114542</v>
      </c>
      <c r="G17" s="593">
        <f t="shared" ref="G17:P17" si="27">G$11+AA17</f>
        <v>10505.541297169239</v>
      </c>
      <c r="H17" s="593">
        <f t="shared" si="27"/>
        <v>10518.620321098373</v>
      </c>
      <c r="I17" s="593">
        <f t="shared" si="27"/>
        <v>10532.318330770775</v>
      </c>
      <c r="J17" s="593">
        <f t="shared" si="27"/>
        <v>10525.77148268684</v>
      </c>
      <c r="K17" s="593">
        <f t="shared" si="27"/>
        <v>10532.709383640955</v>
      </c>
      <c r="L17" s="593">
        <f t="shared" si="27"/>
        <v>10554.740660518242</v>
      </c>
      <c r="M17" s="593">
        <f t="shared" si="27"/>
        <v>10582.669945225276</v>
      </c>
      <c r="N17" s="593">
        <f t="shared" si="27"/>
        <v>10611.634676256876</v>
      </c>
      <c r="O17" s="593">
        <f t="shared" si="27"/>
        <v>10641.480211100823</v>
      </c>
      <c r="P17" s="593">
        <f t="shared" si="27"/>
        <v>10672.21906267803</v>
      </c>
      <c r="Q17" s="593">
        <f t="shared" ref="Q17:U17" si="28">Q$11+AK17</f>
        <v>10703.863901345851</v>
      </c>
      <c r="R17" s="593">
        <f t="shared" si="28"/>
        <v>10736.427556964971</v>
      </c>
      <c r="S17" s="593">
        <f t="shared" si="28"/>
        <v>10769.923021029483</v>
      </c>
      <c r="T17" s="593">
        <f t="shared" si="28"/>
        <v>10804.363448859809</v>
      </c>
      <c r="U17" s="593">
        <f t="shared" si="28"/>
        <v>10839.762161858042</v>
      </c>
      <c r="V17"/>
      <c r="W17"/>
      <c r="Y17" s="563" t="s">
        <v>51</v>
      </c>
      <c r="Z17" s="592">
        <f t="shared" ref="Z17:Z20" si="29">SUM(AA17:AJ17)</f>
        <v>-1217.7262273464082</v>
      </c>
      <c r="AA17" s="593">
        <f>-SUMPRODUCT('EE Measures'!BH$8:BH$86,'EE Measures'!$O$8:$O$86,'EE Measures'!$IF$8:$IF$86)</f>
        <v>-30.340202830761658</v>
      </c>
      <c r="AB17" s="593">
        <f>-SUMPRODUCT('EE Measures'!BI$8:BI$86,'EE Measures'!$O$8:$O$86,'EE Measures'!$IF$8:$IF$86)</f>
        <v>-46.612077339128874</v>
      </c>
      <c r="AC17" s="593">
        <f>-SUMPRODUCT('EE Measures'!BJ$8:BJ$86,'EE Measures'!$O$8:$O$86,'EE Measures'!$IF$8:$IF$86)</f>
        <v>-63.705850271813944</v>
      </c>
      <c r="AD17" s="593">
        <f>-SUMPRODUCT('EE Measures'!BK$8:BK$86,'EE Measures'!$O$8:$O$86,'EE Measures'!$IF$8:$IF$86)</f>
        <v>-102.50393154079981</v>
      </c>
      <c r="AE17" s="593">
        <f>-SUMPRODUCT('EE Measures'!BL$8:BL$86,'EE Measures'!$O$8:$O$86,'EE Measures'!$IF$8:$IF$86)</f>
        <v>-129.29567426562699</v>
      </c>
      <c r="AF17" s="593">
        <f>-SUMPRODUCT('EE Measures'!BM$8:BM$86,'EE Measures'!$O$8:$O$86,'EE Measures'!$IF$8:$IF$86)</f>
        <v>-142.49181161663498</v>
      </c>
      <c r="AG17" s="593">
        <f>-SUMPRODUCT('EE Measures'!BN$8:BN$86,'EE Measures'!$O$8:$O$86,'EE Measures'!$IF$8:$IF$86)</f>
        <v>-155.78050980001751</v>
      </c>
      <c r="AH17" s="593">
        <f>-SUMPRODUCT('EE Measures'!BO$8:BO$86,'EE Measures'!$O$8:$O$86,'EE Measures'!$IF$8:$IF$86)</f>
        <v>-168.9946814029507</v>
      </c>
      <c r="AI17" s="593">
        <f>-SUMPRODUCT('EE Measures'!BP$8:BP$86,'EE Measures'!$O$8:$O$86,'EE Measures'!$IF$8:$IF$86)</f>
        <v>-182.30126458791412</v>
      </c>
      <c r="AJ17" s="593">
        <f>-SUMPRODUCT('EE Measures'!BQ$8:BQ$86,'EE Measures'!$O$8:$O$86,'EE Measures'!$IF$8:$IF$86)</f>
        <v>-195.70022369075954</v>
      </c>
      <c r="AK17" s="593">
        <f>-SUMPRODUCT('EE Measures'!BR$8:BR$86,'EE Measures'!$O$8:$O$86,'EE Measures'!$IF$8:$IF$86)</f>
        <v>-209.19154979132358</v>
      </c>
      <c r="AL17" s="593">
        <f>-SUMPRODUCT('EE Measures'!BS$8:BS$86,'EE Measures'!$O$8:$O$86,'EE Measures'!$IF$8:$IF$86)</f>
        <v>-222.77526125741645</v>
      </c>
      <c r="AM17" s="593">
        <f>-SUMPRODUCT('EE Measures'!BT$8:BT$86,'EE Measures'!$O$8:$O$86,'EE Measures'!$IF$8:$IF$86)</f>
        <v>-236.45140426306645</v>
      </c>
      <c r="AN17" s="593">
        <f>-SUMPRODUCT('EE Measures'!BU$8:BU$86,'EE Measures'!$O$8:$O$86,'EE Measures'!$IF$8:$IF$86)</f>
        <v>-250.22005328193106</v>
      </c>
      <c r="AO17" s="593">
        <f>-SUMPRODUCT('EE Measures'!BV$8:BV$86,'EE Measures'!$O$8:$O$86,'EE Measures'!$IF$8:$IF$86)</f>
        <v>-264.08131155681752</v>
      </c>
      <c r="AP17" s="898">
        <f t="shared" si="24"/>
        <v>-2259.7876770552584</v>
      </c>
      <c r="AQ17" s="554" t="str">
        <v>Lääne-Eesti</v>
      </c>
      <c r="AR17" s="592">
        <f t="shared" ref="AR17:AR20" si="30">SUM(AS17:BB17)</f>
        <v>-517.99202464138477</v>
      </c>
      <c r="AS17" s="593">
        <f>-SUMPRODUCT('EE Measures'!BH$8:BH$86,'EE Measures'!$Z$8:$Z$86,'EE Measures'!$IF$8:$IF$86)</f>
        <v>-15.774349498989768</v>
      </c>
      <c r="AT17" s="593">
        <f>-SUMPRODUCT('EE Measures'!BI$8:BI$86,'EE Measures'!$Z$8:$Z$86,'EE Measures'!$IF$8:$IF$86)</f>
        <v>-19.885677578360742</v>
      </c>
      <c r="AU17" s="593">
        <f>-SUMPRODUCT('EE Measures'!BJ$8:BJ$86,'EE Measures'!$Z$8:$Z$86,'EE Measures'!$IF$8:$IF$86)</f>
        <v>-23.299098308676193</v>
      </c>
      <c r="AV17" s="593">
        <f>-SUMPRODUCT('EE Measures'!BK$8:BK$86,'EE Measures'!$Z$8:$Z$86,'EE Measures'!$IF$8:$IF$86)</f>
        <v>-43.196259233012242</v>
      </c>
      <c r="AW17" s="593">
        <f>-SUMPRODUCT('EE Measures'!BL$8:BL$86,'EE Measures'!$Z$8:$Z$86,'EE Measures'!$IF$8:$IF$86)</f>
        <v>-58.285256807094868</v>
      </c>
      <c r="AX17" s="593">
        <f>-SUMPRODUCT('EE Measures'!BM$8:BM$86,'EE Measures'!$Z$8:$Z$86,'EE Measures'!$IF$8:$IF$86)</f>
        <v>-64.48175091729685</v>
      </c>
      <c r="AY17" s="593">
        <f>-SUMPRODUCT('EE Measures'!BN$8:BN$86,'EE Measures'!$Z$8:$Z$86,'EE Measures'!$IF$8:$IF$86)</f>
        <v>-70.107660108186195</v>
      </c>
      <c r="AZ17" s="593">
        <f>-SUMPRODUCT('EE Measures'!BO$8:BO$86,'EE Measures'!$Z$8:$Z$86,'EE Measures'!$IF$8:$IF$86)</f>
        <v>-72.20288312050296</v>
      </c>
      <c r="BA17" s="593">
        <f>-SUMPRODUCT('EE Measures'!BP$8:BP$86,'EE Measures'!$Z$8:$Z$86,'EE Measures'!$IF$8:$IF$86)</f>
        <v>-74.31500798986194</v>
      </c>
      <c r="BB17" s="593">
        <f>-SUMPRODUCT('EE Measures'!BQ$8:BQ$86,'EE Measures'!$Z$8:$Z$86,'EE Measures'!$IF$8:$IF$86)</f>
        <v>-76.444081079403034</v>
      </c>
      <c r="BC17" s="593">
        <f>-SUMPRODUCT('EE Measures'!BR$8:BR$86,'EE Measures'!$Z$8:$Z$86,'EE Measures'!$IF$8:$IF$86)</f>
        <v>-78.590153216441109</v>
      </c>
      <c r="BD17" s="593">
        <f>-SUMPRODUCT('EE Measures'!BS$8:BS$86,'EE Measures'!$Z$8:$Z$86,'EE Measures'!$IF$8:$IF$86)</f>
        <v>-80.753279772363527</v>
      </c>
      <c r="BE17" s="593">
        <f>-SUMPRODUCT('EE Measures'!BT$8:BT$86,'EE Measures'!$Z$8:$Z$86,'EE Measures'!$IF$8:$IF$86)</f>
        <v>-82.933520738839974</v>
      </c>
      <c r="BF17" s="593">
        <f>-SUMPRODUCT('EE Measures'!BU$8:BU$86,'EE Measures'!$Z$8:$Z$86,'EE Measures'!$IF$8:$IF$86)</f>
        <v>-85.130940800511851</v>
      </c>
      <c r="BG17" s="593">
        <f>-SUMPRODUCT('EE Measures'!BV$8:BV$86,'EE Measures'!$Z$8:$Z$86,'EE Measures'!$IF$8:$IF$86)</f>
        <v>-87.345609404332947</v>
      </c>
      <c r="BH17" s="867">
        <f>AR17/$AR$15</f>
        <v>9.4842240016166188E-2</v>
      </c>
      <c r="BK17" s="587" t="s">
        <v>13</v>
      </c>
      <c r="BM17" s="648" t="s">
        <v>390</v>
      </c>
      <c r="BN17" s="592"/>
      <c r="BO17" s="541">
        <f>BO$11-SUMPRODUCT('EE Measures'!BH$8:BH$86,'EE Measures'!$U$8:$U$86,'EE Measures'!$IF$8:$IF$86)</f>
        <v>5.6006017536074442</v>
      </c>
      <c r="BP17" s="541">
        <f>BP$11-SUMPRODUCT('EE Measures'!BI$8:BI$86,'EE Measures'!$U$8:$U$86,'EE Measures'!$IF$8:$IF$86)</f>
        <v>124.57047388607955</v>
      </c>
      <c r="BQ17" s="541">
        <f>BQ$11-SUMPRODUCT('EE Measures'!BJ$8:BJ$86,'EE Measures'!$U$8:$U$86,'EE Measures'!$IF$8:$IF$86)</f>
        <v>126.02824055274621</v>
      </c>
      <c r="BR17" s="541">
        <f>BR$11-SUMPRODUCT('EE Measures'!BK$8:BK$86,'EE Measures'!$U$8:$U$86,'EE Measures'!$IF$8:$IF$86)</f>
        <v>127.87231538607953</v>
      </c>
      <c r="BS17" s="541">
        <f>BS$11-SUMPRODUCT('EE Measures'!BL$8:BL$86,'EE Measures'!$U$8:$U$86,'EE Measures'!$IF$8:$IF$86)</f>
        <v>129.58289183517468</v>
      </c>
      <c r="BT17" s="541">
        <f>BT$11-SUMPRODUCT('EE Measures'!BM$8:BM$86,'EE Measures'!$U$8:$U$86,'EE Measures'!$IF$8:$IF$86)</f>
        <v>131.32154432360736</v>
      </c>
      <c r="BU17" s="541">
        <f>BU$11-SUMPRODUCT('EE Measures'!BN$8:BN$86,'EE Measures'!$U$8:$U$86,'EE Measures'!$IF$8:$IF$86)</f>
        <v>133.11171677864445</v>
      </c>
      <c r="BV17" s="541">
        <f>BV$11-SUMPRODUCT('EE Measures'!BO$8:BO$86,'EE Measures'!$U$8:$U$86,'EE Measures'!$IF$8:$IF$86)</f>
        <v>135.06895059136929</v>
      </c>
      <c r="BW17" s="541">
        <f>BW$11-SUMPRODUCT('EE Measures'!BP$8:BP$86,'EE Measures'!$U$8:$U$86,'EE Measures'!$IF$8:$IF$86)</f>
        <v>137.05554291128502</v>
      </c>
      <c r="BX17" s="541">
        <f>BX$11-SUMPRODUCT('EE Measures'!BQ$8:BQ$86,'EE Measures'!$U$8:$U$86,'EE Measures'!$IF$8:$IF$86)</f>
        <v>139.07193411599951</v>
      </c>
      <c r="BY17" s="541">
        <f>BY$11-SUMPRODUCT('EE Measures'!BR$8:BR$86,'EE Measures'!$U$8:$U$86,'EE Measures'!$IF$8:$IF$86)</f>
        <v>141.1185711887847</v>
      </c>
      <c r="BZ17" s="541">
        <f>BZ$11-SUMPRODUCT('EE Measures'!BS$8:BS$86,'EE Measures'!$U$8:$U$86,'EE Measures'!$IF$8:$IF$86)</f>
        <v>143.19590781766163</v>
      </c>
      <c r="CA17" s="541">
        <f>CA$11-SUMPRODUCT('EE Measures'!BT$8:BT$86,'EE Measures'!$U$8:$U$86,'EE Measures'!$IF$8:$IF$86)</f>
        <v>145.30440449597177</v>
      </c>
      <c r="CB17" s="541">
        <f>CB$11-SUMPRODUCT('EE Measures'!BU$8:BU$86,'EE Measures'!$U$8:$U$86,'EE Measures'!$IF$8:$IF$86)</f>
        <v>147.44452862445652</v>
      </c>
      <c r="CC17" s="541">
        <f>CC$11-SUMPRODUCT('EE Measures'!BV$8:BV$86,'EE Measures'!$U$8:$U$86,'EE Measures'!$IF$8:$IF$86)</f>
        <v>149.61675461486857</v>
      </c>
    </row>
    <row r="18" spans="3:81" outlineLevel="1" x14ac:dyDescent="0.3">
      <c r="C18" s="587" t="str">
        <f t="shared" si="25"/>
        <v>Baseline</v>
      </c>
      <c r="E18" s="563" t="s">
        <v>52</v>
      </c>
      <c r="F18" s="592">
        <f t="shared" si="26"/>
        <v>54618.072914472024</v>
      </c>
      <c r="G18" s="593">
        <f t="shared" ref="G18:P18" si="31">G$12+AA18</f>
        <v>5337.3640280558666</v>
      </c>
      <c r="H18" s="593">
        <f t="shared" si="31"/>
        <v>5361.642849994173</v>
      </c>
      <c r="I18" s="593">
        <f t="shared" si="31"/>
        <v>5391.2699254265435</v>
      </c>
      <c r="J18" s="593">
        <f t="shared" si="31"/>
        <v>5408.4641743286256</v>
      </c>
      <c r="K18" s="593">
        <f t="shared" si="31"/>
        <v>5433.4168908204765</v>
      </c>
      <c r="L18" s="593">
        <f t="shared" si="31"/>
        <v>5466.439792561162</v>
      </c>
      <c r="M18" s="593">
        <f t="shared" si="31"/>
        <v>5500.8514132431055</v>
      </c>
      <c r="N18" s="593">
        <f t="shared" si="31"/>
        <v>5536.2155721531099</v>
      </c>
      <c r="O18" s="593">
        <f t="shared" si="31"/>
        <v>5572.5471092095404</v>
      </c>
      <c r="P18" s="593">
        <f t="shared" si="31"/>
        <v>5609.8611586794223</v>
      </c>
      <c r="Q18" s="593">
        <f t="shared" ref="Q18:U18" si="32">Q$12+AK18</f>
        <v>5648.1731545748844</v>
      </c>
      <c r="R18" s="593">
        <f t="shared" si="32"/>
        <v>5687.4988361658343</v>
      </c>
      <c r="S18" s="593">
        <f t="shared" si="32"/>
        <v>5727.854253610838</v>
      </c>
      <c r="T18" s="593">
        <f t="shared" si="32"/>
        <v>5769.2557737082916</v>
      </c>
      <c r="U18" s="593">
        <f t="shared" si="32"/>
        <v>5811.7200857699445</v>
      </c>
      <c r="V18"/>
      <c r="W18"/>
      <c r="Y18" s="563" t="s">
        <v>52</v>
      </c>
      <c r="Z18" s="592">
        <f t="shared" si="29"/>
        <v>-801.83992043336741</v>
      </c>
      <c r="AA18" s="593">
        <f>-SUMPRODUCT('EE Measures'!BH$8:BH$86,'EE Measures'!$P$8:$P$86,'EE Measures'!$IF$8:$IF$86)</f>
        <v>-47.711671944133144</v>
      </c>
      <c r="AB18" s="593">
        <f>-SUMPRODUCT('EE Measures'!BI$8:BI$86,'EE Measures'!$P$8:$P$86,'EE Measures'!$IF$8:$IF$86)</f>
        <v>-55.599480709088851</v>
      </c>
      <c r="AC18" s="593">
        <f>-SUMPRODUCT('EE Measures'!BJ$8:BJ$86,'EE Measures'!$P$8:$P$86,'EE Measures'!$IF$8:$IF$86)</f>
        <v>-59.098718809684456</v>
      </c>
      <c r="AD18" s="593">
        <f>-SUMPRODUCT('EE Measures'!BK$8:BK$86,'EE Measures'!$P$8:$P$86,'EE Measures'!$IF$8:$IF$86)</f>
        <v>-76.004420747916299</v>
      </c>
      <c r="AE18" s="593">
        <f>-SUMPRODUCT('EE Measures'!BL$8:BL$86,'EE Measures'!$P$8:$P$86,'EE Measures'!$IF$8:$IF$86)</f>
        <v>-86.139541013631884</v>
      </c>
      <c r="AF18" s="593">
        <f>-SUMPRODUCT('EE Measures'!BM$8:BM$86,'EE Measures'!$P$8:$P$86,'EE Measures'!$IF$8:$IF$86)</f>
        <v>-89.206910053154672</v>
      </c>
      <c r="AG18" s="593">
        <f>-SUMPRODUCT('EE Measures'!BN$8:BN$86,'EE Measures'!$P$8:$P$86,'EE Measures'!$IF$8:$IF$86)</f>
        <v>-92.303107981961986</v>
      </c>
      <c r="AH18" s="593">
        <f>-SUMPRODUCT('EE Measures'!BO$8:BO$86,'EE Measures'!$P$8:$P$86,'EE Measures'!$IF$8:$IF$86)</f>
        <v>-95.428216789949801</v>
      </c>
      <c r="AI18" s="593">
        <f>-SUMPRODUCT('EE Measures'!BP$8:BP$86,'EE Measures'!$P$8:$P$86,'EE Measures'!$IF$8:$IF$86)</f>
        <v>-98.582324922890479</v>
      </c>
      <c r="AJ18" s="593">
        <f>-SUMPRODUCT('EE Measures'!BQ$8:BQ$86,'EE Measures'!$P$8:$P$86,'EE Measures'!$IF$8:$IF$86)</f>
        <v>-101.76552746095578</v>
      </c>
      <c r="AK18" s="593">
        <f>-SUMPRODUCT('EE Measures'!BR$8:BR$86,'EE Measures'!$P$8:$P$86,'EE Measures'!$IF$8:$IF$86)</f>
        <v>-104.9779262912835</v>
      </c>
      <c r="AL18" s="593">
        <f>-SUMPRODUCT('EE Measures'!BS$8:BS$86,'EE Measures'!$P$8:$P$86,'EE Measures'!$IF$8:$IF$86)</f>
        <v>-108.21963027473262</v>
      </c>
      <c r="AM18" s="593">
        <f>-SUMPRODUCT('EE Measures'!BT$8:BT$86,'EE Measures'!$P$8:$P$86,'EE Measures'!$IF$8:$IF$86)</f>
        <v>-111.49075540698698</v>
      </c>
      <c r="AN18" s="593">
        <f>-SUMPRODUCT('EE Measures'!BU$8:BU$86,'EE Measures'!$P$8:$P$86,'EE Measures'!$IF$8:$IF$86)</f>
        <v>-114.79142497417664</v>
      </c>
      <c r="AO18" s="593">
        <f>-SUMPRODUCT('EE Measures'!BV$8:BV$86,'EE Measures'!$P$8:$P$86,'EE Measures'!$IF$8:$IF$86)</f>
        <v>-118.12176970319777</v>
      </c>
      <c r="AP18" s="898">
        <f t="shared" si="24"/>
        <v>-1197.0315556208384</v>
      </c>
      <c r="AQ18" s="554" t="str">
        <v>Kirde-Eesti</v>
      </c>
      <c r="AR18" s="592">
        <f t="shared" si="30"/>
        <v>-544.8679948605735</v>
      </c>
      <c r="AS18" s="593">
        <f>-SUMPRODUCT('EE Measures'!BH$8:BH$86,'EE Measures'!$AA$8:$AA$86,'EE Measures'!$IF$8:$IF$86)</f>
        <v>-19.257400610726222</v>
      </c>
      <c r="AT18" s="593">
        <f>-SUMPRODUCT('EE Measures'!BI$8:BI$86,'EE Measures'!$AA$8:$AA$86,'EE Measures'!$IF$8:$IF$86)</f>
        <v>-23.043577990654864</v>
      </c>
      <c r="AU18" s="593">
        <f>-SUMPRODUCT('EE Measures'!BJ$8:BJ$86,'EE Measures'!$AA$8:$AA$86,'EE Measures'!$IF$8:$IF$86)</f>
        <v>-25.696149437739166</v>
      </c>
      <c r="AV18" s="593">
        <f>-SUMPRODUCT('EE Measures'!BK$8:BK$86,'EE Measures'!$AA$8:$AA$86,'EE Measures'!$IF$8:$IF$86)</f>
        <v>-43.207743700246624</v>
      </c>
      <c r="AW18" s="593">
        <f>-SUMPRODUCT('EE Measures'!BL$8:BL$86,'EE Measures'!$AA$8:$AA$86,'EE Measures'!$IF$8:$IF$86)</f>
        <v>-59.073566340404547</v>
      </c>
      <c r="AX18" s="593">
        <f>-SUMPRODUCT('EE Measures'!BM$8:BM$86,'EE Measures'!$AA$8:$AA$86,'EE Measures'!$IF$8:$IF$86)</f>
        <v>-67.083743033642591</v>
      </c>
      <c r="AY18" s="593">
        <f>-SUMPRODUCT('EE Measures'!BN$8:BN$86,'EE Measures'!$AA$8:$AA$86,'EE Measures'!$IF$8:$IF$86)</f>
        <v>-74.215003982551352</v>
      </c>
      <c r="AZ18" s="593">
        <f>-SUMPRODUCT('EE Measures'!BO$8:BO$86,'EE Measures'!$AA$8:$AA$86,'EE Measures'!$IF$8:$IF$86)</f>
        <v>-75.979082941680019</v>
      </c>
      <c r="BA18" s="593">
        <f>-SUMPRODUCT('EE Measures'!BP$8:BP$86,'EE Measures'!$AA$8:$AA$86,'EE Measures'!$IF$8:$IF$86)</f>
        <v>-77.758476811530542</v>
      </c>
      <c r="BB18" s="593">
        <f>-SUMPRODUCT('EE Measures'!BQ$8:BQ$86,'EE Measures'!$AA$8:$AA$86,'EE Measures'!$IF$8:$IF$86)</f>
        <v>-79.553250011397523</v>
      </c>
      <c r="BC18" s="593">
        <f>-SUMPRODUCT('EE Measures'!BR$8:BR$86,'EE Measures'!$AA$8:$AA$86,'EE Measures'!$IF$8:$IF$86)</f>
        <v>-81.363470831159731</v>
      </c>
      <c r="BD18" s="593">
        <f>-SUMPRODUCT('EE Measures'!BS$8:BS$86,'EE Measures'!$AA$8:$AA$86,'EE Measures'!$IF$8:$IF$86)</f>
        <v>-83.189211495374707</v>
      </c>
      <c r="BE18" s="593">
        <f>-SUMPRODUCT('EE Measures'!BT$8:BT$86,'EE Measures'!$AA$8:$AA$86,'EE Measures'!$IF$8:$IF$86)</f>
        <v>-85.030548224461967</v>
      </c>
      <c r="BF18" s="593">
        <f>-SUMPRODUCT('EE Measures'!BU$8:BU$86,'EE Measures'!$AA$8:$AA$86,'EE Measures'!$IF$8:$IF$86)</f>
        <v>-86.887561293127149</v>
      </c>
      <c r="BG18" s="593">
        <f>-SUMPRODUCT('EE Measures'!BV$8:BV$86,'EE Measures'!$AA$8:$AA$86,'EE Measures'!$IF$8:$IF$86)</f>
        <v>-88.760335086182408</v>
      </c>
      <c r="BH18" s="867">
        <f>AR18/$AR$15</f>
        <v>9.9763121220776102E-2</v>
      </c>
      <c r="BK18" s="587" t="s">
        <v>13</v>
      </c>
      <c r="BM18" s="648" t="s">
        <v>391</v>
      </c>
      <c r="BN18" s="592"/>
      <c r="BO18" s="541">
        <f>BO$12-SUMPRODUCT('EE Measures'!BH$8:BH$86,'EE Measures'!$V$8:$V$86,'EE Measures'!$IF$8:$IF$86)</f>
        <v>777.59842103148139</v>
      </c>
      <c r="BP18" s="541">
        <f>BP$12-SUMPRODUCT('EE Measures'!BI$8:BI$86,'EE Measures'!$V$8:$V$86,'EE Measures'!$IF$8:$IF$86)</f>
        <v>869.54216991271494</v>
      </c>
      <c r="BQ18" s="541">
        <f>BQ$12-SUMPRODUCT('EE Measures'!BJ$8:BJ$86,'EE Measures'!$V$8:$V$86,'EE Measures'!$IF$8:$IF$86)</f>
        <v>876.41995330413226</v>
      </c>
      <c r="BR18" s="541">
        <f>BR$12-SUMPRODUCT('EE Measures'!BK$8:BK$86,'EE Measures'!$V$8:$V$86,'EE Measures'!$IF$8:$IF$86)</f>
        <v>884.09364373478559</v>
      </c>
      <c r="BS18" s="541">
        <f>BS$12-SUMPRODUCT('EE Measures'!BL$8:BL$86,'EE Measures'!$V$8:$V$86,'EE Measures'!$IF$8:$IF$86)</f>
        <v>889.79867562579614</v>
      </c>
      <c r="BT18" s="541">
        <f>BT$12-SUMPRODUCT('EE Measures'!BM$8:BM$86,'EE Measures'!$V$8:$V$86,'EE Measures'!$IF$8:$IF$86)</f>
        <v>895.716538977097</v>
      </c>
      <c r="BU18" s="541">
        <f>BU$12-SUMPRODUCT('EE Measures'!BN$8:BN$86,'EE Measures'!$V$8:$V$86,'EE Measures'!$IF$8:$IF$86)</f>
        <v>902.17036809385638</v>
      </c>
      <c r="BV18" s="541">
        <f>BV$12-SUMPRODUCT('EE Measures'!BO$8:BO$86,'EE Measures'!$V$8:$V$86,'EE Measures'!$IF$8:$IF$86)</f>
        <v>910.76190275732733</v>
      </c>
      <c r="BW18" s="541">
        <f>BW$12-SUMPRODUCT('EE Measures'!BP$8:BP$86,'EE Measures'!$V$8:$V$86,'EE Measures'!$IF$8:$IF$86)</f>
        <v>919.57695197239411</v>
      </c>
      <c r="BX18" s="541">
        <f>BX$12-SUMPRODUCT('EE Measures'!BQ$8:BQ$86,'EE Measures'!$V$8:$V$86,'EE Measures'!$IF$8:$IF$86)</f>
        <v>928.61920320752358</v>
      </c>
      <c r="BY18" s="541">
        <f>BY$12-SUMPRODUCT('EE Measures'!BR$8:BR$86,'EE Measures'!$V$8:$V$86,'EE Measures'!$IF$8:$IF$86)</f>
        <v>937.89240836833847</v>
      </c>
      <c r="BZ18" s="541">
        <f>BZ$12-SUMPRODUCT('EE Measures'!BS$8:BS$86,'EE Measures'!$V$8:$V$86,'EE Measures'!$IF$8:$IF$86)</f>
        <v>947.40038457754235</v>
      </c>
      <c r="CA18" s="541">
        <f>CA$12-SUMPRODUCT('EE Measures'!BT$8:BT$86,'EE Measures'!$V$8:$V$86,'EE Measures'!$IF$8:$IF$86)</f>
        <v>957.14701498745956</v>
      </c>
      <c r="CB18" s="541">
        <f>CB$12-SUMPRODUCT('EE Measures'!BU$8:BU$86,'EE Measures'!$V$8:$V$86,'EE Measures'!$IF$8:$IF$86)</f>
        <v>967.13624962511926</v>
      </c>
      <c r="CC18" s="541">
        <f>CC$12-SUMPRODUCT('EE Measures'!BV$8:BV$86,'EE Measures'!$V$8:$V$86,'EE Measures'!$IF$8:$IF$86)</f>
        <v>977.37210626981789</v>
      </c>
    </row>
    <row r="19" spans="3:81" outlineLevel="1" x14ac:dyDescent="0.3">
      <c r="C19" s="587" t="str">
        <f t="shared" si="25"/>
        <v>Baseline</v>
      </c>
      <c r="E19" s="563" t="s">
        <v>53</v>
      </c>
      <c r="F19" s="592">
        <f t="shared" si="26"/>
        <v>100556.2853087871</v>
      </c>
      <c r="G19" s="593">
        <f t="shared" ref="G19:P19" si="33">G$13+AA19</f>
        <v>9709.9144746772326</v>
      </c>
      <c r="H19" s="593">
        <f t="shared" si="33"/>
        <v>9798.3161261091554</v>
      </c>
      <c r="I19" s="593">
        <f t="shared" si="33"/>
        <v>9890.4327348445531</v>
      </c>
      <c r="J19" s="593">
        <f t="shared" si="33"/>
        <v>9898.5973801815053</v>
      </c>
      <c r="K19" s="593">
        <f t="shared" si="33"/>
        <v>9954.0923512907884</v>
      </c>
      <c r="L19" s="593">
        <f t="shared" si="33"/>
        <v>10055.037607528489</v>
      </c>
      <c r="M19" s="593">
        <f t="shared" si="33"/>
        <v>10156.98988954386</v>
      </c>
      <c r="N19" s="593">
        <f t="shared" si="33"/>
        <v>10259.959232236546</v>
      </c>
      <c r="O19" s="593">
        <f t="shared" si="33"/>
        <v>10363.955770772891</v>
      </c>
      <c r="P19" s="593">
        <f t="shared" si="33"/>
        <v>10468.989741602083</v>
      </c>
      <c r="Q19" s="593">
        <f t="shared" ref="Q19:U19" si="34">Q$13+AK19</f>
        <v>10575.071483482303</v>
      </c>
      <c r="R19" s="593">
        <f t="shared" si="34"/>
        <v>10682.211438516893</v>
      </c>
      <c r="S19" s="593">
        <f t="shared" si="34"/>
        <v>10790.420153200605</v>
      </c>
      <c r="T19" s="593">
        <f t="shared" si="34"/>
        <v>10899.708279475968</v>
      </c>
      <c r="U19" s="593">
        <f t="shared" si="34"/>
        <v>11010.086575799829</v>
      </c>
      <c r="V19"/>
      <c r="W19"/>
      <c r="Y19" s="563" t="s">
        <v>53</v>
      </c>
      <c r="Z19" s="592">
        <f t="shared" si="29"/>
        <v>-1145.1391013546304</v>
      </c>
      <c r="AA19" s="593">
        <f>-SUMPRODUCT('EE Measures'!BH$8:BH$86,'EE Measures'!$Q$8:$Q$86,'EE Measures'!$IF$8:$IF$86)</f>
        <v>-10.918858656101667</v>
      </c>
      <c r="AB19" s="593">
        <f>-SUMPRODUCT('EE Measures'!BI$8:BI$86,'EE Measures'!$Q$8:$Q$86,'EE Measures'!$IF$8:$IF$86)</f>
        <v>-19.725540557512307</v>
      </c>
      <c r="AC19" s="593">
        <f>-SUMPRODUCT('EE Measures'!BJ$8:BJ$86,'EE Measures'!$Q$8:$Q$86,'EE Measures'!$IF$8:$IF$86)</f>
        <v>-25.789348488780877</v>
      </c>
      <c r="AD19" s="593">
        <f>-SUMPRODUCT('EE Measures'!BK$8:BK$86,'EE Measures'!$Q$8:$Q$86,'EE Measures'!$IF$8:$IF$86)</f>
        <v>-116.78692398516178</v>
      </c>
      <c r="AE19" s="593">
        <f>-SUMPRODUCT('EE Measures'!BL$8:BL$86,'EE Measures'!$Q$8:$Q$86,'EE Measures'!$IF$8:$IF$86)</f>
        <v>-161.44579591754783</v>
      </c>
      <c r="AF19" s="593">
        <f>-SUMPRODUCT('EE Measures'!BM$8:BM$86,'EE Measures'!$Q$8:$Q$86,'EE Measures'!$IF$8:$IF$86)</f>
        <v>-161.65592115192959</v>
      </c>
      <c r="AG19" s="593">
        <f>-SUMPRODUCT('EE Measures'!BN$8:BN$86,'EE Measures'!$Q$8:$Q$86,'EE Measures'!$IF$8:$IF$86)</f>
        <v>-161.87057442336331</v>
      </c>
      <c r="AH19" s="593">
        <f>-SUMPRODUCT('EE Measures'!BO$8:BO$86,'EE Measures'!$Q$8:$Q$86,'EE Measures'!$IF$8:$IF$86)</f>
        <v>-162.08983637034865</v>
      </c>
      <c r="AI19" s="593">
        <f>-SUMPRODUCT('EE Measures'!BP$8:BP$86,'EE Measures'!$Q$8:$Q$86,'EE Measures'!$IF$8:$IF$86)</f>
        <v>-162.31378852007333</v>
      </c>
      <c r="AJ19" s="593">
        <f>-SUMPRODUCT('EE Measures'!BQ$8:BQ$86,'EE Measures'!$Q$8:$Q$86,'EE Measures'!$IF$8:$IF$86)</f>
        <v>-162.54251328381108</v>
      </c>
      <c r="AK19" s="593">
        <f>-SUMPRODUCT('EE Measures'!BR$8:BR$86,'EE Measures'!$Q$8:$Q$86,'EE Measures'!$IF$8:$IF$86)</f>
        <v>-162.77609395245</v>
      </c>
      <c r="AL19" s="593">
        <f>-SUMPRODUCT('EE Measures'!BS$8:BS$86,'EE Measures'!$Q$8:$Q$86,'EE Measures'!$IF$8:$IF$86)</f>
        <v>-163.01461469220712</v>
      </c>
      <c r="AM19" s="593">
        <f>-SUMPRODUCT('EE Measures'!BT$8:BT$86,'EE Measures'!$Q$8:$Q$86,'EE Measures'!$IF$8:$IF$86)</f>
        <v>-163.25816054058623</v>
      </c>
      <c r="AN19" s="593">
        <f>-SUMPRODUCT('EE Measures'!BU$8:BU$86,'EE Measures'!$Q$8:$Q$86,'EE Measures'!$IF$8:$IF$86)</f>
        <v>-163.50681740263522</v>
      </c>
      <c r="AO19" s="593">
        <f>-SUMPRODUCT('EE Measures'!BV$8:BV$86,'EE Measures'!$Q$8:$Q$86,'EE Measures'!$IF$8:$IF$86)</f>
        <v>-163.76067204755913</v>
      </c>
      <c r="AP19" s="898">
        <f t="shared" si="24"/>
        <v>-1905.0217122876734</v>
      </c>
      <c r="AQ19" s="554" t="str">
        <v>Lõuna-Eesti </v>
      </c>
      <c r="AR19" s="592">
        <f t="shared" si="30"/>
        <v>-1214.7834452686927</v>
      </c>
      <c r="AS19" s="593">
        <f>-SUMPRODUCT('EE Measures'!BH$8:BH$86,'EE Measures'!$AB$8:$AB$86,'EE Measures'!$IF$8:$IF$86)</f>
        <v>-40.434288712948785</v>
      </c>
      <c r="AT19" s="593">
        <f>-SUMPRODUCT('EE Measures'!BI$8:BI$86,'EE Measures'!$AB$8:$AB$86,'EE Measures'!$IF$8:$IF$86)</f>
        <v>-49.567722010794775</v>
      </c>
      <c r="AU19" s="593">
        <f>-SUMPRODUCT('EE Measures'!BJ$8:BJ$86,'EE Measures'!$AB$8:$AB$86,'EE Measures'!$IF$8:$IF$86)</f>
        <v>-56.983862214337719</v>
      </c>
      <c r="AV19" s="593">
        <f>-SUMPRODUCT('EE Measures'!BK$8:BK$86,'EE Measures'!$AB$8:$AB$86,'EE Measures'!$IF$8:$IF$86)</f>
        <v>-101.5080519274164</v>
      </c>
      <c r="AW19" s="593">
        <f>-SUMPRODUCT('EE Measures'!BL$8:BL$86,'EE Measures'!$AB$8:$AB$86,'EE Measures'!$IF$8:$IF$86)</f>
        <v>-135.71856160403709</v>
      </c>
      <c r="AX19" s="593">
        <f>-SUMPRODUCT('EE Measures'!BM$8:BM$86,'EE Measures'!$AB$8:$AB$86,'EE Measures'!$IF$8:$IF$86)</f>
        <v>-150.03382248206179</v>
      </c>
      <c r="AY19" s="593">
        <f>-SUMPRODUCT('EE Measures'!BN$8:BN$86,'EE Measures'!$AB$8:$AB$86,'EE Measures'!$IF$8:$IF$86)</f>
        <v>-163.01297301066404</v>
      </c>
      <c r="AZ19" s="593">
        <f>-SUMPRODUCT('EE Measures'!BO$8:BO$86,'EE Measures'!$AB$8:$AB$86,'EE Measures'!$IF$8:$IF$86)</f>
        <v>-167.73442933928567</v>
      </c>
      <c r="BA19" s="593">
        <f>-SUMPRODUCT('EE Measures'!BP$8:BP$86,'EE Measures'!$AB$8:$AB$86,'EE Measures'!$IF$8:$IF$86)</f>
        <v>-172.49498230574244</v>
      </c>
      <c r="BB19" s="593">
        <f>-SUMPRODUCT('EE Measures'!BQ$8:BQ$86,'EE Measures'!$AB$8:$AB$86,'EE Measures'!$IF$8:$IF$86)</f>
        <v>-177.29475166140395</v>
      </c>
      <c r="BC19" s="593">
        <f>-SUMPRODUCT('EE Measures'!BR$8:BR$86,'EE Measures'!$AB$8:$AB$86,'EE Measures'!$IF$8:$IF$86)</f>
        <v>-182.13386728938355</v>
      </c>
      <c r="BD19" s="593">
        <f>-SUMPRODUCT('EE Measures'!BS$8:BS$86,'EE Measures'!$AB$8:$AB$86,'EE Measures'!$IF$8:$IF$86)</f>
        <v>-187.01246938943959</v>
      </c>
      <c r="BE19" s="593">
        <f>-SUMPRODUCT('EE Measures'!BT$8:BT$86,'EE Measures'!$AB$8:$AB$86,'EE Measures'!$IF$8:$IF$86)</f>
        <v>-191.93070865463702</v>
      </c>
      <c r="BF19" s="593">
        <f>-SUMPRODUCT('EE Measures'!BU$8:BU$86,'EE Measures'!$AB$8:$AB$86,'EE Measures'!$IF$8:$IF$86)</f>
        <v>-196.88874644013973</v>
      </c>
      <c r="BG19" s="593">
        <f>-SUMPRODUCT('EE Measures'!BV$8:BV$86,'EE Measures'!$AB$8:$AB$86,'EE Measures'!$IF$8:$IF$86)</f>
        <v>-201.88675492451705</v>
      </c>
      <c r="BH19" s="867">
        <f>AR19/$AR$15</f>
        <v>0.22242192466882577</v>
      </c>
      <c r="BK19" s="587" t="s">
        <v>13</v>
      </c>
      <c r="BM19" s="648" t="s">
        <v>392</v>
      </c>
      <c r="BN19" s="592"/>
      <c r="BO19" s="541">
        <f>BO$13-SUMPRODUCT('EE Measures'!BH$8:BH$86,'EE Measures'!$W$8:$W$86,'EE Measures'!$IF$8:$IF$86)</f>
        <v>11750.287656771043</v>
      </c>
      <c r="BP19" s="541">
        <f>BP$13-SUMPRODUCT('EE Measures'!BI$8:BI$86,'EE Measures'!$W$8:$W$86,'EE Measures'!$IF$8:$IF$86)</f>
        <v>11749.437771200757</v>
      </c>
      <c r="BQ19" s="541">
        <f>BQ$13-SUMPRODUCT('EE Measures'!BJ$8:BJ$86,'EE Measures'!$W$8:$W$86,'EE Measures'!$IF$8:$IF$86)</f>
        <v>11757.792796958078</v>
      </c>
      <c r="BR19" s="541">
        <f>BR$13-SUMPRODUCT('EE Measures'!BK$8:BK$86,'EE Measures'!$W$8:$W$86,'EE Measures'!$IF$8:$IF$86)</f>
        <v>11745.302418231655</v>
      </c>
      <c r="BS19" s="541">
        <f>BS$13-SUMPRODUCT('EE Measures'!BL$8:BL$86,'EE Measures'!$W$8:$W$86,'EE Measures'!$IF$8:$IF$86)</f>
        <v>11742.290464478017</v>
      </c>
      <c r="BT19" s="541">
        <f>BT$13-SUMPRODUCT('EE Measures'!BM$8:BM$86,'EE Measures'!$W$8:$W$86,'EE Measures'!$IF$8:$IF$86)</f>
        <v>11755.779947825493</v>
      </c>
      <c r="BU19" s="541">
        <f>BU$13-SUMPRODUCT('EE Measures'!BN$8:BN$86,'EE Measures'!$W$8:$W$86,'EE Measures'!$IF$8:$IF$86)</f>
        <v>11777.493804862426</v>
      </c>
      <c r="BV19" s="541">
        <f>BV$13-SUMPRODUCT('EE Measures'!BO$8:BO$86,'EE Measures'!$W$8:$W$86,'EE Measures'!$IF$8:$IF$86)</f>
        <v>11804.486653184023</v>
      </c>
      <c r="BW19" s="541">
        <f>BW$13-SUMPRODUCT('EE Measures'!BP$8:BP$86,'EE Measures'!$W$8:$W$86,'EE Measures'!$IF$8:$IF$86)</f>
        <v>11832.519456789134</v>
      </c>
      <c r="BX19" s="541">
        <f>BX$13-SUMPRODUCT('EE Measures'!BQ$8:BQ$86,'EE Measures'!$W$8:$W$86,'EE Measures'!$IF$8:$IF$86)</f>
        <v>11861.606515674343</v>
      </c>
      <c r="BY19" s="541">
        <f>BY$13-SUMPRODUCT('EE Measures'!BR$8:BR$86,'EE Measures'!$W$8:$W$86,'EE Measures'!$IF$8:$IF$86)</f>
        <v>11891.762349764118</v>
      </c>
      <c r="BZ19" s="541">
        <f>BZ$13-SUMPRODUCT('EE Measures'!BS$8:BS$86,'EE Measures'!$W$8:$W$86,'EE Measures'!$IF$8:$IF$86)</f>
        <v>11923.00170232973</v>
      </c>
      <c r="CA19" s="541">
        <f>CA$13-SUMPRODUCT('EE Measures'!BT$8:BT$86,'EE Measures'!$W$8:$W$86,'EE Measures'!$IF$8:$IF$86)</f>
        <v>11955.339543495522</v>
      </c>
      <c r="CB19" s="541">
        <f>CB$13-SUMPRODUCT('EE Measures'!BU$8:BU$86,'EE Measures'!$W$8:$W$86,'EE Measures'!$IF$8:$IF$86)</f>
        <v>11988.79107383285</v>
      </c>
      <c r="CC19" s="541">
        <f>CC$13-SUMPRODUCT('EE Measures'!BV$8:BV$86,'EE Measures'!$W$8:$W$86,'EE Measures'!$IF$8:$IF$86)</f>
        <v>12023.37172804201</v>
      </c>
    </row>
    <row r="20" spans="3:81" outlineLevel="1" x14ac:dyDescent="0.3">
      <c r="C20" s="587" t="str">
        <f t="shared" si="25"/>
        <v>Baseline</v>
      </c>
      <c r="E20" s="563" t="s">
        <v>54</v>
      </c>
      <c r="F20" s="592">
        <f t="shared" si="26"/>
        <v>9797.9579929637312</v>
      </c>
      <c r="G20" s="593">
        <f t="shared" ref="G20:P20" si="35">G$14+AA20</f>
        <v>988.46632075930984</v>
      </c>
      <c r="H20" s="593">
        <f t="shared" si="35"/>
        <v>988.3835149808026</v>
      </c>
      <c r="I20" s="593">
        <f t="shared" si="35"/>
        <v>988.29947534863015</v>
      </c>
      <c r="J20" s="593">
        <f t="shared" si="35"/>
        <v>979.90554667046297</v>
      </c>
      <c r="K20" s="593">
        <f t="shared" si="35"/>
        <v>975.70819291926921</v>
      </c>
      <c r="L20" s="593">
        <f t="shared" si="35"/>
        <v>975.62025185425841</v>
      </c>
      <c r="M20" s="593">
        <f t="shared" si="35"/>
        <v>975.5309754819508</v>
      </c>
      <c r="N20" s="593">
        <f t="shared" si="35"/>
        <v>975.44035054063727</v>
      </c>
      <c r="O20" s="593">
        <f t="shared" si="35"/>
        <v>975.34836355836433</v>
      </c>
      <c r="P20" s="593">
        <f t="shared" si="35"/>
        <v>975.25500085004603</v>
      </c>
      <c r="Q20" s="593">
        <f t="shared" ref="Q20:U20" si="36">Q$14+AK20</f>
        <v>975.1602485146791</v>
      </c>
      <c r="R20" s="593">
        <f t="shared" si="36"/>
        <v>975.06409243265171</v>
      </c>
      <c r="S20" s="593">
        <f t="shared" si="36"/>
        <v>974.96651826313405</v>
      </c>
      <c r="T20" s="593">
        <f t="shared" si="36"/>
        <v>974.86751144153982</v>
      </c>
      <c r="U20" s="593">
        <f t="shared" si="36"/>
        <v>974.76705717704738</v>
      </c>
      <c r="V20"/>
      <c r="W20"/>
      <c r="Y20" s="563" t="s">
        <v>54</v>
      </c>
      <c r="Z20" s="592">
        <f t="shared" si="29"/>
        <v>-110.37534036960216</v>
      </c>
      <c r="AA20" s="593">
        <f>-SUMPRODUCT('EE Measures'!BH$8:BH$86,'EE Measures'!$R$8:$R$86,'EE Measures'!$IF$8:$IF$86)</f>
        <v>-2.3670125740235815</v>
      </c>
      <c r="AB20" s="593">
        <f>-SUMPRODUCT('EE Measures'!BI$8:BI$86,'EE Measures'!$R$8:$R$86,'EE Measures'!$IF$8:$IF$86)</f>
        <v>-2.4498183525307202</v>
      </c>
      <c r="AC20" s="593">
        <f>-SUMPRODUCT('EE Measures'!BJ$8:BJ$86,'EE Measures'!$R$8:$R$86,'EE Measures'!$IF$8:$IF$86)</f>
        <v>-2.5338579847032205</v>
      </c>
      <c r="AD20" s="593">
        <f>-SUMPRODUCT('EE Measures'!BK$8:BK$86,'EE Measures'!$R$8:$R$86,'EE Measures'!$IF$8:$IF$86)</f>
        <v>-10.927786662870368</v>
      </c>
      <c r="AE20" s="593">
        <f>-SUMPRODUCT('EE Measures'!BL$8:BL$86,'EE Measures'!$R$8:$R$86,'EE Measures'!$IF$8:$IF$86)</f>
        <v>-15.125140414064138</v>
      </c>
      <c r="AF20" s="593">
        <f>-SUMPRODUCT('EE Measures'!BM$8:BM$86,'EE Measures'!$R$8:$R$86,'EE Measures'!$IF$8:$IF$86)</f>
        <v>-15.213081479075003</v>
      </c>
      <c r="AG20" s="593">
        <f>-SUMPRODUCT('EE Measures'!BN$8:BN$86,'EE Measures'!$R$8:$R$86,'EE Measures'!$IF$8:$IF$86)</f>
        <v>-15.302357851382563</v>
      </c>
      <c r="AH20" s="593">
        <f>-SUMPRODUCT('EE Measures'!BO$8:BO$86,'EE Measures'!$R$8:$R$86,'EE Measures'!$IF$8:$IF$86)</f>
        <v>-15.392982792696131</v>
      </c>
      <c r="AI20" s="593">
        <f>-SUMPRODUCT('EE Measures'!BP$8:BP$86,'EE Measures'!$R$8:$R$86,'EE Measures'!$IF$8:$IF$86)</f>
        <v>-15.484969774969072</v>
      </c>
      <c r="AJ20" s="593">
        <f>-SUMPRODUCT('EE Measures'!BQ$8:BQ$86,'EE Measures'!$R$8:$R$86,'EE Measures'!$IF$8:$IF$86)</f>
        <v>-15.57833248328736</v>
      </c>
      <c r="AK20" s="593">
        <f>-SUMPRODUCT('EE Measures'!BR$8:BR$86,'EE Measures'!$R$8:$R$86,'EE Measures'!$IF$8:$IF$86)</f>
        <v>-15.673084818654241</v>
      </c>
      <c r="AL20" s="593">
        <f>-SUMPRODUCT('EE Measures'!BS$8:BS$86,'EE Measures'!$R$8:$R$86,'EE Measures'!$IF$8:$IF$86)</f>
        <v>-15.769240900681623</v>
      </c>
      <c r="AM20" s="593">
        <f>-SUMPRODUCT('EE Measures'!BT$8:BT$86,'EE Measures'!$R$8:$R$86,'EE Measures'!$IF$8:$IF$86)</f>
        <v>-15.866815070199344</v>
      </c>
      <c r="AN20" s="593">
        <f>-SUMPRODUCT('EE Measures'!BU$8:BU$86,'EE Measures'!$R$8:$R$86,'EE Measures'!$IF$8:$IF$86)</f>
        <v>-15.965821891793581</v>
      </c>
      <c r="AO20" s="593">
        <f>-SUMPRODUCT('EE Measures'!BV$8:BV$86,'EE Measures'!$R$8:$R$86,'EE Measures'!$IF$8:$IF$86)</f>
        <v>-16.066276156286008</v>
      </c>
      <c r="AP20" s="898">
        <f t="shared" si="24"/>
        <v>-182.36589029595945</v>
      </c>
      <c r="AQ20" s="554" t="str">
        <v>Kesk-Eesti</v>
      </c>
      <c r="AR20" s="592">
        <f t="shared" si="30"/>
        <v>-512.21662179333327</v>
      </c>
      <c r="AS20" s="593">
        <f>-SUMPRODUCT('EE Measures'!BH$8:BH$86,'EE Measures'!$AC$8:$AC$86,'EE Measures'!$IF$8:$IF$86)</f>
        <v>-16.735427014417077</v>
      </c>
      <c r="AT20" s="593">
        <f>-SUMPRODUCT('EE Measures'!BI$8:BI$86,'EE Measures'!$AC$8:$AC$86,'EE Measures'!$IF$8:$IF$86)</f>
        <v>-20.591074663904376</v>
      </c>
      <c r="AU20" s="593">
        <f>-SUMPRODUCT('EE Measures'!BJ$8:BJ$86,'EE Measures'!$AC$8:$AC$86,'EE Measures'!$IF$8:$IF$86)</f>
        <v>-23.759724610135819</v>
      </c>
      <c r="AV20" s="593">
        <f>-SUMPRODUCT('EE Measures'!BK$8:BK$86,'EE Measures'!$AC$8:$AC$86,'EE Measures'!$IF$8:$IF$86)</f>
        <v>-42.485338056356724</v>
      </c>
      <c r="AW20" s="593">
        <f>-SUMPRODUCT('EE Measures'!BL$8:BL$86,'EE Measures'!$AC$8:$AC$86,'EE Measures'!$IF$8:$IF$86)</f>
        <v>-57.082543204539022</v>
      </c>
      <c r="AX20" s="593">
        <f>-SUMPRODUCT('EE Measures'!BM$8:BM$86,'EE Measures'!$AC$8:$AC$86,'EE Measures'!$IF$8:$IF$86)</f>
        <v>-63.330482697313457</v>
      </c>
      <c r="AY20" s="593">
        <f>-SUMPRODUCT('EE Measures'!BN$8:BN$86,'EE Measures'!$AC$8:$AC$86,'EE Measures'!$IF$8:$IF$86)</f>
        <v>-68.991218339651681</v>
      </c>
      <c r="AZ20" s="593">
        <f>-SUMPRODUCT('EE Measures'!BO$8:BO$86,'EE Measures'!$AC$8:$AC$86,'EE Measures'!$IF$8:$IF$86)</f>
        <v>-71.024603339206521</v>
      </c>
      <c r="BA20" s="593">
        <f>-SUMPRODUCT('EE Measures'!BP$8:BP$86,'EE Measures'!$AC$8:$AC$86,'EE Measures'!$IF$8:$IF$86)</f>
        <v>-73.074687948456017</v>
      </c>
      <c r="BB20" s="593">
        <f>-SUMPRODUCT('EE Measures'!BQ$8:BQ$86,'EE Measures'!$AC$8:$AC$86,'EE Measures'!$IF$8:$IF$86)</f>
        <v>-75.141521919352527</v>
      </c>
      <c r="BC20" s="593">
        <f>-SUMPRODUCT('EE Measures'!BR$8:BR$86,'EE Measures'!$AC$8:$AC$86,'EE Measures'!$IF$8:$IF$86)</f>
        <v>-77.225159355039381</v>
      </c>
      <c r="BD20" s="593">
        <f>-SUMPRODUCT('EE Measures'!BS$8:BS$86,'EE Measures'!$AC$8:$AC$86,'EE Measures'!$IF$8:$IF$86)</f>
        <v>-79.32565878836283</v>
      </c>
      <c r="BE20" s="593">
        <f>-SUMPRODUCT('EE Measures'!BT$8:BT$86,'EE Measures'!$AC$8:$AC$86,'EE Measures'!$IF$8:$IF$86)</f>
        <v>-81.443083256829738</v>
      </c>
      <c r="BF20" s="593">
        <f>-SUMPRODUCT('EE Measures'!BU$8:BU$86,'EE Measures'!$AC$8:$AC$86,'EE Measures'!$IF$8:$IF$86)</f>
        <v>-83.577500374172843</v>
      </c>
      <c r="BG20" s="593">
        <f>-SUMPRODUCT('EE Measures'!BV$8:BV$86,'EE Measures'!$AC$8:$AC$86,'EE Measures'!$IF$8:$IF$86)</f>
        <v>-85.728982398689396</v>
      </c>
      <c r="BH20" s="867">
        <f>AR20/$AR$15</f>
        <v>9.3784787165450634E-2</v>
      </c>
      <c r="BK20" s="587" t="s">
        <v>13</v>
      </c>
      <c r="BM20" s="648" t="s">
        <v>393</v>
      </c>
      <c r="BN20" s="592"/>
      <c r="BO20" s="541">
        <f>BO$14-SUMPRODUCT('EE Measures'!BH$8:BH$86,'EE Measures'!$X$8:$X$86,'EE Measures'!$IF$8:$IF$86)</f>
        <v>6902.0420448006898</v>
      </c>
      <c r="BP20" s="541">
        <f>BP$14-SUMPRODUCT('EE Measures'!BI$8:BI$86,'EE Measures'!$X$8:$X$86,'EE Measures'!$IF$8:$IF$86)</f>
        <v>6875.4866652034962</v>
      </c>
      <c r="BQ20" s="541">
        <f>BQ$14-SUMPRODUCT('EE Measures'!BJ$8:BJ$86,'EE Measures'!$X$8:$X$86,'EE Measures'!$IF$8:$IF$86)</f>
        <v>6979.1273204593226</v>
      </c>
      <c r="BR20" s="541">
        <f>BR$14-SUMPRODUCT('EE Measures'!BK$8:BK$86,'EE Measures'!$X$8:$X$86,'EE Measures'!$IF$8:$IF$86)</f>
        <v>7068.8562929958498</v>
      </c>
      <c r="BS20" s="541">
        <f>BS$14-SUMPRODUCT('EE Measures'!BL$8:BL$86,'EE Measures'!$X$8:$X$86,'EE Measures'!$IF$8:$IF$86)</f>
        <v>7143.4813621447047</v>
      </c>
      <c r="BT20" s="541">
        <f>BT$14-SUMPRODUCT('EE Measures'!BM$8:BM$86,'EE Measures'!$X$8:$X$86,'EE Measures'!$IF$8:$IF$86)</f>
        <v>7228.0639371323578</v>
      </c>
      <c r="BU20" s="541">
        <f>BU$14-SUMPRODUCT('EE Measures'!BN$8:BN$86,'EE Measures'!$X$8:$X$86,'EE Measures'!$IF$8:$IF$86)</f>
        <v>7315.0020639519544</v>
      </c>
      <c r="BV20" s="541">
        <f>BV$14-SUMPRODUCT('EE Measures'!BO$8:BO$86,'EE Measures'!$X$8:$X$86,'EE Measures'!$IF$8:$IF$86)</f>
        <v>7423.50404880926</v>
      </c>
      <c r="BW20" s="541">
        <f>BW$14-SUMPRODUCT('EE Measures'!BP$8:BP$86,'EE Measures'!$X$8:$X$86,'EE Measures'!$IF$8:$IF$86)</f>
        <v>7531.818342159002</v>
      </c>
      <c r="BX20" s="541">
        <f>BX$14-SUMPRODUCT('EE Measures'!BQ$8:BQ$86,'EE Measures'!$X$8:$X$86,'EE Measures'!$IF$8:$IF$86)</f>
        <v>7639.968028055865</v>
      </c>
      <c r="BY20" s="541">
        <f>BY$14-SUMPRODUCT('EE Measures'!BR$8:BR$86,'EE Measures'!$X$8:$X$86,'EE Measures'!$IF$8:$IF$86)</f>
        <v>7747.9759057215288</v>
      </c>
      <c r="BZ20" s="541">
        <f>BZ$14-SUMPRODUCT('EE Measures'!BS$8:BS$86,'EE Measures'!$X$8:$X$86,'EE Measures'!$IF$8:$IF$86)</f>
        <v>7855.8644978005259</v>
      </c>
      <c r="CA20" s="541">
        <f>CA$14-SUMPRODUCT('EE Measures'!BT$8:BT$86,'EE Measures'!$X$8:$X$86,'EE Measures'!$IF$8:$IF$86)</f>
        <v>7963.6560584995077</v>
      </c>
      <c r="CB20" s="541">
        <f>CB$14-SUMPRODUCT('EE Measures'!BU$8:BU$86,'EE Measures'!$X$8:$X$86,'EE Measures'!$IF$8:$IF$86)</f>
        <v>8071.3725816136766</v>
      </c>
      <c r="CC20" s="541">
        <f>CC$14-SUMPRODUCT('EE Measures'!BV$8:BV$86,'EE Measures'!$X$8:$X$86,'EE Measures'!$IF$8:$IF$86)</f>
        <v>8179.035808443944</v>
      </c>
    </row>
    <row r="21" spans="3:81" outlineLevel="1" x14ac:dyDescent="0.3">
      <c r="C21" s="587" t="str">
        <f>E21</f>
        <v>EEO</v>
      </c>
      <c r="E21" s="555" t="str">
        <f>'EE Measures'!$IG$6</f>
        <v>EEO</v>
      </c>
      <c r="F21" s="590">
        <f>SUM(G21:P21)</f>
        <v>309530.50882164441</v>
      </c>
      <c r="G21" s="591">
        <f>SUM(G22:G26)</f>
        <v>30815.440117674178</v>
      </c>
      <c r="H21" s="591">
        <f>SUM(H22:H26)</f>
        <v>31328.735832786344</v>
      </c>
      <c r="I21" s="591">
        <f t="shared" ref="I21" si="37">SUM(I22:I26)</f>
        <v>31514.088264704606</v>
      </c>
      <c r="J21" s="591">
        <f t="shared" ref="J21" si="38">SUM(J22:J26)</f>
        <v>31527.035348229754</v>
      </c>
      <c r="K21" s="591">
        <f t="shared" ref="K21" si="39">SUM(K22:K26)</f>
        <v>31188.832345612162</v>
      </c>
      <c r="L21" s="591">
        <f t="shared" ref="L21" si="40">SUM(L22:L26)</f>
        <v>31000.69333252306</v>
      </c>
      <c r="M21" s="591">
        <f t="shared" ref="M21" si="41">SUM(M22:M26)</f>
        <v>30702.677043646851</v>
      </c>
      <c r="N21" s="591">
        <f t="shared" ref="N21" si="42">SUM(N22:N26)</f>
        <v>30590.344610858556</v>
      </c>
      <c r="O21" s="591">
        <f t="shared" ref="O21" si="43">SUM(O22:O26)</f>
        <v>30482.503889696291</v>
      </c>
      <c r="P21" s="591">
        <f t="shared" ref="P21:U21" si="44">SUM(P22:P26)</f>
        <v>30380.158035912606</v>
      </c>
      <c r="Q21" s="591">
        <f t="shared" si="44"/>
        <v>30307.603781308364</v>
      </c>
      <c r="R21" s="591">
        <f t="shared" si="44"/>
        <v>30239.804526867472</v>
      </c>
      <c r="S21" s="591">
        <f t="shared" si="44"/>
        <v>30176.805970327139</v>
      </c>
      <c r="T21" s="591">
        <f t="shared" si="44"/>
        <v>30118.654888317978</v>
      </c>
      <c r="U21" s="591">
        <f t="shared" si="44"/>
        <v>30065.239634200712</v>
      </c>
      <c r="V21"/>
      <c r="W21"/>
      <c r="Y21" s="555" t="str">
        <f>'EE Measures'!$IG$6</f>
        <v>EEO</v>
      </c>
      <c r="Z21" s="590">
        <f>SUM(AA21:AJ21)</f>
        <v>-14527.378974475565</v>
      </c>
      <c r="AA21" s="591">
        <f>SUM(AA22:AA26)</f>
        <v>-215.79486010359921</v>
      </c>
      <c r="AB21" s="591">
        <f>SUM(AB22:AB26)</f>
        <v>-259.55278524331226</v>
      </c>
      <c r="AC21" s="591">
        <f t="shared" ref="AC21" si="45">SUM(AC22:AC26)</f>
        <v>-293.86213279643721</v>
      </c>
      <c r="AD21" s="591">
        <f t="shared" ref="AD21" si="46">SUM(AD22:AD26)</f>
        <v>-519.24598646331469</v>
      </c>
      <c r="AE21" s="591">
        <f t="shared" ref="AE21" si="47">SUM(AE22:AE26)</f>
        <v>-1100.3301078774205</v>
      </c>
      <c r="AF21" s="591">
        <f t="shared" ref="AF21" si="48">SUM(AF22:AF26)</f>
        <v>-1535.9606296952113</v>
      </c>
      <c r="AG21" s="591">
        <f t="shared" ref="AG21" si="49">SUM(AG22:AG26)</f>
        <v>-2091.0133742412227</v>
      </c>
      <c r="AH21" s="591">
        <f t="shared" ref="AH21" si="50">SUM(AH22:AH26)</f>
        <v>-2464.4884566867777</v>
      </c>
      <c r="AI21" s="591">
        <f t="shared" ref="AI21" si="51">SUM(AI22:AI26)</f>
        <v>-2837.6325945384274</v>
      </c>
      <c r="AJ21" s="591">
        <f t="shared" ref="AJ21:AO21" si="52">SUM(AJ22:AJ26)</f>
        <v>-3209.4980468298436</v>
      </c>
      <c r="AK21" s="591">
        <f t="shared" si="52"/>
        <v>-3555.8443513073321</v>
      </c>
      <c r="AL21" s="591">
        <f t="shared" si="52"/>
        <v>-3901.7652445298436</v>
      </c>
      <c r="AM21" s="591">
        <f t="shared" si="52"/>
        <v>-4247.2730477525693</v>
      </c>
      <c r="AN21" s="591">
        <f t="shared" si="52"/>
        <v>-4592.3798984633995</v>
      </c>
      <c r="AO21" s="591">
        <f t="shared" si="52"/>
        <v>-4937.2572664494182</v>
      </c>
      <c r="AP21" s="898">
        <f t="shared" si="24"/>
        <v>-34992.689004834785</v>
      </c>
      <c r="AQ21" s="555" t="s">
        <v>35</v>
      </c>
      <c r="AR21" s="590">
        <f>SUM(AS21:BB21)</f>
        <v>-14524.016068039457</v>
      </c>
      <c r="AS21" s="591">
        <f t="shared" ref="AS21" si="53">SUM(AS22:AS26)</f>
        <v>-215.79486010359921</v>
      </c>
      <c r="AT21" s="591">
        <f t="shared" ref="AT21:BB21" si="54">SUM(AT22:AT26)</f>
        <v>-259.55278524331226</v>
      </c>
      <c r="AU21" s="591">
        <f t="shared" si="54"/>
        <v>-293.86213279643715</v>
      </c>
      <c r="AV21" s="591">
        <f t="shared" si="54"/>
        <v>-519.24598646331469</v>
      </c>
      <c r="AW21" s="591">
        <f t="shared" si="54"/>
        <v>-1100.169969475701</v>
      </c>
      <c r="AX21" s="591">
        <f t="shared" si="54"/>
        <v>-1535.6403528917722</v>
      </c>
      <c r="AY21" s="591">
        <f t="shared" si="54"/>
        <v>-2090.5329590360639</v>
      </c>
      <c r="AZ21" s="591">
        <f t="shared" si="54"/>
        <v>-2463.8479030798994</v>
      </c>
      <c r="BA21" s="591">
        <f t="shared" si="54"/>
        <v>-2836.8319025298306</v>
      </c>
      <c r="BB21" s="591">
        <f t="shared" si="54"/>
        <v>-3208.5372164195269</v>
      </c>
      <c r="BC21" s="591">
        <f t="shared" ref="BC21:BG21" si="55">SUM(BC22:BC26)</f>
        <v>-3554.7233824952968</v>
      </c>
      <c r="BD21" s="591">
        <f t="shared" si="55"/>
        <v>-3900.4841373160893</v>
      </c>
      <c r="BE21" s="591">
        <f t="shared" si="55"/>
        <v>-4245.8318021370951</v>
      </c>
      <c r="BF21" s="591">
        <f t="shared" si="55"/>
        <v>-4590.7785144462059</v>
      </c>
      <c r="BG21" s="591">
        <f t="shared" si="55"/>
        <v>-4935.4957440305043</v>
      </c>
      <c r="BH21" s="1214">
        <f>AR21-Z21</f>
        <v>3.3629064361084602</v>
      </c>
      <c r="BK21" s="587" t="s">
        <v>35</v>
      </c>
      <c r="BM21" s="648" t="s">
        <v>388</v>
      </c>
      <c r="BN21" s="590"/>
      <c r="BO21" s="492">
        <f>BO$9-SUMPRODUCT('EE Measures'!BH$8:BH$86,'EE Measures'!$S$8:$S$86,'EE Measures'!$IG$8:$IG$86)</f>
        <v>10017.664746938986</v>
      </c>
      <c r="BP21" s="492">
        <f>BP$9-SUMPRODUCT('EE Measures'!BI$8:BI$86,'EE Measures'!$S$8:$S$86,'EE Measures'!$IG$8:$IG$86)</f>
        <v>10399.694193921743</v>
      </c>
      <c r="BQ21" s="492">
        <f>BQ$9-SUMPRODUCT('EE Measures'!BJ$8:BJ$86,'EE Measures'!$S$8:$S$86,'EE Measures'!$IG$8:$IG$86)</f>
        <v>10450.362214399811</v>
      </c>
      <c r="BR21" s="492">
        <f>BR$9-SUMPRODUCT('EE Measures'!BK$8:BK$86,'EE Measures'!$S$8:$S$86,'EE Measures'!$IG$8:$IG$86)</f>
        <v>10409.294318072923</v>
      </c>
      <c r="BS21" s="492">
        <f>BS$9-SUMPRODUCT('EE Measures'!BL$8:BL$86,'EE Measures'!$S$8:$S$86,'EE Measures'!$IG$8:$IG$86)</f>
        <v>10346.181539438448</v>
      </c>
      <c r="BT21" s="492">
        <f>BT$9-SUMPRODUCT('EE Measures'!BM$8:BM$86,'EE Measures'!$S$8:$S$86,'EE Measures'!$IG$8:$IG$86)</f>
        <v>10371.010483344988</v>
      </c>
      <c r="BU21" s="492">
        <f>BU$9-SUMPRODUCT('EE Measures'!BN$8:BN$86,'EE Measures'!$S$8:$S$86,'EE Measures'!$IG$8:$IG$86)</f>
        <v>10272.295772051086</v>
      </c>
      <c r="BV21" s="492">
        <f>BV$9-SUMPRODUCT('EE Measures'!BO$8:BO$86,'EE Measures'!$S$8:$S$86,'EE Measures'!$IG$8:$IG$86)</f>
        <v>10304.905096958284</v>
      </c>
      <c r="BW21" s="492">
        <f>BW$9-SUMPRODUCT('EE Measures'!BP$8:BP$86,'EE Measures'!$S$8:$S$86,'EE Measures'!$IG$8:$IG$86)</f>
        <v>10340.007315362936</v>
      </c>
      <c r="BX21" s="492">
        <f>BX$9-SUMPRODUCT('EE Measures'!BQ$8:BQ$86,'EE Measures'!$S$8:$S$86,'EE Measures'!$IG$8:$IG$86)</f>
        <v>10378.473942382225</v>
      </c>
      <c r="BY21" s="492">
        <f>BY$9-SUMPRODUCT('EE Measures'!BR$8:BR$86,'EE Measures'!$S$8:$S$86,'EE Measures'!$IG$8:$IG$86)</f>
        <v>10441.117774009695</v>
      </c>
      <c r="BZ21" s="492">
        <f>BZ$9-SUMPRODUCT('EE Measures'!BS$8:BS$86,'EE Measures'!$S$8:$S$86,'EE Measures'!$IG$8:$IG$86)</f>
        <v>10506.403282352259</v>
      </c>
      <c r="CA21" s="492">
        <f>CA$9-SUMPRODUCT('EE Measures'!BT$8:BT$86,'EE Measures'!$S$8:$S$86,'EE Measures'!$IG$8:$IG$86)</f>
        <v>10574.34187977797</v>
      </c>
      <c r="CB21" s="492">
        <f>CB$9-SUMPRODUCT('EE Measures'!BU$8:BU$86,'EE Measures'!$S$8:$S$86,'EE Measures'!$IG$8:$IG$86)</f>
        <v>10644.945722949453</v>
      </c>
      <c r="CC21" s="492">
        <f>CC$9-SUMPRODUCT('EE Measures'!BV$8:BV$86,'EE Measures'!$S$8:$S$86,'EE Measures'!$IG$8:$IG$86)</f>
        <v>10718.227712566315</v>
      </c>
    </row>
    <row r="22" spans="3:81" outlineLevel="1" x14ac:dyDescent="0.3">
      <c r="C22" s="587" t="str">
        <f>C21</f>
        <v>EEO</v>
      </c>
      <c r="E22" s="563" t="s">
        <v>50</v>
      </c>
      <c r="F22" s="592">
        <f>SUM(G22:P22)</f>
        <v>46820.887570434206</v>
      </c>
      <c r="G22" s="593">
        <f t="shared" ref="G22:P22" si="56">G$10+AA22</f>
        <v>4292.8294941331924</v>
      </c>
      <c r="H22" s="593">
        <f t="shared" si="56"/>
        <v>4685.8298233046435</v>
      </c>
      <c r="I22" s="593">
        <f t="shared" si="56"/>
        <v>4741.3140790213711</v>
      </c>
      <c r="J22" s="593">
        <f t="shared" si="56"/>
        <v>4748.6094939556178</v>
      </c>
      <c r="K22" s="593">
        <f t="shared" si="56"/>
        <v>4689.5120611933226</v>
      </c>
      <c r="L22" s="593">
        <f t="shared" si="56"/>
        <v>4669.0900932717477</v>
      </c>
      <c r="M22" s="593">
        <f t="shared" si="56"/>
        <v>4674.2604996027922</v>
      </c>
      <c r="N22" s="593">
        <f t="shared" si="56"/>
        <v>4722.952069250865</v>
      </c>
      <c r="O22" s="593">
        <f t="shared" si="56"/>
        <v>4772.7671838547903</v>
      </c>
      <c r="P22" s="593">
        <f t="shared" si="56"/>
        <v>4823.722772845862</v>
      </c>
      <c r="Q22" s="593">
        <f t="shared" ref="Q22:U22" si="57">Q$10+AK22</f>
        <v>4875.8360199728277</v>
      </c>
      <c r="R22" s="593">
        <f t="shared" si="57"/>
        <v>4929.1243671834818</v>
      </c>
      <c r="S22" s="593">
        <f t="shared" si="57"/>
        <v>4983.6055185657951</v>
      </c>
      <c r="T22" s="593">
        <f t="shared" si="57"/>
        <v>5039.2974443490748</v>
      </c>
      <c r="U22" s="593">
        <f t="shared" si="57"/>
        <v>5096.2183849656667</v>
      </c>
      <c r="V22"/>
      <c r="W22"/>
      <c r="Y22" s="563" t="s">
        <v>50</v>
      </c>
      <c r="Z22" s="592">
        <f>SUM(AA22:AJ22)</f>
        <v>-3311.8980488134644</v>
      </c>
      <c r="AA22" s="593">
        <f>-SUMPRODUCT('EE Measures'!BH$8:BH$86,'EE Measures'!$N$8:$N$86,'EE Measures'!$IG$8:$IG$86)</f>
        <v>-105.78161697791808</v>
      </c>
      <c r="AB22" s="593">
        <f>-SUMPRODUCT('EE Measures'!BI$8:BI$86,'EE Measures'!$N$8:$N$86,'EE Measures'!$IG$8:$IG$86)</f>
        <v>-111.10906558424406</v>
      </c>
      <c r="AC22" s="593">
        <f>-SUMPRODUCT('EE Measures'!BJ$8:BJ$86,'EE Measures'!$N$8:$N$86,'EE Measures'!$IG$8:$IG$86)</f>
        <v>-113.18807653418617</v>
      </c>
      <c r="AD22" s="593">
        <f>-SUMPRODUCT('EE Measures'!BK$8:BK$86,'EE Measures'!$N$8:$N$86,'EE Measures'!$IG$8:$IG$86)</f>
        <v>-178.71019393327018</v>
      </c>
      <c r="AE22" s="593">
        <f>-SUMPRODUCT('EE Measures'!BL$8:BL$86,'EE Measures'!$N$8:$N$86,'EE Measures'!$IG$8:$IG$86)</f>
        <v>-311.7174220138981</v>
      </c>
      <c r="AF22" s="593">
        <f>-SUMPRODUCT('EE Measures'!BM$8:BM$86,'EE Measures'!$N$8:$N$86,'EE Measures'!$IG$8:$IG$86)</f>
        <v>-407.15783218358069</v>
      </c>
      <c r="AG22" s="593">
        <f>-SUMPRODUCT('EE Measures'!BN$8:BN$86,'EE Measures'!$N$8:$N$86,'EE Measures'!$IG$8:$IG$86)</f>
        <v>-478.13114473436605</v>
      </c>
      <c r="AH22" s="593">
        <f>-SUMPRODUCT('EE Measures'!BO$8:BO$86,'EE Measures'!$N$8:$N$86,'EE Measures'!$IG$8:$IG$86)</f>
        <v>-506.72544975135003</v>
      </c>
      <c r="AI22" s="593">
        <f>-SUMPRODUCT('EE Measures'!BP$8:BP$86,'EE Measures'!$N$8:$N$86,'EE Measures'!$IG$8:$IG$86)</f>
        <v>-535.35549793245809</v>
      </c>
      <c r="AJ22" s="593">
        <f>-SUMPRODUCT('EE Measures'!BQ$8:BQ$86,'EE Measures'!$N$8:$N$86,'EE Measures'!$IG$8:$IG$86)</f>
        <v>-564.02174916819285</v>
      </c>
      <c r="AK22" s="593">
        <f>-SUMPRODUCT('EE Measures'!BR$8:BR$86,'EE Measures'!$N$8:$N$86,'EE Measures'!$IG$8:$IG$86)</f>
        <v>-592.7246698714381</v>
      </c>
      <c r="AL22" s="593">
        <f>-SUMPRODUCT('EE Measures'!BS$8:BS$86,'EE Measures'!$N$8:$N$86,'EE Measures'!$IG$8:$IG$86)</f>
        <v>-621.464733008449</v>
      </c>
      <c r="AM22" s="593">
        <f>-SUMPRODUCT('EE Measures'!BT$8:BT$86,'EE Measures'!$N$8:$N$86,'EE Measures'!$IG$8:$IG$86)</f>
        <v>-650.24241812901357</v>
      </c>
      <c r="AN22" s="593">
        <f>-SUMPRODUCT('EE Measures'!BU$8:BU$86,'EE Measures'!$N$8:$N$86,'EE Measures'!$IG$8:$IG$86)</f>
        <v>-679.058211396155</v>
      </c>
      <c r="AO22" s="593">
        <f>-SUMPRODUCT('EE Measures'!BV$8:BV$86,'EE Measures'!$N$8:$N$86,'EE Measures'!$IG$8:$IG$86)</f>
        <v>-707.91260561574234</v>
      </c>
      <c r="AP22" s="898">
        <f t="shared" si="24"/>
        <v>-6233.2219277379136</v>
      </c>
      <c r="AQ22" s="554" t="str" cm="1">
        <f t="array" ref="AQ22:AQ26">_xlfn.ANCHORARRAY(AQ16)</f>
        <v xml:space="preserve">Põhja-Eesti </v>
      </c>
      <c r="AR22" s="592">
        <f>SUM(AS22:BB22)</f>
        <v>-6359.3919865969547</v>
      </c>
      <c r="AS22" s="593">
        <f>-SUMPRODUCT('EE Measures'!BH$8:BH$86,'EE Measures'!$Y$8:$Y$86,'EE Measures'!$IG$8:$IG$86)</f>
        <v>-113.64220060117381</v>
      </c>
      <c r="AT22" s="593">
        <f>-SUMPRODUCT('EE Measures'!BI$8:BI$86,'EE Measures'!$Y$8:$Y$86,'EE Measures'!$IG$8:$IG$86)</f>
        <v>-133.64612361544096</v>
      </c>
      <c r="AU22" s="593">
        <f>-SUMPRODUCT('EE Measures'!BJ$8:BJ$86,'EE Measures'!$Y$8:$Y$86,'EE Measures'!$IG$8:$IG$86)</f>
        <v>-148.37963370572399</v>
      </c>
      <c r="AV22" s="593">
        <f>-SUMPRODUCT('EE Measures'!BK$8:BK$86,'EE Measures'!$Y$8:$Y$86,'EE Measures'!$IG$8:$IG$86)</f>
        <v>-253.71481596457286</v>
      </c>
      <c r="AW22" s="593">
        <f>-SUMPRODUCT('EE Measures'!BL$8:BL$86,'EE Measures'!$Y$8:$Y$86,'EE Measures'!$IG$8:$IG$86)</f>
        <v>-512.54700724998463</v>
      </c>
      <c r="AX22" s="593">
        <f>-SUMPRODUCT('EE Measures'!BM$8:BM$86,'EE Measures'!$Y$8:$Y$86,'EE Measures'!$IG$8:$IG$86)</f>
        <v>-686.89594635620006</v>
      </c>
      <c r="AY22" s="593">
        <f>-SUMPRODUCT('EE Measures'!BN$8:BN$86,'EE Measures'!$Y$8:$Y$86,'EE Measures'!$IG$8:$IG$86)</f>
        <v>-917.83793502823232</v>
      </c>
      <c r="AZ22" s="593">
        <f>-SUMPRODUCT('EE Measures'!BO$8:BO$86,'EE Measures'!$Y$8:$Y$86,'EE Measures'!$IG$8:$IG$86)</f>
        <v>-1057.8022729923377</v>
      </c>
      <c r="BA22" s="593">
        <f>-SUMPRODUCT('EE Measures'!BP$8:BP$86,'EE Measures'!$Y$8:$Y$86,'EE Measures'!$IG$8:$IG$86)</f>
        <v>-1197.7350148287833</v>
      </c>
      <c r="BB22" s="593">
        <f>-SUMPRODUCT('EE Measures'!BQ$8:BQ$86,'EE Measures'!$Y$8:$Y$86,'EE Measures'!$IG$8:$IG$86)</f>
        <v>-1337.1910362545045</v>
      </c>
      <c r="BC22" s="593">
        <f>-SUMPRODUCT('EE Measures'!BR$8:BR$86,'EE Measures'!$Y$8:$Y$86,'EE Measures'!$IG$8:$IG$86)</f>
        <v>-1460.5691025439246</v>
      </c>
      <c r="BD22" s="593">
        <f>-SUMPRODUCT('EE Measures'!BS$8:BS$86,'EE Measures'!$Y$8:$Y$86,'EE Measures'!$IG$8:$IG$86)</f>
        <v>-1583.8644274462506</v>
      </c>
      <c r="BE22" s="593">
        <f>-SUMPRODUCT('EE Measures'!BT$8:BT$86,'EE Measures'!$Y$8:$Y$86,'EE Measures'!$IG$8:$IG$86)</f>
        <v>-1707.0805196739927</v>
      </c>
      <c r="BF22" s="593">
        <f>-SUMPRODUCT('EE Measures'!BU$8:BU$86,'EE Measures'!$Y$8:$Y$86,'EE Measures'!$IG$8:$IG$86)</f>
        <v>-1830.2208461201153</v>
      </c>
      <c r="BG22" s="593">
        <f>-SUMPRODUCT('EE Measures'!BV$8:BV$86,'EE Measures'!$Y$8:$Y$86,'EE Measures'!$IG$8:$IG$86)</f>
        <v>-1953.3363171271008</v>
      </c>
      <c r="BH22" s="867">
        <f>AR22/$AR$21</f>
        <v>0.43785354937681403</v>
      </c>
      <c r="BK22" s="587" t="s">
        <v>35</v>
      </c>
      <c r="BM22" s="648" t="s">
        <v>389</v>
      </c>
      <c r="BN22" s="592"/>
      <c r="BO22" s="492">
        <f>BO$10-SUMPRODUCT('EE Measures'!BH$8:BH$86,'EE Measures'!$T$8:$T$86,'EE Measures'!$IG$8:$IG$86)</f>
        <v>1363.7680292983714</v>
      </c>
      <c r="BP22" s="492">
        <f>BP$10-SUMPRODUCT('EE Measures'!BI$8:BI$86,'EE Measures'!$T$8:$T$86,'EE Measures'!$IG$8:$IG$86)</f>
        <v>1311.9655993520846</v>
      </c>
      <c r="BQ22" s="492">
        <f>BQ$10-SUMPRODUCT('EE Measures'!BJ$8:BJ$86,'EE Measures'!$T$8:$T$86,'EE Measures'!$IG$8:$IG$86)</f>
        <v>1326.7676075641518</v>
      </c>
      <c r="BR22" s="492">
        <f>BR$10-SUMPRODUCT('EE Measures'!BK$8:BK$86,'EE Measures'!$T$8:$T$86,'EE Measures'!$IG$8:$IG$86)</f>
        <v>1317.071594679348</v>
      </c>
      <c r="BS22" s="492">
        <f>BS$10-SUMPRODUCT('EE Measures'!BL$8:BL$86,'EE Measures'!$T$8:$T$86,'EE Measures'!$IG$8:$IG$86)</f>
        <v>1296.5439108840285</v>
      </c>
      <c r="BT22" s="492">
        <f>BT$10-SUMPRODUCT('EE Measures'!BM$8:BM$86,'EE Measures'!$T$8:$T$86,'EE Measures'!$IG$8:$IG$86)</f>
        <v>1292.3744583963326</v>
      </c>
      <c r="BU22" s="492">
        <f>BU$10-SUMPRODUCT('EE Measures'!BN$8:BN$86,'EE Measures'!$T$8:$T$86,'EE Measures'!$IG$8:$IG$86)</f>
        <v>1291.2590872818491</v>
      </c>
      <c r="BV22" s="492">
        <f>BV$10-SUMPRODUCT('EE Measures'!BO$8:BO$86,'EE Measures'!$T$8:$T$86,'EE Measures'!$IG$8:$IG$86)</f>
        <v>1303.3956588086462</v>
      </c>
      <c r="BW22" s="492">
        <f>BW$10-SUMPRODUCT('EE Measures'!BP$8:BP$86,'EE Measures'!$T$8:$T$86,'EE Measures'!$IG$8:$IG$86)</f>
        <v>1315.8100152513543</v>
      </c>
      <c r="BX22" s="492">
        <f>BX$10-SUMPRODUCT('EE Measures'!BQ$8:BQ$86,'EE Measures'!$T$8:$T$86,'EE Measures'!$IG$8:$IG$86)</f>
        <v>1328.5260331284032</v>
      </c>
      <c r="BY22" s="492">
        <f>BY$10-SUMPRODUCT('EE Measures'!BR$8:BR$86,'EE Measures'!$T$8:$T$86,'EE Measures'!$IG$8:$IG$86)</f>
        <v>1342.1433622879622</v>
      </c>
      <c r="BZ22" s="492">
        <f>BZ$10-SUMPRODUCT('EE Measures'!BS$8:BS$86,'EE Measures'!$T$8:$T$86,'EE Measures'!$IG$8:$IG$86)</f>
        <v>1356.0537236830139</v>
      </c>
      <c r="CA22" s="492">
        <f>CA$10-SUMPRODUCT('EE Measures'!BT$8:BT$86,'EE Measures'!$T$8:$T$86,'EE Measures'!$IG$8:$IG$86)</f>
        <v>1370.2614148635766</v>
      </c>
      <c r="CB22" s="492">
        <f>CB$10-SUMPRODUCT('EE Measures'!BU$8:BU$86,'EE Measures'!$T$8:$T$86,'EE Measures'!$IG$8:$IG$86)</f>
        <v>1384.7707970989741</v>
      </c>
      <c r="CC22" s="492">
        <f>CC$10-SUMPRODUCT('EE Measures'!BV$8:BV$86,'EE Measures'!$T$8:$T$86,'EE Measures'!$IG$8:$IG$86)</f>
        <v>1399.5862963097484</v>
      </c>
    </row>
    <row r="23" spans="3:81" outlineLevel="1" x14ac:dyDescent="0.3">
      <c r="C23" s="587" t="str">
        <f t="shared" ref="C23:C26" si="58">C22</f>
        <v>EEO</v>
      </c>
      <c r="E23" s="563" t="s">
        <v>51</v>
      </c>
      <c r="F23" s="592">
        <f t="shared" ref="F23:F26" si="59">SUM(G23:P23)</f>
        <v>102064.52667454712</v>
      </c>
      <c r="G23" s="593">
        <f t="shared" ref="G23:P23" si="60">G$11+AA23</f>
        <v>10505.541297169239</v>
      </c>
      <c r="H23" s="593">
        <f>H$11+AB23</f>
        <v>10518.620321098373</v>
      </c>
      <c r="I23" s="593">
        <f t="shared" si="60"/>
        <v>10532.318330770775</v>
      </c>
      <c r="J23" s="593">
        <f t="shared" si="60"/>
        <v>10525.77148268684</v>
      </c>
      <c r="K23" s="593">
        <f t="shared" si="60"/>
        <v>10360.396883640955</v>
      </c>
      <c r="L23" s="593">
        <f t="shared" si="60"/>
        <v>10210.27252326334</v>
      </c>
      <c r="M23" s="593">
        <f t="shared" si="60"/>
        <v>10066.19995772047</v>
      </c>
      <c r="N23" s="593">
        <f t="shared" si="60"/>
        <v>9923.3136100756928</v>
      </c>
      <c r="O23" s="593">
        <f t="shared" si="60"/>
        <v>9781.4558815114287</v>
      </c>
      <c r="P23" s="593">
        <f t="shared" si="60"/>
        <v>9640.6363866099964</v>
      </c>
      <c r="Q23" s="593">
        <f t="shared" ref="Q23:U23" si="61">Q$11+AK23</f>
        <v>9500.8649542203275</v>
      </c>
      <c r="R23" s="593">
        <f t="shared" si="61"/>
        <v>9362.1516284105364</v>
      </c>
      <c r="S23" s="593">
        <f t="shared" si="61"/>
        <v>9224.5066695055284</v>
      </c>
      <c r="T23" s="593">
        <f t="shared" si="61"/>
        <v>9087.940555208872</v>
      </c>
      <c r="U23" s="593">
        <f t="shared" si="61"/>
        <v>8952.4947723335463</v>
      </c>
      <c r="V23"/>
      <c r="W23"/>
      <c r="Y23" s="563" t="s">
        <v>51</v>
      </c>
      <c r="Z23" s="592">
        <f t="shared" ref="Z23:Z26" si="62">SUM(AA23:AJ23)</f>
        <v>-4830.9049239447259</v>
      </c>
      <c r="AA23" s="593">
        <f>-SUMPRODUCT('EE Measures'!BH$8:BH$86,'EE Measures'!$O$8:$O$86,'EE Measures'!$IG$8:$IG$86)</f>
        <v>-30.340202830761658</v>
      </c>
      <c r="AB23" s="593">
        <f>-SUMPRODUCT('EE Measures'!BI$8:BI$86,'EE Measures'!$O$8:$O$86,'EE Measures'!$IG$8:$IG$86)</f>
        <v>-46.612077339128874</v>
      </c>
      <c r="AC23" s="593">
        <f>-SUMPRODUCT('EE Measures'!BJ$8:BJ$86,'EE Measures'!$O$8:$O$86,'EE Measures'!$IG$8:$IG$86)</f>
        <v>-63.705850271813944</v>
      </c>
      <c r="AD23" s="593">
        <f>-SUMPRODUCT('EE Measures'!BK$8:BK$86,'EE Measures'!$O$8:$O$86,'EE Measures'!$IG$8:$IG$86)</f>
        <v>-102.50393154079981</v>
      </c>
      <c r="AE23" s="593">
        <f>-SUMPRODUCT('EE Measures'!BL$8:BL$86,'EE Measures'!$O$8:$O$86,'EE Measures'!$IG$8:$IG$86)</f>
        <v>-301.60817426562699</v>
      </c>
      <c r="AF23" s="593">
        <f>-SUMPRODUCT('EE Measures'!BM$8:BM$86,'EE Measures'!$O$8:$O$86,'EE Measures'!$IG$8:$IG$86)</f>
        <v>-486.95994887153699</v>
      </c>
      <c r="AG23" s="593">
        <f>-SUMPRODUCT('EE Measures'!BN$8:BN$86,'EE Measures'!$O$8:$O$86,'EE Measures'!$IG$8:$IG$86)</f>
        <v>-672.2504973048234</v>
      </c>
      <c r="AH23" s="593">
        <f>-SUMPRODUCT('EE Measures'!BO$8:BO$86,'EE Measures'!$O$8:$O$86,'EE Measures'!$IG$8:$IG$86)</f>
        <v>-857.31574758413296</v>
      </c>
      <c r="AI23" s="593">
        <f>-SUMPRODUCT('EE Measures'!BP$8:BP$86,'EE Measures'!$O$8:$O$86,'EE Measures'!$IG$8:$IG$86)</f>
        <v>-1042.3255941773084</v>
      </c>
      <c r="AJ23" s="593">
        <f>-SUMPRODUCT('EE Measures'!BQ$8:BQ$86,'EE Measures'!$O$8:$O$86,'EE Measures'!$IG$8:$IG$86)</f>
        <v>-1227.2828997587933</v>
      </c>
      <c r="AK23" s="593">
        <f>-SUMPRODUCT('EE Measures'!BR$8:BR$86,'EE Measures'!$O$8:$O$86,'EE Measures'!$IG$8:$IG$86)</f>
        <v>-1412.1904969168468</v>
      </c>
      <c r="AL23" s="593">
        <f>-SUMPRODUCT('EE Measures'!BS$8:BS$86,'EE Measures'!$O$8:$O$86,'EE Measures'!$IG$8:$IG$86)</f>
        <v>-1597.0511898118507</v>
      </c>
      <c r="AM23" s="593">
        <f>-SUMPRODUCT('EE Measures'!BT$8:BT$86,'EE Measures'!$O$8:$O$86,'EE Measures'!$IG$8:$IG$86)</f>
        <v>-1781.8677557870219</v>
      </c>
      <c r="AN23" s="593">
        <f>-SUMPRODUCT('EE Measures'!BU$8:BU$86,'EE Measures'!$O$8:$O$86,'EE Measures'!$IG$8:$IG$86)</f>
        <v>-1966.6429469328677</v>
      </c>
      <c r="AO23" s="593">
        <f>-SUMPRODUCT('EE Measures'!BV$8:BV$86,'EE Measures'!$O$8:$O$86,'EE Measures'!$IG$8:$IG$86)</f>
        <v>-2151.3487010813133</v>
      </c>
      <c r="AP23" s="898">
        <f t="shared" si="24"/>
        <v>-13599.347884032921</v>
      </c>
      <c r="AQ23" s="554" t="str">
        <v>Lääne-Eesti</v>
      </c>
      <c r="AR23" s="592">
        <f t="shared" ref="AR23:AR26" si="63">SUM(AS23:BB23)</f>
        <v>-1995.0012207443881</v>
      </c>
      <c r="AS23" s="593">
        <f>-SUMPRODUCT('EE Measures'!BH$8:BH$86,'EE Measures'!$Z$8:$Z$86,'EE Measures'!$IG$8:$IG$86)</f>
        <v>-17.804750797285266</v>
      </c>
      <c r="AT23" s="593">
        <f>-SUMPRODUCT('EE Measures'!BI$8:BI$86,'EE Measures'!$Z$8:$Z$86,'EE Measures'!$IG$8:$IG$86)</f>
        <v>-22.501134779899967</v>
      </c>
      <c r="AU23" s="593">
        <f>-SUMPRODUCT('EE Measures'!BJ$8:BJ$86,'EE Measures'!$Z$8:$Z$86,'EE Measures'!$IG$8:$IG$86)</f>
        <v>-26.511371926896089</v>
      </c>
      <c r="AV23" s="593">
        <f>-SUMPRODUCT('EE Measures'!BK$8:BK$86,'EE Measures'!$Z$8:$Z$86,'EE Measures'!$IG$8:$IG$86)</f>
        <v>-49.787158693654277</v>
      </c>
      <c r="AW23" s="593">
        <f>-SUMPRODUCT('EE Measures'!BL$8:BL$86,'EE Measures'!$Z$8:$Z$86,'EE Measures'!$IG$8:$IG$86)</f>
        <v>-121.90458203461996</v>
      </c>
      <c r="AX23" s="593">
        <f>-SUMPRODUCT('EE Measures'!BM$8:BM$86,'EE Measures'!$Z$8:$Z$86,'EE Measures'!$IG$8:$IG$86)</f>
        <v>-182.1925024259838</v>
      </c>
      <c r="AY23" s="593">
        <f>-SUMPRODUCT('EE Measures'!BN$8:BN$86,'EE Measures'!$Z$8:$Z$86,'EE Measures'!$IG$8:$IG$86)</f>
        <v>-309.90960602473825</v>
      </c>
      <c r="AZ23" s="593">
        <f>-SUMPRODUCT('EE Measures'!BO$8:BO$86,'EE Measures'!$Z$8:$Z$86,'EE Measures'!$IG$8:$IG$86)</f>
        <v>-365.77208067028528</v>
      </c>
      <c r="BA23" s="593">
        <f>-SUMPRODUCT('EE Measures'!BP$8:BP$86,'EE Measures'!$Z$8:$Z$86,'EE Measures'!$IG$8:$IG$86)</f>
        <v>-421.5316079528543</v>
      </c>
      <c r="BB23" s="593">
        <f>-SUMPRODUCT('EE Measures'!BQ$8:BQ$86,'EE Measures'!$Z$8:$Z$86,'EE Measures'!$IG$8:$IG$86)</f>
        <v>-477.08642543817092</v>
      </c>
      <c r="BC23" s="593">
        <f>-SUMPRODUCT('EE Measures'!BR$8:BR$86,'EE Measures'!$Z$8:$Z$86,'EE Measures'!$IG$8:$IG$86)</f>
        <v>-530.42062164041272</v>
      </c>
      <c r="BD23" s="593">
        <f>-SUMPRODUCT('EE Measures'!BS$8:BS$86,'EE Measures'!$Z$8:$Z$86,'EE Measures'!$IG$8:$IG$86)</f>
        <v>-583.64535233315803</v>
      </c>
      <c r="BE23" s="593">
        <f>-SUMPRODUCT('EE Measures'!BT$8:BT$86,'EE Measures'!$Z$8:$Z$86,'EE Measures'!$IG$8:$IG$86)</f>
        <v>-636.76315829098587</v>
      </c>
      <c r="BF23" s="593">
        <f>-SUMPRODUCT('EE Measures'!BU$8:BU$86,'EE Measures'!$Z$8:$Z$86,'EE Measures'!$IG$8:$IG$86)</f>
        <v>-689.77653633864463</v>
      </c>
      <c r="BG23" s="593">
        <f>-SUMPRODUCT('EE Measures'!BV$8:BV$86,'EE Measures'!$Z$8:$Z$86,'EE Measures'!$IG$8:$IG$86)</f>
        <v>-742.72408232387272</v>
      </c>
      <c r="BH23" s="867">
        <f>AR23/$AR$21</f>
        <v>0.13735878639892513</v>
      </c>
      <c r="BK23" s="587" t="s">
        <v>35</v>
      </c>
      <c r="BM23" s="648" t="s">
        <v>390</v>
      </c>
      <c r="BN23" s="592"/>
      <c r="BO23" s="492">
        <f>BO$11-SUMPRODUCT('EE Measures'!BH$8:BH$86,'EE Measures'!$U$8:$U$86,'EE Measures'!$IG$8:$IG$86)</f>
        <v>5.6006017536074442</v>
      </c>
      <c r="BP23" s="492">
        <f>BP$11-SUMPRODUCT('EE Measures'!BI$8:BI$86,'EE Measures'!$U$8:$U$86,'EE Measures'!$IG$8:$IG$86)</f>
        <v>124.57047388607955</v>
      </c>
      <c r="BQ23" s="492">
        <f>BQ$11-SUMPRODUCT('EE Measures'!BJ$8:BJ$86,'EE Measures'!$U$8:$U$86,'EE Measures'!$IG$8:$IG$86)</f>
        <v>126.02824055274621</v>
      </c>
      <c r="BR23" s="492">
        <f>BR$11-SUMPRODUCT('EE Measures'!BK$8:BK$86,'EE Measures'!$U$8:$U$86,'EE Measures'!$IG$8:$IG$86)</f>
        <v>127.76020442487038</v>
      </c>
      <c r="BS23" s="492">
        <f>BS$11-SUMPRODUCT('EE Measures'!BL$8:BL$86,'EE Measures'!$U$8:$U$86,'EE Measures'!$IG$8:$IG$86)</f>
        <v>129.25253163439785</v>
      </c>
      <c r="BT23" s="492">
        <f>BT$11-SUMPRODUCT('EE Measures'!BM$8:BM$86,'EE Measures'!$U$8:$U$86,'EE Measures'!$IG$8:$IG$86)</f>
        <v>130.84860978207902</v>
      </c>
      <c r="BU23" s="492">
        <f>BU$11-SUMPRODUCT('EE Measures'!BN$8:BN$86,'EE Measures'!$U$8:$U$86,'EE Measures'!$IG$8:$IG$86)</f>
        <v>132.53010772359656</v>
      </c>
      <c r="BV23" s="492">
        <f>BV$11-SUMPRODUCT('EE Measures'!BO$8:BO$86,'EE Measures'!$U$8:$U$86,'EE Measures'!$IG$8:$IG$86)</f>
        <v>134.37866702280184</v>
      </c>
      <c r="BW23" s="492">
        <f>BW$11-SUMPRODUCT('EE Measures'!BP$8:BP$86,'EE Measures'!$U$8:$U$86,'EE Measures'!$IG$8:$IG$86)</f>
        <v>136.256584829198</v>
      </c>
      <c r="BX23" s="492">
        <f>BX$11-SUMPRODUCT('EE Measures'!BQ$8:BQ$86,'EE Measures'!$U$8:$U$86,'EE Measures'!$IG$8:$IG$86)</f>
        <v>138.16430152039294</v>
      </c>
      <c r="BY23" s="492">
        <f>BY$11-SUMPRODUCT('EE Measures'!BR$8:BR$86,'EE Measures'!$U$8:$U$86,'EE Measures'!$IG$8:$IG$86)</f>
        <v>140.12514044635327</v>
      </c>
      <c r="BZ23" s="492">
        <f>BZ$11-SUMPRODUCT('EE Measures'!BS$8:BS$86,'EE Measures'!$U$8:$U$86,'EE Measures'!$IG$8:$IG$86)</f>
        <v>142.11667892840535</v>
      </c>
      <c r="CA23" s="492">
        <f>CA$11-SUMPRODUCT('EE Measures'!BT$8:BT$86,'EE Measures'!$U$8:$U$86,'EE Measures'!$IG$8:$IG$86)</f>
        <v>144.13937745989062</v>
      </c>
      <c r="CB23" s="492">
        <f>CB$11-SUMPRODUCT('EE Measures'!BU$8:BU$86,'EE Measures'!$U$8:$U$86,'EE Measures'!$IG$8:$IG$86)</f>
        <v>146.19370344155053</v>
      </c>
      <c r="CC23" s="492">
        <f>CC$11-SUMPRODUCT('EE Measures'!BV$8:BV$86,'EE Measures'!$U$8:$U$86,'EE Measures'!$IG$8:$IG$86)</f>
        <v>148.28013128513771</v>
      </c>
    </row>
    <row r="24" spans="3:81" outlineLevel="1" x14ac:dyDescent="0.3">
      <c r="C24" s="587" t="str">
        <f t="shared" si="58"/>
        <v>EEO</v>
      </c>
      <c r="E24" s="563" t="s">
        <v>52</v>
      </c>
      <c r="F24" s="592">
        <f t="shared" si="59"/>
        <v>52310.816437493479</v>
      </c>
      <c r="G24" s="593">
        <f t="shared" ref="G24:P24" si="64">G$12+AA24</f>
        <v>5337.3640280558666</v>
      </c>
      <c r="H24" s="593">
        <f>H$12+AB24</f>
        <v>5361.642849994173</v>
      </c>
      <c r="I24" s="593">
        <f t="shared" si="64"/>
        <v>5391.2699254265435</v>
      </c>
      <c r="J24" s="593">
        <f t="shared" si="64"/>
        <v>5408.4641743286256</v>
      </c>
      <c r="K24" s="593">
        <f t="shared" si="64"/>
        <v>5322.7168908204767</v>
      </c>
      <c r="L24" s="593">
        <f t="shared" si="64"/>
        <v>5245.5480278552795</v>
      </c>
      <c r="M24" s="593">
        <f t="shared" si="64"/>
        <v>5170.2661537275344</v>
      </c>
      <c r="N24" s="593">
        <f t="shared" si="64"/>
        <v>5096.4253177260798</v>
      </c>
      <c r="O24" s="593">
        <f t="shared" si="64"/>
        <v>5024.0307813399031</v>
      </c>
      <c r="P24" s="593">
        <f t="shared" si="64"/>
        <v>4953.0882882189935</v>
      </c>
      <c r="Q24" s="593">
        <f t="shared" ref="Q24:U24" si="65">Q$12+AK24</f>
        <v>4883.6040658881893</v>
      </c>
      <c r="R24" s="593">
        <f t="shared" si="65"/>
        <v>4815.5848276494662</v>
      </c>
      <c r="S24" s="593">
        <f t="shared" si="65"/>
        <v>4749.0377746732229</v>
      </c>
      <c r="T24" s="593">
        <f t="shared" si="65"/>
        <v>4683.9705982792575</v>
      </c>
      <c r="U24" s="593">
        <f t="shared" si="65"/>
        <v>4620.2011809169526</v>
      </c>
      <c r="V24"/>
      <c r="W24"/>
      <c r="Y24" s="563" t="s">
        <v>52</v>
      </c>
      <c r="Z24" s="592">
        <f t="shared" si="62"/>
        <v>-3109.0963974119177</v>
      </c>
      <c r="AA24" s="593">
        <f>-SUMPRODUCT('EE Measures'!BH$8:BH$86,'EE Measures'!$P$8:$P$86,'EE Measures'!$IG$8:$IG$86)</f>
        <v>-47.711671944133144</v>
      </c>
      <c r="AB24" s="593">
        <f>-SUMPRODUCT('EE Measures'!BI$8:BI$86,'EE Measures'!$P$8:$P$86,'EE Measures'!$IG$8:$IG$86)</f>
        <v>-55.599480709088851</v>
      </c>
      <c r="AC24" s="593">
        <f>-SUMPRODUCT('EE Measures'!BJ$8:BJ$86,'EE Measures'!$P$8:$P$86,'EE Measures'!$IG$8:$IG$86)</f>
        <v>-59.098718809684456</v>
      </c>
      <c r="AD24" s="593">
        <f>-SUMPRODUCT('EE Measures'!BK$8:BK$86,'EE Measures'!$P$8:$P$86,'EE Measures'!$IG$8:$IG$86)</f>
        <v>-76.004420747916299</v>
      </c>
      <c r="AE24" s="593">
        <f>-SUMPRODUCT('EE Measures'!BL$8:BL$86,'EE Measures'!$P$8:$P$86,'EE Measures'!$IG$8:$IG$86)</f>
        <v>-196.83954101363187</v>
      </c>
      <c r="AF24" s="593">
        <f>-SUMPRODUCT('EE Measures'!BM$8:BM$86,'EE Measures'!$P$8:$P$86,'EE Measures'!$IG$8:$IG$86)</f>
        <v>-310.09867475903701</v>
      </c>
      <c r="AG24" s="593">
        <f>-SUMPRODUCT('EE Measures'!BN$8:BN$86,'EE Measures'!$P$8:$P$86,'EE Measures'!$IG$8:$IG$86)</f>
        <v>-422.8883674975329</v>
      </c>
      <c r="AH24" s="593">
        <f>-SUMPRODUCT('EE Measures'!BO$8:BO$86,'EE Measures'!$P$8:$P$86,'EE Measures'!$IG$8:$IG$86)</f>
        <v>-535.21847121698011</v>
      </c>
      <c r="AI24" s="593">
        <f>-SUMPRODUCT('EE Measures'!BP$8:BP$86,'EE Measures'!$P$8:$P$86,'EE Measures'!$IG$8:$IG$86)</f>
        <v>-647.09865279252801</v>
      </c>
      <c r="AJ24" s="593">
        <f>-SUMPRODUCT('EE Measures'!BQ$8:BQ$86,'EE Measures'!$P$8:$P$86,'EE Measures'!$IG$8:$IG$86)</f>
        <v>-758.5383979213849</v>
      </c>
      <c r="AK24" s="593">
        <f>-SUMPRODUCT('EE Measures'!BR$8:BR$86,'EE Measures'!$P$8:$P$86,'EE Measures'!$IG$8:$IG$86)</f>
        <v>-869.54701497797851</v>
      </c>
      <c r="AL24" s="593">
        <f>-SUMPRODUCT('EE Measures'!BS$8:BS$86,'EE Measures'!$P$8:$P$86,'EE Measures'!$IG$8:$IG$86)</f>
        <v>-980.13363879110022</v>
      </c>
      <c r="AM24" s="593">
        <f>-SUMPRODUCT('EE Measures'!BT$8:BT$86,'EE Measures'!$P$8:$P$86,'EE Measures'!$IG$8:$IG$86)</f>
        <v>-1090.3072343446024</v>
      </c>
      <c r="AN24" s="593">
        <f>-SUMPRODUCT('EE Measures'!BU$8:BU$86,'EE Measures'!$P$8:$P$86,'EE Measures'!$IG$8:$IG$86)</f>
        <v>-1200.0766004032114</v>
      </c>
      <c r="AO24" s="593">
        <f>-SUMPRODUCT('EE Measures'!BV$8:BV$86,'EE Measures'!$P$8:$P$86,'EE Measures'!$IG$8:$IG$86)</f>
        <v>-1309.6406745561899</v>
      </c>
      <c r="AP24" s="898">
        <f t="shared" si="24"/>
        <v>-8396.3916890220935</v>
      </c>
      <c r="AQ24" s="554" t="str">
        <v>Kirde-Eesti</v>
      </c>
      <c r="AR24" s="592">
        <f t="shared" si="63"/>
        <v>-1281.4924566399973</v>
      </c>
      <c r="AS24" s="593">
        <f>-SUMPRODUCT('EE Measures'!BH$8:BH$86,'EE Measures'!$AA$8:$AA$86,'EE Measures'!$IG$8:$IG$86)</f>
        <v>-21.080781618935646</v>
      </c>
      <c r="AT24" s="593">
        <f>-SUMPRODUCT('EE Measures'!BI$8:BI$86,'EE Measures'!$AA$8:$AA$86,'EE Measures'!$IG$8:$IG$86)</f>
        <v>-25.392362436899408</v>
      </c>
      <c r="AU24" s="593">
        <f>-SUMPRODUCT('EE Measures'!BJ$8:BJ$86,'EE Measures'!$AA$8:$AA$86,'EE Measures'!$IG$8:$IG$86)</f>
        <v>-28.580898730182678</v>
      </c>
      <c r="AV24" s="593">
        <f>-SUMPRODUCT('EE Measures'!BK$8:BK$86,'EE Measures'!$AA$8:$AA$86,'EE Measures'!$IG$8:$IG$86)</f>
        <v>-50.911807262168423</v>
      </c>
      <c r="AW24" s="593">
        <f>-SUMPRODUCT('EE Measures'!BL$8:BL$86,'EE Measures'!$AA$8:$AA$86,'EE Measures'!$IG$8:$IG$86)</f>
        <v>-102.52270409856281</v>
      </c>
      <c r="AX24" s="593">
        <f>-SUMPRODUCT('EE Measures'!BM$8:BM$86,'EE Measures'!$AA$8:$AA$86,'EE Measures'!$IG$8:$IG$86)</f>
        <v>-142.61926087845882</v>
      </c>
      <c r="AY24" s="593">
        <f>-SUMPRODUCT('EE Measures'!BN$8:BN$86,'EE Measures'!$AA$8:$AA$86,'EE Measures'!$IG$8:$IG$86)</f>
        <v>-180.01969565367656</v>
      </c>
      <c r="AZ24" s="593">
        <f>-SUMPRODUCT('EE Measures'!BO$8:BO$86,'EE Measures'!$AA$8:$AA$86,'EE Measures'!$IG$8:$IG$86)</f>
        <v>-211.75426511667999</v>
      </c>
      <c r="BA24" s="593">
        <f>-SUMPRODUCT('EE Measures'!BP$8:BP$86,'EE Measures'!$AA$8:$AA$86,'EE Measures'!$IG$8:$IG$86)</f>
        <v>-243.48672831326439</v>
      </c>
      <c r="BB24" s="593">
        <f>-SUMPRODUCT('EE Measures'!BQ$8:BQ$86,'EE Measures'!$AA$8:$AA$86,'EE Measures'!$IG$8:$IG$86)</f>
        <v>-275.12395253116858</v>
      </c>
      <c r="BC24" s="593">
        <f>-SUMPRODUCT('EE Measures'!BR$8:BR$86,'EE Measures'!$AA$8:$AA$86,'EE Measures'!$IG$8:$IG$86)</f>
        <v>-306.14343947081443</v>
      </c>
      <c r="BD24" s="593">
        <f>-SUMPRODUCT('EE Measures'!BS$8:BS$86,'EE Measures'!$AA$8:$AA$86,'EE Measures'!$IG$8:$IG$86)</f>
        <v>-337.14983151934683</v>
      </c>
      <c r="BE24" s="593">
        <f>-SUMPRODUCT('EE Measures'!BT$8:BT$86,'EE Measures'!$AA$8:$AA$86,'EE Measures'!$IG$8:$IG$86)</f>
        <v>-368.1437659704319</v>
      </c>
      <c r="BF24" s="593">
        <f>-SUMPRODUCT('EE Measures'!BU$8:BU$86,'EE Measures'!$AA$8:$AA$86,'EE Measures'!$IG$8:$IG$86)</f>
        <v>-399.12587317058529</v>
      </c>
      <c r="BG24" s="593">
        <f>-SUMPRODUCT('EE Measures'!BV$8:BV$86,'EE Measures'!$AA$8:$AA$86,'EE Measures'!$IG$8:$IG$86)</f>
        <v>-430.10458044225538</v>
      </c>
      <c r="BH24" s="867">
        <f>AR24/$AR$21</f>
        <v>8.8232652087184116E-2</v>
      </c>
      <c r="BK24" s="587" t="s">
        <v>35</v>
      </c>
      <c r="BM24" s="648" t="s">
        <v>391</v>
      </c>
      <c r="BN24" s="592"/>
      <c r="BO24" s="492">
        <f>BO$12-SUMPRODUCT('EE Measures'!BH$8:BH$86,'EE Measures'!$V$8:$V$86,'EE Measures'!$IG$8:$IG$86)</f>
        <v>776.38569438353784</v>
      </c>
      <c r="BP24" s="492">
        <f>BP$12-SUMPRODUCT('EE Measures'!BI$8:BI$86,'EE Measures'!$V$8:$V$86,'EE Measures'!$IG$8:$IG$86)</f>
        <v>867.97999860819243</v>
      </c>
      <c r="BQ24" s="492">
        <f>BQ$12-SUMPRODUCT('EE Measures'!BJ$8:BJ$86,'EE Measures'!$V$8:$V$86,'EE Measures'!$IG$8:$IG$86)</f>
        <v>874.50131297398104</v>
      </c>
      <c r="BR24" s="492">
        <f>BR$12-SUMPRODUCT('EE Measures'!BK$8:BK$86,'EE Measures'!$V$8:$V$86,'EE Measures'!$IG$8:$IG$86)</f>
        <v>880.30899820938146</v>
      </c>
      <c r="BS24" s="492">
        <f>BS$12-SUMPRODUCT('EE Measures'!BL$8:BL$86,'EE Measures'!$V$8:$V$86,'EE Measures'!$IG$8:$IG$86)</f>
        <v>877.83570422292144</v>
      </c>
      <c r="BT24" s="492">
        <f>BT$12-SUMPRODUCT('EE Measures'!BM$8:BM$86,'EE Measures'!$V$8:$V$86,'EE Measures'!$IG$8:$IG$86)</f>
        <v>879.09347918720982</v>
      </c>
      <c r="BU24" s="492">
        <f>BU$12-SUMPRODUCT('EE Measures'!BN$8:BN$86,'EE Measures'!$V$8:$V$86,'EE Measures'!$IG$8:$IG$86)</f>
        <v>872.53908326764918</v>
      </c>
      <c r="BV24" s="492">
        <f>BV$12-SUMPRODUCT('EE Measures'!BO$8:BO$86,'EE Measures'!$V$8:$V$86,'EE Measures'!$IG$8:$IG$86)</f>
        <v>877.11741777950203</v>
      </c>
      <c r="BW24" s="492">
        <f>BW$12-SUMPRODUCT('EE Measures'!BP$8:BP$86,'EE Measures'!$V$8:$V$86,'EE Measures'!$IG$8:$IG$86)</f>
        <v>881.91065714618651</v>
      </c>
      <c r="BX24" s="492">
        <f>BX$12-SUMPRODUCT('EE Measures'!BQ$8:BQ$86,'EE Measures'!$V$8:$V$86,'EE Measures'!$IG$8:$IG$86)</f>
        <v>886.98487005028858</v>
      </c>
      <c r="BY24" s="492">
        <f>BY$12-SUMPRODUCT('EE Measures'!BR$8:BR$86,'EE Measures'!$V$8:$V$86,'EE Measures'!$IG$8:$IG$86)</f>
        <v>893.67732906020478</v>
      </c>
      <c r="BZ24" s="492">
        <f>BZ$12-SUMPRODUCT('EE Measures'!BS$8:BS$86,'EE Measures'!$V$8:$V$86,'EE Measures'!$IG$8:$IG$86)</f>
        <v>900.60455911851011</v>
      </c>
      <c r="CA24" s="492">
        <f>CA$12-SUMPRODUCT('EE Measures'!BT$8:BT$86,'EE Measures'!$V$8:$V$86,'EE Measures'!$IG$8:$IG$86)</f>
        <v>907.77044337752875</v>
      </c>
      <c r="CB24" s="492">
        <f>CB$12-SUMPRODUCT('EE Measures'!BU$8:BU$86,'EE Measures'!$V$8:$V$86,'EE Measures'!$IG$8:$IG$86)</f>
        <v>915.17893186428967</v>
      </c>
      <c r="CC24" s="492">
        <f>CC$12-SUMPRODUCT('EE Measures'!BV$8:BV$86,'EE Measures'!$V$8:$V$86,'EE Measures'!$IG$8:$IG$86)</f>
        <v>922.83404235808985</v>
      </c>
    </row>
    <row r="25" spans="3:81" outlineLevel="1" x14ac:dyDescent="0.3">
      <c r="C25" s="587" t="str">
        <f t="shared" si="58"/>
        <v>EEO</v>
      </c>
      <c r="E25" s="563" t="s">
        <v>53</v>
      </c>
      <c r="F25" s="592">
        <f t="shared" si="59"/>
        <v>98604.320146205879</v>
      </c>
      <c r="G25" s="593">
        <f t="shared" ref="G25:P25" si="66">G$13+AA25</f>
        <v>9691.2389775565716</v>
      </c>
      <c r="H25" s="593">
        <f t="shared" si="66"/>
        <v>9774.2593234083488</v>
      </c>
      <c r="I25" s="593">
        <f t="shared" si="66"/>
        <v>9860.8864541372841</v>
      </c>
      <c r="J25" s="593">
        <f t="shared" si="66"/>
        <v>9864.2846505882098</v>
      </c>
      <c r="K25" s="593">
        <f t="shared" si="66"/>
        <v>9840.4983170381365</v>
      </c>
      <c r="L25" s="593">
        <f t="shared" si="66"/>
        <v>9900.1624362784369</v>
      </c>
      <c r="M25" s="593">
        <f t="shared" si="66"/>
        <v>9823.2194571141063</v>
      </c>
      <c r="N25" s="593">
        <f t="shared" si="66"/>
        <v>9885.8132632652778</v>
      </c>
      <c r="O25" s="593">
        <f t="shared" si="66"/>
        <v>9949.3016794318009</v>
      </c>
      <c r="P25" s="593">
        <f t="shared" si="66"/>
        <v>10014.65558738771</v>
      </c>
      <c r="Q25" s="593">
        <f t="shared" ref="Q25:U25" si="67">Q$13+AK25</f>
        <v>10099.338492712339</v>
      </c>
      <c r="R25" s="593">
        <f t="shared" si="67"/>
        <v>10185.079611191339</v>
      </c>
      <c r="S25" s="593">
        <f t="shared" si="67"/>
        <v>10271.889489319459</v>
      </c>
      <c r="T25" s="593">
        <f t="shared" si="67"/>
        <v>10359.778779039232</v>
      </c>
      <c r="U25" s="593">
        <f t="shared" si="67"/>
        <v>10448.758238807502</v>
      </c>
      <c r="V25"/>
      <c r="W25"/>
      <c r="Y25" s="563" t="s">
        <v>53</v>
      </c>
      <c r="Z25" s="592">
        <f t="shared" si="62"/>
        <v>-3097.1042639358552</v>
      </c>
      <c r="AA25" s="593">
        <f>-SUMPRODUCT('EE Measures'!BH$8:BH$86,'EE Measures'!$Q$8:$Q$86,'EE Measures'!$IG$8:$IG$86)</f>
        <v>-29.59435577676274</v>
      </c>
      <c r="AB25" s="593">
        <f>-SUMPRODUCT('EE Measures'!BI$8:BI$86,'EE Measures'!$Q$8:$Q$86,'EE Measures'!$IG$8:$IG$86)</f>
        <v>-43.782343258319763</v>
      </c>
      <c r="AC25" s="593">
        <f>-SUMPRODUCT('EE Measures'!BJ$8:BJ$86,'EE Measures'!$Q$8:$Q$86,'EE Measures'!$IG$8:$IG$86)</f>
        <v>-55.335629196049389</v>
      </c>
      <c r="AD25" s="593">
        <f>-SUMPRODUCT('EE Measures'!BK$8:BK$86,'EE Measures'!$Q$8:$Q$86,'EE Measures'!$IG$8:$IG$86)</f>
        <v>-151.09965357845803</v>
      </c>
      <c r="AE25" s="593">
        <f>-SUMPRODUCT('EE Measures'!BL$8:BL$86,'EE Measures'!$Q$8:$Q$86,'EE Measures'!$IG$8:$IG$86)</f>
        <v>-275.03983017019931</v>
      </c>
      <c r="AF25" s="593">
        <f>-SUMPRODUCT('EE Measures'!BM$8:BM$86,'EE Measures'!$Q$8:$Q$86,'EE Measures'!$IG$8:$IG$86)</f>
        <v>-316.53109240198165</v>
      </c>
      <c r="AG25" s="593">
        <f>-SUMPRODUCT('EE Measures'!BN$8:BN$86,'EE Measures'!$Q$8:$Q$86,'EE Measures'!$IG$8:$IG$86)</f>
        <v>-495.64100685311746</v>
      </c>
      <c r="AH25" s="593">
        <f>-SUMPRODUCT('EE Measures'!BO$8:BO$86,'EE Measures'!$Q$8:$Q$86,'EE Measures'!$IG$8:$IG$86)</f>
        <v>-536.23580534161806</v>
      </c>
      <c r="AI25" s="593">
        <f>-SUMPRODUCT('EE Measures'!BP$8:BP$86,'EE Measures'!$Q$8:$Q$86,'EE Measures'!$IG$8:$IG$86)</f>
        <v>-576.96787986116362</v>
      </c>
      <c r="AJ25" s="593">
        <f>-SUMPRODUCT('EE Measures'!BQ$8:BQ$86,'EE Measures'!$Q$8:$Q$86,'EE Measures'!$IG$8:$IG$86)</f>
        <v>-616.87666749818516</v>
      </c>
      <c r="AK25" s="593">
        <f>-SUMPRODUCT('EE Measures'!BR$8:BR$86,'EE Measures'!$Q$8:$Q$86,'EE Measures'!$IG$8:$IG$86)</f>
        <v>-638.50908472241451</v>
      </c>
      <c r="AL25" s="593">
        <f>-SUMPRODUCT('EE Measures'!BS$8:BS$86,'EE Measures'!$Q$8:$Q$86,'EE Measures'!$IG$8:$IG$86)</f>
        <v>-660.14644201776218</v>
      </c>
      <c r="AM25" s="593">
        <f>-SUMPRODUCT('EE Measures'!BT$8:BT$86,'EE Measures'!$Q$8:$Q$86,'EE Measures'!$IG$8:$IG$86)</f>
        <v>-681.78882442173176</v>
      </c>
      <c r="AN25" s="593">
        <f>-SUMPRODUCT('EE Measures'!BU$8:BU$86,'EE Measures'!$Q$8:$Q$86,'EE Measures'!$IG$8:$IG$86)</f>
        <v>-703.43631783937121</v>
      </c>
      <c r="AO25" s="593">
        <f>-SUMPRODUCT('EE Measures'!BV$8:BV$86,'EE Measures'!$Q$8:$Q$86,'EE Measures'!$IG$8:$IG$86)</f>
        <v>-725.08900903988581</v>
      </c>
      <c r="AP25" s="898">
        <f t="shared" si="24"/>
        <v>-6377.3616137458894</v>
      </c>
      <c r="AQ25" s="554" t="str">
        <v>Lõuna-Eesti </v>
      </c>
      <c r="AR25" s="592">
        <f t="shared" si="63"/>
        <v>-3393.4812891565666</v>
      </c>
      <c r="AS25" s="593">
        <f>-SUMPRODUCT('EE Measures'!BH$8:BH$86,'EE Measures'!$AB$8:$AB$86,'EE Measures'!$IG$8:$IG$86)</f>
        <v>-44.840125126349903</v>
      </c>
      <c r="AT25" s="593">
        <f>-SUMPRODUCT('EE Measures'!BI$8:BI$86,'EE Measures'!$AB$8:$AB$86,'EE Measures'!$IG$8:$IG$86)</f>
        <v>-55.243091006031037</v>
      </c>
      <c r="AU25" s="593">
        <f>-SUMPRODUCT('EE Measures'!BJ$8:BJ$86,'EE Measures'!$AB$8:$AB$86,'EE Measures'!$IG$8:$IG$86)</f>
        <v>-63.954283327071487</v>
      </c>
      <c r="AV25" s="593">
        <f>-SUMPRODUCT('EE Measures'!BK$8:BK$86,'EE Measures'!$AB$8:$AB$86,'EE Measures'!$IG$8:$IG$86)</f>
        <v>-116.29858952725492</v>
      </c>
      <c r="AW25" s="593">
        <f>-SUMPRODUCT('EE Measures'!BL$8:BL$86,'EE Measures'!$AB$8:$AB$86,'EE Measures'!$IG$8:$IG$86)</f>
        <v>-253.80385531817259</v>
      </c>
      <c r="AX25" s="593">
        <f>-SUMPRODUCT('EE Measures'!BM$8:BM$86,'EE Measures'!$AB$8:$AB$86,'EE Measures'!$IG$8:$IG$86)</f>
        <v>-364.65128674660065</v>
      </c>
      <c r="AY25" s="593">
        <f>-SUMPRODUCT('EE Measures'!BN$8:BN$86,'EE Measures'!$AB$8:$AB$86,'EE Measures'!$IG$8:$IG$86)</f>
        <v>-473.79607626841516</v>
      </c>
      <c r="AZ25" s="593">
        <f>-SUMPRODUCT('EE Measures'!BO$8:BO$86,'EE Measures'!$AB$8:$AB$86,'EE Measures'!$IG$8:$IG$86)</f>
        <v>-573.8352805231134</v>
      </c>
      <c r="BA25" s="593">
        <f>-SUMPRODUCT('EE Measures'!BP$8:BP$86,'EE Measures'!$AB$8:$AB$86,'EE Measures'!$IG$8:$IG$86)</f>
        <v>-673.74777837134116</v>
      </c>
      <c r="BB25" s="593">
        <f>-SUMPRODUCT('EE Measures'!BQ$8:BQ$86,'EE Measures'!$AB$8:$AB$86,'EE Measures'!$IG$8:$IG$86)</f>
        <v>-773.31092294221651</v>
      </c>
      <c r="BC25" s="593">
        <f>-SUMPRODUCT('EE Measures'!BR$8:BR$86,'EE Measures'!$AB$8:$AB$86,'EE Measures'!$IG$8:$IG$86)</f>
        <v>-868.27465425504022</v>
      </c>
      <c r="BD25" s="593">
        <f>-SUMPRODUCT('EE Measures'!BS$8:BS$86,'EE Measures'!$AB$8:$AB$86,'EE Measures'!$IG$8:$IG$86)</f>
        <v>-963.09215719778877</v>
      </c>
      <c r="BE25" s="593">
        <f>-SUMPRODUCT('EE Measures'!BT$8:BT$86,'EE Measures'!$AB$8:$AB$86,'EE Measures'!$IG$8:$IG$86)</f>
        <v>-1057.7672239310214</v>
      </c>
      <c r="BF25" s="593">
        <f>-SUMPRODUCT('EE Measures'!BU$8:BU$86,'EE Measures'!$AB$8:$AB$86,'EE Measures'!$IG$8:$IG$86)</f>
        <v>-1152.3035858760713</v>
      </c>
      <c r="BG25" s="593">
        <f>-SUMPRODUCT('EE Measures'!BV$8:BV$86,'EE Measures'!$AB$8:$AB$86,'EE Measures'!$IG$8:$IG$86)</f>
        <v>-1246.7501725951681</v>
      </c>
      <c r="BH25" s="867">
        <f>AR25/$AR$21</f>
        <v>0.23364620868356284</v>
      </c>
      <c r="BK25" s="587" t="s">
        <v>35</v>
      </c>
      <c r="BM25" s="648" t="s">
        <v>392</v>
      </c>
      <c r="BN25" s="592"/>
      <c r="BO25" s="492">
        <f>BO$13-SUMPRODUCT('EE Measures'!BH$8:BH$86,'EE Measures'!$W$8:$W$86,'EE Measures'!$IG$8:$IG$86)</f>
        <v>11750.287656771043</v>
      </c>
      <c r="BP25" s="492">
        <f>BP$13-SUMPRODUCT('EE Measures'!BI$8:BI$86,'EE Measures'!$W$8:$W$86,'EE Measures'!$IG$8:$IG$86)</f>
        <v>11749.437771200757</v>
      </c>
      <c r="BQ25" s="492">
        <f>BQ$13-SUMPRODUCT('EE Measures'!BJ$8:BJ$86,'EE Measures'!$W$8:$W$86,'EE Measures'!$IG$8:$IG$86)</f>
        <v>11757.792796958078</v>
      </c>
      <c r="BR25" s="492">
        <f>BR$13-SUMPRODUCT('EE Measures'!BK$8:BK$86,'EE Measures'!$W$8:$W$86,'EE Measures'!$IG$8:$IG$86)</f>
        <v>11741.960971372995</v>
      </c>
      <c r="BS25" s="492">
        <f>BS$13-SUMPRODUCT('EE Measures'!BL$8:BL$86,'EE Measures'!$W$8:$W$86,'EE Measures'!$IG$8:$IG$86)</f>
        <v>11517.636083075227</v>
      </c>
      <c r="BT25" s="492">
        <f>BT$13-SUMPRODUCT('EE Measures'!BM$8:BM$86,'EE Measures'!$W$8:$W$86,'EE Measures'!$IG$8:$IG$86)</f>
        <v>11312.489197832789</v>
      </c>
      <c r="BU25" s="492">
        <f>BU$13-SUMPRODUCT('EE Measures'!BN$8:BN$86,'EE Measures'!$W$8:$W$86,'EE Measures'!$IG$8:$IG$86)</f>
        <v>11117.538277637752</v>
      </c>
      <c r="BV25" s="492">
        <f>BV$13-SUMPRODUCT('EE Measures'!BO$8:BO$86,'EE Measures'!$W$8:$W$86,'EE Measures'!$IG$8:$IG$86)</f>
        <v>10928.271086640314</v>
      </c>
      <c r="BW25" s="492">
        <f>BW$13-SUMPRODUCT('EE Measures'!BP$8:BP$86,'EE Measures'!$W$8:$W$86,'EE Measures'!$IG$8:$IG$86)</f>
        <v>10740.440652801815</v>
      </c>
      <c r="BX25" s="492">
        <f>BX$13-SUMPRODUCT('EE Measures'!BQ$8:BQ$86,'EE Measures'!$W$8:$W$86,'EE Measures'!$IG$8:$IG$86)</f>
        <v>10554.053495689916</v>
      </c>
      <c r="BY25" s="492">
        <f>BY$13-SUMPRODUCT('EE Measures'!BR$8:BR$86,'EE Measures'!$W$8:$W$86,'EE Measures'!$IG$8:$IG$86)</f>
        <v>10369.249952829965</v>
      </c>
      <c r="BZ25" s="492">
        <f>BZ$13-SUMPRODUCT('EE Measures'!BS$8:BS$86,'EE Measures'!$W$8:$W$86,'EE Measures'!$IG$8:$IG$86)</f>
        <v>10185.903843715456</v>
      </c>
      <c r="CA25" s="492">
        <f>CA$13-SUMPRODUCT('EE Measures'!BT$8:BT$86,'EE Measures'!$W$8:$W$86,'EE Measures'!$IG$8:$IG$86)</f>
        <v>10004.022806798779</v>
      </c>
      <c r="CB25" s="492">
        <f>CB$13-SUMPRODUCT('EE Measures'!BU$8:BU$86,'EE Measures'!$W$8:$W$86,'EE Measures'!$IG$8:$IG$86)</f>
        <v>9823.6148547376124</v>
      </c>
      <c r="CC25" s="492">
        <f>CC$13-SUMPRODUCT('EE Measures'!BV$8:BV$86,'EE Measures'!$W$8:$W$86,'EE Measures'!$IG$8:$IG$86)</f>
        <v>9644.6152562497773</v>
      </c>
    </row>
    <row r="26" spans="3:81" outlineLevel="1" x14ac:dyDescent="0.3">
      <c r="C26" s="587" t="str">
        <f t="shared" si="58"/>
        <v>EEO</v>
      </c>
      <c r="E26" s="563" t="s">
        <v>54</v>
      </c>
      <c r="F26" s="592">
        <f t="shared" si="59"/>
        <v>9729.957992963733</v>
      </c>
      <c r="G26" s="593">
        <f t="shared" ref="G26:P26" si="68">G$14+AA26</f>
        <v>988.46632075930984</v>
      </c>
      <c r="H26" s="593">
        <f t="shared" si="68"/>
        <v>988.3835149808026</v>
      </c>
      <c r="I26" s="593">
        <f t="shared" si="68"/>
        <v>988.29947534863015</v>
      </c>
      <c r="J26" s="593">
        <f t="shared" si="68"/>
        <v>979.90554667046297</v>
      </c>
      <c r="K26" s="593">
        <f t="shared" si="68"/>
        <v>975.70819291926921</v>
      </c>
      <c r="L26" s="593">
        <f t="shared" si="68"/>
        <v>975.62025185425841</v>
      </c>
      <c r="M26" s="593">
        <f t="shared" si="68"/>
        <v>968.73097548195085</v>
      </c>
      <c r="N26" s="593">
        <f t="shared" si="68"/>
        <v>961.84035054063725</v>
      </c>
      <c r="O26" s="593">
        <f t="shared" si="68"/>
        <v>954.94836355836435</v>
      </c>
      <c r="P26" s="593">
        <f t="shared" si="68"/>
        <v>948.05500085004599</v>
      </c>
      <c r="Q26" s="593">
        <f t="shared" ref="Q26:U26" si="69">Q$14+AK26</f>
        <v>947.96024851467917</v>
      </c>
      <c r="R26" s="593">
        <f t="shared" si="69"/>
        <v>947.86409243265177</v>
      </c>
      <c r="S26" s="593">
        <f t="shared" si="69"/>
        <v>947.766518263134</v>
      </c>
      <c r="T26" s="593">
        <f t="shared" si="69"/>
        <v>947.66751144153977</v>
      </c>
      <c r="U26" s="593">
        <f t="shared" si="69"/>
        <v>947.56705717704733</v>
      </c>
      <c r="V26"/>
      <c r="W26"/>
      <c r="Y26" s="563" t="s">
        <v>54</v>
      </c>
      <c r="Z26" s="592">
        <f t="shared" si="62"/>
        <v>-178.37534036960216</v>
      </c>
      <c r="AA26" s="593">
        <f>-SUMPRODUCT('EE Measures'!BH$8:BH$86,'EE Measures'!$R$8:$R$86,'EE Measures'!$IG$8:$IG$86)</f>
        <v>-2.3670125740235815</v>
      </c>
      <c r="AB26" s="593">
        <f>-SUMPRODUCT('EE Measures'!BI$8:BI$86,'EE Measures'!$R$8:$R$86,'EE Measures'!$IG$8:$IG$86)</f>
        <v>-2.4498183525307202</v>
      </c>
      <c r="AC26" s="593">
        <f>-SUMPRODUCT('EE Measures'!BJ$8:BJ$86,'EE Measures'!$R$8:$R$86,'EE Measures'!$IG$8:$IG$86)</f>
        <v>-2.5338579847032205</v>
      </c>
      <c r="AD26" s="593">
        <f>-SUMPRODUCT('EE Measures'!BK$8:BK$86,'EE Measures'!$R$8:$R$86,'EE Measures'!$IG$8:$IG$86)</f>
        <v>-10.927786662870368</v>
      </c>
      <c r="AE26" s="593">
        <f>-SUMPRODUCT('EE Measures'!BL$8:BL$86,'EE Measures'!$R$8:$R$86,'EE Measures'!$IG$8:$IG$86)</f>
        <v>-15.125140414064138</v>
      </c>
      <c r="AF26" s="593">
        <f>-SUMPRODUCT('EE Measures'!BM$8:BM$86,'EE Measures'!$R$8:$R$86,'EE Measures'!$IG$8:$IG$86)</f>
        <v>-15.213081479075003</v>
      </c>
      <c r="AG26" s="593">
        <f>-SUMPRODUCT('EE Measures'!BN$8:BN$86,'EE Measures'!$R$8:$R$86,'EE Measures'!$IG$8:$IG$86)</f>
        <v>-22.102357851382564</v>
      </c>
      <c r="AH26" s="593">
        <f>-SUMPRODUCT('EE Measures'!BO$8:BO$86,'EE Measures'!$R$8:$R$86,'EE Measures'!$IG$8:$IG$86)</f>
        <v>-28.992982792696132</v>
      </c>
      <c r="AI26" s="593">
        <f>-SUMPRODUCT('EE Measures'!BP$8:BP$86,'EE Measures'!$R$8:$R$86,'EE Measures'!$IG$8:$IG$86)</f>
        <v>-35.884969774969072</v>
      </c>
      <c r="AJ26" s="593">
        <f>-SUMPRODUCT('EE Measures'!BQ$8:BQ$86,'EE Measures'!$R$8:$R$86,'EE Measures'!$IG$8:$IG$86)</f>
        <v>-42.778332483287365</v>
      </c>
      <c r="AK26" s="593">
        <f>-SUMPRODUCT('EE Measures'!BR$8:BR$86,'EE Measures'!$R$8:$R$86,'EE Measures'!$IG$8:$IG$86)</f>
        <v>-42.873084818654242</v>
      </c>
      <c r="AL26" s="593">
        <f>-SUMPRODUCT('EE Measures'!BS$8:BS$86,'EE Measures'!$R$8:$R$86,'EE Measures'!$IG$8:$IG$86)</f>
        <v>-42.969240900681626</v>
      </c>
      <c r="AM26" s="593">
        <f>-SUMPRODUCT('EE Measures'!BT$8:BT$86,'EE Measures'!$R$8:$R$86,'EE Measures'!$IG$8:$IG$86)</f>
        <v>-43.066815070199347</v>
      </c>
      <c r="AN26" s="593">
        <f>-SUMPRODUCT('EE Measures'!BU$8:BU$86,'EE Measures'!$R$8:$R$86,'EE Measures'!$IG$8:$IG$86)</f>
        <v>-43.165821891793584</v>
      </c>
      <c r="AO26" s="593">
        <f>-SUMPRODUCT('EE Measures'!BV$8:BV$86,'EE Measures'!$R$8:$R$86,'EE Measures'!$IG$8:$IG$86)</f>
        <v>-43.266276156286011</v>
      </c>
      <c r="AP26" s="898">
        <f t="shared" si="24"/>
        <v>-386.3658902959595</v>
      </c>
      <c r="AQ26" s="554" t="str">
        <v>Kesk-Eesti</v>
      </c>
      <c r="AR26" s="592">
        <f t="shared" si="63"/>
        <v>-1494.6491149015512</v>
      </c>
      <c r="AS26" s="593">
        <f>-SUMPRODUCT('EE Measures'!BH$8:BH$86,'EE Measures'!$AC$8:$AC$86,'EE Measures'!$IG$8:$IG$86)</f>
        <v>-18.427001959854572</v>
      </c>
      <c r="AT26" s="593">
        <f>-SUMPRODUCT('EE Measures'!BI$8:BI$86,'EE Measures'!$AC$8:$AC$86,'EE Measures'!$IG$8:$IG$86)</f>
        <v>-22.770073405040886</v>
      </c>
      <c r="AU26" s="593">
        <f>-SUMPRODUCT('EE Measures'!BJ$8:BJ$86,'EE Measures'!$AC$8:$AC$86,'EE Measures'!$IG$8:$IG$86)</f>
        <v>-26.435945106562929</v>
      </c>
      <c r="AV26" s="593">
        <f>-SUMPRODUCT('EE Measures'!BK$8:BK$86,'EE Measures'!$AC$8:$AC$86,'EE Measures'!$IG$8:$IG$86)</f>
        <v>-48.533615015664232</v>
      </c>
      <c r="AW26" s="593">
        <f>-SUMPRODUCT('EE Measures'!BL$8:BL$86,'EE Measures'!$AC$8:$AC$86,'EE Measures'!$IG$8:$IG$86)</f>
        <v>-109.39182077436097</v>
      </c>
      <c r="AX26" s="593">
        <f>-SUMPRODUCT('EE Measures'!BM$8:BM$86,'EE Measures'!$AC$8:$AC$86,'EE Measures'!$IG$8:$IG$86)</f>
        <v>-159.28135648452903</v>
      </c>
      <c r="AY26" s="593">
        <f>-SUMPRODUCT('EE Measures'!BN$8:BN$86,'EE Measures'!$AC$8:$AC$86,'EE Measures'!$IG$8:$IG$86)</f>
        <v>-208.9696460610017</v>
      </c>
      <c r="AZ26" s="593">
        <f>-SUMPRODUCT('EE Measures'!BO$8:BO$86,'EE Measures'!$AC$8:$AC$86,'EE Measures'!$IG$8:$IG$86)</f>
        <v>-254.68400377748327</v>
      </c>
      <c r="BA26" s="593">
        <f>-SUMPRODUCT('EE Measures'!BP$8:BP$86,'EE Measures'!$AC$8:$AC$86,'EE Measures'!$IG$8:$IG$86)</f>
        <v>-300.33077306358729</v>
      </c>
      <c r="BB26" s="593">
        <f>-SUMPRODUCT('EE Measures'!BQ$8:BQ$86,'EE Measures'!$AC$8:$AC$86,'EE Measures'!$IG$8:$IG$86)</f>
        <v>-345.82487925346641</v>
      </c>
      <c r="BC26" s="593">
        <f>-SUMPRODUCT('EE Measures'!BR$8:BR$86,'EE Measures'!$AC$8:$AC$86,'EE Measures'!$IG$8:$IG$86)</f>
        <v>-389.31556458510482</v>
      </c>
      <c r="BD26" s="593">
        <f>-SUMPRODUCT('EE Measures'!BS$8:BS$86,'EE Measures'!$AC$8:$AC$86,'EE Measures'!$IG$8:$IG$86)</f>
        <v>-432.73236881954512</v>
      </c>
      <c r="BE26" s="593">
        <f>-SUMPRODUCT('EE Measures'!BT$8:BT$86,'EE Measures'!$AC$8:$AC$86,'EE Measures'!$IG$8:$IG$86)</f>
        <v>-476.07713427066335</v>
      </c>
      <c r="BF26" s="593">
        <f>-SUMPRODUCT('EE Measures'!BU$8:BU$86,'EE Measures'!$AC$8:$AC$86,'EE Measures'!$IG$8:$IG$86)</f>
        <v>-519.35167294078963</v>
      </c>
      <c r="BG26" s="593">
        <f>-SUMPRODUCT('EE Measures'!BV$8:BV$86,'EE Measures'!$AC$8:$AC$86,'EE Measures'!$IG$8:$IG$86)</f>
        <v>-562.58059154210753</v>
      </c>
      <c r="BH26" s="867">
        <f>AR26/$AR$21</f>
        <v>0.10290880345351397</v>
      </c>
      <c r="BK26" s="587" t="s">
        <v>35</v>
      </c>
      <c r="BM26" s="648" t="s">
        <v>393</v>
      </c>
      <c r="BN26" s="592"/>
      <c r="BO26" s="492">
        <f>BO$14-SUMPRODUCT('EE Measures'!BH$8:BH$86,'EE Measures'!$X$8:$X$86,'EE Measures'!$IG$8:$IG$86)</f>
        <v>6901.7278858674081</v>
      </c>
      <c r="BP26" s="492">
        <f>BP$14-SUMPRODUCT('EE Measures'!BI$8:BI$86,'EE Measures'!$X$8:$X$86,'EE Measures'!$IG$8:$IG$86)</f>
        <v>6875.0819820282195</v>
      </c>
      <c r="BQ26" s="492">
        <f>BQ$14-SUMPRODUCT('EE Measures'!BJ$8:BJ$86,'EE Measures'!$X$8:$X$86,'EE Measures'!$IG$8:$IG$86)</f>
        <v>6978.6302933671132</v>
      </c>
      <c r="BR26" s="492">
        <f>BR$14-SUMPRODUCT('EE Measures'!BK$8:BK$86,'EE Measures'!$X$8:$X$86,'EE Measures'!$IG$8:$IG$86)</f>
        <v>7050.6318564448029</v>
      </c>
      <c r="BS26" s="492">
        <f>BS$14-SUMPRODUCT('EE Measures'!BL$8:BL$86,'EE Measures'!$X$8:$X$86,'EE Measures'!$IG$8:$IG$86)</f>
        <v>7021.3645071599376</v>
      </c>
      <c r="BT26" s="492">
        <f>BT$14-SUMPRODUCT('EE Measures'!BM$8:BM$86,'EE Measures'!$X$8:$X$86,'EE Measures'!$IG$8:$IG$86)</f>
        <v>7014.8497898013011</v>
      </c>
      <c r="BU26" s="492">
        <f>BU$14-SUMPRODUCT('EE Measures'!BN$8:BN$86,'EE Measures'!$X$8:$X$86,'EE Measures'!$IG$8:$IG$86)</f>
        <v>7016.4805898899785</v>
      </c>
      <c r="BV26" s="492">
        <f>BV$14-SUMPRODUCT('EE Measures'!BO$8:BO$86,'EE Measures'!$X$8:$X$86,'EE Measures'!$IG$8:$IG$86)</f>
        <v>7042.2399583115648</v>
      </c>
      <c r="BW26" s="492">
        <f>BW$14-SUMPRODUCT('EE Measures'!BP$8:BP$86,'EE Measures'!$X$8:$X$86,'EE Measures'!$IG$8:$IG$86)</f>
        <v>7068.0393397303542</v>
      </c>
      <c r="BX26" s="492">
        <f>BX$14-SUMPRODUCT('EE Measures'!BQ$8:BQ$86,'EE Measures'!$X$8:$X$86,'EE Measures'!$IG$8:$IG$86)</f>
        <v>7093.9134696356232</v>
      </c>
      <c r="BY26" s="492">
        <f>BY$14-SUMPRODUCT('EE Measures'!BR$8:BR$86,'EE Measures'!$X$8:$X$86,'EE Measures'!$IG$8:$IG$86)</f>
        <v>7121.2457005429696</v>
      </c>
      <c r="BZ26" s="492">
        <f>BZ$14-SUMPRODUCT('EE Measures'!BS$8:BS$86,'EE Measures'!$X$8:$X$86,'EE Measures'!$IG$8:$IG$86)</f>
        <v>7148.6753186192163</v>
      </c>
      <c r="CA26" s="492">
        <f>CA$14-SUMPRODUCT('EE Measures'!BT$8:BT$86,'EE Measures'!$X$8:$X$86,'EE Measures'!$IG$8:$IG$86)</f>
        <v>7176.2203295856098</v>
      </c>
      <c r="CB26" s="492">
        <f>CB$14-SUMPRODUCT('EE Measures'!BU$8:BU$86,'EE Measures'!$X$8:$X$86,'EE Measures'!$IG$8:$IG$86)</f>
        <v>7203.898562055585</v>
      </c>
      <c r="CC26" s="492">
        <f>CC$14-SUMPRODUCT('EE Measures'!BV$8:BV$86,'EE Measures'!$X$8:$X$86,'EE Measures'!$IG$8:$IG$86)</f>
        <v>7231.6412818610452</v>
      </c>
    </row>
    <row r="27" spans="3:81" outlineLevel="1" collapsed="1" x14ac:dyDescent="0.3">
      <c r="C27" s="587" t="str">
        <f>E27</f>
        <v>VA</v>
      </c>
      <c r="E27" s="555" t="str">
        <f>'EE Measures'!$IH$6</f>
        <v>VA</v>
      </c>
      <c r="F27" s="590">
        <f>SUM(G27:P27)</f>
        <v>310370.10455445299</v>
      </c>
      <c r="G27" s="591">
        <f>SUM(G28:G32)</f>
        <v>30815.440117674178</v>
      </c>
      <c r="H27" s="591">
        <f>SUM(H28:H32)</f>
        <v>31328.735832786344</v>
      </c>
      <c r="I27" s="591">
        <f t="shared" ref="I27" si="70">SUM(I28:I32)</f>
        <v>31514.088264704606</v>
      </c>
      <c r="J27" s="591">
        <f t="shared" ref="J27" si="71">SUM(J28:J32)</f>
        <v>31527.035348229754</v>
      </c>
      <c r="K27" s="591">
        <f t="shared" ref="K27" si="72">SUM(K28:K32)</f>
        <v>31259.770841894318</v>
      </c>
      <c r="L27" s="591">
        <f t="shared" ref="L27" si="73">SUM(L28:L32)</f>
        <v>31129.324293600246</v>
      </c>
      <c r="M27" s="591">
        <f t="shared" ref="M27" si="74">SUM(M28:M32)</f>
        <v>30870.465806475913</v>
      </c>
      <c r="N27" s="591">
        <f t="shared" ref="N27" si="75">SUM(N28:N32)</f>
        <v>30772.458289891962</v>
      </c>
      <c r="O27" s="591">
        <f t="shared" ref="O27" si="76">SUM(O28:O32)</f>
        <v>30647.544247507303</v>
      </c>
      <c r="P27" s="591">
        <f t="shared" ref="P27:U27" si="77">SUM(P28:P32)</f>
        <v>30505.241511688404</v>
      </c>
      <c r="Q27" s="591">
        <f t="shared" si="77"/>
        <v>30392.704129689733</v>
      </c>
      <c r="R27" s="591">
        <f t="shared" si="77"/>
        <v>30284.842716029791</v>
      </c>
      <c r="S27" s="591">
        <f t="shared" si="77"/>
        <v>30181.645059265869</v>
      </c>
      <c r="T27" s="591">
        <f t="shared" si="77"/>
        <v>30083.100715263969</v>
      </c>
      <c r="U27" s="591">
        <f t="shared" si="77"/>
        <v>29989.192905490148</v>
      </c>
      <c r="V27"/>
      <c r="W27"/>
      <c r="Y27" s="555" t="str">
        <f>'EE Measures'!$IH$6</f>
        <v>VA</v>
      </c>
      <c r="Z27" s="590">
        <f>SUM(AA27:AJ27)</f>
        <v>-13687.783241666946</v>
      </c>
      <c r="AA27" s="591">
        <f>SUM(AA28:AA32)</f>
        <v>-215.79486010359921</v>
      </c>
      <c r="AB27" s="591">
        <f>SUM(AB28:AB32)</f>
        <v>-259.55278524331226</v>
      </c>
      <c r="AC27" s="591">
        <f t="shared" ref="AC27" si="78">SUM(AC28:AC32)</f>
        <v>-293.86213279643721</v>
      </c>
      <c r="AD27" s="591">
        <f t="shared" ref="AD27" si="79">SUM(AD28:AD32)</f>
        <v>-519.24598646331469</v>
      </c>
      <c r="AE27" s="591">
        <f t="shared" ref="AE27" si="80">SUM(AE28:AE32)</f>
        <v>-1029.3916115952597</v>
      </c>
      <c r="AF27" s="591">
        <f t="shared" ref="AF27" si="81">SUM(AF28:AF32)</f>
        <v>-1407.3296686180324</v>
      </c>
      <c r="AG27" s="591">
        <f t="shared" ref="AG27" si="82">SUM(AG28:AG32)</f>
        <v>-1923.2246114121622</v>
      </c>
      <c r="AH27" s="591">
        <f t="shared" ref="AH27" si="83">SUM(AH28:AH32)</f>
        <v>-2282.3747776533683</v>
      </c>
      <c r="AI27" s="591">
        <f t="shared" ref="AI27" si="84">SUM(AI28:AI32)</f>
        <v>-2672.5922367274102</v>
      </c>
      <c r="AJ27" s="591">
        <f t="shared" ref="AJ27:AO27" si="85">SUM(AJ28:AJ32)</f>
        <v>-3084.4145710540511</v>
      </c>
      <c r="AK27" s="591">
        <f t="shared" si="85"/>
        <v>-3470.7440029259642</v>
      </c>
      <c r="AL27" s="591">
        <f t="shared" si="85"/>
        <v>-3856.7270553675271</v>
      </c>
      <c r="AM27" s="591">
        <f t="shared" si="85"/>
        <v>-4242.4339588138391</v>
      </c>
      <c r="AN27" s="591">
        <f t="shared" si="85"/>
        <v>-4627.9340715174094</v>
      </c>
      <c r="AO27" s="591">
        <f t="shared" si="85"/>
        <v>-5013.3039951599831</v>
      </c>
      <c r="AP27" s="898">
        <f t="shared" si="24"/>
        <v>-34129.716547308322</v>
      </c>
      <c r="AQ27" s="555" t="s">
        <v>36</v>
      </c>
      <c r="AR27" s="590">
        <f>SUM(AS27:BB27)</f>
        <v>-13684.42033523084</v>
      </c>
      <c r="AS27" s="591">
        <f t="shared" ref="AS27" si="86">SUM(AS28:AS32)</f>
        <v>-215.79486010359921</v>
      </c>
      <c r="AT27" s="591">
        <f t="shared" ref="AT27:BB27" si="87">SUM(AT28:AT32)</f>
        <v>-259.55278524331226</v>
      </c>
      <c r="AU27" s="591">
        <f t="shared" si="87"/>
        <v>-293.86213279643715</v>
      </c>
      <c r="AV27" s="591">
        <f t="shared" si="87"/>
        <v>-519.24598646331469</v>
      </c>
      <c r="AW27" s="591">
        <f t="shared" si="87"/>
        <v>-1029.2314731935408</v>
      </c>
      <c r="AX27" s="591">
        <f t="shared" si="87"/>
        <v>-1407.0093918145935</v>
      </c>
      <c r="AY27" s="591">
        <f t="shared" si="87"/>
        <v>-1922.7441962070041</v>
      </c>
      <c r="AZ27" s="591">
        <f t="shared" si="87"/>
        <v>-2281.7342240464909</v>
      </c>
      <c r="BA27" s="591">
        <f t="shared" si="87"/>
        <v>-2671.7915447188129</v>
      </c>
      <c r="BB27" s="591">
        <f t="shared" si="87"/>
        <v>-3083.4537406437348</v>
      </c>
      <c r="BC27" s="591">
        <f t="shared" ref="BC27:BG27" si="88">SUM(BC28:BC32)</f>
        <v>-3469.6230341139285</v>
      </c>
      <c r="BD27" s="591">
        <f t="shared" si="88"/>
        <v>-3855.445948153772</v>
      </c>
      <c r="BE27" s="591">
        <f t="shared" si="88"/>
        <v>-4240.9927131983641</v>
      </c>
      <c r="BF27" s="591">
        <f t="shared" si="88"/>
        <v>-4626.3326875002149</v>
      </c>
      <c r="BG27" s="591">
        <f t="shared" si="88"/>
        <v>-5011.54247274107</v>
      </c>
      <c r="BH27" s="1214">
        <f>AR27-Z27</f>
        <v>3.3629064361066412</v>
      </c>
      <c r="BK27" s="587" t="s">
        <v>36</v>
      </c>
      <c r="BM27" s="648" t="s">
        <v>388</v>
      </c>
      <c r="BN27" s="590"/>
      <c r="BO27" s="541">
        <f>BO$9-SUMPRODUCT('EE Measures'!BH$8:BH$86,'EE Measures'!$S$8:$S$86,'EE Measures'!$IH$8:$IH$86)</f>
        <v>10017.664746938986</v>
      </c>
      <c r="BP27" s="541">
        <f>BP$9-SUMPRODUCT('EE Measures'!BI$8:BI$86,'EE Measures'!$S$8:$S$86,'EE Measures'!$IH$8:$IH$86)</f>
        <v>10399.694193921743</v>
      </c>
      <c r="BQ27" s="541">
        <f>BQ$9-SUMPRODUCT('EE Measures'!BJ$8:BJ$86,'EE Measures'!$S$8:$S$86,'EE Measures'!$IH$8:$IH$86)</f>
        <v>10450.362214399811</v>
      </c>
      <c r="BR27" s="541">
        <f>BR$9-SUMPRODUCT('EE Measures'!BK$8:BK$86,'EE Measures'!$S$8:$S$86,'EE Measures'!$IH$8:$IH$86)</f>
        <v>10409.294318072923</v>
      </c>
      <c r="BS27" s="541">
        <f>BS$9-SUMPRODUCT('EE Measures'!BL$8:BL$86,'EE Measures'!$S$8:$S$86,'EE Measures'!$IH$8:$IH$86)</f>
        <v>10346.678675343212</v>
      </c>
      <c r="BT27" s="541">
        <f>BT$9-SUMPRODUCT('EE Measures'!BM$8:BM$86,'EE Measures'!$S$8:$S$86,'EE Measures'!$IH$8:$IH$86)</f>
        <v>10370.430085935346</v>
      </c>
      <c r="BU27" s="541">
        <f>BU$9-SUMPRODUCT('EE Measures'!BN$8:BN$86,'EE Measures'!$S$8:$S$86,'EE Measures'!$IH$8:$IH$86)</f>
        <v>10268.521610507811</v>
      </c>
      <c r="BV27" s="541">
        <f>BV$9-SUMPRODUCT('EE Measures'!BO$8:BO$86,'EE Measures'!$S$8:$S$86,'EE Measures'!$IH$8:$IH$86)</f>
        <v>10295.175136938153</v>
      </c>
      <c r="BW27" s="541">
        <f>BW$9-SUMPRODUCT('EE Measures'!BP$8:BP$86,'EE Measures'!$S$8:$S$86,'EE Measures'!$IH$8:$IH$86)</f>
        <v>10320.886080197808</v>
      </c>
      <c r="BX27" s="541">
        <f>BX$9-SUMPRODUCT('EE Measures'!BQ$8:BQ$86,'EE Measures'!$S$8:$S$86,'EE Measures'!$IH$8:$IH$86)</f>
        <v>10347.408279177527</v>
      </c>
      <c r="BY27" s="541">
        <f>BY$9-SUMPRODUCT('EE Measures'!BR$8:BR$86,'EE Measures'!$S$8:$S$86,'EE Measures'!$IH$8:$IH$86)</f>
        <v>10397.916542978042</v>
      </c>
      <c r="BZ27" s="541">
        <f>BZ$9-SUMPRODUCT('EE Measures'!BS$8:BS$86,'EE Measures'!$S$8:$S$86,'EE Measures'!$IH$8:$IH$86)</f>
        <v>10450.87359234398</v>
      </c>
      <c r="CA27" s="541">
        <f>CA$9-SUMPRODUCT('EE Measures'!BT$8:BT$86,'EE Measures'!$S$8:$S$86,'EE Measures'!$IH$8:$IH$86)</f>
        <v>10506.288487312304</v>
      </c>
      <c r="CB27" s="541">
        <f>CB$9-SUMPRODUCT('EE Measures'!BU$8:BU$86,'EE Measures'!$S$8:$S$86,'EE Measures'!$IH$8:$IH$86)</f>
        <v>10564.171032214543</v>
      </c>
      <c r="CC27" s="541">
        <f>CC$9-SUMPRODUCT('EE Measures'!BV$8:BV$86,'EE Measures'!$S$8:$S$86,'EE Measures'!$IH$8:$IH$86)</f>
        <v>10624.529423088117</v>
      </c>
    </row>
    <row r="28" spans="3:81" outlineLevel="1" x14ac:dyDescent="0.3">
      <c r="C28" s="587" t="str">
        <f>C27</f>
        <v>VA</v>
      </c>
      <c r="E28" s="563" t="s">
        <v>50</v>
      </c>
      <c r="F28" s="592">
        <f>SUM(G28:P28)</f>
        <v>46202.754510514198</v>
      </c>
      <c r="G28" s="593">
        <f t="shared" ref="G28:O28" si="89">G$10+AA28</f>
        <v>4292.8294941331924</v>
      </c>
      <c r="H28" s="593">
        <f>H$10+AB28</f>
        <v>4685.8298233046435</v>
      </c>
      <c r="I28" s="593">
        <f t="shared" si="89"/>
        <v>4741.3140790213711</v>
      </c>
      <c r="J28" s="593">
        <f t="shared" si="89"/>
        <v>4748.6094939556178</v>
      </c>
      <c r="K28" s="593">
        <f t="shared" si="89"/>
        <v>4694.3305574754831</v>
      </c>
      <c r="L28" s="593">
        <f t="shared" si="89"/>
        <v>4663.4645837606913</v>
      </c>
      <c r="M28" s="593">
        <f t="shared" si="89"/>
        <v>4637.6793893061313</v>
      </c>
      <c r="N28" s="593">
        <f t="shared" si="89"/>
        <v>4628.6443040433714</v>
      </c>
      <c r="O28" s="593">
        <f t="shared" si="89"/>
        <v>4587.4343610374717</v>
      </c>
      <c r="P28" s="593">
        <f>P$10+AJ28</f>
        <v>4522.6184244762271</v>
      </c>
      <c r="Q28" s="593">
        <f t="shared" ref="Q28:U28" si="90">Q$10+AK28</f>
        <v>4457.1075211527959</v>
      </c>
      <c r="R28" s="593">
        <f t="shared" si="90"/>
        <v>4390.9021179130541</v>
      </c>
      <c r="S28" s="593">
        <f t="shared" si="90"/>
        <v>4323.9971188449717</v>
      </c>
      <c r="T28" s="593">
        <f t="shared" si="90"/>
        <v>4256.3876941778544</v>
      </c>
      <c r="U28" s="593">
        <f t="shared" si="90"/>
        <v>4188.0464843440504</v>
      </c>
      <c r="V28"/>
      <c r="W28"/>
      <c r="Y28" s="563" t="s">
        <v>50</v>
      </c>
      <c r="Z28" s="592">
        <f>SUM(AA28:AJ28)</f>
        <v>-3930.0311087334685</v>
      </c>
      <c r="AA28" s="593">
        <f>-SUMPRODUCT('EE Measures'!BH$8:BH$86,'EE Measures'!$N$8:$N$86,'EE Measures'!$IH$8:$IH$86)</f>
        <v>-105.78161697791808</v>
      </c>
      <c r="AB28" s="593">
        <f>-SUMPRODUCT('EE Measures'!BI$8:BI$86,'EE Measures'!$N$8:$N$86,'EE Measures'!$IH$8:$IH$86)</f>
        <v>-111.10906558424406</v>
      </c>
      <c r="AC28" s="593">
        <f>-SUMPRODUCT('EE Measures'!BJ$8:BJ$86,'EE Measures'!$N$8:$N$86,'EE Measures'!$IH$8:$IH$86)</f>
        <v>-113.18807653418617</v>
      </c>
      <c r="AD28" s="593">
        <f>-SUMPRODUCT('EE Measures'!BK$8:BK$86,'EE Measures'!$N$8:$N$86,'EE Measures'!$IH$8:$IH$86)</f>
        <v>-178.71019393327018</v>
      </c>
      <c r="AE28" s="593">
        <f>-SUMPRODUCT('EE Measures'!BL$8:BL$86,'EE Measures'!$N$8:$N$86,'EE Measures'!$IH$8:$IH$86)</f>
        <v>-306.89892573173745</v>
      </c>
      <c r="AF28" s="593">
        <f>-SUMPRODUCT('EE Measures'!BM$8:BM$86,'EE Measures'!$N$8:$N$86,'EE Measures'!$IH$8:$IH$86)</f>
        <v>-412.78334169463704</v>
      </c>
      <c r="AG28" s="593">
        <f>-SUMPRODUCT('EE Measures'!BN$8:BN$86,'EE Measures'!$N$8:$N$86,'EE Measures'!$IH$8:$IH$86)</f>
        <v>-514.71225503102676</v>
      </c>
      <c r="AH28" s="593">
        <f>-SUMPRODUCT('EE Measures'!BO$8:BO$86,'EE Measures'!$N$8:$N$86,'EE Measures'!$IH$8:$IH$86)</f>
        <v>-601.03321495884416</v>
      </c>
      <c r="AI28" s="593">
        <f>-SUMPRODUCT('EE Measures'!BP$8:BP$86,'EE Measures'!$N$8:$N$86,'EE Measures'!$IH$8:$IH$86)</f>
        <v>-720.68832074977695</v>
      </c>
      <c r="AJ28" s="593">
        <f>-SUMPRODUCT('EE Measures'!BQ$8:BQ$86,'EE Measures'!$N$8:$N$86,'EE Measures'!$IH$8:$IH$86)</f>
        <v>-865.12609753782806</v>
      </c>
      <c r="AK28" s="593">
        <f>-SUMPRODUCT('EE Measures'!BR$8:BR$86,'EE Measures'!$N$8:$N$86,'EE Measures'!$IH$8:$IH$86)</f>
        <v>-1011.4531686914696</v>
      </c>
      <c r="AL28" s="593">
        <f>-SUMPRODUCT('EE Measures'!BS$8:BS$86,'EE Measures'!$N$8:$N$86,'EE Measures'!$IH$8:$IH$86)</f>
        <v>-1159.6869822788763</v>
      </c>
      <c r="AM28" s="593">
        <f>-SUMPRODUCT('EE Measures'!BT$8:BT$86,'EE Measures'!$N$8:$N$86,'EE Measures'!$IH$8:$IH$86)</f>
        <v>-1309.8508178498369</v>
      </c>
      <c r="AN28" s="593">
        <f>-SUMPRODUCT('EE Measures'!BU$8:BU$86,'EE Measures'!$N$8:$N$86,'EE Measures'!$IH$8:$IH$86)</f>
        <v>-1461.9679615673745</v>
      </c>
      <c r="AO28" s="593">
        <f>-SUMPRODUCT('EE Measures'!BV$8:BV$86,'EE Measures'!$N$8:$N$86,'EE Measures'!$IH$8:$IH$86)</f>
        <v>-1616.084506237358</v>
      </c>
      <c r="AP28" s="898">
        <f t="shared" si="24"/>
        <v>-10158.995786262036</v>
      </c>
      <c r="AQ28" s="554" t="str" cm="1">
        <f t="array" ref="AQ28:AQ32">_xlfn.ANCHORARRAY(AQ22)</f>
        <v xml:space="preserve">Põhja-Eesti </v>
      </c>
      <c r="AR28" s="592">
        <f>SUM(AS28:BB28)</f>
        <v>-6356.4134846155002</v>
      </c>
      <c r="AS28" s="593">
        <f>-SUMPRODUCT('EE Measures'!BH$8:BH$86,'EE Measures'!$Y$8:$Y$86,'EE Measures'!$IH$8:$IH$86)</f>
        <v>-113.64220060117381</v>
      </c>
      <c r="AT28" s="593">
        <f>-SUMPRODUCT('EE Measures'!BI$8:BI$86,'EE Measures'!$Y$8:$Y$86,'EE Measures'!$IH$8:$IH$86)</f>
        <v>-133.64612361544096</v>
      </c>
      <c r="AU28" s="593">
        <f>-SUMPRODUCT('EE Measures'!BJ$8:BJ$86,'EE Measures'!$Y$8:$Y$86,'EE Measures'!$IH$8:$IH$86)</f>
        <v>-148.37963370572399</v>
      </c>
      <c r="AV28" s="593">
        <f>-SUMPRODUCT('EE Measures'!BK$8:BK$86,'EE Measures'!$Y$8:$Y$86,'EE Measures'!$IH$8:$IH$86)</f>
        <v>-253.71481596457286</v>
      </c>
      <c r="AW28" s="593">
        <f>-SUMPRODUCT('EE Measures'!BL$8:BL$86,'EE Measures'!$Y$8:$Y$86,'EE Measures'!$IH$8:$IH$86)</f>
        <v>-496.25645496485407</v>
      </c>
      <c r="AX28" s="593">
        <f>-SUMPRODUCT('EE Measures'!BM$8:BM$86,'EE Measures'!$Y$8:$Y$86,'EE Measures'!$IH$8:$IH$86)</f>
        <v>-661.28793001025088</v>
      </c>
      <c r="AY28" s="593">
        <f>-SUMPRODUCT('EE Measures'!BN$8:BN$86,'EE Measures'!$Y$8:$Y$86,'EE Measures'!$IH$8:$IH$86)</f>
        <v>-892.58122530778996</v>
      </c>
      <c r="AZ28" s="593">
        <f>-SUMPRODUCT('EE Measures'!BO$8:BO$86,'EE Measures'!$Y$8:$Y$86,'EE Measures'!$IH$8:$IH$86)</f>
        <v>-1045.7767954723467</v>
      </c>
      <c r="BA28" s="593">
        <f>-SUMPRODUCT('EE Measures'!BP$8:BP$86,'EE Measures'!$Y$8:$Y$86,'EE Measures'!$IH$8:$IH$86)</f>
        <v>-1215.168297775409</v>
      </c>
      <c r="BB28" s="593">
        <f>-SUMPRODUCT('EE Measures'!BQ$8:BQ$86,'EE Measures'!$Y$8:$Y$86,'EE Measures'!$IH$8:$IH$86)</f>
        <v>-1395.9600071979376</v>
      </c>
      <c r="BC28" s="593">
        <f>-SUMPRODUCT('EE Measures'!BR$8:BR$86,'EE Measures'!$Y$8:$Y$86,'EE Measures'!$IH$8:$IH$86)</f>
        <v>-1560.8783171642167</v>
      </c>
      <c r="BD28" s="593">
        <f>-SUMPRODUCT('EE Measures'!BS$8:BS$86,'EE Measures'!$Y$8:$Y$86,'EE Measures'!$IH$8:$IH$86)</f>
        <v>-1725.9416404707983</v>
      </c>
      <c r="BE28" s="593">
        <f>-SUMPRODUCT('EE Measures'!BT$8:BT$86,'EE Measures'!$Y$8:$Y$86,'EE Measures'!$IH$8:$IH$86)</f>
        <v>-1891.1793734923069</v>
      </c>
      <c r="BF28" s="593">
        <f>-SUMPRODUCT('EE Measures'!BU$8:BU$86,'EE Measures'!$Y$8:$Y$86,'EE Measures'!$IH$8:$IH$86)</f>
        <v>-2056.620591403966</v>
      </c>
      <c r="BG28" s="593">
        <f>-SUMPRODUCT('EE Measures'!BV$8:BV$86,'EE Measures'!$Y$8:$Y$86,'EE Measures'!$IH$8:$IH$86)</f>
        <v>-2222.2556724061637</v>
      </c>
      <c r="BH28" s="867">
        <f>AR28/$AR$27</f>
        <v>0.4645000174578659</v>
      </c>
      <c r="BK28" s="587" t="s">
        <v>36</v>
      </c>
      <c r="BM28" s="648" t="s">
        <v>389</v>
      </c>
      <c r="BN28" s="592"/>
      <c r="BO28" s="541">
        <f>BO$10-SUMPRODUCT('EE Measures'!BH$8:BH$86,'EE Measures'!$T$8:$T$86,'EE Measures'!$IH$8:$IH$86)</f>
        <v>1363.7680292983714</v>
      </c>
      <c r="BP28" s="541">
        <f>BP$10-SUMPRODUCT('EE Measures'!BI$8:BI$86,'EE Measures'!$T$8:$T$86,'EE Measures'!$IH$8:$IH$86)</f>
        <v>1311.9655993520846</v>
      </c>
      <c r="BQ28" s="541">
        <f>BQ$10-SUMPRODUCT('EE Measures'!BJ$8:BJ$86,'EE Measures'!$T$8:$T$86,'EE Measures'!$IH$8:$IH$86)</f>
        <v>1326.7676075641518</v>
      </c>
      <c r="BR28" s="541">
        <f>BR$10-SUMPRODUCT('EE Measures'!BK$8:BK$86,'EE Measures'!$T$8:$T$86,'EE Measures'!$IH$8:$IH$86)</f>
        <v>1317.071594679348</v>
      </c>
      <c r="BS28" s="541">
        <f>BS$10-SUMPRODUCT('EE Measures'!BL$8:BL$86,'EE Measures'!$T$8:$T$86,'EE Measures'!$IH$8:$IH$86)</f>
        <v>1297.6942260284309</v>
      </c>
      <c r="BT28" s="541">
        <f>BT$10-SUMPRODUCT('EE Measures'!BM$8:BM$86,'EE Measures'!$T$8:$T$86,'EE Measures'!$IH$8:$IH$86)</f>
        <v>1291.0314857329508</v>
      </c>
      <c r="BU28" s="541">
        <f>BU$10-SUMPRODUCT('EE Measures'!BN$8:BN$86,'EE Measures'!$T$8:$T$86,'EE Measures'!$IH$8:$IH$86)</f>
        <v>1282.5261127791814</v>
      </c>
      <c r="BV28" s="541">
        <f>BV$10-SUMPRODUCT('EE Measures'!BO$8:BO$86,'EE Measures'!$T$8:$T$86,'EE Measures'!$IH$8:$IH$86)</f>
        <v>1280.8816535670994</v>
      </c>
      <c r="BW28" s="541">
        <f>BW$10-SUMPRODUCT('EE Measures'!BP$8:BP$86,'EE Measures'!$T$8:$T$86,'EE Measures'!$IH$8:$IH$86)</f>
        <v>1271.565682505696</v>
      </c>
      <c r="BX28" s="541">
        <f>BX$10-SUMPRODUCT('EE Measures'!BQ$8:BQ$86,'EE Measures'!$T$8:$T$86,'EE Measures'!$IH$8:$IH$86)</f>
        <v>1256.64367155901</v>
      </c>
      <c r="BY28" s="541">
        <f>BY$10-SUMPRODUCT('EE Measures'!BR$8:BR$86,'EE Measures'!$T$8:$T$86,'EE Measures'!$IH$8:$IH$86)</f>
        <v>1242.1806964727182</v>
      </c>
      <c r="BZ28" s="541">
        <f>BZ$10-SUMPRODUCT('EE Measures'!BS$8:BS$86,'EE Measures'!$T$8:$T$86,'EE Measures'!$IH$8:$IH$86)</f>
        <v>1227.5644257494794</v>
      </c>
      <c r="CA28" s="541">
        <f>CA$10-SUMPRODUCT('EE Measures'!BT$8:BT$86,'EE Measures'!$T$8:$T$86,'EE Measures'!$IH$8:$IH$86)</f>
        <v>1212.7937139164771</v>
      </c>
      <c r="CB28" s="541">
        <f>CB$10-SUMPRODUCT('EE Measures'!BU$8:BU$86,'EE Measures'!$T$8:$T$86,'EE Measures'!$IH$8:$IH$86)</f>
        <v>1197.8674792202009</v>
      </c>
      <c r="CC28" s="541">
        <f>CC$10-SUMPRODUCT('EE Measures'!BV$8:BV$86,'EE Measures'!$T$8:$T$86,'EE Measures'!$IH$8:$IH$86)</f>
        <v>1182.7792615355233</v>
      </c>
    </row>
    <row r="29" spans="3:81" outlineLevel="1" x14ac:dyDescent="0.3">
      <c r="C29" s="587" t="str">
        <f t="shared" ref="C29:C32" si="91">C28</f>
        <v>VA</v>
      </c>
      <c r="E29" s="563" t="s">
        <v>51</v>
      </c>
      <c r="F29" s="592">
        <f t="shared" ref="F29:F32" si="92">SUM(G29:P29)</f>
        <v>102328.95502689805</v>
      </c>
      <c r="G29" s="593">
        <f t="shared" ref="G29:P29" si="93">G$11+AA29</f>
        <v>10505.541297169239</v>
      </c>
      <c r="H29" s="593">
        <f t="shared" si="93"/>
        <v>10518.620321098373</v>
      </c>
      <c r="I29" s="593">
        <f t="shared" si="93"/>
        <v>10532.318330770775</v>
      </c>
      <c r="J29" s="593">
        <f t="shared" si="93"/>
        <v>10525.77148268684</v>
      </c>
      <c r="K29" s="593">
        <f t="shared" si="93"/>
        <v>10369.796883640956</v>
      </c>
      <c r="L29" s="593">
        <f t="shared" si="93"/>
        <v>10231.025464439812</v>
      </c>
      <c r="M29" s="593">
        <f t="shared" si="93"/>
        <v>10100.220488285637</v>
      </c>
      <c r="N29" s="593">
        <f t="shared" si="93"/>
        <v>9972.4788361199735</v>
      </c>
      <c r="O29" s="593">
        <f t="shared" si="93"/>
        <v>9847.6061031234694</v>
      </c>
      <c r="P29" s="593">
        <f t="shared" si="93"/>
        <v>9725.5758195629769</v>
      </c>
      <c r="Q29" s="593">
        <f t="shared" ref="Q29:U29" si="94">Q$11+AK29</f>
        <v>9606.3624375075633</v>
      </c>
      <c r="R29" s="593">
        <f t="shared" si="94"/>
        <v>9489.9413179078274</v>
      </c>
      <c r="S29" s="593">
        <f t="shared" si="94"/>
        <v>9376.2887180322832</v>
      </c>
      <c r="T29" s="593">
        <f t="shared" si="94"/>
        <v>9265.3817792547125</v>
      </c>
      <c r="U29" s="593">
        <f t="shared" si="94"/>
        <v>9157.6126477535727</v>
      </c>
      <c r="V29"/>
      <c r="W29"/>
      <c r="Y29" s="563" t="s">
        <v>51</v>
      </c>
      <c r="Z29" s="592">
        <f t="shared" ref="Z29:Z32" si="95">SUM(AA29:AJ29)</f>
        <v>-4566.4765715937847</v>
      </c>
      <c r="AA29" s="593">
        <f>-SUMPRODUCT('EE Measures'!BH$8:BH$86,'EE Measures'!$O$8:$O$86,'EE Measures'!$IH$8:$IH$86)</f>
        <v>-30.340202830761658</v>
      </c>
      <c r="AB29" s="593">
        <f>-SUMPRODUCT('EE Measures'!BI$8:BI$86,'EE Measures'!$O$8:$O$86,'EE Measures'!$IH$8:$IH$86)</f>
        <v>-46.612077339128874</v>
      </c>
      <c r="AC29" s="593">
        <f>-SUMPRODUCT('EE Measures'!BJ$8:BJ$86,'EE Measures'!$O$8:$O$86,'EE Measures'!$IH$8:$IH$86)</f>
        <v>-63.705850271813944</v>
      </c>
      <c r="AD29" s="593">
        <f>-SUMPRODUCT('EE Measures'!BK$8:BK$86,'EE Measures'!$O$8:$O$86,'EE Measures'!$IH$8:$IH$86)</f>
        <v>-102.50393154079981</v>
      </c>
      <c r="AE29" s="593">
        <f>-SUMPRODUCT('EE Measures'!BL$8:BL$86,'EE Measures'!$O$8:$O$86,'EE Measures'!$IH$8:$IH$86)</f>
        <v>-292.20817426562701</v>
      </c>
      <c r="AF29" s="593">
        <f>-SUMPRODUCT('EE Measures'!BM$8:BM$86,'EE Measures'!$O$8:$O$86,'EE Measures'!$IH$8:$IH$86)</f>
        <v>-466.20700769506641</v>
      </c>
      <c r="AG29" s="593">
        <f>-SUMPRODUCT('EE Measures'!BN$8:BN$86,'EE Measures'!$O$8:$O$86,'EE Measures'!$IH$8:$IH$86)</f>
        <v>-638.22996673965622</v>
      </c>
      <c r="AH29" s="593">
        <f>-SUMPRODUCT('EE Measures'!BO$8:BO$86,'EE Measures'!$O$8:$O$86,'EE Measures'!$IH$8:$IH$86)</f>
        <v>-808.15052153985141</v>
      </c>
      <c r="AI29" s="593">
        <f>-SUMPRODUCT('EE Measures'!BP$8:BP$86,'EE Measures'!$O$8:$O$86,'EE Measures'!$IH$8:$IH$86)</f>
        <v>-976.17537256526771</v>
      </c>
      <c r="AJ29" s="593">
        <f>-SUMPRODUCT('EE Measures'!BQ$8:BQ$86,'EE Measures'!$O$8:$O$86,'EE Measures'!$IH$8:$IH$86)</f>
        <v>-1142.3434668058121</v>
      </c>
      <c r="AK29" s="593">
        <f>-SUMPRODUCT('EE Measures'!BR$8:BR$86,'EE Measures'!$O$8:$O$86,'EE Measures'!$IH$8:$IH$86)</f>
        <v>-1306.6930136296103</v>
      </c>
      <c r="AL29" s="593">
        <f>-SUMPRODUCT('EE Measures'!BS$8:BS$86,'EE Measures'!$O$8:$O$86,'EE Measures'!$IH$8:$IH$86)</f>
        <v>-1469.2615003145604</v>
      </c>
      <c r="AM29" s="593">
        <f>-SUMPRODUCT('EE Measures'!BT$8:BT$86,'EE Measures'!$O$8:$O$86,'EE Measures'!$IH$8:$IH$86)</f>
        <v>-1630.0857072602664</v>
      </c>
      <c r="AN29" s="593">
        <f>-SUMPRODUCT('EE Measures'!BU$8:BU$86,'EE Measures'!$O$8:$O$86,'EE Measures'!$IH$8:$IH$86)</f>
        <v>-1789.2017228870291</v>
      </c>
      <c r="AO29" s="593">
        <f>-SUMPRODUCT('EE Measures'!BV$8:BV$86,'EE Measures'!$O$8:$O$86,'EE Measures'!$IH$8:$IH$86)</f>
        <v>-1946.2308256612876</v>
      </c>
      <c r="AP29" s="898">
        <f t="shared" si="24"/>
        <v>-12567.291210904836</v>
      </c>
      <c r="AQ29" s="554" t="str">
        <v>Lääne-Eesti</v>
      </c>
      <c r="AR29" s="592">
        <f t="shared" ref="AR29:AR32" si="96">SUM(AS29:BB29)</f>
        <v>-1701.9657946006291</v>
      </c>
      <c r="AS29" s="593">
        <f>-SUMPRODUCT('EE Measures'!BH$8:BH$86,'EE Measures'!$Z$8:$Z$86,'EE Measures'!$IH$8:$IH$86)</f>
        <v>-17.804750797285266</v>
      </c>
      <c r="AT29" s="593">
        <f>-SUMPRODUCT('EE Measures'!BI$8:BI$86,'EE Measures'!$Z$8:$Z$86,'EE Measures'!$IH$8:$IH$86)</f>
        <v>-22.501134779899967</v>
      </c>
      <c r="AU29" s="593">
        <f>-SUMPRODUCT('EE Measures'!BJ$8:BJ$86,'EE Measures'!$Z$8:$Z$86,'EE Measures'!$IH$8:$IH$86)</f>
        <v>-26.511371926896089</v>
      </c>
      <c r="AV29" s="593">
        <f>-SUMPRODUCT('EE Measures'!BK$8:BK$86,'EE Measures'!$Z$8:$Z$86,'EE Measures'!$IH$8:$IH$86)</f>
        <v>-49.787158693654277</v>
      </c>
      <c r="AW29" s="593">
        <f>-SUMPRODUCT('EE Measures'!BL$8:BL$86,'EE Measures'!$Z$8:$Z$86,'EE Measures'!$IH$8:$IH$86)</f>
        <v>-105.4892721980644</v>
      </c>
      <c r="AX29" s="593">
        <f>-SUMPRODUCT('EE Measures'!BM$8:BM$86,'EE Measures'!$Z$8:$Z$86,'EE Measures'!$IH$8:$IH$86)</f>
        <v>-150.39452452542298</v>
      </c>
      <c r="AY29" s="593">
        <f>-SUMPRODUCT('EE Measures'!BN$8:BN$86,'EE Measures'!$Z$8:$Z$86,'EE Measures'!$IH$8:$IH$86)</f>
        <v>-264.20239821290949</v>
      </c>
      <c r="AZ29" s="593">
        <f>-SUMPRODUCT('EE Measures'!BO$8:BO$86,'EE Measures'!$Z$8:$Z$86,'EE Measures'!$IH$8:$IH$86)</f>
        <v>-308.15374391154825</v>
      </c>
      <c r="BA29" s="593">
        <f>-SUMPRODUCT('EE Measures'!BP$8:BP$86,'EE Measures'!$Z$8:$Z$86,'EE Measures'!$IH$8:$IH$86)</f>
        <v>-354.54707765771866</v>
      </c>
      <c r="BB29" s="593">
        <f>-SUMPRODUCT('EE Measures'!BQ$8:BQ$86,'EE Measures'!$Z$8:$Z$86,'EE Measures'!$IH$8:$IH$86)</f>
        <v>-402.57436189722961</v>
      </c>
      <c r="BC29" s="593">
        <f>-SUMPRODUCT('EE Measures'!BR$8:BR$86,'EE Measures'!$Z$8:$Z$86,'EE Measures'!$IH$8:$IH$86)</f>
        <v>-448.32157480680956</v>
      </c>
      <c r="BD29" s="593">
        <f>-SUMPRODUCT('EE Measures'!BS$8:BS$86,'EE Measures'!$Z$8:$Z$86,'EE Measures'!$IH$8:$IH$86)</f>
        <v>-493.90546693391053</v>
      </c>
      <c r="BE29" s="593">
        <f>-SUMPRODUCT('EE Measures'!BT$8:BT$86,'EE Measures'!$Z$8:$Z$86,'EE Measures'!$IH$8:$IH$86)</f>
        <v>-539.33457580706988</v>
      </c>
      <c r="BF29" s="593">
        <f>-SUMPRODUCT('EE Measures'!BU$8:BU$86,'EE Measures'!$Z$8:$Z$86,'EE Measures'!$IH$8:$IH$86)</f>
        <v>-584.61731457021665</v>
      </c>
      <c r="BG29" s="593">
        <f>-SUMPRODUCT('EE Measures'!BV$8:BV$86,'EE Measures'!$Z$8:$Z$86,'EE Measures'!$IH$8:$IH$86)</f>
        <v>-629.80274187062264</v>
      </c>
      <c r="BH29" s="867">
        <f>AR29/$AR$27</f>
        <v>0.12437251654853665</v>
      </c>
      <c r="BK29" s="587" t="s">
        <v>36</v>
      </c>
      <c r="BM29" s="648" t="s">
        <v>390</v>
      </c>
      <c r="BN29" s="592"/>
      <c r="BO29" s="541">
        <f>BO$11-SUMPRODUCT('EE Measures'!BH$8:BH$86,'EE Measures'!$U$8:$U$86,'EE Measures'!$IH$8:$IH$86)</f>
        <v>5.6006017536074442</v>
      </c>
      <c r="BP29" s="541">
        <f>BP$11-SUMPRODUCT('EE Measures'!BI$8:BI$86,'EE Measures'!$U$8:$U$86,'EE Measures'!$IH$8:$IH$86)</f>
        <v>124.57047388607955</v>
      </c>
      <c r="BQ29" s="541">
        <f>BQ$11-SUMPRODUCT('EE Measures'!BJ$8:BJ$86,'EE Measures'!$U$8:$U$86,'EE Measures'!$IH$8:$IH$86)</f>
        <v>126.02824055274621</v>
      </c>
      <c r="BR29" s="541">
        <f>BR$11-SUMPRODUCT('EE Measures'!BK$8:BK$86,'EE Measures'!$U$8:$U$86,'EE Measures'!$IH$8:$IH$86)</f>
        <v>127.76020442487038</v>
      </c>
      <c r="BS29" s="541">
        <f>BS$11-SUMPRODUCT('EE Measures'!BL$8:BL$86,'EE Measures'!$U$8:$U$86,'EE Measures'!$IH$8:$IH$86)</f>
        <v>129.26822472173995</v>
      </c>
      <c r="BT29" s="541">
        <f>BT$11-SUMPRODUCT('EE Measures'!BM$8:BM$86,'EE Measures'!$U$8:$U$86,'EE Measures'!$IH$8:$IH$86)</f>
        <v>130.8302883791078</v>
      </c>
      <c r="BU29" s="541">
        <f>BU$11-SUMPRODUCT('EE Measures'!BN$8:BN$86,'EE Measures'!$U$8:$U$86,'EE Measures'!$IH$8:$IH$86)</f>
        <v>132.41096877954845</v>
      </c>
      <c r="BV29" s="541">
        <f>BV$11-SUMPRODUCT('EE Measures'!BO$8:BO$86,'EE Measures'!$U$8:$U$86,'EE Measures'!$IH$8:$IH$86)</f>
        <v>134.07152140936259</v>
      </c>
      <c r="BW29" s="541">
        <f>BW$11-SUMPRODUCT('EE Measures'!BP$8:BP$86,'EE Measures'!$U$8:$U$86,'EE Measures'!$IH$8:$IH$86)</f>
        <v>135.6529848665713</v>
      </c>
      <c r="BX29" s="541">
        <f>BX$11-SUMPRODUCT('EE Measures'!BQ$8:BQ$86,'EE Measures'!$U$8:$U$86,'EE Measures'!$IH$8:$IH$86)</f>
        <v>137.183651840213</v>
      </c>
      <c r="BY29" s="541">
        <f>BY$11-SUMPRODUCT('EE Measures'!BR$8:BR$86,'EE Measures'!$U$8:$U$86,'EE Measures'!$IH$8:$IH$86)</f>
        <v>138.76140733962973</v>
      </c>
      <c r="BZ29" s="541">
        <f>BZ$11-SUMPRODUCT('EE Measures'!BS$8:BS$86,'EE Measures'!$U$8:$U$86,'EE Measures'!$IH$8:$IH$86)</f>
        <v>140.36377340090084</v>
      </c>
      <c r="CA29" s="541">
        <f>CA$11-SUMPRODUCT('EE Measures'!BT$8:BT$86,'EE Measures'!$U$8:$U$86,'EE Measures'!$IH$8:$IH$86)</f>
        <v>141.9911362613405</v>
      </c>
      <c r="CB29" s="541">
        <f>CB$11-SUMPRODUCT('EE Measures'!BU$8:BU$86,'EE Measures'!$U$8:$U$86,'EE Measures'!$IH$8:$IH$86)</f>
        <v>143.6438890656629</v>
      </c>
      <c r="CC29" s="541">
        <f>CC$11-SUMPRODUCT('EE Measures'!BV$8:BV$86,'EE Measures'!$U$8:$U$86,'EE Measures'!$IH$8:$IH$86)</f>
        <v>145.32235771356608</v>
      </c>
    </row>
    <row r="30" spans="3:81" outlineLevel="1" x14ac:dyDescent="0.3">
      <c r="C30" s="587" t="str">
        <f t="shared" si="91"/>
        <v>VA</v>
      </c>
      <c r="E30" s="563" t="s">
        <v>52</v>
      </c>
      <c r="F30" s="592">
        <f t="shared" si="92"/>
        <v>53504.116877871158</v>
      </c>
      <c r="G30" s="593">
        <f t="shared" ref="G30:P30" si="97">G$12+AA30</f>
        <v>5337.3640280558666</v>
      </c>
      <c r="H30" s="593">
        <f t="shared" si="97"/>
        <v>5361.642849994173</v>
      </c>
      <c r="I30" s="593">
        <f t="shared" si="97"/>
        <v>5391.2699254265435</v>
      </c>
      <c r="J30" s="593">
        <f t="shared" si="97"/>
        <v>5408.4641743286256</v>
      </c>
      <c r="K30" s="593">
        <f t="shared" si="97"/>
        <v>5379.4368908204769</v>
      </c>
      <c r="L30" s="593">
        <f t="shared" si="97"/>
        <v>5359.0515572670438</v>
      </c>
      <c r="M30" s="593">
        <f t="shared" si="97"/>
        <v>5340.6154962880883</v>
      </c>
      <c r="N30" s="593">
        <f t="shared" si="97"/>
        <v>5323.6815359227012</v>
      </c>
      <c r="O30" s="593">
        <f t="shared" si="97"/>
        <v>5308.2537403561983</v>
      </c>
      <c r="P30" s="593">
        <f t="shared" si="97"/>
        <v>5294.3366794114399</v>
      </c>
      <c r="Q30" s="593">
        <f t="shared" ref="Q30:U30" si="98">Q$12+AK30</f>
        <v>5281.9354298023527</v>
      </c>
      <c r="R30" s="593">
        <f t="shared" si="98"/>
        <v>5271.0555765849203</v>
      </c>
      <c r="S30" s="593">
        <f t="shared" si="98"/>
        <v>5261.7032148060207</v>
      </c>
      <c r="T30" s="593">
        <f t="shared" si="98"/>
        <v>5253.8849513506275</v>
      </c>
      <c r="U30" s="593">
        <f t="shared" si="98"/>
        <v>5247.2084774079776</v>
      </c>
      <c r="V30"/>
      <c r="W30"/>
      <c r="Y30" s="563" t="s">
        <v>52</v>
      </c>
      <c r="Z30" s="592">
        <f t="shared" si="95"/>
        <v>-1915.7959570342364</v>
      </c>
      <c r="AA30" s="593">
        <f>-SUMPRODUCT('EE Measures'!BH$8:BH$86,'EE Measures'!$P$8:$P$86,'EE Measures'!$IH$8:$IH$86)</f>
        <v>-47.711671944133144</v>
      </c>
      <c r="AB30" s="593">
        <f>-SUMPRODUCT('EE Measures'!BI$8:BI$86,'EE Measures'!$P$8:$P$86,'EE Measures'!$IH$8:$IH$86)</f>
        <v>-55.599480709088851</v>
      </c>
      <c r="AC30" s="593">
        <f>-SUMPRODUCT('EE Measures'!BJ$8:BJ$86,'EE Measures'!$P$8:$P$86,'EE Measures'!$IH$8:$IH$86)</f>
        <v>-59.098718809684456</v>
      </c>
      <c r="AD30" s="593">
        <f>-SUMPRODUCT('EE Measures'!BK$8:BK$86,'EE Measures'!$P$8:$P$86,'EE Measures'!$IH$8:$IH$86)</f>
        <v>-76.004420747916299</v>
      </c>
      <c r="AE30" s="593">
        <f>-SUMPRODUCT('EE Measures'!BL$8:BL$86,'EE Measures'!$P$8:$P$86,'EE Measures'!$IH$8:$IH$86)</f>
        <v>-140.11954101363187</v>
      </c>
      <c r="AF30" s="593">
        <f>-SUMPRODUCT('EE Measures'!BM$8:BM$86,'EE Measures'!$P$8:$P$86,'EE Measures'!$IH$8:$IH$86)</f>
        <v>-196.59514534727231</v>
      </c>
      <c r="AG30" s="593">
        <f>-SUMPRODUCT('EE Measures'!BN$8:BN$86,'EE Measures'!$P$8:$P$86,'EE Measures'!$IH$8:$IH$86)</f>
        <v>-252.53902493697927</v>
      </c>
      <c r="AH30" s="593">
        <f>-SUMPRODUCT('EE Measures'!BO$8:BO$86,'EE Measures'!$P$8:$P$86,'EE Measures'!$IH$8:$IH$86)</f>
        <v>-307.96225302035884</v>
      </c>
      <c r="AI30" s="593">
        <f>-SUMPRODUCT('EE Measures'!BP$8:BP$86,'EE Measures'!$P$8:$P$86,'EE Measures'!$IH$8:$IH$86)</f>
        <v>-362.87569377623271</v>
      </c>
      <c r="AJ30" s="593">
        <f>-SUMPRODUCT('EE Measures'!BQ$8:BQ$86,'EE Measures'!$P$8:$P$86,'EE Measures'!$IH$8:$IH$86)</f>
        <v>-417.29000672893847</v>
      </c>
      <c r="AK30" s="593">
        <f>-SUMPRODUCT('EE Measures'!BR$8:BR$86,'EE Measures'!$P$8:$P$86,'EE Measures'!$IH$8:$IH$86)</f>
        <v>-471.21565106381547</v>
      </c>
      <c r="AL30" s="593">
        <f>-SUMPRODUCT('EE Measures'!BS$8:BS$86,'EE Measures'!$P$8:$P$86,'EE Measures'!$IH$8:$IH$86)</f>
        <v>-524.66288985564631</v>
      </c>
      <c r="AM30" s="593">
        <f>-SUMPRODUCT('EE Measures'!BT$8:BT$86,'EE Measures'!$P$8:$P$86,'EE Measures'!$IH$8:$IH$86)</f>
        <v>-577.64179421180427</v>
      </c>
      <c r="AN30" s="593">
        <f>-SUMPRODUCT('EE Measures'!BU$8:BU$86,'EE Measures'!$P$8:$P$86,'EE Measures'!$IH$8:$IH$86)</f>
        <v>-630.16224733184083</v>
      </c>
      <c r="AO30" s="593">
        <f>-SUMPRODUCT('EE Measures'!BV$8:BV$86,'EE Measures'!$P$8:$P$86,'EE Measures'!$IH$8:$IH$86)</f>
        <v>-682.63337806516529</v>
      </c>
      <c r="AP30" s="898">
        <f t="shared" si="24"/>
        <v>-4639.7020460996018</v>
      </c>
      <c r="AQ30" s="554" t="str">
        <v>Kirde-Eesti</v>
      </c>
      <c r="AR30" s="592">
        <f t="shared" si="96"/>
        <v>-1323.3571060019926</v>
      </c>
      <c r="AS30" s="593">
        <f>-SUMPRODUCT('EE Measures'!BH$8:BH$86,'EE Measures'!$AA$8:$AA$86,'EE Measures'!$IH$8:$IH$86)</f>
        <v>-21.080781618935646</v>
      </c>
      <c r="AT30" s="593">
        <f>-SUMPRODUCT('EE Measures'!BI$8:BI$86,'EE Measures'!$AA$8:$AA$86,'EE Measures'!$IH$8:$IH$86)</f>
        <v>-25.392362436899408</v>
      </c>
      <c r="AU30" s="593">
        <f>-SUMPRODUCT('EE Measures'!BJ$8:BJ$86,'EE Measures'!$AA$8:$AA$86,'EE Measures'!$IH$8:$IH$86)</f>
        <v>-28.580898730182678</v>
      </c>
      <c r="AV30" s="593">
        <f>-SUMPRODUCT('EE Measures'!BK$8:BK$86,'EE Measures'!$AA$8:$AA$86,'EE Measures'!$IH$8:$IH$86)</f>
        <v>-50.911807262168423</v>
      </c>
      <c r="AW30" s="593">
        <f>-SUMPRODUCT('EE Measures'!BL$8:BL$86,'EE Measures'!$AA$8:$AA$86,'EE Measures'!$IH$8:$IH$86)</f>
        <v>-100.6148398536089</v>
      </c>
      <c r="AX30" s="593">
        <f>-SUMPRODUCT('EE Measures'!BM$8:BM$86,'EE Measures'!$AA$8:$AA$86,'EE Measures'!$IH$8:$IH$86)</f>
        <v>-140.4702370129404</v>
      </c>
      <c r="AY30" s="593">
        <f>-SUMPRODUCT('EE Measures'!BN$8:BN$86,'EE Measures'!$AA$8:$AA$86,'EE Measures'!$IH$8:$IH$86)</f>
        <v>-179.96530810302659</v>
      </c>
      <c r="AZ30" s="593">
        <f>-SUMPRODUCT('EE Measures'!BO$8:BO$86,'EE Measures'!$AA$8:$AA$86,'EE Measures'!$IH$8:$IH$86)</f>
        <v>-216.9270936727512</v>
      </c>
      <c r="BA30" s="593">
        <f>-SUMPRODUCT('EE Measures'!BP$8:BP$86,'EE Measures'!$AA$8:$AA$86,'EE Measures'!$IH$8:$IH$86)</f>
        <v>-257.84992061901727</v>
      </c>
      <c r="BB30" s="593">
        <f>-SUMPRODUCT('EE Measures'!BQ$8:BQ$86,'EE Measures'!$AA$8:$AA$86,'EE Measures'!$IH$8:$IH$86)</f>
        <v>-301.5638566924622</v>
      </c>
      <c r="BC30" s="593">
        <f>-SUMPRODUCT('EE Measures'!BR$8:BR$86,'EE Measures'!$AA$8:$AA$86,'EE Measures'!$IH$8:$IH$86)</f>
        <v>-344.65550383671649</v>
      </c>
      <c r="BD30" s="593">
        <f>-SUMPRODUCT('EE Measures'!BS$8:BS$86,'EE Measures'!$AA$8:$AA$86,'EE Measures'!$IH$8:$IH$86)</f>
        <v>-387.73633535668313</v>
      </c>
      <c r="BE30" s="593">
        <f>-SUMPRODUCT('EE Measures'!BT$8:BT$86,'EE Measures'!$AA$8:$AA$86,'EE Measures'!$IH$8:$IH$86)</f>
        <v>-430.81446437280454</v>
      </c>
      <c r="BF30" s="593">
        <f>-SUMPRODUCT('EE Measures'!BU$8:BU$86,'EE Measures'!$AA$8:$AA$86,'EE Measures'!$IH$8:$IH$86)</f>
        <v>-473.89790701878468</v>
      </c>
      <c r="BG30" s="593">
        <f>-SUMPRODUCT('EE Measures'!BV$8:BV$86,'EE Measures'!$AA$8:$AA$86,'EE Measures'!$IH$8:$IH$86)</f>
        <v>-516.96429677458491</v>
      </c>
      <c r="BH30" s="867">
        <f>AR30/$AR$27</f>
        <v>9.6705382733310294E-2</v>
      </c>
      <c r="BK30" s="587" t="s">
        <v>36</v>
      </c>
      <c r="BM30" s="648" t="s">
        <v>391</v>
      </c>
      <c r="BN30" s="592"/>
      <c r="BO30" s="541">
        <f>BO$12-SUMPRODUCT('EE Measures'!BH$8:BH$86,'EE Measures'!$V$8:$V$86,'EE Measures'!$IH$8:$IH$86)</f>
        <v>776.38569438353784</v>
      </c>
      <c r="BP30" s="541">
        <f>BP$12-SUMPRODUCT('EE Measures'!BI$8:BI$86,'EE Measures'!$V$8:$V$86,'EE Measures'!$IH$8:$IH$86)</f>
        <v>867.97999860819243</v>
      </c>
      <c r="BQ30" s="541">
        <f>BQ$12-SUMPRODUCT('EE Measures'!BJ$8:BJ$86,'EE Measures'!$V$8:$V$86,'EE Measures'!$IH$8:$IH$86)</f>
        <v>874.50131297398104</v>
      </c>
      <c r="BR30" s="541">
        <f>BR$12-SUMPRODUCT('EE Measures'!BK$8:BK$86,'EE Measures'!$V$8:$V$86,'EE Measures'!$IH$8:$IH$86)</f>
        <v>880.30899820938146</v>
      </c>
      <c r="BS30" s="541">
        <f>BS$12-SUMPRODUCT('EE Measures'!BL$8:BL$86,'EE Measures'!$V$8:$V$86,'EE Measures'!$IH$8:$IH$86)</f>
        <v>878.05357847631319</v>
      </c>
      <c r="BT30" s="541">
        <f>BT$12-SUMPRODUCT('EE Measures'!BM$8:BM$86,'EE Measures'!$V$8:$V$86,'EE Measures'!$IH$8:$IH$86)</f>
        <v>878.83911483515942</v>
      </c>
      <c r="BU30" s="541">
        <f>BU$12-SUMPRODUCT('EE Measures'!BN$8:BN$86,'EE Measures'!$V$8:$V$86,'EE Measures'!$IH$8:$IH$86)</f>
        <v>870.88502323991167</v>
      </c>
      <c r="BV30" s="541">
        <f>BV$12-SUMPRODUCT('EE Measures'!BO$8:BO$86,'EE Measures'!$V$8:$V$86,'EE Measures'!$IH$8:$IH$86)</f>
        <v>872.85317583960637</v>
      </c>
      <c r="BW30" s="541">
        <f>BW$12-SUMPRODUCT('EE Measures'!BP$8:BP$86,'EE Measures'!$V$8:$V$86,'EE Measures'!$IH$8:$IH$86)</f>
        <v>873.53060493990165</v>
      </c>
      <c r="BX30" s="541">
        <f>BX$12-SUMPRODUCT('EE Measures'!BQ$8:BQ$86,'EE Measures'!$V$8:$V$86,'EE Measures'!$IH$8:$IH$86)</f>
        <v>873.37006550288186</v>
      </c>
      <c r="BY30" s="541">
        <f>BY$12-SUMPRODUCT('EE Measures'!BR$8:BR$86,'EE Measures'!$V$8:$V$86,'EE Measures'!$IH$8:$IH$86)</f>
        <v>874.74400345155141</v>
      </c>
      <c r="BZ30" s="541">
        <f>BZ$12-SUMPRODUCT('EE Measures'!BS$8:BS$86,'EE Measures'!$V$8:$V$86,'EE Measures'!$IH$8:$IH$86)</f>
        <v>876.26817617831125</v>
      </c>
      <c r="CA30" s="541">
        <f>CA$12-SUMPRODUCT('EE Measures'!BT$8:BT$86,'EE Measures'!$V$8:$V$86,'EE Measures'!$IH$8:$IH$86)</f>
        <v>877.94543590536057</v>
      </c>
      <c r="CB30" s="541">
        <f>CB$12-SUMPRODUCT('EE Measures'!BU$8:BU$86,'EE Measures'!$V$8:$V$86,'EE Measures'!$IH$8:$IH$86)</f>
        <v>879.7787017296024</v>
      </c>
      <c r="CC30" s="541">
        <f>CC$12-SUMPRODUCT('EE Measures'!BV$8:BV$86,'EE Measures'!$V$8:$V$86,'EE Measures'!$IH$8:$IH$86)</f>
        <v>881.76992957008258</v>
      </c>
    </row>
    <row r="31" spans="3:81" outlineLevel="1" x14ac:dyDescent="0.3">
      <c r="C31" s="587" t="str">
        <f t="shared" si="91"/>
        <v>VA</v>
      </c>
      <c r="E31" s="563" t="s">
        <v>53</v>
      </c>
      <c r="F31" s="592">
        <f t="shared" si="92"/>
        <v>98604.320146205879</v>
      </c>
      <c r="G31" s="593">
        <f t="shared" ref="G31:P31" si="99">G$13+AA31</f>
        <v>9691.2389775565716</v>
      </c>
      <c r="H31" s="593">
        <f t="shared" si="99"/>
        <v>9774.2593234083488</v>
      </c>
      <c r="I31" s="593">
        <f t="shared" si="99"/>
        <v>9860.8864541372841</v>
      </c>
      <c r="J31" s="593">
        <f t="shared" si="99"/>
        <v>9864.2846505882098</v>
      </c>
      <c r="K31" s="593">
        <f t="shared" si="99"/>
        <v>9840.4983170381365</v>
      </c>
      <c r="L31" s="593">
        <f t="shared" si="99"/>
        <v>9900.1624362784369</v>
      </c>
      <c r="M31" s="593">
        <f t="shared" si="99"/>
        <v>9823.2194571141063</v>
      </c>
      <c r="N31" s="593">
        <f t="shared" si="99"/>
        <v>9885.8132632652778</v>
      </c>
      <c r="O31" s="593">
        <f t="shared" si="99"/>
        <v>9949.3016794318009</v>
      </c>
      <c r="P31" s="593">
        <f t="shared" si="99"/>
        <v>10014.65558738771</v>
      </c>
      <c r="Q31" s="593">
        <f t="shared" ref="Q31:U31" si="100">Q$13+AK31</f>
        <v>10099.338492712339</v>
      </c>
      <c r="R31" s="593">
        <f t="shared" si="100"/>
        <v>10185.079611191339</v>
      </c>
      <c r="S31" s="593">
        <f t="shared" si="100"/>
        <v>10271.889489319459</v>
      </c>
      <c r="T31" s="593">
        <f t="shared" si="100"/>
        <v>10359.778779039232</v>
      </c>
      <c r="U31" s="593">
        <f t="shared" si="100"/>
        <v>10448.758238807502</v>
      </c>
      <c r="V31"/>
      <c r="W31"/>
      <c r="Y31" s="563" t="s">
        <v>53</v>
      </c>
      <c r="Z31" s="592">
        <f t="shared" si="95"/>
        <v>-3097.1042639358552</v>
      </c>
      <c r="AA31" s="593">
        <f>-SUMPRODUCT('EE Measures'!BH$8:BH$86,'EE Measures'!$Q$8:$Q$86,'EE Measures'!$IH$8:$IH$86)</f>
        <v>-29.59435577676274</v>
      </c>
      <c r="AB31" s="593">
        <f>-SUMPRODUCT('EE Measures'!BI$8:BI$86,'EE Measures'!$Q$8:$Q$86,'EE Measures'!$IH$8:$IH$86)</f>
        <v>-43.782343258319763</v>
      </c>
      <c r="AC31" s="593">
        <f>-SUMPRODUCT('EE Measures'!BJ$8:BJ$86,'EE Measures'!$Q$8:$Q$86,'EE Measures'!$IH$8:$IH$86)</f>
        <v>-55.335629196049389</v>
      </c>
      <c r="AD31" s="593">
        <f>-SUMPRODUCT('EE Measures'!BK$8:BK$86,'EE Measures'!$Q$8:$Q$86,'EE Measures'!$IH$8:$IH$86)</f>
        <v>-151.09965357845803</v>
      </c>
      <c r="AE31" s="593">
        <f>-SUMPRODUCT('EE Measures'!BL$8:BL$86,'EE Measures'!$Q$8:$Q$86,'EE Measures'!$IH$8:$IH$86)</f>
        <v>-275.03983017019931</v>
      </c>
      <c r="AF31" s="593">
        <f>-SUMPRODUCT('EE Measures'!BM$8:BM$86,'EE Measures'!$Q$8:$Q$86,'EE Measures'!$IH$8:$IH$86)</f>
        <v>-316.53109240198165</v>
      </c>
      <c r="AG31" s="593">
        <f>-SUMPRODUCT('EE Measures'!BN$8:BN$86,'EE Measures'!$Q$8:$Q$86,'EE Measures'!$IH$8:$IH$86)</f>
        <v>-495.64100685311746</v>
      </c>
      <c r="AH31" s="593">
        <f>-SUMPRODUCT('EE Measures'!BO$8:BO$86,'EE Measures'!$Q$8:$Q$86,'EE Measures'!$IH$8:$IH$86)</f>
        <v>-536.23580534161806</v>
      </c>
      <c r="AI31" s="593">
        <f>-SUMPRODUCT('EE Measures'!BP$8:BP$86,'EE Measures'!$Q$8:$Q$86,'EE Measures'!$IH$8:$IH$86)</f>
        <v>-576.96787986116362</v>
      </c>
      <c r="AJ31" s="593">
        <f>-SUMPRODUCT('EE Measures'!BQ$8:BQ$86,'EE Measures'!$Q$8:$Q$86,'EE Measures'!$IH$8:$IH$86)</f>
        <v>-616.87666749818516</v>
      </c>
      <c r="AK31" s="593">
        <f>-SUMPRODUCT('EE Measures'!BR$8:BR$86,'EE Measures'!$Q$8:$Q$86,'EE Measures'!$IH$8:$IH$86)</f>
        <v>-638.50908472241451</v>
      </c>
      <c r="AL31" s="593">
        <f>-SUMPRODUCT('EE Measures'!BS$8:BS$86,'EE Measures'!$Q$8:$Q$86,'EE Measures'!$IH$8:$IH$86)</f>
        <v>-660.14644201776218</v>
      </c>
      <c r="AM31" s="593">
        <f>-SUMPRODUCT('EE Measures'!BT$8:BT$86,'EE Measures'!$Q$8:$Q$86,'EE Measures'!$IH$8:$IH$86)</f>
        <v>-681.78882442173176</v>
      </c>
      <c r="AN31" s="593">
        <f>-SUMPRODUCT('EE Measures'!BU$8:BU$86,'EE Measures'!$Q$8:$Q$86,'EE Measures'!$IH$8:$IH$86)</f>
        <v>-703.43631783937121</v>
      </c>
      <c r="AO31" s="593">
        <f>-SUMPRODUCT('EE Measures'!BV$8:BV$86,'EE Measures'!$Q$8:$Q$86,'EE Measures'!$IH$8:$IH$86)</f>
        <v>-725.08900903988581</v>
      </c>
      <c r="AP31" s="898">
        <f t="shared" si="24"/>
        <v>-6377.3616137458894</v>
      </c>
      <c r="AQ31" s="554" t="str">
        <v>Lõuna-Eesti </v>
      </c>
      <c r="AR31" s="592">
        <f t="shared" si="96"/>
        <v>-3003.9224769806942</v>
      </c>
      <c r="AS31" s="593">
        <f>-SUMPRODUCT('EE Measures'!BH$8:BH$86,'EE Measures'!$AB$8:$AB$86,'EE Measures'!$IH$8:$IH$86)</f>
        <v>-44.840125126349903</v>
      </c>
      <c r="AT31" s="593">
        <f>-SUMPRODUCT('EE Measures'!BI$8:BI$86,'EE Measures'!$AB$8:$AB$86,'EE Measures'!$IH$8:$IH$86)</f>
        <v>-55.243091006031037</v>
      </c>
      <c r="AU31" s="593">
        <f>-SUMPRODUCT('EE Measures'!BJ$8:BJ$86,'EE Measures'!$AB$8:$AB$86,'EE Measures'!$IH$8:$IH$86)</f>
        <v>-63.954283327071487</v>
      </c>
      <c r="AV31" s="593">
        <f>-SUMPRODUCT('EE Measures'!BK$8:BK$86,'EE Measures'!$AB$8:$AB$86,'EE Measures'!$IH$8:$IH$86)</f>
        <v>-116.29858952725492</v>
      </c>
      <c r="AW31" s="593">
        <f>-SUMPRODUCT('EE Measures'!BL$8:BL$86,'EE Measures'!$AB$8:$AB$86,'EE Measures'!$IH$8:$IH$86)</f>
        <v>-229.38214002633103</v>
      </c>
      <c r="AX31" s="593">
        <f>-SUMPRODUCT('EE Measures'!BM$8:BM$86,'EE Measures'!$AB$8:$AB$86,'EE Measures'!$IH$8:$IH$86)</f>
        <v>-318.29238526701738</v>
      </c>
      <c r="AY31" s="593">
        <f>-SUMPRODUCT('EE Measures'!BN$8:BN$86,'EE Measures'!$AB$8:$AB$86,'EE Measures'!$IH$8:$IH$86)</f>
        <v>-409.01500956893028</v>
      </c>
      <c r="AZ31" s="593">
        <f>-SUMPRODUCT('EE Measures'!BO$8:BO$86,'EE Measures'!$AB$8:$AB$86,'EE Measures'!$IH$8:$IH$86)</f>
        <v>-495.373901086221</v>
      </c>
      <c r="BA31" s="593">
        <f>-SUMPRODUCT('EE Measures'!BP$8:BP$86,'EE Measures'!$AB$8:$AB$86,'EE Measures'!$IH$8:$IH$86)</f>
        <v>-587.62669472946743</v>
      </c>
      <c r="BB31" s="593">
        <f>-SUMPRODUCT('EE Measures'!BQ$8:BQ$86,'EE Measures'!$AB$8:$AB$86,'EE Measures'!$IH$8:$IH$86)</f>
        <v>-683.89625731601973</v>
      </c>
      <c r="BC31" s="593">
        <f>-SUMPRODUCT('EE Measures'!BR$8:BR$86,'EE Measures'!$AB$8:$AB$86,'EE Measures'!$IH$8:$IH$86)</f>
        <v>-775.48823013024196</v>
      </c>
      <c r="BD31" s="593">
        <f>-SUMPRODUCT('EE Measures'!BS$8:BS$86,'EE Measures'!$AB$8:$AB$86,'EE Measures'!$IH$8:$IH$86)</f>
        <v>-866.86769849793939</v>
      </c>
      <c r="BE31" s="593">
        <f>-SUMPRODUCT('EE Measures'!BT$8:BT$86,'EE Measures'!$AB$8:$AB$86,'EE Measures'!$IH$8:$IH$86)</f>
        <v>-958.0513194149629</v>
      </c>
      <c r="BF31" s="593">
        <f>-SUMPRODUCT('EE Measures'!BU$8:BU$86,'EE Measures'!$AB$8:$AB$86,'EE Measures'!$IH$8:$IH$86)</f>
        <v>-1049.0555238434426</v>
      </c>
      <c r="BG31" s="593">
        <f>-SUMPRODUCT('EE Measures'!BV$8:BV$86,'EE Measures'!$AB$8:$AB$86,'EE Measures'!$IH$8:$IH$86)</f>
        <v>-1139.9171138904762</v>
      </c>
      <c r="BH31" s="867">
        <f>AR31/$AR$27</f>
        <v>0.21951404614830708</v>
      </c>
      <c r="BK31" s="587" t="s">
        <v>36</v>
      </c>
      <c r="BM31" s="648" t="s">
        <v>392</v>
      </c>
      <c r="BN31" s="592"/>
      <c r="BO31" s="541">
        <f>BO$13-SUMPRODUCT('EE Measures'!BH$8:BH$86,'EE Measures'!$W$8:$W$86,'EE Measures'!$IH$8:$IH$86)</f>
        <v>11750.287656771043</v>
      </c>
      <c r="BP31" s="541">
        <f>BP$13-SUMPRODUCT('EE Measures'!BI$8:BI$86,'EE Measures'!$W$8:$W$86,'EE Measures'!$IH$8:$IH$86)</f>
        <v>11749.437771200757</v>
      </c>
      <c r="BQ31" s="541">
        <f>BQ$13-SUMPRODUCT('EE Measures'!BJ$8:BJ$86,'EE Measures'!$W$8:$W$86,'EE Measures'!$IH$8:$IH$86)</f>
        <v>11757.792796958078</v>
      </c>
      <c r="BR31" s="541">
        <f>BR$13-SUMPRODUCT('EE Measures'!BK$8:BK$86,'EE Measures'!$W$8:$W$86,'EE Measures'!$IH$8:$IH$86)</f>
        <v>11741.960971372995</v>
      </c>
      <c r="BS31" s="541">
        <f>BS$13-SUMPRODUCT('EE Measures'!BL$8:BL$86,'EE Measures'!$W$8:$W$86,'EE Measures'!$IH$8:$IH$86)</f>
        <v>11543.03714602961</v>
      </c>
      <c r="BT31" s="541">
        <f>BT$13-SUMPRODUCT('EE Measures'!BM$8:BM$86,'EE Measures'!$W$8:$W$86,'EE Measures'!$IH$8:$IH$86)</f>
        <v>11363.688360499435</v>
      </c>
      <c r="BU31" s="541">
        <f>BU$13-SUMPRODUCT('EE Measures'!BN$8:BN$86,'EE Measures'!$W$8:$W$86,'EE Measures'!$IH$8:$IH$86)</f>
        <v>11194.386214749353</v>
      </c>
      <c r="BV31" s="541">
        <f>BV$13-SUMPRODUCT('EE Measures'!BO$8:BO$86,'EE Measures'!$W$8:$W$86,'EE Measures'!$IH$8:$IH$86)</f>
        <v>11029.974757282071</v>
      </c>
      <c r="BW31" s="541">
        <f>BW$13-SUMPRODUCT('EE Measures'!BP$8:BP$86,'EE Measures'!$W$8:$W$86,'EE Measures'!$IH$8:$IH$86)</f>
        <v>10865.538004568609</v>
      </c>
      <c r="BX31" s="541">
        <f>BX$13-SUMPRODUCT('EE Measures'!BQ$8:BQ$86,'EE Measures'!$W$8:$W$86,'EE Measures'!$IH$8:$IH$86)</f>
        <v>10701.877899245679</v>
      </c>
      <c r="BY31" s="541">
        <f>BY$13-SUMPRODUCT('EE Measures'!BR$8:BR$86,'EE Measures'!$W$8:$W$86,'EE Measures'!$IH$8:$IH$86)</f>
        <v>10541.32304613739</v>
      </c>
      <c r="BZ31" s="541">
        <f>BZ$13-SUMPRODUCT('EE Measures'!BS$8:BS$86,'EE Measures'!$W$8:$W$86,'EE Measures'!$IH$8:$IH$86)</f>
        <v>10383.712254782928</v>
      </c>
      <c r="CA31" s="541">
        <f>CA$13-SUMPRODUCT('EE Measures'!BT$8:BT$86,'EE Measures'!$W$8:$W$86,'EE Measures'!$IH$8:$IH$86)</f>
        <v>10229.018242420272</v>
      </c>
      <c r="CB31" s="541">
        <f>CB$13-SUMPRODUCT('EE Measures'!BU$8:BU$86,'EE Measures'!$W$8:$W$86,'EE Measures'!$IH$8:$IH$86)</f>
        <v>10077.214741826538</v>
      </c>
      <c r="CC31" s="541">
        <f>CC$13-SUMPRODUCT('EE Measures'!BV$8:BV$86,'EE Measures'!$W$8:$W$86,'EE Measures'!$IH$8:$IH$86)</f>
        <v>9928.4508931427736</v>
      </c>
    </row>
    <row r="32" spans="3:81" outlineLevel="1" x14ac:dyDescent="0.3">
      <c r="C32" s="587" t="str">
        <f t="shared" si="91"/>
        <v>VA</v>
      </c>
      <c r="E32" s="563" t="s">
        <v>54</v>
      </c>
      <c r="F32" s="592">
        <f t="shared" si="92"/>
        <v>9729.957992963733</v>
      </c>
      <c r="G32" s="593">
        <f t="shared" ref="G32:P32" si="101">G$14+AA32</f>
        <v>988.46632075930984</v>
      </c>
      <c r="H32" s="593">
        <f t="shared" si="101"/>
        <v>988.3835149808026</v>
      </c>
      <c r="I32" s="593">
        <f t="shared" si="101"/>
        <v>988.29947534863015</v>
      </c>
      <c r="J32" s="593">
        <f t="shared" si="101"/>
        <v>979.90554667046297</v>
      </c>
      <c r="K32" s="593">
        <f t="shared" si="101"/>
        <v>975.70819291926921</v>
      </c>
      <c r="L32" s="593">
        <f t="shared" si="101"/>
        <v>975.62025185425841</v>
      </c>
      <c r="M32" s="593">
        <f t="shared" si="101"/>
        <v>968.73097548195085</v>
      </c>
      <c r="N32" s="593">
        <f t="shared" si="101"/>
        <v>961.84035054063725</v>
      </c>
      <c r="O32" s="593">
        <f t="shared" si="101"/>
        <v>954.94836355836435</v>
      </c>
      <c r="P32" s="593">
        <f t="shared" si="101"/>
        <v>948.05500085004599</v>
      </c>
      <c r="Q32" s="593">
        <f t="shared" ref="Q32:U32" si="102">Q$14+AK32</f>
        <v>947.96024851467917</v>
      </c>
      <c r="R32" s="593">
        <f t="shared" si="102"/>
        <v>947.86409243265177</v>
      </c>
      <c r="S32" s="593">
        <f t="shared" si="102"/>
        <v>947.766518263134</v>
      </c>
      <c r="T32" s="593">
        <f t="shared" si="102"/>
        <v>947.66751144153977</v>
      </c>
      <c r="U32" s="593">
        <f t="shared" si="102"/>
        <v>947.56705717704733</v>
      </c>
      <c r="V32"/>
      <c r="W32"/>
      <c r="Y32" s="563" t="s">
        <v>54</v>
      </c>
      <c r="Z32" s="592">
        <f t="shared" si="95"/>
        <v>-178.37534036960216</v>
      </c>
      <c r="AA32" s="593">
        <f>-SUMPRODUCT('EE Measures'!BH$8:BH$86,'EE Measures'!$R$8:$R$86,'EE Measures'!$IH$8:$IH$86)</f>
        <v>-2.3670125740235815</v>
      </c>
      <c r="AB32" s="593">
        <f>-SUMPRODUCT('EE Measures'!BI$8:BI$86,'EE Measures'!$R$8:$R$86,'EE Measures'!$IH$8:$IH$86)</f>
        <v>-2.4498183525307202</v>
      </c>
      <c r="AC32" s="593">
        <f>-SUMPRODUCT('EE Measures'!BJ$8:BJ$86,'EE Measures'!$R$8:$R$86,'EE Measures'!$IH$8:$IH$86)</f>
        <v>-2.5338579847032205</v>
      </c>
      <c r="AD32" s="593">
        <f>-SUMPRODUCT('EE Measures'!BK$8:BK$86,'EE Measures'!$R$8:$R$86,'EE Measures'!$IH$8:$IH$86)</f>
        <v>-10.927786662870368</v>
      </c>
      <c r="AE32" s="593">
        <f>-SUMPRODUCT('EE Measures'!BL$8:BL$86,'EE Measures'!$R$8:$R$86,'EE Measures'!$IH$8:$IH$86)</f>
        <v>-15.125140414064138</v>
      </c>
      <c r="AF32" s="593">
        <f>-SUMPRODUCT('EE Measures'!BM$8:BM$86,'EE Measures'!$R$8:$R$86,'EE Measures'!$IH$8:$IH$86)</f>
        <v>-15.213081479075003</v>
      </c>
      <c r="AG32" s="593">
        <f>-SUMPRODUCT('EE Measures'!BN$8:BN$86,'EE Measures'!$R$8:$R$86,'EE Measures'!$IH$8:$IH$86)</f>
        <v>-22.102357851382564</v>
      </c>
      <c r="AH32" s="593">
        <f>-SUMPRODUCT('EE Measures'!BO$8:BO$86,'EE Measures'!$R$8:$R$86,'EE Measures'!$IH$8:$IH$86)</f>
        <v>-28.992982792696132</v>
      </c>
      <c r="AI32" s="593">
        <f>-SUMPRODUCT('EE Measures'!BP$8:BP$86,'EE Measures'!$R$8:$R$86,'EE Measures'!$IH$8:$IH$86)</f>
        <v>-35.884969774969072</v>
      </c>
      <c r="AJ32" s="593">
        <f>-SUMPRODUCT('EE Measures'!BQ$8:BQ$86,'EE Measures'!$R$8:$R$86,'EE Measures'!$IH$8:$IH$86)</f>
        <v>-42.778332483287365</v>
      </c>
      <c r="AK32" s="593">
        <f>-SUMPRODUCT('EE Measures'!BR$8:BR$86,'EE Measures'!$R$8:$R$86,'EE Measures'!$IH$8:$IH$86)</f>
        <v>-42.873084818654242</v>
      </c>
      <c r="AL32" s="593">
        <f>-SUMPRODUCT('EE Measures'!BS$8:BS$86,'EE Measures'!$R$8:$R$86,'EE Measures'!$IH$8:$IH$86)</f>
        <v>-42.969240900681626</v>
      </c>
      <c r="AM32" s="593">
        <f>-SUMPRODUCT('EE Measures'!BT$8:BT$86,'EE Measures'!$R$8:$R$86,'EE Measures'!$IH$8:$IH$86)</f>
        <v>-43.066815070199347</v>
      </c>
      <c r="AN32" s="593">
        <f>-SUMPRODUCT('EE Measures'!BU$8:BU$86,'EE Measures'!$R$8:$R$86,'EE Measures'!$IH$8:$IH$86)</f>
        <v>-43.165821891793584</v>
      </c>
      <c r="AO32" s="593">
        <f>-SUMPRODUCT('EE Measures'!BV$8:BV$86,'EE Measures'!$R$8:$R$86,'EE Measures'!$IH$8:$IH$86)</f>
        <v>-43.266276156286011</v>
      </c>
      <c r="AP32" s="898">
        <f t="shared" si="24"/>
        <v>-386.3658902959595</v>
      </c>
      <c r="AQ32" s="554" t="str">
        <v>Kesk-Eesti</v>
      </c>
      <c r="AR32" s="592">
        <f t="shared" si="96"/>
        <v>-1298.7614730320245</v>
      </c>
      <c r="AS32" s="593">
        <f>-SUMPRODUCT('EE Measures'!BH$8:BH$86,'EE Measures'!$AC$8:$AC$86,'EE Measures'!$IH$8:$IH$86)</f>
        <v>-18.427001959854572</v>
      </c>
      <c r="AT32" s="593">
        <f>-SUMPRODUCT('EE Measures'!BI$8:BI$86,'EE Measures'!$AC$8:$AC$86,'EE Measures'!$IH$8:$IH$86)</f>
        <v>-22.770073405040886</v>
      </c>
      <c r="AU32" s="593">
        <f>-SUMPRODUCT('EE Measures'!BJ$8:BJ$86,'EE Measures'!$AC$8:$AC$86,'EE Measures'!$IH$8:$IH$86)</f>
        <v>-26.435945106562929</v>
      </c>
      <c r="AV32" s="593">
        <f>-SUMPRODUCT('EE Measures'!BK$8:BK$86,'EE Measures'!$AC$8:$AC$86,'EE Measures'!$IH$8:$IH$86)</f>
        <v>-48.533615015664232</v>
      </c>
      <c r="AW32" s="593">
        <f>-SUMPRODUCT('EE Measures'!BL$8:BL$86,'EE Measures'!$AC$8:$AC$86,'EE Measures'!$IH$8:$IH$86)</f>
        <v>-97.488766150682295</v>
      </c>
      <c r="AX32" s="593">
        <f>-SUMPRODUCT('EE Measures'!BM$8:BM$86,'EE Measures'!$AC$8:$AC$86,'EE Measures'!$IH$8:$IH$86)</f>
        <v>-136.56431499896186</v>
      </c>
      <c r="AY32" s="593">
        <f>-SUMPRODUCT('EE Measures'!BN$8:BN$86,'EE Measures'!$AC$8:$AC$86,'EE Measures'!$IH$8:$IH$86)</f>
        <v>-176.98025501434765</v>
      </c>
      <c r="AZ32" s="593">
        <f>-SUMPRODUCT('EE Measures'!BO$8:BO$86,'EE Measures'!$AC$8:$AC$86,'EE Measures'!$IH$8:$IH$86)</f>
        <v>-215.50268990362389</v>
      </c>
      <c r="BA32" s="593">
        <f>-SUMPRODUCT('EE Measures'!BP$8:BP$86,'EE Measures'!$AC$8:$AC$86,'EE Measures'!$IH$8:$IH$86)</f>
        <v>-256.59955393720065</v>
      </c>
      <c r="BB32" s="593">
        <f>-SUMPRODUCT('EE Measures'!BQ$8:BQ$86,'EE Measures'!$AC$8:$AC$86,'EE Measures'!$IH$8:$IH$86)</f>
        <v>-299.45925754008545</v>
      </c>
      <c r="BC32" s="593">
        <f>-SUMPRODUCT('EE Measures'!BR$8:BR$86,'EE Measures'!$AC$8:$AC$86,'EE Measures'!$IH$8:$IH$86)</f>
        <v>-340.2794081759439</v>
      </c>
      <c r="BD32" s="593">
        <f>-SUMPRODUCT('EE Measures'!BS$8:BS$86,'EE Measures'!$AC$8:$AC$86,'EE Measures'!$IH$8:$IH$86)</f>
        <v>-380.99480689444096</v>
      </c>
      <c r="BE32" s="593">
        <f>-SUMPRODUCT('EE Measures'!BT$8:BT$86,'EE Measures'!$AC$8:$AC$86,'EE Measures'!$IH$8:$IH$86)</f>
        <v>-421.61298011122017</v>
      </c>
      <c r="BF32" s="593">
        <f>-SUMPRODUCT('EE Measures'!BU$8:BU$86,'EE Measures'!$AC$8:$AC$86,'EE Measures'!$IH$8:$IH$86)</f>
        <v>-462.1413506638055</v>
      </c>
      <c r="BG32" s="593">
        <f>-SUMPRODUCT('EE Measures'!BV$8:BV$86,'EE Measures'!$AC$8:$AC$86,'EE Measures'!$IH$8:$IH$86)</f>
        <v>-502.6026477992221</v>
      </c>
      <c r="BH32" s="867">
        <f>AR32/$AR$27</f>
        <v>9.4908037111980162E-2</v>
      </c>
      <c r="BK32" s="587" t="s">
        <v>36</v>
      </c>
      <c r="BM32" s="648" t="s">
        <v>393</v>
      </c>
      <c r="BN32" s="592"/>
      <c r="BO32" s="541">
        <f>BO$14-SUMPRODUCT('EE Measures'!BH$8:BH$86,'EE Measures'!$X$8:$X$86,'EE Measures'!$IH$8:$IH$86)</f>
        <v>6901.7278858674081</v>
      </c>
      <c r="BP32" s="541">
        <f>BP$14-SUMPRODUCT('EE Measures'!BI$8:BI$86,'EE Measures'!$X$8:$X$86,'EE Measures'!$IH$8:$IH$86)</f>
        <v>6875.0819820282195</v>
      </c>
      <c r="BQ32" s="541">
        <f>BQ$14-SUMPRODUCT('EE Measures'!BJ$8:BJ$86,'EE Measures'!$X$8:$X$86,'EE Measures'!$IH$8:$IH$86)</f>
        <v>6978.6302933671132</v>
      </c>
      <c r="BR32" s="541">
        <f>BR$14-SUMPRODUCT('EE Measures'!BK$8:BK$86,'EE Measures'!$X$8:$X$86,'EE Measures'!$IH$8:$IH$86)</f>
        <v>7050.6318564448029</v>
      </c>
      <c r="BS32" s="541">
        <f>BS$14-SUMPRODUCT('EE Measures'!BL$8:BL$86,'EE Measures'!$X$8:$X$86,'EE Measures'!$IH$8:$IH$86)</f>
        <v>7065.021400577798</v>
      </c>
      <c r="BT32" s="541">
        <f>BT$14-SUMPRODUCT('EE Measures'!BM$8:BM$86,'EE Measures'!$X$8:$X$86,'EE Measures'!$IH$8:$IH$86)</f>
        <v>7094.47708542293</v>
      </c>
      <c r="BU32" s="541">
        <f>BU$14-SUMPRODUCT('EE Measures'!BN$8:BN$86,'EE Measures'!$X$8:$X$86,'EE Measures'!$IH$8:$IH$86)</f>
        <v>7121.6981180958592</v>
      </c>
      <c r="BV32" s="541">
        <f>BV$14-SUMPRODUCT('EE Measures'!BO$8:BO$86,'EE Measures'!$X$8:$X$86,'EE Measures'!$IH$8:$IH$86)</f>
        <v>7159.4559546925493</v>
      </c>
      <c r="BW32" s="541">
        <f>BW$14-SUMPRODUCT('EE Measures'!BP$8:BP$86,'EE Measures'!$X$8:$X$86,'EE Measures'!$IH$8:$IH$86)</f>
        <v>7180.3131621780331</v>
      </c>
      <c r="BX32" s="541">
        <f>BX$14-SUMPRODUCT('EE Measures'!BQ$8:BQ$86,'EE Measures'!$X$8:$X$86,'EE Measures'!$IH$8:$IH$86)</f>
        <v>7188.6861209892995</v>
      </c>
      <c r="BY32" s="541">
        <f>BY$14-SUMPRODUCT('EE Measures'!BR$8:BR$86,'EE Measures'!$X$8:$X$86,'EE Measures'!$IH$8:$IH$86)</f>
        <v>7197.6923311524561</v>
      </c>
      <c r="BZ32" s="541">
        <f>BZ$14-SUMPRODUCT('EE Measures'!BS$8:BS$86,'EE Measures'!$X$8:$X$86,'EE Measures'!$IH$8:$IH$86)</f>
        <v>7205.9599272855794</v>
      </c>
      <c r="CA32" s="541">
        <f>CA$14-SUMPRODUCT('EE Measures'!BT$8:BT$86,'EE Measures'!$X$8:$X$86,'EE Measures'!$IH$8:$IH$86)</f>
        <v>7213.4928254204524</v>
      </c>
      <c r="CB32" s="541">
        <f>CB$14-SUMPRODUCT('EE Measures'!BU$8:BU$86,'EE Measures'!$X$8:$X$86,'EE Measures'!$IH$8:$IH$86)</f>
        <v>7220.2948115624749</v>
      </c>
      <c r="CC32" s="541">
        <f>CC$14-SUMPRODUCT('EE Measures'!BV$8:BV$86,'EE Measures'!$X$8:$X$86,'EE Measures'!$IH$8:$IH$86)</f>
        <v>7226.1959447777153</v>
      </c>
    </row>
    <row r="33" spans="3:81" outlineLevel="1" collapsed="1" x14ac:dyDescent="0.3">
      <c r="C33" s="587" t="str">
        <f>E33</f>
        <v>Renowave</v>
      </c>
      <c r="E33" s="555" t="str">
        <f>'EE Measures'!$II$6</f>
        <v>Renowave</v>
      </c>
      <c r="F33" s="590">
        <f>SUM(G33:P33)</f>
        <v>306686.59907773131</v>
      </c>
      <c r="G33" s="591">
        <f>SUM(G34:G38)</f>
        <v>30815.440117674178</v>
      </c>
      <c r="H33" s="591">
        <f>SUM(H34:H38)</f>
        <v>31328.735832786344</v>
      </c>
      <c r="I33" s="591">
        <f t="shared" ref="I33" si="103">SUM(I34:I38)</f>
        <v>31514.088264704606</v>
      </c>
      <c r="J33" s="591">
        <f t="shared" ref="J33" si="104">SUM(J34:J38)</f>
        <v>31544.246947133139</v>
      </c>
      <c r="K33" s="591">
        <f t="shared" ref="K33" si="105">SUM(K34:K38)</f>
        <v>31070.983848557484</v>
      </c>
      <c r="L33" s="591">
        <f t="shared" ref="L33" si="106">SUM(L34:L38)</f>
        <v>30740.050831819168</v>
      </c>
      <c r="M33" s="591">
        <f t="shared" ref="M33" si="107">SUM(M34:M38)</f>
        <v>30294.331860092854</v>
      </c>
      <c r="N33" s="591">
        <f t="shared" ref="N33" si="108">SUM(N34:N38)</f>
        <v>30038.029848614988</v>
      </c>
      <c r="O33" s="591">
        <f t="shared" ref="O33" si="109">SUM(O34:O38)</f>
        <v>29789.8794548029</v>
      </c>
      <c r="P33" s="591">
        <f t="shared" ref="P33:U33" si="110">SUM(P34:P38)</f>
        <v>29550.812071545628</v>
      </c>
      <c r="Q33" s="591">
        <f t="shared" si="110"/>
        <v>29345.054074895455</v>
      </c>
      <c r="R33" s="591">
        <f t="shared" si="110"/>
        <v>29147.499889612238</v>
      </c>
      <c r="S33" s="591">
        <f t="shared" si="110"/>
        <v>28958.127589684082</v>
      </c>
      <c r="T33" s="591">
        <f t="shared" si="110"/>
        <v>28776.917653948374</v>
      </c>
      <c r="U33" s="591">
        <f t="shared" si="110"/>
        <v>28604.105791431906</v>
      </c>
      <c r="V33"/>
      <c r="W33"/>
      <c r="Y33" s="555" t="str">
        <f>'EE Measures'!$II$6</f>
        <v>Renowave</v>
      </c>
      <c r="Z33" s="590">
        <f>SUM(AA33:AJ33)</f>
        <v>-17371.288718388681</v>
      </c>
      <c r="AA33" s="591">
        <f>SUM(AA34:AA38)</f>
        <v>-215.79486010359921</v>
      </c>
      <c r="AB33" s="591">
        <f>SUM(AB34:AB38)</f>
        <v>-259.55278524331226</v>
      </c>
      <c r="AC33" s="591">
        <f t="shared" ref="AC33" si="111">SUM(AC34:AC38)</f>
        <v>-293.86213279643721</v>
      </c>
      <c r="AD33" s="591">
        <f t="shared" ref="AD33" si="112">SUM(AD34:AD38)</f>
        <v>-502.03438755993119</v>
      </c>
      <c r="AE33" s="591">
        <f t="shared" ref="AE33" si="113">SUM(AE34:AE38)</f>
        <v>-1218.1786049320976</v>
      </c>
      <c r="AF33" s="591">
        <f t="shared" ref="AF33" si="114">SUM(AF34:AF38)</f>
        <v>-1796.6031303991049</v>
      </c>
      <c r="AG33" s="591">
        <f t="shared" ref="AG33" si="115">SUM(AG34:AG38)</f>
        <v>-2499.3585577952231</v>
      </c>
      <c r="AH33" s="591">
        <f t="shared" ref="AH33" si="116">SUM(AH34:AH38)</f>
        <v>-3016.8032189303422</v>
      </c>
      <c r="AI33" s="591">
        <f t="shared" ref="AI33" si="117">SUM(AI34:AI38)</f>
        <v>-3530.2570294318107</v>
      </c>
      <c r="AJ33" s="591">
        <f t="shared" ref="AJ33:AO33" si="118">SUM(AJ34:AJ38)</f>
        <v>-4038.8440111968221</v>
      </c>
      <c r="AK33" s="591">
        <f t="shared" si="118"/>
        <v>-4518.3940577202384</v>
      </c>
      <c r="AL33" s="591">
        <f t="shared" si="118"/>
        <v>-4994.0698817850807</v>
      </c>
      <c r="AM33" s="591">
        <f t="shared" si="118"/>
        <v>-5465.9514283956287</v>
      </c>
      <c r="AN33" s="591">
        <f t="shared" si="118"/>
        <v>-5934.1171328330001</v>
      </c>
      <c r="AO33" s="591">
        <f t="shared" si="118"/>
        <v>-6398.3911092182252</v>
      </c>
      <c r="AP33" s="898">
        <f t="shared" si="24"/>
        <v>-43913.002550197511</v>
      </c>
      <c r="AQ33" s="555" t="s">
        <v>296</v>
      </c>
      <c r="AR33" s="590">
        <f>SUM(AS33:BB33)</f>
        <v>-17367.925811952573</v>
      </c>
      <c r="AS33" s="591">
        <f t="shared" ref="AS33" si="119">SUM(AS34:AS38)</f>
        <v>-215.79486010359921</v>
      </c>
      <c r="AT33" s="591">
        <f t="shared" ref="AT33:BB33" si="120">SUM(AT34:AT38)</f>
        <v>-259.55278524331226</v>
      </c>
      <c r="AU33" s="591">
        <f t="shared" si="120"/>
        <v>-293.86213279643715</v>
      </c>
      <c r="AV33" s="591">
        <f t="shared" si="120"/>
        <v>-502.0343875599313</v>
      </c>
      <c r="AW33" s="591">
        <f t="shared" si="120"/>
        <v>-1218.018466530378</v>
      </c>
      <c r="AX33" s="591">
        <f t="shared" si="120"/>
        <v>-1796.2828535956662</v>
      </c>
      <c r="AY33" s="591">
        <f t="shared" si="120"/>
        <v>-2498.8781425900638</v>
      </c>
      <c r="AZ33" s="591">
        <f t="shared" si="120"/>
        <v>-3016.1626653234644</v>
      </c>
      <c r="BA33" s="591">
        <f t="shared" si="120"/>
        <v>-3529.456337423213</v>
      </c>
      <c r="BB33" s="591">
        <f t="shared" si="120"/>
        <v>-4037.8831807865058</v>
      </c>
      <c r="BC33" s="591">
        <f t="shared" ref="BC33:BG33" si="121">SUM(BC34:BC38)</f>
        <v>-4517.2730889082031</v>
      </c>
      <c r="BD33" s="591">
        <f t="shared" si="121"/>
        <v>-4992.7887745713251</v>
      </c>
      <c r="BE33" s="591">
        <f t="shared" si="121"/>
        <v>-5464.5101827801536</v>
      </c>
      <c r="BF33" s="591">
        <f t="shared" si="121"/>
        <v>-5932.5157488158075</v>
      </c>
      <c r="BG33" s="591">
        <f t="shared" si="121"/>
        <v>-6396.6295867993122</v>
      </c>
      <c r="BH33" s="1214">
        <f>AR33-Z33</f>
        <v>3.3629064361084602</v>
      </c>
      <c r="BK33" s="587" t="s">
        <v>296</v>
      </c>
      <c r="BM33" s="648" t="s">
        <v>388</v>
      </c>
      <c r="BN33" s="590"/>
      <c r="BO33" s="492">
        <f>BO$9-SUMPRODUCT('EE Measures'!BH$8:BH$86,'EE Measures'!$S$8:$S$86,'EE Measures'!$II$8:$II$86)</f>
        <v>10017.664746938986</v>
      </c>
      <c r="BP33" s="492">
        <f>BP$9-SUMPRODUCT('EE Measures'!BI$8:BI$86,'EE Measures'!$S$8:$S$86,'EE Measures'!$II$8:$II$86)</f>
        <v>10399.694193921743</v>
      </c>
      <c r="BQ33" s="492">
        <f>BQ$9-SUMPRODUCT('EE Measures'!BJ$8:BJ$86,'EE Measures'!$S$8:$S$86,'EE Measures'!$II$8:$II$86)</f>
        <v>10450.362214399811</v>
      </c>
      <c r="BR33" s="492">
        <f>BR$9-SUMPRODUCT('EE Measures'!BK$8:BK$86,'EE Measures'!$S$8:$S$86,'EE Measures'!$II$8:$II$86)</f>
        <v>10411.070080321599</v>
      </c>
      <c r="BS33" s="492">
        <f>BS$9-SUMPRODUCT('EE Measures'!BL$8:BL$86,'EE Measures'!$S$8:$S$86,'EE Measures'!$II$8:$II$86)</f>
        <v>10351.778888365587</v>
      </c>
      <c r="BT33" s="492">
        <f>BT$9-SUMPRODUCT('EE Measures'!BM$8:BM$86,'EE Measures'!$S$8:$S$86,'EE Measures'!$II$8:$II$86)</f>
        <v>10379.230779432732</v>
      </c>
      <c r="BU33" s="492">
        <f>BU$9-SUMPRODUCT('EE Measures'!BN$8:BN$86,'EE Measures'!$S$8:$S$86,'EE Measures'!$II$8:$II$86)</f>
        <v>10282.239718560644</v>
      </c>
      <c r="BV33" s="492">
        <f>BV$9-SUMPRODUCT('EE Measures'!BO$8:BO$86,'EE Measures'!$S$8:$S$86,'EE Measures'!$II$8:$II$86)</f>
        <v>10316.572693889655</v>
      </c>
      <c r="BW33" s="492">
        <f>BW$9-SUMPRODUCT('EE Measures'!BP$8:BP$86,'EE Measures'!$S$8:$S$86,'EE Measures'!$II$8:$II$86)</f>
        <v>10353.39856271612</v>
      </c>
      <c r="BX33" s="492">
        <f>BX$9-SUMPRODUCT('EE Measures'!BQ$8:BQ$86,'EE Measures'!$S$8:$S$86,'EE Measures'!$II$8:$II$86)</f>
        <v>10393.588840157221</v>
      </c>
      <c r="BY33" s="492">
        <f>BY$9-SUMPRODUCT('EE Measures'!BR$8:BR$86,'EE Measures'!$S$8:$S$86,'EE Measures'!$II$8:$II$86)</f>
        <v>10457.956322206506</v>
      </c>
      <c r="BZ33" s="492">
        <f>BZ$9-SUMPRODUCT('EE Measures'!BS$8:BS$86,'EE Measures'!$S$8:$S$86,'EE Measures'!$II$8:$II$86)</f>
        <v>10524.965480970881</v>
      </c>
      <c r="CA33" s="492">
        <f>CA$9-SUMPRODUCT('EE Measures'!BT$8:BT$86,'EE Measures'!$S$8:$S$86,'EE Measures'!$II$8:$II$86)</f>
        <v>10594.627728818405</v>
      </c>
      <c r="CB33" s="492">
        <f>CB$9-SUMPRODUCT('EE Measures'!BU$8:BU$86,'EE Measures'!$S$8:$S$86,'EE Measures'!$II$8:$II$86)</f>
        <v>10666.955222411701</v>
      </c>
      <c r="CC33" s="492">
        <f>CC$9-SUMPRODUCT('EE Measures'!BV$8:BV$86,'EE Measures'!$S$8:$S$86,'EE Measures'!$II$8:$II$86)</f>
        <v>10741.960862450376</v>
      </c>
    </row>
    <row r="34" spans="3:81" outlineLevel="1" x14ac:dyDescent="0.3">
      <c r="C34" s="587" t="str">
        <f>C33</f>
        <v>Renowave</v>
      </c>
      <c r="E34" s="563" t="s">
        <v>50</v>
      </c>
      <c r="F34" s="592">
        <f>SUM(G34:P34)</f>
        <v>47457.793229295443</v>
      </c>
      <c r="G34" s="593">
        <f t="shared" ref="G34:P34" si="122">G$10+AA34</f>
        <v>4292.8294941331924</v>
      </c>
      <c r="H34" s="593">
        <f t="shared" si="122"/>
        <v>4685.8298233046435</v>
      </c>
      <c r="I34" s="593">
        <f t="shared" si="122"/>
        <v>4741.3140790213711</v>
      </c>
      <c r="J34" s="593">
        <f t="shared" si="122"/>
        <v>4765.8210928590015</v>
      </c>
      <c r="K34" s="593">
        <f t="shared" si="122"/>
        <v>4743.7644391386448</v>
      </c>
      <c r="L34" s="593">
        <f t="shared" si="122"/>
        <v>4748.7654209992261</v>
      </c>
      <c r="M34" s="593">
        <f t="shared" si="122"/>
        <v>4770.6423316677847</v>
      </c>
      <c r="N34" s="593">
        <f t="shared" si="122"/>
        <v>4836.0404056533716</v>
      </c>
      <c r="O34" s="593">
        <f t="shared" si="122"/>
        <v>4902.5620245948103</v>
      </c>
      <c r="P34" s="593">
        <f t="shared" si="122"/>
        <v>4970.224117923397</v>
      </c>
      <c r="Q34" s="593">
        <f t="shared" ref="Q34:U34" si="123">Q$10+AK34</f>
        <v>5039.043869387875</v>
      </c>
      <c r="R34" s="593">
        <f t="shared" si="123"/>
        <v>5109.0387209360433</v>
      </c>
      <c r="S34" s="593">
        <f t="shared" si="123"/>
        <v>5180.2263766558708</v>
      </c>
      <c r="T34" s="593">
        <f t="shared" si="123"/>
        <v>5252.6248067766637</v>
      </c>
      <c r="U34" s="593">
        <f t="shared" si="123"/>
        <v>5326.2522517307698</v>
      </c>
      <c r="V34"/>
      <c r="W34"/>
      <c r="Y34" s="563" t="s">
        <v>50</v>
      </c>
      <c r="Z34" s="592">
        <f>SUM(AA34:AJ34)</f>
        <v>-2674.992389952225</v>
      </c>
      <c r="AA34" s="593">
        <f>-SUMPRODUCT('EE Measures'!BH$8:BH$86,'EE Measures'!$N$8:$N$86,'EE Measures'!$II$8:$II$86)</f>
        <v>-105.78161697791808</v>
      </c>
      <c r="AB34" s="593">
        <f>-SUMPRODUCT('EE Measures'!BI$8:BI$86,'EE Measures'!$N$8:$N$86,'EE Measures'!$II$8:$II$86)</f>
        <v>-111.10906558424406</v>
      </c>
      <c r="AC34" s="593">
        <f>-SUMPRODUCT('EE Measures'!BJ$8:BJ$86,'EE Measures'!$N$8:$N$86,'EE Measures'!$II$8:$II$86)</f>
        <v>-113.18807653418617</v>
      </c>
      <c r="AD34" s="593">
        <f>-SUMPRODUCT('EE Measures'!BK$8:BK$86,'EE Measures'!$N$8:$N$86,'EE Measures'!$II$8:$II$86)</f>
        <v>-161.49859502988676</v>
      </c>
      <c r="AE34" s="593">
        <f>-SUMPRODUCT('EE Measures'!BL$8:BL$86,'EE Measures'!$N$8:$N$86,'EE Measures'!$II$8:$II$86)</f>
        <v>-257.46504406857508</v>
      </c>
      <c r="AF34" s="593">
        <f>-SUMPRODUCT('EE Measures'!BM$8:BM$86,'EE Measures'!$N$8:$N$86,'EE Measures'!$II$8:$II$86)</f>
        <v>-327.48250445610171</v>
      </c>
      <c r="AG34" s="593">
        <f>-SUMPRODUCT('EE Measures'!BN$8:BN$86,'EE Measures'!$N$8:$N$86,'EE Measures'!$II$8:$II$86)</f>
        <v>-381.74931266937335</v>
      </c>
      <c r="AH34" s="593">
        <f>-SUMPRODUCT('EE Measures'!BO$8:BO$86,'EE Measures'!$N$8:$N$86,'EE Measures'!$II$8:$II$86)</f>
        <v>-393.6371133488434</v>
      </c>
      <c r="AI34" s="593">
        <f>-SUMPRODUCT('EE Measures'!BP$8:BP$86,'EE Measures'!$N$8:$N$86,'EE Measures'!$II$8:$II$86)</f>
        <v>-405.56065719243782</v>
      </c>
      <c r="AJ34" s="593">
        <f>-SUMPRODUCT('EE Measures'!BQ$8:BQ$86,'EE Measures'!$N$8:$N$86,'EE Measures'!$II$8:$II$86)</f>
        <v>-417.52040409065864</v>
      </c>
      <c r="AK34" s="593">
        <f>-SUMPRODUCT('EE Measures'!BR$8:BR$86,'EE Measures'!$N$8:$N$86,'EE Measures'!$II$8:$II$86)</f>
        <v>-429.51682045639018</v>
      </c>
      <c r="AL34" s="593">
        <f>-SUMPRODUCT('EE Measures'!BS$8:BS$86,'EE Measures'!$N$8:$N$86,'EE Measures'!$II$8:$II$86)</f>
        <v>-441.55037925588715</v>
      </c>
      <c r="AM34" s="593">
        <f>-SUMPRODUCT('EE Measures'!BT$8:BT$86,'EE Measures'!$N$8:$N$86,'EE Measures'!$II$8:$II$86)</f>
        <v>-453.62156003893796</v>
      </c>
      <c r="AN34" s="593">
        <f>-SUMPRODUCT('EE Measures'!BU$8:BU$86,'EE Measures'!$N$8:$N$86,'EE Measures'!$II$8:$II$86)</f>
        <v>-465.73084896856551</v>
      </c>
      <c r="AO34" s="593">
        <f>-SUMPRODUCT('EE Measures'!BV$8:BV$86,'EE Measures'!$N$8:$N$86,'EE Measures'!$II$8:$II$86)</f>
        <v>-477.87873885063908</v>
      </c>
      <c r="AP34" s="898">
        <f t="shared" si="24"/>
        <v>-4613.2119784262959</v>
      </c>
      <c r="AQ34" s="554" t="str" cm="1">
        <f t="array" ref="AQ34:AQ38">_xlfn.ANCHORARRAY(AQ28)</f>
        <v xml:space="preserve">Põhja-Eesti </v>
      </c>
      <c r="AR34" s="592">
        <f>SUM(AS34:BB34)</f>
        <v>-7524.4281619817657</v>
      </c>
      <c r="AS34" s="593">
        <f>-SUMPRODUCT('EE Measures'!BH$8:BH$86,'EE Measures'!$Y$8:$Y$86,'EE Measures'!$II$8:$II$86)</f>
        <v>-113.64220060117381</v>
      </c>
      <c r="AT34" s="593">
        <f>-SUMPRODUCT('EE Measures'!BI$8:BI$86,'EE Measures'!$Y$8:$Y$86,'EE Measures'!$II$8:$II$86)</f>
        <v>-133.64612361544096</v>
      </c>
      <c r="AU34" s="593">
        <f>-SUMPRODUCT('EE Measures'!BJ$8:BJ$86,'EE Measures'!$Y$8:$Y$86,'EE Measures'!$II$8:$II$86)</f>
        <v>-148.37963370572399</v>
      </c>
      <c r="AV34" s="593">
        <f>-SUMPRODUCT('EE Measures'!BK$8:BK$86,'EE Measures'!$Y$8:$Y$86,'EE Measures'!$II$8:$II$86)</f>
        <v>-244.92837818708975</v>
      </c>
      <c r="AW34" s="593">
        <f>-SUMPRODUCT('EE Measures'!BL$8:BL$86,'EE Measures'!$Y$8:$Y$86,'EE Measures'!$II$8:$II$86)</f>
        <v>-558.37764790363235</v>
      </c>
      <c r="AX34" s="593">
        <f>-SUMPRODUCT('EE Measures'!BM$8:BM$86,'EE Measures'!$Y$8:$Y$86,'EE Measures'!$II$8:$II$86)</f>
        <v>-791.70474464849633</v>
      </c>
      <c r="AY34" s="593">
        <f>-SUMPRODUCT('EE Measures'!BN$8:BN$86,'EE Measures'!$Y$8:$Y$86,'EE Measures'!$II$8:$II$86)</f>
        <v>-1084.5356075297118</v>
      </c>
      <c r="AZ34" s="593">
        <f>-SUMPRODUCT('EE Measures'!BO$8:BO$86,'EE Measures'!$Y$8:$Y$86,'EE Measures'!$II$8:$II$86)</f>
        <v>-1284.8800093490174</v>
      </c>
      <c r="BA34" s="593">
        <f>-SUMPRODUCT('EE Measures'!BP$8:BP$86,'EE Measures'!$Y$8:$Y$86,'EE Measures'!$II$8:$II$86)</f>
        <v>-1483.7135892034257</v>
      </c>
      <c r="BB34" s="593">
        <f>-SUMPRODUCT('EE Measures'!BQ$8:BQ$86,'EE Measures'!$Y$8:$Y$86,'EE Measures'!$II$8:$II$86)</f>
        <v>-1680.6202272380533</v>
      </c>
      <c r="BC34" s="593">
        <f>-SUMPRODUCT('EE Measures'!BR$8:BR$86,'EE Measures'!$Y$8:$Y$86,'EE Measures'!$II$8:$II$86)</f>
        <v>-1860.0271244412261</v>
      </c>
      <c r="BD34" s="593">
        <f>-SUMPRODUCT('EE Measures'!BS$8:BS$86,'EE Measures'!$Y$8:$Y$86,'EE Measures'!$II$8:$II$86)</f>
        <v>-2037.9573727130366</v>
      </c>
      <c r="BE34" s="593">
        <f>-SUMPRODUCT('EE Measures'!BT$8:BT$86,'EE Measures'!$Y$8:$Y$86,'EE Measures'!$II$8:$II$86)</f>
        <v>-2214.4418122864704</v>
      </c>
      <c r="BF34" s="593">
        <f>-SUMPRODUCT('EE Measures'!BU$8:BU$86,'EE Measures'!$Y$8:$Y$86,'EE Measures'!$II$8:$II$86)</f>
        <v>-2389.5107056628026</v>
      </c>
      <c r="BG34" s="593">
        <f>-SUMPRODUCT('EE Measures'!BV$8:BV$86,'EE Measures'!$Y$8:$Y$86,'EE Measures'!$II$8:$II$86)</f>
        <v>-2563.0328149539255</v>
      </c>
      <c r="BH34" s="867">
        <f>AR34/$AR$33</f>
        <v>0.43323700500859286</v>
      </c>
      <c r="BK34" s="587" t="s">
        <v>296</v>
      </c>
      <c r="BM34" s="648" t="s">
        <v>389</v>
      </c>
      <c r="BN34" s="592"/>
      <c r="BO34" s="492">
        <f>BO$10-SUMPRODUCT('EE Measures'!BH$8:BH$86,'EE Measures'!$T$8:$T$86,'EE Measures'!$II$8:$II$86)</f>
        <v>1363.7680292983714</v>
      </c>
      <c r="BP34" s="492">
        <f>BP$10-SUMPRODUCT('EE Measures'!BI$8:BI$86,'EE Measures'!$T$8:$T$86,'EE Measures'!$II$8:$II$86)</f>
        <v>1311.9655993520846</v>
      </c>
      <c r="BQ34" s="492">
        <f>BQ$10-SUMPRODUCT('EE Measures'!BJ$8:BJ$86,'EE Measures'!$T$8:$T$86,'EE Measures'!$II$8:$II$86)</f>
        <v>1326.7676075641518</v>
      </c>
      <c r="BR34" s="492">
        <f>BR$10-SUMPRODUCT('EE Measures'!BK$8:BK$86,'EE Measures'!$T$8:$T$86,'EE Measures'!$II$8:$II$86)</f>
        <v>1321.1805037079271</v>
      </c>
      <c r="BS34" s="492">
        <f>BS$10-SUMPRODUCT('EE Measures'!BL$8:BL$86,'EE Measures'!$T$8:$T$86,'EE Measures'!$II$8:$II$86)</f>
        <v>1309.4955307081225</v>
      </c>
      <c r="BT34" s="492">
        <f>BT$10-SUMPRODUCT('EE Measures'!BM$8:BM$86,'EE Measures'!$T$8:$T$86,'EE Measures'!$II$8:$II$86)</f>
        <v>1311.3952754216509</v>
      </c>
      <c r="BU34" s="492">
        <f>BU$10-SUMPRODUCT('EE Measures'!BN$8:BN$86,'EE Measures'!$T$8:$T$86,'EE Measures'!$II$8:$II$86)</f>
        <v>1314.2682325789185</v>
      </c>
      <c r="BV34" s="492">
        <f>BV$10-SUMPRODUCT('EE Measures'!BO$8:BO$86,'EE Measures'!$T$8:$T$86,'EE Measures'!$II$8:$II$86)</f>
        <v>1330.3931323774666</v>
      </c>
      <c r="BW34" s="492">
        <f>BW$10-SUMPRODUCT('EE Measures'!BP$8:BP$86,'EE Measures'!$T$8:$T$86,'EE Measures'!$II$8:$II$86)</f>
        <v>1346.7958170919258</v>
      </c>
      <c r="BX34" s="492">
        <f>BX$10-SUMPRODUCT('EE Measures'!BQ$8:BQ$86,'EE Measures'!$T$8:$T$86,'EE Measures'!$II$8:$II$86)</f>
        <v>1363.5001632407259</v>
      </c>
      <c r="BY34" s="492">
        <f>BY$10-SUMPRODUCT('EE Measures'!BR$8:BR$86,'EE Measures'!$T$8:$T$86,'EE Measures'!$II$8:$II$86)</f>
        <v>1381.1058206720359</v>
      </c>
      <c r="BZ34" s="492">
        <f>BZ$10-SUMPRODUCT('EE Measures'!BS$8:BS$86,'EE Measures'!$T$8:$T$86,'EE Measures'!$II$8:$II$86)</f>
        <v>1399.0045103388388</v>
      </c>
      <c r="CA34" s="492">
        <f>CA$10-SUMPRODUCT('EE Measures'!BT$8:BT$86,'EE Measures'!$T$8:$T$86,'EE Measures'!$II$8:$II$86)</f>
        <v>1417.2005297911523</v>
      </c>
      <c r="CB34" s="492">
        <f>CB$10-SUMPRODUCT('EE Measures'!BU$8:BU$86,'EE Measures'!$T$8:$T$86,'EE Measures'!$II$8:$II$86)</f>
        <v>1435.698240298301</v>
      </c>
      <c r="CC34" s="492">
        <f>CC$10-SUMPRODUCT('EE Measures'!BV$8:BV$86,'EE Measures'!$T$8:$T$86,'EE Measures'!$II$8:$II$86)</f>
        <v>1454.5020677808263</v>
      </c>
    </row>
    <row r="35" spans="3:81" outlineLevel="1" x14ac:dyDescent="0.3">
      <c r="C35" s="587" t="str">
        <f t="shared" ref="C35:C38" si="124">C34</f>
        <v>Renowave</v>
      </c>
      <c r="E35" s="563" t="s">
        <v>51</v>
      </c>
      <c r="F35" s="592">
        <f t="shared" ref="F35:F38" si="125">SUM(G35:P35)</f>
        <v>98026.166256425116</v>
      </c>
      <c r="G35" s="593">
        <f t="shared" ref="G35:P35" si="126">G$11+AA35</f>
        <v>10505.541297169239</v>
      </c>
      <c r="H35" s="593">
        <f t="shared" si="126"/>
        <v>10518.620321098373</v>
      </c>
      <c r="I35" s="593">
        <f>I$11+AC35</f>
        <v>10532.318330770775</v>
      </c>
      <c r="J35" s="593">
        <f t="shared" si="126"/>
        <v>10525.77148268684</v>
      </c>
      <c r="K35" s="593">
        <f t="shared" si="126"/>
        <v>10162.300008640956</v>
      </c>
      <c r="L35" s="593">
        <f t="shared" si="126"/>
        <v>9817.6238713025559</v>
      </c>
      <c r="M35" s="593">
        <f t="shared" si="126"/>
        <v>9482.475115111858</v>
      </c>
      <c r="N35" s="593">
        <f t="shared" si="126"/>
        <v>9151.920014380974</v>
      </c>
      <c r="O35" s="593">
        <f t="shared" si="126"/>
        <v>8825.7341577911156</v>
      </c>
      <c r="P35" s="593">
        <f t="shared" si="126"/>
        <v>8503.8616574724365</v>
      </c>
      <c r="Q35" s="593">
        <f t="shared" ref="Q35:U35" si="127">Q$11+AK35</f>
        <v>8186.248124183503</v>
      </c>
      <c r="R35" s="593">
        <f t="shared" si="127"/>
        <v>7872.840643080317</v>
      </c>
      <c r="S35" s="593">
        <f t="shared" si="127"/>
        <v>7563.5877500641363</v>
      </c>
      <c r="T35" s="593">
        <f t="shared" si="127"/>
        <v>7258.4394086977054</v>
      </c>
      <c r="U35" s="593">
        <f t="shared" si="127"/>
        <v>6958.0736440799383</v>
      </c>
      <c r="V35"/>
      <c r="W35"/>
      <c r="Y35" s="563" t="s">
        <v>51</v>
      </c>
      <c r="Z35" s="592">
        <f t="shared" ref="Z35:Z38" si="128">SUM(AA35:AJ35)</f>
        <v>-8869.2653420667139</v>
      </c>
      <c r="AA35" s="593">
        <f>-SUMPRODUCT('EE Measures'!BH$8:BH$86,'EE Measures'!$O$8:$O$86,'EE Measures'!$II$8:$II$86)</f>
        <v>-30.340202830761658</v>
      </c>
      <c r="AB35" s="593">
        <f>-SUMPRODUCT('EE Measures'!BI$8:BI$86,'EE Measures'!$O$8:$O$86,'EE Measures'!$II$8:$II$86)</f>
        <v>-46.612077339128874</v>
      </c>
      <c r="AC35" s="593">
        <f>-SUMPRODUCT('EE Measures'!BJ$8:BJ$86,'EE Measures'!$O$8:$O$86,'EE Measures'!$II$8:$II$86)</f>
        <v>-63.705850271813944</v>
      </c>
      <c r="AD35" s="593">
        <f>-SUMPRODUCT('EE Measures'!BK$8:BK$86,'EE Measures'!$O$8:$O$86,'EE Measures'!$II$8:$II$86)</f>
        <v>-102.50393154079981</v>
      </c>
      <c r="AE35" s="593">
        <f>-SUMPRODUCT('EE Measures'!BL$8:BL$86,'EE Measures'!$O$8:$O$86,'EE Measures'!$II$8:$II$86)</f>
        <v>-499.70504926562705</v>
      </c>
      <c r="AF35" s="593">
        <f>-SUMPRODUCT('EE Measures'!BM$8:BM$86,'EE Measures'!$O$8:$O$86,'EE Measures'!$II$8:$II$86)</f>
        <v>-879.60860083232137</v>
      </c>
      <c r="AG35" s="593">
        <f>-SUMPRODUCT('EE Measures'!BN$8:BN$86,'EE Measures'!$O$8:$O$86,'EE Measures'!$II$8:$II$86)</f>
        <v>-1255.9753399134358</v>
      </c>
      <c r="AH35" s="593">
        <f>-SUMPRODUCT('EE Measures'!BO$8:BO$86,'EE Measures'!$O$8:$O$86,'EE Measures'!$II$8:$II$86)</f>
        <v>-1628.7093432788511</v>
      </c>
      <c r="AI35" s="593">
        <f>-SUMPRODUCT('EE Measures'!BP$8:BP$86,'EE Measures'!$O$8:$O$86,'EE Measures'!$II$8:$II$86)</f>
        <v>-1998.0473178976204</v>
      </c>
      <c r="AJ35" s="593">
        <f>-SUMPRODUCT('EE Measures'!BQ$8:BQ$86,'EE Measures'!$O$8:$O$86,'EE Measures'!$II$8:$II$86)</f>
        <v>-2364.0576288963534</v>
      </c>
      <c r="AK35" s="593">
        <f>-SUMPRODUCT('EE Measures'!BR$8:BR$86,'EE Measures'!$O$8:$O$86,'EE Measures'!$II$8:$II$86)</f>
        <v>-2726.8073269536708</v>
      </c>
      <c r="AL35" s="593">
        <f>-SUMPRODUCT('EE Measures'!BS$8:BS$86,'EE Measures'!$O$8:$O$86,'EE Measures'!$II$8:$II$86)</f>
        <v>-3086.3621751420706</v>
      </c>
      <c r="AM35" s="593">
        <f>-SUMPRODUCT('EE Measures'!BT$8:BT$86,'EE Measures'!$O$8:$O$86,'EE Measures'!$II$8:$II$86)</f>
        <v>-3442.7866752284135</v>
      </c>
      <c r="AN35" s="593">
        <f>-SUMPRODUCT('EE Measures'!BU$8:BU$86,'EE Measures'!$O$8:$O$86,'EE Measures'!$II$8:$II$86)</f>
        <v>-3796.1440934440352</v>
      </c>
      <c r="AO35" s="593">
        <f>-SUMPRODUCT('EE Measures'!BV$8:BV$86,'EE Measures'!$O$8:$O$86,'EE Measures'!$II$8:$II$86)</f>
        <v>-4145.7698293349213</v>
      </c>
      <c r="AP35" s="898">
        <f t="shared" si="24"/>
        <v>-25926.477311728122</v>
      </c>
      <c r="AQ35" s="554" t="str">
        <v>Lääne-Eesti</v>
      </c>
      <c r="AR35" s="592">
        <f t="shared" ref="AR35:AR38" si="129">SUM(AS35:BB35)</f>
        <v>-2281.0527853544318</v>
      </c>
      <c r="AS35" s="593">
        <f>-SUMPRODUCT('EE Measures'!BH$8:BH$86,'EE Measures'!$Z$8:$Z$86,'EE Measures'!$II$8:$II$86)</f>
        <v>-17.804750797285266</v>
      </c>
      <c r="AT35" s="593">
        <f>-SUMPRODUCT('EE Measures'!BI$8:BI$86,'EE Measures'!$Z$8:$Z$86,'EE Measures'!$II$8:$II$86)</f>
        <v>-22.501134779899967</v>
      </c>
      <c r="AU35" s="593">
        <f>-SUMPRODUCT('EE Measures'!BJ$8:BJ$86,'EE Measures'!$Z$8:$Z$86,'EE Measures'!$II$8:$II$86)</f>
        <v>-26.511371926896089</v>
      </c>
      <c r="AV35" s="593">
        <f>-SUMPRODUCT('EE Measures'!BK$8:BK$86,'EE Measures'!$Z$8:$Z$86,'EE Measures'!$II$8:$II$86)</f>
        <v>-48.356950093573786</v>
      </c>
      <c r="AW35" s="593">
        <f>-SUMPRODUCT('EE Measures'!BL$8:BL$86,'EE Measures'!$Z$8:$Z$86,'EE Measures'!$II$8:$II$86)</f>
        <v>-134.30401813654785</v>
      </c>
      <c r="AX35" s="593">
        <f>-SUMPRODUCT('EE Measures'!BM$8:BM$86,'EE Measures'!$Z$8:$Z$86,'EE Measures'!$II$8:$II$86)</f>
        <v>-208.91836848478223</v>
      </c>
      <c r="AY35" s="593">
        <f>-SUMPRODUCT('EE Measures'!BN$8:BN$86,'EE Measures'!$Z$8:$Z$86,'EE Measures'!$II$8:$II$86)</f>
        <v>-351.22678333251991</v>
      </c>
      <c r="AZ35" s="593">
        <f>-SUMPRODUCT('EE Measures'!BO$8:BO$86,'EE Measures'!$Z$8:$Z$86,'EE Measures'!$II$8:$II$86)</f>
        <v>-421.23016020149078</v>
      </c>
      <c r="BA35" s="593">
        <f>-SUMPRODUCT('EE Measures'!BP$8:BP$86,'EE Measures'!$Z$8:$Z$86,'EE Measures'!$II$8:$II$86)</f>
        <v>-490.68901223144474</v>
      </c>
      <c r="BB35" s="593">
        <f>-SUMPRODUCT('EE Measures'!BQ$8:BQ$86,'EE Measures'!$Z$8:$Z$86,'EE Measures'!$II$8:$II$86)</f>
        <v>-559.51023536999071</v>
      </c>
      <c r="BC35" s="593">
        <f>-SUMPRODUCT('EE Measures'!BR$8:BR$86,'EE Measures'!$Z$8:$Z$86,'EE Measures'!$II$8:$II$86)</f>
        <v>-625.68640674099515</v>
      </c>
      <c r="BD35" s="593">
        <f>-SUMPRODUCT('EE Measures'!BS$8:BS$86,'EE Measures'!$Z$8:$Z$86,'EE Measures'!$II$8:$II$86)</f>
        <v>-691.33700428439886</v>
      </c>
      <c r="BE35" s="593">
        <f>-SUMPRODUCT('EE Measures'!BT$8:BT$86,'EE Measures'!$Z$8:$Z$86,'EE Measures'!$II$8:$II$86)</f>
        <v>-756.47272776141051</v>
      </c>
      <c r="BF35" s="593">
        <f>-SUMPRODUCT('EE Measures'!BU$8:BU$86,'EE Measures'!$Z$8:$Z$86,'EE Measures'!$II$8:$II$86)</f>
        <v>-821.10407300327756</v>
      </c>
      <c r="BG35" s="593">
        <f>-SUMPRODUCT('EE Measures'!BV$8:BV$86,'EE Measures'!$Z$8:$Z$86,'EE Measures'!$II$8:$II$86)</f>
        <v>-885.26285702934433</v>
      </c>
      <c r="BH35" s="867">
        <f>AR35/$AR$33</f>
        <v>0.13133708711403036</v>
      </c>
      <c r="BK35" s="587" t="s">
        <v>296</v>
      </c>
      <c r="BM35" s="648" t="s">
        <v>390</v>
      </c>
      <c r="BN35" s="592"/>
      <c r="BO35" s="492">
        <f>BO$11-SUMPRODUCT('EE Measures'!BH$8:BH$86,'EE Measures'!$U$8:$U$86,'EE Measures'!$II$8:$II$86)</f>
        <v>5.6006017536074442</v>
      </c>
      <c r="BP35" s="492">
        <f>BP$11-SUMPRODUCT('EE Measures'!BI$8:BI$86,'EE Measures'!$U$8:$U$86,'EE Measures'!$II$8:$II$86)</f>
        <v>124.57047388607955</v>
      </c>
      <c r="BQ35" s="492">
        <f>BQ$11-SUMPRODUCT('EE Measures'!BJ$8:BJ$86,'EE Measures'!$U$8:$U$86,'EE Measures'!$II$8:$II$86)</f>
        <v>126.02824055274621</v>
      </c>
      <c r="BR35" s="492">
        <f>BR$11-SUMPRODUCT('EE Measures'!BK$8:BK$86,'EE Measures'!$U$8:$U$86,'EE Measures'!$II$8:$II$86)</f>
        <v>127.81625990547496</v>
      </c>
      <c r="BS35" s="492">
        <f>BS$11-SUMPRODUCT('EE Measures'!BL$8:BL$86,'EE Measures'!$U$8:$U$86,'EE Measures'!$II$8:$II$86)</f>
        <v>129.4292231281247</v>
      </c>
      <c r="BT35" s="492">
        <f>BT$11-SUMPRODUCT('EE Measures'!BM$8:BM$86,'EE Measures'!$U$8:$U$86,'EE Measures'!$II$8:$II$86)</f>
        <v>131.10809983952007</v>
      </c>
      <c r="BU35" s="492">
        <f>BU$11-SUMPRODUCT('EE Measures'!BN$8:BN$86,'EE Measures'!$U$8:$U$86,'EE Measures'!$II$8:$II$86)</f>
        <v>132.84400824778848</v>
      </c>
      <c r="BV35" s="492">
        <f>BV$11-SUMPRODUCT('EE Measures'!BO$8:BO$86,'EE Measures'!$U$8:$U$86,'EE Measures'!$II$8:$II$86)</f>
        <v>134.74697801374464</v>
      </c>
      <c r="BW35" s="492">
        <f>BW$11-SUMPRODUCT('EE Measures'!BP$8:BP$86,'EE Measures'!$U$8:$U$86,'EE Measures'!$II$8:$II$86)</f>
        <v>136.67930628689166</v>
      </c>
      <c r="BX35" s="492">
        <f>BX$11-SUMPRODUCT('EE Measures'!BQ$8:BQ$86,'EE Measures'!$U$8:$U$86,'EE Measures'!$II$8:$II$86)</f>
        <v>138.64143344483747</v>
      </c>
      <c r="BY35" s="492">
        <f>BY$11-SUMPRODUCT('EE Measures'!BR$8:BR$86,'EE Measures'!$U$8:$U$86,'EE Measures'!$II$8:$II$86)</f>
        <v>140.65668283754869</v>
      </c>
      <c r="BZ35" s="492">
        <f>BZ$11-SUMPRODUCT('EE Measures'!BS$8:BS$86,'EE Measures'!$U$8:$U$86,'EE Measures'!$II$8:$II$86)</f>
        <v>142.70263178635162</v>
      </c>
      <c r="CA35" s="492">
        <f>CA$11-SUMPRODUCT('EE Measures'!BT$8:BT$86,'EE Measures'!$U$8:$U$86,'EE Measures'!$II$8:$II$86)</f>
        <v>144.77974078458777</v>
      </c>
      <c r="CB35" s="492">
        <f>CB$11-SUMPRODUCT('EE Measures'!BU$8:BU$86,'EE Measures'!$U$8:$U$86,'EE Measures'!$II$8:$II$86)</f>
        <v>146.88847723299853</v>
      </c>
      <c r="CC35" s="492">
        <f>CC$11-SUMPRODUCT('EE Measures'!BV$8:BV$86,'EE Measures'!$U$8:$U$86,'EE Measures'!$II$8:$II$86)</f>
        <v>149.02931554333659</v>
      </c>
    </row>
    <row r="36" spans="3:81" outlineLevel="1" x14ac:dyDescent="0.3">
      <c r="C36" s="587" t="str">
        <f t="shared" si="124"/>
        <v>Renowave</v>
      </c>
      <c r="E36" s="563" t="s">
        <v>52</v>
      </c>
      <c r="F36" s="592">
        <f t="shared" si="125"/>
        <v>52868.361452841113</v>
      </c>
      <c r="G36" s="593">
        <f t="shared" ref="G36:P36" si="130">G$12+AA36</f>
        <v>5337.3640280558666</v>
      </c>
      <c r="H36" s="593">
        <f t="shared" si="130"/>
        <v>5361.642849994173</v>
      </c>
      <c r="I36" s="593">
        <f t="shared" si="130"/>
        <v>5391.2699254265435</v>
      </c>
      <c r="J36" s="593">
        <f t="shared" si="130"/>
        <v>5408.4641743286256</v>
      </c>
      <c r="K36" s="593">
        <f t="shared" si="130"/>
        <v>5348.7128908204768</v>
      </c>
      <c r="L36" s="593">
        <f t="shared" si="130"/>
        <v>5297.8788513846912</v>
      </c>
      <c r="M36" s="593">
        <f t="shared" si="130"/>
        <v>5249.2639807171545</v>
      </c>
      <c r="N36" s="593">
        <f t="shared" si="130"/>
        <v>5202.4158147747266</v>
      </c>
      <c r="O36" s="593">
        <f t="shared" si="130"/>
        <v>5157.3332294268112</v>
      </c>
      <c r="P36" s="593">
        <f t="shared" si="130"/>
        <v>5114.0157079120409</v>
      </c>
      <c r="Q36" s="593">
        <f t="shared" ref="Q36:U36" si="131">Q$12+AK36</f>
        <v>5072.4633400970597</v>
      </c>
      <c r="R36" s="593">
        <f t="shared" si="131"/>
        <v>5032.6768219718879</v>
      </c>
      <c r="S36" s="593">
        <f t="shared" si="131"/>
        <v>4994.6574553814789</v>
      </c>
      <c r="T36" s="593">
        <f t="shared" si="131"/>
        <v>4958.4071479932336</v>
      </c>
      <c r="U36" s="593">
        <f t="shared" si="131"/>
        <v>4923.4545996366496</v>
      </c>
      <c r="V36"/>
      <c r="W36"/>
      <c r="Y36" s="563" t="s">
        <v>52</v>
      </c>
      <c r="Z36" s="592">
        <f t="shared" si="128"/>
        <v>-2551.5513820642841</v>
      </c>
      <c r="AA36" s="593">
        <f>-SUMPRODUCT('EE Measures'!BH$8:BH$86,'EE Measures'!$P$8:$P$86,'EE Measures'!$II$8:$II$86)</f>
        <v>-47.711671944133144</v>
      </c>
      <c r="AB36" s="593">
        <f>-SUMPRODUCT('EE Measures'!BI$8:BI$86,'EE Measures'!$P$8:$P$86,'EE Measures'!$II$8:$II$86)</f>
        <v>-55.599480709088851</v>
      </c>
      <c r="AC36" s="593">
        <f>-SUMPRODUCT('EE Measures'!BJ$8:BJ$86,'EE Measures'!$P$8:$P$86,'EE Measures'!$II$8:$II$86)</f>
        <v>-59.098718809684456</v>
      </c>
      <c r="AD36" s="593">
        <f>-SUMPRODUCT('EE Measures'!BK$8:BK$86,'EE Measures'!$P$8:$P$86,'EE Measures'!$II$8:$II$86)</f>
        <v>-76.004420747916299</v>
      </c>
      <c r="AE36" s="593">
        <f>-SUMPRODUCT('EE Measures'!BL$8:BL$86,'EE Measures'!$P$8:$P$86,'EE Measures'!$II$8:$II$86)</f>
        <v>-170.84354101363189</v>
      </c>
      <c r="AF36" s="593">
        <f>-SUMPRODUCT('EE Measures'!BM$8:BM$86,'EE Measures'!$P$8:$P$86,'EE Measures'!$II$8:$II$86)</f>
        <v>-257.76785122962519</v>
      </c>
      <c r="AG36" s="593">
        <f>-SUMPRODUCT('EE Measures'!BN$8:BN$86,'EE Measures'!$P$8:$P$86,'EE Measures'!$II$8:$II$86)</f>
        <v>-343.89054050791356</v>
      </c>
      <c r="AH36" s="593">
        <f>-SUMPRODUCT('EE Measures'!BO$8:BO$86,'EE Measures'!$P$8:$P$86,'EE Measures'!$II$8:$II$86)</f>
        <v>-429.22797416833367</v>
      </c>
      <c r="AI36" s="593">
        <f>-SUMPRODUCT('EE Measures'!BP$8:BP$86,'EE Measures'!$P$8:$P$86,'EE Measures'!$II$8:$II$86)</f>
        <v>-513.79620470561974</v>
      </c>
      <c r="AJ36" s="593">
        <f>-SUMPRODUCT('EE Measures'!BQ$8:BQ$86,'EE Measures'!$P$8:$P$86,'EE Measures'!$II$8:$II$86)</f>
        <v>-597.61097822833744</v>
      </c>
      <c r="AK36" s="593">
        <f>-SUMPRODUCT('EE Measures'!BR$8:BR$86,'EE Measures'!$P$8:$P$86,'EE Measures'!$II$8:$II$86)</f>
        <v>-680.68774076910859</v>
      </c>
      <c r="AL36" s="593">
        <f>-SUMPRODUCT('EE Measures'!BS$8:BS$86,'EE Measures'!$P$8:$P$86,'EE Measures'!$II$8:$II$86)</f>
        <v>-763.0416444686789</v>
      </c>
      <c r="AM36" s="593">
        <f>-SUMPRODUCT('EE Measures'!BT$8:BT$86,'EE Measures'!$P$8:$P$86,'EE Measures'!$II$8:$II$86)</f>
        <v>-844.68755363634602</v>
      </c>
      <c r="AN36" s="593">
        <f>-SUMPRODUCT('EE Measures'!BU$8:BU$86,'EE Measures'!$P$8:$P$86,'EE Measures'!$II$8:$II$86)</f>
        <v>-925.64005068923461</v>
      </c>
      <c r="AO36" s="593">
        <f>-SUMPRODUCT('EE Measures'!BV$8:BV$86,'EE Measures'!$P$8:$P$86,'EE Measures'!$II$8:$II$86)</f>
        <v>-1006.3872558364925</v>
      </c>
      <c r="AP36" s="898">
        <f t="shared" si="24"/>
        <v>-6609.5857560012391</v>
      </c>
      <c r="AQ36" s="554" t="str">
        <v>Kirde-Eesti</v>
      </c>
      <c r="AR36" s="592">
        <f t="shared" si="129"/>
        <v>-1709.4687100468016</v>
      </c>
      <c r="AS36" s="593">
        <f>-SUMPRODUCT('EE Measures'!BH$8:BH$86,'EE Measures'!$AA$8:$AA$86,'EE Measures'!$II$8:$II$86)</f>
        <v>-21.080781618935646</v>
      </c>
      <c r="AT36" s="593">
        <f>-SUMPRODUCT('EE Measures'!BI$8:BI$86,'EE Measures'!$AA$8:$AA$86,'EE Measures'!$II$8:$II$86)</f>
        <v>-25.392362436899408</v>
      </c>
      <c r="AU36" s="593">
        <f>-SUMPRODUCT('EE Measures'!BJ$8:BJ$86,'EE Measures'!$AA$8:$AA$86,'EE Measures'!$II$8:$II$86)</f>
        <v>-28.580898730182678</v>
      </c>
      <c r="AV36" s="593">
        <f>-SUMPRODUCT('EE Measures'!BK$8:BK$86,'EE Measures'!$AA$8:$AA$86,'EE Measures'!$II$8:$II$86)</f>
        <v>-48.734836098764653</v>
      </c>
      <c r="AW36" s="593">
        <f>-SUMPRODUCT('EE Measures'!BL$8:BL$86,'EE Measures'!$AA$8:$AA$86,'EE Measures'!$II$8:$II$86)</f>
        <v>-120.69196871881418</v>
      </c>
      <c r="AX36" s="593">
        <f>-SUMPRODUCT('EE Measures'!BM$8:BM$86,'EE Measures'!$AA$8:$AA$86,'EE Measures'!$II$8:$II$86)</f>
        <v>-182.1053337900706</v>
      </c>
      <c r="AY36" s="593">
        <f>-SUMPRODUCT('EE Measures'!BN$8:BN$86,'EE Measures'!$AA$8:$AA$86,'EE Measures'!$II$8:$II$86)</f>
        <v>-241.43595624552913</v>
      </c>
      <c r="AZ36" s="593">
        <f>-SUMPRODUCT('EE Measures'!BO$8:BO$86,'EE Measures'!$AA$8:$AA$86,'EE Measures'!$II$8:$II$86)</f>
        <v>-294.62120259716215</v>
      </c>
      <c r="BA36" s="593">
        <f>-SUMPRODUCT('EE Measures'!BP$8:BP$86,'EE Measures'!$AA$8:$AA$86,'EE Measures'!$II$8:$II$86)</f>
        <v>-347.33423406314961</v>
      </c>
      <c r="BB36" s="593">
        <f>-SUMPRODUCT('EE Measures'!BQ$8:BQ$86,'EE Measures'!$AA$8:$AA$86,'EE Measures'!$II$8:$II$86)</f>
        <v>-399.49113574729358</v>
      </c>
      <c r="BC36" s="593">
        <f>-SUMPRODUCT('EE Measures'!BR$8:BR$86,'EE Measures'!$AA$8:$AA$86,'EE Measures'!$II$8:$II$86)</f>
        <v>-450.57844642458747</v>
      </c>
      <c r="BD36" s="593">
        <f>-SUMPRODUCT('EE Measures'!BS$8:BS$86,'EE Measures'!$AA$8:$AA$86,'EE Measures'!$II$8:$II$86)</f>
        <v>-501.20966835920774</v>
      </c>
      <c r="BE36" s="593">
        <f>-SUMPRODUCT('EE Measures'!BT$8:BT$86,'EE Measures'!$AA$8:$AA$86,'EE Measures'!$II$8:$II$86)</f>
        <v>-551.39412499877233</v>
      </c>
      <c r="BF36" s="593">
        <f>-SUMPRODUCT('EE Measures'!BU$8:BU$86,'EE Measures'!$AA$8:$AA$86,'EE Measures'!$II$8:$II$86)</f>
        <v>-601.14096252700494</v>
      </c>
      <c r="BG36" s="593">
        <f>-SUMPRODUCT('EE Measures'!BV$8:BV$86,'EE Measures'!$AA$8:$AA$86,'EE Measures'!$II$8:$II$86)</f>
        <v>-650.38608115943805</v>
      </c>
      <c r="BH36" s="867">
        <f>AR36/$AR$33</f>
        <v>9.8426762559657446E-2</v>
      </c>
      <c r="BK36" s="587" t="s">
        <v>296</v>
      </c>
      <c r="BM36" s="648" t="s">
        <v>391</v>
      </c>
      <c r="BN36" s="592"/>
      <c r="BO36" s="492">
        <f>BO$12-SUMPRODUCT('EE Measures'!BH$8:BH$86,'EE Measures'!$V$8:$V$86,'EE Measures'!$II$8:$II$86)</f>
        <v>776.38569438353784</v>
      </c>
      <c r="BP36" s="492">
        <f>BP$12-SUMPRODUCT('EE Measures'!BI$8:BI$86,'EE Measures'!$V$8:$V$86,'EE Measures'!$II$8:$II$86)</f>
        <v>867.97999860819243</v>
      </c>
      <c r="BQ36" s="492">
        <f>BQ$12-SUMPRODUCT('EE Measures'!BJ$8:BJ$86,'EE Measures'!$V$8:$V$86,'EE Measures'!$II$8:$II$86)</f>
        <v>874.50131297398104</v>
      </c>
      <c r="BR36" s="492">
        <f>BR$12-SUMPRODUCT('EE Measures'!BK$8:BK$86,'EE Measures'!$V$8:$V$86,'EE Measures'!$II$8:$II$86)</f>
        <v>881.0872418856577</v>
      </c>
      <c r="BS36" s="492">
        <f>BS$12-SUMPRODUCT('EE Measures'!BL$8:BL$86,'EE Measures'!$V$8:$V$86,'EE Measures'!$II$8:$II$86)</f>
        <v>880.28879241629045</v>
      </c>
      <c r="BT36" s="492">
        <f>BT$12-SUMPRODUCT('EE Measures'!BM$8:BM$86,'EE Measures'!$V$8:$V$86,'EE Measures'!$II$8:$II$86)</f>
        <v>882.69609741618524</v>
      </c>
      <c r="BU36" s="492">
        <f>BU$12-SUMPRODUCT('EE Measures'!BN$8:BN$86,'EE Measures'!$V$8:$V$86,'EE Measures'!$II$8:$II$86)</f>
        <v>876.89710669903116</v>
      </c>
      <c r="BV36" s="492">
        <f>BV$12-SUMPRODUCT('EE Measures'!BO$8:BO$86,'EE Measures'!$V$8:$V$86,'EE Measures'!$II$8:$II$86)</f>
        <v>882.23084641329046</v>
      </c>
      <c r="BW36" s="492">
        <f>BW$12-SUMPRODUCT('EE Measures'!BP$8:BP$86,'EE Measures'!$V$8:$V$86,'EE Measures'!$II$8:$II$86)</f>
        <v>887.7794909823815</v>
      </c>
      <c r="BX36" s="492">
        <f>BX$12-SUMPRODUCT('EE Measures'!BQ$8:BQ$86,'EE Measures'!$V$8:$V$86,'EE Measures'!$II$8:$II$86)</f>
        <v>893.60910908889002</v>
      </c>
      <c r="BY36" s="492">
        <f>BY$12-SUMPRODUCT('EE Measures'!BR$8:BR$86,'EE Measures'!$V$8:$V$86,'EE Measures'!$II$8:$II$86)</f>
        <v>901.05697330121291</v>
      </c>
      <c r="BZ36" s="492">
        <f>BZ$12-SUMPRODUCT('EE Measures'!BS$8:BS$86,'EE Measures'!$V$8:$V$86,'EE Measures'!$II$8:$II$86)</f>
        <v>908.73960856192468</v>
      </c>
      <c r="CA36" s="492">
        <f>CA$12-SUMPRODUCT('EE Measures'!BT$8:BT$86,'EE Measures'!$V$8:$V$86,'EE Measures'!$II$8:$II$86)</f>
        <v>916.66089802334989</v>
      </c>
      <c r="CB36" s="492">
        <f>CB$12-SUMPRODUCT('EE Measures'!BU$8:BU$86,'EE Measures'!$V$8:$V$86,'EE Measures'!$II$8:$II$86)</f>
        <v>924.82479171251737</v>
      </c>
      <c r="CC36" s="492">
        <f>CC$12-SUMPRODUCT('EE Measures'!BV$8:BV$86,'EE Measures'!$V$8:$V$86,'EE Measures'!$II$8:$II$86)</f>
        <v>933.235307408724</v>
      </c>
    </row>
    <row r="37" spans="3:81" outlineLevel="1" x14ac:dyDescent="0.3">
      <c r="C37" s="587" t="str">
        <f t="shared" si="124"/>
        <v>Renowave</v>
      </c>
      <c r="E37" s="563" t="s">
        <v>53</v>
      </c>
      <c r="F37" s="592">
        <f t="shared" si="125"/>
        <v>98604.320146205879</v>
      </c>
      <c r="G37" s="593">
        <f t="shared" ref="G37:P37" si="132">G$13+AA37</f>
        <v>9691.2389775565716</v>
      </c>
      <c r="H37" s="593">
        <f t="shared" si="132"/>
        <v>9774.2593234083488</v>
      </c>
      <c r="I37" s="593">
        <f t="shared" si="132"/>
        <v>9860.8864541372841</v>
      </c>
      <c r="J37" s="593">
        <f t="shared" si="132"/>
        <v>9864.2846505882098</v>
      </c>
      <c r="K37" s="593">
        <f t="shared" si="132"/>
        <v>9840.4983170381365</v>
      </c>
      <c r="L37" s="593">
        <f t="shared" si="132"/>
        <v>9900.1624362784369</v>
      </c>
      <c r="M37" s="593">
        <f t="shared" si="132"/>
        <v>9823.2194571141063</v>
      </c>
      <c r="N37" s="593">
        <f t="shared" si="132"/>
        <v>9885.8132632652778</v>
      </c>
      <c r="O37" s="593">
        <f t="shared" si="132"/>
        <v>9949.3016794318009</v>
      </c>
      <c r="P37" s="593">
        <f t="shared" si="132"/>
        <v>10014.65558738771</v>
      </c>
      <c r="Q37" s="593">
        <f t="shared" ref="Q37:U37" si="133">Q$13+AK37</f>
        <v>10099.338492712339</v>
      </c>
      <c r="R37" s="593">
        <f t="shared" si="133"/>
        <v>10185.079611191339</v>
      </c>
      <c r="S37" s="593">
        <f t="shared" si="133"/>
        <v>10271.889489319459</v>
      </c>
      <c r="T37" s="593">
        <f t="shared" si="133"/>
        <v>10359.778779039232</v>
      </c>
      <c r="U37" s="593">
        <f t="shared" si="133"/>
        <v>10448.758238807502</v>
      </c>
      <c r="V37"/>
      <c r="W37"/>
      <c r="Y37" s="563" t="s">
        <v>53</v>
      </c>
      <c r="Z37" s="592">
        <f t="shared" si="128"/>
        <v>-3097.1042639358552</v>
      </c>
      <c r="AA37" s="593">
        <f>-SUMPRODUCT('EE Measures'!BH$8:BH$86,'EE Measures'!$Q$8:$Q$86,'EE Measures'!$II$8:$II$86)</f>
        <v>-29.59435577676274</v>
      </c>
      <c r="AB37" s="593">
        <f>-SUMPRODUCT('EE Measures'!BI$8:BI$86,'EE Measures'!$Q$8:$Q$86,'EE Measures'!$II$8:$II$86)</f>
        <v>-43.782343258319763</v>
      </c>
      <c r="AC37" s="593">
        <f>-SUMPRODUCT('EE Measures'!BJ$8:BJ$86,'EE Measures'!$Q$8:$Q$86,'EE Measures'!$II$8:$II$86)</f>
        <v>-55.335629196049389</v>
      </c>
      <c r="AD37" s="593">
        <f>-SUMPRODUCT('EE Measures'!BK$8:BK$86,'EE Measures'!$Q$8:$Q$86,'EE Measures'!$II$8:$II$86)</f>
        <v>-151.09965357845803</v>
      </c>
      <c r="AE37" s="593">
        <f>-SUMPRODUCT('EE Measures'!BL$8:BL$86,'EE Measures'!$Q$8:$Q$86,'EE Measures'!$II$8:$II$86)</f>
        <v>-275.03983017019931</v>
      </c>
      <c r="AF37" s="593">
        <f>-SUMPRODUCT('EE Measures'!BM$8:BM$86,'EE Measures'!$Q$8:$Q$86,'EE Measures'!$II$8:$II$86)</f>
        <v>-316.53109240198165</v>
      </c>
      <c r="AG37" s="593">
        <f>-SUMPRODUCT('EE Measures'!BN$8:BN$86,'EE Measures'!$Q$8:$Q$86,'EE Measures'!$II$8:$II$86)</f>
        <v>-495.64100685311746</v>
      </c>
      <c r="AH37" s="593">
        <f>-SUMPRODUCT('EE Measures'!BO$8:BO$86,'EE Measures'!$Q$8:$Q$86,'EE Measures'!$II$8:$II$86)</f>
        <v>-536.23580534161806</v>
      </c>
      <c r="AI37" s="593">
        <f>-SUMPRODUCT('EE Measures'!BP$8:BP$86,'EE Measures'!$Q$8:$Q$86,'EE Measures'!$II$8:$II$86)</f>
        <v>-576.96787986116362</v>
      </c>
      <c r="AJ37" s="593">
        <f>-SUMPRODUCT('EE Measures'!BQ$8:BQ$86,'EE Measures'!$Q$8:$Q$86,'EE Measures'!$II$8:$II$86)</f>
        <v>-616.87666749818516</v>
      </c>
      <c r="AK37" s="593">
        <f>-SUMPRODUCT('EE Measures'!BR$8:BR$86,'EE Measures'!$Q$8:$Q$86,'EE Measures'!$II$8:$II$86)</f>
        <v>-638.50908472241451</v>
      </c>
      <c r="AL37" s="593">
        <f>-SUMPRODUCT('EE Measures'!BS$8:BS$86,'EE Measures'!$Q$8:$Q$86,'EE Measures'!$II$8:$II$86)</f>
        <v>-660.14644201776218</v>
      </c>
      <c r="AM37" s="593">
        <f>-SUMPRODUCT('EE Measures'!BT$8:BT$86,'EE Measures'!$Q$8:$Q$86,'EE Measures'!$II$8:$II$86)</f>
        <v>-681.78882442173176</v>
      </c>
      <c r="AN37" s="593">
        <f>-SUMPRODUCT('EE Measures'!BU$8:BU$86,'EE Measures'!$Q$8:$Q$86,'EE Measures'!$II$8:$II$86)</f>
        <v>-703.43631783937121</v>
      </c>
      <c r="AO37" s="593">
        <f>-SUMPRODUCT('EE Measures'!BV$8:BV$86,'EE Measures'!$Q$8:$Q$86,'EE Measures'!$II$8:$II$86)</f>
        <v>-725.08900903988581</v>
      </c>
      <c r="AP37" s="898">
        <f t="shared" si="24"/>
        <v>-6377.3616137458894</v>
      </c>
      <c r="AQ37" s="554" t="str">
        <v>Lõuna-Eesti </v>
      </c>
      <c r="AR37" s="592">
        <f t="shared" si="129"/>
        <v>-4068.0302310417874</v>
      </c>
      <c r="AS37" s="593">
        <f>-SUMPRODUCT('EE Measures'!BH$8:BH$86,'EE Measures'!$AB$8:$AB$86,'EE Measures'!$II$8:$II$86)</f>
        <v>-44.840125126349903</v>
      </c>
      <c r="AT37" s="593">
        <f>-SUMPRODUCT('EE Measures'!BI$8:BI$86,'EE Measures'!$AB$8:$AB$86,'EE Measures'!$II$8:$II$86)</f>
        <v>-55.243091006031037</v>
      </c>
      <c r="AU37" s="593">
        <f>-SUMPRODUCT('EE Measures'!BJ$8:BJ$86,'EE Measures'!$AB$8:$AB$86,'EE Measures'!$II$8:$II$86)</f>
        <v>-63.954283327071487</v>
      </c>
      <c r="AV37" s="593">
        <f>-SUMPRODUCT('EE Measures'!BK$8:BK$86,'EE Measures'!$AB$8:$AB$86,'EE Measures'!$II$8:$II$86)</f>
        <v>-112.9507705089557</v>
      </c>
      <c r="AW37" s="593">
        <f>-SUMPRODUCT('EE Measures'!BL$8:BL$86,'EE Measures'!$AB$8:$AB$86,'EE Measures'!$II$8:$II$86)</f>
        <v>-282.79397624467265</v>
      </c>
      <c r="AX37" s="593">
        <f>-SUMPRODUCT('EE Measures'!BM$8:BM$86,'EE Measures'!$AB$8:$AB$86,'EE Measures'!$II$8:$II$86)</f>
        <v>-427.3078196068397</v>
      </c>
      <c r="AY37" s="593">
        <f>-SUMPRODUCT('EE Measures'!BN$8:BN$86,'EE Measures'!$AB$8:$AB$86,'EE Measures'!$II$8:$II$86)</f>
        <v>-570.90140731580811</v>
      </c>
      <c r="AZ37" s="593">
        <f>-SUMPRODUCT('EE Measures'!BO$8:BO$86,'EE Measures'!$AB$8:$AB$86,'EE Measures'!$II$8:$II$86)</f>
        <v>-704.49426765038243</v>
      </c>
      <c r="BA37" s="593">
        <f>-SUMPRODUCT('EE Measures'!BP$8:BP$86,'EE Measures'!$AB$8:$AB$86,'EE Measures'!$II$8:$II$86)</f>
        <v>-837.08283127723257</v>
      </c>
      <c r="BB37" s="593">
        <f>-SUMPRODUCT('EE Measures'!BQ$8:BQ$86,'EE Measures'!$AB$8:$AB$86,'EE Measures'!$II$8:$II$86)</f>
        <v>-968.46165897844355</v>
      </c>
      <c r="BC37" s="593">
        <f>-SUMPRODUCT('EE Measures'!BR$8:BR$86,'EE Measures'!$AB$8:$AB$86,'EE Measures'!$II$8:$II$86)</f>
        <v>-1094.3975610213211</v>
      </c>
      <c r="BD37" s="593">
        <f>-SUMPRODUCT('EE Measures'!BS$8:BS$86,'EE Measures'!$AB$8:$AB$86,'EE Measures'!$II$8:$II$86)</f>
        <v>-1219.360261752671</v>
      </c>
      <c r="BE37" s="593">
        <f>-SUMPRODUCT('EE Measures'!BT$8:BT$86,'EE Measures'!$AB$8:$AB$86,'EE Measures'!$II$8:$II$86)</f>
        <v>-1343.3697684887657</v>
      </c>
      <c r="BF37" s="593">
        <f>-SUMPRODUCT('EE Measures'!BU$8:BU$86,'EE Measures'!$AB$8:$AB$86,'EE Measures'!$II$8:$II$86)</f>
        <v>-1466.4457098624266</v>
      </c>
      <c r="BG37" s="593">
        <f>-SUMPRODUCT('EE Measures'!BV$8:BV$86,'EE Measures'!$AB$8:$AB$86,'EE Measures'!$II$8:$II$86)</f>
        <v>-1588.5739462882705</v>
      </c>
      <c r="BH37" s="867">
        <f>AR37/$AR$33</f>
        <v>0.23422660109718899</v>
      </c>
      <c r="BK37" s="587" t="s">
        <v>296</v>
      </c>
      <c r="BM37" s="648" t="s">
        <v>392</v>
      </c>
      <c r="BN37" s="592"/>
      <c r="BO37" s="492">
        <f>BO$13-SUMPRODUCT('EE Measures'!BH$8:BH$86,'EE Measures'!$W$8:$W$86,'EE Measures'!$II$8:$II$86)</f>
        <v>11750.287656771043</v>
      </c>
      <c r="BP37" s="492">
        <f>BP$13-SUMPRODUCT('EE Measures'!BI$8:BI$86,'EE Measures'!$W$8:$W$86,'EE Measures'!$II$8:$II$86)</f>
        <v>11749.437771200757</v>
      </c>
      <c r="BQ37" s="492">
        <f>BQ$13-SUMPRODUCT('EE Measures'!BJ$8:BJ$86,'EE Measures'!$W$8:$W$86,'EE Measures'!$II$8:$II$86)</f>
        <v>11757.792796958078</v>
      </c>
      <c r="BR37" s="492">
        <f>BR$13-SUMPRODUCT('EE Measures'!BK$8:BK$86,'EE Measures'!$W$8:$W$86,'EE Measures'!$II$8:$II$86)</f>
        <v>11743.631694802325</v>
      </c>
      <c r="BS37" s="492">
        <f>BS$13-SUMPRODUCT('EE Measures'!BL$8:BL$86,'EE Measures'!$W$8:$W$86,'EE Measures'!$II$8:$II$86)</f>
        <v>11327.71391043324</v>
      </c>
      <c r="BT37" s="492">
        <f>BT$13-SUMPRODUCT('EE Measures'!BM$8:BM$86,'EE Measures'!$W$8:$W$86,'EE Measures'!$II$8:$II$86)</f>
        <v>10933.376499737149</v>
      </c>
      <c r="BU37" s="492">
        <f>BU$13-SUMPRODUCT('EE Measures'!BN$8:BN$86,'EE Measures'!$W$8:$W$86,'EE Measures'!$II$8:$II$86)</f>
        <v>10551.849843119147</v>
      </c>
      <c r="BV37" s="492">
        <f>BV$13-SUMPRODUCT('EE Measures'!BO$8:BO$86,'EE Measures'!$W$8:$W$86,'EE Measures'!$II$8:$II$86)</f>
        <v>10179.399946198997</v>
      </c>
      <c r="BW37" s="492">
        <f>BW$13-SUMPRODUCT('EE Measures'!BP$8:BP$86,'EE Measures'!$W$8:$W$86,'EE Measures'!$II$8:$II$86)</f>
        <v>9811.7133069282318</v>
      </c>
      <c r="BX37" s="492">
        <f>BX$13-SUMPRODUCT('EE Measures'!BQ$8:BQ$86,'EE Measures'!$W$8:$W$86,'EE Measures'!$II$8:$II$86)</f>
        <v>9448.7312193746911</v>
      </c>
      <c r="BY37" s="492">
        <f>BY$13-SUMPRODUCT('EE Measures'!BR$8:BR$86,'EE Measures'!$W$8:$W$86,'EE Measures'!$II$8:$II$86)</f>
        <v>9090.5300744952892</v>
      </c>
      <c r="BZ37" s="492">
        <f>BZ$13-SUMPRODUCT('EE Measures'!BS$8:BS$86,'EE Measures'!$W$8:$W$86,'EE Measures'!$II$8:$II$86)</f>
        <v>8736.9209990693525</v>
      </c>
      <c r="CA37" s="492">
        <f>CA$13-SUMPRODUCT('EE Measures'!BT$8:BT$86,'EE Measures'!$W$8:$W$86,'EE Measures'!$II$8:$II$86)</f>
        <v>8387.8501681040198</v>
      </c>
      <c r="CB37" s="492">
        <f>CB$13-SUMPRODUCT('EE Measures'!BU$8:BU$86,'EE Measures'!$W$8:$W$86,'EE Measures'!$II$8:$II$86)</f>
        <v>8043.2653359773067</v>
      </c>
      <c r="CC37" s="492">
        <f>CC$13-SUMPRODUCT('EE Measures'!BV$8:BV$86,'EE Measures'!$W$8:$W$86,'EE Measures'!$II$8:$II$86)</f>
        <v>7703.5476446775192</v>
      </c>
    </row>
    <row r="38" spans="3:81" outlineLevel="1" x14ac:dyDescent="0.3">
      <c r="C38" s="587" t="str">
        <f t="shared" si="124"/>
        <v>Renowave</v>
      </c>
      <c r="E38" s="563" t="s">
        <v>54</v>
      </c>
      <c r="F38" s="592">
        <f t="shared" si="125"/>
        <v>9729.957992963733</v>
      </c>
      <c r="G38" s="593">
        <f t="shared" ref="G38:P38" si="134">G$14+AA38</f>
        <v>988.46632075930984</v>
      </c>
      <c r="H38" s="593">
        <f t="shared" si="134"/>
        <v>988.3835149808026</v>
      </c>
      <c r="I38" s="593">
        <f t="shared" si="134"/>
        <v>988.29947534863015</v>
      </c>
      <c r="J38" s="593">
        <f t="shared" si="134"/>
        <v>979.90554667046297</v>
      </c>
      <c r="K38" s="593">
        <f t="shared" si="134"/>
        <v>975.70819291926921</v>
      </c>
      <c r="L38" s="593">
        <f t="shared" si="134"/>
        <v>975.62025185425841</v>
      </c>
      <c r="M38" s="593">
        <f t="shared" si="134"/>
        <v>968.73097548195085</v>
      </c>
      <c r="N38" s="593">
        <f t="shared" si="134"/>
        <v>961.84035054063725</v>
      </c>
      <c r="O38" s="593">
        <f t="shared" si="134"/>
        <v>954.94836355836435</v>
      </c>
      <c r="P38" s="593">
        <f t="shared" si="134"/>
        <v>948.05500085004599</v>
      </c>
      <c r="Q38" s="593">
        <f t="shared" ref="Q38:U38" si="135">Q$14+AK38</f>
        <v>947.96024851467917</v>
      </c>
      <c r="R38" s="593">
        <f t="shared" si="135"/>
        <v>947.86409243265177</v>
      </c>
      <c r="S38" s="593">
        <f t="shared" si="135"/>
        <v>947.766518263134</v>
      </c>
      <c r="T38" s="593">
        <f t="shared" si="135"/>
        <v>947.66751144153977</v>
      </c>
      <c r="U38" s="593">
        <f t="shared" si="135"/>
        <v>947.56705717704733</v>
      </c>
      <c r="V38"/>
      <c r="W38"/>
      <c r="Y38" s="563" t="s">
        <v>54</v>
      </c>
      <c r="Z38" s="592">
        <f t="shared" si="128"/>
        <v>-178.37534036960216</v>
      </c>
      <c r="AA38" s="593">
        <f>-SUMPRODUCT('EE Measures'!BH$8:BH$86,'EE Measures'!$R$8:$R$86,'EE Measures'!$II$8:$II$86)</f>
        <v>-2.3670125740235815</v>
      </c>
      <c r="AB38" s="593">
        <f>-SUMPRODUCT('EE Measures'!BI$8:BI$86,'EE Measures'!$R$8:$R$86,'EE Measures'!$II$8:$II$86)</f>
        <v>-2.4498183525307202</v>
      </c>
      <c r="AC38" s="593">
        <f>-SUMPRODUCT('EE Measures'!BJ$8:BJ$86,'EE Measures'!$R$8:$R$86,'EE Measures'!$II$8:$II$86)</f>
        <v>-2.5338579847032205</v>
      </c>
      <c r="AD38" s="593">
        <f>-SUMPRODUCT('EE Measures'!BK$8:BK$86,'EE Measures'!$R$8:$R$86,'EE Measures'!$II$8:$II$86)</f>
        <v>-10.927786662870368</v>
      </c>
      <c r="AE38" s="593">
        <f>-SUMPRODUCT('EE Measures'!BL$8:BL$86,'EE Measures'!$R$8:$R$86,'EE Measures'!$II$8:$II$86)</f>
        <v>-15.125140414064138</v>
      </c>
      <c r="AF38" s="593">
        <f>-SUMPRODUCT('EE Measures'!BM$8:BM$86,'EE Measures'!$R$8:$R$86,'EE Measures'!$II$8:$II$86)</f>
        <v>-15.213081479075003</v>
      </c>
      <c r="AG38" s="593">
        <f>-SUMPRODUCT('EE Measures'!BN$8:BN$86,'EE Measures'!$R$8:$R$86,'EE Measures'!$II$8:$II$86)</f>
        <v>-22.102357851382564</v>
      </c>
      <c r="AH38" s="593">
        <f>-SUMPRODUCT('EE Measures'!BO$8:BO$86,'EE Measures'!$R$8:$R$86,'EE Measures'!$II$8:$II$86)</f>
        <v>-28.992982792696132</v>
      </c>
      <c r="AI38" s="593">
        <f>-SUMPRODUCT('EE Measures'!BP$8:BP$86,'EE Measures'!$R$8:$R$86,'EE Measures'!$II$8:$II$86)</f>
        <v>-35.884969774969072</v>
      </c>
      <c r="AJ38" s="593">
        <f>-SUMPRODUCT('EE Measures'!BQ$8:BQ$86,'EE Measures'!$R$8:$R$86,'EE Measures'!$II$8:$II$86)</f>
        <v>-42.778332483287365</v>
      </c>
      <c r="AK38" s="593">
        <f>-SUMPRODUCT('EE Measures'!BR$8:BR$86,'EE Measures'!$R$8:$R$86,'EE Measures'!$II$8:$II$86)</f>
        <v>-42.873084818654242</v>
      </c>
      <c r="AL38" s="593">
        <f>-SUMPRODUCT('EE Measures'!BS$8:BS$86,'EE Measures'!$R$8:$R$86,'EE Measures'!$II$8:$II$86)</f>
        <v>-42.969240900681626</v>
      </c>
      <c r="AM38" s="593">
        <f>-SUMPRODUCT('EE Measures'!BT$8:BT$86,'EE Measures'!$R$8:$R$86,'EE Measures'!$II$8:$II$86)</f>
        <v>-43.066815070199347</v>
      </c>
      <c r="AN38" s="593">
        <f>-SUMPRODUCT('EE Measures'!BU$8:BU$86,'EE Measures'!$R$8:$R$86,'EE Measures'!$II$8:$II$86)</f>
        <v>-43.165821891793584</v>
      </c>
      <c r="AO38" s="593">
        <f>-SUMPRODUCT('EE Measures'!BV$8:BV$86,'EE Measures'!$R$8:$R$86,'EE Measures'!$II$8:$II$86)</f>
        <v>-43.266276156286011</v>
      </c>
      <c r="AP38" s="898">
        <f t="shared" si="24"/>
        <v>-386.3658902959595</v>
      </c>
      <c r="AQ38" s="554" t="str">
        <v>Kesk-Eesti</v>
      </c>
      <c r="AR38" s="592">
        <f t="shared" si="129"/>
        <v>-1784.9459235277861</v>
      </c>
      <c r="AS38" s="593">
        <f>-SUMPRODUCT('EE Measures'!BH$8:BH$86,'EE Measures'!$AC$8:$AC$86,'EE Measures'!$II$8:$II$86)</f>
        <v>-18.427001959854572</v>
      </c>
      <c r="AT38" s="593">
        <f>-SUMPRODUCT('EE Measures'!BI$8:BI$86,'EE Measures'!$AC$8:$AC$86,'EE Measures'!$II$8:$II$86)</f>
        <v>-22.770073405040886</v>
      </c>
      <c r="AU38" s="593">
        <f>-SUMPRODUCT('EE Measures'!BJ$8:BJ$86,'EE Measures'!$AC$8:$AC$86,'EE Measures'!$II$8:$II$86)</f>
        <v>-26.435945106562929</v>
      </c>
      <c r="AV38" s="593">
        <f>-SUMPRODUCT('EE Measures'!BK$8:BK$86,'EE Measures'!$AC$8:$AC$86,'EE Measures'!$II$8:$II$86)</f>
        <v>-47.063452671547402</v>
      </c>
      <c r="AW38" s="593">
        <f>-SUMPRODUCT('EE Measures'!BL$8:BL$86,'EE Measures'!$AC$8:$AC$86,'EE Measures'!$II$8:$II$86)</f>
        <v>-121.850855526711</v>
      </c>
      <c r="AX38" s="593">
        <f>-SUMPRODUCT('EE Measures'!BM$8:BM$86,'EE Measures'!$AC$8:$AC$86,'EE Measures'!$II$8:$II$86)</f>
        <v>-186.24658706547729</v>
      </c>
      <c r="AY38" s="593">
        <f>-SUMPRODUCT('EE Measures'!BN$8:BN$86,'EE Measures'!$AC$8:$AC$86,'EE Measures'!$II$8:$II$86)</f>
        <v>-250.77838816649518</v>
      </c>
      <c r="AZ38" s="593">
        <f>-SUMPRODUCT('EE Measures'!BO$8:BO$86,'EE Measures'!$AC$8:$AC$86,'EE Measures'!$II$8:$II$86)</f>
        <v>-310.93702552541163</v>
      </c>
      <c r="BA38" s="593">
        <f>-SUMPRODUCT('EE Measures'!BP$8:BP$86,'EE Measures'!$AC$8:$AC$86,'EE Measures'!$II$8:$II$86)</f>
        <v>-370.63667064796039</v>
      </c>
      <c r="BB38" s="593">
        <f>-SUMPRODUCT('EE Measures'!BQ$8:BQ$86,'EE Measures'!$AC$8:$AC$86,'EE Measures'!$II$8:$II$86)</f>
        <v>-429.79992345272484</v>
      </c>
      <c r="BC38" s="593">
        <f>-SUMPRODUCT('EE Measures'!BR$8:BR$86,'EE Measures'!$AC$8:$AC$86,'EE Measures'!$II$8:$II$86)</f>
        <v>-486.58355028007315</v>
      </c>
      <c r="BD38" s="593">
        <f>-SUMPRODUCT('EE Measures'!BS$8:BS$86,'EE Measures'!$AC$8:$AC$86,'EE Measures'!$II$8:$II$86)</f>
        <v>-542.92446746201165</v>
      </c>
      <c r="BE38" s="593">
        <f>-SUMPRODUCT('EE Measures'!BT$8:BT$86,'EE Measures'!$AC$8:$AC$86,'EE Measures'!$II$8:$II$86)</f>
        <v>-598.83174924473451</v>
      </c>
      <c r="BF38" s="593">
        <f>-SUMPRODUCT('EE Measures'!BU$8:BU$86,'EE Measures'!$AC$8:$AC$86,'EE Measures'!$II$8:$II$86)</f>
        <v>-654.3142977602954</v>
      </c>
      <c r="BG38" s="593">
        <f>-SUMPRODUCT('EE Measures'!BV$8:BV$86,'EE Measures'!$AC$8:$AC$86,'EE Measures'!$II$8:$II$86)</f>
        <v>-709.37388736833395</v>
      </c>
      <c r="BH38" s="867">
        <f>AR38/$AR$33</f>
        <v>0.10277254422053034</v>
      </c>
      <c r="BK38" s="587" t="s">
        <v>296</v>
      </c>
      <c r="BM38" s="648" t="s">
        <v>393</v>
      </c>
      <c r="BN38" s="592"/>
      <c r="BO38" s="492">
        <f>BO$14-SUMPRODUCT('EE Measures'!BH$8:BH$86,'EE Measures'!$X$8:$X$86,'EE Measures'!$II$8:$II$86)</f>
        <v>6901.7278858674081</v>
      </c>
      <c r="BP38" s="492">
        <f>BP$14-SUMPRODUCT('EE Measures'!BI$8:BI$86,'EE Measures'!$X$8:$X$86,'EE Measures'!$II$8:$II$86)</f>
        <v>6875.0819820282195</v>
      </c>
      <c r="BQ38" s="492">
        <f>BQ$14-SUMPRODUCT('EE Measures'!BJ$8:BJ$86,'EE Measures'!$X$8:$X$86,'EE Measures'!$II$8:$II$86)</f>
        <v>6978.6302933671132</v>
      </c>
      <c r="BR38" s="492">
        <f>BR$14-SUMPRODUCT('EE Measures'!BK$8:BK$86,'EE Measures'!$X$8:$X$86,'EE Measures'!$II$8:$II$86)</f>
        <v>7059.4554706082808</v>
      </c>
      <c r="BS38" s="492">
        <f>BS$14-SUMPRODUCT('EE Measures'!BL$8:BL$86,'EE Measures'!$X$8:$X$86,'EE Measures'!$II$8:$II$86)</f>
        <v>7072.2648216072093</v>
      </c>
      <c r="BT38" s="492">
        <f>BT$14-SUMPRODUCT('EE Measures'!BM$8:BM$86,'EE Measures'!$X$8:$X$86,'EE Measures'!$II$8:$II$86)</f>
        <v>7102.2246776081838</v>
      </c>
      <c r="BU38" s="492">
        <f>BU$14-SUMPRODUCT('EE Measures'!BN$8:BN$86,'EE Measures'!$X$8:$X$86,'EE Measures'!$II$8:$II$86)</f>
        <v>7136.2083958743206</v>
      </c>
      <c r="BV38" s="492">
        <f>BV$14-SUMPRODUCT('EE Measures'!BO$8:BO$86,'EE Measures'!$X$8:$X$86,'EE Measures'!$II$8:$II$86)</f>
        <v>7194.6607561336559</v>
      </c>
      <c r="BW38" s="492">
        <f>BW$14-SUMPRODUCT('EE Measures'!BP$8:BP$86,'EE Measures'!$X$8:$X$86,'EE Measures'!$II$8:$II$86)</f>
        <v>7253.4865349394986</v>
      </c>
      <c r="BX38" s="492">
        <f>BX$14-SUMPRODUCT('EE Measures'!BQ$8:BQ$86,'EE Measures'!$X$8:$X$86,'EE Measures'!$II$8:$II$86)</f>
        <v>7312.7139304174125</v>
      </c>
      <c r="BY38" s="492">
        <f>BY$14-SUMPRODUCT('EE Measures'!BR$8:BR$86,'EE Measures'!$X$8:$X$86,'EE Measures'!$II$8:$II$86)</f>
        <v>7373.7198859028867</v>
      </c>
      <c r="BZ38" s="492">
        <f>BZ$14-SUMPRODUCT('EE Measures'!BS$8:BS$86,'EE Measures'!$X$8:$X$86,'EE Measures'!$II$8:$II$86)</f>
        <v>7435.1374040528308</v>
      </c>
      <c r="CA38" s="492">
        <f>CA$14-SUMPRODUCT('EE Measures'!BT$8:BT$86,'EE Measures'!$X$8:$X$86,'EE Measures'!$II$8:$II$86)</f>
        <v>7496.978330284659</v>
      </c>
      <c r="CB38" s="492">
        <f>CB$14-SUMPRODUCT('EE Measures'!BU$8:BU$86,'EE Measures'!$X$8:$X$86,'EE Measures'!$II$8:$II$86)</f>
        <v>7559.2544536982423</v>
      </c>
      <c r="CC38" s="492">
        <f>CC$14-SUMPRODUCT('EE Measures'!BV$8:BV$86,'EE Measures'!$X$8:$X$86,'EE Measures'!$II$8:$II$86)</f>
        <v>7621.7985225210505</v>
      </c>
    </row>
    <row r="39" spans="3:81" outlineLevel="1" collapsed="1" x14ac:dyDescent="0.3">
      <c r="C39" s="587" t="str">
        <f>E39</f>
        <v>EET</v>
      </c>
      <c r="E39" s="555" t="str">
        <f>'EE Measures'!$IJ$6</f>
        <v>EET</v>
      </c>
      <c r="F39" s="590">
        <f>SUM(G39:P39)</f>
        <v>306655.15396541002</v>
      </c>
      <c r="G39" s="591">
        <f>SUM(G40:G44)</f>
        <v>30787.426871993186</v>
      </c>
      <c r="H39" s="591">
        <f>SUM(H40:H44)</f>
        <v>31292.650628735129</v>
      </c>
      <c r="I39" s="591">
        <f t="shared" ref="I39" si="136">SUM(I40:I44)</f>
        <v>31469.768843643702</v>
      </c>
      <c r="J39" s="591">
        <f t="shared" ref="J39" si="137">SUM(J40:J44)</f>
        <v>31492.777852743198</v>
      </c>
      <c r="K39" s="591">
        <f t="shared" ref="K39" si="138">SUM(K40:K44)</f>
        <v>31091.873101822443</v>
      </c>
      <c r="L39" s="591">
        <f t="shared" ref="L39" si="139">SUM(L40:L44)</f>
        <v>30909.035589709285</v>
      </c>
      <c r="M39" s="591">
        <f t="shared" ref="M39" si="140">SUM(M40:M44)</f>
        <v>30063.331190083227</v>
      </c>
      <c r="N39" s="591">
        <f t="shared" ref="N39" si="141">SUM(N40:N44)</f>
        <v>29952.095917590686</v>
      </c>
      <c r="O39" s="591">
        <f t="shared" ref="O39" si="142">SUM(O40:O44)</f>
        <v>29846.684105083557</v>
      </c>
      <c r="P39" s="591">
        <f t="shared" ref="P39:U39" si="143">SUM(P40:P44)</f>
        <v>29749.509864005555</v>
      </c>
      <c r="Q39" s="591">
        <f t="shared" si="143"/>
        <v>29754.631363680637</v>
      </c>
      <c r="R39" s="591">
        <f t="shared" si="143"/>
        <v>29765.950207623002</v>
      </c>
      <c r="S39" s="591">
        <f t="shared" si="143"/>
        <v>29783.483812312912</v>
      </c>
      <c r="T39" s="591">
        <f t="shared" si="143"/>
        <v>29807.251227658493</v>
      </c>
      <c r="U39" s="591">
        <f t="shared" si="143"/>
        <v>29837.2108615986</v>
      </c>
      <c r="V39"/>
      <c r="W39"/>
      <c r="Y39" s="555" t="str">
        <f>'EE Measures'!$IJ$6</f>
        <v>EET</v>
      </c>
      <c r="Z39" s="590">
        <f>SUM(AA39:AJ39)</f>
        <v>-17402.73383071</v>
      </c>
      <c r="AA39" s="591">
        <f>SUM(AA40:AA44)</f>
        <v>-243.80810578459079</v>
      </c>
      <c r="AB39" s="591">
        <f>SUM(AB40:AB44)</f>
        <v>-295.63798929452344</v>
      </c>
      <c r="AC39" s="591">
        <f t="shared" ref="AC39" si="144">SUM(AC40:AC44)</f>
        <v>-338.18155385733996</v>
      </c>
      <c r="AD39" s="591">
        <f t="shared" ref="AD39" si="145">SUM(AD40:AD44)</f>
        <v>-553.50348194987566</v>
      </c>
      <c r="AE39" s="591">
        <f t="shared" ref="AE39" si="146">SUM(AE40:AE44)</f>
        <v>-1197.2893516671381</v>
      </c>
      <c r="AF39" s="591">
        <f t="shared" ref="AF39" si="147">SUM(AF40:AF44)</f>
        <v>-1627.6183725089907</v>
      </c>
      <c r="AG39" s="591">
        <f t="shared" ref="AG39" si="148">SUM(AG40:AG44)</f>
        <v>-2730.3592278048463</v>
      </c>
      <c r="AH39" s="591">
        <f t="shared" ref="AH39" si="149">SUM(AH40:AH44)</f>
        <v>-3102.7371499546434</v>
      </c>
      <c r="AI39" s="591">
        <f t="shared" ref="AI39" si="150">SUM(AI40:AI44)</f>
        <v>-3473.4523791511538</v>
      </c>
      <c r="AJ39" s="591">
        <f t="shared" ref="AJ39:AO39" si="151">SUM(AJ40:AJ44)</f>
        <v>-3840.1462187368979</v>
      </c>
      <c r="AK39" s="591">
        <f t="shared" si="151"/>
        <v>-4108.8167689350585</v>
      </c>
      <c r="AL39" s="591">
        <f t="shared" si="151"/>
        <v>-4375.6195637743149</v>
      </c>
      <c r="AM39" s="591">
        <f t="shared" si="151"/>
        <v>-4640.5952057667955</v>
      </c>
      <c r="AN39" s="591">
        <f t="shared" si="151"/>
        <v>-4903.7835591228841</v>
      </c>
      <c r="AO39" s="591">
        <f t="shared" si="151"/>
        <v>-5165.2860390515298</v>
      </c>
      <c r="AP39" s="898">
        <f t="shared" si="24"/>
        <v>-39719.207318424131</v>
      </c>
      <c r="AQ39" s="555" t="s">
        <v>38</v>
      </c>
      <c r="AR39" s="590">
        <f>SUM(AS39:BB39)</f>
        <v>-17394.326564619732</v>
      </c>
      <c r="AS39" s="591">
        <f t="shared" ref="AS39" si="152">SUM(AS40:AS44)</f>
        <v>-243.80810578459079</v>
      </c>
      <c r="AT39" s="591">
        <f t="shared" ref="AT39:BB39" si="153">SUM(AT40:AT44)</f>
        <v>-295.63798929452349</v>
      </c>
      <c r="AU39" s="591">
        <f t="shared" si="153"/>
        <v>-338.18155385733991</v>
      </c>
      <c r="AV39" s="591">
        <f t="shared" si="153"/>
        <v>-553.50348194987566</v>
      </c>
      <c r="AW39" s="591">
        <f t="shared" si="153"/>
        <v>-1196.8890056628397</v>
      </c>
      <c r="AX39" s="591">
        <f t="shared" si="153"/>
        <v>-1626.8176805003932</v>
      </c>
      <c r="AY39" s="591">
        <f t="shared" si="153"/>
        <v>-2729.15818979195</v>
      </c>
      <c r="AZ39" s="591">
        <f t="shared" si="153"/>
        <v>-3101.1357659374498</v>
      </c>
      <c r="BA39" s="591">
        <f t="shared" si="153"/>
        <v>-3471.4506491296625</v>
      </c>
      <c r="BB39" s="591">
        <f t="shared" si="153"/>
        <v>-3837.7441427111071</v>
      </c>
      <c r="BC39" s="591">
        <f t="shared" ref="BC39:BG39" si="154">SUM(BC40:BC44)</f>
        <v>-4106.0143469049699</v>
      </c>
      <c r="BD39" s="591">
        <f t="shared" si="154"/>
        <v>-4372.4167957399277</v>
      </c>
      <c r="BE39" s="591">
        <f t="shared" si="154"/>
        <v>-4636.9920917281088</v>
      </c>
      <c r="BF39" s="591">
        <f t="shared" si="154"/>
        <v>-4899.7800990798996</v>
      </c>
      <c r="BG39" s="591">
        <f t="shared" si="154"/>
        <v>-5160.8822330042476</v>
      </c>
      <c r="BH39" s="1214">
        <f>AR39-Z39</f>
        <v>8.4072660902675125</v>
      </c>
      <c r="BK39" s="587" t="s">
        <v>38</v>
      </c>
      <c r="BM39" s="648" t="s">
        <v>388</v>
      </c>
      <c r="BN39" s="590"/>
      <c r="BO39" s="541">
        <f>BO$9-SUMPRODUCT('EE Measures'!BH$8:BH$86,'EE Measures'!$S$8:$S$86,'EE Measures'!$IJ$8:$IJ$86)</f>
        <v>9992.5181844488161</v>
      </c>
      <c r="BP39" s="541">
        <f>BP$9-SUMPRODUCT('EE Measures'!BI$8:BI$86,'EE Measures'!$S$8:$S$86,'EE Measures'!$IJ$8:$IJ$86)</f>
        <v>10367.301701849321</v>
      </c>
      <c r="BQ39" s="541">
        <f>BQ$9-SUMPRODUCT('EE Measures'!BJ$8:BJ$86,'EE Measures'!$S$8:$S$86,'EE Measures'!$IJ$8:$IJ$86)</f>
        <v>10410.57813854057</v>
      </c>
      <c r="BR39" s="541">
        <f>BR$9-SUMPRODUCT('EE Measures'!BK$8:BK$86,'EE Measures'!$S$8:$S$86,'EE Measures'!$IJ$8:$IJ$86)</f>
        <v>10364.867979603672</v>
      </c>
      <c r="BS39" s="541">
        <f>BS$9-SUMPRODUCT('EE Measures'!BL$8:BL$86,'EE Measures'!$S$8:$S$86,'EE Measures'!$IJ$8:$IJ$86)</f>
        <v>10138.734154998498</v>
      </c>
      <c r="BT39" s="541">
        <f>BT$9-SUMPRODUCT('EE Measures'!BM$8:BM$86,'EE Measures'!$S$8:$S$86,'EE Measures'!$IJ$8:$IJ$86)</f>
        <v>10069.358524937166</v>
      </c>
      <c r="BU39" s="541">
        <f>BU$9-SUMPRODUCT('EE Measures'!BN$8:BN$86,'EE Measures'!$S$8:$S$86,'EE Measures'!$IJ$8:$IJ$86)</f>
        <v>9385.5344523055064</v>
      </c>
      <c r="BV39" s="541">
        <f>BV$9-SUMPRODUCT('EE Measures'!BO$8:BO$86,'EE Measures'!$S$8:$S$86,'EE Measures'!$IJ$8:$IJ$86)</f>
        <v>9324.2592977922741</v>
      </c>
      <c r="BW39" s="541">
        <f>BW$9-SUMPRODUCT('EE Measures'!BP$8:BP$86,'EE Measures'!$S$8:$S$86,'EE Measures'!$IJ$8:$IJ$86)</f>
        <v>9265.2985099188063</v>
      </c>
      <c r="BX39" s="541">
        <f>BX$9-SUMPRODUCT('EE Measures'!BQ$8:BQ$86,'EE Measures'!$S$8:$S$86,'EE Measures'!$IJ$8:$IJ$86)</f>
        <v>9210.8171130211231</v>
      </c>
      <c r="BY39" s="541">
        <f>BY$9-SUMPRODUCT('EE Measures'!BR$8:BR$86,'EE Measures'!$S$8:$S$86,'EE Measures'!$IJ$8:$IJ$86)</f>
        <v>9244.2768469526254</v>
      </c>
      <c r="BZ39" s="541">
        <f>BZ$9-SUMPRODUCT('EE Measures'!BS$8:BS$86,'EE Measures'!$S$8:$S$86,'EE Measures'!$IJ$8:$IJ$86)</f>
        <v>9280.3782575992191</v>
      </c>
      <c r="CA39" s="541">
        <f>CA$9-SUMPRODUCT('EE Measures'!BT$8:BT$86,'EE Measures'!$S$8:$S$86,'EE Measures'!$IJ$8:$IJ$86)</f>
        <v>9319.13275732896</v>
      </c>
      <c r="CB39" s="541">
        <f>CB$9-SUMPRODUCT('EE Measures'!BU$8:BU$86,'EE Measures'!$S$8:$S$86,'EE Measures'!$IJ$8:$IJ$86)</f>
        <v>9360.5525028044722</v>
      </c>
      <c r="CC39" s="541">
        <f>CC$9-SUMPRODUCT('EE Measures'!BV$8:BV$86,'EE Measures'!$S$8:$S$86,'EE Measures'!$IJ$8:$IJ$86)</f>
        <v>9404.6503947253659</v>
      </c>
    </row>
    <row r="40" spans="3:81" outlineLevel="1" x14ac:dyDescent="0.3">
      <c r="C40" s="587" t="str">
        <f>C39</f>
        <v>EET</v>
      </c>
      <c r="E40" s="563" t="s">
        <v>50</v>
      </c>
      <c r="F40" s="592">
        <f>SUM(G40:P40)</f>
        <v>47457.793229295443</v>
      </c>
      <c r="G40" s="593">
        <f t="shared" ref="G40:P40" si="155">G$10+AA40</f>
        <v>4292.8294941331924</v>
      </c>
      <c r="H40" s="593">
        <f t="shared" si="155"/>
        <v>4685.8298233046435</v>
      </c>
      <c r="I40" s="593">
        <f t="shared" si="155"/>
        <v>4741.3140790213711</v>
      </c>
      <c r="J40" s="593">
        <f t="shared" si="155"/>
        <v>4765.8210928590015</v>
      </c>
      <c r="K40" s="593">
        <f t="shared" si="155"/>
        <v>4743.7644391386448</v>
      </c>
      <c r="L40" s="593">
        <f t="shared" si="155"/>
        <v>4748.7654209992261</v>
      </c>
      <c r="M40" s="593">
        <f t="shared" si="155"/>
        <v>4770.6423316677847</v>
      </c>
      <c r="N40" s="593">
        <f t="shared" si="155"/>
        <v>4836.0404056533716</v>
      </c>
      <c r="O40" s="593">
        <f t="shared" si="155"/>
        <v>4902.5620245948103</v>
      </c>
      <c r="P40" s="593">
        <f t="shared" si="155"/>
        <v>4970.224117923397</v>
      </c>
      <c r="Q40" s="593">
        <f t="shared" ref="Q40:U40" si="156">Q$10+AK40</f>
        <v>5039.043869387875</v>
      </c>
      <c r="R40" s="593">
        <f t="shared" si="156"/>
        <v>5109.0387209360433</v>
      </c>
      <c r="S40" s="593">
        <f t="shared" si="156"/>
        <v>5180.2263766558708</v>
      </c>
      <c r="T40" s="593">
        <f t="shared" si="156"/>
        <v>5252.6248067766637</v>
      </c>
      <c r="U40" s="593">
        <f t="shared" si="156"/>
        <v>5326.2522517307698</v>
      </c>
      <c r="V40"/>
      <c r="W40"/>
      <c r="Y40" s="563" t="s">
        <v>50</v>
      </c>
      <c r="Z40" s="592">
        <f>SUM(AA40:AJ40)</f>
        <v>-2674.992389952225</v>
      </c>
      <c r="AA40" s="593">
        <f>-SUMPRODUCT('EE Measures'!BH$8:BH$86,'EE Measures'!$N$8:$N$86,'EE Measures'!$IJ$8:$IJ$86)</f>
        <v>-105.78161697791808</v>
      </c>
      <c r="AB40" s="593">
        <f>-SUMPRODUCT('EE Measures'!BI$8:BI$86,'EE Measures'!$N$8:$N$86,'EE Measures'!$IJ$8:$IJ$86)</f>
        <v>-111.10906558424406</v>
      </c>
      <c r="AC40" s="593">
        <f>-SUMPRODUCT('EE Measures'!BJ$8:BJ$86,'EE Measures'!$N$8:$N$86,'EE Measures'!$IJ$8:$IJ$86)</f>
        <v>-113.18807653418617</v>
      </c>
      <c r="AD40" s="593">
        <f>-SUMPRODUCT('EE Measures'!BK$8:BK$86,'EE Measures'!$N$8:$N$86,'EE Measures'!$IJ$8:$IJ$86)</f>
        <v>-161.49859502988676</v>
      </c>
      <c r="AE40" s="593">
        <f>-SUMPRODUCT('EE Measures'!BL$8:BL$86,'EE Measures'!$N$8:$N$86,'EE Measures'!$IJ$8:$IJ$86)</f>
        <v>-257.46504406857508</v>
      </c>
      <c r="AF40" s="593">
        <f>-SUMPRODUCT('EE Measures'!BM$8:BM$86,'EE Measures'!$N$8:$N$86,'EE Measures'!$IJ$8:$IJ$86)</f>
        <v>-327.48250445610171</v>
      </c>
      <c r="AG40" s="593">
        <f>-SUMPRODUCT('EE Measures'!BN$8:BN$86,'EE Measures'!$N$8:$N$86,'EE Measures'!$IJ$8:$IJ$86)</f>
        <v>-381.74931266937335</v>
      </c>
      <c r="AH40" s="593">
        <f>-SUMPRODUCT('EE Measures'!BO$8:BO$86,'EE Measures'!$N$8:$N$86,'EE Measures'!$IJ$8:$IJ$86)</f>
        <v>-393.6371133488434</v>
      </c>
      <c r="AI40" s="593">
        <f>-SUMPRODUCT('EE Measures'!BP$8:BP$86,'EE Measures'!$N$8:$N$86,'EE Measures'!$IJ$8:$IJ$86)</f>
        <v>-405.56065719243782</v>
      </c>
      <c r="AJ40" s="593">
        <f>-SUMPRODUCT('EE Measures'!BQ$8:BQ$86,'EE Measures'!$N$8:$N$86,'EE Measures'!$IJ$8:$IJ$86)</f>
        <v>-417.52040409065864</v>
      </c>
      <c r="AK40" s="593">
        <f>-SUMPRODUCT('EE Measures'!BR$8:BR$86,'EE Measures'!$N$8:$N$86,'EE Measures'!$IJ$8:$IJ$86)</f>
        <v>-429.51682045639018</v>
      </c>
      <c r="AL40" s="593">
        <f>-SUMPRODUCT('EE Measures'!BS$8:BS$86,'EE Measures'!$N$8:$N$86,'EE Measures'!$IJ$8:$IJ$86)</f>
        <v>-441.55037925588715</v>
      </c>
      <c r="AM40" s="593">
        <f>-SUMPRODUCT('EE Measures'!BT$8:BT$86,'EE Measures'!$N$8:$N$86,'EE Measures'!$IJ$8:$IJ$86)</f>
        <v>-453.62156003893796</v>
      </c>
      <c r="AN40" s="593">
        <f>-SUMPRODUCT('EE Measures'!BU$8:BU$86,'EE Measures'!$N$8:$N$86,'EE Measures'!$IJ$8:$IJ$86)</f>
        <v>-465.73084896856551</v>
      </c>
      <c r="AO40" s="593">
        <f>-SUMPRODUCT('EE Measures'!BV$8:BV$86,'EE Measures'!$N$8:$N$86,'EE Measures'!$IJ$8:$IJ$86)</f>
        <v>-477.87873885063908</v>
      </c>
      <c r="AP40" s="898">
        <f t="shared" si="24"/>
        <v>-4613.2119784262959</v>
      </c>
      <c r="AQ40" s="554" t="str" cm="1">
        <f t="array" ref="AQ40:AQ44">_xlfn.ANCHORARRAY(AQ34)</f>
        <v xml:space="preserve">Põhja-Eesti </v>
      </c>
      <c r="AR40" s="592">
        <f>SUM(AS40:BB40)</f>
        <v>-8971.8738695259308</v>
      </c>
      <c r="AS40" s="593">
        <f>-SUMPRODUCT('EE Measures'!BH$8:BH$86,'EE Measures'!$Y$8:$Y$86,'EE Measures'!$IJ$8:$IJ$86)</f>
        <v>-126.72865578415012</v>
      </c>
      <c r="AT40" s="593">
        <f>-SUMPRODUCT('EE Measures'!BI$8:BI$86,'EE Measures'!$Y$8:$Y$86,'EE Measures'!$IJ$8:$IJ$86)</f>
        <v>-150.50341359041735</v>
      </c>
      <c r="AU40" s="593">
        <f>-SUMPRODUCT('EE Measures'!BJ$8:BJ$86,'EE Measures'!$Y$8:$Y$86,'EE Measures'!$IJ$8:$IJ$86)</f>
        <v>-169.08355798689033</v>
      </c>
      <c r="AV40" s="593">
        <f>-SUMPRODUCT('EE Measures'!BK$8:BK$86,'EE Measures'!$Y$8:$Y$86,'EE Measures'!$IJ$8:$IJ$86)</f>
        <v>-268.97228958217028</v>
      </c>
      <c r="AW40" s="593">
        <f>-SUMPRODUCT('EE Measures'!BL$8:BL$86,'EE Measures'!$Y$8:$Y$86,'EE Measures'!$IJ$8:$IJ$86)</f>
        <v>-637.01841746374964</v>
      </c>
      <c r="AX40" s="593">
        <f>-SUMPRODUCT('EE Measures'!BM$8:BM$86,'EE Measures'!$Y$8:$Y$86,'EE Measures'!$IJ$8:$IJ$86)</f>
        <v>-856.77775190211389</v>
      </c>
      <c r="AY40" s="593">
        <f>-SUMPRODUCT('EE Measures'!BN$8:BN$86,'EE Measures'!$Y$8:$Y$86,'EE Measures'!$IJ$8:$IJ$86)</f>
        <v>-1409.7541773119829</v>
      </c>
      <c r="AZ40" s="593">
        <f>-SUMPRODUCT('EE Measures'!BO$8:BO$86,'EE Measures'!$Y$8:$Y$86,'EE Measures'!$IJ$8:$IJ$86)</f>
        <v>-1597.6211360853595</v>
      </c>
      <c r="BA40" s="593">
        <f>-SUMPRODUCT('EE Measures'!BP$8:BP$86,'EE Measures'!$Y$8:$Y$86,'EE Measures'!$IJ$8:$IJ$86)</f>
        <v>-1784.9073468319395</v>
      </c>
      <c r="BB40" s="593">
        <f>-SUMPRODUCT('EE Measures'!BQ$8:BQ$86,'EE Measures'!$Y$8:$Y$86,'EE Measures'!$IJ$8:$IJ$86)</f>
        <v>-1970.5071229871589</v>
      </c>
      <c r="BC40" s="593">
        <f>-SUMPRODUCT('EE Measures'!BR$8:BR$86,'EE Measures'!$Y$8:$Y$86,'EE Measures'!$IJ$8:$IJ$86)</f>
        <v>-2078.2440158174691</v>
      </c>
      <c r="BD40" s="593">
        <f>-SUMPRODUCT('EE Measures'!BS$8:BS$86,'EE Measures'!$Y$8:$Y$86,'EE Measures'!$IJ$8:$IJ$86)</f>
        <v>-2185.2931411181876</v>
      </c>
      <c r="BE40" s="593">
        <f>-SUMPRODUCT('EE Measures'!BT$8:BT$86,'EE Measures'!$Y$8:$Y$86,'EE Measures'!$IJ$8:$IJ$86)</f>
        <v>-2291.66987085952</v>
      </c>
      <c r="BF40" s="593">
        <f>-SUMPRODUCT('EE Measures'!BU$8:BU$86,'EE Measures'!$Y$8:$Y$86,'EE Measures'!$IJ$8:$IJ$86)</f>
        <v>-2397.3893025792327</v>
      </c>
      <c r="BG40" s="593">
        <f>-SUMPRODUCT('EE Measures'!BV$8:BV$86,'EE Measures'!$Y$8:$Y$86,'EE Measures'!$IJ$8:$IJ$86)</f>
        <v>-2502.4431325967389</v>
      </c>
      <c r="BH40" s="867">
        <f>AR40/$AR$39</f>
        <v>0.51579311427755004</v>
      </c>
      <c r="BK40" s="587" t="s">
        <v>38</v>
      </c>
      <c r="BM40" s="648" t="s">
        <v>389</v>
      </c>
      <c r="BN40" s="592"/>
      <c r="BO40" s="541">
        <f>BO$10-SUMPRODUCT('EE Measures'!BH$8:BH$86,'EE Measures'!$T$8:$T$86,'EE Measures'!$IJ$8:$IJ$86)</f>
        <v>1363.1916744793882</v>
      </c>
      <c r="BP40" s="541">
        <f>BP$10-SUMPRODUCT('EE Measures'!BI$8:BI$86,'EE Measures'!$T$8:$T$86,'EE Measures'!$IJ$8:$IJ$86)</f>
        <v>1311.2231690929941</v>
      </c>
      <c r="BQ40" s="541">
        <f>BQ$10-SUMPRODUCT('EE Measures'!BJ$8:BJ$86,'EE Measures'!$T$8:$T$86,'EE Measures'!$IJ$8:$IJ$86)</f>
        <v>1325.8557634960321</v>
      </c>
      <c r="BR40" s="541">
        <f>BR$10-SUMPRODUCT('EE Measures'!BK$8:BK$86,'EE Measures'!$T$8:$T$86,'EE Measures'!$IJ$8:$IJ$86)</f>
        <v>1320.121559631323</v>
      </c>
      <c r="BS40" s="541">
        <f>BS$10-SUMPRODUCT('EE Measures'!BL$8:BL$86,'EE Measures'!$T$8:$T$86,'EE Measures'!$IJ$8:$IJ$86)</f>
        <v>1304.6125826398491</v>
      </c>
      <c r="BT40" s="541">
        <f>BT$10-SUMPRODUCT('EE Measures'!BM$8:BM$86,'EE Measures'!$T$8:$T$86,'EE Measures'!$IJ$8:$IJ$86)</f>
        <v>1304.2930574856011</v>
      </c>
      <c r="BU40" s="541">
        <f>BU$10-SUMPRODUCT('EE Measures'!BN$8:BN$86,'EE Measures'!$T$8:$T$86,'EE Measures'!$IJ$8:$IJ$86)</f>
        <v>1293.7159045374333</v>
      </c>
      <c r="BV40" s="541">
        <f>BV$10-SUMPRODUCT('EE Measures'!BO$8:BO$86,'EE Measures'!$T$8:$T$86,'EE Measures'!$IJ$8:$IJ$86)</f>
        <v>1307.6494827034489</v>
      </c>
      <c r="BW40" s="541">
        <f>BW$10-SUMPRODUCT('EE Measures'!BP$8:BP$86,'EE Measures'!$T$8:$T$86,'EE Measures'!$IJ$8:$IJ$86)</f>
        <v>1321.8567539809874</v>
      </c>
      <c r="BX40" s="541">
        <f>BX$10-SUMPRODUCT('EE Measures'!BQ$8:BQ$86,'EE Measures'!$T$8:$T$86,'EE Measures'!$IJ$8:$IJ$86)</f>
        <v>1336.3912418937884</v>
      </c>
      <c r="BY40" s="541">
        <f>BY$10-SUMPRODUCT('EE Measures'!BR$8:BR$86,'EE Measures'!$T$8:$T$86,'EE Measures'!$IJ$8:$IJ$86)</f>
        <v>1353.2884991380524</v>
      </c>
      <c r="BZ40" s="541">
        <f>BZ$10-SUMPRODUCT('EE Measures'!BS$8:BS$86,'EE Measures'!$T$8:$T$86,'EE Measures'!$IJ$8:$IJ$86)</f>
        <v>1370.4787886178094</v>
      </c>
      <c r="CA40" s="541">
        <f>CA$10-SUMPRODUCT('EE Measures'!BT$8:BT$86,'EE Measures'!$T$8:$T$86,'EE Measures'!$IJ$8:$IJ$86)</f>
        <v>1387.9664078830772</v>
      </c>
      <c r="CB40" s="541">
        <f>CB$10-SUMPRODUCT('EE Measures'!BU$8:BU$86,'EE Measures'!$T$8:$T$86,'EE Measures'!$IJ$8:$IJ$86)</f>
        <v>1405.7557182031796</v>
      </c>
      <c r="CC40" s="541">
        <f>CC$10-SUMPRODUCT('EE Measures'!BV$8:BV$86,'EE Measures'!$T$8:$T$86,'EE Measures'!$IJ$8:$IJ$86)</f>
        <v>1423.851145498659</v>
      </c>
    </row>
    <row r="41" spans="3:81" outlineLevel="1" x14ac:dyDescent="0.3">
      <c r="C41" s="587" t="str">
        <f t="shared" ref="C41:C44" si="157">C40</f>
        <v>EET</v>
      </c>
      <c r="E41" s="563" t="s">
        <v>51</v>
      </c>
      <c r="F41" s="592">
        <f t="shared" ref="F41:F44" si="158">SUM(G41:P41)</f>
        <v>102735.49551839386</v>
      </c>
      <c r="G41" s="593">
        <f t="shared" ref="G41:P41" si="159">G$11+AA41</f>
        <v>10505.541297169239</v>
      </c>
      <c r="H41" s="593">
        <f t="shared" si="159"/>
        <v>10518.620321098373</v>
      </c>
      <c r="I41" s="593">
        <f t="shared" si="159"/>
        <v>10532.318330770775</v>
      </c>
      <c r="J41" s="593">
        <f t="shared" si="159"/>
        <v>10525.77148268684</v>
      </c>
      <c r="K41" s="593">
        <f t="shared" si="159"/>
        <v>10389.796883640956</v>
      </c>
      <c r="L41" s="593">
        <f t="shared" si="159"/>
        <v>10270.633307577067</v>
      </c>
      <c r="M41" s="593">
        <f t="shared" si="159"/>
        <v>10159.051707047651</v>
      </c>
      <c r="N41" s="593">
        <f t="shared" si="159"/>
        <v>10050.15650157293</v>
      </c>
      <c r="O41" s="593">
        <f t="shared" si="159"/>
        <v>9943.7606770969542</v>
      </c>
      <c r="P41" s="593">
        <f t="shared" si="159"/>
        <v>9839.8450097330606</v>
      </c>
      <c r="Q41" s="593">
        <f t="shared" ref="Q41:U41" si="160">Q$11+AK41</f>
        <v>9738.3910553213718</v>
      </c>
      <c r="R41" s="593">
        <f t="shared" si="160"/>
        <v>9639.3811392939133</v>
      </c>
      <c r="S41" s="593">
        <f t="shared" si="160"/>
        <v>9542.7983468421717</v>
      </c>
      <c r="T41" s="593">
        <f t="shared" si="160"/>
        <v>9448.6265133820525</v>
      </c>
      <c r="U41" s="593">
        <f t="shared" si="160"/>
        <v>9357.1873715648107</v>
      </c>
      <c r="V41"/>
      <c r="W41"/>
      <c r="Y41" s="563" t="s">
        <v>51</v>
      </c>
      <c r="Z41" s="592">
        <f t="shared" ref="Z41:Z44" si="161">SUM(AA41:AJ41)</f>
        <v>-4159.9360800979903</v>
      </c>
      <c r="AA41" s="593">
        <f>-SUMPRODUCT('EE Measures'!BH$8:BH$86,'EE Measures'!$O$8:$O$86,'EE Measures'!$IJ$8:$IJ$86)</f>
        <v>-30.340202830761658</v>
      </c>
      <c r="AB41" s="593">
        <f>-SUMPRODUCT('EE Measures'!BI$8:BI$86,'EE Measures'!$O$8:$O$86,'EE Measures'!$IJ$8:$IJ$86)</f>
        <v>-46.612077339128874</v>
      </c>
      <c r="AC41" s="593">
        <f>-SUMPRODUCT('EE Measures'!BJ$8:BJ$86,'EE Measures'!$O$8:$O$86,'EE Measures'!$IJ$8:$IJ$86)</f>
        <v>-63.705850271813944</v>
      </c>
      <c r="AD41" s="593">
        <f>-SUMPRODUCT('EE Measures'!BK$8:BK$86,'EE Measures'!$O$8:$O$86,'EE Measures'!$IJ$8:$IJ$86)</f>
        <v>-102.50393154079981</v>
      </c>
      <c r="AE41" s="593">
        <f>-SUMPRODUCT('EE Measures'!BL$8:BL$86,'EE Measures'!$O$8:$O$86,'EE Measures'!$IJ$8:$IJ$86)</f>
        <v>-272.20817426562701</v>
      </c>
      <c r="AF41" s="593">
        <f>-SUMPRODUCT('EE Measures'!BM$8:BM$86,'EE Measures'!$O$8:$O$86,'EE Measures'!$IJ$8:$IJ$86)</f>
        <v>-426.59916455781149</v>
      </c>
      <c r="AG41" s="593">
        <f>-SUMPRODUCT('EE Measures'!BN$8:BN$86,'EE Measures'!$O$8:$O$86,'EE Measures'!$IJ$8:$IJ$86)</f>
        <v>-579.39874797764162</v>
      </c>
      <c r="AH41" s="593">
        <f>-SUMPRODUCT('EE Measures'!BO$8:BO$86,'EE Measures'!$O$8:$O$86,'EE Measures'!$IJ$8:$IJ$86)</f>
        <v>-730.47285608689583</v>
      </c>
      <c r="AI41" s="593">
        <f>-SUMPRODUCT('EE Measures'!BP$8:BP$86,'EE Measures'!$O$8:$O$86,'EE Measures'!$IJ$8:$IJ$86)</f>
        <v>-880.02079859178184</v>
      </c>
      <c r="AJ41" s="593">
        <f>-SUMPRODUCT('EE Measures'!BQ$8:BQ$86,'EE Measures'!$O$8:$O$86,'EE Measures'!$IJ$8:$IJ$86)</f>
        <v>-1028.074276635728</v>
      </c>
      <c r="AK41" s="593">
        <f>-SUMPRODUCT('EE Measures'!BR$8:BR$86,'EE Measures'!$O$8:$O$86,'EE Measures'!$IJ$8:$IJ$86)</f>
        <v>-1174.6643958158024</v>
      </c>
      <c r="AL41" s="593">
        <f>-SUMPRODUCT('EE Measures'!BS$8:BS$86,'EE Measures'!$O$8:$O$86,'EE Measures'!$IJ$8:$IJ$86)</f>
        <v>-1319.8216789284743</v>
      </c>
      <c r="AM41" s="593">
        <f>-SUMPRODUCT('EE Measures'!BT$8:BT$86,'EE Measures'!$O$8:$O$86,'EE Measures'!$IJ$8:$IJ$86)</f>
        <v>-1463.576078450378</v>
      </c>
      <c r="AN41" s="593">
        <f>-SUMPRODUCT('EE Measures'!BU$8:BU$86,'EE Measures'!$O$8:$O$86,'EE Measures'!$IJ$8:$IJ$86)</f>
        <v>-1605.9569887596874</v>
      </c>
      <c r="AO41" s="593">
        <f>-SUMPRODUCT('EE Measures'!BV$8:BV$86,'EE Measures'!$O$8:$O$86,'EE Measures'!$IJ$8:$IJ$86)</f>
        <v>-1746.6561018500479</v>
      </c>
      <c r="AP41" s="898">
        <f t="shared" si="24"/>
        <v>-11329.953193460675</v>
      </c>
      <c r="AQ41" s="554" t="str">
        <v>Lääne-Eesti</v>
      </c>
      <c r="AR41" s="592">
        <f t="shared" ref="AR41:AR44" si="162">SUM(AS41:BB41)</f>
        <v>-2813.5582767112578</v>
      </c>
      <c r="AS41" s="593">
        <f>-SUMPRODUCT('EE Measures'!BH$8:BH$86,'EE Measures'!$Z$8:$Z$86,'EE Measures'!$IJ$8:$IJ$86)</f>
        <v>-20.850352744728511</v>
      </c>
      <c r="AT41" s="593">
        <f>-SUMPRODUCT('EE Measures'!BI$8:BI$86,'EE Measures'!$Z$8:$Z$86,'EE Measures'!$IJ$8:$IJ$86)</f>
        <v>-26.424320582208811</v>
      </c>
      <c r="AU41" s="593">
        <f>-SUMPRODUCT('EE Measures'!BJ$8:BJ$86,'EE Measures'!$Z$8:$Z$86,'EE Measures'!$IJ$8:$IJ$86)</f>
        <v>-31.329782354225937</v>
      </c>
      <c r="AV41" s="593">
        <f>-SUMPRODUCT('EE Measures'!BK$8:BK$86,'EE Measures'!$Z$8:$Z$86,'EE Measures'!$IJ$8:$IJ$86)</f>
        <v>-53.95267348429536</v>
      </c>
      <c r="AW41" s="593">
        <f>-SUMPRODUCT('EE Measures'!BL$8:BL$86,'EE Measures'!$Z$8:$Z$86,'EE Measures'!$IJ$8:$IJ$86)</f>
        <v>-111.99559896038616</v>
      </c>
      <c r="AX41" s="593">
        <f>-SUMPRODUCT('EE Measures'!BM$8:BM$86,'EE Measures'!$Z$8:$Z$86,'EE Measures'!$IJ$8:$IJ$86)</f>
        <v>-157.07388527775896</v>
      </c>
      <c r="AY41" s="593">
        <f>-SUMPRODUCT('EE Measures'!BN$8:BN$86,'EE Measures'!$Z$8:$Z$86,'EE Measures'!$IJ$8:$IJ$86)</f>
        <v>-541.98288345653759</v>
      </c>
      <c r="AZ41" s="593">
        <f>-SUMPRODUCT('EE Measures'!BO$8:BO$86,'EE Measures'!$Z$8:$Z$86,'EE Measures'!$IJ$8:$IJ$86)</f>
        <v>-582.86022941585918</v>
      </c>
      <c r="BA41" s="593">
        <f>-SUMPRODUCT('EE Measures'!BP$8:BP$86,'EE Measures'!$Z$8:$Z$86,'EE Measures'!$IJ$8:$IJ$86)</f>
        <v>-623.48535723896146</v>
      </c>
      <c r="BB41" s="593">
        <f>-SUMPRODUCT('EE Measures'!BQ$8:BQ$86,'EE Measures'!$Z$8:$Z$86,'EE Measures'!$IJ$8:$IJ$86)</f>
        <v>-663.60319319629571</v>
      </c>
      <c r="BC41" s="593">
        <f>-SUMPRODUCT('EE Measures'!BR$8:BR$86,'EE Measures'!$Z$8:$Z$86,'EE Measures'!$IJ$8:$IJ$86)</f>
        <v>-699.12737542162211</v>
      </c>
      <c r="BD41" s="593">
        <f>-SUMPRODUCT('EE Measures'!BS$8:BS$86,'EE Measures'!$Z$8:$Z$86,'EE Measures'!$IJ$8:$IJ$86)</f>
        <v>-734.38105595656475</v>
      </c>
      <c r="BE41" s="593">
        <f>-SUMPRODUCT('EE Measures'!BT$8:BT$86,'EE Measures'!$Z$8:$Z$86,'EE Measures'!$IJ$8:$IJ$86)</f>
        <v>-769.36993314787696</v>
      </c>
      <c r="BF41" s="593">
        <f>-SUMPRODUCT('EE Measures'!BU$8:BU$86,'EE Measures'!$Z$8:$Z$86,'EE Measures'!$IJ$8:$IJ$86)</f>
        <v>-804.09959947930236</v>
      </c>
      <c r="BG41" s="593">
        <f>-SUMPRODUCT('EE Measures'!BV$8:BV$86,'EE Measures'!$Z$8:$Z$86,'EE Measures'!$IJ$8:$IJ$86)</f>
        <v>-838.62506571948313</v>
      </c>
      <c r="BH41" s="867">
        <f>AR41/$AR$39</f>
        <v>0.16175149214652948</v>
      </c>
      <c r="BK41" s="587" t="s">
        <v>38</v>
      </c>
      <c r="BM41" s="648" t="s">
        <v>390</v>
      </c>
      <c r="BN41" s="592"/>
      <c r="BO41" s="541">
        <f>BO$11-SUMPRODUCT('EE Measures'!BH$8:BH$86,'EE Measures'!$U$8:$U$86,'EE Measures'!$IJ$8:$IJ$86)</f>
        <v>5.6006017536074442</v>
      </c>
      <c r="BP41" s="541">
        <f>BP$11-SUMPRODUCT('EE Measures'!BI$8:BI$86,'EE Measures'!$U$8:$U$86,'EE Measures'!$IJ$8:$IJ$86)</f>
        <v>124.57047388607955</v>
      </c>
      <c r="BQ41" s="541">
        <f>BQ$11-SUMPRODUCT('EE Measures'!BJ$8:BJ$86,'EE Measures'!$U$8:$U$86,'EE Measures'!$IJ$8:$IJ$86)</f>
        <v>126.02824055274621</v>
      </c>
      <c r="BR41" s="541">
        <f>BR$11-SUMPRODUCT('EE Measures'!BK$8:BK$86,'EE Measures'!$U$8:$U$86,'EE Measures'!$IJ$8:$IJ$86)</f>
        <v>127.81625990547496</v>
      </c>
      <c r="BS41" s="541">
        <f>BS$11-SUMPRODUCT('EE Measures'!BL$8:BL$86,'EE Measures'!$U$8:$U$86,'EE Measures'!$IJ$8:$IJ$86)</f>
        <v>129.4292231281247</v>
      </c>
      <c r="BT41" s="541">
        <f>BT$11-SUMPRODUCT('EE Measures'!BM$8:BM$86,'EE Measures'!$U$8:$U$86,'EE Measures'!$IJ$8:$IJ$86)</f>
        <v>131.10809983952007</v>
      </c>
      <c r="BU41" s="541">
        <f>BU$11-SUMPRODUCT('EE Measures'!BN$8:BN$86,'EE Measures'!$U$8:$U$86,'EE Measures'!$IJ$8:$IJ$86)</f>
        <v>132.84400824778848</v>
      </c>
      <c r="BV41" s="541">
        <f>BV$11-SUMPRODUCT('EE Measures'!BO$8:BO$86,'EE Measures'!$U$8:$U$86,'EE Measures'!$IJ$8:$IJ$86)</f>
        <v>134.74697801374464</v>
      </c>
      <c r="BW41" s="541">
        <f>BW$11-SUMPRODUCT('EE Measures'!BP$8:BP$86,'EE Measures'!$U$8:$U$86,'EE Measures'!$IJ$8:$IJ$86)</f>
        <v>136.67930628689166</v>
      </c>
      <c r="BX41" s="541">
        <f>BX$11-SUMPRODUCT('EE Measures'!BQ$8:BQ$86,'EE Measures'!$U$8:$U$86,'EE Measures'!$IJ$8:$IJ$86)</f>
        <v>138.64143344483747</v>
      </c>
      <c r="BY41" s="541">
        <f>BY$11-SUMPRODUCT('EE Measures'!BR$8:BR$86,'EE Measures'!$U$8:$U$86,'EE Measures'!$IJ$8:$IJ$86)</f>
        <v>140.65668283754869</v>
      </c>
      <c r="BZ41" s="541">
        <f>BZ$11-SUMPRODUCT('EE Measures'!BS$8:BS$86,'EE Measures'!$U$8:$U$86,'EE Measures'!$IJ$8:$IJ$86)</f>
        <v>142.70263178635162</v>
      </c>
      <c r="CA41" s="541">
        <f>CA$11-SUMPRODUCT('EE Measures'!BT$8:BT$86,'EE Measures'!$U$8:$U$86,'EE Measures'!$IJ$8:$IJ$86)</f>
        <v>144.77974078458777</v>
      </c>
      <c r="CB41" s="541">
        <f>CB$11-SUMPRODUCT('EE Measures'!BU$8:BU$86,'EE Measures'!$U$8:$U$86,'EE Measures'!$IJ$8:$IJ$86)</f>
        <v>146.88847723299853</v>
      </c>
      <c r="CC41" s="541">
        <f>CC$11-SUMPRODUCT('EE Measures'!BV$8:BV$86,'EE Measures'!$U$8:$U$86,'EE Measures'!$IJ$8:$IJ$86)</f>
        <v>149.02931554333659</v>
      </c>
    </row>
    <row r="42" spans="3:81" outlineLevel="1" x14ac:dyDescent="0.3">
      <c r="C42" s="587" t="str">
        <f t="shared" si="157"/>
        <v>EET</v>
      </c>
      <c r="E42" s="563" t="s">
        <v>52</v>
      </c>
      <c r="F42" s="592">
        <f t="shared" si="158"/>
        <v>53504.116877871158</v>
      </c>
      <c r="G42" s="593">
        <f t="shared" ref="G42:P42" si="163">G$12+AA42</f>
        <v>5337.3640280558666</v>
      </c>
      <c r="H42" s="593">
        <f t="shared" si="163"/>
        <v>5361.642849994173</v>
      </c>
      <c r="I42" s="593">
        <f t="shared" si="163"/>
        <v>5391.2699254265435</v>
      </c>
      <c r="J42" s="593">
        <f t="shared" si="163"/>
        <v>5408.4641743286256</v>
      </c>
      <c r="K42" s="593">
        <f t="shared" si="163"/>
        <v>5379.4368908204769</v>
      </c>
      <c r="L42" s="593">
        <f t="shared" si="163"/>
        <v>5359.0515572670438</v>
      </c>
      <c r="M42" s="593">
        <f t="shared" si="163"/>
        <v>5340.6154962880883</v>
      </c>
      <c r="N42" s="593">
        <f t="shared" si="163"/>
        <v>5323.6815359227012</v>
      </c>
      <c r="O42" s="593">
        <f t="shared" si="163"/>
        <v>5308.2537403561983</v>
      </c>
      <c r="P42" s="593">
        <f t="shared" si="163"/>
        <v>5294.3366794114399</v>
      </c>
      <c r="Q42" s="593">
        <f t="shared" ref="Q42:U42" si="164">Q$12+AK42</f>
        <v>5281.9354298023527</v>
      </c>
      <c r="R42" s="593">
        <f t="shared" si="164"/>
        <v>5271.0555765849203</v>
      </c>
      <c r="S42" s="593">
        <f t="shared" si="164"/>
        <v>5261.7032148060207</v>
      </c>
      <c r="T42" s="593">
        <f t="shared" si="164"/>
        <v>5253.8849513506275</v>
      </c>
      <c r="U42" s="593">
        <f t="shared" si="164"/>
        <v>5247.2084774079776</v>
      </c>
      <c r="V42"/>
      <c r="W42"/>
      <c r="Y42" s="563" t="s">
        <v>52</v>
      </c>
      <c r="Z42" s="592">
        <f t="shared" si="161"/>
        <v>-1915.7959570342364</v>
      </c>
      <c r="AA42" s="593">
        <f>-SUMPRODUCT('EE Measures'!BH$8:BH$86,'EE Measures'!$P$8:$P$86,'EE Measures'!$IJ$8:$IJ$86)</f>
        <v>-47.711671944133144</v>
      </c>
      <c r="AB42" s="593">
        <f>-SUMPRODUCT('EE Measures'!BI$8:BI$86,'EE Measures'!$P$8:$P$86,'EE Measures'!$IJ$8:$IJ$86)</f>
        <v>-55.599480709088851</v>
      </c>
      <c r="AC42" s="593">
        <f>-SUMPRODUCT('EE Measures'!BJ$8:BJ$86,'EE Measures'!$P$8:$P$86,'EE Measures'!$IJ$8:$IJ$86)</f>
        <v>-59.098718809684456</v>
      </c>
      <c r="AD42" s="593">
        <f>-SUMPRODUCT('EE Measures'!BK$8:BK$86,'EE Measures'!$P$8:$P$86,'EE Measures'!$IJ$8:$IJ$86)</f>
        <v>-76.004420747916299</v>
      </c>
      <c r="AE42" s="593">
        <f>-SUMPRODUCT('EE Measures'!BL$8:BL$86,'EE Measures'!$P$8:$P$86,'EE Measures'!$IJ$8:$IJ$86)</f>
        <v>-140.11954101363187</v>
      </c>
      <c r="AF42" s="593">
        <f>-SUMPRODUCT('EE Measures'!BM$8:BM$86,'EE Measures'!$P$8:$P$86,'EE Measures'!$IJ$8:$IJ$86)</f>
        <v>-196.59514534727231</v>
      </c>
      <c r="AG42" s="593">
        <f>-SUMPRODUCT('EE Measures'!BN$8:BN$86,'EE Measures'!$P$8:$P$86,'EE Measures'!$IJ$8:$IJ$86)</f>
        <v>-252.53902493697927</v>
      </c>
      <c r="AH42" s="593">
        <f>-SUMPRODUCT('EE Measures'!BO$8:BO$86,'EE Measures'!$P$8:$P$86,'EE Measures'!$IJ$8:$IJ$86)</f>
        <v>-307.96225302035884</v>
      </c>
      <c r="AI42" s="593">
        <f>-SUMPRODUCT('EE Measures'!BP$8:BP$86,'EE Measures'!$P$8:$P$86,'EE Measures'!$IJ$8:$IJ$86)</f>
        <v>-362.87569377623271</v>
      </c>
      <c r="AJ42" s="593">
        <f>-SUMPRODUCT('EE Measures'!BQ$8:BQ$86,'EE Measures'!$P$8:$P$86,'EE Measures'!$IJ$8:$IJ$86)</f>
        <v>-417.29000672893847</v>
      </c>
      <c r="AK42" s="593">
        <f>-SUMPRODUCT('EE Measures'!BR$8:BR$86,'EE Measures'!$P$8:$P$86,'EE Measures'!$IJ$8:$IJ$86)</f>
        <v>-471.21565106381547</v>
      </c>
      <c r="AL42" s="593">
        <f>-SUMPRODUCT('EE Measures'!BS$8:BS$86,'EE Measures'!$P$8:$P$86,'EE Measures'!$IJ$8:$IJ$86)</f>
        <v>-524.66288985564631</v>
      </c>
      <c r="AM42" s="593">
        <f>-SUMPRODUCT('EE Measures'!BT$8:BT$86,'EE Measures'!$P$8:$P$86,'EE Measures'!$IJ$8:$IJ$86)</f>
        <v>-577.64179421180427</v>
      </c>
      <c r="AN42" s="593">
        <f>-SUMPRODUCT('EE Measures'!BU$8:BU$86,'EE Measures'!$P$8:$P$86,'EE Measures'!$IJ$8:$IJ$86)</f>
        <v>-630.16224733184083</v>
      </c>
      <c r="AO42" s="593">
        <f>-SUMPRODUCT('EE Measures'!BV$8:BV$86,'EE Measures'!$P$8:$P$86,'EE Measures'!$IJ$8:$IJ$86)</f>
        <v>-682.63337806516529</v>
      </c>
      <c r="AP42" s="898">
        <f t="shared" si="24"/>
        <v>-4639.7020460996018</v>
      </c>
      <c r="AQ42" s="554" t="str">
        <v>Kirde-Eesti</v>
      </c>
      <c r="AR42" s="592">
        <f t="shared" si="162"/>
        <v>-1270.0246063293812</v>
      </c>
      <c r="AS42" s="593">
        <f>-SUMPRODUCT('EE Measures'!BH$8:BH$86,'EE Measures'!$AA$8:$AA$86,'EE Measures'!$IJ$8:$IJ$86)</f>
        <v>-23.815853131249778</v>
      </c>
      <c r="AT42" s="593">
        <f>-SUMPRODUCT('EE Measures'!BI$8:BI$86,'EE Measures'!$AA$8:$AA$86,'EE Measures'!$IJ$8:$IJ$86)</f>
        <v>-28.915539106266223</v>
      </c>
      <c r="AU42" s="593">
        <f>-SUMPRODUCT('EE Measures'!BJ$8:BJ$86,'EE Measures'!$AA$8:$AA$86,'EE Measures'!$IJ$8:$IJ$86)</f>
        <v>-32.908022668847948</v>
      </c>
      <c r="AV42" s="593">
        <f>-SUMPRODUCT('EE Measures'!BK$8:BK$86,'EE Measures'!$AA$8:$AA$86,'EE Measures'!$IJ$8:$IJ$86)</f>
        <v>-53.760017951436033</v>
      </c>
      <c r="AW42" s="593">
        <f>-SUMPRODUCT('EE Measures'!BL$8:BL$86,'EE Measures'!$AA$8:$AA$86,'EE Measures'!$IJ$8:$IJ$86)</f>
        <v>-103.12864277355769</v>
      </c>
      <c r="AX42" s="593">
        <f>-SUMPRODUCT('EE Measures'!BM$8:BM$86,'EE Measures'!$AA$8:$AA$86,'EE Measures'!$IJ$8:$IJ$86)</f>
        <v>-140.85929149441682</v>
      </c>
      <c r="AY42" s="593">
        <f>-SUMPRODUCT('EE Measures'!BN$8:BN$86,'EE Measures'!$AA$8:$AA$86,'EE Measures'!$IJ$8:$IJ$86)</f>
        <v>-177.04754897103783</v>
      </c>
      <c r="AZ42" s="593">
        <f>-SUMPRODUCT('EE Measures'!BO$8:BO$86,'EE Measures'!$AA$8:$AA$86,'EE Measures'!$IJ$8:$IJ$86)</f>
        <v>-206.95495780153226</v>
      </c>
      <c r="BA42" s="593">
        <f>-SUMPRODUCT('EE Measures'!BP$8:BP$86,'EE Measures'!$AA$8:$AA$86,'EE Measures'!$IJ$8:$IJ$86)</f>
        <v>-236.67044394277747</v>
      </c>
      <c r="BB42" s="593">
        <f>-SUMPRODUCT('EE Measures'!BQ$8:BQ$86,'EE Measures'!$AA$8:$AA$86,'EE Measures'!$IJ$8:$IJ$86)</f>
        <v>-265.96428848825929</v>
      </c>
      <c r="BC42" s="593">
        <f>-SUMPRODUCT('EE Measures'!BR$8:BR$86,'EE Measures'!$AA$8:$AA$86,'EE Measures'!$IJ$8:$IJ$86)</f>
        <v>-293.18776680132555</v>
      </c>
      <c r="BD42" s="593">
        <f>-SUMPRODUCT('EE Measures'!BS$8:BS$86,'EE Measures'!$AA$8:$AA$86,'EE Measures'!$IJ$8:$IJ$86)</f>
        <v>-320.2009844117037</v>
      </c>
      <c r="BE42" s="593">
        <f>-SUMPRODUCT('EE Measures'!BT$8:BT$86,'EE Measures'!$AA$8:$AA$86,'EE Measures'!$IJ$8:$IJ$86)</f>
        <v>-347.0084446093648</v>
      </c>
      <c r="BF42" s="593">
        <f>-SUMPRODUCT('EE Measures'!BU$8:BU$86,'EE Measures'!$AA$8:$AA$86,'EE Measures'!$IJ$8:$IJ$86)</f>
        <v>-373.61456793328097</v>
      </c>
      <c r="BG42" s="593">
        <f>-SUMPRODUCT('EE Measures'!BV$8:BV$86,'EE Measures'!$AA$8:$AA$86,'EE Measures'!$IJ$8:$IJ$86)</f>
        <v>-399.99870741784787</v>
      </c>
      <c r="BH42" s="867">
        <f>AR42/$AR$39</f>
        <v>7.3013726723552858E-2</v>
      </c>
      <c r="BK42" s="587" t="s">
        <v>38</v>
      </c>
      <c r="BM42" s="648" t="s">
        <v>391</v>
      </c>
      <c r="BN42" s="592"/>
      <c r="BO42" s="541">
        <f>BO$12-SUMPRODUCT('EE Measures'!BH$8:BH$86,'EE Measures'!$V$8:$V$86,'EE Measures'!$IJ$8:$IJ$86)</f>
        <v>774.56660441162262</v>
      </c>
      <c r="BP42" s="541">
        <f>BP$12-SUMPRODUCT('EE Measures'!BI$8:BI$86,'EE Measures'!$V$8:$V$86,'EE Measures'!$IJ$8:$IJ$86)</f>
        <v>865.63674165140878</v>
      </c>
      <c r="BQ42" s="541">
        <f>BQ$12-SUMPRODUCT('EE Measures'!BJ$8:BJ$86,'EE Measures'!$V$8:$V$86,'EE Measures'!$IJ$8:$IJ$86)</f>
        <v>871.62335247875421</v>
      </c>
      <c r="BR42" s="541">
        <f>BR$12-SUMPRODUCT('EE Measures'!BK$8:BK$86,'EE Measures'!$V$8:$V$86,'EE Measures'!$IJ$8:$IJ$86)</f>
        <v>877.74500462638014</v>
      </c>
      <c r="BS42" s="541">
        <f>BS$12-SUMPRODUCT('EE Measures'!BL$8:BL$86,'EE Measures'!$V$8:$V$86,'EE Measures'!$IJ$8:$IJ$86)</f>
        <v>864.87724110827685</v>
      </c>
      <c r="BT42" s="541">
        <f>BT$12-SUMPRODUCT('EE Measures'!BM$8:BM$86,'EE Measures'!$V$8:$V$86,'EE Measures'!$IJ$8:$IJ$86)</f>
        <v>860.28009081695336</v>
      </c>
      <c r="BU42" s="541">
        <f>BU$12-SUMPRODUCT('EE Measures'!BN$8:BN$86,'EE Measures'!$V$8:$V$86,'EE Measures'!$IJ$8:$IJ$86)</f>
        <v>812.02988843625894</v>
      </c>
      <c r="BV42" s="541">
        <f>BV$12-SUMPRODUCT('EE Measures'!BO$8:BO$86,'EE Measures'!$V$8:$V$86,'EE Measures'!$IJ$8:$IJ$86)</f>
        <v>810.44738302565975</v>
      </c>
      <c r="BW42" s="541">
        <f>BW$12-SUMPRODUCT('EE Measures'!BP$8:BP$86,'EE Measures'!$V$8:$V$86,'EE Measures'!$IJ$8:$IJ$86)</f>
        <v>809.06686792474613</v>
      </c>
      <c r="BX42" s="541">
        <f>BX$12-SUMPRODUCT('EE Measures'!BQ$8:BQ$86,'EE Measures'!$V$8:$V$86,'EE Measures'!$IJ$8:$IJ$86)</f>
        <v>808.0479836372823</v>
      </c>
      <c r="BY42" s="541">
        <f>BY$12-SUMPRODUCT('EE Measures'!BR$8:BR$86,'EE Measures'!$V$8:$V$86,'EE Measures'!$IJ$8:$IJ$86)</f>
        <v>813.25999654080226</v>
      </c>
      <c r="BZ42" s="541">
        <f>BZ$12-SUMPRODUCT('EE Measures'!BS$8:BS$86,'EE Measures'!$V$8:$V$86,'EE Measures'!$IJ$8:$IJ$86)</f>
        <v>818.70678049271112</v>
      </c>
      <c r="CA42" s="541">
        <f>CA$12-SUMPRODUCT('EE Measures'!BT$8:BT$86,'EE Measures'!$V$8:$V$86,'EE Measures'!$IJ$8:$IJ$86)</f>
        <v>824.3922186453334</v>
      </c>
      <c r="CB42" s="541">
        <f>CB$12-SUMPRODUCT('EE Measures'!BU$8:BU$86,'EE Measures'!$V$8:$V$86,'EE Measures'!$IJ$8:$IJ$86)</f>
        <v>830.32026102569807</v>
      </c>
      <c r="CC42" s="541">
        <f>CC$12-SUMPRODUCT('EE Measures'!BV$8:BV$86,'EE Measures'!$V$8:$V$86,'EE Measures'!$IJ$8:$IJ$86)</f>
        <v>836.49492541310178</v>
      </c>
    </row>
    <row r="43" spans="3:81" outlineLevel="1" x14ac:dyDescent="0.3">
      <c r="C43" s="587" t="str">
        <f t="shared" si="157"/>
        <v>EET</v>
      </c>
      <c r="E43" s="563" t="s">
        <v>53</v>
      </c>
      <c r="F43" s="592">
        <f t="shared" si="158"/>
        <v>93227.790346885784</v>
      </c>
      <c r="G43" s="593">
        <f t="shared" ref="G43:P43" si="165">G$13+AA43</f>
        <v>9663.2257318755801</v>
      </c>
      <c r="H43" s="593">
        <f t="shared" si="165"/>
        <v>9738.1741193571361</v>
      </c>
      <c r="I43" s="593">
        <f t="shared" si="165"/>
        <v>9816.5670330763824</v>
      </c>
      <c r="J43" s="593">
        <f t="shared" si="165"/>
        <v>9812.8155561982658</v>
      </c>
      <c r="K43" s="593">
        <f t="shared" si="165"/>
        <v>9603.1666953030945</v>
      </c>
      <c r="L43" s="593">
        <f t="shared" si="165"/>
        <v>9554.9650520116884</v>
      </c>
      <c r="M43" s="593">
        <f t="shared" si="165"/>
        <v>8824.2906795977542</v>
      </c>
      <c r="N43" s="593">
        <f t="shared" si="165"/>
        <v>8780.3771239010457</v>
      </c>
      <c r="O43" s="593">
        <f t="shared" si="165"/>
        <v>8737.1592994772327</v>
      </c>
      <c r="P43" s="593">
        <f t="shared" si="165"/>
        <v>8697.0490560876096</v>
      </c>
      <c r="Q43" s="593">
        <f t="shared" ref="Q43:U43" si="166">Q$13+AK43</f>
        <v>8747.3007606543579</v>
      </c>
      <c r="R43" s="593">
        <f t="shared" si="166"/>
        <v>8798.6106783754749</v>
      </c>
      <c r="S43" s="593">
        <f t="shared" si="166"/>
        <v>8850.9893557457162</v>
      </c>
      <c r="T43" s="593">
        <f t="shared" si="166"/>
        <v>8904.4474447076063</v>
      </c>
      <c r="U43" s="593">
        <f t="shared" si="166"/>
        <v>8958.9957037179975</v>
      </c>
      <c r="V43"/>
      <c r="W43"/>
      <c r="Y43" s="563" t="s">
        <v>53</v>
      </c>
      <c r="Z43" s="592">
        <f t="shared" si="161"/>
        <v>-8473.6340632559459</v>
      </c>
      <c r="AA43" s="593">
        <f>-SUMPRODUCT('EE Measures'!BH$8:BH$86,'EE Measures'!$Q$8:$Q$86,'EE Measures'!$IJ$8:$IJ$86)</f>
        <v>-57.607601457754342</v>
      </c>
      <c r="AB43" s="593">
        <f>-SUMPRODUCT('EE Measures'!BI$8:BI$86,'EE Measures'!$Q$8:$Q$86,'EE Measures'!$IJ$8:$IJ$86)</f>
        <v>-79.867547309530934</v>
      </c>
      <c r="AC43" s="593">
        <f>-SUMPRODUCT('EE Measures'!BJ$8:BJ$86,'EE Measures'!$Q$8:$Q$86,'EE Measures'!$IJ$8:$IJ$86)</f>
        <v>-99.655050256952165</v>
      </c>
      <c r="AD43" s="593">
        <f>-SUMPRODUCT('EE Measures'!BK$8:BK$86,'EE Measures'!$Q$8:$Q$86,'EE Measures'!$IJ$8:$IJ$86)</f>
        <v>-202.56874796840242</v>
      </c>
      <c r="AE43" s="593">
        <f>-SUMPRODUCT('EE Measures'!BL$8:BL$86,'EE Measures'!$Q$8:$Q$86,'EE Measures'!$IJ$8:$IJ$86)</f>
        <v>-512.37145190524006</v>
      </c>
      <c r="AF43" s="593">
        <f>-SUMPRODUCT('EE Measures'!BM$8:BM$86,'EE Measures'!$Q$8:$Q$86,'EE Measures'!$IJ$8:$IJ$86)</f>
        <v>-661.72847666872997</v>
      </c>
      <c r="AG43" s="593">
        <f>-SUMPRODUCT('EE Measures'!BN$8:BN$86,'EE Measures'!$Q$8:$Q$86,'EE Measures'!$IJ$8:$IJ$86)</f>
        <v>-1494.5697843694693</v>
      </c>
      <c r="AH43" s="593">
        <f>-SUMPRODUCT('EE Measures'!BO$8:BO$86,'EE Measures'!$Q$8:$Q$86,'EE Measures'!$IJ$8:$IJ$86)</f>
        <v>-1641.671944705849</v>
      </c>
      <c r="AI43" s="593">
        <f>-SUMPRODUCT('EE Measures'!BP$8:BP$86,'EE Measures'!$Q$8:$Q$86,'EE Measures'!$IJ$8:$IJ$86)</f>
        <v>-1789.1102598157324</v>
      </c>
      <c r="AJ43" s="593">
        <f>-SUMPRODUCT('EE Measures'!BQ$8:BQ$86,'EE Measures'!$Q$8:$Q$86,'EE Measures'!$IJ$8:$IJ$86)</f>
        <v>-1934.4831987982857</v>
      </c>
      <c r="AK43" s="593">
        <f>-SUMPRODUCT('EE Measures'!BR$8:BR$86,'EE Measures'!$Q$8:$Q$86,'EE Measures'!$IJ$8:$IJ$86)</f>
        <v>-1990.5468167803963</v>
      </c>
      <c r="AL43" s="593">
        <f>-SUMPRODUCT('EE Measures'!BS$8:BS$86,'EE Measures'!$Q$8:$Q$86,'EE Measures'!$IJ$8:$IJ$86)</f>
        <v>-2046.6153748336249</v>
      </c>
      <c r="AM43" s="593">
        <f>-SUMPRODUCT('EE Measures'!BT$8:BT$86,'EE Measures'!$Q$8:$Q$86,'EE Measures'!$IJ$8:$IJ$86)</f>
        <v>-2102.6889579954754</v>
      </c>
      <c r="AN43" s="593">
        <f>-SUMPRODUCT('EE Measures'!BU$8:BU$86,'EE Measures'!$Q$8:$Q$86,'EE Measures'!$IJ$8:$IJ$86)</f>
        <v>-2158.7676521709964</v>
      </c>
      <c r="AO43" s="593">
        <f>-SUMPRODUCT('EE Measures'!BV$8:BV$86,'EE Measures'!$Q$8:$Q$86,'EE Measures'!$IJ$8:$IJ$86)</f>
        <v>-2214.8515441293916</v>
      </c>
      <c r="AP43" s="898">
        <f t="shared" si="24"/>
        <v>-18749.974210141594</v>
      </c>
      <c r="AQ43" s="554" t="str">
        <v>Lõuna-Eesti </v>
      </c>
      <c r="AR43" s="592">
        <f t="shared" si="162"/>
        <v>-3082.6899416045935</v>
      </c>
      <c r="AS43" s="593">
        <f>-SUMPRODUCT('EE Measures'!BH$8:BH$86,'EE Measures'!$AB$8:$AB$86,'EE Measures'!$IJ$8:$IJ$86)</f>
        <v>-51.448879746451588</v>
      </c>
      <c r="AT43" s="593">
        <f>-SUMPRODUCT('EE Measures'!BI$8:BI$86,'EE Measures'!$AB$8:$AB$86,'EE Measures'!$IJ$8:$IJ$86)</f>
        <v>-63.756144498885433</v>
      </c>
      <c r="AU43" s="593">
        <f>-SUMPRODUCT('EE Measures'!BJ$8:BJ$86,'EE Measures'!$AB$8:$AB$86,'EE Measures'!$IJ$8:$IJ$86)</f>
        <v>-74.409914996172148</v>
      </c>
      <c r="AV43" s="593">
        <f>-SUMPRODUCT('EE Measures'!BK$8:BK$86,'EE Measures'!$AB$8:$AB$86,'EE Measures'!$IJ$8:$IJ$86)</f>
        <v>-125.09311985381585</v>
      </c>
      <c r="AW43" s="593">
        <f>-SUMPRODUCT('EE Measures'!BL$8:BL$86,'EE Measures'!$AB$8:$AB$86,'EE Measures'!$IJ$8:$IJ$86)</f>
        <v>-245.24569588716028</v>
      </c>
      <c r="AX43" s="593">
        <f>-SUMPRODUCT('EE Measures'!BM$8:BM$86,'EE Measures'!$AB$8:$AB$86,'EE Measures'!$IJ$8:$IJ$86)</f>
        <v>-335.82268139528094</v>
      </c>
      <c r="AY43" s="593">
        <f>-SUMPRODUCT('EE Measures'!BN$8:BN$86,'EE Measures'!$AB$8:$AB$86,'EE Measures'!$IJ$8:$IJ$86)</f>
        <v>-426.67512029385921</v>
      </c>
      <c r="AZ43" s="593">
        <f>-SUMPRODUCT('EE Measures'!BO$8:BO$86,'EE Measures'!$AB$8:$AB$86,'EE Measures'!$IJ$8:$IJ$86)</f>
        <v>-507.09170294140176</v>
      </c>
      <c r="BA43" s="593">
        <f>-SUMPRODUCT('EE Measures'!BP$8:BP$86,'EE Measures'!$AB$8:$AB$86,'EE Measures'!$IJ$8:$IJ$86)</f>
        <v>-587.07558600501784</v>
      </c>
      <c r="BB43" s="593">
        <f>-SUMPRODUCT('EE Measures'!BQ$8:BQ$86,'EE Measures'!$AB$8:$AB$86,'EE Measures'!$IJ$8:$IJ$86)</f>
        <v>-666.07109598654802</v>
      </c>
      <c r="BC43" s="593">
        <f>-SUMPRODUCT('EE Measures'!BR$8:BR$86,'EE Measures'!$AB$8:$AB$86,'EE Measures'!$IJ$8:$IJ$86)</f>
        <v>-734.00879858357735</v>
      </c>
      <c r="BD43" s="593">
        <f>-SUMPRODUCT('EE Measures'!BS$8:BS$86,'EE Measures'!$AB$8:$AB$86,'EE Measures'!$IJ$8:$IJ$86)</f>
        <v>-801.4677162096483</v>
      </c>
      <c r="BE43" s="593">
        <f>-SUMPRODUCT('EE Measures'!BT$8:BT$86,'EE Measures'!$AB$8:$AB$86,'EE Measures'!$IJ$8:$IJ$86)</f>
        <v>-868.45816174298272</v>
      </c>
      <c r="BF43" s="593">
        <f>-SUMPRODUCT('EE Measures'!BU$8:BU$86,'EE Measures'!$AB$8:$AB$86,'EE Measures'!$IJ$8:$IJ$86)</f>
        <v>-934.99025946537063</v>
      </c>
      <c r="BG43" s="593">
        <f>-SUMPRODUCT('EE Measures'!BV$8:BV$86,'EE Measures'!$AB$8:$AB$86,'EE Measures'!$IJ$8:$IJ$86)</f>
        <v>-1001.1116316852023</v>
      </c>
      <c r="BH43" s="867">
        <f>AR43/$AR$39</f>
        <v>0.17722387412656845</v>
      </c>
      <c r="BK43" s="587" t="s">
        <v>38</v>
      </c>
      <c r="BM43" s="648" t="s">
        <v>392</v>
      </c>
      <c r="BN43" s="592"/>
      <c r="BO43" s="541">
        <f>BO$13-SUMPRODUCT('EE Measures'!BH$8:BH$86,'EE Measures'!$W$8:$W$86,'EE Measures'!$IJ$8:$IJ$86)</f>
        <v>11750.287656771043</v>
      </c>
      <c r="BP43" s="541">
        <f>BP$13-SUMPRODUCT('EE Measures'!BI$8:BI$86,'EE Measures'!$W$8:$W$86,'EE Measures'!$IJ$8:$IJ$86)</f>
        <v>11749.437771200757</v>
      </c>
      <c r="BQ43" s="541">
        <f>BQ$13-SUMPRODUCT('EE Measures'!BJ$8:BJ$86,'EE Measures'!$W$8:$W$86,'EE Measures'!$IJ$8:$IJ$86)</f>
        <v>11757.792796958078</v>
      </c>
      <c r="BR43" s="541">
        <f>BR$13-SUMPRODUCT('EE Measures'!BK$8:BK$86,'EE Measures'!$W$8:$W$86,'EE Measures'!$IJ$8:$IJ$86)</f>
        <v>11743.631694802325</v>
      </c>
      <c r="BS43" s="541">
        <f>BS$13-SUMPRODUCT('EE Measures'!BL$8:BL$86,'EE Measures'!$W$8:$W$86,'EE Measures'!$IJ$8:$IJ$86)</f>
        <v>11566.724563211019</v>
      </c>
      <c r="BT43" s="541">
        <f>BT$13-SUMPRODUCT('EE Measures'!BM$8:BM$86,'EE Measures'!$W$8:$W$86,'EE Measures'!$IJ$8:$IJ$86)</f>
        <v>11409.375888081375</v>
      </c>
      <c r="BU43" s="541">
        <f>BU$13-SUMPRODUCT('EE Measures'!BN$8:BN$86,'EE Measures'!$W$8:$W$86,'EE Measures'!$IJ$8:$IJ$86)</f>
        <v>11262.855695254011</v>
      </c>
      <c r="BV43" s="541">
        <f>BV$13-SUMPRODUCT('EE Measures'!BO$8:BO$86,'EE Measures'!$W$8:$W$86,'EE Measures'!$IJ$8:$IJ$86)</f>
        <v>11123.468858422719</v>
      </c>
      <c r="BW43" s="541">
        <f>BW$13-SUMPRODUCT('EE Measures'!BP$8:BP$86,'EE Measures'!$W$8:$W$86,'EE Measures'!$IJ$8:$IJ$86)</f>
        <v>10986.939981493972</v>
      </c>
      <c r="BX43" s="541">
        <f>BX$13-SUMPRODUCT('EE Measures'!BQ$8:BQ$86,'EE Measures'!$W$8:$W$86,'EE Measures'!$IJ$8:$IJ$86)</f>
        <v>10853.24771731496</v>
      </c>
      <c r="BY43" s="541">
        <f>BY$13-SUMPRODUCT('EE Measures'!BR$8:BR$86,'EE Measures'!$W$8:$W$86,'EE Measures'!$IJ$8:$IJ$86)</f>
        <v>10722.505083096859</v>
      </c>
      <c r="BZ43" s="541">
        <f>BZ$13-SUMPRODUCT('EE Measures'!BS$8:BS$86,'EE Measures'!$W$8:$W$86,'EE Measures'!$IJ$8:$IJ$86)</f>
        <v>10594.559113711415</v>
      </c>
      <c r="CA43" s="541">
        <f>CA$13-SUMPRODUCT('EE Measures'!BT$8:BT$86,'EE Measures'!$W$8:$W$86,'EE Measures'!$IJ$8:$IJ$86)</f>
        <v>10469.391188177939</v>
      </c>
      <c r="CB43" s="541">
        <f>CB$13-SUMPRODUCT('EE Measures'!BU$8:BU$86,'EE Measures'!$W$8:$W$86,'EE Measures'!$IJ$8:$IJ$86)</f>
        <v>10346.983574611866</v>
      </c>
      <c r="CC43" s="541">
        <f>CC$13-SUMPRODUCT('EE Measures'!BV$8:BV$86,'EE Measures'!$W$8:$W$86,'EE Measures'!$IJ$8:$IJ$86)</f>
        <v>10227.423337864502</v>
      </c>
    </row>
    <row r="44" spans="3:81" outlineLevel="1" x14ac:dyDescent="0.3">
      <c r="C44" s="587" t="str">
        <f t="shared" si="157"/>
        <v>EET</v>
      </c>
      <c r="E44" s="563" t="s">
        <v>54</v>
      </c>
      <c r="F44" s="592">
        <f t="shared" si="158"/>
        <v>9729.957992963733</v>
      </c>
      <c r="G44" s="593">
        <f t="shared" ref="G44:P44" si="167">G$14+AA44</f>
        <v>988.46632075930984</v>
      </c>
      <c r="H44" s="593">
        <f t="shared" si="167"/>
        <v>988.3835149808026</v>
      </c>
      <c r="I44" s="593">
        <f t="shared" si="167"/>
        <v>988.29947534863015</v>
      </c>
      <c r="J44" s="593">
        <f t="shared" si="167"/>
        <v>979.90554667046297</v>
      </c>
      <c r="K44" s="593">
        <f t="shared" si="167"/>
        <v>975.70819291926921</v>
      </c>
      <c r="L44" s="593">
        <f t="shared" si="167"/>
        <v>975.62025185425841</v>
      </c>
      <c r="M44" s="593">
        <f t="shared" si="167"/>
        <v>968.73097548195085</v>
      </c>
      <c r="N44" s="593">
        <f t="shared" si="167"/>
        <v>961.84035054063725</v>
      </c>
      <c r="O44" s="593">
        <f t="shared" si="167"/>
        <v>954.94836355836435</v>
      </c>
      <c r="P44" s="593">
        <f t="shared" si="167"/>
        <v>948.05500085004599</v>
      </c>
      <c r="Q44" s="593">
        <f t="shared" ref="Q44:U44" si="168">Q$14+AK44</f>
        <v>947.96024851467917</v>
      </c>
      <c r="R44" s="593">
        <f t="shared" si="168"/>
        <v>947.86409243265177</v>
      </c>
      <c r="S44" s="593">
        <f t="shared" si="168"/>
        <v>947.766518263134</v>
      </c>
      <c r="T44" s="593">
        <f t="shared" si="168"/>
        <v>947.66751144153977</v>
      </c>
      <c r="U44" s="593">
        <f t="shared" si="168"/>
        <v>947.56705717704733</v>
      </c>
      <c r="V44"/>
      <c r="W44"/>
      <c r="Y44" s="563" t="s">
        <v>54</v>
      </c>
      <c r="Z44" s="592">
        <f t="shared" si="161"/>
        <v>-178.37534036960216</v>
      </c>
      <c r="AA44" s="593">
        <f>-SUMPRODUCT('EE Measures'!BH$8:BH$86,'EE Measures'!$R$8:$R$86,'EE Measures'!$IJ$8:$IJ$86)</f>
        <v>-2.3670125740235815</v>
      </c>
      <c r="AB44" s="593">
        <f>-SUMPRODUCT('EE Measures'!BI$8:BI$86,'EE Measures'!$R$8:$R$86,'EE Measures'!$IJ$8:$IJ$86)</f>
        <v>-2.4498183525307202</v>
      </c>
      <c r="AC44" s="593">
        <f>-SUMPRODUCT('EE Measures'!BJ$8:BJ$86,'EE Measures'!$R$8:$R$86,'EE Measures'!$IJ$8:$IJ$86)</f>
        <v>-2.5338579847032205</v>
      </c>
      <c r="AD44" s="593">
        <f>-SUMPRODUCT('EE Measures'!BK$8:BK$86,'EE Measures'!$R$8:$R$86,'EE Measures'!$IJ$8:$IJ$86)</f>
        <v>-10.927786662870368</v>
      </c>
      <c r="AE44" s="593">
        <f>-SUMPRODUCT('EE Measures'!BL$8:BL$86,'EE Measures'!$R$8:$R$86,'EE Measures'!$IJ$8:$IJ$86)</f>
        <v>-15.125140414064138</v>
      </c>
      <c r="AF44" s="593">
        <f>-SUMPRODUCT('EE Measures'!BM$8:BM$86,'EE Measures'!$R$8:$R$86,'EE Measures'!$IJ$8:$IJ$86)</f>
        <v>-15.213081479075003</v>
      </c>
      <c r="AG44" s="593">
        <f>-SUMPRODUCT('EE Measures'!BN$8:BN$86,'EE Measures'!$R$8:$R$86,'EE Measures'!$IJ$8:$IJ$86)</f>
        <v>-22.102357851382564</v>
      </c>
      <c r="AH44" s="593">
        <f>-SUMPRODUCT('EE Measures'!BO$8:BO$86,'EE Measures'!$R$8:$R$86,'EE Measures'!$IJ$8:$IJ$86)</f>
        <v>-28.992982792696132</v>
      </c>
      <c r="AI44" s="593">
        <f>-SUMPRODUCT('EE Measures'!BP$8:BP$86,'EE Measures'!$R$8:$R$86,'EE Measures'!$IJ$8:$IJ$86)</f>
        <v>-35.884969774969072</v>
      </c>
      <c r="AJ44" s="593">
        <f>-SUMPRODUCT('EE Measures'!BQ$8:BQ$86,'EE Measures'!$R$8:$R$86,'EE Measures'!$IJ$8:$IJ$86)</f>
        <v>-42.778332483287365</v>
      </c>
      <c r="AK44" s="593">
        <f>-SUMPRODUCT('EE Measures'!BR$8:BR$86,'EE Measures'!$R$8:$R$86,'EE Measures'!$IJ$8:$IJ$86)</f>
        <v>-42.873084818654242</v>
      </c>
      <c r="AL44" s="593">
        <f>-SUMPRODUCT('EE Measures'!BS$8:BS$86,'EE Measures'!$R$8:$R$86,'EE Measures'!$IJ$8:$IJ$86)</f>
        <v>-42.969240900681626</v>
      </c>
      <c r="AM44" s="593">
        <f>-SUMPRODUCT('EE Measures'!BT$8:BT$86,'EE Measures'!$R$8:$R$86,'EE Measures'!$IJ$8:$IJ$86)</f>
        <v>-43.066815070199347</v>
      </c>
      <c r="AN44" s="593">
        <f>-SUMPRODUCT('EE Measures'!BU$8:BU$86,'EE Measures'!$R$8:$R$86,'EE Measures'!$IJ$8:$IJ$86)</f>
        <v>-43.165821891793584</v>
      </c>
      <c r="AO44" s="593">
        <f>-SUMPRODUCT('EE Measures'!BV$8:BV$86,'EE Measures'!$R$8:$R$86,'EE Measures'!$IJ$8:$IJ$86)</f>
        <v>-43.266276156286011</v>
      </c>
      <c r="AP44" s="898">
        <f t="shared" si="24"/>
        <v>-386.3658902959595</v>
      </c>
      <c r="AQ44" s="554" t="str">
        <v>Kesk-Eesti</v>
      </c>
      <c r="AR44" s="592">
        <f t="shared" si="162"/>
        <v>-1256.1798704485684</v>
      </c>
      <c r="AS44" s="593">
        <f>-SUMPRODUCT('EE Measures'!BH$8:BH$86,'EE Measures'!$AC$8:$AC$86,'EE Measures'!$IJ$8:$IJ$86)</f>
        <v>-20.964364378010814</v>
      </c>
      <c r="AT44" s="593">
        <f>-SUMPRODUCT('EE Measures'!BI$8:BI$86,'EE Measures'!$AC$8:$AC$86,'EE Measures'!$IJ$8:$IJ$86)</f>
        <v>-26.038571516745641</v>
      </c>
      <c r="AU44" s="593">
        <f>-SUMPRODUCT('EE Measures'!BJ$8:BJ$86,'EE Measures'!$AC$8:$AC$86,'EE Measures'!$IJ$8:$IJ$86)</f>
        <v>-30.450275851203592</v>
      </c>
      <c r="AV44" s="593">
        <f>-SUMPRODUCT('EE Measures'!BK$8:BK$86,'EE Measures'!$AC$8:$AC$86,'EE Measures'!$IJ$8:$IJ$86)</f>
        <v>-51.725381078158165</v>
      </c>
      <c r="AW44" s="593">
        <f>-SUMPRODUCT('EE Measures'!BL$8:BL$86,'EE Measures'!$AC$8:$AC$86,'EE Measures'!$IJ$8:$IJ$86)</f>
        <v>-99.500650577986079</v>
      </c>
      <c r="AX44" s="593">
        <f>-SUMPRODUCT('EE Measures'!BM$8:BM$86,'EE Measures'!$AC$8:$AC$86,'EE Measures'!$IJ$8:$IJ$86)</f>
        <v>-136.28407043082274</v>
      </c>
      <c r="AY44" s="593">
        <f>-SUMPRODUCT('EE Measures'!BN$8:BN$86,'EE Measures'!$AC$8:$AC$86,'EE Measures'!$IJ$8:$IJ$86)</f>
        <v>-173.69845975853283</v>
      </c>
      <c r="AZ44" s="593">
        <f>-SUMPRODUCT('EE Measures'!BO$8:BO$86,'EE Measures'!$AC$8:$AC$86,'EE Measures'!$IJ$8:$IJ$86)</f>
        <v>-206.60773969329725</v>
      </c>
      <c r="BA44" s="593">
        <f>-SUMPRODUCT('EE Measures'!BP$8:BP$86,'EE Measures'!$AC$8:$AC$86,'EE Measures'!$IJ$8:$IJ$86)</f>
        <v>-239.3119151109658</v>
      </c>
      <c r="BB44" s="593">
        <f>-SUMPRODUCT('EE Measures'!BQ$8:BQ$86,'EE Measures'!$AC$8:$AC$86,'EE Measures'!$IJ$8:$IJ$86)</f>
        <v>-271.59844205284554</v>
      </c>
      <c r="BC44" s="593">
        <f>-SUMPRODUCT('EE Measures'!BR$8:BR$86,'EE Measures'!$AC$8:$AC$86,'EE Measures'!$IJ$8:$IJ$86)</f>
        <v>-301.44639028097532</v>
      </c>
      <c r="BD44" s="593">
        <f>-SUMPRODUCT('EE Measures'!BS$8:BS$86,'EE Measures'!$AC$8:$AC$86,'EE Measures'!$IJ$8:$IJ$86)</f>
        <v>-331.07389804382285</v>
      </c>
      <c r="BE44" s="593">
        <f>-SUMPRODUCT('EE Measures'!BT$8:BT$86,'EE Measures'!$AC$8:$AC$86,'EE Measures'!$IJ$8:$IJ$86)</f>
        <v>-360.48568136836417</v>
      </c>
      <c r="BF44" s="593">
        <f>-SUMPRODUCT('EE Measures'!BU$8:BU$86,'EE Measures'!$AC$8:$AC$86,'EE Measures'!$IJ$8:$IJ$86)</f>
        <v>-389.68636962271285</v>
      </c>
      <c r="BG44" s="593">
        <f>-SUMPRODUCT('EE Measures'!BV$8:BV$86,'EE Measures'!$AC$8:$AC$86,'EE Measures'!$IJ$8:$IJ$86)</f>
        <v>-418.70369558497487</v>
      </c>
      <c r="BH44" s="867">
        <f>AR44/$AR$39</f>
        <v>7.2217792725799063E-2</v>
      </c>
      <c r="BK44" s="587" t="s">
        <v>38</v>
      </c>
      <c r="BM44" s="648" t="s">
        <v>393</v>
      </c>
      <c r="BN44" s="592"/>
      <c r="BO44" s="541">
        <f>BO$14-SUMPRODUCT('EE Measures'!BH$8:BH$86,'EE Measures'!$X$8:$X$86,'EE Measures'!$IJ$8:$IJ$86)</f>
        <v>6901.256647467485</v>
      </c>
      <c r="BP44" s="541">
        <f>BP$14-SUMPRODUCT('EE Measures'!BI$8:BI$86,'EE Measures'!$X$8:$X$86,'EE Measures'!$IJ$8:$IJ$86)</f>
        <v>6874.4749572653045</v>
      </c>
      <c r="BQ44" s="541">
        <f>BQ$14-SUMPRODUCT('EE Measures'!BJ$8:BJ$86,'EE Measures'!$X$8:$X$86,'EE Measures'!$IJ$8:$IJ$86)</f>
        <v>6977.884752728799</v>
      </c>
      <c r="BR44" s="541">
        <f>BR$14-SUMPRODUCT('EE Measures'!BK$8:BK$86,'EE Measures'!$X$8:$X$86,'EE Measures'!$IJ$8:$IJ$86)</f>
        <v>7058.5896582721452</v>
      </c>
      <c r="BS44" s="541">
        <f>BS$14-SUMPRODUCT('EE Measures'!BL$8:BL$86,'EE Measures'!$X$8:$X$86,'EE Measures'!$IJ$8:$IJ$86)</f>
        <v>7087.4826548377669</v>
      </c>
      <c r="BT44" s="541">
        <f>BT$14-SUMPRODUCT('EE Measures'!BM$8:BM$86,'EE Measures'!$X$8:$X$86,'EE Measures'!$IJ$8:$IJ$86)</f>
        <v>7134.6005261849195</v>
      </c>
      <c r="BU44" s="541">
        <f>BU$14-SUMPRODUCT('EE Measures'!BN$8:BN$86,'EE Measures'!$X$8:$X$86,'EE Measures'!$IJ$8:$IJ$86)</f>
        <v>7176.3266862892306</v>
      </c>
      <c r="BV44" s="541">
        <f>BV$14-SUMPRODUCT('EE Measures'!BO$8:BO$86,'EE Measures'!$X$8:$X$86,'EE Measures'!$IJ$8:$IJ$86)</f>
        <v>7251.4984220446613</v>
      </c>
      <c r="BW44" s="541">
        <f>BW$14-SUMPRODUCT('EE Measures'!BP$8:BP$86,'EE Measures'!$X$8:$X$86,'EE Measures'!$IJ$8:$IJ$86)</f>
        <v>7326.8162496203031</v>
      </c>
      <c r="BX44" s="541">
        <f>BX$14-SUMPRODUCT('EE Measures'!BQ$8:BQ$86,'EE Measures'!$X$8:$X$86,'EE Measures'!$IJ$8:$IJ$86)</f>
        <v>7402.3369988717113</v>
      </c>
      <c r="BY44" s="541">
        <f>BY$14-SUMPRODUCT('EE Measures'!BR$8:BR$86,'EE Measures'!$X$8:$X$86,'EE Measures'!$IJ$8:$IJ$86)</f>
        <v>7480.6159396347703</v>
      </c>
      <c r="BZ44" s="541">
        <f>BZ$14-SUMPRODUCT('EE Measures'!BS$8:BS$86,'EE Measures'!$X$8:$X$86,'EE Measures'!$IJ$8:$IJ$86)</f>
        <v>7559.0953805834415</v>
      </c>
      <c r="CA44" s="541">
        <f>CA$14-SUMPRODUCT('EE Measures'!BT$8:BT$86,'EE Measures'!$X$8:$X$86,'EE Measures'!$IJ$8:$IJ$86)</f>
        <v>7637.7913056151128</v>
      </c>
      <c r="CB44" s="541">
        <f>CB$14-SUMPRODUCT('EE Measures'!BU$8:BU$86,'EE Measures'!$X$8:$X$86,'EE Measures'!$IJ$8:$IJ$86)</f>
        <v>7716.7195611629695</v>
      </c>
      <c r="CC44" s="541">
        <f>CC$14-SUMPRODUCT('EE Measures'!BV$8:BV$86,'EE Measures'!$X$8:$X$86,'EE Measures'!$IJ$8:$IJ$86)</f>
        <v>7795.7296715035627</v>
      </c>
    </row>
    <row r="45" spans="3:81" outlineLevel="1" collapsed="1" x14ac:dyDescent="0.3">
      <c r="C45" s="587" t="str">
        <f>E45</f>
        <v>CEER1</v>
      </c>
      <c r="E45" s="555" t="str">
        <f>'EE Measures'!$IK$6</f>
        <v>CEER1</v>
      </c>
      <c r="F45" s="590">
        <f>SUM(G45:P45)</f>
        <v>307676.77691609418</v>
      </c>
      <c r="G45" s="591">
        <f>SUM(G46:G50)</f>
        <v>30787.426871993186</v>
      </c>
      <c r="H45" s="591">
        <f>SUM(H46:H50)</f>
        <v>31292.650628735129</v>
      </c>
      <c r="I45" s="591">
        <f t="shared" ref="I45" si="169">SUM(I46:I50)</f>
        <v>31469.768843643702</v>
      </c>
      <c r="J45" s="591">
        <f t="shared" ref="J45" si="170">SUM(J46:J50)</f>
        <v>31492.777852743198</v>
      </c>
      <c r="K45" s="591">
        <f t="shared" ref="K45" si="171">SUM(K46:K50)</f>
        <v>31112.479794303483</v>
      </c>
      <c r="L45" s="591">
        <f t="shared" ref="L45" si="172">SUM(L46:L50)</f>
        <v>30919.823342320269</v>
      </c>
      <c r="M45" s="591">
        <f t="shared" ref="M45" si="173">SUM(M46:M50)</f>
        <v>30390.801307815775</v>
      </c>
      <c r="N45" s="591">
        <f t="shared" ref="N45" si="174">SUM(N46:N50)</f>
        <v>30239.673505415652</v>
      </c>
      <c r="O45" s="591">
        <f t="shared" ref="O45" si="175">SUM(O46:O50)</f>
        <v>30072.873089468401</v>
      </c>
      <c r="P45" s="591">
        <f t="shared" ref="P45:U45" si="176">SUM(P46:P50)</f>
        <v>29898.501679655401</v>
      </c>
      <c r="Q45" s="591">
        <f t="shared" si="176"/>
        <v>29782.255384846558</v>
      </c>
      <c r="R45" s="591">
        <f t="shared" si="176"/>
        <v>29671.62235648889</v>
      </c>
      <c r="S45" s="591">
        <f t="shared" si="176"/>
        <v>29566.591824353163</v>
      </c>
      <c r="T45" s="591">
        <f t="shared" si="176"/>
        <v>29467.154906279386</v>
      </c>
      <c r="U45" s="591">
        <f t="shared" si="176"/>
        <v>29373.447672896094</v>
      </c>
      <c r="V45"/>
      <c r="W45"/>
      <c r="X45" s="555"/>
      <c r="Y45" s="555" t="str">
        <f>'EE Measures'!$IK$6</f>
        <v>CEER1</v>
      </c>
      <c r="Z45" s="590">
        <f>SUM(AA45:AJ45)</f>
        <v>-16381.110880025772</v>
      </c>
      <c r="AA45" s="591">
        <f>SUM(AA46:AA50)</f>
        <v>-243.80810578459079</v>
      </c>
      <c r="AB45" s="591">
        <f>SUM(AB46:AB50)</f>
        <v>-295.63798929452344</v>
      </c>
      <c r="AC45" s="591">
        <f t="shared" ref="AC45" si="177">SUM(AC46:AC50)</f>
        <v>-338.18155385733996</v>
      </c>
      <c r="AD45" s="591">
        <f t="shared" ref="AD45" si="178">SUM(AD46:AD50)</f>
        <v>-553.50348194987566</v>
      </c>
      <c r="AE45" s="591">
        <f t="shared" ref="AE45" si="179">SUM(AE46:AE50)</f>
        <v>-1176.6826591860956</v>
      </c>
      <c r="AF45" s="591">
        <f t="shared" ref="AF45" si="180">SUM(AF46:AF50)</f>
        <v>-1616.830619898006</v>
      </c>
      <c r="AG45" s="591">
        <f t="shared" ref="AG45" si="181">SUM(AG46:AG50)</f>
        <v>-2402.8891100723017</v>
      </c>
      <c r="AH45" s="591">
        <f t="shared" ref="AH45" si="182">SUM(AH46:AH50)</f>
        <v>-2815.1595621296792</v>
      </c>
      <c r="AI45" s="591">
        <f t="shared" ref="AI45" si="183">SUM(AI46:AI50)</f>
        <v>-3247.2633947663103</v>
      </c>
      <c r="AJ45" s="591">
        <f t="shared" ref="AJ45:AO45" si="184">SUM(AJ46:AJ50)</f>
        <v>-3691.1544030870491</v>
      </c>
      <c r="AK45" s="591">
        <f t="shared" si="184"/>
        <v>-4081.1927477691361</v>
      </c>
      <c r="AL45" s="591">
        <f t="shared" si="184"/>
        <v>-4469.947414908429</v>
      </c>
      <c r="AM45" s="591">
        <f t="shared" si="184"/>
        <v>-4857.4871937265443</v>
      </c>
      <c r="AN45" s="591">
        <f t="shared" si="184"/>
        <v>-5243.8798805019924</v>
      </c>
      <c r="AO45" s="591">
        <f t="shared" si="184"/>
        <v>-5629.0492277540361</v>
      </c>
      <c r="AP45" s="898">
        <f t="shared" si="24"/>
        <v>-39785.039695749452</v>
      </c>
      <c r="AQ45" s="555" t="s">
        <v>39</v>
      </c>
      <c r="AR45" s="590">
        <f>SUM(AS45:BB45)</f>
        <v>-16372.703613935504</v>
      </c>
      <c r="AS45" s="591">
        <f t="shared" ref="AS45" si="185">SUM(AS46:AS50)</f>
        <v>-243.80810578459079</v>
      </c>
      <c r="AT45" s="591">
        <f t="shared" ref="AT45:BB45" si="186">SUM(AT46:AT50)</f>
        <v>-295.63798929452349</v>
      </c>
      <c r="AU45" s="591">
        <f t="shared" si="186"/>
        <v>-338.18155385733991</v>
      </c>
      <c r="AV45" s="591">
        <f t="shared" si="186"/>
        <v>-553.50348194987566</v>
      </c>
      <c r="AW45" s="591">
        <f t="shared" si="186"/>
        <v>-1176.2823131817972</v>
      </c>
      <c r="AX45" s="591">
        <f t="shared" si="186"/>
        <v>-1616.0299278894095</v>
      </c>
      <c r="AY45" s="591">
        <f t="shared" si="186"/>
        <v>-2401.6880720594058</v>
      </c>
      <c r="AZ45" s="591">
        <f t="shared" si="186"/>
        <v>-2813.5581781124861</v>
      </c>
      <c r="BA45" s="591">
        <f t="shared" si="186"/>
        <v>-3245.2616647448172</v>
      </c>
      <c r="BB45" s="591">
        <f t="shared" si="186"/>
        <v>-3688.7523270612587</v>
      </c>
      <c r="BC45" s="591">
        <f t="shared" ref="BC45:BG45" si="187">SUM(BC46:BC50)</f>
        <v>-4078.3903257390471</v>
      </c>
      <c r="BD45" s="591">
        <f t="shared" si="187"/>
        <v>-4466.7446468740418</v>
      </c>
      <c r="BE45" s="591">
        <f t="shared" si="187"/>
        <v>-4853.8840796878594</v>
      </c>
      <c r="BF45" s="591">
        <f t="shared" si="187"/>
        <v>-5239.8764204590088</v>
      </c>
      <c r="BG45" s="591">
        <f t="shared" si="187"/>
        <v>-5624.645421706753</v>
      </c>
      <c r="BH45" s="1214">
        <f>AR45-Z45</f>
        <v>8.4072660902675125</v>
      </c>
      <c r="BK45" s="587" t="s">
        <v>39</v>
      </c>
      <c r="BM45" s="648" t="s">
        <v>388</v>
      </c>
      <c r="BN45" s="590"/>
      <c r="BO45" s="492">
        <f>BO$9-SUMPRODUCT('EE Measures'!BH$8:BH$86,'EE Measures'!$S$8:$S$86,'EE Measures'!$IK$8:$IK$86)</f>
        <v>9992.5181844488161</v>
      </c>
      <c r="BP45" s="492">
        <f>BP$9-SUMPRODUCT('EE Measures'!BI$8:BI$86,'EE Measures'!$S$8:$S$86,'EE Measures'!$IK$8:$IK$86)</f>
        <v>10367.301701849321</v>
      </c>
      <c r="BQ45" s="492">
        <f>BQ$9-SUMPRODUCT('EE Measures'!BJ$8:BJ$86,'EE Measures'!$S$8:$S$86,'EE Measures'!$IK$8:$IK$86)</f>
        <v>10410.57813854057</v>
      </c>
      <c r="BR45" s="492">
        <f>BR$9-SUMPRODUCT('EE Measures'!BK$8:BK$86,'EE Measures'!$S$8:$S$86,'EE Measures'!$IK$8:$IK$86)</f>
        <v>10364.867979603672</v>
      </c>
      <c r="BS45" s="492">
        <f>BS$9-SUMPRODUCT('EE Measures'!BL$8:BL$86,'EE Measures'!$S$8:$S$86,'EE Measures'!$IK$8:$IK$86)</f>
        <v>10206.126152124772</v>
      </c>
      <c r="BT45" s="492">
        <f>BT$9-SUMPRODUCT('EE Measures'!BM$8:BM$86,'EE Measures'!$S$8:$S$86,'EE Measures'!$IK$8:$IK$86)</f>
        <v>10184.244865376066</v>
      </c>
      <c r="BU45" s="492">
        <f>BU$9-SUMPRODUCT('EE Measures'!BN$8:BN$86,'EE Measures'!$S$8:$S$86,'EE Measures'!$IK$8:$IK$86)</f>
        <v>9851.2123465390432</v>
      </c>
      <c r="BV45" s="492">
        <f>BV$9-SUMPRODUCT('EE Measures'!BO$8:BO$86,'EE Measures'!$S$8:$S$86,'EE Measures'!$IK$8:$IK$86)</f>
        <v>9834.1793585634696</v>
      </c>
      <c r="BW45" s="492">
        <f>BW$9-SUMPRODUCT('EE Measures'!BP$8:BP$86,'EE Measures'!$S$8:$S$86,'EE Measures'!$IK$8:$IK$86)</f>
        <v>9817.1704194488939</v>
      </c>
      <c r="BX45" s="492">
        <f>BX$9-SUMPRODUCT('EE Measures'!BQ$8:BQ$86,'EE Measures'!$S$8:$S$86,'EE Measures'!$IK$8:$IK$86)</f>
        <v>9802.9387693803928</v>
      </c>
      <c r="BY45" s="492">
        <f>BY$9-SUMPRODUCT('EE Measures'!BR$8:BR$86,'EE Measures'!$S$8:$S$86,'EE Measures'!$IK$8:$IK$86)</f>
        <v>9837.3725741305352</v>
      </c>
      <c r="BZ45" s="492">
        <f>BZ$9-SUMPRODUCT('EE Measures'!BS$8:BS$86,'EE Measures'!$S$8:$S$86,'EE Measures'!$IK$8:$IK$86)</f>
        <v>9874.3194614959903</v>
      </c>
      <c r="CA45" s="492">
        <f>CA$9-SUMPRODUCT('EE Measures'!BT$8:BT$86,'EE Measures'!$S$8:$S$86,'EE Measures'!$IK$8:$IK$86)</f>
        <v>9913.7892756240835</v>
      </c>
      <c r="CB45" s="492">
        <f>CB$9-SUMPRODUCT('EE Measures'!BU$8:BU$86,'EE Measures'!$S$8:$S$86,'EE Measures'!$IK$8:$IK$86)</f>
        <v>9955.7926049567104</v>
      </c>
      <c r="CC45" s="492">
        <f>CC$9-SUMPRODUCT('EE Measures'!BV$8:BV$86,'EE Measures'!$S$8:$S$86,'EE Measures'!$IK$8:$IK$86)</f>
        <v>10000.339213752022</v>
      </c>
    </row>
    <row r="46" spans="3:81" outlineLevel="1" x14ac:dyDescent="0.3">
      <c r="C46" s="587" t="str">
        <f>C45</f>
        <v>CEER1</v>
      </c>
      <c r="E46" s="563" t="s">
        <v>50</v>
      </c>
      <c r="F46" s="592">
        <f>SUM(G46:P46)</f>
        <v>46946.737828987651</v>
      </c>
      <c r="G46" s="593">
        <f t="shared" ref="G46:P46" si="188">G$10+AA46</f>
        <v>4292.8294941331924</v>
      </c>
      <c r="H46" s="593">
        <f t="shared" si="188"/>
        <v>4685.8298233046435</v>
      </c>
      <c r="I46" s="593">
        <f t="shared" si="188"/>
        <v>4741.3140790213711</v>
      </c>
      <c r="J46" s="593">
        <f t="shared" si="188"/>
        <v>4765.8210928590015</v>
      </c>
      <c r="K46" s="593">
        <f t="shared" si="188"/>
        <v>4742.2640702936833</v>
      </c>
      <c r="L46" s="593">
        <f t="shared" si="188"/>
        <v>4735.5896819257168</v>
      </c>
      <c r="M46" s="593">
        <f t="shared" si="188"/>
        <v>4732.1168257041363</v>
      </c>
      <c r="N46" s="593">
        <f t="shared" si="188"/>
        <v>4754.3177633827654</v>
      </c>
      <c r="O46" s="593">
        <f t="shared" si="188"/>
        <v>4755.4433108845851</v>
      </c>
      <c r="P46" s="593">
        <f t="shared" si="188"/>
        <v>4741.2116874785579</v>
      </c>
      <c r="Q46" s="593">
        <f t="shared" ref="Q46:U46" si="189">Q$10+AK46</f>
        <v>4726.9026389430364</v>
      </c>
      <c r="R46" s="593">
        <f t="shared" si="189"/>
        <v>4712.5222904912043</v>
      </c>
      <c r="S46" s="593">
        <f t="shared" si="189"/>
        <v>4698.0731462110316</v>
      </c>
      <c r="T46" s="593">
        <f t="shared" si="189"/>
        <v>4683.5579763318246</v>
      </c>
      <c r="U46" s="593">
        <f t="shared" si="189"/>
        <v>4668.9646212859307</v>
      </c>
      <c r="V46"/>
      <c r="W46"/>
      <c r="Y46" s="563" t="s">
        <v>50</v>
      </c>
      <c r="Z46" s="592">
        <f>SUM(AA46:AJ46)</f>
        <v>-3186.047790260016</v>
      </c>
      <c r="AA46" s="593">
        <f>-SUMPRODUCT('EE Measures'!BH$8:BH$86,'EE Measures'!$N$8:$N$86,'EE Measures'!$IK$8:$IK$86)</f>
        <v>-105.78161697791808</v>
      </c>
      <c r="AB46" s="593">
        <f>-SUMPRODUCT('EE Measures'!BI$8:BI$86,'EE Measures'!$N$8:$N$86,'EE Measures'!$IK$8:$IK$86)</f>
        <v>-111.10906558424406</v>
      </c>
      <c r="AC46" s="593">
        <f>-SUMPRODUCT('EE Measures'!BJ$8:BJ$86,'EE Measures'!$N$8:$N$86,'EE Measures'!$IK$8:$IK$86)</f>
        <v>-113.18807653418617</v>
      </c>
      <c r="AD46" s="593">
        <f>-SUMPRODUCT('EE Measures'!BK$8:BK$86,'EE Measures'!$N$8:$N$86,'EE Measures'!$IK$8:$IK$86)</f>
        <v>-161.49859502988676</v>
      </c>
      <c r="AE46" s="593">
        <f>-SUMPRODUCT('EE Measures'!BL$8:BL$86,'EE Measures'!$N$8:$N$86,'EE Measures'!$IK$8:$IK$86)</f>
        <v>-258.96541291353725</v>
      </c>
      <c r="AF46" s="593">
        <f>-SUMPRODUCT('EE Measures'!BM$8:BM$86,'EE Measures'!$N$8:$N$86,'EE Measures'!$IK$8:$IK$86)</f>
        <v>-340.65824352961113</v>
      </c>
      <c r="AG46" s="593">
        <f>-SUMPRODUCT('EE Measures'!BN$8:BN$86,'EE Measures'!$N$8:$N$86,'EE Measures'!$IK$8:$IK$86)</f>
        <v>-420.2748186330216</v>
      </c>
      <c r="AH46" s="593">
        <f>-SUMPRODUCT('EE Measures'!BO$8:BO$86,'EE Measures'!$N$8:$N$86,'EE Measures'!$IK$8:$IK$86)</f>
        <v>-475.35975561944997</v>
      </c>
      <c r="AI46" s="593">
        <f>-SUMPRODUCT('EE Measures'!BP$8:BP$86,'EE Measures'!$N$8:$N$86,'EE Measures'!$IK$8:$IK$86)</f>
        <v>-552.67937090266321</v>
      </c>
      <c r="AJ46" s="593">
        <f>-SUMPRODUCT('EE Measures'!BQ$8:BQ$86,'EE Measures'!$N$8:$N$86,'EE Measures'!$IK$8:$IK$86)</f>
        <v>-646.53283453549773</v>
      </c>
      <c r="AK46" s="593">
        <f>-SUMPRODUCT('EE Measures'!BR$8:BR$86,'EE Measures'!$N$8:$N$86,'EE Measures'!$IK$8:$IK$86)</f>
        <v>-741.6580509012291</v>
      </c>
      <c r="AL46" s="593">
        <f>-SUMPRODUCT('EE Measures'!BS$8:BS$86,'EE Measures'!$N$8:$N$86,'EE Measures'!$IK$8:$IK$86)</f>
        <v>-838.06680970072614</v>
      </c>
      <c r="AM46" s="593">
        <f>-SUMPRODUCT('EE Measures'!BT$8:BT$86,'EE Measures'!$N$8:$N$86,'EE Measures'!$IK$8:$IK$86)</f>
        <v>-935.774790483777</v>
      </c>
      <c r="AN46" s="593">
        <f>-SUMPRODUCT('EE Measures'!BU$8:BU$86,'EE Measures'!$N$8:$N$86,'EE Measures'!$IK$8:$IK$86)</f>
        <v>-1034.7976794134047</v>
      </c>
      <c r="AO46" s="593">
        <f>-SUMPRODUCT('EE Measures'!BV$8:BV$86,'EE Measures'!$N$8:$N$86,'EE Measures'!$IK$8:$IK$86)</f>
        <v>-1135.1663692954783</v>
      </c>
      <c r="AP46" s="898">
        <f t="shared" si="24"/>
        <v>-7541.4327309582832</v>
      </c>
      <c r="AQ46" s="554" t="str" cm="1">
        <f t="array" ref="AQ46:AQ50">_xlfn.ANCHORARRAY(AQ40)</f>
        <v xml:space="preserve">Põhja-Eesti </v>
      </c>
      <c r="AR46" s="592">
        <f>SUM(AS46:BB46)</f>
        <v>-7911.8728834552976</v>
      </c>
      <c r="AS46" s="593">
        <f>-SUMPRODUCT('EE Measures'!BH$8:BH$86,'EE Measures'!$Y$8:$Y$86,'EE Measures'!$IK$8:$IK$86)</f>
        <v>-126.72865578415012</v>
      </c>
      <c r="AT46" s="593">
        <f>-SUMPRODUCT('EE Measures'!BI$8:BI$86,'EE Measures'!$Y$8:$Y$86,'EE Measures'!$IK$8:$IK$86)</f>
        <v>-150.50341359041735</v>
      </c>
      <c r="AU46" s="593">
        <f>-SUMPRODUCT('EE Measures'!BJ$8:BJ$86,'EE Measures'!$Y$8:$Y$86,'EE Measures'!$IK$8:$IK$86)</f>
        <v>-169.08355798689033</v>
      </c>
      <c r="AV46" s="593">
        <f>-SUMPRODUCT('EE Measures'!BK$8:BK$86,'EE Measures'!$Y$8:$Y$86,'EE Measures'!$IK$8:$IK$86)</f>
        <v>-268.97228958217028</v>
      </c>
      <c r="AW46" s="593">
        <f>-SUMPRODUCT('EE Measures'!BL$8:BL$86,'EE Measures'!$Y$8:$Y$86,'EE Measures'!$IK$8:$IK$86)</f>
        <v>-594.65880292991903</v>
      </c>
      <c r="AX46" s="593">
        <f>-SUMPRODUCT('EE Measures'!BM$8:BM$86,'EE Measures'!$Y$8:$Y$86,'EE Measures'!$IK$8:$IK$86)</f>
        <v>-795.19638312388577</v>
      </c>
      <c r="AY46" s="593">
        <f>-SUMPRODUCT('EE Measures'!BN$8:BN$86,'EE Measures'!$Y$8:$Y$86,'EE Measures'!$IK$8:$IK$86)</f>
        <v>-1165.9294323706695</v>
      </c>
      <c r="AZ46" s="593">
        <f>-SUMPRODUCT('EE Measures'!BO$8:BO$86,'EE Measures'!$Y$8:$Y$86,'EE Measures'!$IK$8:$IK$86)</f>
        <v>-1350.1116122720862</v>
      </c>
      <c r="BA46" s="593">
        <f>-SUMPRODUCT('EE Measures'!BP$8:BP$86,'EE Measures'!$Y$8:$Y$86,'EE Measures'!$IK$8:$IK$86)</f>
        <v>-1544.7762571270309</v>
      </c>
      <c r="BB46" s="593">
        <f>-SUMPRODUCT('EE Measures'!BQ$8:BQ$86,'EE Measures'!$Y$8:$Y$86,'EE Measures'!$IK$8:$IK$86)</f>
        <v>-1745.9124786880773</v>
      </c>
      <c r="BC46" s="593">
        <f>-SUMPRODUCT('EE Measures'!BR$8:BR$86,'EE Measures'!$Y$8:$Y$86,'EE Measures'!$IK$8:$IK$86)</f>
        <v>-1907.420942763529</v>
      </c>
      <c r="BD46" s="593">
        <f>-SUMPRODUCT('EE Measures'!BS$8:BS$86,'EE Measures'!$Y$8:$Y$86,'EE Measures'!$IK$8:$IK$86)</f>
        <v>-2068.6242135977313</v>
      </c>
      <c r="BE46" s="593">
        <f>-SUMPRODUCT('EE Measures'!BT$8:BT$86,'EE Measures'!$Y$8:$Y$86,'EE Measures'!$IK$8:$IK$86)</f>
        <v>-2229.5503973316436</v>
      </c>
      <c r="BF46" s="593">
        <f>-SUMPRODUCT('EE Measures'!BU$8:BU$86,'EE Measures'!$Y$8:$Y$86,'EE Measures'!$IK$8:$IK$86)</f>
        <v>-2390.2272281317391</v>
      </c>
      <c r="BG46" s="593">
        <f>-SUMPRODUCT('EE Measures'!BV$8:BV$86,'EE Measures'!$Y$8:$Y$86,'EE Measures'!$IK$8:$IK$86)</f>
        <v>-2550.5895007238682</v>
      </c>
      <c r="BH46" s="867">
        <f>AR46/$AR$45</f>
        <v>0.48323557733746347</v>
      </c>
      <c r="BK46" s="587" t="s">
        <v>39</v>
      </c>
      <c r="BM46" s="648" t="s">
        <v>389</v>
      </c>
      <c r="BN46" s="592"/>
      <c r="BO46" s="492">
        <f>BO$10-SUMPRODUCT('EE Measures'!BH$8:BH$86,'EE Measures'!$T$8:$T$86,'EE Measures'!$IK$8:$IK$86)</f>
        <v>1363.1916744793882</v>
      </c>
      <c r="BP46" s="492">
        <f>BP$10-SUMPRODUCT('EE Measures'!BI$8:BI$86,'EE Measures'!$T$8:$T$86,'EE Measures'!$IK$8:$IK$86)</f>
        <v>1311.2231690929941</v>
      </c>
      <c r="BQ46" s="492">
        <f>BQ$10-SUMPRODUCT('EE Measures'!BJ$8:BJ$86,'EE Measures'!$T$8:$T$86,'EE Measures'!$IK$8:$IK$86)</f>
        <v>1325.8557634960321</v>
      </c>
      <c r="BR46" s="492">
        <f>BR$10-SUMPRODUCT('EE Measures'!BK$8:BK$86,'EE Measures'!$T$8:$T$86,'EE Measures'!$IK$8:$IK$86)</f>
        <v>1320.121559631323</v>
      </c>
      <c r="BS46" s="492">
        <f>BS$10-SUMPRODUCT('EE Measures'!BL$8:BL$86,'EE Measures'!$T$8:$T$86,'EE Measures'!$IK$8:$IK$86)</f>
        <v>1305.802561691386</v>
      </c>
      <c r="BT46" s="492">
        <f>BT$10-SUMPRODUCT('EE Measures'!BM$8:BM$86,'EE Measures'!$T$8:$T$86,'EE Measures'!$IK$8:$IK$86)</f>
        <v>1303.8119569670082</v>
      </c>
      <c r="BU46" s="492">
        <f>BU$10-SUMPRODUCT('EE Measures'!BN$8:BN$86,'EE Measures'!$T$8:$T$86,'EE Measures'!$IK$8:$IK$86)</f>
        <v>1295.2831032641143</v>
      </c>
      <c r="BV46" s="492">
        <f>BV$10-SUMPRODUCT('EE Measures'!BO$8:BO$86,'EE Measures'!$T$8:$T$86,'EE Measures'!$IK$8:$IK$86)</f>
        <v>1300.0204399059364</v>
      </c>
      <c r="BW46" s="492">
        <f>BW$10-SUMPRODUCT('EE Measures'!BP$8:BP$86,'EE Measures'!$T$8:$T$86,'EE Measures'!$IK$8:$IK$86)</f>
        <v>1299.73193848246</v>
      </c>
      <c r="BX46" s="492">
        <f>BX$10-SUMPRODUCT('EE Measures'!BQ$8:BQ$86,'EE Measures'!$T$8:$T$86,'EE Measures'!$IK$8:$IK$86)</f>
        <v>1295.8321861478305</v>
      </c>
      <c r="BY46" s="492">
        <f>BY$10-SUMPRODUCT('EE Measures'!BR$8:BR$86,'EE Measures'!$T$8:$T$86,'EE Measures'!$IK$8:$IK$86)</f>
        <v>1293.1030818245333</v>
      </c>
      <c r="BZ46" s="492">
        <f>BZ$10-SUMPRODUCT('EE Measures'!BS$8:BS$86,'EE Measures'!$T$8:$T$86,'EE Measures'!$IK$8:$IK$86)</f>
        <v>1290.3694578217694</v>
      </c>
      <c r="CA46" s="492">
        <f>CA$10-SUMPRODUCT('EE Measures'!BT$8:BT$86,'EE Measures'!$T$8:$T$86,'EE Measures'!$IK$8:$IK$86)</f>
        <v>1287.6319830076668</v>
      </c>
      <c r="CB46" s="492">
        <f>CB$10-SUMPRODUCT('EE Measures'!BU$8:BU$86,'EE Measures'!$T$8:$T$86,'EE Measures'!$IK$8:$IK$86)</f>
        <v>1284.8913899696597</v>
      </c>
      <c r="CC46" s="492">
        <f>CC$10-SUMPRODUCT('EE Measures'!BV$8:BV$86,'EE Measures'!$T$8:$T$86,'EE Measures'!$IK$8:$IK$86)</f>
        <v>1282.1448472645106</v>
      </c>
    </row>
    <row r="47" spans="3:81" outlineLevel="1" x14ac:dyDescent="0.3">
      <c r="C47" s="587" t="str">
        <f t="shared" ref="C47:C50" si="190">C46</f>
        <v>CEER1</v>
      </c>
      <c r="E47" s="563" t="s">
        <v>51</v>
      </c>
      <c r="F47" s="592">
        <f t="shared" ref="F47:F50" si="191">SUM(G47:P47)</f>
        <v>101808.58319778343</v>
      </c>
      <c r="G47" s="593">
        <f t="shared" ref="G47:P47" si="192">G$11+AA47</f>
        <v>10505.541297169239</v>
      </c>
      <c r="H47" s="593">
        <f t="shared" si="192"/>
        <v>10518.620321098373</v>
      </c>
      <c r="I47" s="593">
        <f t="shared" si="192"/>
        <v>10532.318330770775</v>
      </c>
      <c r="J47" s="593">
        <f t="shared" si="192"/>
        <v>10525.77148268684</v>
      </c>
      <c r="K47" s="593">
        <f t="shared" si="192"/>
        <v>10344.196883640956</v>
      </c>
      <c r="L47" s="593">
        <f t="shared" si="192"/>
        <v>10180.327425224124</v>
      </c>
      <c r="M47" s="593">
        <f t="shared" si="192"/>
        <v>10024.916528270258</v>
      </c>
      <c r="N47" s="593">
        <f t="shared" si="192"/>
        <v>9873.0514243401904</v>
      </c>
      <c r="O47" s="593">
        <f t="shared" si="192"/>
        <v>9724.5282484374075</v>
      </c>
      <c r="P47" s="593">
        <f t="shared" si="192"/>
        <v>9579.311256145269</v>
      </c>
      <c r="Q47" s="593">
        <f t="shared" ref="Q47:U47" si="193">Q$11+AK47</f>
        <v>9437.3658067058896</v>
      </c>
      <c r="R47" s="593">
        <f t="shared" si="193"/>
        <v>9298.6583465336371</v>
      </c>
      <c r="S47" s="593">
        <f t="shared" si="193"/>
        <v>9163.1563931556266</v>
      </c>
      <c r="T47" s="593">
        <f t="shared" si="193"/>
        <v>9030.8285195717144</v>
      </c>
      <c r="U47" s="593">
        <f t="shared" si="193"/>
        <v>8902.1570012751854</v>
      </c>
      <c r="V47"/>
      <c r="W47"/>
      <c r="Y47" s="563" t="s">
        <v>51</v>
      </c>
      <c r="Z47" s="592">
        <f t="shared" ref="Z47:Z50" si="194">SUM(AA47:AJ47)</f>
        <v>-5086.8484007084026</v>
      </c>
      <c r="AA47" s="593">
        <f>-SUMPRODUCT('EE Measures'!BH$8:BH$86,'EE Measures'!$O$8:$O$86,'EE Measures'!$IK$8:$IK$86)</f>
        <v>-30.340202830761658</v>
      </c>
      <c r="AB47" s="593">
        <f>-SUMPRODUCT('EE Measures'!BI$8:BI$86,'EE Measures'!$O$8:$O$86,'EE Measures'!$IK$8:$IK$86)</f>
        <v>-46.612077339128874</v>
      </c>
      <c r="AC47" s="593">
        <f>-SUMPRODUCT('EE Measures'!BJ$8:BJ$86,'EE Measures'!$O$8:$O$86,'EE Measures'!$IK$8:$IK$86)</f>
        <v>-63.705850271813944</v>
      </c>
      <c r="AD47" s="593">
        <f>-SUMPRODUCT('EE Measures'!BK$8:BK$86,'EE Measures'!$O$8:$O$86,'EE Measures'!$IK$8:$IK$86)</f>
        <v>-102.50393154079981</v>
      </c>
      <c r="AE47" s="593">
        <f>-SUMPRODUCT('EE Measures'!BL$8:BL$86,'EE Measures'!$O$8:$O$86,'EE Measures'!$IK$8:$IK$86)</f>
        <v>-317.80817426562697</v>
      </c>
      <c r="AF47" s="593">
        <f>-SUMPRODUCT('EE Measures'!BM$8:BM$86,'EE Measures'!$O$8:$O$86,'EE Measures'!$IK$8:$IK$86)</f>
        <v>-516.90504691075262</v>
      </c>
      <c r="AG47" s="593">
        <f>-SUMPRODUCT('EE Measures'!BN$8:BN$86,'EE Measures'!$O$8:$O$86,'EE Measures'!$IK$8:$IK$86)</f>
        <v>-713.53392675503483</v>
      </c>
      <c r="AH47" s="593">
        <f>-SUMPRODUCT('EE Measures'!BO$8:BO$86,'EE Measures'!$O$8:$O$86,'EE Measures'!$IK$8:$IK$86)</f>
        <v>-907.57793331963444</v>
      </c>
      <c r="AI47" s="593">
        <f>-SUMPRODUCT('EE Measures'!BP$8:BP$86,'EE Measures'!$O$8:$O$86,'EE Measures'!$IK$8:$IK$86)</f>
        <v>-1099.2532272513295</v>
      </c>
      <c r="AJ47" s="593">
        <f>-SUMPRODUCT('EE Measures'!BQ$8:BQ$86,'EE Measures'!$O$8:$O$86,'EE Measures'!$IK$8:$IK$86)</f>
        <v>-1288.6080302235198</v>
      </c>
      <c r="AK47" s="593">
        <f>-SUMPRODUCT('EE Measures'!BR$8:BR$86,'EE Measures'!$O$8:$O$86,'EE Measures'!$IK$8:$IK$86)</f>
        <v>-1475.6896444312845</v>
      </c>
      <c r="AL47" s="593">
        <f>-SUMPRODUCT('EE Measures'!BS$8:BS$86,'EE Measures'!$O$8:$O$86,'EE Measures'!$IK$8:$IK$86)</f>
        <v>-1660.5444716887507</v>
      </c>
      <c r="AM47" s="593">
        <f>-SUMPRODUCT('EE Measures'!BT$8:BT$86,'EE Measures'!$O$8:$O$86,'EE Measures'!$IK$8:$IK$86)</f>
        <v>-1843.2180321369235</v>
      </c>
      <c r="AN47" s="593">
        <f>-SUMPRODUCT('EE Measures'!BU$8:BU$86,'EE Measures'!$O$8:$O$86,'EE Measures'!$IK$8:$IK$86)</f>
        <v>-2023.7549825700262</v>
      </c>
      <c r="AO47" s="593">
        <f>-SUMPRODUCT('EE Measures'!BV$8:BV$86,'EE Measures'!$O$8:$O$86,'EE Measures'!$IK$8:$IK$86)</f>
        <v>-2201.6864721396742</v>
      </c>
      <c r="AP47" s="898">
        <f t="shared" si="24"/>
        <v>-14151.083873233358</v>
      </c>
      <c r="AQ47" s="554" t="str">
        <v>Lääne-Eesti</v>
      </c>
      <c r="AR47" s="592">
        <f t="shared" ref="AR47:AR50" si="195">SUM(AS47:BB47)</f>
        <v>-2283.4642796325966</v>
      </c>
      <c r="AS47" s="593">
        <f>-SUMPRODUCT('EE Measures'!BH$8:BH$86,'EE Measures'!$Z$8:$Z$86,'EE Measures'!$IK$8:$IK$86)</f>
        <v>-20.850352744728511</v>
      </c>
      <c r="AT47" s="593">
        <f>-SUMPRODUCT('EE Measures'!BI$8:BI$86,'EE Measures'!$Z$8:$Z$86,'EE Measures'!$IK$8:$IK$86)</f>
        <v>-26.424320582208811</v>
      </c>
      <c r="AU47" s="593">
        <f>-SUMPRODUCT('EE Measures'!BJ$8:BJ$86,'EE Measures'!$Z$8:$Z$86,'EE Measures'!$IK$8:$IK$86)</f>
        <v>-31.329782354225937</v>
      </c>
      <c r="AV47" s="593">
        <f>-SUMPRODUCT('EE Measures'!BK$8:BK$86,'EE Measures'!$Z$8:$Z$86,'EE Measures'!$IK$8:$IK$86)</f>
        <v>-53.95267348429536</v>
      </c>
      <c r="AW47" s="593">
        <f>-SUMPRODUCT('EE Measures'!BL$8:BL$86,'EE Measures'!$Z$8:$Z$86,'EE Measures'!$IK$8:$IK$86)</f>
        <v>-116.87623428888449</v>
      </c>
      <c r="AX47" s="593">
        <f>-SUMPRODUCT('EE Measures'!BM$8:BM$86,'EE Measures'!$Z$8:$Z$86,'EE Measures'!$IK$8:$IK$86)</f>
        <v>-168.21972056016733</v>
      </c>
      <c r="AY47" s="593">
        <f>-SUMPRODUCT('EE Measures'!BN$8:BN$86,'EE Measures'!$Z$8:$Z$86,'EE Measures'!$IK$8:$IK$86)</f>
        <v>-390.72513218854129</v>
      </c>
      <c r="AZ47" s="593">
        <f>-SUMPRODUCT('EE Measures'!BO$8:BO$86,'EE Measures'!$Z$8:$Z$86,'EE Measures'!$IK$8:$IK$86)</f>
        <v>-440.32292977247141</v>
      </c>
      <c r="BA47" s="593">
        <f>-SUMPRODUCT('EE Measures'!BP$8:BP$86,'EE Measures'!$Z$8:$Z$86,'EE Measures'!$IK$8:$IK$86)</f>
        <v>-491.43351384995179</v>
      </c>
      <c r="BB47" s="593">
        <f>-SUMPRODUCT('EE Measures'!BQ$8:BQ$86,'EE Measures'!$Z$8:$Z$86,'EE Measures'!$IK$8:$IK$86)</f>
        <v>-543.32961980712162</v>
      </c>
      <c r="BC47" s="593">
        <f>-SUMPRODUCT('EE Measures'!BR$8:BR$86,'EE Measures'!$Z$8:$Z$86,'EE Measures'!$IK$8:$IK$86)</f>
        <v>-591.95336004229421</v>
      </c>
      <c r="BD47" s="593">
        <f>-SUMPRODUCT('EE Measures'!BS$8:BS$86,'EE Measures'!$Z$8:$Z$86,'EE Measures'!$IK$8:$IK$86)</f>
        <v>-640.33513203677057</v>
      </c>
      <c r="BE47" s="593">
        <f>-SUMPRODUCT('EE Measures'!BT$8:BT$86,'EE Measures'!$Z$8:$Z$86,'EE Measures'!$IK$8:$IK$86)</f>
        <v>-688.48336850337341</v>
      </c>
      <c r="BF47" s="593">
        <f>-SUMPRODUCT('EE Measures'!BU$8:BU$86,'EE Measures'!$Z$8:$Z$86,'EE Measures'!$IK$8:$IK$86)</f>
        <v>-736.40636744265066</v>
      </c>
      <c r="BG47" s="593">
        <f>-SUMPRODUCT('EE Measures'!BV$8:BV$86,'EE Measures'!$Z$8:$Z$86,'EE Measures'!$IK$8:$IK$86)</f>
        <v>-784.13010712134644</v>
      </c>
      <c r="BH47" s="867">
        <f>AR47/$AR$45</f>
        <v>0.13946775886720644</v>
      </c>
      <c r="BK47" s="587" t="s">
        <v>39</v>
      </c>
      <c r="BM47" s="648" t="s">
        <v>390</v>
      </c>
      <c r="BN47" s="592"/>
      <c r="BO47" s="492">
        <f>BO$11-SUMPRODUCT('EE Measures'!BH$8:BH$86,'EE Measures'!$U$8:$U$86,'EE Measures'!$IK$8:$IK$86)</f>
        <v>5.6006017536074442</v>
      </c>
      <c r="BP47" s="492">
        <f>BP$11-SUMPRODUCT('EE Measures'!BI$8:BI$86,'EE Measures'!$U$8:$U$86,'EE Measures'!$IK$8:$IK$86)</f>
        <v>124.57047388607955</v>
      </c>
      <c r="BQ47" s="492">
        <f>BQ$11-SUMPRODUCT('EE Measures'!BJ$8:BJ$86,'EE Measures'!$U$8:$U$86,'EE Measures'!$IK$8:$IK$86)</f>
        <v>126.02824055274621</v>
      </c>
      <c r="BR47" s="492">
        <f>BR$11-SUMPRODUCT('EE Measures'!BK$8:BK$86,'EE Measures'!$U$8:$U$86,'EE Measures'!$IK$8:$IK$86)</f>
        <v>127.81625990547496</v>
      </c>
      <c r="BS47" s="492">
        <f>BS$11-SUMPRODUCT('EE Measures'!BL$8:BL$86,'EE Measures'!$U$8:$U$86,'EE Measures'!$IK$8:$IK$86)</f>
        <v>129.42433666190152</v>
      </c>
      <c r="BT47" s="492">
        <f>BT$11-SUMPRODUCT('EE Measures'!BM$8:BM$86,'EE Measures'!$U$8:$U$86,'EE Measures'!$IK$8:$IK$86)</f>
        <v>131.0651885219701</v>
      </c>
      <c r="BU47" s="492">
        <f>BU$11-SUMPRODUCT('EE Measures'!BN$8:BN$86,'EE Measures'!$U$8:$U$86,'EE Measures'!$IK$8:$IK$86)</f>
        <v>132.71853671173599</v>
      </c>
      <c r="BV47" s="492">
        <f>BV$11-SUMPRODUCT('EE Measures'!BO$8:BO$86,'EE Measures'!$U$8:$U$86,'EE Measures'!$IK$8:$IK$86)</f>
        <v>134.48082017364678</v>
      </c>
      <c r="BW47" s="492">
        <f>BW$11-SUMPRODUCT('EE Measures'!BP$8:BP$86,'EE Measures'!$U$8:$U$86,'EE Measures'!$IK$8:$IK$86)</f>
        <v>136.20016368955092</v>
      </c>
      <c r="BX47" s="492">
        <f>BX$11-SUMPRODUCT('EE Measures'!BQ$8:BQ$86,'EE Measures'!$U$8:$U$86,'EE Measures'!$IK$8:$IK$86)</f>
        <v>137.89557584467664</v>
      </c>
      <c r="BY47" s="492">
        <f>BY$11-SUMPRODUCT('EE Measures'!BR$8:BR$86,'EE Measures'!$U$8:$U$86,'EE Measures'!$IK$8:$IK$86)</f>
        <v>139.64008776190752</v>
      </c>
      <c r="BZ47" s="492">
        <f>BZ$11-SUMPRODUCT('EE Measures'!BS$8:BS$86,'EE Measures'!$U$8:$U$86,'EE Measures'!$IK$8:$IK$86)</f>
        <v>141.41123990573857</v>
      </c>
      <c r="CA47" s="492">
        <f>CA$11-SUMPRODUCT('EE Measures'!BT$8:BT$86,'EE Measures'!$U$8:$U$86,'EE Measures'!$IK$8:$IK$86)</f>
        <v>143.20944326549306</v>
      </c>
      <c r="CB47" s="492">
        <f>CB$11-SUMPRODUCT('EE Measures'!BU$8:BU$86,'EE Measures'!$U$8:$U$86,'EE Measures'!$IK$8:$IK$86)</f>
        <v>145.03511573789424</v>
      </c>
      <c r="CC47" s="492">
        <f>CC$11-SUMPRODUCT('EE Measures'!BV$8:BV$86,'EE Measures'!$U$8:$U$86,'EE Measures'!$IK$8:$IK$86)</f>
        <v>146.88863272665836</v>
      </c>
    </row>
    <row r="48" spans="3:81" outlineLevel="1" x14ac:dyDescent="0.3">
      <c r="C48" s="587" t="str">
        <f t="shared" si="190"/>
        <v>CEER1</v>
      </c>
      <c r="E48" s="563" t="s">
        <v>52</v>
      </c>
      <c r="F48" s="592">
        <f t="shared" si="191"/>
        <v>53340.68918365657</v>
      </c>
      <c r="G48" s="593">
        <f t="shared" ref="G48:P48" si="196">G$12+AA48</f>
        <v>5337.3640280558666</v>
      </c>
      <c r="H48" s="593">
        <f t="shared" si="196"/>
        <v>5361.642849994173</v>
      </c>
      <c r="I48" s="593">
        <f t="shared" si="196"/>
        <v>5391.2699254265435</v>
      </c>
      <c r="J48" s="593">
        <f t="shared" si="196"/>
        <v>5408.4641743286256</v>
      </c>
      <c r="K48" s="593">
        <f t="shared" si="196"/>
        <v>5371.896890820477</v>
      </c>
      <c r="L48" s="593">
        <f t="shared" si="196"/>
        <v>5343.8233219729264</v>
      </c>
      <c r="M48" s="593">
        <f t="shared" si="196"/>
        <v>5317.5536969801296</v>
      </c>
      <c r="N48" s="593">
        <f t="shared" si="196"/>
        <v>5292.6436934639178</v>
      </c>
      <c r="O48" s="593">
        <f t="shared" si="196"/>
        <v>5269.1001693181761</v>
      </c>
      <c r="P48" s="593">
        <f t="shared" si="196"/>
        <v>5246.9304332957317</v>
      </c>
      <c r="Q48" s="593">
        <f t="shared" ref="Q48:U48" si="197">Q$12+AK48</f>
        <v>5226.1422473359717</v>
      </c>
      <c r="R48" s="593">
        <f t="shared" si="197"/>
        <v>5206.7438290688606</v>
      </c>
      <c r="S48" s="593">
        <f t="shared" si="197"/>
        <v>5188.7438544961587</v>
      </c>
      <c r="T48" s="593">
        <f t="shared" si="197"/>
        <v>5172.1514608507632</v>
      </c>
      <c r="U48" s="593">
        <f t="shared" si="197"/>
        <v>5156.6218591695661</v>
      </c>
      <c r="V48"/>
      <c r="W48"/>
      <c r="Y48" s="563" t="s">
        <v>52</v>
      </c>
      <c r="Z48" s="592">
        <f t="shared" si="194"/>
        <v>-2079.2236512488257</v>
      </c>
      <c r="AA48" s="593">
        <f>-SUMPRODUCT('EE Measures'!BH$8:BH$86,'EE Measures'!$P$8:$P$86,'EE Measures'!$IK$8:$IK$86)</f>
        <v>-47.711671944133144</v>
      </c>
      <c r="AB48" s="593">
        <f>-SUMPRODUCT('EE Measures'!BI$8:BI$86,'EE Measures'!$P$8:$P$86,'EE Measures'!$IK$8:$IK$86)</f>
        <v>-55.599480709088851</v>
      </c>
      <c r="AC48" s="593">
        <f>-SUMPRODUCT('EE Measures'!BJ$8:BJ$86,'EE Measures'!$P$8:$P$86,'EE Measures'!$IK$8:$IK$86)</f>
        <v>-59.098718809684456</v>
      </c>
      <c r="AD48" s="593">
        <f>-SUMPRODUCT('EE Measures'!BK$8:BK$86,'EE Measures'!$P$8:$P$86,'EE Measures'!$IK$8:$IK$86)</f>
        <v>-76.004420747916299</v>
      </c>
      <c r="AE48" s="593">
        <f>-SUMPRODUCT('EE Measures'!BL$8:BL$86,'EE Measures'!$P$8:$P$86,'EE Measures'!$IK$8:$IK$86)</f>
        <v>-147.65954101363187</v>
      </c>
      <c r="AF48" s="593">
        <f>-SUMPRODUCT('EE Measures'!BM$8:BM$86,'EE Measures'!$P$8:$P$86,'EE Measures'!$IK$8:$IK$86)</f>
        <v>-211.82338064138997</v>
      </c>
      <c r="AG48" s="593">
        <f>-SUMPRODUCT('EE Measures'!BN$8:BN$86,'EE Measures'!$P$8:$P$86,'EE Measures'!$IK$8:$IK$86)</f>
        <v>-275.60082424493777</v>
      </c>
      <c r="AH48" s="593">
        <f>-SUMPRODUCT('EE Measures'!BO$8:BO$86,'EE Measures'!$P$8:$P$86,'EE Measures'!$IK$8:$IK$86)</f>
        <v>-339.00009547914175</v>
      </c>
      <c r="AI48" s="593">
        <f>-SUMPRODUCT('EE Measures'!BP$8:BP$86,'EE Measures'!$P$8:$P$86,'EE Measures'!$IK$8:$IK$86)</f>
        <v>-402.02926481425516</v>
      </c>
      <c r="AJ48" s="593">
        <f>-SUMPRODUCT('EE Measures'!BQ$8:BQ$86,'EE Measures'!$P$8:$P$86,'EE Measures'!$IK$8:$IK$86)</f>
        <v>-464.69625284464661</v>
      </c>
      <c r="AK48" s="593">
        <f>-SUMPRODUCT('EE Measures'!BR$8:BR$86,'EE Measures'!$P$8:$P$86,'EE Measures'!$IK$8:$IK$86)</f>
        <v>-527.00883353019606</v>
      </c>
      <c r="AL48" s="593">
        <f>-SUMPRODUCT('EE Measures'!BS$8:BS$86,'EE Measures'!$P$8:$P$86,'EE Measures'!$IK$8:$IK$86)</f>
        <v>-588.97463737170574</v>
      </c>
      <c r="AM48" s="593">
        <f>-SUMPRODUCT('EE Measures'!BT$8:BT$86,'EE Measures'!$P$8:$P$86,'EE Measures'!$IK$8:$IK$86)</f>
        <v>-650.60115452166656</v>
      </c>
      <c r="AN48" s="593">
        <f>-SUMPRODUCT('EE Measures'!BU$8:BU$86,'EE Measures'!$P$8:$P$86,'EE Measures'!$IK$8:$IK$86)</f>
        <v>-711.89573783170556</v>
      </c>
      <c r="AO48" s="593">
        <f>-SUMPRODUCT('EE Measures'!BV$8:BV$86,'EE Measures'!$P$8:$P$86,'EE Measures'!$IK$8:$IK$86)</f>
        <v>-773.21999630357618</v>
      </c>
      <c r="AP48" s="898">
        <f t="shared" si="24"/>
        <v>-5168.5141393447693</v>
      </c>
      <c r="AQ48" s="554" t="str">
        <v>Kirde-Eesti</v>
      </c>
      <c r="AR48" s="592">
        <f t="shared" si="195"/>
        <v>-1413.7692925331885</v>
      </c>
      <c r="AS48" s="593">
        <f>-SUMPRODUCT('EE Measures'!BH$8:BH$86,'EE Measures'!$AA$8:$AA$86,'EE Measures'!$IK$8:$IK$86)</f>
        <v>-23.815853131249778</v>
      </c>
      <c r="AT48" s="593">
        <f>-SUMPRODUCT('EE Measures'!BI$8:BI$86,'EE Measures'!$AA$8:$AA$86,'EE Measures'!$IK$8:$IK$86)</f>
        <v>-28.915539106266223</v>
      </c>
      <c r="AU48" s="593">
        <f>-SUMPRODUCT('EE Measures'!BJ$8:BJ$86,'EE Measures'!$AA$8:$AA$86,'EE Measures'!$IK$8:$IK$86)</f>
        <v>-32.908022668847948</v>
      </c>
      <c r="AV48" s="593">
        <f>-SUMPRODUCT('EE Measures'!BK$8:BK$86,'EE Measures'!$AA$8:$AA$86,'EE Measures'!$IK$8:$IK$86)</f>
        <v>-53.760017951436033</v>
      </c>
      <c r="AW48" s="593">
        <f>-SUMPRODUCT('EE Measures'!BL$8:BL$86,'EE Measures'!$AA$8:$AA$86,'EE Measures'!$IK$8:$IK$86)</f>
        <v>-106.9976996968997</v>
      </c>
      <c r="AX48" s="593">
        <f>-SUMPRODUCT('EE Measures'!BM$8:BM$86,'EE Measures'!$AA$8:$AA$86,'EE Measures'!$IK$8:$IK$86)</f>
        <v>-150.12922210649197</v>
      </c>
      <c r="AY48" s="593">
        <f>-SUMPRODUCT('EE Measures'!BN$8:BN$86,'EE Measures'!$AA$8:$AA$86,'EE Measures'!$IK$8:$IK$86)</f>
        <v>-193.35492977307234</v>
      </c>
      <c r="AZ48" s="593">
        <f>-SUMPRODUCT('EE Measures'!BO$8:BO$86,'EE Measures'!$AA$8:$AA$86,'EE Measures'!$IK$8:$IK$86)</f>
        <v>-232.46599807724917</v>
      </c>
      <c r="BA48" s="593">
        <f>-SUMPRODUCT('EE Measures'!BP$8:BP$86,'EE Measures'!$AA$8:$AA$86,'EE Measures'!$IK$8:$IK$86)</f>
        <v>-274.10353894024996</v>
      </c>
      <c r="BB48" s="593">
        <f>-SUMPRODUCT('EE Measures'!BQ$8:BQ$86,'EE Measures'!$AA$8:$AA$86,'EE Measures'!$IK$8:$IK$86)</f>
        <v>-317.31847108142523</v>
      </c>
      <c r="BC48" s="593">
        <f>-SUMPRODUCT('EE Measures'!BR$8:BR$86,'EE Measures'!$AA$8:$AA$86,'EE Measures'!$IK$8:$IK$86)</f>
        <v>-359.23894361877842</v>
      </c>
      <c r="BD48" s="593">
        <f>-SUMPRODUCT('EE Measures'!BS$8:BS$86,'EE Measures'!$AA$8:$AA$86,'EE Measures'!$IK$8:$IK$86)</f>
        <v>-401.02257116166675</v>
      </c>
      <c r="BE48" s="593">
        <f>-SUMPRODUCT('EE Measures'!BT$8:BT$86,'EE Measures'!$AA$8:$AA$86,'EE Measures'!$IK$8:$IK$86)</f>
        <v>-442.67743115522609</v>
      </c>
      <c r="BF48" s="593">
        <f>-SUMPRODUCT('EE Measures'!BU$8:BU$86,'EE Measures'!$AA$8:$AA$86,'EE Measures'!$IK$8:$IK$86)</f>
        <v>-484.21148590895319</v>
      </c>
      <c r="BG48" s="593">
        <f>-SUMPRODUCT('EE Measures'!BV$8:BV$86,'EE Measures'!$AA$8:$AA$86,'EE Measures'!$IK$8:$IK$86)</f>
        <v>-525.58728990286284</v>
      </c>
      <c r="BH48" s="867">
        <f>AR48/$AR$45</f>
        <v>8.634916540783584E-2</v>
      </c>
      <c r="BK48" s="587" t="s">
        <v>39</v>
      </c>
      <c r="BM48" s="648" t="s">
        <v>391</v>
      </c>
      <c r="BN48" s="592"/>
      <c r="BO48" s="492">
        <f>BO$12-SUMPRODUCT('EE Measures'!BH$8:BH$86,'EE Measures'!$V$8:$V$86,'EE Measures'!$IK$8:$IK$86)</f>
        <v>774.56660441162262</v>
      </c>
      <c r="BP48" s="492">
        <f>BP$12-SUMPRODUCT('EE Measures'!BI$8:BI$86,'EE Measures'!$V$8:$V$86,'EE Measures'!$IK$8:$IK$86)</f>
        <v>865.63674165140878</v>
      </c>
      <c r="BQ48" s="492">
        <f>BQ$12-SUMPRODUCT('EE Measures'!BJ$8:BJ$86,'EE Measures'!$V$8:$V$86,'EE Measures'!$IK$8:$IK$86)</f>
        <v>871.62335247875421</v>
      </c>
      <c r="BR48" s="492">
        <f>BR$12-SUMPRODUCT('EE Measures'!BK$8:BK$86,'EE Measures'!$V$8:$V$86,'EE Measures'!$IK$8:$IK$86)</f>
        <v>877.74500462638014</v>
      </c>
      <c r="BS48" s="492">
        <f>BS$12-SUMPRODUCT('EE Measures'!BL$8:BL$86,'EE Measures'!$V$8:$V$86,'EE Measures'!$IK$8:$IK$86)</f>
        <v>869.69570194721712</v>
      </c>
      <c r="BT48" s="492">
        <f>BT$12-SUMPRODUCT('EE Measures'!BM$8:BM$86,'EE Measures'!$V$8:$V$86,'EE Measures'!$IK$8:$IK$86)</f>
        <v>868.09349128932172</v>
      </c>
      <c r="BU48" s="492">
        <f>BU$12-SUMPRODUCT('EE Measures'!BN$8:BN$86,'EE Measures'!$V$8:$V$86,'EE Measures'!$IK$8:$IK$86)</f>
        <v>844.26235304018769</v>
      </c>
      <c r="BV48" s="492">
        <f>BV$12-SUMPRODUCT('EE Measures'!BO$8:BO$86,'EE Measures'!$V$8:$V$86,'EE Measures'!$IK$8:$IK$86)</f>
        <v>844.24949172520576</v>
      </c>
      <c r="BW48" s="492">
        <f>BW$12-SUMPRODUCT('EE Measures'!BP$8:BP$86,'EE Measures'!$V$8:$V$86,'EE Measures'!$IK$8:$IK$86)</f>
        <v>843.43486848375551</v>
      </c>
      <c r="BX48" s="492">
        <f>BX$12-SUMPRODUCT('EE Measures'!BQ$8:BQ$86,'EE Measures'!$V$8:$V$86,'EE Measures'!$IK$8:$IK$86)</f>
        <v>842.23591467260007</v>
      </c>
      <c r="BY48" s="492">
        <f>BY$12-SUMPRODUCT('EE Measures'!BR$8:BR$86,'EE Measures'!$V$8:$V$86,'EE Measures'!$IK$8:$IK$86)</f>
        <v>844.3800471111673</v>
      </c>
      <c r="BZ48" s="492">
        <f>BZ$12-SUMPRODUCT('EE Measures'!BS$8:BS$86,'EE Measures'!$V$8:$V$86,'EE Measures'!$IK$8:$IK$86)</f>
        <v>846.70259308459117</v>
      </c>
      <c r="CA48" s="492">
        <f>CA$12-SUMPRODUCT('EE Measures'!BT$8:BT$86,'EE Measures'!$V$8:$V$86,'EE Measures'!$IK$8:$IK$86)</f>
        <v>849.20674845844576</v>
      </c>
      <c r="CB48" s="492">
        <f>CB$12-SUMPRODUCT('EE Measures'!BU$8:BU$86,'EE Measures'!$V$8:$V$86,'EE Measures'!$IK$8:$IK$86)</f>
        <v>851.89577597300956</v>
      </c>
      <c r="CC48" s="492">
        <f>CC$12-SUMPRODUCT('EE Measures'!BV$8:BV$86,'EE Measures'!$V$8:$V$86,'EE Measures'!$IK$8:$IK$86)</f>
        <v>854.77231883407853</v>
      </c>
    </row>
    <row r="49" spans="3:81" outlineLevel="1" x14ac:dyDescent="0.3">
      <c r="C49" s="587" t="str">
        <f t="shared" si="190"/>
        <v>CEER1</v>
      </c>
      <c r="E49" s="563" t="s">
        <v>53</v>
      </c>
      <c r="F49" s="592">
        <f t="shared" si="191"/>
        <v>95850.808712702812</v>
      </c>
      <c r="G49" s="593">
        <f t="shared" ref="G49:P49" si="198">G$13+AA49</f>
        <v>9663.2257318755801</v>
      </c>
      <c r="H49" s="593">
        <f t="shared" si="198"/>
        <v>9738.1741193571361</v>
      </c>
      <c r="I49" s="593">
        <f t="shared" si="198"/>
        <v>9816.5670330763824</v>
      </c>
      <c r="J49" s="593">
        <f t="shared" si="198"/>
        <v>9812.8155561982658</v>
      </c>
      <c r="K49" s="593">
        <f t="shared" si="198"/>
        <v>9678.4137566290992</v>
      </c>
      <c r="L49" s="593">
        <f t="shared" si="198"/>
        <v>9684.4626613432411</v>
      </c>
      <c r="M49" s="593">
        <f t="shared" si="198"/>
        <v>9347.4832813792982</v>
      </c>
      <c r="N49" s="593">
        <f t="shared" si="198"/>
        <v>9357.8202736881376</v>
      </c>
      <c r="O49" s="593">
        <f t="shared" si="198"/>
        <v>9368.8529972698725</v>
      </c>
      <c r="P49" s="593">
        <f t="shared" si="198"/>
        <v>9382.9933018857973</v>
      </c>
      <c r="Q49" s="593">
        <f t="shared" ref="Q49:U49" si="199">Q$13+AK49</f>
        <v>9443.8844433469822</v>
      </c>
      <c r="R49" s="593">
        <f t="shared" si="199"/>
        <v>9505.8337979625358</v>
      </c>
      <c r="S49" s="593">
        <f t="shared" si="199"/>
        <v>9568.8519122272119</v>
      </c>
      <c r="T49" s="593">
        <f t="shared" si="199"/>
        <v>9632.9494380835404</v>
      </c>
      <c r="U49" s="593">
        <f t="shared" si="199"/>
        <v>9698.1371339883681</v>
      </c>
      <c r="V49"/>
      <c r="W49"/>
      <c r="Y49" s="563" t="s">
        <v>53</v>
      </c>
      <c r="Z49" s="592">
        <f t="shared" si="194"/>
        <v>-5850.615697438926</v>
      </c>
      <c r="AA49" s="593">
        <f>-SUMPRODUCT('EE Measures'!BH$8:BH$86,'EE Measures'!$Q$8:$Q$86,'EE Measures'!$IK$8:$IK$86)</f>
        <v>-57.607601457754342</v>
      </c>
      <c r="AB49" s="593">
        <f>-SUMPRODUCT('EE Measures'!BI$8:BI$86,'EE Measures'!$Q$8:$Q$86,'EE Measures'!$IK$8:$IK$86)</f>
        <v>-79.867547309530934</v>
      </c>
      <c r="AC49" s="593">
        <f>-SUMPRODUCT('EE Measures'!BJ$8:BJ$86,'EE Measures'!$Q$8:$Q$86,'EE Measures'!$IK$8:$IK$86)</f>
        <v>-99.655050256952165</v>
      </c>
      <c r="AD49" s="593">
        <f>-SUMPRODUCT('EE Measures'!BK$8:BK$86,'EE Measures'!$Q$8:$Q$86,'EE Measures'!$IK$8:$IK$86)</f>
        <v>-202.56874796840242</v>
      </c>
      <c r="AE49" s="593">
        <f>-SUMPRODUCT('EE Measures'!BL$8:BL$86,'EE Measures'!$Q$8:$Q$86,'EE Measures'!$IK$8:$IK$86)</f>
        <v>-437.1243905792353</v>
      </c>
      <c r="AF49" s="593">
        <f>-SUMPRODUCT('EE Measures'!BM$8:BM$86,'EE Measures'!$Q$8:$Q$86,'EE Measures'!$IK$8:$IK$86)</f>
        <v>-532.23086733717719</v>
      </c>
      <c r="AG49" s="593">
        <f>-SUMPRODUCT('EE Measures'!BN$8:BN$86,'EE Measures'!$Q$8:$Q$86,'EE Measures'!$IK$8:$IK$86)</f>
        <v>-971.37718258792484</v>
      </c>
      <c r="AH49" s="593">
        <f>-SUMPRODUCT('EE Measures'!BO$8:BO$86,'EE Measures'!$Q$8:$Q$86,'EE Measures'!$IK$8:$IK$86)</f>
        <v>-1064.2287949187571</v>
      </c>
      <c r="AI49" s="593">
        <f>-SUMPRODUCT('EE Measures'!BP$8:BP$86,'EE Measures'!$Q$8:$Q$86,'EE Measures'!$IK$8:$IK$86)</f>
        <v>-1157.4165620230929</v>
      </c>
      <c r="AJ49" s="593">
        <f>-SUMPRODUCT('EE Measures'!BQ$8:BQ$86,'EE Measures'!$Q$8:$Q$86,'EE Measures'!$IK$8:$IK$86)</f>
        <v>-1248.5389530000982</v>
      </c>
      <c r="AK49" s="593">
        <f>-SUMPRODUCT('EE Measures'!BR$8:BR$86,'EE Measures'!$Q$8:$Q$86,'EE Measures'!$IK$8:$IK$86)</f>
        <v>-1293.9631340877722</v>
      </c>
      <c r="AL49" s="593">
        <f>-SUMPRODUCT('EE Measures'!BS$8:BS$86,'EE Measures'!$Q$8:$Q$86,'EE Measures'!$IK$8:$IK$86)</f>
        <v>-1339.3922552465644</v>
      </c>
      <c r="AM49" s="593">
        <f>-SUMPRODUCT('EE Measures'!BT$8:BT$86,'EE Measures'!$Q$8:$Q$86,'EE Measures'!$IK$8:$IK$86)</f>
        <v>-1384.8264015139785</v>
      </c>
      <c r="AN49" s="593">
        <f>-SUMPRODUCT('EE Measures'!BU$8:BU$86,'EE Measures'!$Q$8:$Q$86,'EE Measures'!$IK$8:$IK$86)</f>
        <v>-1430.2656587950626</v>
      </c>
      <c r="AO49" s="593">
        <f>-SUMPRODUCT('EE Measures'!BV$8:BV$86,'EE Measures'!$Q$8:$Q$86,'EE Measures'!$IK$8:$IK$86)</f>
        <v>-1475.7101138590212</v>
      </c>
      <c r="AP49" s="898">
        <f t="shared" si="24"/>
        <v>-12537.643061917088</v>
      </c>
      <c r="AQ49" s="554" t="str">
        <v>Lõuna-Eesti </v>
      </c>
      <c r="AR49" s="592">
        <f t="shared" si="195"/>
        <v>-3346.6540092172154</v>
      </c>
      <c r="AS49" s="593">
        <f>-SUMPRODUCT('EE Measures'!BH$8:BH$86,'EE Measures'!$AB$8:$AB$86,'EE Measures'!$IK$8:$IK$86)</f>
        <v>-51.448879746451588</v>
      </c>
      <c r="AT49" s="593">
        <f>-SUMPRODUCT('EE Measures'!BI$8:BI$86,'EE Measures'!$AB$8:$AB$86,'EE Measures'!$IK$8:$IK$86)</f>
        <v>-63.756144498885433</v>
      </c>
      <c r="AU49" s="593">
        <f>-SUMPRODUCT('EE Measures'!BJ$8:BJ$86,'EE Measures'!$AB$8:$AB$86,'EE Measures'!$IK$8:$IK$86)</f>
        <v>-74.409914996172148</v>
      </c>
      <c r="AV49" s="593">
        <f>-SUMPRODUCT('EE Measures'!BK$8:BK$86,'EE Measures'!$AB$8:$AB$86,'EE Measures'!$IK$8:$IK$86)</f>
        <v>-125.09311985381585</v>
      </c>
      <c r="AW49" s="593">
        <f>-SUMPRODUCT('EE Measures'!BL$8:BL$86,'EE Measures'!$AB$8:$AB$86,'EE Measures'!$IK$8:$IK$86)</f>
        <v>-252.44117430864233</v>
      </c>
      <c r="AX49" s="593">
        <f>-SUMPRODUCT('EE Measures'!BM$8:BM$86,'EE Measures'!$AB$8:$AB$86,'EE Measures'!$IK$8:$IK$86)</f>
        <v>-353.74974177253404</v>
      </c>
      <c r="AY49" s="593">
        <f>-SUMPRODUCT('EE Measures'!BN$8:BN$86,'EE Measures'!$AB$8:$AB$86,'EE Measures'!$IK$8:$IK$86)</f>
        <v>-457.80216558997222</v>
      </c>
      <c r="AZ49" s="593">
        <f>-SUMPRODUCT('EE Measures'!BO$8:BO$86,'EE Measures'!$AB$8:$AB$86,'EE Measures'!$IK$8:$IK$86)</f>
        <v>-554.7025717243074</v>
      </c>
      <c r="BA49" s="593">
        <f>-SUMPRODUCT('EE Measures'!BP$8:BP$86,'EE Measures'!$AB$8:$AB$86,'EE Measures'!$IK$8:$IK$86)</f>
        <v>-655.3042168841796</v>
      </c>
      <c r="BB49" s="593">
        <f>-SUMPRODUCT('EE Measures'!BQ$8:BQ$86,'EE Measures'!$AB$8:$AB$86,'EE Measures'!$IK$8:$IK$86)</f>
        <v>-757.9460798422549</v>
      </c>
      <c r="BC49" s="593">
        <f>-SUMPRODUCT('EE Measures'!BR$8:BR$86,'EE Measures'!$AB$8:$AB$86,'EE Measures'!$IK$8:$IK$86)</f>
        <v>-853.23296974509879</v>
      </c>
      <c r="BD49" s="593">
        <f>-SUMPRODUCT('EE Measures'!BS$8:BS$86,'EE Measures'!$AB$8:$AB$86,'EE Measures'!$IK$8:$IK$86)</f>
        <v>-948.11015738224864</v>
      </c>
      <c r="BE49" s="593">
        <f>-SUMPRODUCT('EE Measures'!BT$8:BT$86,'EE Measures'!$AB$8:$AB$86,'EE Measures'!$IK$8:$IK$86)</f>
        <v>-1042.5943112719997</v>
      </c>
      <c r="BF49" s="593">
        <f>-SUMPRODUCT('EE Measures'!BU$8:BU$86,'EE Measures'!$AB$8:$AB$86,'EE Measures'!$IK$8:$IK$86)</f>
        <v>-1136.7018446872708</v>
      </c>
      <c r="BG49" s="593">
        <f>-SUMPRODUCT('EE Measures'!BV$8:BV$86,'EE Measures'!$AB$8:$AB$86,'EE Measures'!$IK$8:$IK$86)</f>
        <v>-1230.4291798002996</v>
      </c>
      <c r="BH49" s="867">
        <f>AR49/$AR$45</f>
        <v>0.20440448249296689</v>
      </c>
      <c r="BK49" s="587" t="s">
        <v>39</v>
      </c>
      <c r="BM49" s="648" t="s">
        <v>392</v>
      </c>
      <c r="BN49" s="592"/>
      <c r="BO49" s="492">
        <f>BO$13-SUMPRODUCT('EE Measures'!BH$8:BH$86,'EE Measures'!$W$8:$W$86,'EE Measures'!$IK$8:$IK$86)</f>
        <v>11750.287656771043</v>
      </c>
      <c r="BP49" s="492">
        <f>BP$13-SUMPRODUCT('EE Measures'!BI$8:BI$86,'EE Measures'!$W$8:$W$86,'EE Measures'!$IK$8:$IK$86)</f>
        <v>11749.437771200757</v>
      </c>
      <c r="BQ49" s="492">
        <f>BQ$13-SUMPRODUCT('EE Measures'!BJ$8:BJ$86,'EE Measures'!$W$8:$W$86,'EE Measures'!$IK$8:$IK$86)</f>
        <v>11757.792796958078</v>
      </c>
      <c r="BR49" s="492">
        <f>BR$13-SUMPRODUCT('EE Measures'!BK$8:BK$86,'EE Measures'!$W$8:$W$86,'EE Measures'!$IK$8:$IK$86)</f>
        <v>11743.631694802325</v>
      </c>
      <c r="BS49" s="492">
        <f>BS$13-SUMPRODUCT('EE Measures'!BL$8:BL$86,'EE Measures'!$W$8:$W$86,'EE Measures'!$IK$8:$IK$86)</f>
        <v>11519.472256305116</v>
      </c>
      <c r="BT49" s="492">
        <f>BT$13-SUMPRODUCT('EE Measures'!BM$8:BM$86,'EE Measures'!$W$8:$W$86,'EE Measures'!$IK$8:$IK$86)</f>
        <v>11314.648427315129</v>
      </c>
      <c r="BU49" s="492">
        <f>BU$13-SUMPRODUCT('EE Measures'!BN$8:BN$86,'EE Measures'!$W$8:$W$86,'EE Measures'!$IK$8:$IK$86)</f>
        <v>11120.075551893959</v>
      </c>
      <c r="BV49" s="492">
        <f>BV$13-SUMPRODUCT('EE Measures'!BO$8:BO$86,'EE Measures'!$W$8:$W$86,'EE Measures'!$IK$8:$IK$86)</f>
        <v>10931.63873209894</v>
      </c>
      <c r="BW49" s="492">
        <f>BW$13-SUMPRODUCT('EE Measures'!BP$8:BP$86,'EE Measures'!$W$8:$W$86,'EE Measures'!$IK$8:$IK$86)</f>
        <v>10744.625752537637</v>
      </c>
      <c r="BX49" s="492">
        <f>BX$13-SUMPRODUCT('EE Measures'!BQ$8:BQ$86,'EE Measures'!$W$8:$W$86,'EE Measures'!$IK$8:$IK$86)</f>
        <v>10559.554556300642</v>
      </c>
      <c r="BY49" s="492">
        <f>BY$13-SUMPRODUCT('EE Measures'!BR$8:BR$86,'EE Measures'!$W$8:$W$86,'EE Measures'!$IK$8:$IK$86)</f>
        <v>10378.005837031003</v>
      </c>
      <c r="BZ49" s="492">
        <f>BZ$13-SUMPRODUCT('EE Measures'!BS$8:BS$86,'EE Measures'!$W$8:$W$86,'EE Measures'!$IK$8:$IK$86)</f>
        <v>10199.811948029013</v>
      </c>
      <c r="CA49" s="492">
        <f>CA$13-SUMPRODUCT('EE Measures'!BT$8:BT$86,'EE Measures'!$W$8:$W$86,'EE Measures'!$IK$8:$IK$86)</f>
        <v>10024.939476129939</v>
      </c>
      <c r="CB49" s="492">
        <f>CB$13-SUMPRODUCT('EE Measures'!BU$8:BU$86,'EE Measures'!$W$8:$W$86,'EE Measures'!$IK$8:$IK$86)</f>
        <v>9853.3561583774426</v>
      </c>
      <c r="CC49" s="492">
        <f>CC$13-SUMPRODUCT('EE Measures'!BV$8:BV$86,'EE Measures'!$W$8:$W$86,'EE Measures'!$IK$8:$IK$86)</f>
        <v>9685.3232524196992</v>
      </c>
    </row>
    <row r="50" spans="3:81" outlineLevel="1" x14ac:dyDescent="0.3">
      <c r="C50" s="587" t="str">
        <f t="shared" si="190"/>
        <v>CEER1</v>
      </c>
      <c r="E50" s="563" t="s">
        <v>54</v>
      </c>
      <c r="F50" s="592">
        <f t="shared" si="191"/>
        <v>9729.957992963733</v>
      </c>
      <c r="G50" s="593">
        <f t="shared" ref="G50:P50" si="200">G$14+AA50</f>
        <v>988.46632075930984</v>
      </c>
      <c r="H50" s="593">
        <f t="shared" si="200"/>
        <v>988.3835149808026</v>
      </c>
      <c r="I50" s="593">
        <f t="shared" si="200"/>
        <v>988.29947534863015</v>
      </c>
      <c r="J50" s="593">
        <f t="shared" si="200"/>
        <v>979.90554667046297</v>
      </c>
      <c r="K50" s="593">
        <f t="shared" si="200"/>
        <v>975.70819291926921</v>
      </c>
      <c r="L50" s="593">
        <f t="shared" si="200"/>
        <v>975.62025185425841</v>
      </c>
      <c r="M50" s="593">
        <f t="shared" si="200"/>
        <v>968.73097548195085</v>
      </c>
      <c r="N50" s="593">
        <f t="shared" si="200"/>
        <v>961.84035054063725</v>
      </c>
      <c r="O50" s="593">
        <f t="shared" si="200"/>
        <v>954.94836355836435</v>
      </c>
      <c r="P50" s="593">
        <f t="shared" si="200"/>
        <v>948.05500085004599</v>
      </c>
      <c r="Q50" s="593">
        <f t="shared" ref="Q50:U50" si="201">Q$14+AK50</f>
        <v>947.96024851467917</v>
      </c>
      <c r="R50" s="593">
        <f t="shared" si="201"/>
        <v>947.86409243265177</v>
      </c>
      <c r="S50" s="593">
        <f t="shared" si="201"/>
        <v>947.766518263134</v>
      </c>
      <c r="T50" s="593">
        <f t="shared" si="201"/>
        <v>947.66751144153977</v>
      </c>
      <c r="U50" s="593">
        <f t="shared" si="201"/>
        <v>947.56705717704733</v>
      </c>
      <c r="V50"/>
      <c r="W50"/>
      <c r="Y50" s="563" t="s">
        <v>54</v>
      </c>
      <c r="Z50" s="592">
        <f t="shared" si="194"/>
        <v>-178.37534036960216</v>
      </c>
      <c r="AA50" s="593">
        <f>-SUMPRODUCT('EE Measures'!BH$8:BH$86,'EE Measures'!$R$8:$R$86,'EE Measures'!$IK$8:$IK$86)</f>
        <v>-2.3670125740235815</v>
      </c>
      <c r="AB50" s="593">
        <f>-SUMPRODUCT('EE Measures'!BI$8:BI$86,'EE Measures'!$R$8:$R$86,'EE Measures'!$IK$8:$IK$86)</f>
        <v>-2.4498183525307202</v>
      </c>
      <c r="AC50" s="593">
        <f>-SUMPRODUCT('EE Measures'!BJ$8:BJ$86,'EE Measures'!$R$8:$R$86,'EE Measures'!$IK$8:$IK$86)</f>
        <v>-2.5338579847032205</v>
      </c>
      <c r="AD50" s="593">
        <f>-SUMPRODUCT('EE Measures'!BK$8:BK$86,'EE Measures'!$R$8:$R$86,'EE Measures'!$IK$8:$IK$86)</f>
        <v>-10.927786662870368</v>
      </c>
      <c r="AE50" s="593">
        <f>-SUMPRODUCT('EE Measures'!BL$8:BL$86,'EE Measures'!$R$8:$R$86,'EE Measures'!$IK$8:$IK$86)</f>
        <v>-15.125140414064138</v>
      </c>
      <c r="AF50" s="593">
        <f>-SUMPRODUCT('EE Measures'!BM$8:BM$86,'EE Measures'!$R$8:$R$86,'EE Measures'!$IK$8:$IK$86)</f>
        <v>-15.213081479075003</v>
      </c>
      <c r="AG50" s="593">
        <f>-SUMPRODUCT('EE Measures'!BN$8:BN$86,'EE Measures'!$R$8:$R$86,'EE Measures'!$IK$8:$IK$86)</f>
        <v>-22.102357851382564</v>
      </c>
      <c r="AH50" s="593">
        <f>-SUMPRODUCT('EE Measures'!BO$8:BO$86,'EE Measures'!$R$8:$R$86,'EE Measures'!$IK$8:$IK$86)</f>
        <v>-28.992982792696132</v>
      </c>
      <c r="AI50" s="593">
        <f>-SUMPRODUCT('EE Measures'!BP$8:BP$86,'EE Measures'!$R$8:$R$86,'EE Measures'!$IK$8:$IK$86)</f>
        <v>-35.884969774969072</v>
      </c>
      <c r="AJ50" s="593">
        <f>-SUMPRODUCT('EE Measures'!BQ$8:BQ$86,'EE Measures'!$R$8:$R$86,'EE Measures'!$IK$8:$IK$86)</f>
        <v>-42.778332483287365</v>
      </c>
      <c r="AK50" s="593">
        <f>-SUMPRODUCT('EE Measures'!BR$8:BR$86,'EE Measures'!$R$8:$R$86,'EE Measures'!$IK$8:$IK$86)</f>
        <v>-42.873084818654242</v>
      </c>
      <c r="AL50" s="593">
        <f>-SUMPRODUCT('EE Measures'!BS$8:BS$86,'EE Measures'!$R$8:$R$86,'EE Measures'!$IK$8:$IK$86)</f>
        <v>-42.969240900681626</v>
      </c>
      <c r="AM50" s="593">
        <f>-SUMPRODUCT('EE Measures'!BT$8:BT$86,'EE Measures'!$R$8:$R$86,'EE Measures'!$IK$8:$IK$86)</f>
        <v>-43.066815070199347</v>
      </c>
      <c r="AN50" s="593">
        <f>-SUMPRODUCT('EE Measures'!BU$8:BU$86,'EE Measures'!$R$8:$R$86,'EE Measures'!$IK$8:$IK$86)</f>
        <v>-43.165821891793584</v>
      </c>
      <c r="AO50" s="593">
        <f>-SUMPRODUCT('EE Measures'!BV$8:BV$86,'EE Measures'!$R$8:$R$86,'EE Measures'!$IK$8:$IK$86)</f>
        <v>-43.266276156286011</v>
      </c>
      <c r="AP50" s="898">
        <f t="shared" si="24"/>
        <v>-386.3658902959595</v>
      </c>
      <c r="AQ50" s="554" t="str">
        <v>Kesk-Eesti</v>
      </c>
      <c r="AR50" s="592">
        <f t="shared" si="195"/>
        <v>-1416.9431490972072</v>
      </c>
      <c r="AS50" s="593">
        <f>-SUMPRODUCT('EE Measures'!BH$8:BH$86,'EE Measures'!$AC$8:$AC$86,'EE Measures'!$IK$8:$IK$86)</f>
        <v>-20.964364378010814</v>
      </c>
      <c r="AT50" s="593">
        <f>-SUMPRODUCT('EE Measures'!BI$8:BI$86,'EE Measures'!$AC$8:$AC$86,'EE Measures'!$IK$8:$IK$86)</f>
        <v>-26.038571516745641</v>
      </c>
      <c r="AU50" s="593">
        <f>-SUMPRODUCT('EE Measures'!BJ$8:BJ$86,'EE Measures'!$AC$8:$AC$86,'EE Measures'!$IK$8:$IK$86)</f>
        <v>-30.450275851203592</v>
      </c>
      <c r="AV50" s="593">
        <f>-SUMPRODUCT('EE Measures'!BK$8:BK$86,'EE Measures'!$AC$8:$AC$86,'EE Measures'!$IK$8:$IK$86)</f>
        <v>-51.725381078158165</v>
      </c>
      <c r="AW50" s="593">
        <f>-SUMPRODUCT('EE Measures'!BL$8:BL$86,'EE Measures'!$AC$8:$AC$86,'EE Measures'!$IK$8:$IK$86)</f>
        <v>-105.30840195745157</v>
      </c>
      <c r="AX50" s="593">
        <f>-SUMPRODUCT('EE Measures'!BM$8:BM$86,'EE Measures'!$AC$8:$AC$86,'EE Measures'!$IK$8:$IK$86)</f>
        <v>-148.73486032633028</v>
      </c>
      <c r="AY50" s="593">
        <f>-SUMPRODUCT('EE Measures'!BN$8:BN$86,'EE Measures'!$AC$8:$AC$86,'EE Measures'!$IK$8:$IK$86)</f>
        <v>-193.87641213715054</v>
      </c>
      <c r="AZ50" s="593">
        <f>-SUMPRODUCT('EE Measures'!BO$8:BO$86,'EE Measures'!$AC$8:$AC$86,'EE Measures'!$IK$8:$IK$86)</f>
        <v>-235.95506626637169</v>
      </c>
      <c r="BA50" s="593">
        <f>-SUMPRODUCT('EE Measures'!BP$8:BP$86,'EE Measures'!$AC$8:$AC$86,'EE Measures'!$IK$8:$IK$86)</f>
        <v>-279.64413794340481</v>
      </c>
      <c r="BB50" s="593">
        <f>-SUMPRODUCT('EE Measures'!BQ$8:BQ$86,'EE Measures'!$AC$8:$AC$86,'EE Measures'!$IK$8:$IK$86)</f>
        <v>-324.24567764238014</v>
      </c>
      <c r="BC50" s="593">
        <f>-SUMPRODUCT('EE Measures'!BR$8:BR$86,'EE Measures'!$AC$8:$AC$86,'EE Measures'!$IK$8:$IK$86)</f>
        <v>-366.54410956934646</v>
      </c>
      <c r="BD50" s="593">
        <f>-SUMPRODUCT('EE Measures'!BS$8:BS$86,'EE Measures'!$AC$8:$AC$86,'EE Measures'!$IK$8:$IK$86)</f>
        <v>-408.65257269562449</v>
      </c>
      <c r="BE50" s="593">
        <f>-SUMPRODUCT('EE Measures'!BT$8:BT$86,'EE Measures'!$AC$8:$AC$86,'EE Measures'!$IK$8:$IK$86)</f>
        <v>-450.57857142561596</v>
      </c>
      <c r="BF50" s="593">
        <f>-SUMPRODUCT('EE Measures'!BU$8:BU$86,'EE Measures'!$AC$8:$AC$86,'EE Measures'!$IK$8:$IK$86)</f>
        <v>-492.32949428839504</v>
      </c>
      <c r="BG50" s="593">
        <f>-SUMPRODUCT('EE Measures'!BV$8:BV$86,'EE Measures'!$AC$8:$AC$86,'EE Measures'!$IK$8:$IK$86)</f>
        <v>-533.90934415837592</v>
      </c>
      <c r="BH50" s="867">
        <f>AR50/$AR$45</f>
        <v>8.6543015894527439E-2</v>
      </c>
      <c r="BK50" s="587" t="s">
        <v>39</v>
      </c>
      <c r="BM50" s="648" t="s">
        <v>393</v>
      </c>
      <c r="BN50" s="592"/>
      <c r="BO50" s="492">
        <f>BO$14-SUMPRODUCT('EE Measures'!BH$8:BH$86,'EE Measures'!$X$8:$X$86,'EE Measures'!$IK$8:$IK$86)</f>
        <v>6901.256647467485</v>
      </c>
      <c r="BP50" s="492">
        <f>BP$14-SUMPRODUCT('EE Measures'!BI$8:BI$86,'EE Measures'!$X$8:$X$86,'EE Measures'!$IK$8:$IK$86)</f>
        <v>6874.4749572653045</v>
      </c>
      <c r="BQ50" s="492">
        <f>BQ$14-SUMPRODUCT('EE Measures'!BJ$8:BJ$86,'EE Measures'!$X$8:$X$86,'EE Measures'!$IK$8:$IK$86)</f>
        <v>6977.884752728799</v>
      </c>
      <c r="BR50" s="492">
        <f>BR$14-SUMPRODUCT('EE Measures'!BK$8:BK$86,'EE Measures'!$X$8:$X$86,'EE Measures'!$IK$8:$IK$86)</f>
        <v>7058.5896582721452</v>
      </c>
      <c r="BS50" s="492">
        <f>BS$14-SUMPRODUCT('EE Measures'!BL$8:BL$86,'EE Measures'!$X$8:$X$86,'EE Measures'!$IK$8:$IK$86)</f>
        <v>7081.9459546865291</v>
      </c>
      <c r="BT50" s="492">
        <f>BT$14-SUMPRODUCT('EE Measures'!BM$8:BM$86,'EE Measures'!$X$8:$X$86,'EE Measures'!$IK$8:$IK$86)</f>
        <v>7117.9387021271114</v>
      </c>
      <c r="BU50" s="492">
        <f>BU$14-SUMPRODUCT('EE Measures'!BN$8:BN$86,'EE Measures'!$X$8:$X$86,'EE Measures'!$IK$8:$IK$86)</f>
        <v>7147.2210357446038</v>
      </c>
      <c r="BV50" s="492">
        <f>BV$14-SUMPRODUCT('EE Measures'!BO$8:BO$86,'EE Measures'!$X$8:$X$86,'EE Measures'!$IK$8:$IK$86)</f>
        <v>7195.071052245924</v>
      </c>
      <c r="BW50" s="492">
        <f>BW$14-SUMPRODUCT('EE Measures'!BP$8:BP$86,'EE Measures'!$X$8:$X$86,'EE Measures'!$IK$8:$IK$86)</f>
        <v>7231.6689019792148</v>
      </c>
      <c r="BX50" s="492">
        <f>BX$14-SUMPRODUCT('EE Measures'!BQ$8:BQ$86,'EE Measures'!$X$8:$X$86,'EE Measures'!$IK$8:$IK$86)</f>
        <v>7259.9945603962087</v>
      </c>
      <c r="BY50" s="492">
        <f>BY$14-SUMPRODUCT('EE Measures'!BR$8:BR$86,'EE Measures'!$X$8:$X$86,'EE Measures'!$IK$8:$IK$86)</f>
        <v>7289.6944456694555</v>
      </c>
      <c r="BZ50" s="492">
        <f>BZ$14-SUMPRODUCT('EE Measures'!BS$8:BS$86,'EE Measures'!$X$8:$X$86,'EE Measures'!$IK$8:$IK$86)</f>
        <v>7318.9390269665992</v>
      </c>
      <c r="CA50" s="492">
        <f>CA$14-SUMPRODUCT('EE Measures'!BT$8:BT$86,'EE Measures'!$X$8:$X$86,'EE Measures'!$IK$8:$IK$86)</f>
        <v>7347.7368258436054</v>
      </c>
      <c r="CB50" s="492">
        <f>CB$14-SUMPRODUCT('EE Measures'!BU$8:BU$86,'EE Measures'!$X$8:$X$86,'EE Measures'!$IK$8:$IK$86)</f>
        <v>7376.0962199213236</v>
      </c>
      <c r="CC50" s="492">
        <f>CC$14-SUMPRODUCT('EE Measures'!BV$8:BV$86,'EE Measures'!$X$8:$X$86,'EE Measures'!$IK$8:$IK$86)</f>
        <v>7403.8820677371514</v>
      </c>
    </row>
    <row r="51" spans="3:81" outlineLevel="1" collapsed="1" x14ac:dyDescent="0.3">
      <c r="C51" s="587" t="str">
        <f>E51</f>
        <v>CEER2</v>
      </c>
      <c r="E51" s="555" t="str">
        <f>'EE Measures'!$IL$6</f>
        <v>CEER2</v>
      </c>
      <c r="F51" s="590">
        <f>SUM(G51:P51)</f>
        <v>303327.44781660696</v>
      </c>
      <c r="G51" s="591">
        <f>SUM(G52:G56)</f>
        <v>30787.426871993186</v>
      </c>
      <c r="H51" s="591">
        <f>SUM(H52:H56)</f>
        <v>31292.650628735129</v>
      </c>
      <c r="I51" s="591">
        <f t="shared" ref="I51" si="202">SUM(I52:I56)</f>
        <v>31469.768843643702</v>
      </c>
      <c r="J51" s="591">
        <f t="shared" ref="J51" si="203">SUM(J52:J56)</f>
        <v>31492.777852743198</v>
      </c>
      <c r="K51" s="591">
        <f t="shared" ref="K51" si="204">SUM(K52:K56)</f>
        <v>30886.02002671266</v>
      </c>
      <c r="L51" s="591">
        <f t="shared" ref="L51" si="205">SUM(L52:L56)</f>
        <v>30496.462021576095</v>
      </c>
      <c r="M51" s="591">
        <f t="shared" ref="M51" si="206">SUM(M52:M56)</f>
        <v>29774.409222746814</v>
      </c>
      <c r="N51" s="591">
        <f t="shared" ref="N51" si="207">SUM(N52:N56)</f>
        <v>29423.279463190684</v>
      </c>
      <c r="O51" s="591">
        <f t="shared" ref="O51" si="208">SUM(O52:O56)</f>
        <v>29047.291830243823</v>
      </c>
      <c r="P51" s="591">
        <f t="shared" ref="P51:U51" si="209">SUM(P52:P56)</f>
        <v>28657.36105502168</v>
      </c>
      <c r="Q51" s="591">
        <f t="shared" si="209"/>
        <v>28370.388840985997</v>
      </c>
      <c r="R51" s="591">
        <f t="shared" si="209"/>
        <v>28090.210494091578</v>
      </c>
      <c r="S51" s="591">
        <f t="shared" si="209"/>
        <v>27816.772275468211</v>
      </c>
      <c r="T51" s="591">
        <f t="shared" si="209"/>
        <v>27550.023027817679</v>
      </c>
      <c r="U51" s="591">
        <f t="shared" si="209"/>
        <v>27290.010838955212</v>
      </c>
      <c r="V51"/>
      <c r="W51"/>
      <c r="Y51" s="555" t="str">
        <f>'EE Measures'!$IL$6</f>
        <v>CEER2</v>
      </c>
      <c r="Z51" s="590">
        <f>SUM(AA51:AJ51)</f>
        <v>-20730.439979513001</v>
      </c>
      <c r="AA51" s="591">
        <f>SUM(AA52:AA56)</f>
        <v>-243.80810578459079</v>
      </c>
      <c r="AB51" s="591">
        <f>SUM(AB52:AB56)</f>
        <v>-295.63798929452344</v>
      </c>
      <c r="AC51" s="591">
        <f t="shared" ref="AC51" si="210">SUM(AC52:AC56)</f>
        <v>-338.18155385733996</v>
      </c>
      <c r="AD51" s="591">
        <f t="shared" ref="AD51" si="211">SUM(AD52:AD56)</f>
        <v>-553.50348194987566</v>
      </c>
      <c r="AE51" s="591">
        <f t="shared" ref="AE51" si="212">SUM(AE52:AE56)</f>
        <v>-1403.1424267769171</v>
      </c>
      <c r="AF51" s="591">
        <f t="shared" ref="AF51" si="213">SUM(AF52:AF56)</f>
        <v>-2040.1919406421814</v>
      </c>
      <c r="AG51" s="591">
        <f t="shared" ref="AG51" si="214">SUM(AG52:AG56)</f>
        <v>-3019.2811951412591</v>
      </c>
      <c r="AH51" s="591">
        <f t="shared" ref="AH51" si="215">SUM(AH52:AH56)</f>
        <v>-3631.5536043546472</v>
      </c>
      <c r="AI51" s="591">
        <f t="shared" ref="AI51" si="216">SUM(AI52:AI56)</f>
        <v>-4272.8446539908909</v>
      </c>
      <c r="AJ51" s="591">
        <f t="shared" ref="AJ51:AO51" si="217">SUM(AJ52:AJ56)</f>
        <v>-4932.2950277207747</v>
      </c>
      <c r="AK51" s="591">
        <f t="shared" si="217"/>
        <v>-5493.0592916296982</v>
      </c>
      <c r="AL51" s="591">
        <f t="shared" si="217"/>
        <v>-6051.3592773057389</v>
      </c>
      <c r="AM51" s="591">
        <f t="shared" si="217"/>
        <v>-6607.3067426114967</v>
      </c>
      <c r="AN51" s="591">
        <f t="shared" si="217"/>
        <v>-7161.0117589636984</v>
      </c>
      <c r="AO51" s="591">
        <f t="shared" si="217"/>
        <v>-7712.486061694919</v>
      </c>
      <c r="AP51" s="898">
        <f t="shared" si="24"/>
        <v>-52878.035462782107</v>
      </c>
      <c r="AQ51" s="555" t="s">
        <v>40</v>
      </c>
      <c r="AR51" s="590">
        <f>SUM(AS51:BB51)</f>
        <v>-20722.032713422734</v>
      </c>
      <c r="AS51" s="591">
        <f t="shared" ref="AS51" si="218">SUM(AS52:AS56)</f>
        <v>-243.80810578459079</v>
      </c>
      <c r="AT51" s="591">
        <f t="shared" ref="AT51:BB51" si="219">SUM(AT52:AT56)</f>
        <v>-295.63798929452349</v>
      </c>
      <c r="AU51" s="591">
        <f t="shared" si="219"/>
        <v>-338.18155385733991</v>
      </c>
      <c r="AV51" s="591">
        <f t="shared" si="219"/>
        <v>-553.50348194987566</v>
      </c>
      <c r="AW51" s="591">
        <f t="shared" si="219"/>
        <v>-1402.7420807726194</v>
      </c>
      <c r="AX51" s="591">
        <f t="shared" si="219"/>
        <v>-2039.3912486335842</v>
      </c>
      <c r="AY51" s="591">
        <f t="shared" si="219"/>
        <v>-3018.0801571283632</v>
      </c>
      <c r="AZ51" s="591">
        <f t="shared" si="219"/>
        <v>-3629.952220337454</v>
      </c>
      <c r="BA51" s="591">
        <f t="shared" si="219"/>
        <v>-4270.8429239693996</v>
      </c>
      <c r="BB51" s="591">
        <f t="shared" si="219"/>
        <v>-4929.8929516949847</v>
      </c>
      <c r="BC51" s="591">
        <f t="shared" ref="BC51:BG51" si="220">SUM(BC52:BC56)</f>
        <v>-5490.2568695996088</v>
      </c>
      <c r="BD51" s="591">
        <f t="shared" si="220"/>
        <v>-6048.1565092713518</v>
      </c>
      <c r="BE51" s="591">
        <f t="shared" si="220"/>
        <v>-6603.70362857281</v>
      </c>
      <c r="BF51" s="591">
        <f t="shared" si="220"/>
        <v>-7157.008298920714</v>
      </c>
      <c r="BG51" s="591">
        <f t="shared" si="220"/>
        <v>-7708.0822556476369</v>
      </c>
      <c r="BH51" s="1214">
        <f>AR51-Z51</f>
        <v>8.4072660902675125</v>
      </c>
      <c r="BK51" s="587" t="s">
        <v>40</v>
      </c>
      <c r="BM51" s="648" t="s">
        <v>388</v>
      </c>
      <c r="BN51" s="590"/>
      <c r="BO51" s="541">
        <f>BO$9-SUMPRODUCT('EE Measures'!BH$8:BH$86,'EE Measures'!$S$8:$S$86,'EE Measures'!$IL$8:$IL$86)</f>
        <v>9992.5181844488161</v>
      </c>
      <c r="BP51" s="541">
        <f>BP$9-SUMPRODUCT('EE Measures'!BI$8:BI$86,'EE Measures'!$S$8:$S$86,'EE Measures'!$IL$8:$IL$86)</f>
        <v>10367.301701849321</v>
      </c>
      <c r="BQ51" s="541">
        <f>BQ$9-SUMPRODUCT('EE Measures'!BJ$8:BJ$86,'EE Measures'!$S$8:$S$86,'EE Measures'!$IL$8:$IL$86)</f>
        <v>10410.57813854057</v>
      </c>
      <c r="BR51" s="541">
        <f>BR$9-SUMPRODUCT('EE Measures'!BK$8:BK$86,'EE Measures'!$S$8:$S$86,'EE Measures'!$IL$8:$IL$86)</f>
        <v>10364.867979603672</v>
      </c>
      <c r="BS51" s="541">
        <f>BS$9-SUMPRODUCT('EE Measures'!BL$8:BL$86,'EE Measures'!$S$8:$S$86,'EE Measures'!$IL$8:$IL$86)</f>
        <v>10135.621125929718</v>
      </c>
      <c r="BT51" s="541">
        <f>BT$9-SUMPRODUCT('EE Measures'!BM$8:BM$86,'EE Measures'!$S$8:$S$86,'EE Measures'!$IL$8:$IL$86)</f>
        <v>10062.756437098298</v>
      </c>
      <c r="BU51" s="541">
        <f>BU$9-SUMPRODUCT('EE Measures'!BN$8:BN$86,'EE Measures'!$S$8:$S$86,'EE Measures'!$IL$8:$IL$86)</f>
        <v>9678.9344026442777</v>
      </c>
      <c r="BV51" s="541">
        <f>BV$9-SUMPRODUCT('EE Measures'!BO$8:BO$86,'EE Measures'!$S$8:$S$86,'EE Measures'!$IL$8:$IL$86)</f>
        <v>9610.1912209373022</v>
      </c>
      <c r="BW51" s="541">
        <f>BW$9-SUMPRODUCT('EE Measures'!BP$8:BP$86,'EE Measures'!$S$8:$S$86,'EE Measures'!$IL$8:$IL$86)</f>
        <v>9540.3269292019413</v>
      </c>
      <c r="BX51" s="541">
        <f>BX$9-SUMPRODUCT('EE Measures'!BQ$8:BQ$86,'EE Measures'!$S$8:$S$86,'EE Measures'!$IL$8:$IL$86)</f>
        <v>9472.3888755477983</v>
      </c>
      <c r="BY51" s="541">
        <f>BY$9-SUMPRODUCT('EE Measures'!BR$8:BR$86,'EE Measures'!$S$8:$S$86,'EE Measures'!$IL$8:$IL$86)</f>
        <v>9492.2008129354526</v>
      </c>
      <c r="BZ51" s="541">
        <f>BZ$9-SUMPRODUCT('EE Measures'!BS$8:BS$86,'EE Measures'!$S$8:$S$86,'EE Measures'!$IL$8:$IL$86)</f>
        <v>9514.4615358885294</v>
      </c>
      <c r="CA51" s="541">
        <f>CA$9-SUMPRODUCT('EE Measures'!BT$8:BT$86,'EE Measures'!$S$8:$S$86,'EE Measures'!$IL$8:$IL$86)</f>
        <v>9539.1801044439908</v>
      </c>
      <c r="CB51" s="541">
        <f>CB$9-SUMPRODUCT('EE Measures'!BU$8:BU$86,'EE Measures'!$S$8:$S$86,'EE Measures'!$IL$8:$IL$86)</f>
        <v>9566.366322933367</v>
      </c>
      <c r="CC51" s="541">
        <f>CC$9-SUMPRODUCT('EE Measures'!BV$8:BV$86,'EE Measures'!$S$8:$S$86,'EE Measures'!$IL$8:$IL$86)</f>
        <v>9596.0283873940807</v>
      </c>
    </row>
    <row r="52" spans="3:81" outlineLevel="1" x14ac:dyDescent="0.3">
      <c r="C52" s="587" t="str">
        <f>C51</f>
        <v>CEER2</v>
      </c>
      <c r="E52" s="563" t="s">
        <v>50</v>
      </c>
      <c r="F52" s="592">
        <f>SUM(G52:P52)</f>
        <v>46366.269063487882</v>
      </c>
      <c r="G52" s="593">
        <f t="shared" ref="G52:P52" si="221">G$10+AA52</f>
        <v>4292.8294941331924</v>
      </c>
      <c r="H52" s="593">
        <f t="shared" si="221"/>
        <v>4685.8298233046435</v>
      </c>
      <c r="I52" s="593">
        <f t="shared" si="221"/>
        <v>4741.3140790213711</v>
      </c>
      <c r="J52" s="593">
        <f t="shared" si="221"/>
        <v>4765.8210928590015</v>
      </c>
      <c r="K52" s="593">
        <f t="shared" si="221"/>
        <v>4713.5913640288663</v>
      </c>
      <c r="L52" s="593">
        <f t="shared" si="221"/>
        <v>4684.7745979640749</v>
      </c>
      <c r="M52" s="593">
        <f t="shared" si="221"/>
        <v>4661.0386111595144</v>
      </c>
      <c r="N52" s="593">
        <f t="shared" si="221"/>
        <v>4654.052733546755</v>
      </c>
      <c r="O52" s="593">
        <f t="shared" si="221"/>
        <v>4614.8919981908548</v>
      </c>
      <c r="P52" s="593">
        <f t="shared" si="221"/>
        <v>4552.1252692796106</v>
      </c>
      <c r="Q52" s="593">
        <f t="shared" ref="Q52:U52" si="222">Q$10+AK52</f>
        <v>4488.6635736061799</v>
      </c>
      <c r="R52" s="593">
        <f t="shared" si="222"/>
        <v>4424.5073780164375</v>
      </c>
      <c r="S52" s="593">
        <f t="shared" si="222"/>
        <v>4359.6515865983547</v>
      </c>
      <c r="T52" s="593">
        <f t="shared" si="222"/>
        <v>4294.0913695812378</v>
      </c>
      <c r="U52" s="593">
        <f t="shared" si="222"/>
        <v>4227.7993673974343</v>
      </c>
      <c r="V52"/>
      <c r="W52"/>
      <c r="Y52" s="563" t="s">
        <v>50</v>
      </c>
      <c r="Z52" s="592">
        <f>SUM(AA52:AJ52)</f>
        <v>-3766.5165557597848</v>
      </c>
      <c r="AA52" s="593">
        <f>-SUMPRODUCT('EE Measures'!BH$8:BH$86,'EE Measures'!$N$8:$N$86,'EE Measures'!$IL$8:$IL$86)</f>
        <v>-105.78161697791808</v>
      </c>
      <c r="AB52" s="593">
        <f>-SUMPRODUCT('EE Measures'!BI$8:BI$86,'EE Measures'!$N$8:$N$86,'EE Measures'!$IL$8:$IL$86)</f>
        <v>-111.10906558424406</v>
      </c>
      <c r="AC52" s="593">
        <f>-SUMPRODUCT('EE Measures'!BJ$8:BJ$86,'EE Measures'!$N$8:$N$86,'EE Measures'!$IL$8:$IL$86)</f>
        <v>-113.18807653418617</v>
      </c>
      <c r="AD52" s="593">
        <f>-SUMPRODUCT('EE Measures'!BK$8:BK$86,'EE Measures'!$N$8:$N$86,'EE Measures'!$IL$8:$IL$86)</f>
        <v>-161.49859502988676</v>
      </c>
      <c r="AE52" s="593">
        <f>-SUMPRODUCT('EE Measures'!BL$8:BL$86,'EE Measures'!$N$8:$N$86,'EE Measures'!$IL$8:$IL$86)</f>
        <v>-287.63811917835403</v>
      </c>
      <c r="AF52" s="593">
        <f>-SUMPRODUCT('EE Measures'!BM$8:BM$86,'EE Measures'!$N$8:$N$86,'EE Measures'!$IL$8:$IL$86)</f>
        <v>-391.4733274912536</v>
      </c>
      <c r="AG52" s="593">
        <f>-SUMPRODUCT('EE Measures'!BN$8:BN$86,'EE Measures'!$N$8:$N$86,'EE Measures'!$IL$8:$IL$86)</f>
        <v>-491.35303317764334</v>
      </c>
      <c r="AH52" s="593">
        <f>-SUMPRODUCT('EE Measures'!BO$8:BO$86,'EE Measures'!$N$8:$N$86,'EE Measures'!$IL$8:$IL$86)</f>
        <v>-575.62478545546071</v>
      </c>
      <c r="AI52" s="593">
        <f>-SUMPRODUCT('EE Measures'!BP$8:BP$86,'EE Measures'!$N$8:$N$86,'EE Measures'!$IL$8:$IL$86)</f>
        <v>-693.23068359639342</v>
      </c>
      <c r="AJ52" s="593">
        <f>-SUMPRODUCT('EE Measures'!BQ$8:BQ$86,'EE Measures'!$N$8:$N$86,'EE Measures'!$IL$8:$IL$86)</f>
        <v>-835.61925273444467</v>
      </c>
      <c r="AK52" s="593">
        <f>-SUMPRODUCT('EE Measures'!BR$8:BR$86,'EE Measures'!$N$8:$N$86,'EE Measures'!$IL$8:$IL$86)</f>
        <v>-979.89711623808614</v>
      </c>
      <c r="AL52" s="593">
        <f>-SUMPRODUCT('EE Measures'!BS$8:BS$86,'EE Measures'!$N$8:$N$86,'EE Measures'!$IL$8:$IL$86)</f>
        <v>-1126.081722175493</v>
      </c>
      <c r="AM52" s="593">
        <f>-SUMPRODUCT('EE Measures'!BT$8:BT$86,'EE Measures'!$N$8:$N$86,'EE Measures'!$IL$8:$IL$86)</f>
        <v>-1274.1963500964534</v>
      </c>
      <c r="AN52" s="593">
        <f>-SUMPRODUCT('EE Measures'!BU$8:BU$86,'EE Measures'!$N$8:$N$86,'EE Measures'!$IL$8:$IL$86)</f>
        <v>-1424.2642861639911</v>
      </c>
      <c r="AO52" s="593">
        <f>-SUMPRODUCT('EE Measures'!BV$8:BV$86,'EE Measures'!$N$8:$N$86,'EE Measures'!$IL$8:$IL$86)</f>
        <v>-1576.3316231839744</v>
      </c>
      <c r="AP52" s="898">
        <f t="shared" si="24"/>
        <v>-9817.2088945214346</v>
      </c>
      <c r="AQ52" s="554" t="str" cm="1">
        <f t="array" ref="AQ52:AQ56">_xlfn.ANCHORARRAY(AQ46)</f>
        <v xml:space="preserve">Põhja-Eesti </v>
      </c>
      <c r="AR52" s="592">
        <f>SUM(AS52:BB52)</f>
        <v>-10142.280661601901</v>
      </c>
      <c r="AS52" s="593">
        <f>-SUMPRODUCT('EE Measures'!BH$8:BH$86,'EE Measures'!$Y$8:$Y$86,'EE Measures'!$IL$8:$IL$86)</f>
        <v>-126.72865578415012</v>
      </c>
      <c r="AT52" s="593">
        <f>-SUMPRODUCT('EE Measures'!BI$8:BI$86,'EE Measures'!$Y$8:$Y$86,'EE Measures'!$IL$8:$IL$86)</f>
        <v>-150.50341359041735</v>
      </c>
      <c r="AU52" s="593">
        <f>-SUMPRODUCT('EE Measures'!BJ$8:BJ$86,'EE Measures'!$Y$8:$Y$86,'EE Measures'!$IL$8:$IL$86)</f>
        <v>-169.08355798689033</v>
      </c>
      <c r="AV52" s="593">
        <f>-SUMPRODUCT('EE Measures'!BK$8:BK$86,'EE Measures'!$Y$8:$Y$86,'EE Measures'!$IL$8:$IL$86)</f>
        <v>-268.97228958217028</v>
      </c>
      <c r="AW52" s="593">
        <f>-SUMPRODUCT('EE Measures'!BL$8:BL$86,'EE Measures'!$Y$8:$Y$86,'EE Measures'!$IL$8:$IL$86)</f>
        <v>-715.66511961579238</v>
      </c>
      <c r="AX52" s="593">
        <f>-SUMPRODUCT('EE Measures'!BM$8:BM$86,'EE Measures'!$Y$8:$Y$86,'EE Measures'!$IL$8:$IL$86)</f>
        <v>-1014.8818126278879</v>
      </c>
      <c r="AY52" s="593">
        <f>-SUMPRODUCT('EE Measures'!BN$8:BN$86,'EE Measures'!$Y$8:$Y$86,'EE Measures'!$IL$8:$IL$86)</f>
        <v>-1482.5853965490708</v>
      </c>
      <c r="AZ52" s="593">
        <f>-SUMPRODUCT('EE Measures'!BO$8:BO$86,'EE Measures'!$Y$8:$Y$86,'EE Measures'!$IL$8:$IL$86)</f>
        <v>-1767.5590681064941</v>
      </c>
      <c r="BA52" s="593">
        <f>-SUMPRODUCT('EE Measures'!BP$8:BP$86,'EE Measures'!$Y$8:$Y$86,'EE Measures'!$IL$8:$IL$86)</f>
        <v>-2067.9612909577618</v>
      </c>
      <c r="BB52" s="593">
        <f>-SUMPRODUCT('EE Measures'!BQ$8:BQ$86,'EE Measures'!$Y$8:$Y$86,'EE Measures'!$IL$8:$IL$86)</f>
        <v>-2378.3400568012657</v>
      </c>
      <c r="BC52" s="593">
        <f>-SUMPRODUCT('EE Measures'!BR$8:BR$86,'EE Measures'!$Y$8:$Y$86,'EE Measures'!$IL$8:$IL$86)</f>
        <v>-2610.850740150312</v>
      </c>
      <c r="BD52" s="593">
        <f>-SUMPRODUCT('EE Measures'!BS$8:BS$86,'EE Measures'!$Y$8:$Y$86,'EE Measures'!$IL$8:$IL$86)</f>
        <v>-2842.6957686877513</v>
      </c>
      <c r="BE52" s="593">
        <f>-SUMPRODUCT('EE Measures'!BT$8:BT$86,'EE Measures'!$Y$8:$Y$86,'EE Measures'!$IL$8:$IL$86)</f>
        <v>-3073.9204342421663</v>
      </c>
      <c r="BF52" s="593">
        <f>-SUMPRODUCT('EE Measures'!BU$8:BU$86,'EE Measures'!$Y$8:$Y$86,'EE Measures'!$IL$8:$IL$86)</f>
        <v>-3304.5693957671733</v>
      </c>
      <c r="BG52" s="593">
        <f>-SUMPRODUCT('EE Measures'!BV$8:BV$86,'EE Measures'!$Y$8:$Y$86,'EE Measures'!$IL$8:$IL$86)</f>
        <v>-3534.5726270077594</v>
      </c>
      <c r="BH52" s="867">
        <f>AR52/$AR$51</f>
        <v>0.489444293514324</v>
      </c>
      <c r="BK52" s="587" t="s">
        <v>40</v>
      </c>
      <c r="BM52" s="648" t="s">
        <v>389</v>
      </c>
      <c r="BN52" s="592"/>
      <c r="BO52" s="541">
        <f>BO$10-SUMPRODUCT('EE Measures'!BH$8:BH$86,'EE Measures'!$T$8:$T$86,'EE Measures'!$IL$8:$IL$86)</f>
        <v>1363.1916744793882</v>
      </c>
      <c r="BP52" s="541">
        <f>BP$10-SUMPRODUCT('EE Measures'!BI$8:BI$86,'EE Measures'!$T$8:$T$86,'EE Measures'!$IL$8:$IL$86)</f>
        <v>1311.2231690929941</v>
      </c>
      <c r="BQ52" s="541">
        <f>BQ$10-SUMPRODUCT('EE Measures'!BJ$8:BJ$86,'EE Measures'!$T$8:$T$86,'EE Measures'!$IL$8:$IL$86)</f>
        <v>1325.8557634960321</v>
      </c>
      <c r="BR52" s="541">
        <f>BR$10-SUMPRODUCT('EE Measures'!BK$8:BK$86,'EE Measures'!$T$8:$T$86,'EE Measures'!$IL$8:$IL$86)</f>
        <v>1320.121559631323</v>
      </c>
      <c r="BS52" s="541">
        <f>BS$10-SUMPRODUCT('EE Measures'!BL$8:BL$86,'EE Measures'!$T$8:$T$86,'EE Measures'!$IL$8:$IL$86)</f>
        <v>1297.4093924287297</v>
      </c>
      <c r="BT52" s="541">
        <f>BT$10-SUMPRODUCT('EE Measures'!BM$8:BM$86,'EE Measures'!$T$8:$T$86,'EE Measures'!$IL$8:$IL$86)</f>
        <v>1289.0165877054667</v>
      </c>
      <c r="BU52" s="541">
        <f>BU$10-SUMPRODUCT('EE Measures'!BN$8:BN$86,'EE Measures'!$T$8:$T$86,'EE Measures'!$IL$8:$IL$86)</f>
        <v>1274.5341649226602</v>
      </c>
      <c r="BV52" s="541">
        <f>BV$10-SUMPRODUCT('EE Measures'!BO$8:BO$86,'EE Measures'!$T$8:$T$86,'EE Measures'!$IL$8:$IL$86)</f>
        <v>1271.187589518039</v>
      </c>
      <c r="BW52" s="541">
        <f>BW$10-SUMPRODUCT('EE Measures'!BP$8:BP$86,'EE Measures'!$T$8:$T$86,'EE Measures'!$IL$8:$IL$86)</f>
        <v>1260.1654104597083</v>
      </c>
      <c r="BX52" s="541">
        <f>BX$10-SUMPRODUCT('EE Measures'!BQ$8:BQ$86,'EE Measures'!$T$8:$T$86,'EE Measures'!$IL$8:$IL$86)</f>
        <v>1243.5627467170168</v>
      </c>
      <c r="BY52" s="541">
        <f>BY$10-SUMPRODUCT('EE Measures'!BR$8:BR$86,'EE Measures'!$T$8:$T$86,'EE Measures'!$IL$8:$IL$86)</f>
        <v>1228.8805768836721</v>
      </c>
      <c r="BZ52" s="541">
        <f>BZ$10-SUMPRODUCT('EE Measures'!BS$8:BS$86,'EE Measures'!$T$8:$T$86,'EE Measures'!$IL$8:$IL$86)</f>
        <v>1214.0451114133807</v>
      </c>
      <c r="CA52" s="541">
        <f>CA$10-SUMPRODUCT('EE Measures'!BT$8:BT$86,'EE Measures'!$T$8:$T$86,'EE Measures'!$IL$8:$IL$86)</f>
        <v>1199.0552048333257</v>
      </c>
      <c r="CB52" s="541">
        <f>CB$10-SUMPRODUCT('EE Measures'!BU$8:BU$86,'EE Measures'!$T$8:$T$86,'EE Measures'!$IL$8:$IL$86)</f>
        <v>1183.9097753899969</v>
      </c>
      <c r="CC52" s="541">
        <f>CC$10-SUMPRODUCT('EE Measures'!BV$8:BV$86,'EE Measures'!$T$8:$T$86,'EE Measures'!$IL$8:$IL$86)</f>
        <v>1168.6023629582664</v>
      </c>
    </row>
    <row r="53" spans="3:81" outlineLevel="1" x14ac:dyDescent="0.3">
      <c r="C53" s="587" t="str">
        <f t="shared" ref="C53:C56" si="223">C52</f>
        <v>CEER2</v>
      </c>
      <c r="E53" s="563" t="s">
        <v>51</v>
      </c>
      <c r="F53" s="592">
        <f t="shared" ref="F53:F56" si="224">SUM(G53:P53)</f>
        <v>100141.76718265068</v>
      </c>
      <c r="G53" s="593">
        <f t="shared" ref="G53:P53" si="225">G$11+AA53</f>
        <v>10505.541297169239</v>
      </c>
      <c r="H53" s="593">
        <f t="shared" si="225"/>
        <v>10518.620321098373</v>
      </c>
      <c r="I53" s="593">
        <f t="shared" si="225"/>
        <v>10532.318330770775</v>
      </c>
      <c r="J53" s="593">
        <f t="shared" si="225"/>
        <v>10525.77148268684</v>
      </c>
      <c r="K53" s="593">
        <f t="shared" si="225"/>
        <v>10262.196883640956</v>
      </c>
      <c r="L53" s="593">
        <f t="shared" si="225"/>
        <v>10017.93526836138</v>
      </c>
      <c r="M53" s="593">
        <f t="shared" si="225"/>
        <v>9783.7085313459993</v>
      </c>
      <c r="N53" s="593">
        <f t="shared" si="225"/>
        <v>9554.5729959830733</v>
      </c>
      <c r="O53" s="593">
        <f t="shared" si="225"/>
        <v>9330.2944951461159</v>
      </c>
      <c r="P53" s="593">
        <f t="shared" si="225"/>
        <v>9110.8075764479254</v>
      </c>
      <c r="Q53" s="593">
        <f t="shared" ref="Q53:U53" si="226">Q$11+AK53</f>
        <v>8896.0484736692761</v>
      </c>
      <c r="R53" s="593">
        <f t="shared" si="226"/>
        <v>8685.9550788506822</v>
      </c>
      <c r="S53" s="593">
        <f t="shared" si="226"/>
        <v>8480.4669150350837</v>
      </c>
      <c r="T53" s="593">
        <f t="shared" si="226"/>
        <v>8279.525109649614</v>
      </c>
      <c r="U53" s="593">
        <f t="shared" si="226"/>
        <v>8083.900633649102</v>
      </c>
      <c r="V53"/>
      <c r="W53"/>
      <c r="Y53" s="563" t="s">
        <v>51</v>
      </c>
      <c r="Z53" s="592">
        <f t="shared" ref="Z53:Z56" si="227">SUM(AA53:AJ53)</f>
        <v>-6753.6644158411618</v>
      </c>
      <c r="AA53" s="593">
        <f>-SUMPRODUCT('EE Measures'!BH$8:BH$86,'EE Measures'!$O$8:$O$86,'EE Measures'!$IL$8:$IL$86)</f>
        <v>-30.340202830761658</v>
      </c>
      <c r="AB53" s="593">
        <f>-SUMPRODUCT('EE Measures'!BI$8:BI$86,'EE Measures'!$O$8:$O$86,'EE Measures'!$IL$8:$IL$86)</f>
        <v>-46.612077339128874</v>
      </c>
      <c r="AC53" s="593">
        <f>-SUMPRODUCT('EE Measures'!BJ$8:BJ$86,'EE Measures'!$O$8:$O$86,'EE Measures'!$IL$8:$IL$86)</f>
        <v>-63.705850271813944</v>
      </c>
      <c r="AD53" s="593">
        <f>-SUMPRODUCT('EE Measures'!BK$8:BK$86,'EE Measures'!$O$8:$O$86,'EE Measures'!$IL$8:$IL$86)</f>
        <v>-102.50393154079981</v>
      </c>
      <c r="AE53" s="593">
        <f>-SUMPRODUCT('EE Measures'!BL$8:BL$86,'EE Measures'!$O$8:$O$86,'EE Measures'!$IL$8:$IL$86)</f>
        <v>-399.80817426562697</v>
      </c>
      <c r="AF53" s="593">
        <f>-SUMPRODUCT('EE Measures'!BM$8:BM$86,'EE Measures'!$O$8:$O$86,'EE Measures'!$IL$8:$IL$86)</f>
        <v>-679.29720377349781</v>
      </c>
      <c r="AG53" s="593">
        <f>-SUMPRODUCT('EE Measures'!BN$8:BN$86,'EE Measures'!$O$8:$O$86,'EE Measures'!$IL$8:$IL$86)</f>
        <v>-954.7419236792947</v>
      </c>
      <c r="AH53" s="593">
        <f>-SUMPRODUCT('EE Measures'!BO$8:BO$86,'EE Measures'!$O$8:$O$86,'EE Measures'!$IL$8:$IL$86)</f>
        <v>-1226.0563616767517</v>
      </c>
      <c r="AI53" s="593">
        <f>-SUMPRODUCT('EE Measures'!BP$8:BP$86,'EE Measures'!$O$8:$O$86,'EE Measures'!$IL$8:$IL$86)</f>
        <v>-1493.486980542621</v>
      </c>
      <c r="AJ53" s="593">
        <f>-SUMPRODUCT('EE Measures'!BQ$8:BQ$86,'EE Measures'!$O$8:$O$86,'EE Measures'!$IL$8:$IL$86)</f>
        <v>-1757.1117099208645</v>
      </c>
      <c r="AK53" s="593">
        <f>-SUMPRODUCT('EE Measures'!BR$8:BR$86,'EE Measures'!$O$8:$O$86,'EE Measures'!$IL$8:$IL$86)</f>
        <v>-2017.0069774678973</v>
      </c>
      <c r="AL53" s="593">
        <f>-SUMPRODUCT('EE Measures'!BS$8:BS$86,'EE Measures'!$O$8:$O$86,'EE Measures'!$IL$8:$IL$86)</f>
        <v>-2273.2477393717045</v>
      </c>
      <c r="AM53" s="593">
        <f>-SUMPRODUCT('EE Measures'!BT$8:BT$86,'EE Measures'!$O$8:$O$86,'EE Measures'!$IL$8:$IL$86)</f>
        <v>-2525.9075102574661</v>
      </c>
      <c r="AN53" s="593">
        <f>-SUMPRODUCT('EE Measures'!BU$8:BU$86,'EE Measures'!$O$8:$O$86,'EE Measures'!$IL$8:$IL$86)</f>
        <v>-2775.058392492127</v>
      </c>
      <c r="AO53" s="593">
        <f>-SUMPRODUCT('EE Measures'!BV$8:BV$86,'EE Measures'!$O$8:$O$86,'EE Measures'!$IL$8:$IL$86)</f>
        <v>-3019.9428397657575</v>
      </c>
      <c r="AP53" s="898">
        <f t="shared" si="24"/>
        <v>-19224.169744754407</v>
      </c>
      <c r="AQ53" s="554" t="str">
        <v>Lääne-Eesti</v>
      </c>
      <c r="AR53" s="592">
        <f t="shared" ref="AR53:AR56" si="228">SUM(AS53:BB53)</f>
        <v>-2763.6322840316493</v>
      </c>
      <c r="AS53" s="593">
        <f>-SUMPRODUCT('EE Measures'!BH$8:BH$86,'EE Measures'!$Z$8:$Z$86,'EE Measures'!$IL$8:$IL$86)</f>
        <v>-20.850352744728511</v>
      </c>
      <c r="AT53" s="593">
        <f>-SUMPRODUCT('EE Measures'!BI$8:BI$86,'EE Measures'!$Z$8:$Z$86,'EE Measures'!$IL$8:$IL$86)</f>
        <v>-26.424320582208811</v>
      </c>
      <c r="AU53" s="593">
        <f>-SUMPRODUCT('EE Measures'!BJ$8:BJ$86,'EE Measures'!$Z$8:$Z$86,'EE Measures'!$IL$8:$IL$86)</f>
        <v>-31.329782354225937</v>
      </c>
      <c r="AV53" s="593">
        <f>-SUMPRODUCT('EE Measures'!BK$8:BK$86,'EE Measures'!$Z$8:$Z$86,'EE Measures'!$IL$8:$IL$86)</f>
        <v>-53.95267348429536</v>
      </c>
      <c r="AW53" s="593">
        <f>-SUMPRODUCT('EE Measures'!BL$8:BL$86,'EE Measures'!$Z$8:$Z$86,'EE Measures'!$IL$8:$IL$86)</f>
        <v>-140.73388324538752</v>
      </c>
      <c r="AX53" s="593">
        <f>-SUMPRODUCT('EE Measures'!BM$8:BM$86,'EE Measures'!$Z$8:$Z$86,'EE Measures'!$IL$8:$IL$86)</f>
        <v>-214.48649624993504</v>
      </c>
      <c r="AY53" s="593">
        <f>-SUMPRODUCT('EE Measures'!BN$8:BN$86,'EE Measures'!$Z$8:$Z$86,'EE Measures'!$IL$8:$IL$86)</f>
        <v>-458.96810269986423</v>
      </c>
      <c r="AZ53" s="593">
        <f>-SUMPRODUCT('EE Measures'!BO$8:BO$86,'EE Measures'!$Z$8:$Z$86,'EE Measures'!$IL$8:$IL$86)</f>
        <v>-531.01226654009861</v>
      </c>
      <c r="BA53" s="593">
        <f>-SUMPRODUCT('EE Measures'!BP$8:BP$86,'EE Measures'!$Z$8:$Z$86,'EE Measures'!$IL$8:$IL$86)</f>
        <v>-605.2255068930358</v>
      </c>
      <c r="BB53" s="593">
        <f>-SUMPRODUCT('EE Measures'!BQ$8:BQ$86,'EE Measures'!$Z$8:$Z$86,'EE Measures'!$IL$8:$IL$86)</f>
        <v>-680.64889923786939</v>
      </c>
      <c r="BC53" s="593">
        <f>-SUMPRODUCT('EE Measures'!BR$8:BR$86,'EE Measures'!$Z$8:$Z$86,'EE Measures'!$IL$8:$IL$86)</f>
        <v>-751.30034816371199</v>
      </c>
      <c r="BD53" s="593">
        <f>-SUMPRODUCT('EE Measures'!BS$8:BS$86,'EE Measures'!$Z$8:$Z$86,'EE Measures'!$IL$8:$IL$86)</f>
        <v>-821.51093067508418</v>
      </c>
      <c r="BE53" s="593">
        <f>-SUMPRODUCT('EE Measures'!BT$8:BT$86,'EE Measures'!$Z$8:$Z$86,'EE Measures'!$IL$8:$IL$86)</f>
        <v>-891.29462637173924</v>
      </c>
      <c r="BF53" s="593">
        <f>-SUMPRODUCT('EE Measures'!BU$8:BU$86,'EE Measures'!$Z$8:$Z$86,'EE Measures'!$IL$8:$IL$86)</f>
        <v>-960.66518376154215</v>
      </c>
      <c r="BG53" s="593">
        <f>-SUMPRODUCT('EE Measures'!BV$8:BV$86,'EE Measures'!$Z$8:$Z$86,'EE Measures'!$IL$8:$IL$86)</f>
        <v>-1029.6958558568729</v>
      </c>
      <c r="BH53" s="867">
        <f>AR53/$AR$51</f>
        <v>0.13336685267567894</v>
      </c>
      <c r="BK53" s="587" t="s">
        <v>40</v>
      </c>
      <c r="BM53" s="648" t="s">
        <v>390</v>
      </c>
      <c r="BN53" s="592"/>
      <c r="BO53" s="541">
        <f>BO$11-SUMPRODUCT('EE Measures'!BH$8:BH$86,'EE Measures'!$U$8:$U$86,'EE Measures'!$IL$8:$IL$86)</f>
        <v>5.6006017536074442</v>
      </c>
      <c r="BP53" s="541">
        <f>BP$11-SUMPRODUCT('EE Measures'!BI$8:BI$86,'EE Measures'!$U$8:$U$86,'EE Measures'!$IL$8:$IL$86)</f>
        <v>124.57047388607955</v>
      </c>
      <c r="BQ53" s="541">
        <f>BQ$11-SUMPRODUCT('EE Measures'!BJ$8:BJ$86,'EE Measures'!$U$8:$U$86,'EE Measures'!$IL$8:$IL$86)</f>
        <v>126.02824055274621</v>
      </c>
      <c r="BR53" s="541">
        <f>BR$11-SUMPRODUCT('EE Measures'!BK$8:BK$86,'EE Measures'!$U$8:$U$86,'EE Measures'!$IL$8:$IL$86)</f>
        <v>127.81625990547496</v>
      </c>
      <c r="BS53" s="541">
        <f>BS$11-SUMPRODUCT('EE Measures'!BL$8:BL$86,'EE Measures'!$U$8:$U$86,'EE Measures'!$IL$8:$IL$86)</f>
        <v>129.33095415055377</v>
      </c>
      <c r="BT53" s="541">
        <f>BT$11-SUMPRODUCT('EE Measures'!BM$8:BM$86,'EE Measures'!$U$8:$U$86,'EE Measures'!$IL$8:$IL$86)</f>
        <v>130.89969175613086</v>
      </c>
      <c r="BU53" s="541">
        <f>BU$11-SUMPRODUCT('EE Measures'!BN$8:BN$86,'EE Measures'!$U$8:$U$86,'EE Measures'!$IL$8:$IL$86)</f>
        <v>132.48704610478075</v>
      </c>
      <c r="BV53" s="541">
        <f>BV$11-SUMPRODUCT('EE Measures'!BO$8:BO$86,'EE Measures'!$U$8:$U$86,'EE Measures'!$IL$8:$IL$86)</f>
        <v>134.15427268280413</v>
      </c>
      <c r="BW53" s="541">
        <f>BW$11-SUMPRODUCT('EE Measures'!BP$8:BP$86,'EE Measures'!$U$8:$U$86,'EE Measures'!$IL$8:$IL$86)</f>
        <v>135.74241008822207</v>
      </c>
      <c r="BX53" s="541">
        <f>BX$11-SUMPRODUCT('EE Measures'!BQ$8:BQ$86,'EE Measures'!$U$8:$U$86,'EE Measures'!$IL$8:$IL$86)</f>
        <v>137.279751010073</v>
      </c>
      <c r="BY53" s="541">
        <f>BY$11-SUMPRODUCT('EE Measures'!BR$8:BR$86,'EE Measures'!$U$8:$U$86,'EE Measures'!$IL$8:$IL$86)</f>
        <v>138.86418045769895</v>
      </c>
      <c r="BZ53" s="541">
        <f>BZ$11-SUMPRODUCT('EE Measures'!BS$8:BS$86,'EE Measures'!$U$8:$U$86,'EE Measures'!$IL$8:$IL$86)</f>
        <v>140.47322046717932</v>
      </c>
      <c r="CA53" s="541">
        <f>CA$11-SUMPRODUCT('EE Measures'!BT$8:BT$86,'EE Measures'!$U$8:$U$86,'EE Measures'!$IL$8:$IL$86)</f>
        <v>142.10725727582823</v>
      </c>
      <c r="CB53" s="541">
        <f>CB$11-SUMPRODUCT('EE Measures'!BU$8:BU$86,'EE Measures'!$U$8:$U$86,'EE Measures'!$IL$8:$IL$86)</f>
        <v>143.76668402835983</v>
      </c>
      <c r="CC53" s="541">
        <f>CC$11-SUMPRODUCT('EE Measures'!BV$8:BV$86,'EE Measures'!$U$8:$U$86,'EE Measures'!$IL$8:$IL$86)</f>
        <v>145.45182662447226</v>
      </c>
    </row>
    <row r="54" spans="3:81" outlineLevel="1" x14ac:dyDescent="0.3">
      <c r="C54" s="587" t="str">
        <f t="shared" si="223"/>
        <v>CEER2</v>
      </c>
      <c r="E54" s="563" t="s">
        <v>52</v>
      </c>
      <c r="F54" s="592">
        <f t="shared" si="224"/>
        <v>52503.88545284111</v>
      </c>
      <c r="G54" s="593">
        <f t="shared" ref="G54:P54" si="229">G$12+AA54</f>
        <v>5337.3640280558666</v>
      </c>
      <c r="H54" s="593">
        <f t="shared" si="229"/>
        <v>5361.642849994173</v>
      </c>
      <c r="I54" s="593">
        <f t="shared" si="229"/>
        <v>5391.2699254265435</v>
      </c>
      <c r="J54" s="593">
        <f t="shared" si="229"/>
        <v>5408.4641743286256</v>
      </c>
      <c r="K54" s="593">
        <f t="shared" si="229"/>
        <v>5331.356890820477</v>
      </c>
      <c r="L54" s="593">
        <f t="shared" si="229"/>
        <v>5263.1668513846907</v>
      </c>
      <c r="M54" s="593">
        <f t="shared" si="229"/>
        <v>5197.1959807171543</v>
      </c>
      <c r="N54" s="593">
        <f t="shared" si="229"/>
        <v>5132.9918147747267</v>
      </c>
      <c r="O54" s="593">
        <f t="shared" si="229"/>
        <v>5070.5532294268114</v>
      </c>
      <c r="P54" s="593">
        <f t="shared" si="229"/>
        <v>5009.8797079120404</v>
      </c>
      <c r="Q54" s="593">
        <f t="shared" ref="Q54:U54" si="230">Q$12+AK54</f>
        <v>4950.9713400970595</v>
      </c>
      <c r="R54" s="593">
        <f t="shared" si="230"/>
        <v>4893.8288219718879</v>
      </c>
      <c r="S54" s="593">
        <f t="shared" si="230"/>
        <v>4838.4534553814792</v>
      </c>
      <c r="T54" s="593">
        <f t="shared" si="230"/>
        <v>4784.8471479932341</v>
      </c>
      <c r="U54" s="593">
        <f t="shared" si="230"/>
        <v>4732.3036325691883</v>
      </c>
      <c r="V54"/>
      <c r="W54"/>
      <c r="Y54" s="563" t="s">
        <v>52</v>
      </c>
      <c r="Z54" s="592">
        <f t="shared" si="227"/>
        <v>-2916.0273820642847</v>
      </c>
      <c r="AA54" s="593">
        <f>-SUMPRODUCT('EE Measures'!BH$8:BH$86,'EE Measures'!$P$8:$P$86,'EE Measures'!$IL$8:$IL$86)</f>
        <v>-47.711671944133144</v>
      </c>
      <c r="AB54" s="593">
        <f>-SUMPRODUCT('EE Measures'!BI$8:BI$86,'EE Measures'!$P$8:$P$86,'EE Measures'!$IL$8:$IL$86)</f>
        <v>-55.599480709088851</v>
      </c>
      <c r="AC54" s="593">
        <f>-SUMPRODUCT('EE Measures'!BJ$8:BJ$86,'EE Measures'!$P$8:$P$86,'EE Measures'!$IL$8:$IL$86)</f>
        <v>-59.098718809684456</v>
      </c>
      <c r="AD54" s="593">
        <f>-SUMPRODUCT('EE Measures'!BK$8:BK$86,'EE Measures'!$P$8:$P$86,'EE Measures'!$IL$8:$IL$86)</f>
        <v>-76.004420747916299</v>
      </c>
      <c r="AE54" s="593">
        <f>-SUMPRODUCT('EE Measures'!BL$8:BL$86,'EE Measures'!$P$8:$P$86,'EE Measures'!$IL$8:$IL$86)</f>
        <v>-188.19954101363186</v>
      </c>
      <c r="AF54" s="593">
        <f>-SUMPRODUCT('EE Measures'!BM$8:BM$86,'EE Measures'!$P$8:$P$86,'EE Measures'!$IL$8:$IL$86)</f>
        <v>-292.47985122962524</v>
      </c>
      <c r="AG54" s="593">
        <f>-SUMPRODUCT('EE Measures'!BN$8:BN$86,'EE Measures'!$P$8:$P$86,'EE Measures'!$IL$8:$IL$86)</f>
        <v>-395.9585405079136</v>
      </c>
      <c r="AH54" s="593">
        <f>-SUMPRODUCT('EE Measures'!BO$8:BO$86,'EE Measures'!$P$8:$P$86,'EE Measures'!$IL$8:$IL$86)</f>
        <v>-498.65197416833365</v>
      </c>
      <c r="AI54" s="593">
        <f>-SUMPRODUCT('EE Measures'!BP$8:BP$86,'EE Measures'!$P$8:$P$86,'EE Measures'!$IL$8:$IL$86)</f>
        <v>-600.57620470561983</v>
      </c>
      <c r="AJ54" s="593">
        <f>-SUMPRODUCT('EE Measures'!BQ$8:BQ$86,'EE Measures'!$P$8:$P$86,'EE Measures'!$IL$8:$IL$86)</f>
        <v>-701.74697822833753</v>
      </c>
      <c r="AK54" s="593">
        <f>-SUMPRODUCT('EE Measures'!BR$8:BR$86,'EE Measures'!$P$8:$P$86,'EE Measures'!$IL$8:$IL$86)</f>
        <v>-802.17974076910855</v>
      </c>
      <c r="AL54" s="593">
        <f>-SUMPRODUCT('EE Measures'!BS$8:BS$86,'EE Measures'!$P$8:$P$86,'EE Measures'!$IL$8:$IL$86)</f>
        <v>-901.88964446867885</v>
      </c>
      <c r="AM54" s="593">
        <f>-SUMPRODUCT('EE Measures'!BT$8:BT$86,'EE Measures'!$P$8:$P$86,'EE Measures'!$IL$8:$IL$86)</f>
        <v>-1000.8915536363461</v>
      </c>
      <c r="AN54" s="593">
        <f>-SUMPRODUCT('EE Measures'!BU$8:BU$86,'EE Measures'!$P$8:$P$86,'EE Measures'!$IL$8:$IL$86)</f>
        <v>-1099.2000506892346</v>
      </c>
      <c r="AO54" s="593">
        <f>-SUMPRODUCT('EE Measures'!BV$8:BV$86,'EE Measures'!$P$8:$P$86,'EE Measures'!$IL$8:$IL$86)</f>
        <v>-1197.5382229039544</v>
      </c>
      <c r="AP54" s="898">
        <f t="shared" si="24"/>
        <v>-7755.3167230687004</v>
      </c>
      <c r="AQ54" s="554" t="str">
        <v>Kirde-Eesti</v>
      </c>
      <c r="AR54" s="592">
        <f t="shared" si="228"/>
        <v>-1777.9805027411835</v>
      </c>
      <c r="AS54" s="593">
        <f>-SUMPRODUCT('EE Measures'!BH$8:BH$86,'EE Measures'!$AA$8:$AA$86,'EE Measures'!$IL$8:$IL$86)</f>
        <v>-23.815853131249778</v>
      </c>
      <c r="AT54" s="593">
        <f>-SUMPRODUCT('EE Measures'!BI$8:BI$86,'EE Measures'!$AA$8:$AA$86,'EE Measures'!$IL$8:$IL$86)</f>
        <v>-28.915539106266223</v>
      </c>
      <c r="AU54" s="593">
        <f>-SUMPRODUCT('EE Measures'!BJ$8:BJ$86,'EE Measures'!$AA$8:$AA$86,'EE Measures'!$IL$8:$IL$86)</f>
        <v>-32.908022668847948</v>
      </c>
      <c r="AV54" s="593">
        <f>-SUMPRODUCT('EE Measures'!BK$8:BK$86,'EE Measures'!$AA$8:$AA$86,'EE Measures'!$IL$8:$IL$86)</f>
        <v>-53.760017951436033</v>
      </c>
      <c r="AW54" s="593">
        <f>-SUMPRODUCT('EE Measures'!BL$8:BL$86,'EE Measures'!$AA$8:$AA$86,'EE Measures'!$IL$8:$IL$86)</f>
        <v>-125.08741752631749</v>
      </c>
      <c r="AX54" s="593">
        <f>-SUMPRODUCT('EE Measures'!BM$8:BM$86,'EE Measures'!$AA$8:$AA$86,'EE Measures'!$IL$8:$IL$86)</f>
        <v>-184.91460783341438</v>
      </c>
      <c r="AY54" s="593">
        <f>-SUMPRODUCT('EE Measures'!BN$8:BN$86,'EE Measures'!$AA$8:$AA$86,'EE Measures'!$IL$8:$IL$86)</f>
        <v>-244.37440649850572</v>
      </c>
      <c r="AZ54" s="593">
        <f>-SUMPRODUCT('EE Measures'!BO$8:BO$86,'EE Measures'!$AA$8:$AA$86,'EE Measures'!$IL$8:$IL$86)</f>
        <v>-300.62876382218917</v>
      </c>
      <c r="BA54" s="593">
        <f>-SUMPRODUCT('EE Measures'!BP$8:BP$86,'EE Measures'!$AA$8:$AA$86,'EE Measures'!$IL$8:$IL$86)</f>
        <v>-360.59829464160958</v>
      </c>
      <c r="BB54" s="593">
        <f>-SUMPRODUCT('EE Measures'!BQ$8:BQ$86,'EE Measures'!$AA$8:$AA$86,'EE Measures'!$IL$8:$IL$86)</f>
        <v>-422.97757956134694</v>
      </c>
      <c r="BC54" s="593">
        <f>-SUMPRODUCT('EE Measures'!BR$8:BR$86,'EE Measures'!$AA$8:$AA$86,'EE Measures'!$IL$8:$IL$86)</f>
        <v>-483.22807168618874</v>
      </c>
      <c r="BD54" s="593">
        <f>-SUMPRODUCT('EE Measures'!BS$8:BS$86,'EE Measures'!$AA$8:$AA$86,'EE Measures'!$IL$8:$IL$86)</f>
        <v>-543.21776383443455</v>
      </c>
      <c r="BE54" s="593">
        <f>-SUMPRODUCT('EE Measures'!BT$8:BT$86,'EE Measures'!$AA$8:$AA$86,'EE Measures'!$IL$8:$IL$86)</f>
        <v>-602.95967078049387</v>
      </c>
      <c r="BF54" s="593">
        <f>-SUMPRODUCT('EE Measures'!BU$8:BU$86,'EE Measures'!$AA$8:$AA$86,'EE Measures'!$IL$8:$IL$86)</f>
        <v>-662.4666142011755</v>
      </c>
      <c r="BG54" s="593">
        <f>-SUMPRODUCT('EE Measures'!BV$8:BV$86,'EE Measures'!$AA$8:$AA$86,'EE Measures'!$IL$8:$IL$86)</f>
        <v>-721.68337964177817</v>
      </c>
      <c r="BH54" s="867">
        <f>AR54/$AR$51</f>
        <v>8.580145236376803E-2</v>
      </c>
      <c r="BK54" s="587" t="s">
        <v>40</v>
      </c>
      <c r="BM54" s="648" t="s">
        <v>391</v>
      </c>
      <c r="BN54" s="592"/>
      <c r="BO54" s="541">
        <f>BO$12-SUMPRODUCT('EE Measures'!BH$8:BH$86,'EE Measures'!$V$8:$V$86,'EE Measures'!$IL$8:$IL$86)</f>
        <v>774.56660441162262</v>
      </c>
      <c r="BP54" s="541">
        <f>BP$12-SUMPRODUCT('EE Measures'!BI$8:BI$86,'EE Measures'!$V$8:$V$86,'EE Measures'!$IL$8:$IL$86)</f>
        <v>865.63674165140878</v>
      </c>
      <c r="BQ54" s="541">
        <f>BQ$12-SUMPRODUCT('EE Measures'!BJ$8:BJ$86,'EE Measures'!$V$8:$V$86,'EE Measures'!$IL$8:$IL$86)</f>
        <v>871.62335247875421</v>
      </c>
      <c r="BR54" s="541">
        <f>BR$12-SUMPRODUCT('EE Measures'!BK$8:BK$86,'EE Measures'!$V$8:$V$86,'EE Measures'!$IL$8:$IL$86)</f>
        <v>877.74500462638014</v>
      </c>
      <c r="BS54" s="541">
        <f>BS$12-SUMPRODUCT('EE Measures'!BL$8:BL$86,'EE Measures'!$V$8:$V$86,'EE Measures'!$IL$8:$IL$86)</f>
        <v>863.51292829632916</v>
      </c>
      <c r="BT54" s="541">
        <f>BT$12-SUMPRODUCT('EE Measures'!BM$8:BM$86,'EE Measures'!$V$8:$V$86,'EE Measures'!$IL$8:$IL$86)</f>
        <v>857.38666681571056</v>
      </c>
      <c r="BU54" s="541">
        <f>BU$12-SUMPRODUCT('EE Measures'!BN$8:BN$86,'EE Measures'!$V$8:$V$86,'EE Measures'!$IL$8:$IL$86)</f>
        <v>829.11645022030484</v>
      </c>
      <c r="BV54" s="541">
        <f>BV$12-SUMPRODUCT('EE Measures'!BO$8:BO$86,'EE Measures'!$V$8:$V$86,'EE Measures'!$IL$8:$IL$86)</f>
        <v>824.26101514689435</v>
      </c>
      <c r="BW54" s="541">
        <f>BW$12-SUMPRODUCT('EE Measures'!BP$8:BP$86,'EE Measures'!$V$8:$V$86,'EE Measures'!$IL$8:$IL$86)</f>
        <v>818.10194202893842</v>
      </c>
      <c r="BX54" s="541">
        <f>BX$12-SUMPRODUCT('EE Measures'!BQ$8:BQ$86,'EE Measures'!$V$8:$V$86,'EE Measures'!$IL$8:$IL$86)</f>
        <v>811.18555764969972</v>
      </c>
      <c r="BY54" s="541">
        <f>BY$12-SUMPRODUCT('EE Measures'!BR$8:BR$86,'EE Measures'!$V$8:$V$86,'EE Measures'!$IL$8:$IL$86)</f>
        <v>810.41630174131967</v>
      </c>
      <c r="BZ54" s="541">
        <f>BZ$12-SUMPRODUCT('EE Measures'!BS$8:BS$86,'EE Measures'!$V$8:$V$86,'EE Measures'!$IL$8:$IL$86)</f>
        <v>809.79728061103015</v>
      </c>
      <c r="CA54" s="541">
        <f>CA$12-SUMPRODUCT('EE Measures'!BT$8:BT$86,'EE Measures'!$V$8:$V$86,'EE Measures'!$IL$8:$IL$86)</f>
        <v>809.33134648102987</v>
      </c>
      <c r="CB54" s="541">
        <f>CB$12-SUMPRODUCT('EE Measures'!BU$8:BU$86,'EE Measures'!$V$8:$V$86,'EE Measures'!$IL$8:$IL$86)</f>
        <v>809.02141844822233</v>
      </c>
      <c r="CC54" s="541">
        <f>CC$12-SUMPRODUCT('EE Measures'!BV$8:BV$86,'EE Measures'!$V$8:$V$86,'EE Measures'!$IL$8:$IL$86)</f>
        <v>808.86945243165292</v>
      </c>
    </row>
    <row r="55" spans="3:81" outlineLevel="1" x14ac:dyDescent="0.3">
      <c r="C55" s="587" t="str">
        <f t="shared" si="223"/>
        <v>CEER2</v>
      </c>
      <c r="E55" s="563" t="s">
        <v>53</v>
      </c>
      <c r="F55" s="592">
        <f t="shared" si="224"/>
        <v>94585.568124663565</v>
      </c>
      <c r="G55" s="593">
        <f t="shared" ref="G55:P55" si="231">G$13+AA55</f>
        <v>9663.2257318755801</v>
      </c>
      <c r="H55" s="593">
        <f t="shared" si="231"/>
        <v>9738.1741193571361</v>
      </c>
      <c r="I55" s="593">
        <f t="shared" si="231"/>
        <v>9816.5670330763824</v>
      </c>
      <c r="J55" s="593">
        <f t="shared" si="231"/>
        <v>9812.8155561982658</v>
      </c>
      <c r="K55" s="593">
        <f t="shared" si="231"/>
        <v>9603.1666953030945</v>
      </c>
      <c r="L55" s="593">
        <f t="shared" si="231"/>
        <v>9554.9650520116884</v>
      </c>
      <c r="M55" s="593">
        <f t="shared" si="231"/>
        <v>9163.7351240421976</v>
      </c>
      <c r="N55" s="593">
        <f t="shared" si="231"/>
        <v>9119.821568345491</v>
      </c>
      <c r="O55" s="593">
        <f t="shared" si="231"/>
        <v>9076.6037439216761</v>
      </c>
      <c r="P55" s="593">
        <f t="shared" si="231"/>
        <v>9036.4935005320531</v>
      </c>
      <c r="Q55" s="593">
        <f t="shared" ref="Q55:U55" si="232">Q$13+AK55</f>
        <v>9086.7452050988013</v>
      </c>
      <c r="R55" s="593">
        <f t="shared" si="232"/>
        <v>9138.0551228199201</v>
      </c>
      <c r="S55" s="593">
        <f t="shared" si="232"/>
        <v>9190.4338001901597</v>
      </c>
      <c r="T55" s="593">
        <f t="shared" si="232"/>
        <v>9243.8918891520516</v>
      </c>
      <c r="U55" s="593">
        <f t="shared" si="232"/>
        <v>9298.4401481624409</v>
      </c>
      <c r="V55"/>
      <c r="W55"/>
      <c r="Y55" s="563" t="s">
        <v>53</v>
      </c>
      <c r="Z55" s="592">
        <f t="shared" si="227"/>
        <v>-7115.8562854781685</v>
      </c>
      <c r="AA55" s="593">
        <f>-SUMPRODUCT('EE Measures'!BH$8:BH$86,'EE Measures'!$Q$8:$Q$86,'EE Measures'!$IL$8:$IL$86)</f>
        <v>-57.607601457754342</v>
      </c>
      <c r="AB55" s="593">
        <f>-SUMPRODUCT('EE Measures'!BI$8:BI$86,'EE Measures'!$Q$8:$Q$86,'EE Measures'!$IL$8:$IL$86)</f>
        <v>-79.867547309530934</v>
      </c>
      <c r="AC55" s="593">
        <f>-SUMPRODUCT('EE Measures'!BJ$8:BJ$86,'EE Measures'!$Q$8:$Q$86,'EE Measures'!$IL$8:$IL$86)</f>
        <v>-99.655050256952165</v>
      </c>
      <c r="AD55" s="593">
        <f>-SUMPRODUCT('EE Measures'!BK$8:BK$86,'EE Measures'!$Q$8:$Q$86,'EE Measures'!$IL$8:$IL$86)</f>
        <v>-202.56874796840242</v>
      </c>
      <c r="AE55" s="593">
        <f>-SUMPRODUCT('EE Measures'!BL$8:BL$86,'EE Measures'!$Q$8:$Q$86,'EE Measures'!$IL$8:$IL$86)</f>
        <v>-512.37145190524006</v>
      </c>
      <c r="AF55" s="593">
        <f>-SUMPRODUCT('EE Measures'!BM$8:BM$86,'EE Measures'!$Q$8:$Q$86,'EE Measures'!$IL$8:$IL$86)</f>
        <v>-661.72847666872997</v>
      </c>
      <c r="AG55" s="593">
        <f>-SUMPRODUCT('EE Measures'!BN$8:BN$86,'EE Measures'!$Q$8:$Q$86,'EE Measures'!$IL$8:$IL$86)</f>
        <v>-1155.1253399250249</v>
      </c>
      <c r="AH55" s="593">
        <f>-SUMPRODUCT('EE Measures'!BO$8:BO$86,'EE Measures'!$Q$8:$Q$86,'EE Measures'!$IL$8:$IL$86)</f>
        <v>-1302.2275002614047</v>
      </c>
      <c r="AI55" s="593">
        <f>-SUMPRODUCT('EE Measures'!BP$8:BP$86,'EE Measures'!$Q$8:$Q$86,'EE Measures'!$IL$8:$IL$86)</f>
        <v>-1449.6658153712881</v>
      </c>
      <c r="AJ55" s="593">
        <f>-SUMPRODUCT('EE Measures'!BQ$8:BQ$86,'EE Measures'!$Q$8:$Q$86,'EE Measures'!$IL$8:$IL$86)</f>
        <v>-1595.0387543538413</v>
      </c>
      <c r="AK55" s="593">
        <f>-SUMPRODUCT('EE Measures'!BR$8:BR$86,'EE Measures'!$Q$8:$Q$86,'EE Measures'!$IL$8:$IL$86)</f>
        <v>-1651.1023723359517</v>
      </c>
      <c r="AL55" s="593">
        <f>-SUMPRODUCT('EE Measures'!BS$8:BS$86,'EE Measures'!$Q$8:$Q$86,'EE Measures'!$IL$8:$IL$86)</f>
        <v>-1707.1709303891805</v>
      </c>
      <c r="AM55" s="593">
        <f>-SUMPRODUCT('EE Measures'!BT$8:BT$86,'EE Measures'!$Q$8:$Q$86,'EE Measures'!$IL$8:$IL$86)</f>
        <v>-1763.2445135510311</v>
      </c>
      <c r="AN55" s="593">
        <f>-SUMPRODUCT('EE Measures'!BU$8:BU$86,'EE Measures'!$Q$8:$Q$86,'EE Measures'!$IL$8:$IL$86)</f>
        <v>-1819.3232077265518</v>
      </c>
      <c r="AO55" s="593">
        <f>-SUMPRODUCT('EE Measures'!BV$8:BV$86,'EE Measures'!$Q$8:$Q$86,'EE Measures'!$IL$8:$IL$86)</f>
        <v>-1875.4070996849471</v>
      </c>
      <c r="AP55" s="898">
        <f t="shared" si="24"/>
        <v>-15694.974210141594</v>
      </c>
      <c r="AQ55" s="554" t="str">
        <v>Lõuna-Eesti </v>
      </c>
      <c r="AR55" s="592">
        <f t="shared" si="228"/>
        <v>-4248.6833326202186</v>
      </c>
      <c r="AS55" s="593">
        <f>-SUMPRODUCT('EE Measures'!BH$8:BH$86,'EE Measures'!$AB$8:$AB$86,'EE Measures'!$IL$8:$IL$86)</f>
        <v>-51.448879746451588</v>
      </c>
      <c r="AT55" s="593">
        <f>-SUMPRODUCT('EE Measures'!BI$8:BI$86,'EE Measures'!$AB$8:$AB$86,'EE Measures'!$IL$8:$IL$86)</f>
        <v>-63.756144498885433</v>
      </c>
      <c r="AU55" s="593">
        <f>-SUMPRODUCT('EE Measures'!BJ$8:BJ$86,'EE Measures'!$AB$8:$AB$86,'EE Measures'!$IL$8:$IL$86)</f>
        <v>-74.409914996172148</v>
      </c>
      <c r="AV55" s="593">
        <f>-SUMPRODUCT('EE Measures'!BK$8:BK$86,'EE Measures'!$AB$8:$AB$86,'EE Measures'!$IL$8:$IL$86)</f>
        <v>-125.09311985381585</v>
      </c>
      <c r="AW55" s="593">
        <f>-SUMPRODUCT('EE Measures'!BL$8:BL$86,'EE Measures'!$AB$8:$AB$86,'EE Measures'!$IL$8:$IL$86)</f>
        <v>-297.69623519004949</v>
      </c>
      <c r="AX55" s="593">
        <f>-SUMPRODUCT('EE Measures'!BM$8:BM$86,'EE Measures'!$AB$8:$AB$86,'EE Measures'!$IL$8:$IL$86)</f>
        <v>-440.71792382767313</v>
      </c>
      <c r="AY55" s="593">
        <f>-SUMPRODUCT('EE Measures'!BN$8:BN$86,'EE Measures'!$AB$8:$AB$86,'EE Measures'!$IL$8:$IL$86)</f>
        <v>-585.60858950297825</v>
      </c>
      <c r="AZ55" s="593">
        <f>-SUMPRODUCT('EE Measures'!BO$8:BO$86,'EE Measures'!$AB$8:$AB$86,'EE Measures'!$IL$8:$IL$86)</f>
        <v>-724.58361796093914</v>
      </c>
      <c r="BA55" s="593">
        <f>-SUMPRODUCT('EE Measures'!BP$8:BP$86,'EE Measures'!$AB$8:$AB$86,'EE Measures'!$IL$8:$IL$86)</f>
        <v>-868.9292676724956</v>
      </c>
      <c r="BB55" s="593">
        <f>-SUMPRODUCT('EE Measures'!BQ$8:BQ$86,'EE Measures'!$AB$8:$AB$86,'EE Measures'!$IL$8:$IL$86)</f>
        <v>-1016.4396393707581</v>
      </c>
      <c r="BC55" s="593">
        <f>-SUMPRODUCT('EE Measures'!BR$8:BR$86,'EE Measures'!$AB$8:$AB$86,'EE Measures'!$IL$8:$IL$86)</f>
        <v>-1152.6051770213528</v>
      </c>
      <c r="BD55" s="593">
        <f>-SUMPRODUCT('EE Measures'!BS$8:BS$86,'EE Measures'!$AB$8:$AB$86,'EE Measures'!$IL$8:$IL$86)</f>
        <v>-1288.020898576608</v>
      </c>
      <c r="BE55" s="593">
        <f>-SUMPRODUCT('EE Measures'!BT$8:BT$86,'EE Measures'!$AB$8:$AB$86,'EE Measures'!$IL$8:$IL$86)</f>
        <v>-1422.7139965549006</v>
      </c>
      <c r="BF55" s="593">
        <f>-SUMPRODUCT('EE Measures'!BU$8:BU$86,'EE Measures'!$AB$8:$AB$86,'EE Measures'!$IL$8:$IL$86)</f>
        <v>-1556.7112308620135</v>
      </c>
      <c r="BG55" s="593">
        <f>-SUMPRODUCT('EE Measures'!BV$8:BV$86,'EE Measures'!$AB$8:$AB$86,'EE Measures'!$IL$8:$IL$86)</f>
        <v>-1690.0488841398542</v>
      </c>
      <c r="BH55" s="867">
        <f>AR55/$AR$51</f>
        <v>0.20503216993128895</v>
      </c>
      <c r="BK55" s="587" t="s">
        <v>40</v>
      </c>
      <c r="BM55" s="648" t="s">
        <v>392</v>
      </c>
      <c r="BN55" s="592"/>
      <c r="BO55" s="541">
        <f>BO$13-SUMPRODUCT('EE Measures'!BH$8:BH$86,'EE Measures'!$W$8:$W$86,'EE Measures'!$IL$8:$IL$86)</f>
        <v>11750.287656771043</v>
      </c>
      <c r="BP55" s="541">
        <f>BP$13-SUMPRODUCT('EE Measures'!BI$8:BI$86,'EE Measures'!$W$8:$W$86,'EE Measures'!$IL$8:$IL$86)</f>
        <v>11749.437771200757</v>
      </c>
      <c r="BQ55" s="541">
        <f>BQ$13-SUMPRODUCT('EE Measures'!BJ$8:BJ$86,'EE Measures'!$W$8:$W$86,'EE Measures'!$IL$8:$IL$86)</f>
        <v>11757.792796958078</v>
      </c>
      <c r="BR55" s="541">
        <f>BR$13-SUMPRODUCT('EE Measures'!BK$8:BK$86,'EE Measures'!$W$8:$W$86,'EE Measures'!$IL$8:$IL$86)</f>
        <v>11743.631694802325</v>
      </c>
      <c r="BS55" s="541">
        <f>BS$13-SUMPRODUCT('EE Measures'!BL$8:BL$86,'EE Measures'!$W$8:$W$86,'EE Measures'!$IL$8:$IL$86)</f>
        <v>11419.004563052247</v>
      </c>
      <c r="BT55" s="541">
        <f>BT$13-SUMPRODUCT('EE Measures'!BM$8:BM$86,'EE Measures'!$W$8:$W$86,'EE Measures'!$IL$8:$IL$86)</f>
        <v>11116.092906845224</v>
      </c>
      <c r="BU55" s="541">
        <f>BU$13-SUMPRODUCT('EE Measures'!BN$8:BN$86,'EE Measures'!$W$8:$W$86,'EE Measures'!$IL$8:$IL$86)</f>
        <v>10825.326356820109</v>
      </c>
      <c r="BV55" s="541">
        <f>BV$13-SUMPRODUCT('EE Measures'!BO$8:BO$86,'EE Measures'!$W$8:$W$86,'EE Measures'!$IL$8:$IL$86)</f>
        <v>10541.507815079565</v>
      </c>
      <c r="BW55" s="541">
        <f>BW$13-SUMPRODUCT('EE Measures'!BP$8:BP$86,'EE Measures'!$W$8:$W$86,'EE Measures'!$IL$8:$IL$86)</f>
        <v>10259.680958486742</v>
      </c>
      <c r="BX55" s="541">
        <f>BX$13-SUMPRODUCT('EE Measures'!BQ$8:BQ$86,'EE Measures'!$W$8:$W$86,'EE Measures'!$IL$8:$IL$86)</f>
        <v>9980.608181043177</v>
      </c>
      <c r="BY55" s="541">
        <f>BY$13-SUMPRODUCT('EE Measures'!BR$8:BR$86,'EE Measures'!$W$8:$W$86,'EE Measures'!$IL$8:$IL$86)</f>
        <v>9706.5793144012314</v>
      </c>
      <c r="BZ55" s="541">
        <f>BZ$13-SUMPRODUCT('EE Measures'!BS$8:BS$86,'EE Measures'!$W$8:$W$86,'EE Measures'!$IL$8:$IL$86)</f>
        <v>9437.3951551866267</v>
      </c>
      <c r="CA55" s="541">
        <f>CA$13-SUMPRODUCT('EE Measures'!BT$8:BT$86,'EE Measures'!$W$8:$W$86,'EE Measures'!$IL$8:$IL$86)</f>
        <v>9172.9911530751178</v>
      </c>
      <c r="CB55" s="541">
        <f>CB$13-SUMPRODUCT('EE Measures'!BU$8:BU$86,'EE Measures'!$W$8:$W$86,'EE Measures'!$IL$8:$IL$86)</f>
        <v>8913.3045040181096</v>
      </c>
      <c r="CC55" s="541">
        <f>CC$13-SUMPRODUCT('EE Measures'!BV$8:BV$86,'EE Measures'!$W$8:$W$86,'EE Measures'!$IL$8:$IL$86)</f>
        <v>8658.6735198086062</v>
      </c>
    </row>
    <row r="56" spans="3:81" outlineLevel="1" x14ac:dyDescent="0.3">
      <c r="C56" s="587" t="str">
        <f t="shared" si="223"/>
        <v>CEER2</v>
      </c>
      <c r="E56" s="563" t="s">
        <v>54</v>
      </c>
      <c r="F56" s="592">
        <f t="shared" si="224"/>
        <v>9729.957992963733</v>
      </c>
      <c r="G56" s="593">
        <f t="shared" ref="G56:P56" si="233">G$14+AA56</f>
        <v>988.46632075930984</v>
      </c>
      <c r="H56" s="593">
        <f t="shared" si="233"/>
        <v>988.3835149808026</v>
      </c>
      <c r="I56" s="593">
        <f t="shared" si="233"/>
        <v>988.29947534863015</v>
      </c>
      <c r="J56" s="593">
        <f t="shared" si="233"/>
        <v>979.90554667046297</v>
      </c>
      <c r="K56" s="593">
        <f t="shared" si="233"/>
        <v>975.70819291926921</v>
      </c>
      <c r="L56" s="593">
        <f t="shared" si="233"/>
        <v>975.62025185425841</v>
      </c>
      <c r="M56" s="593">
        <f t="shared" si="233"/>
        <v>968.73097548195085</v>
      </c>
      <c r="N56" s="593">
        <f t="shared" si="233"/>
        <v>961.84035054063725</v>
      </c>
      <c r="O56" s="593">
        <f t="shared" si="233"/>
        <v>954.94836355836435</v>
      </c>
      <c r="P56" s="593">
        <f t="shared" si="233"/>
        <v>948.05500085004599</v>
      </c>
      <c r="Q56" s="593">
        <f t="shared" ref="Q56:U56" si="234">Q$14+AK56</f>
        <v>947.96024851467917</v>
      </c>
      <c r="R56" s="593">
        <f t="shared" si="234"/>
        <v>947.86409243265177</v>
      </c>
      <c r="S56" s="593">
        <f t="shared" si="234"/>
        <v>947.766518263134</v>
      </c>
      <c r="T56" s="593">
        <f t="shared" si="234"/>
        <v>947.66751144153977</v>
      </c>
      <c r="U56" s="593">
        <f t="shared" si="234"/>
        <v>947.56705717704733</v>
      </c>
      <c r="V56"/>
      <c r="W56"/>
      <c r="Y56" s="563" t="s">
        <v>54</v>
      </c>
      <c r="Z56" s="592">
        <f t="shared" si="227"/>
        <v>-178.37534036960216</v>
      </c>
      <c r="AA56" s="593">
        <f>-SUMPRODUCT('EE Measures'!BH$8:BH$86,'EE Measures'!$R$8:$R$86,'EE Measures'!$IL$8:$IL$86)</f>
        <v>-2.3670125740235815</v>
      </c>
      <c r="AB56" s="593">
        <f>-SUMPRODUCT('EE Measures'!BI$8:BI$86,'EE Measures'!$R$8:$R$86,'EE Measures'!$IL$8:$IL$86)</f>
        <v>-2.4498183525307202</v>
      </c>
      <c r="AC56" s="593">
        <f>-SUMPRODUCT('EE Measures'!BJ$8:BJ$86,'EE Measures'!$R$8:$R$86,'EE Measures'!$IL$8:$IL$86)</f>
        <v>-2.5338579847032205</v>
      </c>
      <c r="AD56" s="593">
        <f>-SUMPRODUCT('EE Measures'!BK$8:BK$86,'EE Measures'!$R$8:$R$86,'EE Measures'!$IL$8:$IL$86)</f>
        <v>-10.927786662870368</v>
      </c>
      <c r="AE56" s="593">
        <f>-SUMPRODUCT('EE Measures'!BL$8:BL$86,'EE Measures'!$R$8:$R$86,'EE Measures'!$IL$8:$IL$86)</f>
        <v>-15.125140414064138</v>
      </c>
      <c r="AF56" s="593">
        <f>-SUMPRODUCT('EE Measures'!BM$8:BM$86,'EE Measures'!$R$8:$R$86,'EE Measures'!$IL$8:$IL$86)</f>
        <v>-15.213081479075003</v>
      </c>
      <c r="AG56" s="593">
        <f>-SUMPRODUCT('EE Measures'!BN$8:BN$86,'EE Measures'!$R$8:$R$86,'EE Measures'!$IL$8:$IL$86)</f>
        <v>-22.102357851382564</v>
      </c>
      <c r="AH56" s="593">
        <f>-SUMPRODUCT('EE Measures'!BO$8:BO$86,'EE Measures'!$R$8:$R$86,'EE Measures'!$IL$8:$IL$86)</f>
        <v>-28.992982792696132</v>
      </c>
      <c r="AI56" s="593">
        <f>-SUMPRODUCT('EE Measures'!BP$8:BP$86,'EE Measures'!$R$8:$R$86,'EE Measures'!$IL$8:$IL$86)</f>
        <v>-35.884969774969072</v>
      </c>
      <c r="AJ56" s="593">
        <f>-SUMPRODUCT('EE Measures'!BQ$8:BQ$86,'EE Measures'!$R$8:$R$86,'EE Measures'!$IL$8:$IL$86)</f>
        <v>-42.778332483287365</v>
      </c>
      <c r="AK56" s="593">
        <f>-SUMPRODUCT('EE Measures'!BR$8:BR$86,'EE Measures'!$R$8:$R$86,'EE Measures'!$IL$8:$IL$86)</f>
        <v>-42.873084818654242</v>
      </c>
      <c r="AL56" s="593">
        <f>-SUMPRODUCT('EE Measures'!BS$8:BS$86,'EE Measures'!$R$8:$R$86,'EE Measures'!$IL$8:$IL$86)</f>
        <v>-42.969240900681626</v>
      </c>
      <c r="AM56" s="593">
        <f>-SUMPRODUCT('EE Measures'!BT$8:BT$86,'EE Measures'!$R$8:$R$86,'EE Measures'!$IL$8:$IL$86)</f>
        <v>-43.066815070199347</v>
      </c>
      <c r="AN56" s="593">
        <f>-SUMPRODUCT('EE Measures'!BU$8:BU$86,'EE Measures'!$R$8:$R$86,'EE Measures'!$IL$8:$IL$86)</f>
        <v>-43.165821891793584</v>
      </c>
      <c r="AO56" s="593">
        <f>-SUMPRODUCT('EE Measures'!BV$8:BV$86,'EE Measures'!$R$8:$R$86,'EE Measures'!$IL$8:$IL$86)</f>
        <v>-43.266276156286011</v>
      </c>
      <c r="AP56" s="898">
        <f t="shared" si="24"/>
        <v>-386.3658902959595</v>
      </c>
      <c r="AQ56" s="554" t="str">
        <v>Kesk-Eesti</v>
      </c>
      <c r="AR56" s="592">
        <f t="shared" si="228"/>
        <v>-1789.455932427783</v>
      </c>
      <c r="AS56" s="593">
        <f>-SUMPRODUCT('EE Measures'!BH$8:BH$86,'EE Measures'!$AC$8:$AC$86,'EE Measures'!$IL$8:$IL$86)</f>
        <v>-20.964364378010814</v>
      </c>
      <c r="AT56" s="593">
        <f>-SUMPRODUCT('EE Measures'!BI$8:BI$86,'EE Measures'!$AC$8:$AC$86,'EE Measures'!$IL$8:$IL$86)</f>
        <v>-26.038571516745641</v>
      </c>
      <c r="AU56" s="593">
        <f>-SUMPRODUCT('EE Measures'!BJ$8:BJ$86,'EE Measures'!$AC$8:$AC$86,'EE Measures'!$IL$8:$IL$86)</f>
        <v>-30.450275851203592</v>
      </c>
      <c r="AV56" s="593">
        <f>-SUMPRODUCT('EE Measures'!BK$8:BK$86,'EE Measures'!$AC$8:$AC$86,'EE Measures'!$IL$8:$IL$86)</f>
        <v>-51.725381078158165</v>
      </c>
      <c r="AW56" s="593">
        <f>-SUMPRODUCT('EE Measures'!BL$8:BL$86,'EE Measures'!$AC$8:$AC$86,'EE Measures'!$IL$8:$IL$86)</f>
        <v>-123.55942519507232</v>
      </c>
      <c r="AX56" s="593">
        <f>-SUMPRODUCT('EE Measures'!BM$8:BM$86,'EE Measures'!$AC$8:$AC$86,'EE Measures'!$IL$8:$IL$86)</f>
        <v>-184.39040809467389</v>
      </c>
      <c r="AY56" s="593">
        <f>-SUMPRODUCT('EE Measures'!BN$8:BN$86,'EE Measures'!$AC$8:$AC$86,'EE Measures'!$IL$8:$IL$86)</f>
        <v>-246.54366187794446</v>
      </c>
      <c r="AZ56" s="593">
        <f>-SUMPRODUCT('EE Measures'!BO$8:BO$86,'EE Measures'!$AC$8:$AC$86,'EE Measures'!$IL$8:$IL$86)</f>
        <v>-306.16850390773288</v>
      </c>
      <c r="BA56" s="593">
        <f>-SUMPRODUCT('EE Measures'!BP$8:BP$86,'EE Measures'!$AC$8:$AC$86,'EE Measures'!$IL$8:$IL$86)</f>
        <v>-368.12856380449682</v>
      </c>
      <c r="BB56" s="593">
        <f>-SUMPRODUCT('EE Measures'!BQ$8:BQ$86,'EE Measures'!$AC$8:$AC$86,'EE Measures'!$IL$8:$IL$86)</f>
        <v>-431.4867767237443</v>
      </c>
      <c r="BC56" s="593">
        <f>-SUMPRODUCT('EE Measures'!BR$8:BR$86,'EE Measures'!$AC$8:$AC$86,'EE Measures'!$IL$8:$IL$86)</f>
        <v>-492.27253257804341</v>
      </c>
      <c r="BD56" s="593">
        <f>-SUMPRODUCT('EE Measures'!BS$8:BS$86,'EE Measures'!$AC$8:$AC$86,'EE Measures'!$IL$8:$IL$86)</f>
        <v>-552.71114749747323</v>
      </c>
      <c r="BE56" s="593">
        <f>-SUMPRODUCT('EE Measures'!BT$8:BT$86,'EE Measures'!$AC$8:$AC$86,'EE Measures'!$IL$8:$IL$86)</f>
        <v>-612.81490062351008</v>
      </c>
      <c r="BF56" s="593">
        <f>-SUMPRODUCT('EE Measures'!BU$8:BU$86,'EE Measures'!$AC$8:$AC$86,'EE Measures'!$IL$8:$IL$86)</f>
        <v>-672.59587432880903</v>
      </c>
      <c r="BG56" s="593">
        <f>-SUMPRODUCT('EE Measures'!BV$8:BV$86,'EE Measures'!$AC$8:$AC$86,'EE Measures'!$IL$8:$IL$86)</f>
        <v>-732.0815090013723</v>
      </c>
      <c r="BH56" s="867">
        <f>AR56/$AR$51</f>
        <v>8.6355231514940123E-2</v>
      </c>
      <c r="BK56" s="587" t="s">
        <v>40</v>
      </c>
      <c r="BM56" s="648" t="s">
        <v>393</v>
      </c>
      <c r="BN56" s="592"/>
      <c r="BO56" s="541">
        <f>BO$14-SUMPRODUCT('EE Measures'!BH$8:BH$86,'EE Measures'!$X$8:$X$86,'EE Measures'!$IL$8:$IL$86)</f>
        <v>6901.256647467485</v>
      </c>
      <c r="BP56" s="541">
        <f>BP$14-SUMPRODUCT('EE Measures'!BI$8:BI$86,'EE Measures'!$X$8:$X$86,'EE Measures'!$IL$8:$IL$86)</f>
        <v>6874.4749572653045</v>
      </c>
      <c r="BQ56" s="541">
        <f>BQ$14-SUMPRODUCT('EE Measures'!BJ$8:BJ$86,'EE Measures'!$X$8:$X$86,'EE Measures'!$IL$8:$IL$86)</f>
        <v>6977.884752728799</v>
      </c>
      <c r="BR56" s="541">
        <f>BR$14-SUMPRODUCT('EE Measures'!BK$8:BK$86,'EE Measures'!$X$8:$X$86,'EE Measures'!$IL$8:$IL$86)</f>
        <v>7058.5896582721452</v>
      </c>
      <c r="BS56" s="541">
        <f>BS$14-SUMPRODUCT('EE Measures'!BL$8:BL$86,'EE Measures'!$X$8:$X$86,'EE Measures'!$IL$8:$IL$86)</f>
        <v>7041.1253847491507</v>
      </c>
      <c r="BT56" s="541">
        <f>BT$14-SUMPRODUCT('EE Measures'!BM$8:BM$86,'EE Measures'!$X$8:$X$86,'EE Measures'!$IL$8:$IL$86)</f>
        <v>7040.2839746589561</v>
      </c>
      <c r="BU56" s="541">
        <f>BU$14-SUMPRODUCT('EE Measures'!BN$8:BN$86,'EE Measures'!$X$8:$X$86,'EE Measures'!$IL$8:$IL$86)</f>
        <v>7033.9753632971642</v>
      </c>
      <c r="BV56" s="541">
        <f>BV$14-SUMPRODUCT('EE Measures'!BO$8:BO$86,'EE Measures'!$X$8:$X$86,'EE Measures'!$IL$8:$IL$86)</f>
        <v>7041.9339827374106</v>
      </c>
      <c r="BW56" s="541">
        <f>BW$14-SUMPRODUCT('EE Measures'!BP$8:BP$86,'EE Measures'!$X$8:$X$86,'EE Measures'!$IL$8:$IL$86)</f>
        <v>7033.2191782897589</v>
      </c>
      <c r="BX56" s="541">
        <f>BX$14-SUMPRODUCT('EE Measures'!BQ$8:BQ$86,'EE Measures'!$X$8:$X$86,'EE Measures'!$IL$8:$IL$86)</f>
        <v>7012.2670497300223</v>
      </c>
      <c r="BY56" s="541">
        <f>BY$14-SUMPRODUCT('EE Measures'!BR$8:BR$86,'EE Measures'!$X$8:$X$86,'EE Measures'!$IL$8:$IL$86)</f>
        <v>6993.3646859463006</v>
      </c>
      <c r="BZ56" s="541">
        <f>BZ$14-SUMPRODUCT('EE Measures'!BS$8:BS$86,'EE Measures'!$X$8:$X$86,'EE Measures'!$IL$8:$IL$86)</f>
        <v>6973.9409612615655</v>
      </c>
      <c r="CA56" s="541">
        <f>CA$14-SUMPRODUCT('EE Measures'!BT$8:BT$86,'EE Measures'!$X$8:$X$86,'EE Measures'!$IL$8:$IL$86)</f>
        <v>6953.9955318423235</v>
      </c>
      <c r="CB56" s="541">
        <f>CB$14-SUMPRODUCT('EE Measures'!BU$8:BU$86,'EE Measures'!$X$8:$X$86,'EE Measures'!$IL$8:$IL$86)</f>
        <v>6933.5280073554695</v>
      </c>
      <c r="CC56" s="541">
        <f>CC$14-SUMPRODUCT('EE Measures'!BV$8:BV$86,'EE Measures'!$X$8:$X$86,'EE Measures'!$IL$8:$IL$86)</f>
        <v>6912.2441415642788</v>
      </c>
    </row>
    <row r="57" spans="3:81" outlineLevel="1" collapsed="1" x14ac:dyDescent="0.3">
      <c r="V57"/>
      <c r="W57"/>
    </row>
    <row r="58" spans="3:81" ht="15" outlineLevel="1" x14ac:dyDescent="0.3">
      <c r="C58" s="5" t="s">
        <v>394</v>
      </c>
      <c r="D58" s="5"/>
      <c r="E58" s="5"/>
      <c r="F58" s="5"/>
      <c r="G58" s="5"/>
      <c r="H58" s="5"/>
      <c r="I58" s="5"/>
      <c r="J58" s="5"/>
      <c r="K58" s="5"/>
      <c r="L58" s="5"/>
      <c r="M58" s="5"/>
      <c r="N58" s="5"/>
      <c r="O58" s="5"/>
      <c r="P58" s="5"/>
      <c r="Q58" s="5"/>
      <c r="R58" s="5"/>
      <c r="S58" s="5"/>
      <c r="T58" s="5"/>
      <c r="U58" s="5"/>
      <c r="V58"/>
      <c r="W58"/>
    </row>
    <row r="59" spans="3:81" outlineLevel="1" x14ac:dyDescent="0.3">
      <c r="E59"/>
      <c r="F59"/>
      <c r="G59"/>
      <c r="H59" s="56"/>
      <c r="I59"/>
      <c r="J59"/>
      <c r="K59"/>
      <c r="L59"/>
      <c r="M59"/>
      <c r="N59"/>
      <c r="O59"/>
      <c r="P59"/>
      <c r="Q59"/>
      <c r="R59"/>
      <c r="S59"/>
      <c r="T59"/>
      <c r="U59"/>
      <c r="V59"/>
      <c r="W59"/>
    </row>
    <row r="60" spans="3:81" ht="27" outlineLevel="1" x14ac:dyDescent="0.3">
      <c r="E60" s="625"/>
      <c r="F60" s="625" t="s">
        <v>386</v>
      </c>
      <c r="G60" s="625">
        <v>2021</v>
      </c>
      <c r="H60" s="625">
        <v>2022</v>
      </c>
      <c r="I60" s="625">
        <v>2023</v>
      </c>
      <c r="J60" s="625">
        <v>2024</v>
      </c>
      <c r="K60" s="625">
        <v>2025</v>
      </c>
      <c r="L60" s="625">
        <v>2026</v>
      </c>
      <c r="M60" s="625">
        <v>2027</v>
      </c>
      <c r="N60" s="625">
        <v>2028</v>
      </c>
      <c r="O60" s="625">
        <v>2029</v>
      </c>
      <c r="P60" s="625">
        <v>2030</v>
      </c>
      <c r="Q60" s="625">
        <v>2031</v>
      </c>
      <c r="R60" s="625">
        <v>2032</v>
      </c>
      <c r="S60" s="625">
        <v>2033</v>
      </c>
      <c r="T60" s="625">
        <v>2034</v>
      </c>
      <c r="U60" s="625">
        <v>2035</v>
      </c>
      <c r="V60"/>
      <c r="W60"/>
    </row>
    <row r="61" spans="3:81" outlineLevel="1" x14ac:dyDescent="0.3">
      <c r="E61" s="628" t="str">
        <f>'EE Measures'!$IF$6</f>
        <v>Baseline</v>
      </c>
      <c r="F61" s="1275">
        <f>AVERAGE(G61:P61)</f>
        <v>2.466694552513307E-3</v>
      </c>
      <c r="G61" s="543">
        <f>-(G15-G$9)/G$9</f>
        <v>6.3522886898989949E-3</v>
      </c>
      <c r="H61" s="405">
        <f t="shared" ref="H61:P61" si="235">-((G$9-G15)-(H$9-H15))/H$9</f>
        <v>1.2149002443159571E-3</v>
      </c>
      <c r="I61" s="405">
        <f t="shared" si="235"/>
        <v>9.0605867987407669E-4</v>
      </c>
      <c r="J61" s="405">
        <f t="shared" si="235"/>
        <v>5.8101657733532729E-3</v>
      </c>
      <c r="K61" s="405">
        <f t="shared" si="235"/>
        <v>4.7005805257136846E-3</v>
      </c>
      <c r="L61" s="405">
        <f t="shared" si="235"/>
        <v>2.0968699769842751E-3</v>
      </c>
      <c r="M61" s="405">
        <f t="shared" si="235"/>
        <v>1.869816370158878E-3</v>
      </c>
      <c r="N61" s="405">
        <f t="shared" si="235"/>
        <v>5.717624757675616E-4</v>
      </c>
      <c r="O61" s="405">
        <f t="shared" si="235"/>
        <v>5.7210808589001222E-4</v>
      </c>
      <c r="P61" s="405">
        <f t="shared" si="235"/>
        <v>5.7239470317635779E-4</v>
      </c>
      <c r="Q61" s="405">
        <f t="shared" ref="Q61" si="236">-((P$9-P15)-(Q$9-Q15))/Q$9</f>
        <v>5.7262389337253564E-4</v>
      </c>
      <c r="R61" s="405">
        <f t="shared" ref="R61" si="237">-((Q$9-Q15)-(R$9-R15))/R$9</f>
        <v>5.7279722092017928E-4</v>
      </c>
      <c r="S61" s="405">
        <f t="shared" ref="S61" si="238">-((R$9-R15)-(S$9-S15))/S$9</f>
        <v>5.7291624681063045E-4</v>
      </c>
      <c r="T61" s="405">
        <f t="shared" ref="T61" si="239">-((S$9-S15)-(T$9-T15))/T$9</f>
        <v>5.7298252655332989E-4</v>
      </c>
      <c r="U61" s="405">
        <f t="shared" ref="U61" si="240">-((T$9-T15)-(U$9-U15))/U$9</f>
        <v>5.7299760826812185E-4</v>
      </c>
      <c r="V61"/>
      <c r="W61"/>
    </row>
    <row r="62" spans="3:81" outlineLevel="1" x14ac:dyDescent="0.3">
      <c r="E62" s="628" t="str">
        <f>'EE Measures'!$IG$6</f>
        <v>EEO</v>
      </c>
      <c r="F62" s="1275">
        <f t="shared" ref="F62:F67" si="241">AVERAGE(G62:P62)</f>
        <v>9.8330102943001048E-3</v>
      </c>
      <c r="G62" s="543">
        <f>-(G21-G$9)/G$9</f>
        <v>6.9541176900672127E-3</v>
      </c>
      <c r="H62" s="405">
        <f t="shared" ref="H62:P62" si="242">-((G$9-G21)-(H$9-H21))/H$9</f>
        <v>1.3852578615080554E-3</v>
      </c>
      <c r="I62" s="405">
        <f t="shared" si="242"/>
        <v>1.0786406267729713E-3</v>
      </c>
      <c r="J62" s="405">
        <f t="shared" si="242"/>
        <v>7.0330735511231375E-3</v>
      </c>
      <c r="K62" s="405">
        <f t="shared" si="242"/>
        <v>1.7996258721517392E-2</v>
      </c>
      <c r="L62" s="405">
        <f t="shared" si="242"/>
        <v>1.3388915846222383E-2</v>
      </c>
      <c r="M62" s="405">
        <f t="shared" si="242"/>
        <v>1.6925595670173196E-2</v>
      </c>
      <c r="N62" s="405">
        <f t="shared" si="242"/>
        <v>1.1298652807666091E-2</v>
      </c>
      <c r="O62" s="405">
        <f t="shared" si="242"/>
        <v>1.1198757785046941E-2</v>
      </c>
      <c r="P62" s="405">
        <f t="shared" si="242"/>
        <v>1.1070832382903661E-2</v>
      </c>
      <c r="Q62" s="405">
        <f t="shared" ref="Q62" si="243">-((P$9-P21)-(Q$9-Q21))/Q$9</f>
        <v>1.0227732956228367E-2</v>
      </c>
      <c r="R62" s="405">
        <f t="shared" ref="R62" si="244">-((Q$9-Q21)-(R$9-R21))/R$9</f>
        <v>1.0131956308356879E-2</v>
      </c>
      <c r="S62" s="405">
        <f t="shared" ref="S62" si="245">-((R$9-R21)-(S$9-S21))/S$9</f>
        <v>1.0036806011317316E-2</v>
      </c>
      <c r="T62" s="405">
        <f t="shared" ref="T62" si="246">-((S$9-S21)-(T$9-T21))/T$9</f>
        <v>9.9422806848226859E-3</v>
      </c>
      <c r="U62" s="405">
        <f t="shared" ref="U62" si="247">-((T$9-T21)-(U$9-U21))/U$9</f>
        <v>9.8529361766651127E-3</v>
      </c>
      <c r="V62"/>
      <c r="W62"/>
    </row>
    <row r="63" spans="3:81" outlineLevel="1" x14ac:dyDescent="0.3">
      <c r="E63" s="628" t="s">
        <v>36</v>
      </c>
      <c r="F63" s="1275">
        <f t="shared" si="241"/>
        <v>9.4434502777137972E-3</v>
      </c>
      <c r="G63" s="543">
        <f>-(G27-G$9)/G$9</f>
        <v>6.9541176900672127E-3</v>
      </c>
      <c r="H63" s="405">
        <f t="shared" ref="H63:P63" si="248">-((G$9-G27)-(H$9-H27))/H$9</f>
        <v>1.3852578615080554E-3</v>
      </c>
      <c r="I63" s="405">
        <f t="shared" si="248"/>
        <v>1.0786406267729713E-3</v>
      </c>
      <c r="J63" s="405">
        <f t="shared" si="248"/>
        <v>7.0330735511231375E-3</v>
      </c>
      <c r="K63" s="405">
        <f t="shared" si="248"/>
        <v>1.5799283300295515E-2</v>
      </c>
      <c r="L63" s="405">
        <f t="shared" si="248"/>
        <v>1.1615762870442458E-2</v>
      </c>
      <c r="M63" s="405">
        <f t="shared" si="248"/>
        <v>1.5731530554204506E-2</v>
      </c>
      <c r="N63" s="405">
        <f t="shared" si="248"/>
        <v>1.086528452608769E-2</v>
      </c>
      <c r="O63" s="405">
        <f t="shared" si="248"/>
        <v>1.1711160284672695E-2</v>
      </c>
      <c r="P63" s="405">
        <f t="shared" si="248"/>
        <v>1.2260391511963726E-2</v>
      </c>
      <c r="Q63" s="405">
        <f t="shared" ref="Q63" si="249">-((P$9-P27)-(Q$9-Q27))/Q$9</f>
        <v>1.1408449321491812E-2</v>
      </c>
      <c r="R63" s="405">
        <f t="shared" ref="R63" si="250">-((Q$9-Q27)-(R$9-R27))/R$9</f>
        <v>1.1305369232463659E-2</v>
      </c>
      <c r="S63" s="405">
        <f t="shared" ref="S63" si="251">-((R$9-R27)-(S$9-S27))/S$9</f>
        <v>1.1204567106755058E-2</v>
      </c>
      <c r="T63" s="405">
        <f t="shared" ref="T63" si="252">-((S$9-S27)-(T$9-T27))/T$9</f>
        <v>1.1105981572475927E-2</v>
      </c>
      <c r="U63" s="405">
        <f t="shared" ref="U63" si="253">-((T$9-T27)-(U$9-U27))/U$9</f>
        <v>1.100978380874938E-2</v>
      </c>
      <c r="V63"/>
      <c r="W63"/>
    </row>
    <row r="64" spans="3:81" outlineLevel="1" x14ac:dyDescent="0.3">
      <c r="E64" s="628" t="str">
        <f>'EE Measures'!$II$6</f>
        <v>Renowave</v>
      </c>
      <c r="F64" s="1275">
        <f t="shared" si="241"/>
        <v>1.2350533776538575E-2</v>
      </c>
      <c r="G64" s="543">
        <f>-(G33-G$9)/G$9</f>
        <v>6.9541176900672127E-3</v>
      </c>
      <c r="H64" s="405">
        <f t="shared" ref="H64:P64" si="254">-((G$9-G33)-(H$9-H33))/H$9</f>
        <v>1.3852578615080554E-3</v>
      </c>
      <c r="I64" s="405">
        <f t="shared" si="254"/>
        <v>1.0786406267729713E-3</v>
      </c>
      <c r="J64" s="405">
        <f t="shared" si="254"/>
        <v>6.4959878679630313E-3</v>
      </c>
      <c r="K64" s="405">
        <f t="shared" si="254"/>
        <v>2.2179089296717591E-2</v>
      </c>
      <c r="L64" s="405">
        <f t="shared" si="254"/>
        <v>1.7777627845158343E-2</v>
      </c>
      <c r="M64" s="405">
        <f t="shared" si="254"/>
        <v>2.1429592657640519E-2</v>
      </c>
      <c r="N64" s="405">
        <f t="shared" si="254"/>
        <v>1.5654130216835867E-2</v>
      </c>
      <c r="O64" s="405">
        <f t="shared" si="254"/>
        <v>1.5409715105591214E-2</v>
      </c>
      <c r="P64" s="405">
        <f t="shared" si="254"/>
        <v>1.5141178597130938E-2</v>
      </c>
      <c r="Q64" s="405">
        <f t="shared" ref="Q64" si="255">-((P$9-P33)-(Q$9-Q33))/Q$9</f>
        <v>1.4161288143056354E-2</v>
      </c>
      <c r="R64" s="405">
        <f t="shared" ref="R64" si="256">-((Q$9-Q33)-(R$9-R33))/R$9</f>
        <v>1.3932453230763482E-2</v>
      </c>
      <c r="S64" s="405">
        <f t="shared" ref="S64" si="257">-((R$9-R33)-(S$9-S33))/S$9</f>
        <v>1.3707891687173773E-2</v>
      </c>
      <c r="T64" s="405">
        <f t="shared" ref="T64" si="258">-((S$9-S33)-(T$9-T33))/T$9</f>
        <v>1.3487517940999496E-2</v>
      </c>
      <c r="U64" s="405">
        <f t="shared" ref="U64" si="259">-((T$9-T33)-(U$9-U33))/U$9</f>
        <v>1.3264024498109522E-2</v>
      </c>
      <c r="V64"/>
      <c r="W64"/>
    </row>
    <row r="65" spans="3:23" outlineLevel="1" x14ac:dyDescent="0.3">
      <c r="E65" s="628" t="str">
        <f>'EE Measures'!$IJ$6</f>
        <v>EET</v>
      </c>
      <c r="F65" s="1275">
        <f t="shared" si="241"/>
        <v>1.1765318579386176E-2</v>
      </c>
      <c r="G65" s="543">
        <f>-(G39-G$9)/G$9</f>
        <v>7.8568611903195393E-3</v>
      </c>
      <c r="H65" s="405">
        <f t="shared" ref="H65:P65" si="260">-((G$9-G39)-(H$9-H39))/H$9</f>
        <v>1.6407942872964335E-3</v>
      </c>
      <c r="I65" s="405">
        <f t="shared" si="260"/>
        <v>1.3375135471210844E-3</v>
      </c>
      <c r="J65" s="405">
        <f t="shared" si="260"/>
        <v>6.7190924851373403E-3</v>
      </c>
      <c r="K65" s="405">
        <f t="shared" si="260"/>
        <v>1.9938140874499244E-2</v>
      </c>
      <c r="L65" s="405">
        <f t="shared" si="260"/>
        <v>1.3225976504577115E-2</v>
      </c>
      <c r="M65" s="405">
        <f t="shared" si="260"/>
        <v>3.3626616621785871E-2</v>
      </c>
      <c r="N65" s="405">
        <f t="shared" si="260"/>
        <v>1.1265460678287844E-2</v>
      </c>
      <c r="O65" s="405">
        <f t="shared" si="260"/>
        <v>1.1125861665420138E-2</v>
      </c>
      <c r="P65" s="405">
        <f t="shared" si="260"/>
        <v>1.0916867939417157E-2</v>
      </c>
      <c r="Q65" s="405">
        <f t="shared" ref="Q65" si="261">-((P$9-P39)-(Q$9-Q39))/Q$9</f>
        <v>7.933939542895771E-3</v>
      </c>
      <c r="R65" s="405">
        <f t="shared" ref="R65" si="262">-((Q$9-Q39)-(R$9-R39))/R$9</f>
        <v>7.8146024516651761E-3</v>
      </c>
      <c r="S65" s="405">
        <f t="shared" ref="S65" si="263">-((R$9-R39)-(S$9-S39))/S$9</f>
        <v>7.6973923355600857E-3</v>
      </c>
      <c r="T65" s="405">
        <f t="shared" ref="T65" si="264">-((S$9-S39)-(T$9-T39))/T$9</f>
        <v>7.5822675691682414E-3</v>
      </c>
      <c r="U65" s="405">
        <f t="shared" ref="U65" si="265">-((T$9-T39)-(U$9-U39))/U$9</f>
        <v>7.4709664476477399E-3</v>
      </c>
      <c r="V65"/>
      <c r="W65"/>
    </row>
    <row r="66" spans="3:23" outlineLevel="1" x14ac:dyDescent="0.3">
      <c r="E66" s="628" t="str">
        <f>'EE Measures'!$IK$6</f>
        <v>CEER1</v>
      </c>
      <c r="F66" s="1275">
        <f t="shared" si="241"/>
        <v>1.1300745568885582E-2</v>
      </c>
      <c r="G66" s="543">
        <f>-(G45-G$9)/G$9</f>
        <v>7.8568611903195393E-3</v>
      </c>
      <c r="H66" s="405">
        <f t="shared" ref="H66:P66" si="266">-((G$9-G45)-(H$9-H45))/H$9</f>
        <v>1.6407942872964335E-3</v>
      </c>
      <c r="I66" s="405">
        <f t="shared" si="266"/>
        <v>1.3375135471210844E-3</v>
      </c>
      <c r="J66" s="405">
        <f t="shared" si="266"/>
        <v>6.7190924851373403E-3</v>
      </c>
      <c r="K66" s="405">
        <f t="shared" si="266"/>
        <v>1.9299948647905484E-2</v>
      </c>
      <c r="L66" s="405">
        <f t="shared" si="266"/>
        <v>1.3527757378586405E-2</v>
      </c>
      <c r="M66" s="405">
        <f t="shared" si="266"/>
        <v>2.3969808830832828E-2</v>
      </c>
      <c r="N66" s="405">
        <f t="shared" si="266"/>
        <v>1.247231989388467E-2</v>
      </c>
      <c r="O66" s="405">
        <f t="shared" si="266"/>
        <v>1.2968249179924103E-2</v>
      </c>
      <c r="P66" s="405">
        <f t="shared" si="266"/>
        <v>1.3215110247847932E-2</v>
      </c>
      <c r="Q66" s="405">
        <f t="shared" ref="Q66" si="267">-((P$9-P45)-(Q$9-Q45))/Q$9</f>
        <v>1.1517974872334941E-2</v>
      </c>
      <c r="R66" s="405">
        <f t="shared" ref="R66" si="268">-((Q$9-Q45)-(R$9-R45))/R$9</f>
        <v>1.1386549292908547E-2</v>
      </c>
      <c r="S66" s="405">
        <f t="shared" ref="S66" si="269">-((R$9-R45)-(S$9-S45))/S$9</f>
        <v>1.1257811098289081E-2</v>
      </c>
      <c r="T66" s="405">
        <f t="shared" ref="T66" si="270">-((S$9-S45)-(T$9-T45))/T$9</f>
        <v>1.113169599088378E-2</v>
      </c>
      <c r="U66" s="405">
        <f t="shared" ref="U66" si="271">-((T$9-T45)-(U$9-U45))/U$9</f>
        <v>1.10040534635372E-2</v>
      </c>
      <c r="V66"/>
      <c r="W66"/>
    </row>
    <row r="67" spans="3:23" outlineLevel="1" x14ac:dyDescent="0.3">
      <c r="E67" s="628" t="str">
        <f>'EE Measures'!$IL$6</f>
        <v>CEER2</v>
      </c>
      <c r="F67" s="1275">
        <f t="shared" si="241"/>
        <v>1.5070499456843278E-2</v>
      </c>
      <c r="G67" s="543">
        <f>-(G51-G$9)/G$9</f>
        <v>7.8568611903195393E-3</v>
      </c>
      <c r="H67" s="405">
        <f t="shared" ref="H67:P67" si="272">-((G$9-G51)-(H$9-H51))/H$9</f>
        <v>1.6407942872964335E-3</v>
      </c>
      <c r="I67" s="405">
        <f t="shared" si="272"/>
        <v>1.3375135471210844E-3</v>
      </c>
      <c r="J67" s="405">
        <f t="shared" si="272"/>
        <v>6.7190924851373403E-3</v>
      </c>
      <c r="K67" s="405">
        <f t="shared" si="272"/>
        <v>2.6313440184486E-2</v>
      </c>
      <c r="L67" s="405">
        <f t="shared" si="272"/>
        <v>1.9579441530927159E-2</v>
      </c>
      <c r="M67" s="405">
        <f t="shared" si="272"/>
        <v>2.9856025412895025E-2</v>
      </c>
      <c r="N67" s="405">
        <f t="shared" si="272"/>
        <v>1.8522931516920773E-2</v>
      </c>
      <c r="O67" s="405">
        <f t="shared" si="272"/>
        <v>1.9246351224871776E-2</v>
      </c>
      <c r="P67" s="405">
        <f t="shared" si="272"/>
        <v>1.9632543188457641E-2</v>
      </c>
      <c r="Q67" s="405">
        <f t="shared" ref="Q67" si="273">-((P$9-P51)-(Q$9-Q51))/Q$9</f>
        <v>1.6559573665176242E-2</v>
      </c>
      <c r="R67" s="405">
        <f t="shared" ref="R67" si="274">-((Q$9-Q51)-(R$9-R51))/R$9</f>
        <v>1.6352499003832236E-2</v>
      </c>
      <c r="S67" s="405">
        <f t="shared" ref="S67" si="275">-((R$9-R51)-(S$9-S51))/S$9</f>
        <v>1.6149959016006559E-2</v>
      </c>
      <c r="T67" s="405">
        <f t="shared" ref="T67" si="276">-((S$9-S51)-(T$9-T51))/T$9</f>
        <v>1.5951844125461155E-2</v>
      </c>
      <c r="U67" s="405">
        <f t="shared" ref="U67" si="277">-((T$9-T51)-(U$9-U51))/U$9</f>
        <v>1.5755284667162764E-2</v>
      </c>
      <c r="V67"/>
      <c r="W67"/>
    </row>
    <row r="68" spans="3:23" outlineLevel="1" x14ac:dyDescent="0.3">
      <c r="V68"/>
      <c r="W68"/>
    </row>
    <row r="69" spans="3:23" ht="15" outlineLevel="1" x14ac:dyDescent="0.3">
      <c r="C69" s="5" t="s">
        <v>121</v>
      </c>
      <c r="D69" s="5"/>
      <c r="E69" s="5"/>
      <c r="F69" s="5"/>
      <c r="G69" s="5"/>
      <c r="H69" s="5"/>
      <c r="I69" s="5"/>
      <c r="J69" s="5"/>
      <c r="K69" s="5"/>
      <c r="L69" s="5"/>
      <c r="M69" s="5"/>
      <c r="N69" s="5"/>
      <c r="O69" s="5"/>
      <c r="P69" s="5"/>
      <c r="Q69" s="5"/>
      <c r="R69" s="5"/>
      <c r="S69" s="5"/>
      <c r="T69" s="5"/>
      <c r="U69" s="5"/>
      <c r="V69"/>
      <c r="W69"/>
    </row>
    <row r="70" spans="3:23" outlineLevel="1" x14ac:dyDescent="0.3">
      <c r="E70"/>
      <c r="F70"/>
      <c r="G70"/>
      <c r="H70" s="56"/>
      <c r="I70"/>
      <c r="J70"/>
      <c r="K70"/>
      <c r="L70"/>
      <c r="M70"/>
      <c r="N70"/>
      <c r="O70"/>
      <c r="P70"/>
      <c r="Q70"/>
      <c r="R70"/>
      <c r="S70"/>
      <c r="T70"/>
      <c r="U70"/>
      <c r="V70"/>
      <c r="W70"/>
    </row>
    <row r="71" spans="3:23" ht="27" outlineLevel="1" x14ac:dyDescent="0.3">
      <c r="E71" s="625"/>
      <c r="F71" s="625" t="s">
        <v>387</v>
      </c>
      <c r="G71" s="625">
        <v>2021</v>
      </c>
      <c r="H71" s="625">
        <v>2022</v>
      </c>
      <c r="I71" s="625">
        <v>2023</v>
      </c>
      <c r="J71" s="625">
        <v>2024</v>
      </c>
      <c r="K71" s="625">
        <v>2025</v>
      </c>
      <c r="L71" s="625">
        <v>2026</v>
      </c>
      <c r="M71" s="625">
        <v>2027</v>
      </c>
      <c r="N71" s="625">
        <v>2028</v>
      </c>
      <c r="O71" s="625">
        <v>2029</v>
      </c>
      <c r="P71" s="625">
        <v>2030</v>
      </c>
      <c r="Q71" s="625">
        <v>2031</v>
      </c>
      <c r="R71" s="625">
        <v>2032</v>
      </c>
      <c r="S71" s="625">
        <v>2033</v>
      </c>
      <c r="T71" s="625">
        <v>2034</v>
      </c>
      <c r="U71" s="625">
        <v>2035</v>
      </c>
      <c r="V71"/>
      <c r="W71"/>
    </row>
    <row r="72" spans="3:23" outlineLevel="1" x14ac:dyDescent="0.3">
      <c r="E72" s="628" t="str">
        <f>'EE Measures'!$IF$6</f>
        <v>Baseline</v>
      </c>
      <c r="F72" s="1275">
        <f>AVERAGE(J72:U72)</f>
        <v>3.4832037785103437E-3</v>
      </c>
      <c r="G72" s="543">
        <f>-(G16-G$10)/G$10</f>
        <v>2.4048867768898322E-2</v>
      </c>
      <c r="H72" s="405">
        <f>-((G$10-G16)-(H$10-H16))/H$10</f>
        <v>1.1105933866838282E-3</v>
      </c>
      <c r="I72" s="405">
        <f t="shared" ref="I72:U72" si="278">-((H$10-H16)-(I$10-I16))/I$10</f>
        <v>4.2826450237785419E-4</v>
      </c>
      <c r="J72" s="405">
        <f t="shared" si="278"/>
        <v>6.3115286935323421E-3</v>
      </c>
      <c r="K72" s="405">
        <f t="shared" si="278"/>
        <v>1.3195699131172703E-2</v>
      </c>
      <c r="L72" s="405">
        <f t="shared" si="278"/>
        <v>1.0177509237857037E-2</v>
      </c>
      <c r="M72" s="405">
        <f t="shared" si="278"/>
        <v>8.6618713223038171E-3</v>
      </c>
      <c r="N72" s="405">
        <f t="shared" si="278"/>
        <v>4.3030299351788626E-4</v>
      </c>
      <c r="O72" s="405">
        <f t="shared" si="278"/>
        <v>4.3067750930639184E-4</v>
      </c>
      <c r="P72" s="405">
        <f t="shared" si="278"/>
        <v>4.3103233659685562E-4</v>
      </c>
      <c r="Q72" s="405">
        <f t="shared" si="278"/>
        <v>4.3136790676983055E-4</v>
      </c>
      <c r="R72" s="405">
        <f t="shared" si="278"/>
        <v>4.31684631727556E-4</v>
      </c>
      <c r="S72" s="405">
        <f t="shared" si="278"/>
        <v>4.3198290448864373E-4</v>
      </c>
      <c r="T72" s="405">
        <f t="shared" si="278"/>
        <v>4.3226309983604433E-4</v>
      </c>
      <c r="U72" s="405">
        <f t="shared" si="278"/>
        <v>4.3252557501502795E-4</v>
      </c>
      <c r="V72"/>
      <c r="W72"/>
    </row>
    <row r="73" spans="3:23" outlineLevel="1" x14ac:dyDescent="0.3">
      <c r="E73" s="628" t="str">
        <f>'EE Measures'!$IG$6</f>
        <v>EEO</v>
      </c>
      <c r="F73" s="1275">
        <f t="shared" ref="F73:F78" si="279">AVERAGE(J73:U73)</f>
        <v>9.5163230738914573E-3</v>
      </c>
      <c r="G73" s="543">
        <f>-(G22-G$10)/G$10</f>
        <v>2.4048867768898322E-2</v>
      </c>
      <c r="H73" s="405">
        <f>-((G$10-G22)-(H$10-H22))/H$10</f>
        <v>1.1105933866838282E-3</v>
      </c>
      <c r="I73" s="405">
        <f t="shared" ref="I73:U73" si="280">-((H$10-H22)-(I$10-I22))/I$10</f>
        <v>4.2826450237785419E-4</v>
      </c>
      <c r="J73" s="405">
        <f t="shared" si="280"/>
        <v>1.3297719967335397E-2</v>
      </c>
      <c r="K73" s="405">
        <f t="shared" si="280"/>
        <v>2.6594906018056062E-2</v>
      </c>
      <c r="L73" s="405">
        <f t="shared" si="280"/>
        <v>1.8801368958180263E-2</v>
      </c>
      <c r="M73" s="405">
        <f t="shared" si="280"/>
        <v>1.3774828749439146E-2</v>
      </c>
      <c r="N73" s="405">
        <f t="shared" si="280"/>
        <v>5.4676994734543446E-3</v>
      </c>
      <c r="O73" s="405">
        <f t="shared" si="280"/>
        <v>5.3936297062877813E-3</v>
      </c>
      <c r="P73" s="405">
        <f t="shared" si="280"/>
        <v>5.3206404124409284E-3</v>
      </c>
      <c r="Q73" s="405">
        <f t="shared" si="280"/>
        <v>5.2487157647439541E-3</v>
      </c>
      <c r="R73" s="405">
        <f t="shared" si="280"/>
        <v>5.1778401568253777E-3</v>
      </c>
      <c r="S73" s="405">
        <f t="shared" si="280"/>
        <v>5.1079982001515237E-3</v>
      </c>
      <c r="T73" s="405">
        <f t="shared" si="280"/>
        <v>5.0391747211787838E-3</v>
      </c>
      <c r="U73" s="405">
        <f t="shared" si="280"/>
        <v>4.971354758603933E-3</v>
      </c>
      <c r="V73"/>
      <c r="W73"/>
    </row>
    <row r="74" spans="3:23" outlineLevel="1" x14ac:dyDescent="0.3">
      <c r="E74" s="628" t="s">
        <v>36</v>
      </c>
      <c r="F74" s="1275">
        <f>AVERAGE(J74:U74)</f>
        <v>2.3224950514593005E-2</v>
      </c>
      <c r="G74" s="543">
        <f>-(G28-G$10)/G$10</f>
        <v>2.4048867768898322E-2</v>
      </c>
      <c r="H74" s="405">
        <f>-((G$10-G28)-(H$10-H28))/H$10</f>
        <v>1.1105933866838282E-3</v>
      </c>
      <c r="I74" s="405">
        <f t="shared" ref="I74:T74" si="281">-((H$10-H28)-(I$10-I28))/I$10</f>
        <v>4.2826450237785419E-4</v>
      </c>
      <c r="J74" s="405">
        <f t="shared" si="281"/>
        <v>1.3297719967335397E-2</v>
      </c>
      <c r="K74" s="405">
        <f>-((J$10-J28)-(K$10-K28))/K$10</f>
        <v>2.5631443673778558E-2</v>
      </c>
      <c r="L74" s="405">
        <f t="shared" si="281"/>
        <v>2.0858795219975818E-2</v>
      </c>
      <c r="M74" s="405">
        <f t="shared" si="281"/>
        <v>1.9782834918695875E-2</v>
      </c>
      <c r="N74" s="405">
        <f t="shared" si="281"/>
        <v>1.6505981413608553E-2</v>
      </c>
      <c r="O74" s="405">
        <f t="shared" si="281"/>
        <v>2.2541887775405531E-2</v>
      </c>
      <c r="P74" s="405">
        <f>-((O$10-O28)-(P$10-P28))/P$10</f>
        <v>2.6808579396793205E-2</v>
      </c>
      <c r="Q74" s="405">
        <f t="shared" si="281"/>
        <v>2.6757876423569266E-2</v>
      </c>
      <c r="R74" s="405">
        <f t="shared" si="281"/>
        <v>2.6705960558723631E-2</v>
      </c>
      <c r="S74" s="405">
        <f t="shared" si="281"/>
        <v>2.6653867349330035E-2</v>
      </c>
      <c r="T74" s="405">
        <f t="shared" si="281"/>
        <v>2.6601553466634422E-2</v>
      </c>
      <c r="U74" s="405">
        <f>-((T$10-T28)-(U$10-U28))/U$10</f>
        <v>2.6552906011265823E-2</v>
      </c>
      <c r="V74"/>
      <c r="W74"/>
    </row>
    <row r="75" spans="3:23" outlineLevel="1" x14ac:dyDescent="0.3">
      <c r="E75" s="628" t="str">
        <f>'EE Measures'!$II$6</f>
        <v>Renowave</v>
      </c>
      <c r="F75" s="1275">
        <f t="shared" si="279"/>
        <v>5.8977353870216702E-3</v>
      </c>
      <c r="G75" s="543">
        <f>-(G34-G$10)/G$10</f>
        <v>2.4048867768898322E-2</v>
      </c>
      <c r="H75" s="405">
        <f>-((G$10-G34)-(H$10-H34))/H$10</f>
        <v>1.1105933866838282E-3</v>
      </c>
      <c r="I75" s="405">
        <f t="shared" ref="I75:U75" si="282">-((H$10-H34)-(I$10-I34))/I$10</f>
        <v>4.2826450237785419E-4</v>
      </c>
      <c r="J75" s="405">
        <f t="shared" si="282"/>
        <v>9.8046243304338691E-3</v>
      </c>
      <c r="K75" s="405">
        <f t="shared" si="282"/>
        <v>1.9188571402475731E-2</v>
      </c>
      <c r="L75" s="405">
        <f t="shared" si="282"/>
        <v>1.3793152228916443E-2</v>
      </c>
      <c r="M75" s="405">
        <f t="shared" si="282"/>
        <v>1.0532353120499761E-2</v>
      </c>
      <c r="N75" s="405">
        <f t="shared" si="282"/>
        <v>2.2731422035633243E-3</v>
      </c>
      <c r="O75" s="405">
        <f t="shared" si="282"/>
        <v>2.2462826423559133E-3</v>
      </c>
      <c r="P75" s="405">
        <f t="shared" si="282"/>
        <v>2.2198058666949069E-3</v>
      </c>
      <c r="Q75" s="405">
        <f t="shared" si="282"/>
        <v>2.1937063600685697E-3</v>
      </c>
      <c r="R75" s="405">
        <f t="shared" si="282"/>
        <v>2.1679786743862479E-3</v>
      </c>
      <c r="S75" s="405">
        <f t="shared" si="282"/>
        <v>2.1426174292755325E-3</v>
      </c>
      <c r="T75" s="405">
        <f t="shared" si="282"/>
        <v>2.1176173114489023E-3</v>
      </c>
      <c r="U75" s="405">
        <f t="shared" si="282"/>
        <v>2.0929730741408394E-3</v>
      </c>
      <c r="V75"/>
      <c r="W75"/>
    </row>
    <row r="76" spans="3:23" outlineLevel="1" x14ac:dyDescent="0.3">
      <c r="E76" s="628" t="str">
        <f>'EE Measures'!$IJ$6</f>
        <v>EET</v>
      </c>
      <c r="F76" s="1275">
        <f t="shared" si="279"/>
        <v>5.8977353870216702E-3</v>
      </c>
      <c r="G76" s="543">
        <f>-(G40-G$10)/G$10</f>
        <v>2.4048867768898322E-2</v>
      </c>
      <c r="H76" s="405">
        <f>-((G$10-G40)-(H$10-H40))/H$10</f>
        <v>1.1105933866838282E-3</v>
      </c>
      <c r="I76" s="405">
        <f t="shared" ref="I76:U76" si="283">-((H$10-H40)-(I$10-I40))/I$10</f>
        <v>4.2826450237785419E-4</v>
      </c>
      <c r="J76" s="405">
        <f t="shared" si="283"/>
        <v>9.8046243304338691E-3</v>
      </c>
      <c r="K76" s="405">
        <f t="shared" si="283"/>
        <v>1.9188571402475731E-2</v>
      </c>
      <c r="L76" s="405">
        <f t="shared" si="283"/>
        <v>1.3793152228916443E-2</v>
      </c>
      <c r="M76" s="405">
        <f t="shared" si="283"/>
        <v>1.0532353120499761E-2</v>
      </c>
      <c r="N76" s="405">
        <f t="shared" si="283"/>
        <v>2.2731422035633243E-3</v>
      </c>
      <c r="O76" s="405">
        <f t="shared" si="283"/>
        <v>2.2462826423559133E-3</v>
      </c>
      <c r="P76" s="405">
        <f t="shared" si="283"/>
        <v>2.2198058666949069E-3</v>
      </c>
      <c r="Q76" s="405">
        <f t="shared" si="283"/>
        <v>2.1937063600685697E-3</v>
      </c>
      <c r="R76" s="405">
        <f t="shared" si="283"/>
        <v>2.1679786743862479E-3</v>
      </c>
      <c r="S76" s="405">
        <f t="shared" si="283"/>
        <v>2.1426174292755325E-3</v>
      </c>
      <c r="T76" s="405">
        <f t="shared" si="283"/>
        <v>2.1176173114489023E-3</v>
      </c>
      <c r="U76" s="405">
        <f t="shared" si="283"/>
        <v>2.0929730741408394E-3</v>
      </c>
      <c r="V76"/>
      <c r="W76"/>
    </row>
    <row r="77" spans="3:23" outlineLevel="1" x14ac:dyDescent="0.3">
      <c r="E77" s="628" t="str">
        <f>'EE Measures'!$IK$6</f>
        <v>CEER1</v>
      </c>
      <c r="F77" s="1275">
        <f t="shared" si="279"/>
        <v>1.5839524399728345E-2</v>
      </c>
      <c r="G77" s="543">
        <f>-(G46-G$10)/G$10</f>
        <v>2.4048867768898322E-2</v>
      </c>
      <c r="H77" s="405">
        <f>-((G$10-G46)-(H$10-H46))/H$10</f>
        <v>1.1105933866838282E-3</v>
      </c>
      <c r="I77" s="405">
        <f t="shared" ref="I77:U77" si="284">-((H$10-H46)-(I$10-I46))/I$10</f>
        <v>4.2826450237785419E-4</v>
      </c>
      <c r="J77" s="405">
        <f t="shared" si="284"/>
        <v>9.8046243304338691E-3</v>
      </c>
      <c r="K77" s="405">
        <f t="shared" si="284"/>
        <v>1.9488571402475598E-2</v>
      </c>
      <c r="L77" s="405">
        <f t="shared" si="284"/>
        <v>1.6093152228916541E-2</v>
      </c>
      <c r="M77" s="405">
        <f t="shared" si="284"/>
        <v>1.5452353120499817E-2</v>
      </c>
      <c r="N77" s="405">
        <f t="shared" si="284"/>
        <v>1.0533142203563243E-2</v>
      </c>
      <c r="O77" s="405">
        <f t="shared" si="284"/>
        <v>1.456628264235592E-2</v>
      </c>
      <c r="P77" s="405">
        <f t="shared" si="284"/>
        <v>1.7419805866694959E-2</v>
      </c>
      <c r="Q77" s="405">
        <f t="shared" si="284"/>
        <v>1.7394927433536597E-2</v>
      </c>
      <c r="R77" s="405">
        <f t="shared" si="284"/>
        <v>1.7369103902172042E-2</v>
      </c>
      <c r="S77" s="405">
        <f t="shared" si="284"/>
        <v>1.7343027692787276E-2</v>
      </c>
      <c r="T77" s="405">
        <f t="shared" si="284"/>
        <v>1.7316671940497342E-2</v>
      </c>
      <c r="U77" s="405">
        <f t="shared" si="284"/>
        <v>1.7292630032806903E-2</v>
      </c>
      <c r="V77"/>
      <c r="W77"/>
    </row>
    <row r="78" spans="3:23" outlineLevel="1" x14ac:dyDescent="0.3">
      <c r="E78" s="628" t="str">
        <f>'EE Measures'!$IL$6</f>
        <v>CEER2</v>
      </c>
      <c r="F78" s="1275">
        <f t="shared" si="279"/>
        <v>2.2584822058858589E-2</v>
      </c>
      <c r="G78" s="543">
        <f>-(G52-G$10)/G$10</f>
        <v>2.4048867768898322E-2</v>
      </c>
      <c r="H78" s="405">
        <f>-((G$10-G52)-(H$10-H52))/H$10</f>
        <v>1.1105933866838282E-3</v>
      </c>
      <c r="I78" s="405">
        <f t="shared" ref="I78:U78" si="285">-((H$10-H52)-(I$10-I52))/I$10</f>
        <v>4.2826450237785419E-4</v>
      </c>
      <c r="J78" s="405">
        <f t="shared" si="285"/>
        <v>9.8046243304338691E-3</v>
      </c>
      <c r="K78" s="405">
        <f t="shared" si="285"/>
        <v>2.5221702897659362E-2</v>
      </c>
      <c r="L78" s="405">
        <f t="shared" si="285"/>
        <v>2.045510972626215E-2</v>
      </c>
      <c r="M78" s="405">
        <f t="shared" si="285"/>
        <v>1.9385115220455985E-2</v>
      </c>
      <c r="N78" s="405">
        <f t="shared" si="285"/>
        <v>1.6114139346376958E-2</v>
      </c>
      <c r="O78" s="405">
        <f t="shared" si="285"/>
        <v>2.2155836477640585E-2</v>
      </c>
      <c r="P78" s="405">
        <f t="shared" si="285"/>
        <v>2.6428233290620672E-2</v>
      </c>
      <c r="Q78" s="405">
        <f t="shared" si="285"/>
        <v>2.6383151195813078E-2</v>
      </c>
      <c r="R78" s="405">
        <f t="shared" si="285"/>
        <v>2.6336773142215233E-2</v>
      </c>
      <c r="S78" s="405">
        <f t="shared" si="285"/>
        <v>2.6290135904494177E-2</v>
      </c>
      <c r="T78" s="405">
        <f t="shared" si="285"/>
        <v>2.6243197363347702E-2</v>
      </c>
      <c r="U78" s="405">
        <f t="shared" si="285"/>
        <v>2.6199845810983342E-2</v>
      </c>
      <c r="V78"/>
      <c r="W78"/>
    </row>
    <row r="79" spans="3:23" outlineLevel="1" x14ac:dyDescent="0.3">
      <c r="V79"/>
      <c r="W79"/>
    </row>
    <row r="80" spans="3:23" ht="15" outlineLevel="1" x14ac:dyDescent="0.3">
      <c r="C80" s="5" t="s">
        <v>122</v>
      </c>
      <c r="D80" s="5"/>
      <c r="E80" s="5"/>
      <c r="F80" s="5"/>
      <c r="G80" s="5"/>
      <c r="H80" s="5"/>
      <c r="I80" s="5"/>
      <c r="J80" s="5"/>
      <c r="K80" s="5"/>
      <c r="L80" s="5"/>
      <c r="M80" s="5"/>
      <c r="N80" s="5"/>
      <c r="O80" s="5"/>
      <c r="P80" s="5"/>
      <c r="Q80" s="5"/>
      <c r="R80" s="5"/>
      <c r="S80" s="5"/>
      <c r="T80" s="5"/>
      <c r="U80" s="5"/>
      <c r="V80"/>
      <c r="W80"/>
    </row>
    <row r="81" spans="3:41" ht="27" outlineLevel="1" x14ac:dyDescent="0.3">
      <c r="E81" s="625"/>
      <c r="F81" s="625" t="s">
        <v>387</v>
      </c>
      <c r="G81" s="625">
        <v>2021</v>
      </c>
      <c r="H81" s="625">
        <v>2022</v>
      </c>
      <c r="I81" s="625">
        <v>2023</v>
      </c>
      <c r="J81" s="625">
        <v>2024</v>
      </c>
      <c r="K81" s="625">
        <v>2025</v>
      </c>
      <c r="L81" s="625">
        <v>2026</v>
      </c>
      <c r="M81" s="625">
        <v>2027</v>
      </c>
      <c r="N81" s="625">
        <v>2028</v>
      </c>
      <c r="O81" s="625">
        <v>2029</v>
      </c>
      <c r="P81" s="625">
        <v>2030</v>
      </c>
      <c r="Q81" s="625">
        <v>2031</v>
      </c>
      <c r="R81" s="625">
        <v>2032</v>
      </c>
      <c r="S81" s="625">
        <v>2033</v>
      </c>
      <c r="T81" s="625">
        <v>2034</v>
      </c>
      <c r="U81" s="625">
        <v>2035</v>
      </c>
      <c r="V81"/>
      <c r="W81"/>
    </row>
    <row r="82" spans="3:41" outlineLevel="1" x14ac:dyDescent="0.3">
      <c r="E82" s="628" t="str">
        <f>'EE Measures'!$IF$6</f>
        <v>Baseline</v>
      </c>
      <c r="F82" s="1275">
        <f>AVERAGE(J82:U82)</f>
        <v>1.1430858101690753E-3</v>
      </c>
      <c r="G82" s="543">
        <f>-(G19-G$13)/G$13</f>
        <v>1.123243067922979E-3</v>
      </c>
      <c r="H82" s="405">
        <f>-((G$13-G19)-(H$13-H19))/H$13</f>
        <v>8.9698966457952536E-4</v>
      </c>
      <c r="I82" s="405">
        <f t="shared" ref="I82:U82" si="286">-((H$13-H19)-(I$13-I19))/I$13</f>
        <v>6.1150384494314497E-4</v>
      </c>
      <c r="J82" s="405">
        <f t="shared" si="286"/>
        <v>9.0857797097735112E-3</v>
      </c>
      <c r="K82" s="405">
        <f t="shared" si="286"/>
        <v>4.4148785049769558E-3</v>
      </c>
      <c r="L82" s="405">
        <f t="shared" si="286"/>
        <v>2.0566853042227682E-5</v>
      </c>
      <c r="M82" s="405">
        <f t="shared" si="286"/>
        <v>2.0802032567811117E-5</v>
      </c>
      <c r="N82" s="405">
        <f t="shared" si="286"/>
        <v>2.1038276210628958E-5</v>
      </c>
      <c r="O82" s="405">
        <f t="shared" si="286"/>
        <v>2.127554766324829E-5</v>
      </c>
      <c r="P82" s="405">
        <f t="shared" si="286"/>
        <v>2.1513809886872981E-5</v>
      </c>
      <c r="Q82" s="405">
        <f t="shared" si="286"/>
        <v>2.1753025171414591E-5</v>
      </c>
      <c r="R82" s="405">
        <f t="shared" si="286"/>
        <v>2.1993155199002719E-5</v>
      </c>
      <c r="S82" s="405">
        <f t="shared" si="286"/>
        <v>2.2234161110439942E-5</v>
      </c>
      <c r="T82" s="405">
        <f t="shared" si="286"/>
        <v>2.2476003573147013E-5</v>
      </c>
      <c r="U82" s="405">
        <f t="shared" si="286"/>
        <v>2.271864285364361E-5</v>
      </c>
      <c r="V82"/>
      <c r="W82"/>
    </row>
    <row r="83" spans="3:41" outlineLevel="1" x14ac:dyDescent="0.3">
      <c r="E83" s="628" t="str">
        <f>'EE Measures'!$IG$6</f>
        <v>EEO</v>
      </c>
      <c r="F83" s="1275">
        <f t="shared" ref="F83:F88" si="287">AVERAGE(J83:U83)</f>
        <v>5.3859404057132925E-3</v>
      </c>
      <c r="G83" s="543">
        <f>-(G25-G$13)/G$13</f>
        <v>3.0444257978666758E-3</v>
      </c>
      <c r="H83" s="405">
        <f>-((G$13-G25)-(H$13-H25))/H$13</f>
        <v>1.4450934273101074E-3</v>
      </c>
      <c r="I83" s="405">
        <f t="shared" ref="I83:U83" si="288">-((H$13-H25)-(I$13-I25))/I$13</f>
        <v>1.1650894706310574E-3</v>
      </c>
      <c r="J83" s="405">
        <f t="shared" si="288"/>
        <v>9.5616924397566687E-3</v>
      </c>
      <c r="K83" s="405">
        <f t="shared" si="288"/>
        <v>1.2252455063495135E-2</v>
      </c>
      <c r="L83" s="405">
        <f t="shared" si="288"/>
        <v>4.0611242879418589E-3</v>
      </c>
      <c r="M83" s="405">
        <f t="shared" si="288"/>
        <v>1.7357528486461792E-2</v>
      </c>
      <c r="N83" s="405">
        <f t="shared" si="288"/>
        <v>3.895088021680833E-3</v>
      </c>
      <c r="O83" s="405">
        <f t="shared" si="288"/>
        <v>3.8695640739683378E-3</v>
      </c>
      <c r="P83" s="405">
        <f t="shared" si="288"/>
        <v>3.7538133431971265E-3</v>
      </c>
      <c r="Q83" s="405">
        <f t="shared" si="288"/>
        <v>2.0145952965181959E-3</v>
      </c>
      <c r="R83" s="405">
        <f t="shared" si="288"/>
        <v>1.9951043149482911E-3</v>
      </c>
      <c r="S83" s="405">
        <f t="shared" si="288"/>
        <v>1.9758095668028046E-3</v>
      </c>
      <c r="T83" s="405">
        <f t="shared" si="288"/>
        <v>1.9567090785160826E-3</v>
      </c>
      <c r="U83" s="405">
        <f t="shared" si="288"/>
        <v>1.9378008952723915E-3</v>
      </c>
      <c r="V83"/>
      <c r="W83"/>
    </row>
    <row r="84" spans="3:41" outlineLevel="1" x14ac:dyDescent="0.3">
      <c r="E84" s="628" t="s">
        <v>36</v>
      </c>
      <c r="F84" s="1275">
        <f t="shared" si="287"/>
        <v>5.3859404057132925E-3</v>
      </c>
      <c r="G84" s="543">
        <f>-(G31-G$13)/G$13</f>
        <v>3.0444257978666758E-3</v>
      </c>
      <c r="H84" s="405">
        <f>-((G$13-G31)-(H$13-H31))/H$13</f>
        <v>1.4450934273101074E-3</v>
      </c>
      <c r="I84" s="405">
        <f t="shared" ref="I84:U84" si="289">-((H$13-H31)-(I$13-I31))/I$13</f>
        <v>1.1650894706310574E-3</v>
      </c>
      <c r="J84" s="405">
        <f t="shared" si="289"/>
        <v>9.5616924397566687E-3</v>
      </c>
      <c r="K84" s="405">
        <f t="shared" si="289"/>
        <v>1.2252455063495135E-2</v>
      </c>
      <c r="L84" s="405">
        <f t="shared" si="289"/>
        <v>4.0611242879418589E-3</v>
      </c>
      <c r="M84" s="405">
        <f t="shared" si="289"/>
        <v>1.7357528486461792E-2</v>
      </c>
      <c r="N84" s="405">
        <f t="shared" si="289"/>
        <v>3.895088021680833E-3</v>
      </c>
      <c r="O84" s="405">
        <f t="shared" si="289"/>
        <v>3.8695640739683378E-3</v>
      </c>
      <c r="P84" s="405">
        <f t="shared" si="289"/>
        <v>3.7538133431971265E-3</v>
      </c>
      <c r="Q84" s="405">
        <f t="shared" si="289"/>
        <v>2.0145952965181959E-3</v>
      </c>
      <c r="R84" s="405">
        <f t="shared" si="289"/>
        <v>1.9951043149482911E-3</v>
      </c>
      <c r="S84" s="405">
        <f t="shared" si="289"/>
        <v>1.9758095668028046E-3</v>
      </c>
      <c r="T84" s="405">
        <f t="shared" si="289"/>
        <v>1.9567090785160826E-3</v>
      </c>
      <c r="U84" s="405">
        <f t="shared" si="289"/>
        <v>1.9378008952723915E-3</v>
      </c>
      <c r="V84"/>
      <c r="W84"/>
    </row>
    <row r="85" spans="3:41" outlineLevel="1" x14ac:dyDescent="0.3">
      <c r="E85" s="628" t="str">
        <f>'EE Measures'!$II$6</f>
        <v>Renowave</v>
      </c>
      <c r="F85" s="1275">
        <f t="shared" si="287"/>
        <v>5.3859404057132925E-3</v>
      </c>
      <c r="G85" s="543">
        <f>-(G37-G$13)/G$13</f>
        <v>3.0444257978666758E-3</v>
      </c>
      <c r="H85" s="405">
        <f>-((G$13-G37)-(H$13-H37))/H$13</f>
        <v>1.4450934273101074E-3</v>
      </c>
      <c r="I85" s="405">
        <f t="shared" ref="I85:U85" si="290">-((H$13-H37)-(I$13-I37))/I$13</f>
        <v>1.1650894706310574E-3</v>
      </c>
      <c r="J85" s="405">
        <f t="shared" si="290"/>
        <v>9.5616924397566687E-3</v>
      </c>
      <c r="K85" s="405">
        <f t="shared" si="290"/>
        <v>1.2252455063495135E-2</v>
      </c>
      <c r="L85" s="405">
        <f t="shared" si="290"/>
        <v>4.0611242879418589E-3</v>
      </c>
      <c r="M85" s="405">
        <f t="shared" si="290"/>
        <v>1.7357528486461792E-2</v>
      </c>
      <c r="N85" s="405">
        <f t="shared" si="290"/>
        <v>3.895088021680833E-3</v>
      </c>
      <c r="O85" s="405">
        <f t="shared" si="290"/>
        <v>3.8695640739683378E-3</v>
      </c>
      <c r="P85" s="405">
        <f t="shared" si="290"/>
        <v>3.7538133431971265E-3</v>
      </c>
      <c r="Q85" s="405">
        <f t="shared" si="290"/>
        <v>2.0145952965181959E-3</v>
      </c>
      <c r="R85" s="405">
        <f t="shared" si="290"/>
        <v>1.9951043149482911E-3</v>
      </c>
      <c r="S85" s="405">
        <f t="shared" si="290"/>
        <v>1.9758095668028046E-3</v>
      </c>
      <c r="T85" s="405">
        <f t="shared" si="290"/>
        <v>1.9567090785160826E-3</v>
      </c>
      <c r="U85" s="405">
        <f t="shared" si="290"/>
        <v>1.9378008952723915E-3</v>
      </c>
      <c r="V85"/>
      <c r="W85"/>
    </row>
    <row r="86" spans="3:41" outlineLevel="1" x14ac:dyDescent="0.3">
      <c r="E86" s="628" t="str">
        <f>'EE Measures'!$IJ$6</f>
        <v>EET</v>
      </c>
      <c r="F86" s="1275">
        <f t="shared" si="287"/>
        <v>1.6968730197245922E-2</v>
      </c>
      <c r="G86" s="543">
        <f>-(G43-G$13)/G$13</f>
        <v>5.9261998927822215E-3</v>
      </c>
      <c r="H86" s="405">
        <f>-((G$13-G43)-(H$13-H43))/H$13</f>
        <v>2.2672490714062583E-3</v>
      </c>
      <c r="I86" s="405">
        <f t="shared" ref="I86:U86" si="291">-((H$13-H43)-(I$13-I43))/I$13</f>
        <v>1.995467909162467E-3</v>
      </c>
      <c r="J86" s="405">
        <f t="shared" si="291"/>
        <v>1.0275561534731675E-2</v>
      </c>
      <c r="K86" s="405">
        <f t="shared" si="291"/>
        <v>3.0626418429585741E-2</v>
      </c>
      <c r="L86" s="405">
        <f t="shared" si="291"/>
        <v>1.4618919941585028E-2</v>
      </c>
      <c r="M86" s="405">
        <f t="shared" si="291"/>
        <v>8.071058917881152E-2</v>
      </c>
      <c r="N86" s="405">
        <f t="shared" si="291"/>
        <v>1.4114514273347556E-2</v>
      </c>
      <c r="O86" s="405">
        <f t="shared" si="291"/>
        <v>1.40067014510111E-2</v>
      </c>
      <c r="P86" s="405">
        <f t="shared" si="291"/>
        <v>1.3673752333841108E-2</v>
      </c>
      <c r="Q86" s="405">
        <f t="shared" si="291"/>
        <v>5.2211225366922036E-3</v>
      </c>
      <c r="R86" s="405">
        <f t="shared" si="291"/>
        <v>5.1698837606652982E-3</v>
      </c>
      <c r="S86" s="405">
        <f t="shared" si="291"/>
        <v>5.1191555526608956E-3</v>
      </c>
      <c r="T86" s="405">
        <f t="shared" si="291"/>
        <v>5.0689328268907589E-3</v>
      </c>
      <c r="U86" s="405">
        <f t="shared" si="291"/>
        <v>5.0192105471281818E-3</v>
      </c>
      <c r="V86"/>
      <c r="W86"/>
    </row>
    <row r="87" spans="3:41" outlineLevel="1" x14ac:dyDescent="0.3">
      <c r="E87" s="628" t="str">
        <f>'EE Measures'!$IK$6</f>
        <v>CEER1</v>
      </c>
      <c r="F87" s="1275">
        <f t="shared" si="287"/>
        <v>1.1033669578666916E-2</v>
      </c>
      <c r="G87" s="543">
        <f>-(G49-G$13)/G$13</f>
        <v>5.9261998927822215E-3</v>
      </c>
      <c r="H87" s="405">
        <f>-((G$13-G49)-(H$13-H49))/H$13</f>
        <v>2.2672490714062583E-3</v>
      </c>
      <c r="I87" s="405">
        <f t="shared" ref="I87:U87" si="292">-((H$13-H49)-(I$13-I49))/I$13</f>
        <v>1.995467909162467E-3</v>
      </c>
      <c r="J87" s="405">
        <f t="shared" si="292"/>
        <v>1.0275561534731675E-2</v>
      </c>
      <c r="K87" s="405">
        <f t="shared" si="292"/>
        <v>2.3187658352666719E-2</v>
      </c>
      <c r="L87" s="405">
        <f t="shared" si="292"/>
        <v>9.3089292040479631E-3</v>
      </c>
      <c r="M87" s="405">
        <f t="shared" si="292"/>
        <v>4.2557636745279917E-2</v>
      </c>
      <c r="N87" s="405">
        <f t="shared" si="292"/>
        <v>8.9091513309526287E-3</v>
      </c>
      <c r="O87" s="405">
        <f t="shared" si="292"/>
        <v>8.8528767555705792E-3</v>
      </c>
      <c r="P87" s="405">
        <f t="shared" si="292"/>
        <v>8.5709556056821762E-3</v>
      </c>
      <c r="Q87" s="405">
        <f t="shared" si="292"/>
        <v>4.2302873793004167E-3</v>
      </c>
      <c r="R87" s="405">
        <f t="shared" si="292"/>
        <v>4.1888588523565978E-3</v>
      </c>
      <c r="S87" s="405">
        <f t="shared" si="292"/>
        <v>4.1478437622564082E-3</v>
      </c>
      <c r="T87" s="405">
        <f t="shared" si="292"/>
        <v>4.1072379849057886E-3</v>
      </c>
      <c r="U87" s="405">
        <f t="shared" si="292"/>
        <v>4.0670374362521359E-3</v>
      </c>
      <c r="V87"/>
      <c r="W87"/>
    </row>
    <row r="88" spans="3:41" outlineLevel="1" x14ac:dyDescent="0.3">
      <c r="E88" s="628" t="str">
        <f>'EE Measures'!$IL$6</f>
        <v>CEER2</v>
      </c>
      <c r="F88" s="1275">
        <f t="shared" si="287"/>
        <v>1.4227435542103194E-2</v>
      </c>
      <c r="G88" s="543">
        <f>-(G55-G$13)/G$13</f>
        <v>5.9261998927822215E-3</v>
      </c>
      <c r="H88" s="405">
        <f>-((G$13-G55)-(H$13-H55))/H$13</f>
        <v>2.2672490714062583E-3</v>
      </c>
      <c r="I88" s="405">
        <f t="shared" ref="I88:U88" si="293">-((H$13-H55)-(I$13-I55))/I$13</f>
        <v>1.995467909162467E-3</v>
      </c>
      <c r="J88" s="405">
        <f t="shared" si="293"/>
        <v>1.0275561534731675E-2</v>
      </c>
      <c r="K88" s="405">
        <f t="shared" si="293"/>
        <v>3.0626418429585741E-2</v>
      </c>
      <c r="L88" s="405">
        <f t="shared" si="293"/>
        <v>1.4618919941585028E-2</v>
      </c>
      <c r="M88" s="405">
        <f t="shared" si="293"/>
        <v>4.7815053317098795E-2</v>
      </c>
      <c r="N88" s="405">
        <f t="shared" si="293"/>
        <v>1.4114514273347381E-2</v>
      </c>
      <c r="O88" s="405">
        <f t="shared" si="293"/>
        <v>1.4006701451011273E-2</v>
      </c>
      <c r="P88" s="405">
        <f t="shared" si="293"/>
        <v>1.3673752333841108E-2</v>
      </c>
      <c r="Q88" s="405">
        <f t="shared" si="293"/>
        <v>5.2211225366922036E-3</v>
      </c>
      <c r="R88" s="405">
        <f t="shared" si="293"/>
        <v>5.1698837606651308E-3</v>
      </c>
      <c r="S88" s="405">
        <f t="shared" si="293"/>
        <v>5.1191555526610621E-3</v>
      </c>
      <c r="T88" s="405">
        <f t="shared" si="293"/>
        <v>5.0689328268905941E-3</v>
      </c>
      <c r="U88" s="405">
        <f t="shared" si="293"/>
        <v>5.019210547128344E-3</v>
      </c>
      <c r="V88"/>
      <c r="W88"/>
    </row>
    <row r="89" spans="3:41" outlineLevel="1" x14ac:dyDescent="0.3">
      <c r="V89"/>
      <c r="W89"/>
    </row>
    <row r="90" spans="3:41" ht="15" outlineLevel="1" x14ac:dyDescent="0.3">
      <c r="V90"/>
      <c r="W90"/>
      <c r="Y90" s="5" t="s">
        <v>395</v>
      </c>
      <c r="Z90" s="5"/>
      <c r="AA90" s="5"/>
      <c r="AB90" s="5"/>
      <c r="AC90" s="5"/>
      <c r="AD90" s="5"/>
      <c r="AE90" s="5"/>
      <c r="AF90" s="5"/>
      <c r="AG90" s="5"/>
      <c r="AH90" s="5"/>
      <c r="AI90" s="5"/>
      <c r="AJ90" s="5"/>
      <c r="AK90" s="5"/>
      <c r="AL90" s="5"/>
      <c r="AM90" s="5"/>
      <c r="AN90" s="5"/>
      <c r="AO90" s="5"/>
    </row>
    <row r="91" spans="3:41" ht="15" outlineLevel="1" x14ac:dyDescent="0.3">
      <c r="C91" s="5" t="s">
        <v>396</v>
      </c>
      <c r="D91" s="5"/>
      <c r="E91" s="5"/>
      <c r="F91" s="5"/>
      <c r="G91" s="5"/>
      <c r="H91" s="5"/>
      <c r="I91" s="5"/>
      <c r="J91" s="5"/>
      <c r="K91" s="5"/>
      <c r="L91" s="5"/>
      <c r="M91" s="5"/>
      <c r="N91" s="5"/>
      <c r="O91" s="5"/>
      <c r="P91" s="5"/>
      <c r="Q91" s="5"/>
      <c r="R91" s="5"/>
      <c r="S91" s="5"/>
      <c r="T91" s="5"/>
      <c r="U91" s="5"/>
      <c r="V91"/>
      <c r="W91"/>
      <c r="AB91" s="56"/>
    </row>
    <row r="92" spans="3:41" ht="27" outlineLevel="1" x14ac:dyDescent="0.3">
      <c r="E92" s="625"/>
      <c r="F92" s="625" t="s">
        <v>386</v>
      </c>
      <c r="G92" s="625">
        <v>2021</v>
      </c>
      <c r="H92" s="625">
        <v>2022</v>
      </c>
      <c r="I92" s="625">
        <v>2023</v>
      </c>
      <c r="J92" s="625">
        <v>2024</v>
      </c>
      <c r="K92" s="625">
        <v>2025</v>
      </c>
      <c r="L92" s="625">
        <v>2026</v>
      </c>
      <c r="M92" s="625">
        <v>2027</v>
      </c>
      <c r="N92" s="625">
        <v>2028</v>
      </c>
      <c r="O92" s="625">
        <v>2029</v>
      </c>
      <c r="P92" s="625">
        <v>2030</v>
      </c>
      <c r="Q92" s="625">
        <v>2031</v>
      </c>
      <c r="R92" s="625">
        <v>2032</v>
      </c>
      <c r="S92" s="625">
        <v>2033</v>
      </c>
      <c r="T92" s="625">
        <v>2034</v>
      </c>
      <c r="U92" s="625">
        <v>2035</v>
      </c>
      <c r="V92"/>
      <c r="W92"/>
      <c r="Y92" s="625"/>
      <c r="Z92" s="625" t="s">
        <v>386</v>
      </c>
      <c r="AA92" s="625">
        <v>2021</v>
      </c>
      <c r="AB92" s="625">
        <v>2022</v>
      </c>
      <c r="AC92" s="625">
        <v>2023</v>
      </c>
      <c r="AD92" s="625">
        <v>2024</v>
      </c>
      <c r="AE92" s="625">
        <v>2025</v>
      </c>
      <c r="AF92" s="625">
        <v>2026</v>
      </c>
      <c r="AG92" s="625">
        <v>2027</v>
      </c>
      <c r="AH92" s="625">
        <v>2028</v>
      </c>
      <c r="AI92" s="625">
        <v>2029</v>
      </c>
      <c r="AJ92" s="625">
        <v>2030</v>
      </c>
      <c r="AK92" s="625">
        <v>2031</v>
      </c>
      <c r="AL92" s="625">
        <v>2032</v>
      </c>
      <c r="AM92" s="625">
        <v>2033</v>
      </c>
      <c r="AN92" s="625">
        <v>2034</v>
      </c>
      <c r="AO92" s="625">
        <v>2035</v>
      </c>
    </row>
    <row r="93" spans="3:41" outlineLevel="1" x14ac:dyDescent="0.3">
      <c r="E93" s="625"/>
      <c r="F93" s="625"/>
      <c r="G93" s="625"/>
      <c r="H93" s="625"/>
      <c r="I93" s="625"/>
      <c r="J93" s="625"/>
      <c r="K93" s="625"/>
      <c r="L93" s="625"/>
      <c r="M93" s="625"/>
      <c r="N93" s="625"/>
      <c r="O93" s="625"/>
      <c r="P93" s="625"/>
      <c r="Q93" s="625"/>
      <c r="R93" s="625"/>
      <c r="S93" s="625"/>
      <c r="T93" s="625"/>
      <c r="U93" s="625"/>
      <c r="V93"/>
      <c r="W93"/>
      <c r="Y93" s="628" t="s">
        <v>345</v>
      </c>
      <c r="Z93" s="898"/>
      <c r="AA93" s="493">
        <f>SUMPRODUCT(_xlfn.ANCHORARRAY(Baseline!AB$912),Assumptions!$O$783:$O$786)</f>
        <v>1273.878696798409</v>
      </c>
      <c r="AB93" s="493">
        <f>SUMPRODUCT(_xlfn.ANCHORARRAY(Baseline!AC$912),Assumptions!$O$783:$O$786)</f>
        <v>1273.2452098326996</v>
      </c>
      <c r="AC93" s="493">
        <f>SUMPRODUCT(_xlfn.ANCHORARRAY(Baseline!AD$912),Assumptions!$O$783:$O$786)</f>
        <v>1279.2598879397578</v>
      </c>
      <c r="AD93" s="493">
        <f>SUMPRODUCT(_xlfn.ANCHORARRAY(Baseline!AE$912),Assumptions!$O$783:$O$786)</f>
        <v>1285.5257716636258</v>
      </c>
      <c r="AE93" s="493">
        <f>SUMPRODUCT(_xlfn.ANCHORARRAY(Baseline!AF$912),Assumptions!$O$783:$O$786)</f>
        <v>1292.0461766467845</v>
      </c>
      <c r="AF93" s="493">
        <f>SUMPRODUCT(_xlfn.ANCHORARRAY(Baseline!AG$912),Assumptions!$O$783:$O$786)</f>
        <v>1298.8244938023863</v>
      </c>
      <c r="AG93" s="493">
        <f>SUMPRODUCT(_xlfn.ANCHORARRAY(Baseline!AH$912),Assumptions!$O$783:$O$786)</f>
        <v>1305.8641906199011</v>
      </c>
      <c r="AH93" s="493">
        <f>SUMPRODUCT(_xlfn.ANCHORARRAY(Baseline!AI$912),Assumptions!$O$783:$O$786)</f>
        <v>1313.4745169787336</v>
      </c>
      <c r="AI93" s="493">
        <f>SUMPRODUCT(_xlfn.ANCHORARRAY(Baseline!AJ$912),Assumptions!$O$783:$O$786)</f>
        <v>1321.3144399042048</v>
      </c>
      <c r="AJ93" s="493">
        <f>SUMPRODUCT(_xlfn.ANCHORARRAY(Baseline!AK$912),Assumptions!$O$783:$O$786)</f>
        <v>1329.387243502583</v>
      </c>
      <c r="AK93" s="493">
        <f>SUMPRODUCT(_xlfn.ANCHORARRAY(Baseline!AL$912),Assumptions!$O$783:$O$786)</f>
        <v>1337.6962778593147</v>
      </c>
      <c r="AL93" s="493">
        <f>SUMPRODUCT(_xlfn.ANCHORARRAY(Baseline!AM$912),Assumptions!$O$783:$O$786)</f>
        <v>1346.2449602106442</v>
      </c>
      <c r="AM93" s="493">
        <f>SUMPRODUCT(_xlfn.ANCHORARRAY(Baseline!AN$912),Assumptions!$O$783:$O$786)</f>
        <v>1355.0367761377988</v>
      </c>
      <c r="AN93" s="493">
        <f>SUMPRODUCT(_xlfn.ANCHORARRAY(Baseline!AO$912),Assumptions!$O$783:$O$786)</f>
        <v>1364.0752807841827</v>
      </c>
      <c r="AO93" s="493">
        <f>SUMPRODUCT(_xlfn.ANCHORARRAY(Baseline!AP$912),Assumptions!$O$783:$O$786)</f>
        <v>1373.3641000960049</v>
      </c>
    </row>
    <row r="94" spans="3:41" outlineLevel="1" x14ac:dyDescent="0.3">
      <c r="E94" s="628" t="str">
        <f>'EE Measures'!$IF$6</f>
        <v>Baseline</v>
      </c>
      <c r="F94" s="1275">
        <f>AVERAGE(G94:P94)</f>
        <v>1.009935746581334E-4</v>
      </c>
      <c r="G94" s="543">
        <f>-(AA94-AA$93)/AA$93</f>
        <v>2.5394067659416093E-4</v>
      </c>
      <c r="H94" s="405">
        <f>-((AA$93-AA94)-(AB$93-AB94))/AB$93</f>
        <v>4.6957633024997762E-4</v>
      </c>
      <c r="I94" s="405">
        <f t="shared" ref="I94:U94" si="294">-((AB$93-AB94)-(AC$93-AC94))/AC$93</f>
        <v>2.5054525082493831E-4</v>
      </c>
      <c r="J94" s="405">
        <f t="shared" si="294"/>
        <v>3.5873488912257169E-5</v>
      </c>
      <c r="K94" s="405">
        <f t="shared" si="294"/>
        <v>0</v>
      </c>
      <c r="L94" s="405">
        <f t="shared" si="294"/>
        <v>0</v>
      </c>
      <c r="M94" s="405">
        <f t="shared" si="294"/>
        <v>0</v>
      </c>
      <c r="N94" s="405">
        <f t="shared" si="294"/>
        <v>0</v>
      </c>
      <c r="O94" s="405">
        <f t="shared" si="294"/>
        <v>0</v>
      </c>
      <c r="P94" s="405">
        <f t="shared" si="294"/>
        <v>0</v>
      </c>
      <c r="Q94" s="405">
        <f t="shared" si="294"/>
        <v>0</v>
      </c>
      <c r="R94" s="405">
        <f t="shared" si="294"/>
        <v>0</v>
      </c>
      <c r="S94" s="405">
        <f t="shared" si="294"/>
        <v>0</v>
      </c>
      <c r="T94" s="405">
        <f t="shared" si="294"/>
        <v>0</v>
      </c>
      <c r="U94" s="405">
        <f t="shared" si="294"/>
        <v>0</v>
      </c>
      <c r="V94"/>
      <c r="W94"/>
      <c r="Y94" s="628" t="str">
        <f>'EE Measures'!$IF$6</f>
        <v>Baseline</v>
      </c>
      <c r="Z94" s="898"/>
      <c r="AA94" s="500">
        <f>-SUMPRODUCT('EE Measures'!BH$8:BH$86,'EE Measures'!$P$8:$P$86,'EE Measures'!$AK$8:$AK$86,'EE Measures'!$IF$8:$IF$86)+AA93</f>
        <v>1273.5552071802451</v>
      </c>
      <c r="AB94" s="500">
        <f>-SUMPRODUCT('EE Measures'!BI$8:BI$86,'EE Measures'!$P$8:$P$86,'EE Measures'!$AK$8:$AK$86,'EE Measures'!$IF$8:$IF$86)+AB93</f>
        <v>1272.3238344013942</v>
      </c>
      <c r="AC94" s="500">
        <f>-SUMPRODUCT('EE Measures'!BJ$8:BJ$86,'EE Measures'!$P$8:$P$86,'EE Measures'!$AK$8:$AK$86,'EE Measures'!$IF$8:$IF$86)+AC93</f>
        <v>1278.0180000189582</v>
      </c>
      <c r="AD94" s="500">
        <f>-SUMPRODUCT('EE Measures'!BK$8:BK$86,'EE Measures'!$P$8:$P$86,'EE Measures'!$AK$8:$AK$86,'EE Measures'!$IF$8:$IF$86)+AD93</f>
        <v>1284.23776744831</v>
      </c>
      <c r="AE94" s="500">
        <f>-SUMPRODUCT('EE Measures'!BL$8:BL$86,'EE Measures'!$P$8:$P$86,'EE Measures'!$AK$8:$AK$86,'EE Measures'!$IF$8:$IF$86)+AE93</f>
        <v>1290.7581724314687</v>
      </c>
      <c r="AF94" s="500">
        <f>-SUMPRODUCT('EE Measures'!BM$8:BM$86,'EE Measures'!$P$8:$P$86,'EE Measures'!$AK$8:$AK$86,'EE Measures'!$IF$8:$IF$86)+AF93</f>
        <v>1297.5364895870705</v>
      </c>
      <c r="AG94" s="500">
        <f>-SUMPRODUCT('EE Measures'!BN$8:BN$86,'EE Measures'!$P$8:$P$86,'EE Measures'!$AK$8:$AK$86,'EE Measures'!$IF$8:$IF$86)+AG93</f>
        <v>1304.5761864045853</v>
      </c>
      <c r="AH94" s="500">
        <f>-SUMPRODUCT('EE Measures'!BO$8:BO$86,'EE Measures'!$P$8:$P$86,'EE Measures'!$AK$8:$AK$86,'EE Measures'!$IF$8:$IF$86)+AH93</f>
        <v>1312.1865127634178</v>
      </c>
      <c r="AI94" s="500">
        <f>-SUMPRODUCT('EE Measures'!BP$8:BP$86,'EE Measures'!$P$8:$P$86,'EE Measures'!$AK$8:$AK$86,'EE Measures'!$IF$8:$IF$86)+AI93</f>
        <v>1320.026435688889</v>
      </c>
      <c r="AJ94" s="500">
        <f>-SUMPRODUCT('EE Measures'!BQ$8:BQ$86,'EE Measures'!$P$8:$P$86,'EE Measures'!$AK$8:$AK$86,'EE Measures'!$IF$8:$IF$86)+AJ93</f>
        <v>1328.0992392872672</v>
      </c>
      <c r="AK94" s="500">
        <f>-SUMPRODUCT('EE Measures'!BR$8:BR$86,'EE Measures'!$P$8:$P$86,'EE Measures'!$AK$8:$AK$86,'EE Measures'!$IF$8:$IF$86)+AK93</f>
        <v>1336.4082736439989</v>
      </c>
      <c r="AL94" s="500">
        <f>-SUMPRODUCT('EE Measures'!BS$8:BS$86,'EE Measures'!$P$8:$P$86,'EE Measures'!$AK$8:$AK$86,'EE Measures'!$IF$8:$IF$86)+AL93</f>
        <v>1344.9569559953284</v>
      </c>
      <c r="AM94" s="500">
        <f>-SUMPRODUCT('EE Measures'!BT$8:BT$86,'EE Measures'!$P$8:$P$86,'EE Measures'!$AK$8:$AK$86,'EE Measures'!$IF$8:$IF$86)+AM93</f>
        <v>1353.748771922483</v>
      </c>
      <c r="AN94" s="500">
        <f>-SUMPRODUCT('EE Measures'!BU$8:BU$86,'EE Measures'!$P$8:$P$86,'EE Measures'!$AK$8:$AK$86,'EE Measures'!$IF$8:$IF$86)+AN93</f>
        <v>1362.7872765688669</v>
      </c>
      <c r="AO94" s="500">
        <f>-SUMPRODUCT('EE Measures'!BV$8:BV$86,'EE Measures'!$P$8:$P$86,'EE Measures'!$AK$8:$AK$86,'EE Measures'!$IF$8:$IF$86)+AO93</f>
        <v>1372.0760958806891</v>
      </c>
    </row>
    <row r="95" spans="3:41" outlineLevel="1" x14ac:dyDescent="0.3">
      <c r="E95" s="628" t="str">
        <f>'EE Measures'!$IG$6</f>
        <v>EEO</v>
      </c>
      <c r="F95" s="1275">
        <f t="shared" ref="F95:F100" si="295">AVERAGE(G95:P95)</f>
        <v>1.6101978416147536E-2</v>
      </c>
      <c r="G95" s="543">
        <f t="shared" ref="G95:G100" si="296">-(AA95-AA$93)/AA$93</f>
        <v>2.5394067659416093E-4</v>
      </c>
      <c r="H95" s="405">
        <f t="shared" ref="H95:H100" si="297">-((AA$93-AA95)-(AB$93-AB95))/AB$93</f>
        <v>4.6957633024997762E-4</v>
      </c>
      <c r="I95" s="405">
        <f t="shared" ref="I95:I100" si="298">-((AB$93-AB95)-(AC$93-AC95))/AC$93</f>
        <v>2.5054525082493831E-4</v>
      </c>
      <c r="J95" s="405">
        <f t="shared" ref="J95:J100" si="299">-((AC$93-AC95)-(AD$93-AD95))/AD$93</f>
        <v>3.5873488912257169E-5</v>
      </c>
      <c r="K95" s="405">
        <f t="shared" ref="K95:K100" si="300">-((AD$93-AD95)-(AE$93-AE95))/AE$93</f>
        <v>2.7084273180545303E-2</v>
      </c>
      <c r="L95" s="405">
        <f t="shared" ref="L95:L100" si="301">-((AE$93-AE95)-(AF$93-AF95))/AF$93</f>
        <v>2.692449472654649E-2</v>
      </c>
      <c r="M95" s="405">
        <f t="shared" ref="M95:M100" si="302">-((AF$93-AF95)-(AG$93-AG95))/AG$93</f>
        <v>2.6761377246539386E-2</v>
      </c>
      <c r="N95" s="405">
        <f t="shared" ref="N95:N100" si="303">-((AG$93-AG95)-(AH$93-AH95))/AH$93</f>
        <v>2.6588803183245507E-2</v>
      </c>
      <c r="O95" s="405">
        <f t="shared" ref="O95:O100" si="304">-((AH$93-AH95)-(AI$93-AI95))/AI$93</f>
        <v>2.6413968316462783E-2</v>
      </c>
      <c r="P95" s="405">
        <f t="shared" ref="P95:P100" si="305">-((AI$93-AI95)-(AJ$93-AJ95))/AJ$93</f>
        <v>2.623693176155454E-2</v>
      </c>
      <c r="Q95" s="405">
        <f t="shared" ref="Q95:Q100" si="306">-((AJ$93-AJ95)-(AK$93-AK95))/AK$93</f>
        <v>2.6057754099068395E-2</v>
      </c>
      <c r="R95" s="405">
        <f t="shared" ref="R95:R100" si="307">-((AK$93-AK95)-(AL$93-AL95))/AL$93</f>
        <v>2.5876497297597004E-2</v>
      </c>
      <c r="S95" s="405">
        <f t="shared" ref="S95:S100" si="308">-((AL$93-AL95)-(AM$93-AM95))/AM$93</f>
        <v>2.5693224634878817E-2</v>
      </c>
      <c r="T95" s="405">
        <f t="shared" ref="T95:T100" si="309">-((AM$93-AM95)-(AN$93-AN95))/AN$93</f>
        <v>2.550800061733681E-2</v>
      </c>
      <c r="U95" s="405">
        <f t="shared" ref="U95:U100" si="310">-((AN$93-AN95)-(AO$93-AO95))/AO$93</f>
        <v>2.5335475932350707E-2</v>
      </c>
      <c r="V95"/>
      <c r="W95"/>
      <c r="Y95" s="628" t="str">
        <f>'EE Measures'!$IG$6</f>
        <v>EEO</v>
      </c>
      <c r="Z95" s="898"/>
      <c r="AA95" s="500">
        <f>-SUMPRODUCT('EE Measures'!BH$8:BH$86,'EE Measures'!$P$8:$P$86,'EE Measures'!$AK$8:$AK$86,'EE Measures'!$IG$8:$IG$86)+AA93</f>
        <v>1273.5552071802451</v>
      </c>
      <c r="AB95" s="500">
        <f>-SUMPRODUCT('EE Measures'!BI$8:BI$86,'EE Measures'!$P$8:$P$86,'EE Measures'!$AK$8:$AK$86,'EE Measures'!$IG$8:$IG$86)+AB93</f>
        <v>1272.3238344013942</v>
      </c>
      <c r="AC95" s="500">
        <f>-SUMPRODUCT('EE Measures'!BJ$8:BJ$86,'EE Measures'!$P$8:$P$86,'EE Measures'!$AK$8:$AK$86,'EE Measures'!$IG$8:$IG$86)+AC93</f>
        <v>1278.0180000189582</v>
      </c>
      <c r="AD95" s="500">
        <f>-SUMPRODUCT('EE Measures'!BK$8:BK$86,'EE Measures'!$P$8:$P$86,'EE Measures'!$AK$8:$AK$86,'EE Measures'!$IG$8:$IG$86)+AD93</f>
        <v>1284.23776744831</v>
      </c>
      <c r="AE95" s="500">
        <f>-SUMPRODUCT('EE Measures'!BL$8:BL$86,'EE Measures'!$P$8:$P$86,'EE Measures'!$AK$8:$AK$86,'EE Measures'!$IG$8:$IG$86)+AE93</f>
        <v>1255.7640408212881</v>
      </c>
      <c r="AF95" s="500">
        <f>-SUMPRODUCT('EE Measures'!BM$8:BM$86,'EE Measures'!$P$8:$P$86,'EE Measures'!$AK$8:$AK$86,'EE Measures'!$IG$8:$IG$86)+AF93</f>
        <v>1227.5721647427981</v>
      </c>
      <c r="AG95" s="500">
        <f>-SUMPRODUCT('EE Measures'!BN$8:BN$86,'EE Measures'!$P$8:$P$86,'EE Measures'!$AK$8:$AK$86,'EE Measures'!$IG$8:$IG$86)+AG93</f>
        <v>1199.665137322387</v>
      </c>
      <c r="AH95" s="500">
        <f>-SUMPRODUCT('EE Measures'!BO$8:BO$86,'EE Measures'!$P$8:$P$86,'EE Measures'!$AK$8:$AK$86,'EE Measures'!$IG$8:$IG$86)+AH93</f>
        <v>1172.3517482630634</v>
      </c>
      <c r="AI95" s="500">
        <f>-SUMPRODUCT('EE Measures'!BP$8:BP$86,'EE Measures'!$P$8:$P$86,'EE Measures'!$AK$8:$AK$86,'EE Measures'!$IG$8:$IG$86)+AI93</f>
        <v>1145.2905134368202</v>
      </c>
      <c r="AJ95" s="500">
        <f>-SUMPRODUCT('EE Measures'!BQ$8:BQ$86,'EE Measures'!$P$8:$P$86,'EE Measures'!$AK$8:$AK$86,'EE Measures'!$IG$8:$IG$86)+AJ93</f>
        <v>1118.48427464274</v>
      </c>
      <c r="AK95" s="500">
        <f>-SUMPRODUCT('EE Measures'!BR$8:BR$86,'EE Measures'!$P$8:$P$86,'EE Measures'!$AK$8:$AK$86,'EE Measures'!$IG$8:$IG$86)+AK93</f>
        <v>1091.9359483317746</v>
      </c>
      <c r="AL95" s="500">
        <f>-SUMPRODUCT('EE Measures'!BS$8:BS$86,'EE Measures'!$P$8:$P$86,'EE Measures'!$AK$8:$AK$86,'EE Measures'!$IG$8:$IG$86)+AL93</f>
        <v>1065.6485266083098</v>
      </c>
      <c r="AM95" s="500">
        <f>-SUMPRODUCT('EE Measures'!BT$8:BT$86,'EE Measures'!$P$8:$P$86,'EE Measures'!$AK$8:$AK$86,'EE Measures'!$IG$8:$IG$86)+AM93</f>
        <v>1039.625078257634</v>
      </c>
      <c r="AN95" s="500">
        <f>-SUMPRODUCT('EE Measures'!BU$8:BU$86,'EE Measures'!$P$8:$P$86,'EE Measures'!$AK$8:$AK$86,'EE Measures'!$IG$8:$IG$86)+AN93</f>
        <v>1013.868749799681</v>
      </c>
      <c r="AO95" s="500">
        <f>-SUMPRODUCT('EE Measures'!BV$8:BV$86,'EE Measures'!$P$8:$P$86,'EE Measures'!$AK$8:$AK$86,'EE Measures'!$IG$8:$IG$86)+AO93</f>
        <v>988.3627360071664</v>
      </c>
    </row>
    <row r="96" spans="3:41" outlineLevel="1" x14ac:dyDescent="0.3">
      <c r="E96" s="628" t="s">
        <v>36</v>
      </c>
      <c r="F96" s="1275">
        <f t="shared" si="295"/>
        <v>9.1704358749986076E-3</v>
      </c>
      <c r="G96" s="543">
        <f t="shared" si="296"/>
        <v>2.5394067659416093E-4</v>
      </c>
      <c r="H96" s="405">
        <f t="shared" si="297"/>
        <v>4.6957633024997762E-4</v>
      </c>
      <c r="I96" s="405">
        <f t="shared" si="298"/>
        <v>2.5054525082493831E-4</v>
      </c>
      <c r="J96" s="405">
        <f t="shared" si="299"/>
        <v>3.5873488912257169E-5</v>
      </c>
      <c r="K96" s="405">
        <f t="shared" si="300"/>
        <v>1.5550244473551014E-2</v>
      </c>
      <c r="L96" s="405">
        <f t="shared" si="301"/>
        <v>1.5376936709178227E-2</v>
      </c>
      <c r="M96" s="405">
        <f t="shared" si="302"/>
        <v>1.5204182180136559E-2</v>
      </c>
      <c r="N96" s="405">
        <f t="shared" si="303"/>
        <v>1.5028500897951051E-2</v>
      </c>
      <c r="O96" s="405">
        <f t="shared" si="304"/>
        <v>1.4853969678153757E-2</v>
      </c>
      <c r="P96" s="405">
        <f t="shared" si="305"/>
        <v>1.4680589064434129E-2</v>
      </c>
      <c r="Q96" s="405">
        <f t="shared" si="306"/>
        <v>1.4508360026698379E-2</v>
      </c>
      <c r="R96" s="405">
        <f t="shared" si="307"/>
        <v>1.4337283935326467E-2</v>
      </c>
      <c r="S96" s="405">
        <f t="shared" si="308"/>
        <v>1.4167362535311326E-2</v>
      </c>
      <c r="T96" s="405">
        <f t="shared" si="309"/>
        <v>1.3998597920326799E-2</v>
      </c>
      <c r="U96" s="405">
        <f t="shared" si="310"/>
        <v>1.3903917677344129E-2</v>
      </c>
      <c r="V96"/>
      <c r="W96"/>
      <c r="Y96" s="628" t="s">
        <v>36</v>
      </c>
      <c r="Z96" s="898"/>
      <c r="AA96" s="500">
        <f>-SUMPRODUCT('EE Measures'!BH$8:BH$86,'EE Measures'!$P$8:$P$86,'EE Measures'!$AK$8:$AK$86,'EE Measures'!$IH$8:$IH$86)+AA93</f>
        <v>1273.5552071802451</v>
      </c>
      <c r="AB96" s="500">
        <f>-SUMPRODUCT('EE Measures'!BI$8:BI$86,'EE Measures'!$P$8:$P$86,'EE Measures'!$AK$8:$AK$86,'EE Measures'!$IH$8:$IH$86)+AB93</f>
        <v>1272.3238344013942</v>
      </c>
      <c r="AC96" s="500">
        <f>-SUMPRODUCT('EE Measures'!BJ$8:BJ$86,'EE Measures'!$P$8:$P$86,'EE Measures'!$AK$8:$AK$86,'EE Measures'!$IH$8:$IH$86)+AC93</f>
        <v>1278.0180000189582</v>
      </c>
      <c r="AD96" s="500">
        <f>-SUMPRODUCT('EE Measures'!BK$8:BK$86,'EE Measures'!$P$8:$P$86,'EE Measures'!$AK$8:$AK$86,'EE Measures'!$IH$8:$IH$86)+AD93</f>
        <v>1284.23776744831</v>
      </c>
      <c r="AE96" s="500">
        <f>-SUMPRODUCT('EE Measures'!BL$8:BL$86,'EE Measures'!$P$8:$P$86,'EE Measures'!$AK$8:$AK$86,'EE Measures'!$IH$8:$IH$86)+AE93</f>
        <v>1270.6665385134943</v>
      </c>
      <c r="AF96" s="500">
        <f>-SUMPRODUCT('EE Measures'!BM$8:BM$86,'EE Measures'!$P$8:$P$86,'EE Measures'!$AK$8:$AK$86,'EE Measures'!$IH$8:$IH$86)+AF93</f>
        <v>1257.4729136315664</v>
      </c>
      <c r="AG96" s="500">
        <f>-SUMPRODUCT('EE Measures'!BN$8:BN$86,'EE Measures'!$P$8:$P$86,'EE Measures'!$AK$8:$AK$86,'EE Measures'!$IH$8:$IH$86)+AG93</f>
        <v>1244.6580133923796</v>
      </c>
      <c r="AH96" s="500">
        <f>-SUMPRODUCT('EE Measures'!BO$8:BO$86,'EE Measures'!$P$8:$P$86,'EE Measures'!$AK$8:$AK$86,'EE Measures'!$IH$8:$IH$86)+AH93</f>
        <v>1232.5287867933614</v>
      </c>
      <c r="AI96" s="500">
        <f>-SUMPRODUCT('EE Measures'!BP$8:BP$86,'EE Measures'!$P$8:$P$86,'EE Measures'!$AK$8:$AK$86,'EE Measures'!$IH$8:$IH$86)+AI93</f>
        <v>1220.7419450931889</v>
      </c>
      <c r="AJ96" s="500">
        <f>-SUMPRODUCT('EE Measures'!BQ$8:BQ$86,'EE Measures'!$P$8:$P$86,'EE Measures'!$AK$8:$AK$86,'EE Measures'!$IH$8:$IH$86)+AJ93</f>
        <v>1209.2985608622048</v>
      </c>
      <c r="AK96" s="500">
        <f>-SUMPRODUCT('EE Measures'!BR$8:BR$86,'EE Measures'!$P$8:$P$86,'EE Measures'!$AK$8:$AK$86,'EE Measures'!$IH$8:$IH$86)+AK93</f>
        <v>1198.1998160133792</v>
      </c>
      <c r="AL96" s="500">
        <f>-SUMPRODUCT('EE Measures'!BS$8:BS$86,'EE Measures'!$P$8:$P$86,'EE Measures'!$AK$8:$AK$86,'EE Measures'!$IH$8:$IH$86)+AL93</f>
        <v>1187.4470021236664</v>
      </c>
      <c r="AM96" s="500">
        <f>-SUMPRODUCT('EE Measures'!BT$8:BT$86,'EE Measures'!$P$8:$P$86,'EE Measures'!$AK$8:$AK$86,'EE Measures'!$IH$8:$IH$86)+AM93</f>
        <v>1177.0415207945973</v>
      </c>
      <c r="AN96" s="500">
        <f>-SUMPRODUCT('EE Measures'!BU$8:BU$86,'EE Measures'!$P$8:$P$86,'EE Measures'!$AK$8:$AK$86,'EE Measures'!$IH$8:$IH$86)+AN93</f>
        <v>1166.9848840522266</v>
      </c>
      <c r="AO96" s="500">
        <f>-SUMPRODUCT('EE Measures'!BV$8:BV$86,'EE Measures'!$P$8:$P$86,'EE Measures'!$AK$8:$AK$86,'EE Measures'!$IH$8:$IH$86)+AO93</f>
        <v>1157.1785619752941</v>
      </c>
    </row>
    <row r="97" spans="3:41" outlineLevel="1" x14ac:dyDescent="0.3">
      <c r="E97" s="628" t="str">
        <f>'EE Measures'!$II$6</f>
        <v>Renowave</v>
      </c>
      <c r="F97" s="1275">
        <f t="shared" si="295"/>
        <v>1.1850386847023515E-2</v>
      </c>
      <c r="G97" s="543">
        <f t="shared" si="296"/>
        <v>2.5394067659416093E-4</v>
      </c>
      <c r="H97" s="405">
        <f t="shared" si="297"/>
        <v>4.6957633024997762E-4</v>
      </c>
      <c r="I97" s="405">
        <f t="shared" si="298"/>
        <v>2.5054525082493831E-4</v>
      </c>
      <c r="J97" s="405">
        <f t="shared" si="299"/>
        <v>3.5873488912257169E-5</v>
      </c>
      <c r="K97" s="405">
        <f t="shared" si="300"/>
        <v>2.0078989746791363E-2</v>
      </c>
      <c r="L97" s="405">
        <f t="shared" si="301"/>
        <v>1.9882047325137753E-2</v>
      </c>
      <c r="M97" s="405">
        <f t="shared" si="302"/>
        <v>1.9685006493513069E-2</v>
      </c>
      <c r="N97" s="405">
        <f t="shared" si="303"/>
        <v>1.9483363127601849E-2</v>
      </c>
      <c r="O97" s="405">
        <f t="shared" si="304"/>
        <v>1.9282399307456365E-2</v>
      </c>
      <c r="P97" s="405">
        <f t="shared" si="305"/>
        <v>1.9082126723153396E-2</v>
      </c>
      <c r="Q97" s="405">
        <f t="shared" si="306"/>
        <v>1.8882557751656502E-2</v>
      </c>
      <c r="R97" s="405">
        <f t="shared" si="307"/>
        <v>1.868370541747771E-2</v>
      </c>
      <c r="S97" s="405">
        <f t="shared" si="308"/>
        <v>1.8485583352886074E-2</v>
      </c>
      <c r="T97" s="405">
        <f t="shared" si="309"/>
        <v>1.828820575775739E-2</v>
      </c>
      <c r="U97" s="405">
        <f t="shared" si="310"/>
        <v>1.816451252971327E-2</v>
      </c>
      <c r="V97"/>
      <c r="W97"/>
      <c r="Y97" s="628" t="str">
        <f>'EE Measures'!$II$6</f>
        <v>Renowave</v>
      </c>
      <c r="Z97" s="898"/>
      <c r="AA97" s="500">
        <f>-SUMPRODUCT('EE Measures'!BH$8:BH$86,'EE Measures'!$P$8:$P$86,'EE Measures'!$AK$8:$AK$86,'EE Measures'!$II$8:$II$86)+AA93</f>
        <v>1273.5552071802451</v>
      </c>
      <c r="AB97" s="500">
        <f>-SUMPRODUCT('EE Measures'!BI$8:BI$86,'EE Measures'!$P$8:$P$86,'EE Measures'!$AK$8:$AK$86,'EE Measures'!$II$8:$II$86)+AB93</f>
        <v>1272.3238344013942</v>
      </c>
      <c r="AC97" s="500">
        <f>-SUMPRODUCT('EE Measures'!BJ$8:BJ$86,'EE Measures'!$P$8:$P$86,'EE Measures'!$AK$8:$AK$86,'EE Measures'!$II$8:$II$86)+AC93</f>
        <v>1278.0180000189582</v>
      </c>
      <c r="AD97" s="500">
        <f>-SUMPRODUCT('EE Measures'!BK$8:BK$86,'EE Measures'!$P$8:$P$86,'EE Measures'!$AK$8:$AK$86,'EE Measures'!$II$8:$II$86)+AD93</f>
        <v>1284.23776744831</v>
      </c>
      <c r="AE97" s="500">
        <f>-SUMPRODUCT('EE Measures'!BL$8:BL$86,'EE Measures'!$P$8:$P$86,'EE Measures'!$AK$8:$AK$86,'EE Measures'!$II$8:$II$86)+AE93</f>
        <v>1264.8151904981969</v>
      </c>
      <c r="AF97" s="500">
        <f>-SUMPRODUCT('EE Measures'!BM$8:BM$86,'EE Measures'!$P$8:$P$86,'EE Measures'!$AK$8:$AK$86,'EE Measures'!$II$8:$II$86)+AF93</f>
        <v>1245.7702176009716</v>
      </c>
      <c r="AG97" s="500">
        <f>-SUMPRODUCT('EE Measures'!BN$8:BN$86,'EE Measures'!$P$8:$P$86,'EE Measures'!$AK$8:$AK$86,'EE Measures'!$II$8:$II$86)+AG93</f>
        <v>1227.1039693464875</v>
      </c>
      <c r="AH97" s="500">
        <f>-SUMPRODUCT('EE Measures'!BO$8:BO$86,'EE Measures'!$P$8:$P$86,'EE Measures'!$AK$8:$AK$86,'EE Measures'!$II$8:$II$86)+AH93</f>
        <v>1209.1233947321718</v>
      </c>
      <c r="AI97" s="500">
        <f>-SUMPRODUCT('EE Measures'!BP$8:BP$86,'EE Measures'!$P$8:$P$86,'EE Measures'!$AK$8:$AK$86,'EE Measures'!$II$8:$II$86)+AI93</f>
        <v>1191.4852050167021</v>
      </c>
      <c r="AJ97" s="500">
        <f>-SUMPRODUCT('EE Measures'!BQ$8:BQ$86,'EE Measures'!$P$8:$P$86,'EE Measures'!$AK$8:$AK$86,'EE Measures'!$II$8:$II$86)+AJ93</f>
        <v>1174.1904727704205</v>
      </c>
      <c r="AK97" s="500">
        <f>-SUMPRODUCT('EE Measures'!BR$8:BR$86,'EE Measures'!$P$8:$P$86,'EE Measures'!$AK$8:$AK$86,'EE Measures'!$II$8:$II$86)+AK93</f>
        <v>1157.2403799062977</v>
      </c>
      <c r="AL97" s="500">
        <f>-SUMPRODUCT('EE Measures'!BS$8:BS$86,'EE Measures'!$P$8:$P$86,'EE Measures'!$AK$8:$AK$86,'EE Measures'!$II$8:$II$86)+AL93</f>
        <v>1140.6362180012875</v>
      </c>
      <c r="AM97" s="500">
        <f>-SUMPRODUCT('EE Measures'!BT$8:BT$86,'EE Measures'!$P$8:$P$86,'EE Measures'!$AK$8:$AK$86,'EE Measures'!$II$8:$II$86)+AM93</f>
        <v>1124.3793886569208</v>
      </c>
      <c r="AN97" s="500">
        <f>-SUMPRODUCT('EE Measures'!BU$8:BU$86,'EE Measures'!$P$8:$P$86,'EE Measures'!$AK$8:$AK$86,'EE Measures'!$II$8:$II$86)+AN93</f>
        <v>1108.4714038992529</v>
      </c>
      <c r="AO97" s="500">
        <f>-SUMPRODUCT('EE Measures'!BV$8:BV$86,'EE Measures'!$P$8:$P$86,'EE Measures'!$AK$8:$AK$86,'EE Measures'!$II$8:$II$86)+AO93</f>
        <v>1092.8137338070228</v>
      </c>
    </row>
    <row r="98" spans="3:41" outlineLevel="1" x14ac:dyDescent="0.3">
      <c r="E98" s="628" t="str">
        <f>'EE Measures'!$IJ$6</f>
        <v>EET</v>
      </c>
      <c r="F98" s="1275">
        <f t="shared" si="295"/>
        <v>9.1704358749986076E-3</v>
      </c>
      <c r="G98" s="543">
        <f t="shared" si="296"/>
        <v>2.5394067659416093E-4</v>
      </c>
      <c r="H98" s="405">
        <f t="shared" si="297"/>
        <v>4.6957633024997762E-4</v>
      </c>
      <c r="I98" s="405">
        <f t="shared" si="298"/>
        <v>2.5054525082493831E-4</v>
      </c>
      <c r="J98" s="405">
        <f t="shared" si="299"/>
        <v>3.5873488912257169E-5</v>
      </c>
      <c r="K98" s="405">
        <f t="shared" si="300"/>
        <v>1.5550244473551014E-2</v>
      </c>
      <c r="L98" s="405">
        <f t="shared" si="301"/>
        <v>1.5376936709178227E-2</v>
      </c>
      <c r="M98" s="405">
        <f t="shared" si="302"/>
        <v>1.5204182180136559E-2</v>
      </c>
      <c r="N98" s="405">
        <f t="shared" si="303"/>
        <v>1.5028500897951051E-2</v>
      </c>
      <c r="O98" s="405">
        <f t="shared" si="304"/>
        <v>1.4853969678153757E-2</v>
      </c>
      <c r="P98" s="405">
        <f t="shared" si="305"/>
        <v>1.4680589064434129E-2</v>
      </c>
      <c r="Q98" s="405">
        <f t="shared" si="306"/>
        <v>1.4508360026698379E-2</v>
      </c>
      <c r="R98" s="405">
        <f t="shared" si="307"/>
        <v>1.4337283935326467E-2</v>
      </c>
      <c r="S98" s="405">
        <f t="shared" si="308"/>
        <v>1.4167362535311326E-2</v>
      </c>
      <c r="T98" s="405">
        <f t="shared" si="309"/>
        <v>1.3998597920326799E-2</v>
      </c>
      <c r="U98" s="405">
        <f t="shared" si="310"/>
        <v>1.3903917677344129E-2</v>
      </c>
      <c r="V98"/>
      <c r="W98"/>
      <c r="Y98" s="628" t="str">
        <f>'EE Measures'!$IJ$6</f>
        <v>EET</v>
      </c>
      <c r="Z98" s="898"/>
      <c r="AA98" s="500">
        <f>-SUMPRODUCT('EE Measures'!BH$8:BH$86,'EE Measures'!$P$8:$P$86,'EE Measures'!$AK$8:$AK$86,'EE Measures'!$IJ$8:$IJ$86)+AA93</f>
        <v>1273.5552071802451</v>
      </c>
      <c r="AB98" s="500">
        <f>-SUMPRODUCT('EE Measures'!BI$8:BI$86,'EE Measures'!$P$8:$P$86,'EE Measures'!$AK$8:$AK$86,'EE Measures'!$IJ$8:$IJ$86)+AB93</f>
        <v>1272.3238344013942</v>
      </c>
      <c r="AC98" s="500">
        <f>-SUMPRODUCT('EE Measures'!BJ$8:BJ$86,'EE Measures'!$P$8:$P$86,'EE Measures'!$AK$8:$AK$86,'EE Measures'!$IJ$8:$IJ$86)+AC93</f>
        <v>1278.0180000189582</v>
      </c>
      <c r="AD98" s="500">
        <f>-SUMPRODUCT('EE Measures'!BK$8:BK$86,'EE Measures'!$P$8:$P$86,'EE Measures'!$AK$8:$AK$86,'EE Measures'!$IJ$8:$IJ$86)+AD93</f>
        <v>1284.23776744831</v>
      </c>
      <c r="AE98" s="500">
        <f>-SUMPRODUCT('EE Measures'!BL$8:BL$86,'EE Measures'!$P$8:$P$86,'EE Measures'!$AK$8:$AK$86,'EE Measures'!$IJ$8:$IJ$86)+AE93</f>
        <v>1270.6665385134943</v>
      </c>
      <c r="AF98" s="500">
        <f>-SUMPRODUCT('EE Measures'!BM$8:BM$86,'EE Measures'!$P$8:$P$86,'EE Measures'!$AK$8:$AK$86,'EE Measures'!$IJ$8:$IJ$86)+AF93</f>
        <v>1257.4729136315664</v>
      </c>
      <c r="AG98" s="500">
        <f>-SUMPRODUCT('EE Measures'!BN$8:BN$86,'EE Measures'!$P$8:$P$86,'EE Measures'!$AK$8:$AK$86,'EE Measures'!$IJ$8:$IJ$86)+AG93</f>
        <v>1244.6580133923796</v>
      </c>
      <c r="AH98" s="500">
        <f>-SUMPRODUCT('EE Measures'!BO$8:BO$86,'EE Measures'!$P$8:$P$86,'EE Measures'!$AK$8:$AK$86,'EE Measures'!$IJ$8:$IJ$86)+AH93</f>
        <v>1232.5287867933614</v>
      </c>
      <c r="AI98" s="500">
        <f>-SUMPRODUCT('EE Measures'!BP$8:BP$86,'EE Measures'!$P$8:$P$86,'EE Measures'!$AK$8:$AK$86,'EE Measures'!$IJ$8:$IJ$86)+AI93</f>
        <v>1220.7419450931889</v>
      </c>
      <c r="AJ98" s="500">
        <f>-SUMPRODUCT('EE Measures'!BQ$8:BQ$86,'EE Measures'!$P$8:$P$86,'EE Measures'!$AK$8:$AK$86,'EE Measures'!$IJ$8:$IJ$86)+AJ93</f>
        <v>1209.2985608622048</v>
      </c>
      <c r="AK98" s="500">
        <f>-SUMPRODUCT('EE Measures'!BR$8:BR$86,'EE Measures'!$P$8:$P$86,'EE Measures'!$AK$8:$AK$86,'EE Measures'!$IJ$8:$IJ$86)+AK93</f>
        <v>1198.1998160133792</v>
      </c>
      <c r="AL98" s="500">
        <f>-SUMPRODUCT('EE Measures'!BS$8:BS$86,'EE Measures'!$P$8:$P$86,'EE Measures'!$AK$8:$AK$86,'EE Measures'!$IJ$8:$IJ$86)+AL93</f>
        <v>1187.4470021236664</v>
      </c>
      <c r="AM98" s="500">
        <f>-SUMPRODUCT('EE Measures'!BT$8:BT$86,'EE Measures'!$P$8:$P$86,'EE Measures'!$AK$8:$AK$86,'EE Measures'!$IJ$8:$IJ$86)+AM93</f>
        <v>1177.0415207945973</v>
      </c>
      <c r="AN98" s="500">
        <f>-SUMPRODUCT('EE Measures'!BU$8:BU$86,'EE Measures'!$P$8:$P$86,'EE Measures'!$AK$8:$AK$86,'EE Measures'!$IJ$8:$IJ$86)+AN93</f>
        <v>1166.9848840522266</v>
      </c>
      <c r="AO98" s="500">
        <f>-SUMPRODUCT('EE Measures'!BV$8:BV$86,'EE Measures'!$P$8:$P$86,'EE Measures'!$AK$8:$AK$86,'EE Measures'!$IJ$8:$IJ$86)+AO93</f>
        <v>1157.1785619752941</v>
      </c>
    </row>
    <row r="99" spans="3:41" outlineLevel="1" x14ac:dyDescent="0.3">
      <c r="E99" s="628" t="str">
        <f>'EE Measures'!$IK$6</f>
        <v>CEER1</v>
      </c>
      <c r="F99" s="1275">
        <f t="shared" si="295"/>
        <v>1.1124905756411667E-2</v>
      </c>
      <c r="G99" s="543">
        <f t="shared" si="296"/>
        <v>2.5394067659416093E-4</v>
      </c>
      <c r="H99" s="405">
        <f t="shared" si="297"/>
        <v>4.6957633024997762E-4</v>
      </c>
      <c r="I99" s="405">
        <f t="shared" si="298"/>
        <v>2.5054525082493831E-4</v>
      </c>
      <c r="J99" s="405">
        <f t="shared" si="299"/>
        <v>3.5873488912257169E-5</v>
      </c>
      <c r="K99" s="405">
        <f t="shared" si="300"/>
        <v>1.8853027371273968E-2</v>
      </c>
      <c r="L99" s="405">
        <f t="shared" si="301"/>
        <v>1.8662483013286192E-2</v>
      </c>
      <c r="M99" s="405">
        <f t="shared" si="302"/>
        <v>1.8472016650175761E-2</v>
      </c>
      <c r="N99" s="405">
        <f t="shared" si="303"/>
        <v>1.8277401398215893E-2</v>
      </c>
      <c r="O99" s="405">
        <f t="shared" si="304"/>
        <v>1.8083593064095647E-2</v>
      </c>
      <c r="P99" s="405">
        <f t="shared" si="305"/>
        <v>1.7890600320487879E-2</v>
      </c>
      <c r="Q99" s="405">
        <f t="shared" si="306"/>
        <v>1.7698432456387757E-2</v>
      </c>
      <c r="R99" s="405">
        <f t="shared" si="307"/>
        <v>1.7507099341454061E-2</v>
      </c>
      <c r="S99" s="405">
        <f t="shared" si="308"/>
        <v>1.7316611389988606E-2</v>
      </c>
      <c r="T99" s="405">
        <f t="shared" si="309"/>
        <v>1.7126979524635402E-2</v>
      </c>
      <c r="U99" s="405">
        <f t="shared" si="310"/>
        <v>1.7011140310438311E-2</v>
      </c>
      <c r="V99"/>
      <c r="W99"/>
      <c r="Y99" s="628" t="str">
        <f>'EE Measures'!$IK$6</f>
        <v>CEER1</v>
      </c>
      <c r="Z99" s="898"/>
      <c r="AA99" s="500">
        <f>-SUMPRODUCT('EE Measures'!BH$8:BH$86,'EE Measures'!$P$8:$P$86,'EE Measures'!$AK$8:$AK$86,'EE Measures'!$IK$8:$IK$86)+AA93</f>
        <v>1273.5552071802451</v>
      </c>
      <c r="AB99" s="500">
        <f>-SUMPRODUCT('EE Measures'!BI$8:BI$86,'EE Measures'!$P$8:$P$86,'EE Measures'!$AK$8:$AK$86,'EE Measures'!$IK$8:$IK$86)+AB93</f>
        <v>1272.3238344013942</v>
      </c>
      <c r="AC99" s="500">
        <f>-SUMPRODUCT('EE Measures'!BJ$8:BJ$86,'EE Measures'!$P$8:$P$86,'EE Measures'!$AK$8:$AK$86,'EE Measures'!$IK$8:$IK$86)+AC93</f>
        <v>1278.0180000189582</v>
      </c>
      <c r="AD99" s="500">
        <f>-SUMPRODUCT('EE Measures'!BK$8:BK$86,'EE Measures'!$P$8:$P$86,'EE Measures'!$AK$8:$AK$86,'EE Measures'!$IK$8:$IK$86)+AD93</f>
        <v>1284.23776744831</v>
      </c>
      <c r="AE99" s="500">
        <f>-SUMPRODUCT('EE Measures'!BL$8:BL$86,'EE Measures'!$P$8:$P$86,'EE Measures'!$AK$8:$AK$86,'EE Measures'!$IK$8:$IK$86)+AE93</f>
        <v>1266.399190498197</v>
      </c>
      <c r="AF99" s="500">
        <f>-SUMPRODUCT('EE Measures'!BM$8:BM$86,'EE Measures'!$P$8:$P$86,'EE Measures'!$AK$8:$AK$86,'EE Measures'!$IK$8:$IK$86)+AF93</f>
        <v>1248.9382176009717</v>
      </c>
      <c r="AG99" s="500">
        <f>-SUMPRODUCT('EE Measures'!BN$8:BN$86,'EE Measures'!$P$8:$P$86,'EE Measures'!$AK$8:$AK$86,'EE Measures'!$IK$8:$IK$86)+AG93</f>
        <v>1231.8559693464874</v>
      </c>
      <c r="AH99" s="500">
        <f>-SUMPRODUCT('EE Measures'!BO$8:BO$86,'EE Measures'!$P$8:$P$86,'EE Measures'!$AK$8:$AK$86,'EE Measures'!$IK$8:$IK$86)+AH93</f>
        <v>1215.4593947321719</v>
      </c>
      <c r="AI99" s="500">
        <f>-SUMPRODUCT('EE Measures'!BP$8:BP$86,'EE Measures'!$P$8:$P$86,'EE Measures'!$AK$8:$AK$86,'EE Measures'!$IK$8:$IK$86)+AI93</f>
        <v>1199.405205016702</v>
      </c>
      <c r="AJ99" s="500">
        <f>-SUMPRODUCT('EE Measures'!BQ$8:BQ$86,'EE Measures'!$P$8:$P$86,'EE Measures'!$AK$8:$AK$86,'EE Measures'!$IK$8:$IK$86)+AJ93</f>
        <v>1183.6944727704204</v>
      </c>
      <c r="AK99" s="500">
        <f>-SUMPRODUCT('EE Measures'!BR$8:BR$86,'EE Measures'!$P$8:$P$86,'EE Measures'!$AK$8:$AK$86,'EE Measures'!$IK$8:$IK$86)+AK93</f>
        <v>1168.3283799062976</v>
      </c>
      <c r="AL99" s="500">
        <f>-SUMPRODUCT('EE Measures'!BS$8:BS$86,'EE Measures'!$P$8:$P$86,'EE Measures'!$AK$8:$AK$86,'EE Measures'!$IK$8:$IK$86)+AL93</f>
        <v>1153.3082180012875</v>
      </c>
      <c r="AM99" s="500">
        <f>-SUMPRODUCT('EE Measures'!BT$8:BT$86,'EE Measures'!$P$8:$P$86,'EE Measures'!$AK$8:$AK$86,'EE Measures'!$IK$8:$IK$86)+AM93</f>
        <v>1138.6353886569209</v>
      </c>
      <c r="AN99" s="500">
        <f>-SUMPRODUCT('EE Measures'!BU$8:BU$86,'EE Measures'!$P$8:$P$86,'EE Measures'!$AK$8:$AK$86,'EE Measures'!$IK$8:$IK$86)+AN93</f>
        <v>1124.3114038992528</v>
      </c>
      <c r="AO99" s="500">
        <f>-SUMPRODUCT('EE Measures'!BV$8:BV$86,'EE Measures'!$P$8:$P$86,'EE Measures'!$AK$8:$AK$86,'EE Measures'!$IK$8:$IK$86)+AO93</f>
        <v>1110.237733807023</v>
      </c>
    </row>
    <row r="100" spans="3:41" outlineLevel="1" x14ac:dyDescent="0.3">
      <c r="E100" s="628" t="str">
        <f>'EE Measures'!$IL$6</f>
        <v>CEER2</v>
      </c>
      <c r="F100" s="1275">
        <f t="shared" si="295"/>
        <v>1.623956302475188E-2</v>
      </c>
      <c r="G100" s="543">
        <f t="shared" si="296"/>
        <v>2.5394067659416093E-4</v>
      </c>
      <c r="H100" s="405">
        <f t="shared" si="297"/>
        <v>4.6957633024997762E-4</v>
      </c>
      <c r="I100" s="405">
        <f t="shared" si="298"/>
        <v>2.5054525082493831E-4</v>
      </c>
      <c r="J100" s="405">
        <f t="shared" si="299"/>
        <v>3.5873488912257169E-5</v>
      </c>
      <c r="K100" s="405">
        <f t="shared" si="300"/>
        <v>2.7720233905955485E-2</v>
      </c>
      <c r="L100" s="405">
        <f t="shared" si="301"/>
        <v>2.7391259283155878E-2</v>
      </c>
      <c r="M100" s="405">
        <f t="shared" si="302"/>
        <v>2.7063877519010602E-2</v>
      </c>
      <c r="N100" s="405">
        <f t="shared" si="303"/>
        <v>2.6731893051462445E-2</v>
      </c>
      <c r="O100" s="405">
        <f t="shared" si="304"/>
        <v>2.6402559902253205E-2</v>
      </c>
      <c r="P100" s="405">
        <f t="shared" si="305"/>
        <v>2.6075870839099839E-2</v>
      </c>
      <c r="Q100" s="405">
        <f t="shared" si="306"/>
        <v>2.5751819287586332E-2</v>
      </c>
      <c r="R100" s="405">
        <f t="shared" si="307"/>
        <v>2.543039928983162E-2</v>
      </c>
      <c r="S100" s="405">
        <f t="shared" si="308"/>
        <v>2.5111605463158753E-2</v>
      </c>
      <c r="T100" s="405">
        <f t="shared" si="309"/>
        <v>2.4795432958847136E-2</v>
      </c>
      <c r="U100" s="405">
        <f t="shared" si="310"/>
        <v>2.4627727762172029E-2</v>
      </c>
      <c r="V100"/>
      <c r="W100"/>
      <c r="Y100" s="628" t="str">
        <f>'EE Measures'!$IL$6</f>
        <v>CEER2</v>
      </c>
      <c r="Z100" s="898"/>
      <c r="AA100" s="500">
        <f>-SUMPRODUCT('EE Measures'!BH$8:BH$86,'EE Measures'!$P$8:$P$86,'EE Measures'!$AK$8:$AK$86,'EE Measures'!$IL$8:$IL$86)+AA93</f>
        <v>1273.5552071802451</v>
      </c>
      <c r="AB100" s="500">
        <f>-SUMPRODUCT('EE Measures'!BI$8:BI$86,'EE Measures'!$P$8:$P$86,'EE Measures'!$AK$8:$AK$86,'EE Measures'!$IL$8:$IL$86)+AB93</f>
        <v>1272.3238344013942</v>
      </c>
      <c r="AC100" s="500">
        <f>-SUMPRODUCT('EE Measures'!BJ$8:BJ$86,'EE Measures'!$P$8:$P$86,'EE Measures'!$AK$8:$AK$86,'EE Measures'!$IL$8:$IL$86)+AC93</f>
        <v>1278.0180000189582</v>
      </c>
      <c r="AD100" s="500">
        <f>-SUMPRODUCT('EE Measures'!BK$8:BK$86,'EE Measures'!$P$8:$P$86,'EE Measures'!$AK$8:$AK$86,'EE Measures'!$IL$8:$IL$86)+AD93</f>
        <v>1284.23776744831</v>
      </c>
      <c r="AE100" s="500">
        <f>-SUMPRODUCT('EE Measures'!BL$8:BL$86,'EE Measures'!$P$8:$P$86,'EE Measures'!$AK$8:$AK$86,'EE Measures'!$IL$8:$IL$86)+AE93</f>
        <v>1254.9423501975243</v>
      </c>
      <c r="AF100" s="500">
        <f>-SUMPRODUCT('EE Measures'!BM$8:BM$86,'EE Measures'!$P$8:$P$86,'EE Measures'!$AK$8:$AK$86,'EE Measures'!$IL$8:$IL$86)+AF93</f>
        <v>1226.1442288800713</v>
      </c>
      <c r="AG100" s="500">
        <f>-SUMPRODUCT('EE Measures'!BN$8:BN$86,'EE Measures'!$P$8:$P$86,'EE Measures'!$AK$8:$AK$86,'EE Measures'!$IL$8:$IL$86)+AG93</f>
        <v>1197.8421771861872</v>
      </c>
      <c r="AH100" s="500">
        <f>-SUMPRODUCT('EE Measures'!BO$8:BO$86,'EE Measures'!$P$8:$P$86,'EE Measures'!$AK$8:$AK$86,'EE Measures'!$IL$8:$IL$86)+AH93</f>
        <v>1170.3408432313229</v>
      </c>
      <c r="AI100" s="500">
        <f>-SUMPRODUCT('EE Measures'!BP$8:BP$86,'EE Measures'!$P$8:$P$86,'EE Measures'!$AK$8:$AK$86,'EE Measures'!$IL$8:$IL$86)+AI93</f>
        <v>1143.2946825075112</v>
      </c>
      <c r="AJ100" s="500">
        <f>-SUMPRODUCT('EE Measures'!BQ$8:BQ$86,'EE Measures'!$P$8:$P$86,'EE Measures'!$AK$8:$AK$86,'EE Measures'!$IL$8:$IL$86)+AJ93</f>
        <v>1116.7025560491691</v>
      </c>
      <c r="AK100" s="500">
        <f>-SUMPRODUCT('EE Measures'!BR$8:BR$86,'EE Measures'!$P$8:$P$86,'EE Measures'!$AK$8:$AK$86,'EE Measures'!$IL$8:$IL$86)+AK93</f>
        <v>1090.5634775967908</v>
      </c>
      <c r="AL100" s="500">
        <f>-SUMPRODUCT('EE Measures'!BS$8:BS$86,'EE Measures'!$P$8:$P$86,'EE Measures'!$AK$8:$AK$86,'EE Measures'!$IL$8:$IL$86)+AL93</f>
        <v>1064.8766130680401</v>
      </c>
      <c r="AM100" s="500">
        <f>-SUMPRODUCT('EE Measures'!BT$8:BT$86,'EE Measures'!$P$8:$P$86,'EE Measures'!$AK$8:$AK$86,'EE Measures'!$IL$8:$IL$86)+AM93</f>
        <v>1039.6412800847518</v>
      </c>
      <c r="AN100" s="500">
        <f>-SUMPRODUCT('EE Measures'!BU$8:BU$86,'EE Measures'!$P$8:$P$86,'EE Measures'!$AK$8:$AK$86,'EE Measures'!$IL$8:$IL$86)+AN93</f>
        <v>1014.8569475556309</v>
      </c>
      <c r="AO100" s="500">
        <f>-SUMPRODUCT('EE Measures'!BV$8:BV$86,'EE Measures'!$P$8:$P$86,'EE Measures'!$AK$8:$AK$86,'EE Measures'!$IL$8:$IL$86)+AO93</f>
        <v>990.32292969194827</v>
      </c>
    </row>
    <row r="101" spans="3:41" outlineLevel="1" x14ac:dyDescent="0.3">
      <c r="V101"/>
      <c r="W101"/>
    </row>
    <row r="102" spans="3:41" outlineLevel="1" x14ac:dyDescent="0.3">
      <c r="V102"/>
      <c r="W102"/>
    </row>
    <row r="103" spans="3:41" outlineLevel="1" x14ac:dyDescent="0.3">
      <c r="V103"/>
      <c r="W103"/>
    </row>
    <row r="104" spans="3:41" ht="22.5" customHeight="1" outlineLevel="1" x14ac:dyDescent="0.3">
      <c r="V104"/>
      <c r="W104"/>
    </row>
    <row r="105" spans="3:41" ht="15" outlineLevel="1" x14ac:dyDescent="0.3">
      <c r="C105" s="5" t="s">
        <v>397</v>
      </c>
      <c r="D105" s="5"/>
      <c r="E105" s="5"/>
      <c r="F105" s="5"/>
      <c r="G105" s="5"/>
      <c r="H105" s="5"/>
      <c r="I105" s="5"/>
      <c r="J105" s="5"/>
      <c r="K105" s="5"/>
      <c r="L105" s="5"/>
      <c r="M105" s="5"/>
      <c r="N105" s="5"/>
      <c r="O105" s="5"/>
      <c r="P105" s="5"/>
      <c r="Q105" s="5"/>
      <c r="R105" s="5"/>
      <c r="S105" s="5"/>
      <c r="T105" s="5"/>
      <c r="U105" s="5"/>
      <c r="W105"/>
      <c r="X105"/>
      <c r="Y105" s="5" t="s">
        <v>381</v>
      </c>
      <c r="Z105" s="5"/>
      <c r="AA105" s="5"/>
      <c r="AB105" s="5"/>
      <c r="AC105" s="5"/>
      <c r="AD105" s="5"/>
      <c r="AE105" s="5"/>
      <c r="AF105" s="5"/>
      <c r="AG105" s="5"/>
      <c r="AH105" s="5"/>
      <c r="AI105" s="5"/>
      <c r="AJ105" s="5"/>
      <c r="AK105" s="5"/>
      <c r="AL105" s="5"/>
      <c r="AM105" s="5"/>
      <c r="AN105" s="5"/>
      <c r="AO105" s="5"/>
    </row>
    <row r="106" spans="3:41" outlineLevel="1" x14ac:dyDescent="0.3">
      <c r="E106"/>
      <c r="F106"/>
      <c r="G106"/>
      <c r="H106" s="56"/>
      <c r="I106"/>
      <c r="J106"/>
      <c r="K106"/>
      <c r="L106"/>
      <c r="M106"/>
      <c r="N106"/>
      <c r="O106"/>
      <c r="P106"/>
      <c r="Q106"/>
      <c r="R106"/>
      <c r="S106"/>
      <c r="T106"/>
      <c r="U106"/>
      <c r="W106"/>
      <c r="AB106" s="56" t="s">
        <v>384</v>
      </c>
    </row>
    <row r="107" spans="3:41" ht="27" outlineLevel="1" x14ac:dyDescent="0.3">
      <c r="E107" s="625"/>
      <c r="F107" s="625" t="s">
        <v>386</v>
      </c>
      <c r="G107" s="625">
        <v>2021</v>
      </c>
      <c r="H107" s="625">
        <v>2022</v>
      </c>
      <c r="I107" s="625">
        <v>2023</v>
      </c>
      <c r="J107" s="625">
        <v>2024</v>
      </c>
      <c r="K107" s="625">
        <v>2025</v>
      </c>
      <c r="L107" s="625">
        <v>2026</v>
      </c>
      <c r="M107" s="625">
        <v>2027</v>
      </c>
      <c r="N107" s="625">
        <v>2028</v>
      </c>
      <c r="O107" s="625">
        <v>2029</v>
      </c>
      <c r="P107" s="625">
        <v>2030</v>
      </c>
      <c r="Q107" s="625">
        <v>2031</v>
      </c>
      <c r="R107" s="625">
        <v>2032</v>
      </c>
      <c r="S107" s="625">
        <v>2033</v>
      </c>
      <c r="T107" s="625">
        <v>2034</v>
      </c>
      <c r="U107" s="625">
        <v>2035</v>
      </c>
      <c r="W107"/>
      <c r="Y107" s="625"/>
      <c r="Z107" s="625" t="s">
        <v>386</v>
      </c>
      <c r="AA107" s="625">
        <v>2021</v>
      </c>
      <c r="AB107" s="625">
        <v>2022</v>
      </c>
      <c r="AC107" s="625">
        <v>2023</v>
      </c>
      <c r="AD107" s="625">
        <v>2024</v>
      </c>
      <c r="AE107" s="625">
        <v>2025</v>
      </c>
      <c r="AF107" s="625">
        <v>2026</v>
      </c>
      <c r="AG107" s="625">
        <v>2027</v>
      </c>
      <c r="AH107" s="625">
        <v>2028</v>
      </c>
      <c r="AI107" s="625">
        <v>2029</v>
      </c>
      <c r="AJ107" s="625">
        <v>2030</v>
      </c>
      <c r="AK107" s="625">
        <v>2031</v>
      </c>
      <c r="AL107" s="625">
        <v>2032</v>
      </c>
      <c r="AM107" s="625">
        <v>2033</v>
      </c>
      <c r="AN107" s="625">
        <v>2034</v>
      </c>
      <c r="AO107" s="625">
        <v>2035</v>
      </c>
    </row>
    <row r="108" spans="3:41" outlineLevel="1" x14ac:dyDescent="0.3">
      <c r="E108" s="628" t="s">
        <v>345</v>
      </c>
      <c r="F108" s="592">
        <f>SUM(G108:P108)</f>
        <v>98415.632528303395</v>
      </c>
      <c r="G108" s="593">
        <f>Baseline!AC1121</f>
        <v>9470.8333333333339</v>
      </c>
      <c r="H108" s="593">
        <f>Baseline!AD1121</f>
        <v>9548.8192047325101</v>
      </c>
      <c r="I108" s="593">
        <f>Baseline!AE1121</f>
        <v>9628.4416870261302</v>
      </c>
      <c r="J108" s="593">
        <f>Baseline!AF1121</f>
        <v>9709.7076627134629</v>
      </c>
      <c r="K108" s="593">
        <f>Baseline!AG1121</f>
        <v>9792.6243971367294</v>
      </c>
      <c r="L108" s="593">
        <f>Baseline!AH1121</f>
        <v>9877.1995378133852</v>
      </c>
      <c r="M108" s="593">
        <f>Baseline!AI1121</f>
        <v>9963.4411138822397</v>
      </c>
      <c r="N108" s="593">
        <f>Baseline!AJ1121</f>
        <v>10051.357535662608</v>
      </c>
      <c r="O108" s="593">
        <f>Baseline!AK1121</f>
        <v>10140.957594325679</v>
      </c>
      <c r="P108" s="593">
        <f>Baseline!AL1121</f>
        <v>10232.250461677304</v>
      </c>
      <c r="Q108" s="593">
        <f>Baseline!AM1121</f>
        <v>10325.245690051506</v>
      </c>
      <c r="R108" s="593">
        <f>Baseline!AN1121</f>
        <v>10419.953212314016</v>
      </c>
      <c r="S108" s="593">
        <f>Baseline!AO1121</f>
        <v>10516.383341975135</v>
      </c>
      <c r="T108" s="593">
        <f>Baseline!AP1121</f>
        <v>10614.546773411368</v>
      </c>
      <c r="U108" s="593">
        <f>Baseline!AQ1121</f>
        <v>10714.454582195203</v>
      </c>
      <c r="W108"/>
      <c r="Y108" s="563"/>
    </row>
    <row r="109" spans="3:41" outlineLevel="1" x14ac:dyDescent="0.3">
      <c r="D109" s="873"/>
      <c r="E109" s="628" t="str">
        <f>'EE Measures'!$IF$6</f>
        <v>Baseline</v>
      </c>
      <c r="F109" s="592">
        <f t="shared" ref="F109:F115" si="311">SUM(G109:P109)</f>
        <v>97270.493426948757</v>
      </c>
      <c r="G109" s="500">
        <f t="shared" ref="G109:P109" si="312">G$108+AA109</f>
        <v>9459.9144746772326</v>
      </c>
      <c r="H109" s="500">
        <f t="shared" si="312"/>
        <v>9529.0936641749977</v>
      </c>
      <c r="I109" s="500">
        <f t="shared" si="312"/>
        <v>9602.6523385373494</v>
      </c>
      <c r="J109" s="500">
        <f t="shared" si="312"/>
        <v>9592.9207387283004</v>
      </c>
      <c r="K109" s="500">
        <f t="shared" si="312"/>
        <v>9631.1786012191824</v>
      </c>
      <c r="L109" s="500">
        <f t="shared" si="312"/>
        <v>9715.5436166614563</v>
      </c>
      <c r="M109" s="500">
        <f t="shared" si="312"/>
        <v>9801.5705394588767</v>
      </c>
      <c r="N109" s="500">
        <f t="shared" si="312"/>
        <v>9889.2676992922588</v>
      </c>
      <c r="O109" s="500">
        <f t="shared" si="312"/>
        <v>9978.6438058056046</v>
      </c>
      <c r="P109" s="500">
        <f t="shared" si="312"/>
        <v>10069.707948393492</v>
      </c>
      <c r="Q109" s="500">
        <f t="shared" ref="Q109:U115" si="313">Q$108+AK109</f>
        <v>10162.469596099056</v>
      </c>
      <c r="R109" s="500">
        <f t="shared" si="313"/>
        <v>10256.938597621809</v>
      </c>
      <c r="S109" s="500">
        <f t="shared" si="313"/>
        <v>10353.125181434549</v>
      </c>
      <c r="T109" s="500">
        <f t="shared" si="313"/>
        <v>10451.039956008733</v>
      </c>
      <c r="U109" s="500">
        <f t="shared" si="313"/>
        <v>10550.693910147644</v>
      </c>
      <c r="W109"/>
      <c r="Y109" s="555" t="str">
        <f>'EE Measures'!$IF$6</f>
        <v>Baseline</v>
      </c>
      <c r="Z109" s="898">
        <f>Z19</f>
        <v>-1145.1391013546304</v>
      </c>
      <c r="AA109" s="898">
        <f t="shared" ref="AA109:AJ109" si="314">AA19</f>
        <v>-10.918858656101667</v>
      </c>
      <c r="AB109" s="898">
        <f t="shared" si="314"/>
        <v>-19.725540557512307</v>
      </c>
      <c r="AC109" s="898">
        <f t="shared" si="314"/>
        <v>-25.789348488780877</v>
      </c>
      <c r="AD109" s="898">
        <f t="shared" si="314"/>
        <v>-116.78692398516178</v>
      </c>
      <c r="AE109" s="898">
        <f t="shared" si="314"/>
        <v>-161.44579591754783</v>
      </c>
      <c r="AF109" s="898">
        <f t="shared" si="314"/>
        <v>-161.65592115192959</v>
      </c>
      <c r="AG109" s="898">
        <f t="shared" si="314"/>
        <v>-161.87057442336331</v>
      </c>
      <c r="AH109" s="898">
        <f t="shared" si="314"/>
        <v>-162.08983637034865</v>
      </c>
      <c r="AI109" s="898">
        <f t="shared" si="314"/>
        <v>-162.31378852007333</v>
      </c>
      <c r="AJ109" s="898">
        <f t="shared" si="314"/>
        <v>-162.54251328381108</v>
      </c>
      <c r="AK109" s="898">
        <f t="shared" ref="AK109:AO109" si="315">AK19</f>
        <v>-162.77609395245</v>
      </c>
      <c r="AL109" s="898">
        <f t="shared" si="315"/>
        <v>-163.01461469220712</v>
      </c>
      <c r="AM109" s="898">
        <f t="shared" si="315"/>
        <v>-163.25816054058623</v>
      </c>
      <c r="AN109" s="898">
        <f t="shared" si="315"/>
        <v>-163.50681740263522</v>
      </c>
      <c r="AO109" s="898">
        <f t="shared" si="315"/>
        <v>-163.76067204755913</v>
      </c>
    </row>
    <row r="110" spans="3:41" outlineLevel="1" x14ac:dyDescent="0.3">
      <c r="D110" s="873"/>
      <c r="E110" s="628" t="str">
        <f>'EE Measures'!$IG$6</f>
        <v>EEO</v>
      </c>
      <c r="F110" s="592">
        <f t="shared" si="311"/>
        <v>95318.528264367516</v>
      </c>
      <c r="G110" s="500">
        <f t="shared" ref="G110:G115" si="316">G$108+AA110</f>
        <v>9441.2389775565716</v>
      </c>
      <c r="H110" s="500">
        <f t="shared" ref="H110:H115" si="317">H$108+AB110</f>
        <v>9505.036861474191</v>
      </c>
      <c r="I110" s="500">
        <f t="shared" ref="I110:I115" si="318">I$108+AC110</f>
        <v>9573.1060578300803</v>
      </c>
      <c r="J110" s="500">
        <f t="shared" ref="J110:J115" si="319">J$108+AD110</f>
        <v>9558.608009135005</v>
      </c>
      <c r="K110" s="500">
        <f t="shared" ref="K110:K115" si="320">K$108+AE110</f>
        <v>9517.5845669665305</v>
      </c>
      <c r="L110" s="500">
        <f t="shared" ref="L110:L115" si="321">L$108+AF110</f>
        <v>9560.6684454114038</v>
      </c>
      <c r="M110" s="500">
        <f t="shared" ref="M110:M115" si="322">M$108+AG110</f>
        <v>9467.800107029123</v>
      </c>
      <c r="N110" s="500">
        <f t="shared" ref="N110:N115" si="323">N$108+AH110</f>
        <v>9515.1217303209905</v>
      </c>
      <c r="O110" s="500">
        <f t="shared" ref="O110:O115" si="324">O$108+AI110</f>
        <v>9563.9897144645147</v>
      </c>
      <c r="P110" s="500">
        <f t="shared" ref="P110:P115" si="325">P$108+AJ110</f>
        <v>9615.3737941791187</v>
      </c>
      <c r="Q110" s="500">
        <f t="shared" si="313"/>
        <v>9686.7366053290916</v>
      </c>
      <c r="R110" s="500">
        <f t="shared" si="313"/>
        <v>9759.8067702962544</v>
      </c>
      <c r="S110" s="500">
        <f t="shared" si="313"/>
        <v>9834.5945175534034</v>
      </c>
      <c r="T110" s="500">
        <f t="shared" si="313"/>
        <v>9911.1104555719976</v>
      </c>
      <c r="U110" s="500">
        <f t="shared" si="313"/>
        <v>9989.3655731553172</v>
      </c>
      <c r="W110"/>
      <c r="Y110" s="628" t="str">
        <f>'EE Measures'!$IG$6</f>
        <v>EEO</v>
      </c>
      <c r="Z110" s="898">
        <f>Z25</f>
        <v>-3097.1042639358552</v>
      </c>
      <c r="AA110" s="898">
        <f t="shared" ref="AA110:AJ110" si="326">AA25</f>
        <v>-29.59435577676274</v>
      </c>
      <c r="AB110" s="898">
        <f t="shared" si="326"/>
        <v>-43.782343258319763</v>
      </c>
      <c r="AC110" s="898">
        <f t="shared" si="326"/>
        <v>-55.335629196049389</v>
      </c>
      <c r="AD110" s="898">
        <f t="shared" si="326"/>
        <v>-151.09965357845803</v>
      </c>
      <c r="AE110" s="898">
        <f t="shared" si="326"/>
        <v>-275.03983017019931</v>
      </c>
      <c r="AF110" s="898">
        <f t="shared" si="326"/>
        <v>-316.53109240198165</v>
      </c>
      <c r="AG110" s="898">
        <f t="shared" si="326"/>
        <v>-495.64100685311746</v>
      </c>
      <c r="AH110" s="898">
        <f t="shared" si="326"/>
        <v>-536.23580534161806</v>
      </c>
      <c r="AI110" s="898">
        <f t="shared" si="326"/>
        <v>-576.96787986116362</v>
      </c>
      <c r="AJ110" s="898">
        <f t="shared" si="326"/>
        <v>-616.87666749818516</v>
      </c>
      <c r="AK110" s="898">
        <f t="shared" ref="AK110:AO110" si="327">AK25</f>
        <v>-638.50908472241451</v>
      </c>
      <c r="AL110" s="898">
        <f t="shared" si="327"/>
        <v>-660.14644201776218</v>
      </c>
      <c r="AM110" s="898">
        <f t="shared" si="327"/>
        <v>-681.78882442173176</v>
      </c>
      <c r="AN110" s="898">
        <f t="shared" si="327"/>
        <v>-703.43631783937121</v>
      </c>
      <c r="AO110" s="898">
        <f t="shared" si="327"/>
        <v>-725.08900903988581</v>
      </c>
    </row>
    <row r="111" spans="3:41" outlineLevel="1" x14ac:dyDescent="0.3">
      <c r="D111" s="873"/>
      <c r="E111" s="628" t="s">
        <v>36</v>
      </c>
      <c r="F111" s="592">
        <f t="shared" si="311"/>
        <v>95318.528264367516</v>
      </c>
      <c r="G111" s="500">
        <f t="shared" si="316"/>
        <v>9441.2389775565716</v>
      </c>
      <c r="H111" s="500">
        <f t="shared" si="317"/>
        <v>9505.036861474191</v>
      </c>
      <c r="I111" s="500">
        <f t="shared" si="318"/>
        <v>9573.1060578300803</v>
      </c>
      <c r="J111" s="500">
        <f t="shared" si="319"/>
        <v>9558.608009135005</v>
      </c>
      <c r="K111" s="500">
        <f t="shared" si="320"/>
        <v>9517.5845669665305</v>
      </c>
      <c r="L111" s="500">
        <f t="shared" si="321"/>
        <v>9560.6684454114038</v>
      </c>
      <c r="M111" s="500">
        <f t="shared" si="322"/>
        <v>9467.800107029123</v>
      </c>
      <c r="N111" s="500">
        <f t="shared" si="323"/>
        <v>9515.1217303209905</v>
      </c>
      <c r="O111" s="500">
        <f t="shared" si="324"/>
        <v>9563.9897144645147</v>
      </c>
      <c r="P111" s="500">
        <f t="shared" si="325"/>
        <v>9615.3737941791187</v>
      </c>
      <c r="Q111" s="500">
        <f t="shared" si="313"/>
        <v>9686.7366053290916</v>
      </c>
      <c r="R111" s="500">
        <f t="shared" si="313"/>
        <v>9759.8067702962544</v>
      </c>
      <c r="S111" s="500">
        <f t="shared" si="313"/>
        <v>9834.5945175534034</v>
      </c>
      <c r="T111" s="500">
        <f t="shared" si="313"/>
        <v>9911.1104555719976</v>
      </c>
      <c r="U111" s="500">
        <f t="shared" si="313"/>
        <v>9989.3655731553172</v>
      </c>
      <c r="W111"/>
      <c r="Y111" s="628" t="s">
        <v>36</v>
      </c>
      <c r="Z111" s="898">
        <f>Z31</f>
        <v>-3097.1042639358552</v>
      </c>
      <c r="AA111" s="898">
        <f t="shared" ref="AA111:AJ111" si="328">AA31</f>
        <v>-29.59435577676274</v>
      </c>
      <c r="AB111" s="898">
        <f t="shared" si="328"/>
        <v>-43.782343258319763</v>
      </c>
      <c r="AC111" s="898">
        <f t="shared" si="328"/>
        <v>-55.335629196049389</v>
      </c>
      <c r="AD111" s="898">
        <f t="shared" si="328"/>
        <v>-151.09965357845803</v>
      </c>
      <c r="AE111" s="898">
        <f t="shared" si="328"/>
        <v>-275.03983017019931</v>
      </c>
      <c r="AF111" s="898">
        <f t="shared" si="328"/>
        <v>-316.53109240198165</v>
      </c>
      <c r="AG111" s="898">
        <f t="shared" si="328"/>
        <v>-495.64100685311746</v>
      </c>
      <c r="AH111" s="898">
        <f t="shared" si="328"/>
        <v>-536.23580534161806</v>
      </c>
      <c r="AI111" s="898">
        <f t="shared" si="328"/>
        <v>-576.96787986116362</v>
      </c>
      <c r="AJ111" s="898">
        <f t="shared" si="328"/>
        <v>-616.87666749818516</v>
      </c>
      <c r="AK111" s="898">
        <f t="shared" ref="AK111:AO111" si="329">AK31</f>
        <v>-638.50908472241451</v>
      </c>
      <c r="AL111" s="898">
        <f t="shared" si="329"/>
        <v>-660.14644201776218</v>
      </c>
      <c r="AM111" s="898">
        <f t="shared" si="329"/>
        <v>-681.78882442173176</v>
      </c>
      <c r="AN111" s="898">
        <f t="shared" si="329"/>
        <v>-703.43631783937121</v>
      </c>
      <c r="AO111" s="898">
        <f t="shared" si="329"/>
        <v>-725.08900903988581</v>
      </c>
    </row>
    <row r="112" spans="3:41" outlineLevel="1" x14ac:dyDescent="0.3">
      <c r="D112" s="873"/>
      <c r="E112" s="628" t="str">
        <f>'EE Measures'!$II$6</f>
        <v>Renowave</v>
      </c>
      <c r="F112" s="592">
        <f t="shared" si="311"/>
        <v>95318.528264367516</v>
      </c>
      <c r="G112" s="500">
        <f t="shared" si="316"/>
        <v>9441.2389775565716</v>
      </c>
      <c r="H112" s="500">
        <f t="shared" si="317"/>
        <v>9505.036861474191</v>
      </c>
      <c r="I112" s="500">
        <f t="shared" si="318"/>
        <v>9573.1060578300803</v>
      </c>
      <c r="J112" s="500">
        <f t="shared" si="319"/>
        <v>9558.608009135005</v>
      </c>
      <c r="K112" s="500">
        <f t="shared" si="320"/>
        <v>9517.5845669665305</v>
      </c>
      <c r="L112" s="500">
        <f t="shared" si="321"/>
        <v>9560.6684454114038</v>
      </c>
      <c r="M112" s="500">
        <f t="shared" si="322"/>
        <v>9467.800107029123</v>
      </c>
      <c r="N112" s="500">
        <f t="shared" si="323"/>
        <v>9515.1217303209905</v>
      </c>
      <c r="O112" s="500">
        <f t="shared" si="324"/>
        <v>9563.9897144645147</v>
      </c>
      <c r="P112" s="500">
        <f t="shared" si="325"/>
        <v>9615.3737941791187</v>
      </c>
      <c r="Q112" s="500">
        <f t="shared" si="313"/>
        <v>9686.7366053290916</v>
      </c>
      <c r="R112" s="500">
        <f t="shared" si="313"/>
        <v>9759.8067702962544</v>
      </c>
      <c r="S112" s="500">
        <f t="shared" si="313"/>
        <v>9834.5945175534034</v>
      </c>
      <c r="T112" s="500">
        <f t="shared" si="313"/>
        <v>9911.1104555719976</v>
      </c>
      <c r="U112" s="500">
        <f t="shared" si="313"/>
        <v>9989.3655731553172</v>
      </c>
      <c r="W112"/>
      <c r="Y112" s="628" t="str">
        <f>'EE Measures'!$II$6</f>
        <v>Renowave</v>
      </c>
      <c r="Z112" s="898">
        <f>Z37</f>
        <v>-3097.1042639358552</v>
      </c>
      <c r="AA112" s="898">
        <f t="shared" ref="AA112:AJ112" si="330">AA37</f>
        <v>-29.59435577676274</v>
      </c>
      <c r="AB112" s="898">
        <f t="shared" si="330"/>
        <v>-43.782343258319763</v>
      </c>
      <c r="AC112" s="898">
        <f t="shared" si="330"/>
        <v>-55.335629196049389</v>
      </c>
      <c r="AD112" s="898">
        <f t="shared" si="330"/>
        <v>-151.09965357845803</v>
      </c>
      <c r="AE112" s="898">
        <f t="shared" si="330"/>
        <v>-275.03983017019931</v>
      </c>
      <c r="AF112" s="898">
        <f t="shared" si="330"/>
        <v>-316.53109240198165</v>
      </c>
      <c r="AG112" s="898">
        <f t="shared" si="330"/>
        <v>-495.64100685311746</v>
      </c>
      <c r="AH112" s="898">
        <f t="shared" si="330"/>
        <v>-536.23580534161806</v>
      </c>
      <c r="AI112" s="898">
        <f t="shared" si="330"/>
        <v>-576.96787986116362</v>
      </c>
      <c r="AJ112" s="898">
        <f t="shared" si="330"/>
        <v>-616.87666749818516</v>
      </c>
      <c r="AK112" s="898">
        <f t="shared" ref="AK112:AO112" si="331">AK37</f>
        <v>-638.50908472241451</v>
      </c>
      <c r="AL112" s="898">
        <f t="shared" si="331"/>
        <v>-660.14644201776218</v>
      </c>
      <c r="AM112" s="898">
        <f t="shared" si="331"/>
        <v>-681.78882442173176</v>
      </c>
      <c r="AN112" s="898">
        <f t="shared" si="331"/>
        <v>-703.43631783937121</v>
      </c>
      <c r="AO112" s="898">
        <f t="shared" si="331"/>
        <v>-725.08900903988581</v>
      </c>
    </row>
    <row r="113" spans="3:60" outlineLevel="1" x14ac:dyDescent="0.3">
      <c r="D113" s="873"/>
      <c r="E113" s="628" t="str">
        <f>'EE Measures'!$IJ$6</f>
        <v>EET</v>
      </c>
      <c r="F113" s="592">
        <f t="shared" si="311"/>
        <v>89941.998465047436</v>
      </c>
      <c r="G113" s="500">
        <f t="shared" si="316"/>
        <v>9413.2257318755801</v>
      </c>
      <c r="H113" s="500">
        <f t="shared" si="317"/>
        <v>9468.9516574229783</v>
      </c>
      <c r="I113" s="500">
        <f t="shared" si="318"/>
        <v>9528.7866367691786</v>
      </c>
      <c r="J113" s="500">
        <f t="shared" si="319"/>
        <v>9507.1389147450609</v>
      </c>
      <c r="K113" s="500">
        <f t="shared" si="320"/>
        <v>9280.2529452314884</v>
      </c>
      <c r="L113" s="500">
        <f t="shared" si="321"/>
        <v>9215.4710611446553</v>
      </c>
      <c r="M113" s="500">
        <f t="shared" si="322"/>
        <v>8468.8713295127709</v>
      </c>
      <c r="N113" s="500">
        <f t="shared" si="323"/>
        <v>8409.6855909567585</v>
      </c>
      <c r="O113" s="500">
        <f t="shared" si="324"/>
        <v>8351.8473345099464</v>
      </c>
      <c r="P113" s="500">
        <f t="shared" si="325"/>
        <v>8297.7672628790187</v>
      </c>
      <c r="Q113" s="500">
        <f t="shared" si="313"/>
        <v>8334.6988732711106</v>
      </c>
      <c r="R113" s="500">
        <f t="shared" si="313"/>
        <v>8373.3378374803906</v>
      </c>
      <c r="S113" s="500">
        <f t="shared" si="313"/>
        <v>8413.6943839796604</v>
      </c>
      <c r="T113" s="500">
        <f t="shared" si="313"/>
        <v>8455.7791212403718</v>
      </c>
      <c r="U113" s="500">
        <f t="shared" si="313"/>
        <v>8499.6030380658121</v>
      </c>
      <c r="W113"/>
      <c r="Y113" s="628" t="str">
        <f>'EE Measures'!$IJ$6</f>
        <v>EET</v>
      </c>
      <c r="Z113" s="898">
        <f>Z43</f>
        <v>-8473.6340632559459</v>
      </c>
      <c r="AA113" s="898">
        <f t="shared" ref="AA113:AJ113" si="332">AA43</f>
        <v>-57.607601457754342</v>
      </c>
      <c r="AB113" s="898">
        <f t="shared" si="332"/>
        <v>-79.867547309530934</v>
      </c>
      <c r="AC113" s="898">
        <f t="shared" si="332"/>
        <v>-99.655050256952165</v>
      </c>
      <c r="AD113" s="898">
        <f t="shared" si="332"/>
        <v>-202.56874796840242</v>
      </c>
      <c r="AE113" s="898">
        <f t="shared" si="332"/>
        <v>-512.37145190524006</v>
      </c>
      <c r="AF113" s="898">
        <f t="shared" si="332"/>
        <v>-661.72847666872997</v>
      </c>
      <c r="AG113" s="898">
        <f t="shared" si="332"/>
        <v>-1494.5697843694693</v>
      </c>
      <c r="AH113" s="898">
        <f t="shared" si="332"/>
        <v>-1641.671944705849</v>
      </c>
      <c r="AI113" s="898">
        <f t="shared" si="332"/>
        <v>-1789.1102598157324</v>
      </c>
      <c r="AJ113" s="898">
        <f t="shared" si="332"/>
        <v>-1934.4831987982857</v>
      </c>
      <c r="AK113" s="898">
        <f t="shared" ref="AK113:AO113" si="333">AK43</f>
        <v>-1990.5468167803963</v>
      </c>
      <c r="AL113" s="898">
        <f t="shared" si="333"/>
        <v>-2046.6153748336249</v>
      </c>
      <c r="AM113" s="898">
        <f t="shared" si="333"/>
        <v>-2102.6889579954754</v>
      </c>
      <c r="AN113" s="898">
        <f t="shared" si="333"/>
        <v>-2158.7676521709964</v>
      </c>
      <c r="AO113" s="898">
        <f t="shared" si="333"/>
        <v>-2214.8515441293916</v>
      </c>
    </row>
    <row r="114" spans="3:60" outlineLevel="1" x14ac:dyDescent="0.3">
      <c r="D114" s="873"/>
      <c r="E114" s="628" t="str">
        <f>'EE Measures'!$IK$6</f>
        <v>CEER1</v>
      </c>
      <c r="F114" s="592">
        <f t="shared" si="311"/>
        <v>92565.01683086445</v>
      </c>
      <c r="G114" s="500">
        <f t="shared" si="316"/>
        <v>9413.2257318755801</v>
      </c>
      <c r="H114" s="500">
        <f t="shared" si="317"/>
        <v>9468.9516574229783</v>
      </c>
      <c r="I114" s="500">
        <f t="shared" si="318"/>
        <v>9528.7866367691786</v>
      </c>
      <c r="J114" s="500">
        <f t="shared" si="319"/>
        <v>9507.1389147450609</v>
      </c>
      <c r="K114" s="500">
        <f t="shared" si="320"/>
        <v>9355.5000065574932</v>
      </c>
      <c r="L114" s="500">
        <f t="shared" si="321"/>
        <v>9344.968670476208</v>
      </c>
      <c r="M114" s="500">
        <f t="shared" si="322"/>
        <v>8992.0639312943149</v>
      </c>
      <c r="N114" s="500">
        <f t="shared" si="323"/>
        <v>8987.1287407438504</v>
      </c>
      <c r="O114" s="500">
        <f t="shared" si="324"/>
        <v>8983.5410323025862</v>
      </c>
      <c r="P114" s="500">
        <f t="shared" si="325"/>
        <v>8983.7115086772064</v>
      </c>
      <c r="Q114" s="500">
        <f t="shared" si="313"/>
        <v>9031.2825559637349</v>
      </c>
      <c r="R114" s="500">
        <f t="shared" si="313"/>
        <v>9080.5609570674515</v>
      </c>
      <c r="S114" s="500">
        <f t="shared" si="313"/>
        <v>9131.556940461156</v>
      </c>
      <c r="T114" s="500">
        <f t="shared" si="313"/>
        <v>9184.2811146163058</v>
      </c>
      <c r="U114" s="500">
        <f t="shared" si="313"/>
        <v>9238.7444683361828</v>
      </c>
      <c r="W114"/>
      <c r="Y114" s="628" t="str">
        <f>'EE Measures'!$IK$6</f>
        <v>CEER1</v>
      </c>
      <c r="Z114" s="898">
        <f>Z49</f>
        <v>-5850.615697438926</v>
      </c>
      <c r="AA114" s="898">
        <f t="shared" ref="AA114:AJ114" si="334">AA49</f>
        <v>-57.607601457754342</v>
      </c>
      <c r="AB114" s="898">
        <f t="shared" si="334"/>
        <v>-79.867547309530934</v>
      </c>
      <c r="AC114" s="898">
        <f t="shared" si="334"/>
        <v>-99.655050256952165</v>
      </c>
      <c r="AD114" s="898">
        <f t="shared" si="334"/>
        <v>-202.56874796840242</v>
      </c>
      <c r="AE114" s="898">
        <f t="shared" si="334"/>
        <v>-437.1243905792353</v>
      </c>
      <c r="AF114" s="898">
        <f t="shared" si="334"/>
        <v>-532.23086733717719</v>
      </c>
      <c r="AG114" s="898">
        <f t="shared" si="334"/>
        <v>-971.37718258792484</v>
      </c>
      <c r="AH114" s="898">
        <f t="shared" si="334"/>
        <v>-1064.2287949187571</v>
      </c>
      <c r="AI114" s="898">
        <f t="shared" si="334"/>
        <v>-1157.4165620230929</v>
      </c>
      <c r="AJ114" s="898">
        <f t="shared" si="334"/>
        <v>-1248.5389530000982</v>
      </c>
      <c r="AK114" s="898">
        <f t="shared" ref="AK114:AO114" si="335">AK49</f>
        <v>-1293.9631340877722</v>
      </c>
      <c r="AL114" s="898">
        <f t="shared" si="335"/>
        <v>-1339.3922552465644</v>
      </c>
      <c r="AM114" s="898">
        <f t="shared" si="335"/>
        <v>-1384.8264015139785</v>
      </c>
      <c r="AN114" s="898">
        <f t="shared" si="335"/>
        <v>-1430.2656587950626</v>
      </c>
      <c r="AO114" s="898">
        <f t="shared" si="335"/>
        <v>-1475.7101138590212</v>
      </c>
    </row>
    <row r="115" spans="3:60" outlineLevel="1" x14ac:dyDescent="0.3">
      <c r="D115" s="873"/>
      <c r="E115" s="628" t="str">
        <f>'EE Measures'!$IL$6</f>
        <v>CEER2</v>
      </c>
      <c r="F115" s="592">
        <f t="shared" si="311"/>
        <v>91299.776242825203</v>
      </c>
      <c r="G115" s="500">
        <f t="shared" si="316"/>
        <v>9413.2257318755801</v>
      </c>
      <c r="H115" s="500">
        <f t="shared" si="317"/>
        <v>9468.9516574229783</v>
      </c>
      <c r="I115" s="500">
        <f t="shared" si="318"/>
        <v>9528.7866367691786</v>
      </c>
      <c r="J115" s="500">
        <f t="shared" si="319"/>
        <v>9507.1389147450609</v>
      </c>
      <c r="K115" s="500">
        <f t="shared" si="320"/>
        <v>9280.2529452314884</v>
      </c>
      <c r="L115" s="500">
        <f t="shared" si="321"/>
        <v>9215.4710611446553</v>
      </c>
      <c r="M115" s="500">
        <f t="shared" si="322"/>
        <v>8808.3157739572143</v>
      </c>
      <c r="N115" s="500">
        <f t="shared" si="323"/>
        <v>8749.1300354012037</v>
      </c>
      <c r="O115" s="500">
        <f t="shared" si="324"/>
        <v>8691.2917789543899</v>
      </c>
      <c r="P115" s="500">
        <f t="shared" si="325"/>
        <v>8637.2117073234622</v>
      </c>
      <c r="Q115" s="500">
        <f t="shared" si="313"/>
        <v>8674.1433177155541</v>
      </c>
      <c r="R115" s="500">
        <f t="shared" si="313"/>
        <v>8712.7822819248358</v>
      </c>
      <c r="S115" s="500">
        <f t="shared" si="313"/>
        <v>8753.1388284241038</v>
      </c>
      <c r="T115" s="500">
        <f t="shared" si="313"/>
        <v>8795.223565684817</v>
      </c>
      <c r="U115" s="500">
        <f t="shared" si="313"/>
        <v>8839.0474825102556</v>
      </c>
      <c r="W115"/>
      <c r="Y115" s="628" t="str">
        <f>'EE Measures'!$IL$6</f>
        <v>CEER2</v>
      </c>
      <c r="Z115" s="898">
        <f>Z55</f>
        <v>-7115.8562854781685</v>
      </c>
      <c r="AA115" s="898">
        <f t="shared" ref="AA115:AJ115" si="336">AA55</f>
        <v>-57.607601457754342</v>
      </c>
      <c r="AB115" s="898">
        <f t="shared" si="336"/>
        <v>-79.867547309530934</v>
      </c>
      <c r="AC115" s="898">
        <f t="shared" si="336"/>
        <v>-99.655050256952165</v>
      </c>
      <c r="AD115" s="898">
        <f t="shared" si="336"/>
        <v>-202.56874796840242</v>
      </c>
      <c r="AE115" s="898">
        <f t="shared" si="336"/>
        <v>-512.37145190524006</v>
      </c>
      <c r="AF115" s="898">
        <f t="shared" si="336"/>
        <v>-661.72847666872997</v>
      </c>
      <c r="AG115" s="898">
        <f t="shared" si="336"/>
        <v>-1155.1253399250249</v>
      </c>
      <c r="AH115" s="898">
        <f t="shared" si="336"/>
        <v>-1302.2275002614047</v>
      </c>
      <c r="AI115" s="898">
        <f t="shared" si="336"/>
        <v>-1449.6658153712881</v>
      </c>
      <c r="AJ115" s="898">
        <f t="shared" si="336"/>
        <v>-1595.0387543538413</v>
      </c>
      <c r="AK115" s="898">
        <f t="shared" ref="AK115:AO115" si="337">AK55</f>
        <v>-1651.1023723359517</v>
      </c>
      <c r="AL115" s="898">
        <f t="shared" si="337"/>
        <v>-1707.1709303891805</v>
      </c>
      <c r="AM115" s="898">
        <f t="shared" si="337"/>
        <v>-1763.2445135510311</v>
      </c>
      <c r="AN115" s="898">
        <f t="shared" si="337"/>
        <v>-1819.3232077265518</v>
      </c>
      <c r="AO115" s="898">
        <f t="shared" si="337"/>
        <v>-1875.4070996849471</v>
      </c>
    </row>
    <row r="116" spans="3:60" outlineLevel="1" x14ac:dyDescent="0.3">
      <c r="V116"/>
      <c r="W116"/>
    </row>
    <row r="117" spans="3:60" ht="15" outlineLevel="1" x14ac:dyDescent="0.3">
      <c r="C117" s="5" t="s">
        <v>398</v>
      </c>
      <c r="D117" s="5"/>
      <c r="E117" s="5"/>
      <c r="F117" s="5"/>
      <c r="G117" s="5"/>
      <c r="H117" s="5"/>
      <c r="I117" s="5"/>
      <c r="J117" s="5"/>
      <c r="K117" s="5"/>
      <c r="L117" s="5"/>
      <c r="M117" s="5"/>
      <c r="N117" s="5"/>
      <c r="O117" s="5"/>
      <c r="P117" s="5"/>
      <c r="Q117" s="5"/>
      <c r="R117" s="5"/>
      <c r="S117" s="5"/>
      <c r="T117" s="5"/>
      <c r="U117" s="5"/>
      <c r="Y117" s="5" t="s">
        <v>399</v>
      </c>
      <c r="Z117" s="5"/>
      <c r="AA117" s="5"/>
      <c r="AB117" s="5"/>
      <c r="AC117" s="5"/>
      <c r="AD117" s="5"/>
      <c r="AE117" s="5"/>
      <c r="AF117" s="5"/>
      <c r="AG117" s="5"/>
      <c r="AH117" s="5"/>
      <c r="AI117" s="5"/>
      <c r="AJ117" s="5"/>
      <c r="AK117" s="5"/>
      <c r="AL117" s="5"/>
      <c r="AM117" s="5"/>
      <c r="AN117" s="5"/>
      <c r="AO117" s="5"/>
      <c r="AQ117" s="5" t="s">
        <v>400</v>
      </c>
      <c r="AR117" s="5"/>
      <c r="AS117" s="5"/>
      <c r="AT117" s="5"/>
      <c r="AU117" s="5"/>
      <c r="AV117" s="5"/>
      <c r="AW117" s="5"/>
      <c r="AX117" s="5"/>
      <c r="AY117" s="5"/>
      <c r="AZ117" s="5"/>
      <c r="BA117" s="5"/>
      <c r="BB117" s="5"/>
      <c r="BC117" s="5"/>
      <c r="BD117" s="5"/>
      <c r="BE117" s="5"/>
      <c r="BF117" s="5"/>
      <c r="BG117" s="5"/>
      <c r="BH117" s="5"/>
    </row>
    <row r="118" spans="3:60" outlineLevel="1" x14ac:dyDescent="0.3">
      <c r="H118" s="56" t="s">
        <v>401</v>
      </c>
      <c r="AB118" s="56" t="s">
        <v>402</v>
      </c>
    </row>
    <row r="119" spans="3:60" ht="40.5" outlineLevel="1" x14ac:dyDescent="0.3">
      <c r="E119" s="625"/>
      <c r="F119" s="625" t="s">
        <v>386</v>
      </c>
      <c r="G119" s="625">
        <v>2021</v>
      </c>
      <c r="H119" s="625">
        <v>2022</v>
      </c>
      <c r="I119" s="625">
        <v>2023</v>
      </c>
      <c r="J119" s="625">
        <v>2024</v>
      </c>
      <c r="K119" s="625">
        <v>2025</v>
      </c>
      <c r="L119" s="625">
        <v>2026</v>
      </c>
      <c r="M119" s="625">
        <v>2027</v>
      </c>
      <c r="N119" s="625">
        <v>2028</v>
      </c>
      <c r="O119" s="625">
        <v>2029</v>
      </c>
      <c r="P119" s="625">
        <v>2030</v>
      </c>
      <c r="Q119" s="625">
        <v>2031</v>
      </c>
      <c r="R119" s="625">
        <v>2032</v>
      </c>
      <c r="S119" s="625">
        <v>2033</v>
      </c>
      <c r="T119" s="625">
        <v>2034</v>
      </c>
      <c r="U119" s="625">
        <v>2035</v>
      </c>
      <c r="Y119" s="625"/>
      <c r="Z119" s="625" t="s">
        <v>386</v>
      </c>
      <c r="AA119" s="625">
        <v>2021</v>
      </c>
      <c r="AB119" s="625">
        <v>2022</v>
      </c>
      <c r="AC119" s="625">
        <v>2023</v>
      </c>
      <c r="AD119" s="625">
        <v>2024</v>
      </c>
      <c r="AE119" s="625">
        <v>2025</v>
      </c>
      <c r="AF119" s="625">
        <v>2026</v>
      </c>
      <c r="AG119" s="625">
        <v>2027</v>
      </c>
      <c r="AH119" s="625">
        <v>2028</v>
      </c>
      <c r="AI119" s="625">
        <v>2029</v>
      </c>
      <c r="AJ119" s="625">
        <v>2030</v>
      </c>
      <c r="AK119" s="625">
        <v>2031</v>
      </c>
      <c r="AL119" s="625">
        <v>2032</v>
      </c>
      <c r="AM119" s="625">
        <v>2033</v>
      </c>
      <c r="AN119" s="625">
        <v>2034</v>
      </c>
      <c r="AO119" s="625">
        <v>2035</v>
      </c>
      <c r="AR119" s="625" t="s">
        <v>403</v>
      </c>
      <c r="AS119" s="625"/>
      <c r="AT119" s="625">
        <v>2022</v>
      </c>
      <c r="AU119" s="625">
        <v>2023</v>
      </c>
      <c r="AV119" s="625">
        <v>2024</v>
      </c>
      <c r="AW119" s="625">
        <v>2025</v>
      </c>
      <c r="AX119" s="625">
        <v>2026</v>
      </c>
      <c r="AY119" s="625">
        <v>2027</v>
      </c>
      <c r="AZ119" s="625">
        <v>2028</v>
      </c>
      <c r="BA119" s="625">
        <v>2029</v>
      </c>
      <c r="BB119" s="625">
        <v>2030</v>
      </c>
      <c r="BC119" s="625">
        <v>2031</v>
      </c>
      <c r="BD119" s="625">
        <v>2032</v>
      </c>
      <c r="BE119" s="625">
        <v>2033</v>
      </c>
      <c r="BF119" s="625">
        <v>2034</v>
      </c>
      <c r="BG119" s="625">
        <v>2035</v>
      </c>
    </row>
    <row r="120" spans="3:60" outlineLevel="1" x14ac:dyDescent="0.3">
      <c r="C120" s="587" t="str">
        <f>E120</f>
        <v>W/o EE measures</v>
      </c>
      <c r="E120" s="555" t="s">
        <v>345</v>
      </c>
      <c r="F120" s="590">
        <f>SUM(G120:P120)</f>
        <v>506032.81013472244</v>
      </c>
      <c r="G120" s="591">
        <f>SUM(G121:G125)</f>
        <v>47682.552693608668</v>
      </c>
      <c r="H120" s="591">
        <f>SUM(H121:H125)</f>
        <v>49107.48266959982</v>
      </c>
      <c r="I120" s="591">
        <f t="shared" ref="I120:P120" si="338">SUM(I121:I125)</f>
        <v>49530.251395408668</v>
      </c>
      <c r="J120" s="591">
        <f t="shared" si="338"/>
        <v>49972.568177782181</v>
      </c>
      <c r="K120" s="591">
        <f t="shared" si="338"/>
        <v>50433.266246791005</v>
      </c>
      <c r="L120" s="591">
        <f t="shared" si="338"/>
        <v>50898.782883928994</v>
      </c>
      <c r="M120" s="591">
        <f t="shared" si="338"/>
        <v>51375.252124345599</v>
      </c>
      <c r="N120" s="591">
        <f t="shared" si="338"/>
        <v>51858.393694282771</v>
      </c>
      <c r="O120" s="591">
        <f t="shared" si="338"/>
        <v>52343.201828542165</v>
      </c>
      <c r="P120" s="591">
        <f t="shared" si="338"/>
        <v>52831.058420432651</v>
      </c>
      <c r="Q120" s="591">
        <f t="shared" ref="Q120:U120" si="339">SUM(Q121:Q125)</f>
        <v>53329.286893379838</v>
      </c>
      <c r="R120" s="591">
        <f t="shared" si="339"/>
        <v>53774.127564518327</v>
      </c>
      <c r="S120" s="591">
        <f t="shared" si="339"/>
        <v>54226.390005123409</v>
      </c>
      <c r="T120" s="591">
        <f t="shared" si="339"/>
        <v>54686.177213562849</v>
      </c>
      <c r="U120" s="591">
        <f t="shared" si="339"/>
        <v>55153.593830851038</v>
      </c>
      <c r="Y120" s="229"/>
      <c r="Z120" s="229"/>
      <c r="AA120" s="229"/>
      <c r="AB120" s="229"/>
      <c r="AC120" s="229"/>
      <c r="AD120" s="229"/>
      <c r="AE120" s="229"/>
      <c r="AF120" s="229"/>
      <c r="AG120" s="229"/>
      <c r="AH120" s="229"/>
      <c r="AI120" s="229"/>
      <c r="AJ120" s="229"/>
      <c r="AK120" s="229"/>
      <c r="AL120" s="229"/>
      <c r="AM120" s="229"/>
      <c r="AN120" s="229"/>
      <c r="AO120" s="229"/>
      <c r="AQ120" s="229"/>
      <c r="AR120" s="229"/>
      <c r="AS120" s="229"/>
      <c r="AT120" s="229"/>
      <c r="AU120" s="229"/>
      <c r="AV120" s="229"/>
      <c r="AW120" s="229"/>
      <c r="AX120" s="229"/>
      <c r="AY120" s="229"/>
      <c r="AZ120" s="229"/>
      <c r="BA120" s="229"/>
      <c r="BB120" s="229"/>
      <c r="BC120" s="229"/>
      <c r="BD120" s="229"/>
      <c r="BE120" s="229"/>
      <c r="BF120" s="229"/>
      <c r="BG120" s="229"/>
    </row>
    <row r="121" spans="3:60" outlineLevel="1" x14ac:dyDescent="0.3">
      <c r="C121" s="587" t="str">
        <f>C120</f>
        <v>W/o EE measures</v>
      </c>
      <c r="E121" s="563" t="s">
        <v>50</v>
      </c>
      <c r="F121" s="592">
        <f>SUM(G121:P121)</f>
        <v>98698.983147113759</v>
      </c>
      <c r="G121" s="593">
        <f>G10*SUMPRODUCT(Assumptions!$C$599:$C$604,Assumptions!C$156:C$161)</f>
        <v>8229.0536247139044</v>
      </c>
      <c r="H121" s="593">
        <f>H10*SUMPRODUCT(Assumptions!$C$599:$C$604,Assumptions!D$156:D$161)</f>
        <v>9424.1797013520099</v>
      </c>
      <c r="I121" s="593">
        <f>I10*SUMPRODUCT(Assumptions!$C$599:$C$604,Assumptions!E$156:E$161)</f>
        <v>9556.6607081325146</v>
      </c>
      <c r="J121" s="593">
        <f>J10*SUMPRODUCT(Assumptions!$C$599:$C$604,Assumptions!F$156:F$161)</f>
        <v>9706.1023902494981</v>
      </c>
      <c r="K121" s="593">
        <f>K10*SUMPRODUCT(Assumptions!$C$599:$C$604,Assumptions!G$156:G$161)</f>
        <v>9871.2599295718774</v>
      </c>
      <c r="L121" s="593">
        <f>L10*SUMPRODUCT(Assumptions!$C$599:$C$604,Assumptions!H$156:H$161)</f>
        <v>10038.492373489375</v>
      </c>
      <c r="M121" s="593">
        <f>M10*SUMPRODUCT(Assumptions!$C$599:$C$604,Assumptions!I$156:I$161)</f>
        <v>10206.008343874251</v>
      </c>
      <c r="N121" s="593">
        <f>N10*SUMPRODUCT(Assumptions!$C$599:$C$604,Assumptions!J$156:J$161)</f>
        <v>10380.826099996746</v>
      </c>
      <c r="O121" s="593">
        <f>O10*SUMPRODUCT(Assumptions!$C$599:$C$604,Assumptions!K$156:K$161)</f>
        <v>10555.387805334476</v>
      </c>
      <c r="P121" s="593">
        <f>P10*SUMPRODUCT(Assumptions!$C$599:$C$604,Assumptions!L$156:L$161)</f>
        <v>10731.012170399106</v>
      </c>
      <c r="Q121" s="593">
        <f>Q10*SUMPRODUCT(Assumptions!$C$599:$C$604,Assumptions!M$156:M$161)</f>
        <v>10914.959573809003</v>
      </c>
      <c r="R121" s="593">
        <f>R10*SUMPRODUCT(Assumptions!$C$599:$C$604,Assumptions!N$156:N$161)</f>
        <v>11078.68396741614</v>
      </c>
      <c r="S121" s="593">
        <f>S10*SUMPRODUCT(Assumptions!$C$599:$C$604,Assumptions!O$156:O$161)</f>
        <v>11244.864226927381</v>
      </c>
      <c r="T121" s="593">
        <f>T10*SUMPRODUCT(Assumptions!$C$599:$C$604,Assumptions!P$156:P$161)</f>
        <v>11413.537190331288</v>
      </c>
      <c r="U121" s="593">
        <f>U10*SUMPRODUCT(Assumptions!$C$599:$C$604,Assumptions!Q$156:Q$161)</f>
        <v>11584.740248186259</v>
      </c>
      <c r="Y121" s="229"/>
      <c r="Z121" s="229"/>
      <c r="AA121" s="229"/>
      <c r="AB121" s="229"/>
      <c r="AC121" s="229"/>
      <c r="AD121" s="229"/>
      <c r="AE121" s="229"/>
      <c r="AF121" s="229"/>
      <c r="AG121" s="229"/>
      <c r="AH121" s="229"/>
      <c r="AI121" s="229"/>
      <c r="AJ121" s="229"/>
      <c r="AK121" s="229"/>
      <c r="AL121" s="229"/>
      <c r="AM121" s="229"/>
      <c r="AN121" s="229"/>
      <c r="AO121" s="229"/>
      <c r="AQ121" s="229"/>
      <c r="AR121" s="229"/>
      <c r="AS121" s="229"/>
      <c r="AT121" s="229"/>
      <c r="AU121" s="229"/>
      <c r="AV121" s="229"/>
      <c r="AW121" s="229"/>
      <c r="AX121" s="229"/>
      <c r="AY121" s="229"/>
      <c r="AZ121" s="229"/>
      <c r="BA121" s="229"/>
      <c r="BB121" s="229"/>
      <c r="BC121" s="229"/>
      <c r="BD121" s="229"/>
      <c r="BE121" s="229"/>
      <c r="BF121" s="229"/>
      <c r="BG121" s="229"/>
    </row>
    <row r="122" spans="3:60" outlineLevel="1" x14ac:dyDescent="0.3">
      <c r="C122" s="587" t="str">
        <f t="shared" ref="C122:C125" si="340">C121</f>
        <v>W/o EE measures</v>
      </c>
      <c r="E122" s="563" t="s">
        <v>51</v>
      </c>
      <c r="F122" s="592">
        <f t="shared" ref="F122:F125" si="341">SUM(G122:P122)</f>
        <v>168021.22382918623</v>
      </c>
      <c r="G122" s="586">
        <f>G11*SUMPRODUCT(Assumptions!$C$599:$C$604,Assumptions!C$165:C$170)</f>
        <v>16472.387121225289</v>
      </c>
      <c r="H122" s="586">
        <f>H11*SUMPRODUCT(Assumptions!$C$599:$C$604,Assumptions!D$165:D$170)</f>
        <v>16538.990484486607</v>
      </c>
      <c r="I122" s="586">
        <f>I11*SUMPRODUCT(Assumptions!$C$599:$C$604,Assumptions!E$165:E$170)</f>
        <v>16606.771854885126</v>
      </c>
      <c r="J122" s="586">
        <f>J11*SUMPRODUCT(Assumptions!$C$599:$C$604,Assumptions!F$165:F$170)</f>
        <v>16677.049266956434</v>
      </c>
      <c r="K122" s="586">
        <f>K11*SUMPRODUCT(Assumptions!$C$599:$C$604,Assumptions!G$165:G$170)</f>
        <v>16749.856784655211</v>
      </c>
      <c r="L122" s="586">
        <f>L11*SUMPRODUCT(Assumptions!$C$599:$C$604,Assumptions!H$165:H$170)</f>
        <v>16825.229164510591</v>
      </c>
      <c r="M122" s="586">
        <f>M11*SUMPRODUCT(Assumptions!$C$599:$C$604,Assumptions!I$165:I$170)</f>
        <v>16910.245719367074</v>
      </c>
      <c r="N122" s="586">
        <f>N11*SUMPRODUCT(Assumptions!$C$599:$C$604,Assumptions!J$165:J$170)</f>
        <v>16994.086440958345</v>
      </c>
      <c r="O122" s="586">
        <f>O11*SUMPRODUCT(Assumptions!$C$599:$C$604,Assumptions!K$165:K$170)</f>
        <v>17079.649506112291</v>
      </c>
      <c r="P122" s="586">
        <f>P11*SUMPRODUCT(Assumptions!$C$599:$C$604,Assumptions!L$165:L$170)</f>
        <v>17166.957486029263</v>
      </c>
      <c r="Q122" s="586">
        <f>Q11*SUMPRODUCT(Assumptions!$C$599:$C$604,Assumptions!M$165:M$170)</f>
        <v>17256.033282014821</v>
      </c>
      <c r="R122" s="586">
        <f>R11*SUMPRODUCT(Assumptions!$C$599:$C$604,Assumptions!N$165:N$170)</f>
        <v>17329.002809739235</v>
      </c>
      <c r="S122" s="586">
        <f>S11*SUMPRODUCT(Assumptions!$C$599:$C$604,Assumptions!O$165:O$170)</f>
        <v>17403.59189482301</v>
      </c>
      <c r="T122" s="586">
        <f>T11*SUMPRODUCT(Assumptions!$C$599:$C$604,Assumptions!P$165:P$170)</f>
        <v>17479.821456592363</v>
      </c>
      <c r="U122" s="586">
        <f>U11*SUMPRODUCT(Assumptions!$C$599:$C$604,Assumptions!Q$165:Q$170)</f>
        <v>17557.712722477158</v>
      </c>
      <c r="Y122" s="229"/>
      <c r="Z122" s="229"/>
      <c r="AA122" s="229"/>
      <c r="AB122" s="229"/>
      <c r="AC122" s="229"/>
      <c r="AD122" s="229"/>
      <c r="AE122" s="229"/>
      <c r="AF122" s="229"/>
      <c r="AG122" s="229"/>
      <c r="AH122" s="229"/>
      <c r="AI122" s="229"/>
      <c r="AJ122" s="229"/>
      <c r="AK122" s="229"/>
      <c r="AL122" s="229"/>
      <c r="AM122" s="229"/>
      <c r="AN122" s="229"/>
      <c r="AO122" s="229"/>
      <c r="AQ122" s="229"/>
      <c r="AR122" s="229"/>
      <c r="AS122" s="229"/>
      <c r="AT122" s="229"/>
      <c r="AU122" s="229"/>
      <c r="AV122" s="229"/>
      <c r="AW122" s="229"/>
      <c r="AX122" s="229"/>
      <c r="AY122" s="229"/>
      <c r="AZ122" s="229"/>
      <c r="BA122" s="229"/>
      <c r="BB122" s="229"/>
      <c r="BC122" s="229"/>
      <c r="BD122" s="229"/>
      <c r="BE122" s="229"/>
      <c r="BF122" s="229"/>
      <c r="BG122" s="229"/>
    </row>
    <row r="123" spans="3:60" outlineLevel="1" x14ac:dyDescent="0.3">
      <c r="C123" s="587" t="str">
        <f t="shared" si="340"/>
        <v>W/o EE measures</v>
      </c>
      <c r="E123" s="563" t="s">
        <v>52</v>
      </c>
      <c r="F123" s="592">
        <f t="shared" si="341"/>
        <v>111403.43466182821</v>
      </c>
      <c r="G123" s="593">
        <f>G12*SUMPRODUCT(Assumptions!$C$599:$C$604,Assumptions!C$174:C$179)</f>
        <v>10886.562768130274</v>
      </c>
      <c r="H123" s="593">
        <f>H12*SUMPRODUCT(Assumptions!$C$599:$C$604,Assumptions!D$174:D$179)</f>
        <v>10937.904675119229</v>
      </c>
      <c r="I123" s="593">
        <f>I12*SUMPRODUCT(Assumptions!$C$599:$C$604,Assumptions!E$174:E$179)</f>
        <v>10991.022300891027</v>
      </c>
      <c r="J123" s="593">
        <f>J12*SUMPRODUCT(Assumptions!$C$599:$C$604,Assumptions!F$174:F$179)</f>
        <v>11045.937172781381</v>
      </c>
      <c r="K123" s="593">
        <f>K12*SUMPRODUCT(Assumptions!$C$599:$C$604,Assumptions!G$174:G$179)</f>
        <v>11102.674364975661</v>
      </c>
      <c r="L123" s="593">
        <f>L12*SUMPRODUCT(Assumptions!$C$599:$C$604,Assumptions!H$174:H$179)</f>
        <v>11161.259493062995</v>
      </c>
      <c r="M123" s="593">
        <f>M12*SUMPRODUCT(Assumptions!$C$599:$C$604,Assumptions!I$174:I$179)</f>
        <v>11222.521836756374</v>
      </c>
      <c r="N123" s="593">
        <f>N12*SUMPRODUCT(Assumptions!$C$599:$C$604,Assumptions!J$174:J$179)</f>
        <v>11285.967085435399</v>
      </c>
      <c r="O123" s="593">
        <f>O12*SUMPRODUCT(Assumptions!$C$599:$C$604,Assumptions!K$174:K$179)</f>
        <v>11351.234376594914</v>
      </c>
      <c r="P123" s="593">
        <f>P12*SUMPRODUCT(Assumptions!$C$599:$C$604,Assumptions!L$174:L$179)</f>
        <v>11418.350588080952</v>
      </c>
      <c r="Q123" s="593">
        <f>Q12*SUMPRODUCT(Assumptions!$C$599:$C$604,Assumptions!M$174:M$179)</f>
        <v>11487.343147682283</v>
      </c>
      <c r="R123" s="593">
        <f>R12*SUMPRODUCT(Assumptions!$C$599:$C$604,Assumptions!N$174:N$179)</f>
        <v>11572.337641676902</v>
      </c>
      <c r="S123" s="593">
        <f>S12*SUMPRODUCT(Assumptions!$C$599:$C$604,Assumptions!O$174:O$179)</f>
        <v>11659.44695931653</v>
      </c>
      <c r="T123" s="593">
        <f>T12*SUMPRODUCT(Assumptions!$C$599:$C$604,Assumptions!P$174:P$179)</f>
        <v>11748.704026428562</v>
      </c>
      <c r="U123" s="593">
        <f>U12*SUMPRODUCT(Assumptions!$C$599:$C$604,Assumptions!Q$174:Q$179)</f>
        <v>11840.142427661302</v>
      </c>
      <c r="Y123" s="229"/>
      <c r="Z123" s="229"/>
      <c r="AA123" s="229"/>
      <c r="AB123" s="229"/>
      <c r="AC123" s="229"/>
      <c r="AD123" s="229"/>
      <c r="AE123" s="229"/>
      <c r="AF123" s="229"/>
      <c r="AG123" s="229"/>
      <c r="AH123" s="229"/>
      <c r="AI123" s="229"/>
      <c r="AJ123" s="229"/>
      <c r="AK123" s="229"/>
      <c r="AL123" s="229"/>
      <c r="AM123" s="229"/>
      <c r="AN123" s="229"/>
      <c r="AO123" s="229"/>
      <c r="AQ123" s="229"/>
      <c r="AR123" s="229"/>
      <c r="AS123" s="229"/>
      <c r="AT123" s="229"/>
      <c r="AU123" s="229"/>
      <c r="AV123" s="229"/>
      <c r="AW123" s="229"/>
      <c r="AX123" s="229"/>
      <c r="AY123" s="229"/>
      <c r="AZ123" s="229"/>
      <c r="BA123" s="229"/>
      <c r="BB123" s="229"/>
      <c r="BC123" s="229"/>
      <c r="BD123" s="229"/>
      <c r="BE123" s="229"/>
      <c r="BF123" s="229"/>
      <c r="BG123" s="229"/>
    </row>
    <row r="124" spans="3:60" outlineLevel="1" x14ac:dyDescent="0.3">
      <c r="C124" s="587" t="str">
        <f t="shared" si="340"/>
        <v>W/o EE measures</v>
      </c>
      <c r="E124" s="563" t="s">
        <v>53</v>
      </c>
      <c r="F124" s="592">
        <f t="shared" si="341"/>
        <v>114351.91541017461</v>
      </c>
      <c r="G124" s="586">
        <f>G13*SUMPRODUCT(Assumptions!$C$599:$C$604,Assumptions!C$183:C$188)</f>
        <v>10738.823870897229</v>
      </c>
      <c r="H124" s="586">
        <f>H13*SUMPRODUCT(Assumptions!$C$599:$C$604,Assumptions!D$183:D$188)</f>
        <v>10850.682500000003</v>
      </c>
      <c r="I124" s="586">
        <f>I13*SUMPRODUCT(Assumptions!$C$599:$C$604,Assumptions!E$183:E$188)</f>
        <v>11020.071222858029</v>
      </c>
      <c r="J124" s="586">
        <f>J13*SUMPRODUCT(Assumptions!$C$599:$C$604,Assumptions!F$183:F$188)</f>
        <v>11187.754039152893</v>
      </c>
      <c r="K124" s="586">
        <f>K13*SUMPRODUCT(Assumptions!$C$599:$C$604,Assumptions!G$183:G$188)</f>
        <v>11353.749858946281</v>
      </c>
      <c r="L124" s="586">
        <f>L13*SUMPRODUCT(Assumptions!$C$599:$C$604,Assumptions!H$183:H$188)</f>
        <v>11518.076544224063</v>
      </c>
      <c r="M124" s="586">
        <f>M13*SUMPRODUCT(Assumptions!$C$599:$C$604,Assumptions!I$183:I$188)</f>
        <v>11680.750915705927</v>
      </c>
      <c r="N124" s="586">
        <f>N13*SUMPRODUCT(Assumptions!$C$599:$C$604,Assumptions!J$183:J$188)</f>
        <v>11841.788759250312</v>
      </c>
      <c r="O124" s="586">
        <f>O13*SUMPRODUCT(Assumptions!$C$599:$C$604,Assumptions!K$183:K$188)</f>
        <v>12001.204831858513</v>
      </c>
      <c r="P124" s="586">
        <f>P13*SUMPRODUCT(Assumptions!$C$599:$C$604,Assumptions!L$183:L$188)</f>
        <v>12159.012867281359</v>
      </c>
      <c r="Q124" s="586">
        <f>Q13*SUMPRODUCT(Assumptions!$C$599:$C$604,Assumptions!M$183:M$188)</f>
        <v>12315.22558123176</v>
      </c>
      <c r="R124" s="586">
        <f>R13*SUMPRODUCT(Assumptions!$C$599:$C$604,Assumptions!N$183:N$188)</f>
        <v>12438.377837044076</v>
      </c>
      <c r="S124" s="586">
        <f>S13*SUMPRODUCT(Assumptions!$C$599:$C$604,Assumptions!O$183:O$188)</f>
        <v>12562.761615414516</v>
      </c>
      <c r="T124" s="586">
        <f>T13*SUMPRODUCT(Assumptions!$C$599:$C$604,Assumptions!P$183:P$188)</f>
        <v>12688.389231568661</v>
      </c>
      <c r="U124" s="586">
        <f>U13*SUMPRODUCT(Assumptions!$C$599:$C$604,Assumptions!Q$183:Q$188)</f>
        <v>12815.273123884348</v>
      </c>
      <c r="Y124" s="229"/>
      <c r="Z124" s="229"/>
      <c r="AA124" s="229"/>
      <c r="AB124" s="229"/>
      <c r="AC124" s="229"/>
      <c r="AD124" s="229"/>
      <c r="AE124" s="229"/>
      <c r="AF124" s="229"/>
      <c r="AG124" s="229"/>
      <c r="AH124" s="229"/>
      <c r="AI124" s="229"/>
      <c r="AJ124" s="229"/>
      <c r="AK124" s="229"/>
      <c r="AL124" s="229"/>
      <c r="AM124" s="229"/>
      <c r="AN124" s="229"/>
      <c r="AO124" s="229"/>
      <c r="AQ124" s="229"/>
      <c r="AR124" s="229"/>
      <c r="AS124" s="229"/>
      <c r="AT124" s="229"/>
      <c r="AU124" s="229"/>
      <c r="AV124" s="229"/>
      <c r="AW124" s="229"/>
      <c r="AX124" s="229"/>
      <c r="AY124" s="229"/>
      <c r="AZ124" s="229"/>
      <c r="BA124" s="229"/>
      <c r="BB124" s="229"/>
      <c r="BC124" s="229"/>
      <c r="BD124" s="229"/>
      <c r="BE124" s="229"/>
      <c r="BF124" s="229"/>
      <c r="BG124" s="229"/>
    </row>
    <row r="125" spans="3:60" outlineLevel="1" x14ac:dyDescent="0.3">
      <c r="C125" s="587" t="str">
        <f t="shared" si="340"/>
        <v>W/o EE measures</v>
      </c>
      <c r="E125" s="563" t="s">
        <v>54</v>
      </c>
      <c r="F125" s="592">
        <f t="shared" si="341"/>
        <v>13557.253086419752</v>
      </c>
      <c r="G125" s="593">
        <f>G14*SUMPRODUCT(Assumptions!$C$599:$C$604,_xlfn.ANCHORARRAY(Assumptions!C$192))</f>
        <v>1355.7253086419755</v>
      </c>
      <c r="H125" s="593">
        <f>H14*SUMPRODUCT(Assumptions!$C$599:$C$604,_xlfn.ANCHORARRAY(Assumptions!D$192))</f>
        <v>1355.7253086419755</v>
      </c>
      <c r="I125" s="593">
        <f>I14*SUMPRODUCT(Assumptions!$C$599:$C$604,_xlfn.ANCHORARRAY(Assumptions!E$192))</f>
        <v>1355.7253086419755</v>
      </c>
      <c r="J125" s="593">
        <f>J14*SUMPRODUCT(Assumptions!$C$599:$C$604,_xlfn.ANCHORARRAY(Assumptions!F$192))</f>
        <v>1355.7253086419755</v>
      </c>
      <c r="K125" s="593">
        <f>K14*SUMPRODUCT(Assumptions!$C$599:$C$604,_xlfn.ANCHORARRAY(Assumptions!G$192))</f>
        <v>1355.7253086419755</v>
      </c>
      <c r="L125" s="593">
        <f>L14*SUMPRODUCT(Assumptions!$C$599:$C$604,_xlfn.ANCHORARRAY(Assumptions!H$192))</f>
        <v>1355.7253086419755</v>
      </c>
      <c r="M125" s="593">
        <f>M14*SUMPRODUCT(Assumptions!$C$599:$C$604,_xlfn.ANCHORARRAY(Assumptions!I$192))</f>
        <v>1355.7253086419755</v>
      </c>
      <c r="N125" s="593">
        <f>N14*SUMPRODUCT(Assumptions!$C$599:$C$604,_xlfn.ANCHORARRAY(Assumptions!J$192))</f>
        <v>1355.7253086419755</v>
      </c>
      <c r="O125" s="593">
        <f>O14*SUMPRODUCT(Assumptions!$C$599:$C$604,_xlfn.ANCHORARRAY(Assumptions!K$192))</f>
        <v>1355.7253086419755</v>
      </c>
      <c r="P125" s="593">
        <f>P14*SUMPRODUCT(Assumptions!$C$599:$C$604,_xlfn.ANCHORARRAY(Assumptions!L$192))</f>
        <v>1355.7253086419755</v>
      </c>
      <c r="Q125" s="593">
        <f>Q14*SUMPRODUCT(Assumptions!$C$599:$C$604,_xlfn.ANCHORARRAY(Assumptions!M$192))</f>
        <v>1355.7253086419755</v>
      </c>
      <c r="R125" s="593">
        <f>R14*SUMPRODUCT(Assumptions!$C$599:$C$604,Assumptions!N$192:N$197)</f>
        <v>1355.7253086419755</v>
      </c>
      <c r="S125" s="593">
        <f>S14*SUMPRODUCT(Assumptions!$C$599:$C$604,Assumptions!O$192:O$197)</f>
        <v>1355.7253086419755</v>
      </c>
      <c r="T125" s="593">
        <f>T14*SUMPRODUCT(Assumptions!$C$599:$C$604,Assumptions!P$192:P$197)</f>
        <v>1355.7253086419755</v>
      </c>
      <c r="U125" s="593">
        <f>U14*SUMPRODUCT(Assumptions!$C$599:$C$604,Assumptions!Q$192:Q$197)</f>
        <v>1355.7253086419755</v>
      </c>
      <c r="Y125" s="229"/>
      <c r="Z125" s="229"/>
      <c r="AA125" s="229"/>
      <c r="AB125" s="229"/>
      <c r="AC125" s="229"/>
      <c r="AD125" s="229"/>
      <c r="AE125" s="229"/>
      <c r="AF125" s="229"/>
      <c r="AG125" s="229"/>
      <c r="AH125" s="229"/>
      <c r="AI125" s="229"/>
      <c r="AJ125" s="229"/>
      <c r="AK125" s="229"/>
      <c r="AL125" s="229"/>
      <c r="AM125" s="229"/>
      <c r="AN125" s="229"/>
      <c r="AO125" s="229"/>
      <c r="AQ125" s="229"/>
      <c r="AR125" s="229"/>
      <c r="AS125" s="229"/>
      <c r="AT125" s="229"/>
      <c r="AU125" s="229"/>
      <c r="AV125" s="229"/>
      <c r="AW125" s="229"/>
      <c r="AX125" s="229"/>
      <c r="AY125" s="229"/>
      <c r="AZ125" s="229"/>
      <c r="BA125" s="229"/>
      <c r="BB125" s="229"/>
      <c r="BC125" s="229"/>
      <c r="BD125" s="229"/>
      <c r="BE125" s="229"/>
      <c r="BF125" s="229"/>
      <c r="BG125" s="229"/>
      <c r="BH125"/>
    </row>
    <row r="126" spans="3:60" outlineLevel="1" x14ac:dyDescent="0.3">
      <c r="C126" s="587" t="str">
        <f>E126</f>
        <v>Baseline</v>
      </c>
      <c r="E126" s="555" t="str">
        <f>'EE Measures'!$IF$6</f>
        <v>Baseline</v>
      </c>
      <c r="F126" s="590">
        <f>SUM(G126:P126)</f>
        <v>496739.98853792989</v>
      </c>
      <c r="G126" s="591">
        <f t="shared" ref="G126:U126" si="342">SUM(G127:G131)</f>
        <v>47325.461936094842</v>
      </c>
      <c r="H126" s="591">
        <f t="shared" si="342"/>
        <v>48678.815204057748</v>
      </c>
      <c r="I126" s="591">
        <f t="shared" si="342"/>
        <v>49056.279833279936</v>
      </c>
      <c r="J126" s="591">
        <f t="shared" si="342"/>
        <v>49229.01704712864</v>
      </c>
      <c r="K126" s="591">
        <f t="shared" si="342"/>
        <v>49439.923407410657</v>
      </c>
      <c r="L126" s="591">
        <f t="shared" si="342"/>
        <v>49774.376711503086</v>
      </c>
      <c r="M126" s="591">
        <f t="shared" si="342"/>
        <v>50133.290710512963</v>
      </c>
      <c r="N126" s="591">
        <f t="shared" si="342"/>
        <v>50582.512728462651</v>
      </c>
      <c r="O126" s="591">
        <f t="shared" si="342"/>
        <v>51033.314497831379</v>
      </c>
      <c r="P126" s="591">
        <f t="shared" si="342"/>
        <v>51486.99646164805</v>
      </c>
      <c r="Q126" s="591">
        <f t="shared" si="342"/>
        <v>51950.459805031795</v>
      </c>
      <c r="R126" s="591">
        <f t="shared" si="342"/>
        <v>52362.161176472706</v>
      </c>
      <c r="S126" s="591">
        <f t="shared" si="342"/>
        <v>52780.996621545666</v>
      </c>
      <c r="T126" s="591">
        <f t="shared" si="342"/>
        <v>53207.067685884118</v>
      </c>
      <c r="U126" s="591">
        <f t="shared" si="342"/>
        <v>53640.477482861075</v>
      </c>
      <c r="V126" s="997">
        <f>(F126-F$120)/1000</f>
        <v>-9.2928215967925496</v>
      </c>
      <c r="W126" s="871">
        <f>(P126-P$120)/P$120/9</f>
        <v>-2.8267504401345758E-3</v>
      </c>
      <c r="Y126" s="555" t="str">
        <f>'EE Measures'!$IF$6</f>
        <v>Baseline</v>
      </c>
      <c r="Z126" s="590">
        <f t="shared" ref="Z126:Z167" si="343">SUM(AB126:AJ126)</f>
        <v>-8935.7308392787691</v>
      </c>
      <c r="AA126" s="591">
        <f t="shared" ref="AA126:AO126" si="344">SUM(AA127:AA131)</f>
        <v>-357.09075751382761</v>
      </c>
      <c r="AB126" s="591">
        <f t="shared" si="344"/>
        <v>-428.6674655420727</v>
      </c>
      <c r="AC126" s="591">
        <f t="shared" si="344"/>
        <v>-473.9715621287362</v>
      </c>
      <c r="AD126" s="591">
        <f t="shared" si="344"/>
        <v>-743.55113065354317</v>
      </c>
      <c r="AE126" s="591">
        <f t="shared" si="344"/>
        <v>-993.34283938034946</v>
      </c>
      <c r="AF126" s="591">
        <f t="shared" si="344"/>
        <v>-1124.4061724259095</v>
      </c>
      <c r="AG126" s="591">
        <f t="shared" si="344"/>
        <v>-1241.9614138326392</v>
      </c>
      <c r="AH126" s="591">
        <f t="shared" si="344"/>
        <v>-1275.8809658201249</v>
      </c>
      <c r="AI126" s="591">
        <f t="shared" si="344"/>
        <v>-1309.8873307107895</v>
      </c>
      <c r="AJ126" s="591">
        <f t="shared" si="344"/>
        <v>-1344.0619587846052</v>
      </c>
      <c r="AK126" s="591">
        <f t="shared" si="344"/>
        <v>-1378.827088348045</v>
      </c>
      <c r="AL126" s="591">
        <f t="shared" si="344"/>
        <v>-1411.9663880456219</v>
      </c>
      <c r="AM126" s="591">
        <f t="shared" si="344"/>
        <v>-1445.393383577743</v>
      </c>
      <c r="AN126" s="591">
        <f t="shared" si="344"/>
        <v>-1479.1095276787319</v>
      </c>
      <c r="AO126" s="591">
        <f t="shared" si="344"/>
        <v>-1513.1163479899658</v>
      </c>
      <c r="AQ126" s="967" t="s">
        <v>13</v>
      </c>
      <c r="AR126" s="591">
        <f>SUM(AR127:AR131)</f>
        <v>-8935.7308392787691</v>
      </c>
      <c r="AS126" s="591"/>
      <c r="AT126" s="591">
        <f t="shared" ref="AT126:BG126" si="345">SUM(AT127:AT131)</f>
        <v>-428.66746554207265</v>
      </c>
      <c r="AU126" s="591">
        <f t="shared" si="345"/>
        <v>-473.97156212873614</v>
      </c>
      <c r="AV126" s="591">
        <f t="shared" si="345"/>
        <v>-743.55113065354317</v>
      </c>
      <c r="AW126" s="591">
        <f t="shared" si="345"/>
        <v>-993.34283938034935</v>
      </c>
      <c r="AX126" s="591">
        <f t="shared" si="345"/>
        <v>-1124.4061724259093</v>
      </c>
      <c r="AY126" s="591">
        <f t="shared" si="345"/>
        <v>-1241.961413832639</v>
      </c>
      <c r="AZ126" s="591">
        <f t="shared" si="345"/>
        <v>-1275.8809658201249</v>
      </c>
      <c r="BA126" s="591">
        <f t="shared" si="345"/>
        <v>-1309.8873307107892</v>
      </c>
      <c r="BB126" s="591">
        <f t="shared" si="345"/>
        <v>-1344.0619587846049</v>
      </c>
      <c r="BC126" s="591">
        <f t="shared" si="345"/>
        <v>-1378.8270883480448</v>
      </c>
      <c r="BD126" s="591">
        <f t="shared" si="345"/>
        <v>-1411.9663880456219</v>
      </c>
      <c r="BE126" s="591">
        <f t="shared" si="345"/>
        <v>-1445.3933835777427</v>
      </c>
      <c r="BF126" s="591">
        <f t="shared" si="345"/>
        <v>-1479.1095276787316</v>
      </c>
      <c r="BG126" s="591">
        <f t="shared" si="345"/>
        <v>-1513.1163479899656</v>
      </c>
      <c r="BH126"/>
    </row>
    <row r="127" spans="3:60" outlineLevel="1" x14ac:dyDescent="0.3">
      <c r="C127" s="587" t="str">
        <f>C126</f>
        <v>Baseline</v>
      </c>
      <c r="E127" s="563" t="s">
        <v>50</v>
      </c>
      <c r="F127" s="592">
        <f>SUM(G127:P127)</f>
        <v>94379.473850451352</v>
      </c>
      <c r="G127" s="593">
        <f>G16*SUMPRODUCT(Assumptions!$C$599:$C$604,Assumptions!C$156:C$161)</f>
        <v>8031.1542022299864</v>
      </c>
      <c r="H127" s="593">
        <f>H16*SUMPRODUCT(Assumptions!$C$599:$C$604,Assumptions!D$156:D$161)</f>
        <v>9205.8922007668662</v>
      </c>
      <c r="I127" s="593">
        <f>I16*SUMPRODUCT(Assumptions!$C$599:$C$604,Assumptions!E$156:E$161)</f>
        <v>9333.8366143363182</v>
      </c>
      <c r="J127" s="593">
        <f>J16*SUMPRODUCT(Assumptions!$C$599:$C$604,Assumptions!F$156:F$161)</f>
        <v>9421.8780153976586</v>
      </c>
      <c r="K127" s="593">
        <f>K16*SUMPRODUCT(Assumptions!$C$599:$C$604,Assumptions!G$156:G$161)</f>
        <v>9456.2128934754764</v>
      </c>
      <c r="L127" s="593">
        <f>L16*SUMPRODUCT(Assumptions!$C$599:$C$604,Assumptions!H$156:H$161)</f>
        <v>9520.4846456786054</v>
      </c>
      <c r="M127" s="593">
        <f>M16*SUMPRODUCT(Assumptions!$C$599:$C$604,Assumptions!I$156:I$161)</f>
        <v>9598.7363350359628</v>
      </c>
      <c r="N127" s="593">
        <f>N16*SUMPRODUCT(Assumptions!$C$599:$C$604,Assumptions!J$156:J$161)</f>
        <v>9767.8134714618336</v>
      </c>
      <c r="O127" s="593">
        <f>O16*SUMPRODUCT(Assumptions!$C$599:$C$604,Assumptions!K$156:K$161)</f>
        <v>9936.7325612811801</v>
      </c>
      <c r="P127" s="593">
        <f>P16*SUMPRODUCT(Assumptions!$C$599:$C$604,Assumptions!L$156:L$161)</f>
        <v>10106.732910787454</v>
      </c>
      <c r="Q127" s="593">
        <f>Q16*SUMPRODUCT(Assumptions!$C$599:$C$604,Assumptions!M$156:M$161)</f>
        <v>10284.654713176409</v>
      </c>
      <c r="R127" s="593">
        <f>R16*SUMPRODUCT(Assumptions!$C$599:$C$604,Assumptions!N$156:N$161)</f>
        <v>10443.596609175045</v>
      </c>
      <c r="S127" s="593">
        <f>S16*SUMPRODUCT(Assumptions!$C$599:$C$604,Assumptions!O$156:O$161)</f>
        <v>10604.919279576958</v>
      </c>
      <c r="T127" s="593">
        <f>T16*SUMPRODUCT(Assumptions!$C$599:$C$604,Assumptions!P$156:P$161)</f>
        <v>10768.658592014879</v>
      </c>
      <c r="U127" s="593">
        <f>U16*SUMPRODUCT(Assumptions!$C$599:$C$604,Assumptions!Q$156:Q$161)</f>
        <v>10934.850953432602</v>
      </c>
      <c r="Y127" s="563" t="s">
        <v>50</v>
      </c>
      <c r="Z127" s="592">
        <f t="shared" si="343"/>
        <v>-4121.609874178499</v>
      </c>
      <c r="AA127" s="593">
        <f t="shared" ref="AA127:AJ127" si="346">G127-G$121</f>
        <v>-197.89942248391799</v>
      </c>
      <c r="AB127" s="593">
        <f t="shared" si="346"/>
        <v>-218.28750058514379</v>
      </c>
      <c r="AC127" s="593">
        <f t="shared" si="346"/>
        <v>-222.82409379619639</v>
      </c>
      <c r="AD127" s="593">
        <f t="shared" si="346"/>
        <v>-284.22437485183946</v>
      </c>
      <c r="AE127" s="593">
        <f t="shared" si="346"/>
        <v>-415.04703609640092</v>
      </c>
      <c r="AF127" s="593">
        <f t="shared" si="346"/>
        <v>-518.00772781076921</v>
      </c>
      <c r="AG127" s="593">
        <f t="shared" si="346"/>
        <v>-607.27200883828846</v>
      </c>
      <c r="AH127" s="593">
        <f t="shared" si="346"/>
        <v>-613.01262853491244</v>
      </c>
      <c r="AI127" s="593">
        <f t="shared" si="346"/>
        <v>-618.65524405329597</v>
      </c>
      <c r="AJ127" s="593">
        <f t="shared" si="346"/>
        <v>-624.27925961165238</v>
      </c>
      <c r="AK127" s="593">
        <f t="shared" ref="AK127:AO127" si="347">Q127-Q$121</f>
        <v>-630.30486063259377</v>
      </c>
      <c r="AL127" s="593">
        <f t="shared" si="347"/>
        <v>-635.08735824109499</v>
      </c>
      <c r="AM127" s="593">
        <f t="shared" si="347"/>
        <v>-639.94494735042281</v>
      </c>
      <c r="AN127" s="593">
        <f t="shared" si="347"/>
        <v>-644.8785983164089</v>
      </c>
      <c r="AO127" s="593">
        <f t="shared" si="347"/>
        <v>-649.88929475365694</v>
      </c>
      <c r="AQ127" s="554" t="str" cm="1">
        <f t="array" ref="AQ127:AQ131">_xlfn.ANCHORARRAY(AQ$16)</f>
        <v xml:space="preserve">Põhja-Eesti </v>
      </c>
      <c r="AR127" s="592">
        <f>SUM(AT127:BB127)</f>
        <v>-4371.2516448603601</v>
      </c>
      <c r="AS127" s="592"/>
      <c r="AT127" s="593">
        <f t="shared" ref="AT127:BG127" si="348">AB126*$BH16</f>
        <v>-209.69894881034131</v>
      </c>
      <c r="AU127" s="593">
        <f t="shared" si="348"/>
        <v>-231.8611659009525</v>
      </c>
      <c r="AV127" s="593">
        <f t="shared" si="348"/>
        <v>-363.73623616995815</v>
      </c>
      <c r="AW127" s="593">
        <f t="shared" si="348"/>
        <v>-485.93132432602243</v>
      </c>
      <c r="AX127" s="593">
        <f t="shared" si="348"/>
        <v>-550.04592451495637</v>
      </c>
      <c r="AY127" s="593">
        <f t="shared" si="348"/>
        <v>-607.55252935832686</v>
      </c>
      <c r="AZ127" s="593">
        <f t="shared" si="348"/>
        <v>-624.14556467743807</v>
      </c>
      <c r="BA127" s="593">
        <f t="shared" si="348"/>
        <v>-640.78106782068596</v>
      </c>
      <c r="BB127" s="593">
        <f t="shared" si="348"/>
        <v>-657.49888328167799</v>
      </c>
      <c r="BC127" s="593">
        <f t="shared" si="348"/>
        <v>-674.50556494222758</v>
      </c>
      <c r="BD127" s="593">
        <f t="shared" si="348"/>
        <v>-690.71691026115684</v>
      </c>
      <c r="BE127" s="593">
        <f t="shared" si="348"/>
        <v>-707.06899290897275</v>
      </c>
      <c r="BF127" s="593">
        <f t="shared" si="348"/>
        <v>-723.56252354576759</v>
      </c>
      <c r="BG127" s="593">
        <f t="shared" si="348"/>
        <v>-740.19824947525967</v>
      </c>
      <c r="BH127"/>
    </row>
    <row r="128" spans="3:60" outlineLevel="1" x14ac:dyDescent="0.3">
      <c r="C128" s="587" t="str">
        <f>C127</f>
        <v>Baseline</v>
      </c>
      <c r="E128" s="563" t="s">
        <v>51</v>
      </c>
      <c r="F128" s="592">
        <f t="shared" ref="F128:F131" si="349">SUM(G128:P128)</f>
        <v>166104.39135671101</v>
      </c>
      <c r="G128" s="586">
        <f>G17*SUMPRODUCT(Assumptions!$C$599:$C$604,Assumptions!C$165:C$170)</f>
        <v>16424.951549140998</v>
      </c>
      <c r="H128" s="586">
        <f>H17*SUMPRODUCT(Assumptions!$C$599:$C$604,Assumptions!D$165:D$170)</f>
        <v>16466.023163513335</v>
      </c>
      <c r="I128" s="586">
        <f>I17*SUMPRODUCT(Assumptions!$C$599:$C$604,Assumptions!E$165:E$170)</f>
        <v>16506.927941431411</v>
      </c>
      <c r="J128" s="586">
        <f>J17*SUMPRODUCT(Assumptions!$C$599:$C$604,Assumptions!F$165:F$170)</f>
        <v>16516.208203873495</v>
      </c>
      <c r="K128" s="586">
        <f>K17*SUMPRODUCT(Assumptions!$C$599:$C$604,Assumptions!G$165:G$170)</f>
        <v>16546.735137735835</v>
      </c>
      <c r="L128" s="586">
        <f>L17*SUMPRODUCT(Assumptions!$C$599:$C$604,Assumptions!H$165:H$170)</f>
        <v>16601.109758789411</v>
      </c>
      <c r="M128" s="586">
        <f>M17*SUMPRODUCT(Assumptions!$C$599:$C$604,Assumptions!I$165:I$170)</f>
        <v>16664.93223489001</v>
      </c>
      <c r="N128" s="586">
        <f>N17*SUMPRODUCT(Assumptions!$C$599:$C$604,Assumptions!J$165:J$170)</f>
        <v>16727.691026688452</v>
      </c>
      <c r="O128" s="586">
        <f>O17*SUMPRODUCT(Assumptions!$C$599:$C$604,Assumptions!K$165:K$170)</f>
        <v>16791.982787167886</v>
      </c>
      <c r="P128" s="586">
        <f>P17*SUMPRODUCT(Assumptions!$C$599:$C$604,Assumptions!L$165:L$170)</f>
        <v>16857.829553480165</v>
      </c>
      <c r="Q128" s="586">
        <f>Q17*SUMPRODUCT(Assumptions!$C$599:$C$604,Assumptions!M$165:M$170)</f>
        <v>16925.253661066483</v>
      </c>
      <c r="R128" s="586">
        <f>R17*SUMPRODUCT(Assumptions!$C$599:$C$604,Assumptions!N$165:N$170)</f>
        <v>16976.744238353807</v>
      </c>
      <c r="S128" s="586">
        <f>S17*SUMPRODUCT(Assumptions!$C$599:$C$604,Assumptions!O$165:O$170)</f>
        <v>17029.70821762448</v>
      </c>
      <c r="T128" s="586">
        <f>T17*SUMPRODUCT(Assumptions!$C$599:$C$604,Assumptions!P$165:P$170)</f>
        <v>17084.166400444858</v>
      </c>
      <c r="U128" s="586">
        <f>U17*SUMPRODUCT(Assumptions!$C$599:$C$604,Assumptions!Q$165:Q$170)</f>
        <v>17140.139850994339</v>
      </c>
      <c r="Y128" s="563" t="s">
        <v>51</v>
      </c>
      <c r="Z128" s="592">
        <f t="shared" si="343"/>
        <v>-1869.3969003909406</v>
      </c>
      <c r="AA128" s="593">
        <f t="shared" ref="AA128:AO128" si="350">G128-G$122</f>
        <v>-47.43557208429047</v>
      </c>
      <c r="AB128" s="593">
        <f t="shared" si="350"/>
        <v>-72.967320973271853</v>
      </c>
      <c r="AC128" s="593">
        <f t="shared" si="350"/>
        <v>-99.843913453714777</v>
      </c>
      <c r="AD128" s="593">
        <f t="shared" si="350"/>
        <v>-160.84106308293849</v>
      </c>
      <c r="AE128" s="593">
        <f t="shared" si="350"/>
        <v>-203.12164691937505</v>
      </c>
      <c r="AF128" s="593">
        <f t="shared" si="350"/>
        <v>-224.11940572117965</v>
      </c>
      <c r="AG128" s="593">
        <f t="shared" si="350"/>
        <v>-245.31348447706478</v>
      </c>
      <c r="AH128" s="593">
        <f t="shared" si="350"/>
        <v>-266.39541426989308</v>
      </c>
      <c r="AI128" s="593">
        <f t="shared" si="350"/>
        <v>-287.66671894440515</v>
      </c>
      <c r="AJ128" s="593">
        <f t="shared" si="350"/>
        <v>-309.12793254909775</v>
      </c>
      <c r="AK128" s="593">
        <f t="shared" si="350"/>
        <v>-330.77962094833856</v>
      </c>
      <c r="AL128" s="593">
        <f t="shared" si="350"/>
        <v>-352.25857138542779</v>
      </c>
      <c r="AM128" s="593">
        <f t="shared" si="350"/>
        <v>-373.88367719852977</v>
      </c>
      <c r="AN128" s="593">
        <f t="shared" si="350"/>
        <v>-395.65505614750509</v>
      </c>
      <c r="AO128" s="593">
        <f t="shared" si="350"/>
        <v>-417.5728714828183</v>
      </c>
      <c r="AQ128" s="554" t="str">
        <v>Lääne-Eesti</v>
      </c>
      <c r="AR128" s="592">
        <f>SUM(AT128:BB128)</f>
        <v>-847.48472897873523</v>
      </c>
      <c r="AS128" s="592"/>
      <c r="AT128" s="593">
        <f t="shared" ref="AT128:BG128" si="351">AB126*$BH17</f>
        <v>-40.655782654062911</v>
      </c>
      <c r="AU128" s="593">
        <f t="shared" si="351"/>
        <v>-44.952524656250823</v>
      </c>
      <c r="AV128" s="593">
        <f t="shared" si="351"/>
        <v>-70.520054797735085</v>
      </c>
      <c r="AW128" s="593">
        <f t="shared" si="351"/>
        <v>-94.21085999085112</v>
      </c>
      <c r="AX128" s="593">
        <f t="shared" si="351"/>
        <v>-106.64120008087686</v>
      </c>
      <c r="AY128" s="593">
        <f t="shared" si="351"/>
        <v>-117.79040250153227</v>
      </c>
      <c r="AZ128" s="593">
        <f t="shared" si="351"/>
        <v>-121.00740879237021</v>
      </c>
      <c r="BA128" s="593">
        <f t="shared" si="351"/>
        <v>-124.23264861340795</v>
      </c>
      <c r="BB128" s="593">
        <f t="shared" si="351"/>
        <v>-127.47384689164799</v>
      </c>
      <c r="BC128" s="593">
        <f t="shared" si="351"/>
        <v>-130.77104965389685</v>
      </c>
      <c r="BD128" s="593">
        <f t="shared" si="351"/>
        <v>-133.91405506978211</v>
      </c>
      <c r="BE128" s="593">
        <f t="shared" si="351"/>
        <v>-137.08434620305886</v>
      </c>
      <c r="BF128" s="593">
        <f t="shared" si="351"/>
        <v>-140.2820608343045</v>
      </c>
      <c r="BG128" s="593">
        <f t="shared" si="351"/>
        <v>-143.50734384844918</v>
      </c>
      <c r="BH128"/>
    </row>
    <row r="129" spans="3:60" outlineLevel="1" x14ac:dyDescent="0.3">
      <c r="C129" s="587" t="str">
        <f t="shared" ref="C129:C131" si="352">C128</f>
        <v>Baseline</v>
      </c>
      <c r="E129" s="563" t="s">
        <v>52</v>
      </c>
      <c r="F129" s="592">
        <f t="shared" si="349"/>
        <v>109792.7710839975</v>
      </c>
      <c r="G129" s="593">
        <f>G18*SUMPRODUCT(Assumptions!$C$599:$C$604,Assumptions!C$174:C$179)</f>
        <v>10790.108021655264</v>
      </c>
      <c r="H129" s="593">
        <f>H18*SUMPRODUCT(Assumptions!$C$599:$C$604,Assumptions!D$174:D$179)</f>
        <v>10825.644269758481</v>
      </c>
      <c r="I129" s="593">
        <f>I18*SUMPRODUCT(Assumptions!$C$599:$C$604,Assumptions!E$174:E$179)</f>
        <v>10871.845896726469</v>
      </c>
      <c r="J129" s="593">
        <f>J18*SUMPRODUCT(Assumptions!$C$599:$C$604,Assumptions!F$174:F$179)</f>
        <v>10892.86125633092</v>
      </c>
      <c r="K129" s="593">
        <f>K18*SUMPRODUCT(Assumptions!$C$599:$C$604,Assumptions!G$174:G$179)</f>
        <v>10929.403326689524</v>
      </c>
      <c r="L129" s="593">
        <f>L18*SUMPRODUCT(Assumptions!$C$599:$C$604,Assumptions!H$174:H$179)</f>
        <v>10982.043368465105</v>
      </c>
      <c r="M129" s="593">
        <f>M18*SUMPRODUCT(Assumptions!$C$599:$C$604,Assumptions!I$174:I$179)</f>
        <v>11037.318005716648</v>
      </c>
      <c r="N129" s="593">
        <f>N18*SUMPRODUCT(Assumptions!$C$599:$C$604,Assumptions!J$174:J$179)</f>
        <v>11094.726347548583</v>
      </c>
      <c r="O129" s="593">
        <f>O18*SUMPRODUCT(Assumptions!$C$599:$C$604,Assumptions!K$174:K$179)</f>
        <v>11153.913703775434</v>
      </c>
      <c r="P129" s="593">
        <f>P18*SUMPRODUCT(Assumptions!$C$599:$C$604,Assumptions!L$174:L$179)</f>
        <v>11214.906887331072</v>
      </c>
      <c r="Q129" s="593">
        <f>Q18*SUMPRODUCT(Assumptions!$C$599:$C$604,Assumptions!M$174:M$179)</f>
        <v>11277.733240817381</v>
      </c>
      <c r="R129" s="593">
        <f>R18*SUMPRODUCT(Assumptions!$C$599:$C$604,Assumptions!N$174:N$179)</f>
        <v>11356.255009601475</v>
      </c>
      <c r="S129" s="593">
        <f>S18*SUMPRODUCT(Assumptions!$C$599:$C$604,Assumptions!O$174:O$179)</f>
        <v>11436.832856687826</v>
      </c>
      <c r="T129" s="593">
        <f>T18*SUMPRODUCT(Assumptions!$C$599:$C$604,Assumptions!P$174:P$179)</f>
        <v>11519.499461737856</v>
      </c>
      <c r="U129" s="593">
        <f>U18*SUMPRODUCT(Assumptions!$C$599:$C$604,Assumptions!Q$174:Q$179)</f>
        <v>11604.288148376871</v>
      </c>
      <c r="Y129" s="563" t="s">
        <v>52</v>
      </c>
      <c r="Z129" s="592">
        <f t="shared" si="343"/>
        <v>-1514.208831355696</v>
      </c>
      <c r="AA129" s="593">
        <f t="shared" ref="AA129:AO129" si="353">G129-G$123</f>
        <v>-96.454746475010325</v>
      </c>
      <c r="AB129" s="593">
        <f t="shared" si="353"/>
        <v>-112.26040536074834</v>
      </c>
      <c r="AC129" s="593">
        <f t="shared" si="353"/>
        <v>-119.17640416455833</v>
      </c>
      <c r="AD129" s="593">
        <f t="shared" si="353"/>
        <v>-153.07591645046159</v>
      </c>
      <c r="AE129" s="593">
        <f t="shared" si="353"/>
        <v>-173.2710382861369</v>
      </c>
      <c r="AF129" s="593">
        <f t="shared" si="353"/>
        <v>-179.21612459788957</v>
      </c>
      <c r="AG129" s="593">
        <f t="shared" si="353"/>
        <v>-185.20383103972563</v>
      </c>
      <c r="AH129" s="593">
        <f t="shared" si="353"/>
        <v>-191.24073788681562</v>
      </c>
      <c r="AI129" s="593">
        <f t="shared" si="353"/>
        <v>-197.32067281948002</v>
      </c>
      <c r="AJ129" s="593">
        <f t="shared" si="353"/>
        <v>-203.44370074988001</v>
      </c>
      <c r="AK129" s="593">
        <f t="shared" si="353"/>
        <v>-209.60990686490186</v>
      </c>
      <c r="AL129" s="593">
        <f t="shared" si="353"/>
        <v>-216.08263207542768</v>
      </c>
      <c r="AM129" s="593">
        <f t="shared" si="353"/>
        <v>-222.61410262870413</v>
      </c>
      <c r="AN129" s="593">
        <f t="shared" si="353"/>
        <v>-229.20456469070632</v>
      </c>
      <c r="AO129" s="593">
        <f t="shared" si="353"/>
        <v>-235.85427928443096</v>
      </c>
      <c r="AQ129" s="554" t="str">
        <v>Kirde-Eesti</v>
      </c>
      <c r="AR129" s="592">
        <f>SUM(AT129:BB129)</f>
        <v>-891.45639891519522</v>
      </c>
      <c r="AS129" s="592"/>
      <c r="AT129" s="593">
        <f t="shared" ref="AT129:BG129" si="354">AB126*$BH18</f>
        <v>-42.76520432827666</v>
      </c>
      <c r="AU129" s="593">
        <f t="shared" si="354"/>
        <v>-47.284882407849722</v>
      </c>
      <c r="AV129" s="593">
        <f t="shared" si="354"/>
        <v>-74.178981581234552</v>
      </c>
      <c r="AW129" s="593">
        <f t="shared" si="354"/>
        <v>-99.098982098891724</v>
      </c>
      <c r="AX129" s="593">
        <f t="shared" si="354"/>
        <v>-112.17426928111489</v>
      </c>
      <c r="AY129" s="593">
        <f t="shared" si="354"/>
        <v>-123.90194707971206</v>
      </c>
      <c r="AZ129" s="593">
        <f t="shared" si="354"/>
        <v>-127.285867456394</v>
      </c>
      <c r="BA129" s="593">
        <f t="shared" si="354"/>
        <v>-130.67844855925932</v>
      </c>
      <c r="BB129" s="593">
        <f t="shared" si="354"/>
        <v>-134.08781612246233</v>
      </c>
      <c r="BC129" s="593">
        <f t="shared" si="354"/>
        <v>-137.55609395735578</v>
      </c>
      <c r="BD129" s="593">
        <f t="shared" si="354"/>
        <v>-140.86217393025677</v>
      </c>
      <c r="BE129" s="593">
        <f t="shared" si="354"/>
        <v>-144.19695533757411</v>
      </c>
      <c r="BF129" s="593">
        <f t="shared" si="354"/>
        <v>-147.5605831086182</v>
      </c>
      <c r="BG129" s="593">
        <f t="shared" si="354"/>
        <v>-150.95320964566099</v>
      </c>
      <c r="BH129"/>
    </row>
    <row r="130" spans="3:60" outlineLevel="1" x14ac:dyDescent="0.3">
      <c r="C130" s="587" t="str">
        <f t="shared" si="352"/>
        <v>Baseline</v>
      </c>
      <c r="E130" s="563" t="s">
        <v>53</v>
      </c>
      <c r="F130" s="592">
        <f t="shared" si="349"/>
        <v>113057.12218042339</v>
      </c>
      <c r="G130" s="586">
        <f>G19*SUMPRODUCT(Assumptions!$C$599:$C$604,Assumptions!C$183:C$188)</f>
        <v>10726.761561426598</v>
      </c>
      <c r="H130" s="586">
        <f>H19*SUMPRODUCT(Assumptions!$C$599:$C$604,Assumptions!D$183:D$188)</f>
        <v>10828.882268854404</v>
      </c>
      <c r="I130" s="586">
        <f>I19*SUMPRODUCT(Assumptions!$C$599:$C$604,Assumptions!E$183:E$188)</f>
        <v>10991.4110683406</v>
      </c>
      <c r="J130" s="586">
        <f>J19*SUMPRODUCT(Assumptions!$C$599:$C$604,Assumptions!F$183:F$188)</f>
        <v>11057.296401097838</v>
      </c>
      <c r="K130" s="586">
        <f>K19*SUMPRODUCT(Assumptions!$C$599:$C$604,Assumptions!G$183:G$188)</f>
        <v>11172.541982909335</v>
      </c>
      <c r="L130" s="586">
        <f>L19*SUMPRODUCT(Assumptions!$C$599:$C$604,Assumptions!H$183:H$188)</f>
        <v>11335.829198893793</v>
      </c>
      <c r="M130" s="586">
        <f>M19*SUMPRODUCT(Assumptions!$C$599:$C$604,Assumptions!I$183:I$188)</f>
        <v>11497.516549176406</v>
      </c>
      <c r="N130" s="586">
        <f>N19*SUMPRODUCT(Assumptions!$C$599:$C$604,Assumptions!J$183:J$188)</f>
        <v>11657.618296255583</v>
      </c>
      <c r="O130" s="586">
        <f>O19*SUMPRODUCT(Assumptions!$C$599:$C$604,Assumptions!K$183:K$188)</f>
        <v>11816.147721921152</v>
      </c>
      <c r="P130" s="586">
        <f>P19*SUMPRODUCT(Assumptions!$C$599:$C$604,Assumptions!L$183:L$188)</f>
        <v>11973.117131547702</v>
      </c>
      <c r="Q130" s="586">
        <f>Q19*SUMPRODUCT(Assumptions!$C$599:$C$604,Assumptions!M$183:M$188)</f>
        <v>12128.537858035832</v>
      </c>
      <c r="R130" s="586">
        <f>R19*SUMPRODUCT(Assumptions!$C$599:$C$604,Assumptions!N$183:N$188)</f>
        <v>12251.416554673955</v>
      </c>
      <c r="S130" s="586">
        <f>S19*SUMPRODUCT(Assumptions!$C$599:$C$604,Assumptions!O$183:O$188)</f>
        <v>12375.521010578646</v>
      </c>
      <c r="T130" s="586">
        <f>T19*SUMPRODUCT(Assumptions!$C$599:$C$604,Assumptions!P$183:P$188)</f>
        <v>12500.863442451084</v>
      </c>
      <c r="U130" s="586">
        <f>U19*SUMPRODUCT(Assumptions!$C$599:$C$604,Assumptions!Q$183:Q$188)</f>
        <v>12627.456189153598</v>
      </c>
      <c r="Y130" s="563" t="s">
        <v>53</v>
      </c>
      <c r="Z130" s="592">
        <f t="shared" si="343"/>
        <v>-1282.7309202805664</v>
      </c>
      <c r="AA130" s="593">
        <f t="shared" ref="AA130:AO130" si="355">G130-G$124</f>
        <v>-12.06230947063159</v>
      </c>
      <c r="AB130" s="593">
        <f t="shared" si="355"/>
        <v>-21.800231145598445</v>
      </c>
      <c r="AC130" s="593">
        <f t="shared" si="355"/>
        <v>-28.660154517428964</v>
      </c>
      <c r="AD130" s="593">
        <f t="shared" si="355"/>
        <v>-130.45763805505521</v>
      </c>
      <c r="AE130" s="593">
        <f t="shared" si="355"/>
        <v>-181.20787603694589</v>
      </c>
      <c r="AF130" s="593">
        <f t="shared" si="355"/>
        <v>-182.24734533027004</v>
      </c>
      <c r="AG130" s="593">
        <f t="shared" si="355"/>
        <v>-183.23436652952114</v>
      </c>
      <c r="AH130" s="593">
        <f t="shared" si="355"/>
        <v>-184.17046299472895</v>
      </c>
      <c r="AI130" s="593">
        <f t="shared" si="355"/>
        <v>-185.05710993736102</v>
      </c>
      <c r="AJ130" s="593">
        <f t="shared" si="355"/>
        <v>-185.89573573365669</v>
      </c>
      <c r="AK130" s="593">
        <f t="shared" si="355"/>
        <v>-186.6877231959279</v>
      </c>
      <c r="AL130" s="593">
        <f t="shared" si="355"/>
        <v>-186.9612823701209</v>
      </c>
      <c r="AM130" s="593">
        <f t="shared" si="355"/>
        <v>-187.24060483586982</v>
      </c>
      <c r="AN130" s="593">
        <f t="shared" si="355"/>
        <v>-187.52578911757701</v>
      </c>
      <c r="AO130" s="593">
        <f t="shared" si="355"/>
        <v>-187.81693473075029</v>
      </c>
      <c r="AQ130" s="554" t="str">
        <v>Lõuna-Eesti </v>
      </c>
      <c r="AR130" s="592">
        <f>SUM(AT130:BB130)</f>
        <v>-1987.5024515949658</v>
      </c>
      <c r="AS130" s="592"/>
      <c r="AT130" s="593">
        <f t="shared" ref="AT130:BG130" si="356">AB126*$BH19</f>
        <v>-95.345042728775354</v>
      </c>
      <c r="AU130" s="593">
        <f t="shared" si="356"/>
        <v>-105.42166708696344</v>
      </c>
      <c r="AV130" s="593">
        <f t="shared" si="356"/>
        <v>-165.38207356964261</v>
      </c>
      <c r="AW130" s="593">
        <f t="shared" si="356"/>
        <v>-220.94122619097357</v>
      </c>
      <c r="AX130" s="593">
        <f t="shared" si="356"/>
        <v>-250.09258498047836</v>
      </c>
      <c r="AY130" s="593">
        <f t="shared" si="356"/>
        <v>-276.23944802907164</v>
      </c>
      <c r="AZ130" s="593">
        <f t="shared" si="356"/>
        <v>-283.78390006603246</v>
      </c>
      <c r="BA130" s="593">
        <f t="shared" si="356"/>
        <v>-291.34766119600448</v>
      </c>
      <c r="BB130" s="593">
        <f t="shared" si="356"/>
        <v>-298.94884774702388</v>
      </c>
      <c r="BC130" s="593">
        <f t="shared" si="356"/>
        <v>-306.68137477588522</v>
      </c>
      <c r="BD130" s="593">
        <f t="shared" si="356"/>
        <v>-314.05228159679734</v>
      </c>
      <c r="BE130" s="593">
        <f t="shared" si="356"/>
        <v>-321.48717827894791</v>
      </c>
      <c r="BF130" s="593">
        <f t="shared" si="356"/>
        <v>-328.98638794230135</v>
      </c>
      <c r="BG130" s="593">
        <f t="shared" si="356"/>
        <v>-336.5502503677929</v>
      </c>
      <c r="BH130"/>
    </row>
    <row r="131" spans="3:60" outlineLevel="1" x14ac:dyDescent="0.3">
      <c r="C131" s="587" t="str">
        <f t="shared" si="352"/>
        <v>Baseline</v>
      </c>
      <c r="E131" s="563" t="s">
        <v>54</v>
      </c>
      <c r="F131" s="592">
        <f t="shared" si="349"/>
        <v>13406.23006634671</v>
      </c>
      <c r="G131" s="593">
        <f>G20*SUMPRODUCT(Assumptions!$C$599:$C$604,_xlfn.ANCHORARRAY(Assumptions!C$192))</f>
        <v>1352.4866016419983</v>
      </c>
      <c r="H131" s="593">
        <f>H20*SUMPRODUCT(Assumptions!$C$599:$C$604,_xlfn.ANCHORARRAY(Assumptions!D$192))</f>
        <v>1352.3733011646652</v>
      </c>
      <c r="I131" s="593">
        <f>I20*SUMPRODUCT(Assumptions!$C$599:$C$604,_xlfn.ANCHORARRAY(Assumptions!E$192))</f>
        <v>1352.2583124451378</v>
      </c>
      <c r="J131" s="593">
        <f>J20*SUMPRODUCT(Assumptions!$C$599:$C$604,_xlfn.ANCHORARRAY(Assumptions!F$192))</f>
        <v>1340.7731704287271</v>
      </c>
      <c r="K131" s="593">
        <f>K20*SUMPRODUCT(Assumptions!$C$599:$C$604,_xlfn.ANCHORARRAY(Assumptions!G$192))</f>
        <v>1335.0300666004848</v>
      </c>
      <c r="L131" s="593">
        <f>L20*SUMPRODUCT(Assumptions!$C$599:$C$604,_xlfn.ANCHORARRAY(Assumptions!H$192))</f>
        <v>1334.9097396761745</v>
      </c>
      <c r="M131" s="593">
        <f>M20*SUMPRODUCT(Assumptions!$C$599:$C$604,_xlfn.ANCHORARRAY(Assumptions!I$192))</f>
        <v>1334.7875856939363</v>
      </c>
      <c r="N131" s="593">
        <f>N20*SUMPRODUCT(Assumptions!$C$599:$C$604,_xlfn.ANCHORARRAY(Assumptions!J$192))</f>
        <v>1334.6635865082008</v>
      </c>
      <c r="O131" s="593">
        <f>O20*SUMPRODUCT(Assumptions!$C$599:$C$604,_xlfn.ANCHORARRAY(Assumptions!K$192))</f>
        <v>1334.5377236857282</v>
      </c>
      <c r="P131" s="593">
        <f>P20*SUMPRODUCT(Assumptions!$C$599:$C$604,_xlfn.ANCHORARRAY(Assumptions!L$192))</f>
        <v>1334.4099785016572</v>
      </c>
      <c r="Q131" s="593">
        <f>Q20*SUMPRODUCT(Assumptions!$C$599:$C$604,_xlfn.ANCHORARRAY(Assumptions!M$192))</f>
        <v>1334.2803319356926</v>
      </c>
      <c r="R131" s="593">
        <f>R20*SUMPRODUCT(Assumptions!$C$599:$C$604,Assumptions!N$192:N$197)</f>
        <v>1334.148764668425</v>
      </c>
      <c r="S131" s="593">
        <f>S20*SUMPRODUCT(Assumptions!$C$599:$C$604,Assumptions!O$192:O$197)</f>
        <v>1334.0152570777591</v>
      </c>
      <c r="T131" s="593">
        <f>T20*SUMPRODUCT(Assumptions!$C$599:$C$604,Assumptions!P$192:P$197)</f>
        <v>1333.879789235441</v>
      </c>
      <c r="U131" s="593">
        <f>U20*SUMPRODUCT(Assumptions!$C$599:$C$604,Assumptions!Q$192:Q$197)</f>
        <v>1333.7423409036662</v>
      </c>
      <c r="Y131" s="563" t="s">
        <v>54</v>
      </c>
      <c r="Z131" s="592">
        <f t="shared" si="343"/>
        <v>-147.78431307306778</v>
      </c>
      <c r="AA131" s="593">
        <f t="shared" ref="AA131:AO131" si="357">G131-G$125</f>
        <v>-3.2387069999772393</v>
      </c>
      <c r="AB131" s="593">
        <f t="shared" si="357"/>
        <v>-3.3520074773102806</v>
      </c>
      <c r="AC131" s="593">
        <f t="shared" si="357"/>
        <v>-3.4669961968377265</v>
      </c>
      <c r="AD131" s="593">
        <f t="shared" si="357"/>
        <v>-14.952138213248418</v>
      </c>
      <c r="AE131" s="593">
        <f t="shared" si="357"/>
        <v>-20.695242041490701</v>
      </c>
      <c r="AF131" s="593">
        <f t="shared" si="357"/>
        <v>-20.815568965801049</v>
      </c>
      <c r="AG131" s="593">
        <f t="shared" si="357"/>
        <v>-20.937722948039209</v>
      </c>
      <c r="AH131" s="593">
        <f t="shared" si="357"/>
        <v>-21.061722133774765</v>
      </c>
      <c r="AI131" s="593">
        <f t="shared" si="357"/>
        <v>-21.187584956247292</v>
      </c>
      <c r="AJ131" s="593">
        <f t="shared" si="357"/>
        <v>-21.315330140318338</v>
      </c>
      <c r="AK131" s="593">
        <f t="shared" si="357"/>
        <v>-21.444976706282887</v>
      </c>
      <c r="AL131" s="593">
        <f t="shared" si="357"/>
        <v>-21.576543973550542</v>
      </c>
      <c r="AM131" s="593">
        <f t="shared" si="357"/>
        <v>-21.710051564216428</v>
      </c>
      <c r="AN131" s="593">
        <f t="shared" si="357"/>
        <v>-21.845519406534549</v>
      </c>
      <c r="AO131" s="593">
        <f t="shared" si="357"/>
        <v>-21.982967738309299</v>
      </c>
      <c r="AQ131" s="554" t="str">
        <v>Kesk-Eesti</v>
      </c>
      <c r="AR131" s="592">
        <f>SUM(AT131:BB131)</f>
        <v>-838.0356149295128</v>
      </c>
      <c r="AS131" s="592"/>
      <c r="AT131" s="593">
        <f t="shared" ref="AT131:BG131" si="358">AB126*$BH20</f>
        <v>-40.202487020616431</v>
      </c>
      <c r="AU131" s="593">
        <f t="shared" si="358"/>
        <v>-44.451322076719684</v>
      </c>
      <c r="AV131" s="593">
        <f t="shared" si="358"/>
        <v>-69.733784534972727</v>
      </c>
      <c r="AW131" s="593">
        <f t="shared" si="358"/>
        <v>-93.160446773610488</v>
      </c>
      <c r="AX131" s="593">
        <f t="shared" si="358"/>
        <v>-105.45219356848291</v>
      </c>
      <c r="AY131" s="593">
        <f t="shared" si="358"/>
        <v>-116.47708686399622</v>
      </c>
      <c r="AZ131" s="593">
        <f t="shared" si="358"/>
        <v>-119.65822482789001</v>
      </c>
      <c r="BA131" s="593">
        <f t="shared" si="358"/>
        <v>-122.84750452143163</v>
      </c>
      <c r="BB131" s="593">
        <f t="shared" si="358"/>
        <v>-126.05256474179288</v>
      </c>
      <c r="BC131" s="593">
        <f t="shared" si="358"/>
        <v>-129.31300501867941</v>
      </c>
      <c r="BD131" s="593">
        <f t="shared" si="358"/>
        <v>-132.42096718762872</v>
      </c>
      <c r="BE131" s="593">
        <f t="shared" si="358"/>
        <v>-135.55591084918916</v>
      </c>
      <c r="BF131" s="593">
        <f t="shared" si="358"/>
        <v>-138.71797224774008</v>
      </c>
      <c r="BG131" s="593">
        <f t="shared" si="358"/>
        <v>-141.90729465280288</v>
      </c>
      <c r="BH131"/>
    </row>
    <row r="132" spans="3:60" outlineLevel="1" x14ac:dyDescent="0.3">
      <c r="C132" s="587" t="str">
        <f>E132</f>
        <v>EEO</v>
      </c>
      <c r="E132" s="555" t="str">
        <f>'EE Measures'!$IG$6</f>
        <v>EEO</v>
      </c>
      <c r="F132" s="590">
        <f>SUM(G132:P132)</f>
        <v>481878.88199705188</v>
      </c>
      <c r="G132" s="591">
        <f>SUM(G133:G137)</f>
        <v>47304.830693134165</v>
      </c>
      <c r="H132" s="591">
        <f>SUM(H133:H137)</f>
        <v>48652.228157787838</v>
      </c>
      <c r="I132" s="591">
        <f t="shared" ref="I132:P132" si="359">SUM(I133:I137)</f>
        <v>49023.444534208538</v>
      </c>
      <c r="J132" s="591">
        <f t="shared" si="359"/>
        <v>49122.879088313413</v>
      </c>
      <c r="K132" s="591">
        <f t="shared" si="359"/>
        <v>48618.839016341823</v>
      </c>
      <c r="L132" s="591">
        <f t="shared" si="359"/>
        <v>48327.040249672966</v>
      </c>
      <c r="M132" s="591">
        <f t="shared" si="359"/>
        <v>47929.724838065093</v>
      </c>
      <c r="N132" s="591">
        <f t="shared" si="359"/>
        <v>47779.571987224925</v>
      </c>
      <c r="O132" s="591">
        <f t="shared" si="359"/>
        <v>47631.731622026491</v>
      </c>
      <c r="P132" s="591">
        <f t="shared" si="359"/>
        <v>47488.591810276674</v>
      </c>
      <c r="Q132" s="591">
        <f t="shared" ref="Q132:U132" si="360">SUM(Q133:Q137)</f>
        <v>47386.04815159853</v>
      </c>
      <c r="R132" s="591">
        <f t="shared" si="360"/>
        <v>47235.461941648813</v>
      </c>
      <c r="S132" s="591">
        <f t="shared" si="360"/>
        <v>47093.109176209211</v>
      </c>
      <c r="T132" s="591">
        <f t="shared" si="360"/>
        <v>46959.069844621437</v>
      </c>
      <c r="U132" s="591">
        <f t="shared" si="360"/>
        <v>46833.09463763245</v>
      </c>
      <c r="V132" s="997">
        <f>(F132-F$120)/1000</f>
        <v>-24.153928137670562</v>
      </c>
      <c r="W132" s="871">
        <f>(P132-P$120)/P$120/9</f>
        <v>-1.1235955115729078E-2</v>
      </c>
      <c r="Y132" s="555" t="str">
        <f>'EE Measures'!$IG$6</f>
        <v>EEO</v>
      </c>
      <c r="Z132" s="590">
        <f t="shared" si="343"/>
        <v>-23776.206137196139</v>
      </c>
      <c r="AA132" s="591">
        <f>SUM(AA133:AA137)</f>
        <v>-377.72200047450269</v>
      </c>
      <c r="AB132" s="591">
        <f>SUM(AB133:AB137)</f>
        <v>-455.254511811984</v>
      </c>
      <c r="AC132" s="591">
        <f t="shared" ref="AC132" si="361">SUM(AC133:AC137)</f>
        <v>-506.80686120013547</v>
      </c>
      <c r="AD132" s="591">
        <f t="shared" ref="AD132" si="362">SUM(AD133:AD137)</f>
        <v>-849.68908946877173</v>
      </c>
      <c r="AE132" s="591">
        <f t="shared" ref="AE132" si="363">SUM(AE133:AE137)</f>
        <v>-1814.4272304491822</v>
      </c>
      <c r="AF132" s="591">
        <f t="shared" ref="AF132" si="364">SUM(AF133:AF137)</f>
        <v>-2571.7426342560352</v>
      </c>
      <c r="AG132" s="591">
        <f t="shared" ref="AG132" si="365">SUM(AG133:AG137)</f>
        <v>-3445.5272862805177</v>
      </c>
      <c r="AH132" s="591">
        <f t="shared" ref="AH132" si="366">SUM(AH133:AH137)</f>
        <v>-4078.8217070578585</v>
      </c>
      <c r="AI132" s="591">
        <f t="shared" ref="AI132" si="367">SUM(AI133:AI137)</f>
        <v>-4711.4702065156725</v>
      </c>
      <c r="AJ132" s="591">
        <f t="shared" ref="AJ132:AO132" si="368">SUM(AJ133:AJ137)</f>
        <v>-5342.4666101559869</v>
      </c>
      <c r="AK132" s="591">
        <f t="shared" si="368"/>
        <v>-5943.2387417813097</v>
      </c>
      <c r="AL132" s="591">
        <f t="shared" si="368"/>
        <v>-6538.6656228695192</v>
      </c>
      <c r="AM132" s="591">
        <f t="shared" si="368"/>
        <v>-7133.2808289141976</v>
      </c>
      <c r="AN132" s="591">
        <f t="shared" si="368"/>
        <v>-7727.1073689414097</v>
      </c>
      <c r="AO132" s="591">
        <f t="shared" si="368"/>
        <v>-8320.4991932185876</v>
      </c>
      <c r="AQ132" s="555" t="s">
        <v>35</v>
      </c>
      <c r="AR132" s="591">
        <f t="shared" ref="AR132:BB132" si="369">SUM(AR133:AR137)</f>
        <v>-23776.206137196146</v>
      </c>
      <c r="AS132" s="591"/>
      <c r="AT132" s="591">
        <f t="shared" si="369"/>
        <v>-455.25451181198412</v>
      </c>
      <c r="AU132" s="591">
        <f t="shared" si="369"/>
        <v>-506.80686120013547</v>
      </c>
      <c r="AV132" s="591">
        <f t="shared" si="369"/>
        <v>-849.68908946877184</v>
      </c>
      <c r="AW132" s="591">
        <f t="shared" si="369"/>
        <v>-1814.4272304491822</v>
      </c>
      <c r="AX132" s="591">
        <f t="shared" si="369"/>
        <v>-2571.7426342560357</v>
      </c>
      <c r="AY132" s="591">
        <f t="shared" si="369"/>
        <v>-3445.5272862805182</v>
      </c>
      <c r="AZ132" s="591">
        <f t="shared" si="369"/>
        <v>-4078.8217070578585</v>
      </c>
      <c r="BA132" s="591">
        <f t="shared" si="369"/>
        <v>-4711.4702065156735</v>
      </c>
      <c r="BB132" s="591">
        <f t="shared" si="369"/>
        <v>-5342.4666101559869</v>
      </c>
      <c r="BC132" s="591">
        <f t="shared" ref="BC132:BG132" si="370">SUM(BC133:BC137)</f>
        <v>-5943.2387417813097</v>
      </c>
      <c r="BD132" s="591">
        <f t="shared" si="370"/>
        <v>-6538.6656228695201</v>
      </c>
      <c r="BE132" s="591">
        <f t="shared" si="370"/>
        <v>-7133.2808289141985</v>
      </c>
      <c r="BF132" s="591">
        <f t="shared" si="370"/>
        <v>-7727.1073689414116</v>
      </c>
      <c r="BG132" s="591">
        <f t="shared" si="370"/>
        <v>-8320.4991932185876</v>
      </c>
      <c r="BH132"/>
    </row>
    <row r="133" spans="3:60" outlineLevel="1" x14ac:dyDescent="0.3">
      <c r="C133" s="587" t="str">
        <f>C132</f>
        <v>EEO</v>
      </c>
      <c r="E133" s="563" t="s">
        <v>50</v>
      </c>
      <c r="F133" s="592">
        <f>SUM(G133:P133)</f>
        <v>92146.611368762737</v>
      </c>
      <c r="G133" s="593">
        <f>G22*SUMPRODUCT(Assumptions!$C$599:$C$604,Assumptions!C$156:C$161)</f>
        <v>8031.1542022299864</v>
      </c>
      <c r="H133" s="593">
        <f>H22*SUMPRODUCT(Assumptions!$C$599:$C$604,Assumptions!D$156:D$161)</f>
        <v>9205.8922007668662</v>
      </c>
      <c r="I133" s="593">
        <f>I22*SUMPRODUCT(Assumptions!$C$599:$C$604,Assumptions!E$156:E$161)</f>
        <v>9333.8366143363182</v>
      </c>
      <c r="J133" s="593">
        <f>J22*SUMPRODUCT(Assumptions!$C$599:$C$604,Assumptions!F$156:F$161)</f>
        <v>9354.0693275762587</v>
      </c>
      <c r="K133" s="593">
        <f>K22*SUMPRODUCT(Assumptions!$C$599:$C$604,Assumptions!G$156:G$161)</f>
        <v>9256.0024798573395</v>
      </c>
      <c r="L133" s="593">
        <f>L22*SUMPRODUCT(Assumptions!$C$599:$C$604,Assumptions!H$156:H$161)</f>
        <v>9233.320748067883</v>
      </c>
      <c r="M133" s="593">
        <f>M22*SUMPRODUCT(Assumptions!$C$599:$C$604,Assumptions!I$156:I$161)</f>
        <v>9258.9121622421062</v>
      </c>
      <c r="N133" s="593">
        <f>N22*SUMPRODUCT(Assumptions!$C$599:$C$604,Assumptions!J$156:J$161)</f>
        <v>9374.9841995739789</v>
      </c>
      <c r="O133" s="593">
        <f>O22*SUMPRODUCT(Assumptions!$C$599:$C$604,Assumptions!K$156:K$161)</f>
        <v>9490.8146533642248</v>
      </c>
      <c r="P133" s="593">
        <f>P22*SUMPRODUCT(Assumptions!$C$599:$C$604,Assumptions!L$156:L$161)</f>
        <v>9607.6247807477666</v>
      </c>
      <c r="Q133" s="593">
        <f>Q22*SUMPRODUCT(Assumptions!$C$599:$C$604,Assumptions!M$156:M$161)</f>
        <v>9731.9123010484127</v>
      </c>
      <c r="R133" s="593">
        <f>R22*SUMPRODUCT(Assumptions!$C$599:$C$604,Assumptions!N$156:N$161)</f>
        <v>9838.2730399242846</v>
      </c>
      <c r="S133" s="593">
        <f>S22*SUMPRODUCT(Assumptions!$C$599:$C$604,Assumptions!O$156:O$161)</f>
        <v>9947.0145532034312</v>
      </c>
      <c r="T133" s="593">
        <f>T22*SUMPRODUCT(Assumptions!$C$599:$C$604,Assumptions!P$156:P$161)</f>
        <v>10058.172708518588</v>
      </c>
      <c r="U133" s="593">
        <f>U22*SUMPRODUCT(Assumptions!$C$599:$C$604,Assumptions!Q$156:Q$161)</f>
        <v>10171.783912813547</v>
      </c>
      <c r="Y133" s="563" t="s">
        <v>50</v>
      </c>
      <c r="Z133" s="592">
        <f t="shared" si="343"/>
        <v>-6354.4723558671121</v>
      </c>
      <c r="AA133" s="593">
        <f t="shared" ref="AA133:AO133" si="371">G133-G$121</f>
        <v>-197.89942248391799</v>
      </c>
      <c r="AB133" s="593">
        <f t="shared" si="371"/>
        <v>-218.28750058514379</v>
      </c>
      <c r="AC133" s="593">
        <f t="shared" si="371"/>
        <v>-222.82409379619639</v>
      </c>
      <c r="AD133" s="593">
        <f t="shared" si="371"/>
        <v>-352.03306267323933</v>
      </c>
      <c r="AE133" s="593">
        <f t="shared" si="371"/>
        <v>-615.25744971453787</v>
      </c>
      <c r="AF133" s="593">
        <f t="shared" si="371"/>
        <v>-805.17162542149163</v>
      </c>
      <c r="AG133" s="593">
        <f t="shared" si="371"/>
        <v>-947.09618163214509</v>
      </c>
      <c r="AH133" s="593">
        <f t="shared" si="371"/>
        <v>-1005.8419004227671</v>
      </c>
      <c r="AI133" s="593">
        <f t="shared" si="371"/>
        <v>-1064.5731519702513</v>
      </c>
      <c r="AJ133" s="593">
        <f t="shared" si="371"/>
        <v>-1123.3873896513396</v>
      </c>
      <c r="AK133" s="593">
        <f t="shared" si="371"/>
        <v>-1183.0472727605902</v>
      </c>
      <c r="AL133" s="593">
        <f t="shared" si="371"/>
        <v>-1240.4109274918555</v>
      </c>
      <c r="AM133" s="593">
        <f t="shared" si="371"/>
        <v>-1297.8496737239493</v>
      </c>
      <c r="AN133" s="593">
        <f t="shared" si="371"/>
        <v>-1355.3644818126995</v>
      </c>
      <c r="AO133" s="593">
        <f t="shared" si="371"/>
        <v>-1412.9563353727117</v>
      </c>
      <c r="AQ133" s="554" t="str" cm="1">
        <f t="array" ref="AQ133:AQ137">_xlfn.ANCHORARRAY(AQ127)</f>
        <v xml:space="preserve">Põhja-Eesti </v>
      </c>
      <c r="AR133" s="592">
        <f>SUM(AT133:BB133)</f>
        <v>-10410.496247886122</v>
      </c>
      <c r="AS133" s="592"/>
      <c r="AT133" s="593">
        <f t="shared" ref="AT133:BG133" si="372">AB132*$BH22</f>
        <v>-199.33480386668592</v>
      </c>
      <c r="AU133" s="593">
        <f t="shared" si="372"/>
        <v>-221.90718302500164</v>
      </c>
      <c r="AV133" s="593">
        <f t="shared" si="372"/>
        <v>-372.03938369065497</v>
      </c>
      <c r="AW133" s="593">
        <f t="shared" si="372"/>
        <v>-794.45340293811694</v>
      </c>
      <c r="AX133" s="593">
        <f t="shared" si="372"/>
        <v>-1126.0466404926826</v>
      </c>
      <c r="AY133" s="593">
        <f t="shared" si="372"/>
        <v>-1508.6363517725867</v>
      </c>
      <c r="AZ133" s="593">
        <f t="shared" si="372"/>
        <v>-1785.9265617104788</v>
      </c>
      <c r="BA133" s="593">
        <f t="shared" si="372"/>
        <v>-2062.9339527059983</v>
      </c>
      <c r="BB133" s="593">
        <f t="shared" si="372"/>
        <v>-2339.2179676839146</v>
      </c>
      <c r="BC133" s="593">
        <f t="shared" si="372"/>
        <v>-2602.2681778827368</v>
      </c>
      <c r="BD133" s="593">
        <f t="shared" si="372"/>
        <v>-2862.9779511615757</v>
      </c>
      <c r="BE133" s="593">
        <f t="shared" si="372"/>
        <v>-3123.3323296416634</v>
      </c>
      <c r="BF133" s="593">
        <f t="shared" si="372"/>
        <v>-3383.3413879067311</v>
      </c>
      <c r="BG133" s="593">
        <f t="shared" si="372"/>
        <v>-3643.1601043376763</v>
      </c>
      <c r="BH133"/>
    </row>
    <row r="134" spans="3:60" outlineLevel="1" x14ac:dyDescent="0.3">
      <c r="C134" s="587" t="str">
        <f t="shared" ref="C134:C137" si="373">C133</f>
        <v>EEO</v>
      </c>
      <c r="E134" s="563" t="s">
        <v>51</v>
      </c>
      <c r="F134" s="592">
        <f t="shared" ref="F134:F137" si="374">SUM(G134:P134)</f>
        <v>160406.96534314012</v>
      </c>
      <c r="G134" s="586">
        <f>G23*SUMPRODUCT(Assumptions!$C$599:$C$604,Assumptions!C$165:C$170)</f>
        <v>16424.951549140998</v>
      </c>
      <c r="H134" s="586">
        <f>H23*SUMPRODUCT(Assumptions!$C$599:$C$604,Assumptions!D$165:D$170)</f>
        <v>16466.023163513335</v>
      </c>
      <c r="I134" s="586">
        <f>I23*SUMPRODUCT(Assumptions!$C$599:$C$604,Assumptions!E$165:E$170)</f>
        <v>16506.927941431411</v>
      </c>
      <c r="J134" s="586">
        <f>J23*SUMPRODUCT(Assumptions!$C$599:$C$604,Assumptions!F$165:F$170)</f>
        <v>16516.208203873495</v>
      </c>
      <c r="K134" s="586">
        <f>K23*SUMPRODUCT(Assumptions!$C$599:$C$604,Assumptions!G$165:G$170)</f>
        <v>16276.034675530973</v>
      </c>
      <c r="L134" s="586">
        <f>L23*SUMPRODUCT(Assumptions!$C$599:$C$604,Assumptions!H$165:H$170)</f>
        <v>16059.310245290651</v>
      </c>
      <c r="M134" s="586">
        <f>M23*SUMPRODUCT(Assumptions!$C$599:$C$604,Assumptions!I$165:I$170)</f>
        <v>15851.627332850107</v>
      </c>
      <c r="N134" s="586">
        <f>N23*SUMPRODUCT(Assumptions!$C$599:$C$604,Assumptions!J$165:J$170)</f>
        <v>15642.653473708819</v>
      </c>
      <c r="O134" s="586">
        <f>O23*SUMPRODUCT(Assumptions!$C$599:$C$604,Assumptions!K$165:K$170)</f>
        <v>15434.886457284585</v>
      </c>
      <c r="P134" s="586">
        <f>P23*SUMPRODUCT(Assumptions!$C$599:$C$604,Assumptions!L$165:L$170)</f>
        <v>15228.342300515733</v>
      </c>
      <c r="Q134" s="586">
        <f>Q23*SUMPRODUCT(Assumptions!$C$599:$C$604,Assumptions!M$165:M$170)</f>
        <v>15023.037552775413</v>
      </c>
      <c r="R134" s="586">
        <f>R23*SUMPRODUCT(Assumptions!$C$599:$C$604,Assumptions!N$165:N$170)</f>
        <v>14803.70010163259</v>
      </c>
      <c r="S134" s="586">
        <f>S23*SUMPRODUCT(Assumptions!$C$599:$C$604,Assumptions!O$165:O$170)</f>
        <v>14586.051982588269</v>
      </c>
      <c r="T134" s="586">
        <f>T23*SUMPRODUCT(Assumptions!$C$599:$C$604,Assumptions!P$165:P$170)</f>
        <v>14370.109763284969</v>
      </c>
      <c r="U134" s="586">
        <f>U23*SUMPRODUCT(Assumptions!$C$599:$C$604,Assumptions!Q$165:Q$170)</f>
        <v>14155.93904384987</v>
      </c>
      <c r="Y134" s="563" t="s">
        <v>51</v>
      </c>
      <c r="Z134" s="592">
        <f t="shared" si="343"/>
        <v>-7566.8229139618325</v>
      </c>
      <c r="AA134" s="593">
        <f t="shared" ref="AA134:AO134" si="375">G134-G$122</f>
        <v>-47.43557208429047</v>
      </c>
      <c r="AB134" s="593">
        <f t="shared" si="375"/>
        <v>-72.967320973271853</v>
      </c>
      <c r="AC134" s="593">
        <f t="shared" si="375"/>
        <v>-99.843913453714777</v>
      </c>
      <c r="AD134" s="593">
        <f t="shared" si="375"/>
        <v>-160.84106308293849</v>
      </c>
      <c r="AE134" s="593">
        <f t="shared" si="375"/>
        <v>-473.82210912423761</v>
      </c>
      <c r="AF134" s="593">
        <f t="shared" si="375"/>
        <v>-765.9189192199392</v>
      </c>
      <c r="AG134" s="593">
        <f t="shared" si="375"/>
        <v>-1058.6183865169678</v>
      </c>
      <c r="AH134" s="593">
        <f t="shared" si="375"/>
        <v>-1351.432967249526</v>
      </c>
      <c r="AI134" s="593">
        <f t="shared" si="375"/>
        <v>-1644.7630488277064</v>
      </c>
      <c r="AJ134" s="593">
        <f t="shared" si="375"/>
        <v>-1938.6151855135304</v>
      </c>
      <c r="AK134" s="593">
        <f t="shared" si="375"/>
        <v>-2232.9957292394083</v>
      </c>
      <c r="AL134" s="593">
        <f t="shared" si="375"/>
        <v>-2525.3027081066448</v>
      </c>
      <c r="AM134" s="593">
        <f t="shared" si="375"/>
        <v>-2817.5399122347408</v>
      </c>
      <c r="AN134" s="593">
        <f t="shared" si="375"/>
        <v>-3109.7116933073939</v>
      </c>
      <c r="AO134" s="593">
        <f t="shared" si="375"/>
        <v>-3401.7736786272872</v>
      </c>
      <c r="AQ134" s="554" t="str">
        <v>Lääne-Eesti</v>
      </c>
      <c r="AR134" s="592">
        <f>SUM(AT134:BB134)</f>
        <v>-3265.8708201759382</v>
      </c>
      <c r="AS134" s="592"/>
      <c r="AT134" s="593">
        <f t="shared" ref="AT134:BG134" si="376">AB132*$BH23</f>
        <v>-62.533207245129248</v>
      </c>
      <c r="AU134" s="593">
        <f t="shared" si="376"/>
        <v>-69.614375393099095</v>
      </c>
      <c r="AV134" s="593">
        <f t="shared" si="376"/>
        <v>-116.7122621458382</v>
      </c>
      <c r="AW134" s="593">
        <f t="shared" si="376"/>
        <v>-249.22752238366252</v>
      </c>
      <c r="AX134" s="593">
        <f t="shared" si="376"/>
        <v>-353.25144717178375</v>
      </c>
      <c r="AY134" s="593">
        <f t="shared" si="376"/>
        <v>-473.27344654787379</v>
      </c>
      <c r="AZ134" s="593">
        <f t="shared" si="376"/>
        <v>-560.26199961905957</v>
      </c>
      <c r="BA134" s="593">
        <f t="shared" si="376"/>
        <v>-647.16182972168588</v>
      </c>
      <c r="BB134" s="593">
        <f t="shared" si="376"/>
        <v>-733.83472994780584</v>
      </c>
      <c r="BC134" s="593">
        <f t="shared" si="376"/>
        <v>-816.35606085015547</v>
      </c>
      <c r="BD134" s="593">
        <f t="shared" si="376"/>
        <v>-898.14317462572899</v>
      </c>
      <c r="BE134" s="593">
        <f t="shared" si="376"/>
        <v>-979.81879770237288</v>
      </c>
      <c r="BF134" s="593">
        <f t="shared" si="376"/>
        <v>-1061.3860905719835</v>
      </c>
      <c r="BG134" s="593">
        <f t="shared" si="376"/>
        <v>-1142.8936714137408</v>
      </c>
      <c r="BH134"/>
    </row>
    <row r="135" spans="3:60" outlineLevel="1" x14ac:dyDescent="0.3">
      <c r="C135" s="587" t="str">
        <f t="shared" si="373"/>
        <v>EEO</v>
      </c>
      <c r="E135" s="563" t="s">
        <v>52</v>
      </c>
      <c r="F135" s="592">
        <f t="shared" si="374"/>
        <v>105170.78087153236</v>
      </c>
      <c r="G135" s="593">
        <f>G24*SUMPRODUCT(Assumptions!$C$599:$C$604,Assumptions!C$174:C$179)</f>
        <v>10790.108021655264</v>
      </c>
      <c r="H135" s="593">
        <f>H24*SUMPRODUCT(Assumptions!$C$599:$C$604,Assumptions!D$174:D$179)</f>
        <v>10825.644269758481</v>
      </c>
      <c r="I135" s="593">
        <f>I24*SUMPRODUCT(Assumptions!$C$599:$C$604,Assumptions!E$174:E$179)</f>
        <v>10871.845896726469</v>
      </c>
      <c r="J135" s="593">
        <f>J24*SUMPRODUCT(Assumptions!$C$599:$C$604,Assumptions!F$174:F$179)</f>
        <v>10892.86125633092</v>
      </c>
      <c r="K135" s="593">
        <f>K24*SUMPRODUCT(Assumptions!$C$599:$C$604,Assumptions!G$174:G$179)</f>
        <v>10706.728539796479</v>
      </c>
      <c r="L135" s="593">
        <f>L24*SUMPRODUCT(Assumptions!$C$599:$C$604,Assumptions!H$174:H$179)</f>
        <v>10538.273194130079</v>
      </c>
      <c r="M135" s="593">
        <f>M24*SUMPRODUCT(Assumptions!$C$599:$C$604,Assumptions!I$174:I$179)</f>
        <v>10374.007117425532</v>
      </c>
      <c r="N135" s="593">
        <f>N24*SUMPRODUCT(Assumptions!$C$599:$C$604,Assumptions!J$174:J$179)</f>
        <v>10213.374734773683</v>
      </c>
      <c r="O135" s="593">
        <f>O24*SUMPRODUCT(Assumptions!$C$599:$C$604,Assumptions!K$174:K$179)</f>
        <v>10056.012929449353</v>
      </c>
      <c r="P135" s="593">
        <f>P24*SUMPRODUCT(Assumptions!$C$599:$C$604,Assumptions!L$174:L$179)</f>
        <v>9901.9249114861013</v>
      </c>
      <c r="Q135" s="593">
        <f>Q24*SUMPRODUCT(Assumptions!$C$599:$C$604,Assumptions!M$174:M$179)</f>
        <v>9751.1146350476029</v>
      </c>
      <c r="R135" s="593">
        <f>R24*SUMPRODUCT(Assumptions!$C$599:$C$604,Assumptions!N$174:N$179)</f>
        <v>9615.3003101134273</v>
      </c>
      <c r="S135" s="593">
        <f>S24*SUMPRODUCT(Assumptions!$C$599:$C$604,Assumptions!O$174:O$179)</f>
        <v>9482.4255042444311</v>
      </c>
      <c r="T135" s="593">
        <f>T24*SUMPRODUCT(Assumptions!$C$599:$C$604,Assumptions!P$174:P$179)</f>
        <v>9352.5055747341285</v>
      </c>
      <c r="U135" s="593">
        <f>U24*SUMPRODUCT(Assumptions!$C$599:$C$604,Assumptions!Q$174:Q$179)</f>
        <v>9225.1768866339935</v>
      </c>
      <c r="Y135" s="563" t="s">
        <v>52</v>
      </c>
      <c r="Z135" s="592">
        <f t="shared" si="343"/>
        <v>-6136.1990438208359</v>
      </c>
      <c r="AA135" s="593">
        <f t="shared" ref="AA135:AO135" si="377">G135-G$123</f>
        <v>-96.454746475010325</v>
      </c>
      <c r="AB135" s="593">
        <f t="shared" si="377"/>
        <v>-112.26040536074834</v>
      </c>
      <c r="AC135" s="593">
        <f t="shared" si="377"/>
        <v>-119.17640416455833</v>
      </c>
      <c r="AD135" s="593">
        <f t="shared" si="377"/>
        <v>-153.07591645046159</v>
      </c>
      <c r="AE135" s="593">
        <f t="shared" si="377"/>
        <v>-395.94582517918207</v>
      </c>
      <c r="AF135" s="593">
        <f t="shared" si="377"/>
        <v>-622.98629893291582</v>
      </c>
      <c r="AG135" s="593">
        <f t="shared" si="377"/>
        <v>-848.51471933084213</v>
      </c>
      <c r="AH135" s="593">
        <f t="shared" si="377"/>
        <v>-1072.5923506617164</v>
      </c>
      <c r="AI135" s="593">
        <f t="shared" si="377"/>
        <v>-1295.2214471455609</v>
      </c>
      <c r="AJ135" s="593">
        <f t="shared" si="377"/>
        <v>-1516.4256765948503</v>
      </c>
      <c r="AK135" s="593">
        <f t="shared" si="377"/>
        <v>-1736.2285126346796</v>
      </c>
      <c r="AL135" s="593">
        <f t="shared" si="377"/>
        <v>-1957.0373315634752</v>
      </c>
      <c r="AM135" s="593">
        <f t="shared" si="377"/>
        <v>-2177.0214550720993</v>
      </c>
      <c r="AN135" s="593">
        <f t="shared" si="377"/>
        <v>-2396.198451694434</v>
      </c>
      <c r="AO135" s="593">
        <f t="shared" si="377"/>
        <v>-2614.9655410273081</v>
      </c>
      <c r="AQ135" s="554" t="str">
        <v>Kirde-Eesti</v>
      </c>
      <c r="AR135" s="592">
        <f>SUM(AT135:BB135)</f>
        <v>-2097.8377240563991</v>
      </c>
      <c r="AS135" s="592"/>
      <c r="AT135" s="593">
        <f t="shared" ref="AT135:BG135" si="378">AB132*$BH24</f>
        <v>-40.168312951827637</v>
      </c>
      <c r="AU135" s="593">
        <f t="shared" si="378"/>
        <v>-44.716913459669364</v>
      </c>
      <c r="AV135" s="593">
        <f t="shared" si="378"/>
        <v>-74.970321813374397</v>
      </c>
      <c r="AW135" s="593">
        <f t="shared" si="378"/>
        <v>-160.09172656173573</v>
      </c>
      <c r="AX135" s="593">
        <f t="shared" si="378"/>
        <v>-226.91167310609114</v>
      </c>
      <c r="AY135" s="593">
        <f t="shared" si="378"/>
        <v>-304.00801030728854</v>
      </c>
      <c r="AZ135" s="593">
        <f t="shared" si="378"/>
        <v>-359.88525660449045</v>
      </c>
      <c r="BA135" s="593">
        <f t="shared" si="378"/>
        <v>-415.70551155063083</v>
      </c>
      <c r="BB135" s="593">
        <f t="shared" si="378"/>
        <v>-471.37999770129107</v>
      </c>
      <c r="BC135" s="593">
        <f t="shared" si="378"/>
        <v>-524.38771617466421</v>
      </c>
      <c r="BD135" s="593">
        <f t="shared" si="378"/>
        <v>-576.92380901707736</v>
      </c>
      <c r="BE135" s="593">
        <f t="shared" si="378"/>
        <v>-629.38828561776677</v>
      </c>
      <c r="BF135" s="593">
        <f t="shared" si="378"/>
        <v>-681.783176124124</v>
      </c>
      <c r="BG135" s="593">
        <f t="shared" si="378"/>
        <v>-734.13971050695181</v>
      </c>
      <c r="BH135"/>
    </row>
    <row r="136" spans="3:60" outlineLevel="1" x14ac:dyDescent="0.3">
      <c r="C136" s="587" t="str">
        <f t="shared" si="373"/>
        <v>EEO</v>
      </c>
      <c r="E136" s="563" t="s">
        <v>53</v>
      </c>
      <c r="F136" s="592">
        <f t="shared" si="374"/>
        <v>110841.33655516333</v>
      </c>
      <c r="G136" s="586">
        <f>G25*SUMPRODUCT(Assumptions!$C$599:$C$604,Assumptions!C$183:C$188)</f>
        <v>10706.130318465923</v>
      </c>
      <c r="H136" s="586">
        <f>H25*SUMPRODUCT(Assumptions!$C$599:$C$604,Assumptions!D$183:D$188)</f>
        <v>10802.295222584493</v>
      </c>
      <c r="I136" s="586">
        <f>I25*SUMPRODUCT(Assumptions!$C$599:$C$604,Assumptions!E$183:E$188)</f>
        <v>10958.5757692692</v>
      </c>
      <c r="J136" s="586">
        <f>J25*SUMPRODUCT(Assumptions!$C$599:$C$604,Assumptions!F$183:F$188)</f>
        <v>11018.967130104009</v>
      </c>
      <c r="K136" s="586">
        <f>K25*SUMPRODUCT(Assumptions!$C$599:$C$604,Assumptions!G$183:G$188)</f>
        <v>11045.043254556547</v>
      </c>
      <c r="L136" s="586">
        <f>L25*SUMPRODUCT(Assumptions!$C$599:$C$604,Assumptions!H$183:H$188)</f>
        <v>11161.226322508175</v>
      </c>
      <c r="M136" s="586">
        <f>M25*SUMPRODUCT(Assumptions!$C$599:$C$604,Assumptions!I$183:I$188)</f>
        <v>11119.694860642738</v>
      </c>
      <c r="N136" s="586">
        <f>N25*SUMPRODUCT(Assumptions!$C$599:$C$604,Assumptions!J$183:J$188)</f>
        <v>11232.504434238906</v>
      </c>
      <c r="O136" s="586">
        <f>O25*SUMPRODUCT(Assumptions!$C$599:$C$604,Assumptions!K$183:K$188)</f>
        <v>11343.392520610609</v>
      </c>
      <c r="P136" s="586">
        <f>P25*SUMPRODUCT(Assumptions!$C$599:$C$604,Assumptions!L$183:L$188)</f>
        <v>11453.506722182748</v>
      </c>
      <c r="Q136" s="586">
        <f>Q25*SUMPRODUCT(Assumptions!$C$599:$C$604,Assumptions!M$183:M$188)</f>
        <v>11582.920213948748</v>
      </c>
      <c r="R136" s="586">
        <f>R25*SUMPRODUCT(Assumptions!$C$599:$C$604,Assumptions!N$183:N$188)</f>
        <v>11681.25660846742</v>
      </c>
      <c r="S136" s="586">
        <f>S25*SUMPRODUCT(Assumptions!$C$599:$C$604,Assumptions!O$183:O$188)</f>
        <v>11780.818762252662</v>
      </c>
      <c r="T136" s="586">
        <f>T25*SUMPRODUCT(Assumptions!$C$599:$C$604,Assumptions!P$183:P$188)</f>
        <v>11881.61889200565</v>
      </c>
      <c r="U136" s="586">
        <f>U25*SUMPRODUCT(Assumptions!$C$599:$C$604,Assumptions!Q$183:Q$188)</f>
        <v>11983.669336588713</v>
      </c>
      <c r="Y136" s="563" t="s">
        <v>53</v>
      </c>
      <c r="Z136" s="592">
        <f t="shared" si="343"/>
        <v>-3477.8853025799526</v>
      </c>
      <c r="AA136" s="593">
        <f t="shared" ref="AA136:AO136" si="379">G136-G$124</f>
        <v>-32.693552431306671</v>
      </c>
      <c r="AB136" s="593">
        <f t="shared" si="379"/>
        <v>-48.387277415509743</v>
      </c>
      <c r="AC136" s="593">
        <f t="shared" si="379"/>
        <v>-61.495453588828241</v>
      </c>
      <c r="AD136" s="593">
        <f t="shared" si="379"/>
        <v>-168.7869090488839</v>
      </c>
      <c r="AE136" s="593">
        <f t="shared" si="379"/>
        <v>-308.70660438973391</v>
      </c>
      <c r="AF136" s="593">
        <f t="shared" si="379"/>
        <v>-356.85022171588753</v>
      </c>
      <c r="AG136" s="593">
        <f t="shared" si="379"/>
        <v>-561.05605506318898</v>
      </c>
      <c r="AH136" s="593">
        <f t="shared" si="379"/>
        <v>-609.2843250114056</v>
      </c>
      <c r="AI136" s="593">
        <f t="shared" si="379"/>
        <v>-657.81231124790429</v>
      </c>
      <c r="AJ136" s="593">
        <f t="shared" si="379"/>
        <v>-705.50614509861043</v>
      </c>
      <c r="AK136" s="593">
        <f t="shared" si="379"/>
        <v>-732.30536728301195</v>
      </c>
      <c r="AL136" s="593">
        <f t="shared" si="379"/>
        <v>-757.12122857665599</v>
      </c>
      <c r="AM136" s="593">
        <f t="shared" si="379"/>
        <v>-781.94285316185415</v>
      </c>
      <c r="AN136" s="593">
        <f t="shared" si="379"/>
        <v>-806.77033956301057</v>
      </c>
      <c r="AO136" s="593">
        <f t="shared" si="379"/>
        <v>-831.6037872956349</v>
      </c>
      <c r="AQ136" s="554" t="str">
        <v>Lõuna-Eesti </v>
      </c>
      <c r="AR136" s="592">
        <f>SUM(AT136:BB136)</f>
        <v>-5555.2204208347384</v>
      </c>
      <c r="AS136" s="592"/>
      <c r="AT136" s="593">
        <f t="shared" ref="AT136:BG136" si="380">AB132*$BH25</f>
        <v>-106.36849067095633</v>
      </c>
      <c r="AU136" s="593">
        <f t="shared" si="380"/>
        <v>-118.41350165422831</v>
      </c>
      <c r="AV136" s="593">
        <f t="shared" si="380"/>
        <v>-198.52663431416713</v>
      </c>
      <c r="AW136" s="593">
        <f t="shared" si="380"/>
        <v>-423.93404332666859</v>
      </c>
      <c r="AX136" s="593">
        <f t="shared" si="380"/>
        <v>-600.87791620380119</v>
      </c>
      <c r="AY136" s="593">
        <f t="shared" si="380"/>
        <v>-805.03438735520785</v>
      </c>
      <c r="AZ136" s="593">
        <f t="shared" si="380"/>
        <v>-953.00122775028638</v>
      </c>
      <c r="BA136" s="593">
        <f t="shared" si="380"/>
        <v>-1100.8171510779498</v>
      </c>
      <c r="BB136" s="593">
        <f t="shared" si="380"/>
        <v>-1248.2470684814723</v>
      </c>
      <c r="BC136" s="593">
        <f t="shared" si="380"/>
        <v>-1388.6151993184712</v>
      </c>
      <c r="BD136" s="593">
        <f t="shared" si="380"/>
        <v>-1527.7344326330101</v>
      </c>
      <c r="BE136" s="593">
        <f t="shared" si="380"/>
        <v>-1666.6640211509448</v>
      </c>
      <c r="BF136" s="593">
        <f t="shared" si="380"/>
        <v>-1805.4093408439808</v>
      </c>
      <c r="BG136" s="593">
        <f t="shared" si="380"/>
        <v>-1944.0530908501664</v>
      </c>
      <c r="BH136"/>
    </row>
    <row r="137" spans="3:60" outlineLevel="1" x14ac:dyDescent="0.3">
      <c r="C137" s="587" t="str">
        <f t="shared" si="373"/>
        <v>EEO</v>
      </c>
      <c r="E137" s="563" t="s">
        <v>54</v>
      </c>
      <c r="F137" s="592">
        <f t="shared" si="374"/>
        <v>13313.187858453366</v>
      </c>
      <c r="G137" s="593">
        <f>G26*SUMPRODUCT(Assumptions!$C$599:$C$604,_xlfn.ANCHORARRAY(Assumptions!C$192))</f>
        <v>1352.4866016419983</v>
      </c>
      <c r="H137" s="593">
        <f>H26*SUMPRODUCT(Assumptions!$C$599:$C$604,_xlfn.ANCHORARRAY(Assumptions!D$192))</f>
        <v>1352.3733011646652</v>
      </c>
      <c r="I137" s="593">
        <f>I26*SUMPRODUCT(Assumptions!$C$599:$C$604,_xlfn.ANCHORARRAY(Assumptions!E$192))</f>
        <v>1352.2583124451378</v>
      </c>
      <c r="J137" s="593">
        <f>J26*SUMPRODUCT(Assumptions!$C$599:$C$604,_xlfn.ANCHORARRAY(Assumptions!F$192))</f>
        <v>1340.7731704287271</v>
      </c>
      <c r="K137" s="593">
        <f>K26*SUMPRODUCT(Assumptions!$C$599:$C$604,_xlfn.ANCHORARRAY(Assumptions!G$192))</f>
        <v>1335.0300666004848</v>
      </c>
      <c r="L137" s="593">
        <f>L26*SUMPRODUCT(Assumptions!$C$599:$C$604,_xlfn.ANCHORARRAY(Assumptions!H$192))</f>
        <v>1334.9097396761745</v>
      </c>
      <c r="M137" s="593">
        <f>M26*SUMPRODUCT(Assumptions!$C$599:$C$604,_xlfn.ANCHORARRAY(Assumptions!I$192))</f>
        <v>1325.483364904602</v>
      </c>
      <c r="N137" s="593">
        <f>N26*SUMPRODUCT(Assumptions!$C$599:$C$604,_xlfn.ANCHORARRAY(Assumptions!J$192))</f>
        <v>1316.0551449295319</v>
      </c>
      <c r="O137" s="593">
        <f>O26*SUMPRODUCT(Assumptions!$C$599:$C$604,_xlfn.ANCHORARRAY(Assumptions!K$192))</f>
        <v>1306.6250613177253</v>
      </c>
      <c r="P137" s="593">
        <f>P26*SUMPRODUCT(Assumptions!$C$599:$C$604,_xlfn.ANCHORARRAY(Assumptions!L$192))</f>
        <v>1297.1930953443198</v>
      </c>
      <c r="Q137" s="593">
        <f>Q26*SUMPRODUCT(Assumptions!$C$599:$C$604,_xlfn.ANCHORARRAY(Assumptions!M$192))</f>
        <v>1297.0634487783555</v>
      </c>
      <c r="R137" s="593">
        <f>R26*SUMPRODUCT(Assumptions!$C$599:$C$604,Assumptions!N$192:N$197)</f>
        <v>1296.9318815110878</v>
      </c>
      <c r="S137" s="593">
        <f>S26*SUMPRODUCT(Assumptions!$C$599:$C$604,Assumptions!O$192:O$197)</f>
        <v>1296.7983739204217</v>
      </c>
      <c r="T137" s="593">
        <f>T26*SUMPRODUCT(Assumptions!$C$599:$C$604,Assumptions!P$192:P$197)</f>
        <v>1296.6629060781036</v>
      </c>
      <c r="U137" s="593">
        <f>U26*SUMPRODUCT(Assumptions!$C$599:$C$604,Assumptions!Q$192:Q$197)</f>
        <v>1296.5254577463288</v>
      </c>
      <c r="Y137" s="563" t="s">
        <v>54</v>
      </c>
      <c r="Z137" s="592">
        <f t="shared" si="343"/>
        <v>-240.82652096641118</v>
      </c>
      <c r="AA137" s="593">
        <f t="shared" ref="AA137:AO137" si="381">G137-G$125</f>
        <v>-3.2387069999772393</v>
      </c>
      <c r="AB137" s="593">
        <f t="shared" si="381"/>
        <v>-3.3520074773102806</v>
      </c>
      <c r="AC137" s="593">
        <f t="shared" si="381"/>
        <v>-3.4669961968377265</v>
      </c>
      <c r="AD137" s="593">
        <f t="shared" si="381"/>
        <v>-14.952138213248418</v>
      </c>
      <c r="AE137" s="593">
        <f t="shared" si="381"/>
        <v>-20.695242041490701</v>
      </c>
      <c r="AF137" s="593">
        <f t="shared" si="381"/>
        <v>-20.815568965801049</v>
      </c>
      <c r="AG137" s="593">
        <f t="shared" si="381"/>
        <v>-30.241943737373504</v>
      </c>
      <c r="AH137" s="593">
        <f t="shared" si="381"/>
        <v>-39.670163712443582</v>
      </c>
      <c r="AI137" s="593">
        <f t="shared" si="381"/>
        <v>-49.100247324250176</v>
      </c>
      <c r="AJ137" s="593">
        <f t="shared" si="381"/>
        <v>-58.532213297655744</v>
      </c>
      <c r="AK137" s="593">
        <f t="shared" si="381"/>
        <v>-58.661859863620066</v>
      </c>
      <c r="AL137" s="593">
        <f t="shared" si="381"/>
        <v>-58.793427130887721</v>
      </c>
      <c r="AM137" s="593">
        <f t="shared" si="381"/>
        <v>-58.926934721553835</v>
      </c>
      <c r="AN137" s="593">
        <f t="shared" si="381"/>
        <v>-59.062402563871956</v>
      </c>
      <c r="AO137" s="593">
        <f t="shared" si="381"/>
        <v>-59.199850895646705</v>
      </c>
      <c r="AQ137" s="554" t="str">
        <v>Kesk-Eesti</v>
      </c>
      <c r="AR137" s="592">
        <f>SUM(AT137:BB137)</f>
        <v>-2446.7809242429507</v>
      </c>
      <c r="AS137" s="592"/>
      <c r="AT137" s="593">
        <f t="shared" ref="AT137:BG137" si="382">AB132*$BH26</f>
        <v>-46.849697077384917</v>
      </c>
      <c r="AU137" s="593">
        <f t="shared" si="382"/>
        <v>-52.154887668137079</v>
      </c>
      <c r="AV137" s="593">
        <f t="shared" si="382"/>
        <v>-87.440487504737078</v>
      </c>
      <c r="AW137" s="593">
        <f t="shared" si="382"/>
        <v>-186.72053523899859</v>
      </c>
      <c r="AX137" s="593">
        <f t="shared" si="382"/>
        <v>-264.65495728167662</v>
      </c>
      <c r="AY137" s="593">
        <f t="shared" si="382"/>
        <v>-354.57509029756113</v>
      </c>
      <c r="AZ137" s="593">
        <f t="shared" si="382"/>
        <v>-419.74666137354347</v>
      </c>
      <c r="BA137" s="593">
        <f t="shared" si="382"/>
        <v>-484.85176145940824</v>
      </c>
      <c r="BB137" s="593">
        <f t="shared" si="382"/>
        <v>-549.78684634150352</v>
      </c>
      <c r="BC137" s="593">
        <f t="shared" si="382"/>
        <v>-611.61158755528243</v>
      </c>
      <c r="BD137" s="593">
        <f t="shared" si="382"/>
        <v>-672.88625543212788</v>
      </c>
      <c r="BE137" s="593">
        <f t="shared" si="382"/>
        <v>-734.0773948014504</v>
      </c>
      <c r="BF137" s="593">
        <f t="shared" si="382"/>
        <v>-795.18737349459104</v>
      </c>
      <c r="BG137" s="593">
        <f t="shared" si="382"/>
        <v>-856.25261611005317</v>
      </c>
      <c r="BH137"/>
    </row>
    <row r="138" spans="3:60" outlineLevel="1" x14ac:dyDescent="0.3">
      <c r="C138" s="587" t="str">
        <f>E138</f>
        <v>VA</v>
      </c>
      <c r="E138" s="555" t="str">
        <f>'EE Measures'!$IH$6</f>
        <v>VA</v>
      </c>
      <c r="F138" s="590">
        <f>SUM(G138:P138)</f>
        <v>483456.83116843808</v>
      </c>
      <c r="G138" s="591">
        <f>SUM(G139:G143)</f>
        <v>47304.830693134165</v>
      </c>
      <c r="H138" s="591">
        <f>SUM(H139:H143)</f>
        <v>48652.228157787838</v>
      </c>
      <c r="I138" s="591">
        <f t="shared" ref="I138:P138" si="383">SUM(I139:I143)</f>
        <v>49023.444534208538</v>
      </c>
      <c r="J138" s="591">
        <f t="shared" si="383"/>
        <v>49122.879088313413</v>
      </c>
      <c r="K138" s="591">
        <f t="shared" si="383"/>
        <v>48757.210038484067</v>
      </c>
      <c r="L138" s="591">
        <f t="shared" si="383"/>
        <v>48576.584883006326</v>
      </c>
      <c r="M138" s="591">
        <f t="shared" si="383"/>
        <v>48252.638933651062</v>
      </c>
      <c r="N138" s="591">
        <f t="shared" si="383"/>
        <v>48125.302009303145</v>
      </c>
      <c r="O138" s="591">
        <f t="shared" si="383"/>
        <v>47936.469915848778</v>
      </c>
      <c r="P138" s="591">
        <f t="shared" si="383"/>
        <v>47705.24291470075</v>
      </c>
      <c r="Q138" s="591">
        <f t="shared" ref="Q138:U138" si="384">SUM(Q139:Q143)</f>
        <v>47512.453765215898</v>
      </c>
      <c r="R138" s="591">
        <f t="shared" si="384"/>
        <v>47272.703854744781</v>
      </c>
      <c r="S138" s="591">
        <f t="shared" si="384"/>
        <v>47040.209017924208</v>
      </c>
      <c r="T138" s="591">
        <f t="shared" si="384"/>
        <v>46814.948858847187</v>
      </c>
      <c r="U138" s="591">
        <f t="shared" si="384"/>
        <v>46596.717835755182</v>
      </c>
      <c r="V138" s="997">
        <f>(F138-F$120)/1000</f>
        <v>-22.575978966284367</v>
      </c>
      <c r="W138" s="871">
        <f>(P138-P$120)/P$120/9</f>
        <v>-1.0780307516462008E-2</v>
      </c>
      <c r="Y138" s="555" t="str">
        <f>'EE Measures'!$IH$6</f>
        <v>VA</v>
      </c>
      <c r="Z138" s="590">
        <f t="shared" si="343"/>
        <v>-22198.256965809982</v>
      </c>
      <c r="AA138" s="591">
        <f>SUM(AA139:AA143)</f>
        <v>-377.72200047450269</v>
      </c>
      <c r="AB138" s="591">
        <f>SUM(AB139:AB143)</f>
        <v>-455.254511811984</v>
      </c>
      <c r="AC138" s="591">
        <f t="shared" ref="AC138" si="385">SUM(AC139:AC143)</f>
        <v>-506.80686120013547</v>
      </c>
      <c r="AD138" s="591">
        <f t="shared" ref="AD138" si="386">SUM(AD139:AD143)</f>
        <v>-849.68908946877173</v>
      </c>
      <c r="AE138" s="591">
        <f t="shared" ref="AE138" si="387">SUM(AE139:AE143)</f>
        <v>-1676.0562083069378</v>
      </c>
      <c r="AF138" s="591">
        <f t="shared" ref="AF138" si="388">SUM(AF139:AF143)</f>
        <v>-2322.1980009226731</v>
      </c>
      <c r="AG138" s="591">
        <f t="shared" ref="AG138" si="389">SUM(AG139:AG143)</f>
        <v>-3122.6131906945466</v>
      </c>
      <c r="AH138" s="591">
        <f t="shared" ref="AH138" si="390">SUM(AH139:AH143)</f>
        <v>-3733.0916849796349</v>
      </c>
      <c r="AI138" s="591">
        <f t="shared" ref="AI138" si="391">SUM(AI139:AI143)</f>
        <v>-4406.7319126933889</v>
      </c>
      <c r="AJ138" s="591">
        <f t="shared" ref="AJ138:AO138" si="392">SUM(AJ139:AJ143)</f>
        <v>-5125.8155057319073</v>
      </c>
      <c r="AK138" s="591">
        <f t="shared" si="392"/>
        <v>-5816.8331281639421</v>
      </c>
      <c r="AL138" s="591">
        <f t="shared" si="392"/>
        <v>-6501.4237097735459</v>
      </c>
      <c r="AM138" s="591">
        <f t="shared" si="392"/>
        <v>-7186.1809871992027</v>
      </c>
      <c r="AN138" s="591">
        <f t="shared" si="392"/>
        <v>-7871.2283547156676</v>
      </c>
      <c r="AO138" s="591">
        <f t="shared" si="392"/>
        <v>-8556.8759950958593</v>
      </c>
      <c r="AQ138" s="555" t="s">
        <v>36</v>
      </c>
      <c r="AR138" s="591">
        <f t="shared" ref="AR138:BB138" si="393">SUM(AR139:AR143)</f>
        <v>-22198.256965809982</v>
      </c>
      <c r="AS138" s="591"/>
      <c r="AT138" s="591">
        <f t="shared" si="393"/>
        <v>-455.25451181198406</v>
      </c>
      <c r="AU138" s="591">
        <f t="shared" si="393"/>
        <v>-506.80686120013553</v>
      </c>
      <c r="AV138" s="591">
        <f t="shared" si="393"/>
        <v>-849.68908946877173</v>
      </c>
      <c r="AW138" s="591">
        <f t="shared" si="393"/>
        <v>-1676.0562083069381</v>
      </c>
      <c r="AX138" s="591">
        <f t="shared" si="393"/>
        <v>-2322.1980009226736</v>
      </c>
      <c r="AY138" s="591">
        <f t="shared" si="393"/>
        <v>-3122.613190694547</v>
      </c>
      <c r="AZ138" s="591">
        <f t="shared" si="393"/>
        <v>-3733.0916849796354</v>
      </c>
      <c r="BA138" s="591">
        <f t="shared" si="393"/>
        <v>-4406.7319126933899</v>
      </c>
      <c r="BB138" s="591">
        <f t="shared" si="393"/>
        <v>-5125.8155057319082</v>
      </c>
      <c r="BC138" s="591">
        <f t="shared" ref="BC138:BG138" si="394">SUM(BC139:BC143)</f>
        <v>-5816.833128163943</v>
      </c>
      <c r="BD138" s="591">
        <f t="shared" si="394"/>
        <v>-6501.4237097735459</v>
      </c>
      <c r="BE138" s="591">
        <f t="shared" si="394"/>
        <v>-7186.1809871992027</v>
      </c>
      <c r="BF138" s="591">
        <f t="shared" si="394"/>
        <v>-7871.2283547156685</v>
      </c>
      <c r="BG138" s="591">
        <f t="shared" si="394"/>
        <v>-8556.8759950958593</v>
      </c>
      <c r="BH138"/>
    </row>
    <row r="139" spans="3:60" outlineLevel="1" x14ac:dyDescent="0.3">
      <c r="C139" s="587" t="str">
        <f>C138</f>
        <v>VA</v>
      </c>
      <c r="E139" s="563" t="s">
        <v>50</v>
      </c>
      <c r="F139" s="592">
        <f>SUM(G139:P139)</f>
        <v>90917.073108231445</v>
      </c>
      <c r="G139" s="593">
        <f>G28*SUMPRODUCT(Assumptions!$C$599:$C$604,Assumptions!C$156:C$161)</f>
        <v>8031.1542022299864</v>
      </c>
      <c r="H139" s="593">
        <f>H28*SUMPRODUCT(Assumptions!$C$599:$C$604,Assumptions!D$156:D$161)</f>
        <v>9205.8922007668662</v>
      </c>
      <c r="I139" s="593">
        <f>I28*SUMPRODUCT(Assumptions!$C$599:$C$604,Assumptions!E$156:E$161)</f>
        <v>9333.8366143363182</v>
      </c>
      <c r="J139" s="593">
        <f>J28*SUMPRODUCT(Assumptions!$C$599:$C$604,Assumptions!F$156:F$161)</f>
        <v>9354.0693275762587</v>
      </c>
      <c r="K139" s="593">
        <f>K28*SUMPRODUCT(Assumptions!$C$599:$C$604,Assumptions!G$156:G$161)</f>
        <v>9265.5130670900562</v>
      </c>
      <c r="L139" s="593">
        <f>L28*SUMPRODUCT(Assumptions!$C$599:$C$604,Assumptions!H$156:H$161)</f>
        <v>9222.1960679590666</v>
      </c>
      <c r="M139" s="593">
        <f>M28*SUMPRODUCT(Assumptions!$C$599:$C$604,Assumptions!I$156:I$161)</f>
        <v>9186.4512270711093</v>
      </c>
      <c r="N139" s="593">
        <f>N28*SUMPRODUCT(Assumptions!$C$599:$C$604,Assumptions!J$156:J$161)</f>
        <v>9187.7847963715612</v>
      </c>
      <c r="O139" s="593">
        <f>O28*SUMPRODUCT(Assumptions!$C$599:$C$604,Assumptions!K$156:K$161)</f>
        <v>9122.273846158263</v>
      </c>
      <c r="P139" s="593">
        <f>P28*SUMPRODUCT(Assumptions!$C$599:$C$604,Assumptions!L$156:L$161)</f>
        <v>9007.9017586719583</v>
      </c>
      <c r="Q139" s="593">
        <f>Q28*SUMPRODUCT(Assumptions!$C$599:$C$604,Assumptions!M$156:M$161)</f>
        <v>8896.1522361541647</v>
      </c>
      <c r="R139" s="593">
        <f>R28*SUMPRODUCT(Assumptions!$C$599:$C$604,Assumptions!N$156:N$161)</f>
        <v>8764.0097326849227</v>
      </c>
      <c r="S139" s="593">
        <f>S28*SUMPRODUCT(Assumptions!$C$599:$C$604,Assumptions!O$156:O$161)</f>
        <v>8630.4708727304132</v>
      </c>
      <c r="T139" s="593">
        <f>T28*SUMPRODUCT(Assumptions!$C$599:$C$604,Assumptions!P$156:P$161)</f>
        <v>8495.5260163223029</v>
      </c>
      <c r="U139" s="593">
        <f>U28*SUMPRODUCT(Assumptions!$C$599:$C$604,Assumptions!Q$156:Q$161)</f>
        <v>8359.1205552022566</v>
      </c>
      <c r="Y139" s="563" t="s">
        <v>50</v>
      </c>
      <c r="Z139" s="592">
        <f t="shared" si="343"/>
        <v>-7584.0106163983965</v>
      </c>
      <c r="AA139" s="593">
        <f t="shared" ref="AA139:AO139" si="395">G139-G$121</f>
        <v>-197.89942248391799</v>
      </c>
      <c r="AB139" s="593">
        <f t="shared" si="395"/>
        <v>-218.28750058514379</v>
      </c>
      <c r="AC139" s="593">
        <f t="shared" si="395"/>
        <v>-222.82409379619639</v>
      </c>
      <c r="AD139" s="593">
        <f t="shared" si="395"/>
        <v>-352.03306267323933</v>
      </c>
      <c r="AE139" s="593">
        <f t="shared" si="395"/>
        <v>-605.74686248182115</v>
      </c>
      <c r="AF139" s="593">
        <f t="shared" si="395"/>
        <v>-816.29630553030802</v>
      </c>
      <c r="AG139" s="593">
        <f t="shared" si="395"/>
        <v>-1019.557116803142</v>
      </c>
      <c r="AH139" s="593">
        <f t="shared" si="395"/>
        <v>-1193.0413036251848</v>
      </c>
      <c r="AI139" s="593">
        <f t="shared" si="395"/>
        <v>-1433.113959176213</v>
      </c>
      <c r="AJ139" s="593">
        <f t="shared" si="395"/>
        <v>-1723.1104117271479</v>
      </c>
      <c r="AK139" s="593">
        <f t="shared" si="395"/>
        <v>-2018.8073376548382</v>
      </c>
      <c r="AL139" s="593">
        <f t="shared" si="395"/>
        <v>-2314.6742347312174</v>
      </c>
      <c r="AM139" s="593">
        <f t="shared" si="395"/>
        <v>-2614.3933541969673</v>
      </c>
      <c r="AN139" s="593">
        <f t="shared" si="395"/>
        <v>-2918.0111740089851</v>
      </c>
      <c r="AO139" s="593">
        <f t="shared" si="395"/>
        <v>-3225.6196929840025</v>
      </c>
      <c r="AQ139" s="554" t="str" cm="1">
        <f t="array" ref="AQ139:AQ143">_xlfn.ANCHORARRAY(AQ133)</f>
        <v xml:space="preserve">Põhja-Eesti </v>
      </c>
      <c r="AR139" s="592">
        <f>SUM(AT139:BB139)</f>
        <v>-10311.090748152928</v>
      </c>
      <c r="AS139" s="592"/>
      <c r="AT139" s="593">
        <f t="shared" ref="AT139:BG139" si="396">AB138*$BH28</f>
        <v>-211.46572868443877</v>
      </c>
      <c r="AU139" s="593">
        <f t="shared" si="396"/>
        <v>-235.41179587522916</v>
      </c>
      <c r="AV139" s="593">
        <f t="shared" si="396"/>
        <v>-394.68059689200265</v>
      </c>
      <c r="AW139" s="593">
        <f t="shared" si="396"/>
        <v>-778.52813801893717</v>
      </c>
      <c r="AX139" s="593">
        <f t="shared" si="396"/>
        <v>-1078.6610119692029</v>
      </c>
      <c r="AY139" s="593">
        <f t="shared" si="396"/>
        <v>-1450.4538815917792</v>
      </c>
      <c r="AZ139" s="593">
        <f t="shared" si="396"/>
        <v>-1734.0211528448544</v>
      </c>
      <c r="BA139" s="593">
        <f t="shared" si="396"/>
        <v>-2046.9270503782141</v>
      </c>
      <c r="BB139" s="593">
        <f t="shared" si="396"/>
        <v>-2380.9413918982705</v>
      </c>
      <c r="BC139" s="593">
        <f t="shared" si="396"/>
        <v>-2701.9190895816437</v>
      </c>
      <c r="BD139" s="593">
        <f t="shared" si="396"/>
        <v>-3019.9114266907955</v>
      </c>
      <c r="BE139" s="593">
        <f t="shared" si="396"/>
        <v>-3337.9811940094137</v>
      </c>
      <c r="BF139" s="593">
        <f t="shared" si="396"/>
        <v>-3656.1857081802768</v>
      </c>
      <c r="BG139" s="593">
        <f t="shared" si="396"/>
        <v>-3974.6690491068202</v>
      </c>
      <c r="BH139"/>
    </row>
    <row r="140" spans="3:60" outlineLevel="1" x14ac:dyDescent="0.3">
      <c r="C140" s="587" t="str">
        <f t="shared" ref="C140:C143" si="397">C139</f>
        <v>VA</v>
      </c>
      <c r="E140" s="563" t="s">
        <v>51</v>
      </c>
      <c r="F140" s="592">
        <f t="shared" ref="F140:F143" si="398">SUM(G140:P140)</f>
        <v>160824.00287455443</v>
      </c>
      <c r="G140" s="586">
        <f>G29*SUMPRODUCT(Assumptions!$C$599:$C$604,Assumptions!C$165:C$170)</f>
        <v>16424.951549140998</v>
      </c>
      <c r="H140" s="586">
        <f>H29*SUMPRODUCT(Assumptions!$C$599:$C$604,Assumptions!D$165:D$170)</f>
        <v>16466.023163513335</v>
      </c>
      <c r="I140" s="586">
        <f>I29*SUMPRODUCT(Assumptions!$C$599:$C$604,Assumptions!E$165:E$170)</f>
        <v>16506.927941431411</v>
      </c>
      <c r="J140" s="586">
        <f>J29*SUMPRODUCT(Assumptions!$C$599:$C$604,Assumptions!F$165:F$170)</f>
        <v>16516.208203873495</v>
      </c>
      <c r="K140" s="586">
        <f>K29*SUMPRODUCT(Assumptions!$C$599:$C$604,Assumptions!G$165:G$170)</f>
        <v>16290.801940498553</v>
      </c>
      <c r="L140" s="586">
        <f>L29*SUMPRODUCT(Assumptions!$C$599:$C$604,Assumptions!H$165:H$170)</f>
        <v>16091.951677739773</v>
      </c>
      <c r="M140" s="586">
        <f>M29*SUMPRODUCT(Assumptions!$C$599:$C$604,Assumptions!I$165:I$170)</f>
        <v>15905.200754245461</v>
      </c>
      <c r="N140" s="586">
        <f>N29*SUMPRODUCT(Assumptions!$C$599:$C$604,Assumptions!J$165:J$170)</f>
        <v>15720.155266374764</v>
      </c>
      <c r="O140" s="586">
        <f>O29*SUMPRODUCT(Assumptions!$C$599:$C$604,Assumptions!K$165:K$170)</f>
        <v>15539.269810036394</v>
      </c>
      <c r="P140" s="586">
        <f>P29*SUMPRODUCT(Assumptions!$C$599:$C$604,Assumptions!L$165:L$170)</f>
        <v>15362.512567700194</v>
      </c>
      <c r="Q140" s="586">
        <f>Q29*SUMPRODUCT(Assumptions!$C$599:$C$604,Assumptions!M$165:M$170)</f>
        <v>15189.853170172799</v>
      </c>
      <c r="R140" s="586">
        <f>R29*SUMPRODUCT(Assumptions!$C$599:$C$604,Assumptions!N$165:N$170)</f>
        <v>15005.764788734845</v>
      </c>
      <c r="S140" s="586">
        <f>S29*SUMPRODUCT(Assumptions!$C$599:$C$604,Assumptions!O$165:O$170)</f>
        <v>14826.054069328986</v>
      </c>
      <c r="T140" s="586">
        <f>T29*SUMPRODUCT(Assumptions!$C$599:$C$604,Assumptions!P$165:P$170)</f>
        <v>14650.684867246106</v>
      </c>
      <c r="U140" s="586">
        <f>U29*SUMPRODUCT(Assumptions!$C$599:$C$604,Assumptions!Q$165:Q$170)</f>
        <v>14480.277255163121</v>
      </c>
      <c r="Y140" s="563" t="s">
        <v>51</v>
      </c>
      <c r="Z140" s="592">
        <f t="shared" si="343"/>
        <v>-7149.7853825475595</v>
      </c>
      <c r="AA140" s="593">
        <f t="shared" ref="AA140:AO140" si="399">G140-G$122</f>
        <v>-47.43557208429047</v>
      </c>
      <c r="AB140" s="593">
        <f t="shared" si="399"/>
        <v>-72.967320973271853</v>
      </c>
      <c r="AC140" s="593">
        <f t="shared" si="399"/>
        <v>-99.843913453714777</v>
      </c>
      <c r="AD140" s="593">
        <f t="shared" si="399"/>
        <v>-160.84106308293849</v>
      </c>
      <c r="AE140" s="593">
        <f t="shared" si="399"/>
        <v>-459.05484415665705</v>
      </c>
      <c r="AF140" s="593">
        <f t="shared" si="399"/>
        <v>-733.27748677081763</v>
      </c>
      <c r="AG140" s="593">
        <f t="shared" si="399"/>
        <v>-1005.0449651216131</v>
      </c>
      <c r="AH140" s="593">
        <f t="shared" si="399"/>
        <v>-1273.9311745835803</v>
      </c>
      <c r="AI140" s="593">
        <f t="shared" si="399"/>
        <v>-1540.3796960758973</v>
      </c>
      <c r="AJ140" s="593">
        <f t="shared" si="399"/>
        <v>-1804.444918329069</v>
      </c>
      <c r="AK140" s="593">
        <f t="shared" si="399"/>
        <v>-2066.1801118420226</v>
      </c>
      <c r="AL140" s="593">
        <f t="shared" si="399"/>
        <v>-2323.2380210043902</v>
      </c>
      <c r="AM140" s="593">
        <f t="shared" si="399"/>
        <v>-2577.5378254940242</v>
      </c>
      <c r="AN140" s="593">
        <f t="shared" si="399"/>
        <v>-2829.1365893462571</v>
      </c>
      <c r="AO140" s="593">
        <f t="shared" si="399"/>
        <v>-3077.4354673140369</v>
      </c>
      <c r="AQ140" s="554" t="str">
        <v>Lääne-Eesti</v>
      </c>
      <c r="AR140" s="592">
        <f>SUM(AT140:BB140)</f>
        <v>-2760.8530818288705</v>
      </c>
      <c r="AS140" s="592"/>
      <c r="AT140" s="593">
        <f t="shared" ref="AT140:BG140" si="400">AB138*$BH29</f>
        <v>-56.621149304131954</v>
      </c>
      <c r="AU140" s="593">
        <f t="shared" si="400"/>
        <v>-63.032844731525763</v>
      </c>
      <c r="AV140" s="593">
        <f t="shared" si="400"/>
        <v>-105.67797034106584</v>
      </c>
      <c r="AW140" s="593">
        <f t="shared" si="400"/>
        <v>-208.45532850393221</v>
      </c>
      <c r="AX140" s="593">
        <f t="shared" si="400"/>
        <v>-288.81760929873388</v>
      </c>
      <c r="AY140" s="593">
        <f t="shared" si="400"/>
        <v>-388.3672607343363</v>
      </c>
      <c r="AZ140" s="593">
        <f t="shared" si="400"/>
        <v>-464.29400736733419</v>
      </c>
      <c r="BA140" s="593">
        <f t="shared" si="400"/>
        <v>-548.07633773642306</v>
      </c>
      <c r="BB140" s="593">
        <f t="shared" si="400"/>
        <v>-637.51057381138742</v>
      </c>
      <c r="BC140" s="593">
        <f t="shared" si="400"/>
        <v>-723.45417449264608</v>
      </c>
      <c r="BD140" s="593">
        <f t="shared" si="400"/>
        <v>-808.59842793285884</v>
      </c>
      <c r="BE140" s="593">
        <f t="shared" si="400"/>
        <v>-893.76341375121228</v>
      </c>
      <c r="BF140" s="593">
        <f t="shared" si="400"/>
        <v>-978.96447880418532</v>
      </c>
      <c r="BG140" s="593">
        <f t="shared" si="400"/>
        <v>-1064.2402013038359</v>
      </c>
      <c r="BH140"/>
    </row>
    <row r="141" spans="3:60" outlineLevel="1" x14ac:dyDescent="0.3">
      <c r="C141" s="587" t="str">
        <f t="shared" si="397"/>
        <v>VA</v>
      </c>
      <c r="E141" s="563" t="s">
        <v>52</v>
      </c>
      <c r="F141" s="592">
        <f t="shared" si="398"/>
        <v>107561.23077203553</v>
      </c>
      <c r="G141" s="593">
        <f>G30*SUMPRODUCT(Assumptions!$C$599:$C$604,Assumptions!C$174:C$179)</f>
        <v>10790.108021655264</v>
      </c>
      <c r="H141" s="593">
        <f>H30*SUMPRODUCT(Assumptions!$C$599:$C$604,Assumptions!D$174:D$179)</f>
        <v>10825.644269758481</v>
      </c>
      <c r="I141" s="593">
        <f>I30*SUMPRODUCT(Assumptions!$C$599:$C$604,Assumptions!E$174:E$179)</f>
        <v>10871.845896726469</v>
      </c>
      <c r="J141" s="593">
        <f>J30*SUMPRODUCT(Assumptions!$C$599:$C$604,Assumptions!F$174:F$179)</f>
        <v>10892.86125633092</v>
      </c>
      <c r="K141" s="593">
        <f>K30*SUMPRODUCT(Assumptions!$C$599:$C$604,Assumptions!G$174:G$179)</f>
        <v>10820.821709738426</v>
      </c>
      <c r="L141" s="593">
        <f>L30*SUMPRODUCT(Assumptions!$C$599:$C$604,Assumptions!H$174:H$179)</f>
        <v>10766.301075123136</v>
      </c>
      <c r="M141" s="593">
        <f>M30*SUMPRODUCT(Assumptions!$C$599:$C$604,Assumptions!I$174:I$179)</f>
        <v>10715.808726787145</v>
      </c>
      <c r="N141" s="593">
        <f>N30*SUMPRODUCT(Assumptions!$C$599:$C$604,Assumptions!J$174:J$179)</f>
        <v>10668.802367388378</v>
      </c>
      <c r="O141" s="593">
        <f>O30*SUMPRODUCT(Assumptions!$C$599:$C$604,Assumptions!K$174:K$179)</f>
        <v>10624.908677725789</v>
      </c>
      <c r="P141" s="593">
        <f>P30*SUMPRODUCT(Assumptions!$C$599:$C$604,Assumptions!L$174:L$179)</f>
        <v>10584.128770801528</v>
      </c>
      <c r="Q141" s="593">
        <f>Q30*SUMPRODUCT(Assumptions!$C$599:$C$604,Assumptions!M$174:M$179)</f>
        <v>10546.464696161833</v>
      </c>
      <c r="R141" s="593">
        <f>R30*SUMPRODUCT(Assumptions!$C$599:$C$604,Assumptions!N$174:N$179)</f>
        <v>10524.740843346508</v>
      </c>
      <c r="S141" s="593">
        <f>S30*SUMPRODUCT(Assumptions!$C$599:$C$604,Assumptions!O$174:O$179)</f>
        <v>10506.066939691727</v>
      </c>
      <c r="T141" s="593">
        <f>T30*SUMPRODUCT(Assumptions!$C$599:$C$604,Assumptions!P$174:P$179)</f>
        <v>10490.456177195019</v>
      </c>
      <c r="U141" s="593">
        <f>U30*SUMPRODUCT(Assumptions!$C$599:$C$604,Assumptions!Q$174:Q$179)</f>
        <v>10477.125231054764</v>
      </c>
      <c r="Y141" s="563" t="s">
        <v>52</v>
      </c>
      <c r="Z141" s="592">
        <f t="shared" si="343"/>
        <v>-3745.7491433176601</v>
      </c>
      <c r="AA141" s="593">
        <f t="shared" ref="AA141:AO141" si="401">G141-G$123</f>
        <v>-96.454746475010325</v>
      </c>
      <c r="AB141" s="593">
        <f t="shared" si="401"/>
        <v>-112.26040536074834</v>
      </c>
      <c r="AC141" s="593">
        <f t="shared" si="401"/>
        <v>-119.17640416455833</v>
      </c>
      <c r="AD141" s="593">
        <f t="shared" si="401"/>
        <v>-153.07591645046159</v>
      </c>
      <c r="AE141" s="593">
        <f t="shared" si="401"/>
        <v>-281.85265523723501</v>
      </c>
      <c r="AF141" s="593">
        <f t="shared" si="401"/>
        <v>-394.95841793985892</v>
      </c>
      <c r="AG141" s="593">
        <f t="shared" si="401"/>
        <v>-506.71310996922875</v>
      </c>
      <c r="AH141" s="593">
        <f t="shared" si="401"/>
        <v>-617.16471804702087</v>
      </c>
      <c r="AI141" s="593">
        <f t="shared" si="401"/>
        <v>-726.32569886912461</v>
      </c>
      <c r="AJ141" s="593">
        <f t="shared" si="401"/>
        <v>-834.2218172794237</v>
      </c>
      <c r="AK141" s="593">
        <f t="shared" si="401"/>
        <v>-940.87845152044974</v>
      </c>
      <c r="AL141" s="593">
        <f t="shared" si="401"/>
        <v>-1047.5967983303944</v>
      </c>
      <c r="AM141" s="593">
        <f t="shared" si="401"/>
        <v>-1153.380019624803</v>
      </c>
      <c r="AN141" s="593">
        <f t="shared" si="401"/>
        <v>-1258.2478492335431</v>
      </c>
      <c r="AO141" s="593">
        <f t="shared" si="401"/>
        <v>-1363.0171966065373</v>
      </c>
      <c r="AQ141" s="554" t="str">
        <v>Kirde-Eesti</v>
      </c>
      <c r="AR141" s="592">
        <f>SUM(AT141:BB141)</f>
        <v>-2146.6909358910252</v>
      </c>
      <c r="AS141" s="592"/>
      <c r="AT141" s="593">
        <f t="shared" ref="AT141:BG141" si="402">AB138*$BH30</f>
        <v>-44.025561805844248</v>
      </c>
      <c r="AU141" s="593">
        <f t="shared" si="402"/>
        <v>-49.010951484226766</v>
      </c>
      <c r="AV141" s="593">
        <f t="shared" si="402"/>
        <v>-82.169508601395506</v>
      </c>
      <c r="AW141" s="593">
        <f t="shared" si="402"/>
        <v>-162.08365710686326</v>
      </c>
      <c r="AX141" s="593">
        <f t="shared" si="402"/>
        <v>-224.56904646175516</v>
      </c>
      <c r="AY141" s="593">
        <f t="shared" si="402"/>
        <v>-301.97350373419937</v>
      </c>
      <c r="AZ141" s="593">
        <f t="shared" si="402"/>
        <v>-361.01006017449384</v>
      </c>
      <c r="BA141" s="593">
        <f t="shared" si="402"/>
        <v>-426.1546962201067</v>
      </c>
      <c r="BB141" s="593">
        <f t="shared" si="402"/>
        <v>-495.69395030214054</v>
      </c>
      <c r="BC141" s="593">
        <f t="shared" si="402"/>
        <v>-562.51907395489263</v>
      </c>
      <c r="BD141" s="593">
        <f t="shared" si="402"/>
        <v>-628.72266816506885</v>
      </c>
      <c r="BE141" s="593">
        <f t="shared" si="402"/>
        <v>-694.94238275793646</v>
      </c>
      <c r="BF141" s="593">
        <f t="shared" si="402"/>
        <v>-761.19015062406288</v>
      </c>
      <c r="BG141" s="593">
        <f t="shared" si="402"/>
        <v>-827.49596810722039</v>
      </c>
      <c r="BH141"/>
    </row>
    <row r="142" spans="3:60" outlineLevel="1" x14ac:dyDescent="0.3">
      <c r="C142" s="587" t="str">
        <f t="shared" si="397"/>
        <v>VA</v>
      </c>
      <c r="E142" s="563" t="s">
        <v>53</v>
      </c>
      <c r="F142" s="592">
        <f t="shared" si="398"/>
        <v>110841.33655516333</v>
      </c>
      <c r="G142" s="586">
        <f>G31*SUMPRODUCT(Assumptions!$C$599:$C$604,Assumptions!C$183:C$188)</f>
        <v>10706.130318465923</v>
      </c>
      <c r="H142" s="586">
        <f>H31*SUMPRODUCT(Assumptions!$C$599:$C$604,Assumptions!D$183:D$188)</f>
        <v>10802.295222584493</v>
      </c>
      <c r="I142" s="586">
        <f>I31*SUMPRODUCT(Assumptions!$C$599:$C$604,Assumptions!E$183:E$188)</f>
        <v>10958.5757692692</v>
      </c>
      <c r="J142" s="586">
        <f>J31*SUMPRODUCT(Assumptions!$C$599:$C$604,Assumptions!F$183:F$188)</f>
        <v>11018.967130104009</v>
      </c>
      <c r="K142" s="586">
        <f>K31*SUMPRODUCT(Assumptions!$C$599:$C$604,Assumptions!G$183:G$188)</f>
        <v>11045.043254556547</v>
      </c>
      <c r="L142" s="586">
        <f>L31*SUMPRODUCT(Assumptions!$C$599:$C$604,Assumptions!H$183:H$188)</f>
        <v>11161.226322508175</v>
      </c>
      <c r="M142" s="586">
        <f>M31*SUMPRODUCT(Assumptions!$C$599:$C$604,Assumptions!I$183:I$188)</f>
        <v>11119.694860642738</v>
      </c>
      <c r="N142" s="586">
        <f>N31*SUMPRODUCT(Assumptions!$C$599:$C$604,Assumptions!J$183:J$188)</f>
        <v>11232.504434238906</v>
      </c>
      <c r="O142" s="586">
        <f>O31*SUMPRODUCT(Assumptions!$C$599:$C$604,Assumptions!K$183:K$188)</f>
        <v>11343.392520610609</v>
      </c>
      <c r="P142" s="586">
        <f>P31*SUMPRODUCT(Assumptions!$C$599:$C$604,Assumptions!L$183:L$188)</f>
        <v>11453.506722182748</v>
      </c>
      <c r="Q142" s="586">
        <f>Q31*SUMPRODUCT(Assumptions!$C$599:$C$604,Assumptions!M$183:M$188)</f>
        <v>11582.920213948748</v>
      </c>
      <c r="R142" s="586">
        <f>R31*SUMPRODUCT(Assumptions!$C$599:$C$604,Assumptions!N$183:N$188)</f>
        <v>11681.25660846742</v>
      </c>
      <c r="S142" s="586">
        <f>S31*SUMPRODUCT(Assumptions!$C$599:$C$604,Assumptions!O$183:O$188)</f>
        <v>11780.818762252662</v>
      </c>
      <c r="T142" s="586">
        <f>T31*SUMPRODUCT(Assumptions!$C$599:$C$604,Assumptions!P$183:P$188)</f>
        <v>11881.61889200565</v>
      </c>
      <c r="U142" s="586">
        <f>U31*SUMPRODUCT(Assumptions!$C$599:$C$604,Assumptions!Q$183:Q$188)</f>
        <v>11983.669336588713</v>
      </c>
      <c r="Y142" s="563" t="s">
        <v>53</v>
      </c>
      <c r="Z142" s="592">
        <f t="shared" si="343"/>
        <v>-3477.8853025799526</v>
      </c>
      <c r="AA142" s="593">
        <f t="shared" ref="AA142:AO142" si="403">G142-G$124</f>
        <v>-32.693552431306671</v>
      </c>
      <c r="AB142" s="593">
        <f t="shared" si="403"/>
        <v>-48.387277415509743</v>
      </c>
      <c r="AC142" s="593">
        <f t="shared" si="403"/>
        <v>-61.495453588828241</v>
      </c>
      <c r="AD142" s="593">
        <f t="shared" si="403"/>
        <v>-168.7869090488839</v>
      </c>
      <c r="AE142" s="593">
        <f t="shared" si="403"/>
        <v>-308.70660438973391</v>
      </c>
      <c r="AF142" s="593">
        <f t="shared" si="403"/>
        <v>-356.85022171588753</v>
      </c>
      <c r="AG142" s="593">
        <f t="shared" si="403"/>
        <v>-561.05605506318898</v>
      </c>
      <c r="AH142" s="593">
        <f t="shared" si="403"/>
        <v>-609.2843250114056</v>
      </c>
      <c r="AI142" s="593">
        <f t="shared" si="403"/>
        <v>-657.81231124790429</v>
      </c>
      <c r="AJ142" s="593">
        <f t="shared" si="403"/>
        <v>-705.50614509861043</v>
      </c>
      <c r="AK142" s="593">
        <f t="shared" si="403"/>
        <v>-732.30536728301195</v>
      </c>
      <c r="AL142" s="593">
        <f t="shared" si="403"/>
        <v>-757.12122857665599</v>
      </c>
      <c r="AM142" s="593">
        <f t="shared" si="403"/>
        <v>-781.94285316185415</v>
      </c>
      <c r="AN142" s="593">
        <f t="shared" si="403"/>
        <v>-806.77033956301057</v>
      </c>
      <c r="AO142" s="593">
        <f t="shared" si="403"/>
        <v>-831.6037872956349</v>
      </c>
      <c r="AQ142" s="554" t="str">
        <v>Lõuna-Eesti </v>
      </c>
      <c r="AR142" s="592">
        <f>SUM(AT142:BB142)</f>
        <v>-4872.8292040047909</v>
      </c>
      <c r="AS142" s="592"/>
      <c r="AT142" s="593">
        <f t="shared" ref="AT142:BG142" si="404">AB138*$BH31</f>
        <v>-99.934759915120864</v>
      </c>
      <c r="AU142" s="593">
        <f t="shared" si="404"/>
        <v>-111.2512247177652</v>
      </c>
      <c r="AV142" s="593">
        <f t="shared" si="404"/>
        <v>-186.51868999736098</v>
      </c>
      <c r="AW142" s="593">
        <f t="shared" si="404"/>
        <v>-367.91787985744571</v>
      </c>
      <c r="AX142" s="593">
        <f t="shared" si="404"/>
        <v>-509.75507914004612</v>
      </c>
      <c r="AY142" s="593">
        <f t="shared" si="404"/>
        <v>-685.45745604543515</v>
      </c>
      <c r="AZ142" s="593">
        <f t="shared" si="404"/>
        <v>-819.46606041248106</v>
      </c>
      <c r="BA142" s="593">
        <f t="shared" si="404"/>
        <v>-967.33955244619415</v>
      </c>
      <c r="BB142" s="593">
        <f t="shared" si="404"/>
        <v>-1125.1885014729419</v>
      </c>
      <c r="BC142" s="593">
        <f t="shared" si="404"/>
        <v>-1276.876575732781</v>
      </c>
      <c r="BD142" s="593">
        <f t="shared" si="404"/>
        <v>-1427.1538242569279</v>
      </c>
      <c r="BE142" s="593">
        <f t="shared" si="404"/>
        <v>-1577.4676648541326</v>
      </c>
      <c r="BF142" s="593">
        <f t="shared" si="404"/>
        <v>-1727.8451843009182</v>
      </c>
      <c r="BG142" s="593">
        <f t="shared" si="404"/>
        <v>-1878.3544720728135</v>
      </c>
      <c r="BH142"/>
    </row>
    <row r="143" spans="3:60" outlineLevel="1" x14ac:dyDescent="0.3">
      <c r="C143" s="587" t="str">
        <f t="shared" si="397"/>
        <v>VA</v>
      </c>
      <c r="E143" s="563" t="s">
        <v>54</v>
      </c>
      <c r="F143" s="592">
        <f t="shared" si="398"/>
        <v>13313.187858453366</v>
      </c>
      <c r="G143" s="593">
        <f>G32*SUMPRODUCT(Assumptions!$C$599:$C$604,_xlfn.ANCHORARRAY(Assumptions!C$192))</f>
        <v>1352.4866016419983</v>
      </c>
      <c r="H143" s="593">
        <f>H32*SUMPRODUCT(Assumptions!$C$599:$C$604,_xlfn.ANCHORARRAY(Assumptions!D$192))</f>
        <v>1352.3733011646652</v>
      </c>
      <c r="I143" s="593">
        <f>I32*SUMPRODUCT(Assumptions!$C$599:$C$604,_xlfn.ANCHORARRAY(Assumptions!E$192))</f>
        <v>1352.2583124451378</v>
      </c>
      <c r="J143" s="593">
        <f>J32*SUMPRODUCT(Assumptions!$C$599:$C$604,_xlfn.ANCHORARRAY(Assumptions!F$192))</f>
        <v>1340.7731704287271</v>
      </c>
      <c r="K143" s="593">
        <f>K32*SUMPRODUCT(Assumptions!$C$599:$C$604,_xlfn.ANCHORARRAY(Assumptions!G$192))</f>
        <v>1335.0300666004848</v>
      </c>
      <c r="L143" s="593">
        <f>L32*SUMPRODUCT(Assumptions!$C$599:$C$604,_xlfn.ANCHORARRAY(Assumptions!H$192))</f>
        <v>1334.9097396761745</v>
      </c>
      <c r="M143" s="593">
        <f>M32*SUMPRODUCT(Assumptions!$C$599:$C$604,_xlfn.ANCHORARRAY(Assumptions!I$192))</f>
        <v>1325.483364904602</v>
      </c>
      <c r="N143" s="593">
        <f>N32*SUMPRODUCT(Assumptions!$C$599:$C$604,_xlfn.ANCHORARRAY(Assumptions!J$192))</f>
        <v>1316.0551449295319</v>
      </c>
      <c r="O143" s="593">
        <f>O32*SUMPRODUCT(Assumptions!$C$599:$C$604,_xlfn.ANCHORARRAY(Assumptions!K$192))</f>
        <v>1306.6250613177253</v>
      </c>
      <c r="P143" s="593">
        <f>P32*SUMPRODUCT(Assumptions!$C$599:$C$604,_xlfn.ANCHORARRAY(Assumptions!L$192))</f>
        <v>1297.1930953443198</v>
      </c>
      <c r="Q143" s="593">
        <f>Q32*SUMPRODUCT(Assumptions!$C$599:$C$604,_xlfn.ANCHORARRAY(Assumptions!M$192))</f>
        <v>1297.0634487783555</v>
      </c>
      <c r="R143" s="593">
        <f>R32*SUMPRODUCT(Assumptions!$C$599:$C$604,Assumptions!N$192:N$197)</f>
        <v>1296.9318815110878</v>
      </c>
      <c r="S143" s="593">
        <f>S32*SUMPRODUCT(Assumptions!$C$599:$C$604,Assumptions!O$192:O$197)</f>
        <v>1296.7983739204217</v>
      </c>
      <c r="T143" s="593">
        <f>T32*SUMPRODUCT(Assumptions!$C$599:$C$604,Assumptions!P$192:P$197)</f>
        <v>1296.6629060781036</v>
      </c>
      <c r="U143" s="593">
        <f>U32*SUMPRODUCT(Assumptions!$C$599:$C$604,Assumptions!Q$192:Q$197)</f>
        <v>1296.5254577463288</v>
      </c>
      <c r="Y143" s="563" t="s">
        <v>54</v>
      </c>
      <c r="Z143" s="592">
        <f t="shared" si="343"/>
        <v>-240.82652096641118</v>
      </c>
      <c r="AA143" s="593">
        <f t="shared" ref="AA143:AO143" si="405">G143-G$125</f>
        <v>-3.2387069999772393</v>
      </c>
      <c r="AB143" s="593">
        <f t="shared" si="405"/>
        <v>-3.3520074773102806</v>
      </c>
      <c r="AC143" s="593">
        <f t="shared" si="405"/>
        <v>-3.4669961968377265</v>
      </c>
      <c r="AD143" s="593">
        <f t="shared" si="405"/>
        <v>-14.952138213248418</v>
      </c>
      <c r="AE143" s="593">
        <f t="shared" si="405"/>
        <v>-20.695242041490701</v>
      </c>
      <c r="AF143" s="593">
        <f t="shared" si="405"/>
        <v>-20.815568965801049</v>
      </c>
      <c r="AG143" s="593">
        <f t="shared" si="405"/>
        <v>-30.241943737373504</v>
      </c>
      <c r="AH143" s="593">
        <f t="shared" si="405"/>
        <v>-39.670163712443582</v>
      </c>
      <c r="AI143" s="593">
        <f t="shared" si="405"/>
        <v>-49.100247324250176</v>
      </c>
      <c r="AJ143" s="593">
        <f t="shared" si="405"/>
        <v>-58.532213297655744</v>
      </c>
      <c r="AK143" s="593">
        <f t="shared" si="405"/>
        <v>-58.661859863620066</v>
      </c>
      <c r="AL143" s="593">
        <f t="shared" si="405"/>
        <v>-58.793427130887721</v>
      </c>
      <c r="AM143" s="593">
        <f t="shared" si="405"/>
        <v>-58.926934721553835</v>
      </c>
      <c r="AN143" s="593">
        <f t="shared" si="405"/>
        <v>-59.062402563871956</v>
      </c>
      <c r="AO143" s="593">
        <f t="shared" si="405"/>
        <v>-59.199850895646705</v>
      </c>
      <c r="AQ143" s="554" t="str">
        <v>Kesk-Eesti</v>
      </c>
      <c r="AR143" s="592">
        <f>SUM(AT143:BB143)</f>
        <v>-2106.7929959323656</v>
      </c>
      <c r="AS143" s="592"/>
      <c r="AT143" s="593">
        <f t="shared" ref="AT143:BG143" si="406">AB138*$BH32</f>
        <v>-43.207312102448192</v>
      </c>
      <c r="AU143" s="593">
        <f t="shared" si="406"/>
        <v>-48.100044391388636</v>
      </c>
      <c r="AV143" s="593">
        <f t="shared" si="406"/>
        <v>-80.642323636946813</v>
      </c>
      <c r="AW143" s="593">
        <f t="shared" si="406"/>
        <v>-159.0712048197596</v>
      </c>
      <c r="AX143" s="593">
        <f t="shared" si="406"/>
        <v>-220.3952540529352</v>
      </c>
      <c r="AY143" s="593">
        <f t="shared" si="406"/>
        <v>-296.3610885887968</v>
      </c>
      <c r="AZ143" s="593">
        <f t="shared" si="406"/>
        <v>-354.30040418047173</v>
      </c>
      <c r="BA143" s="593">
        <f t="shared" si="406"/>
        <v>-418.23427591245149</v>
      </c>
      <c r="BB143" s="593">
        <f t="shared" si="406"/>
        <v>-486.48108824716724</v>
      </c>
      <c r="BC143" s="593">
        <f t="shared" si="406"/>
        <v>-552.06421440197903</v>
      </c>
      <c r="BD143" s="593">
        <f t="shared" si="406"/>
        <v>-617.03736272789547</v>
      </c>
      <c r="BE143" s="593">
        <f t="shared" si="406"/>
        <v>-682.02633182650811</v>
      </c>
      <c r="BF143" s="593">
        <f t="shared" si="406"/>
        <v>-747.04283280622508</v>
      </c>
      <c r="BG143" s="593">
        <f t="shared" si="406"/>
        <v>-812.11630450516998</v>
      </c>
      <c r="BH143"/>
    </row>
    <row r="144" spans="3:60" outlineLevel="1" x14ac:dyDescent="0.3">
      <c r="C144" s="587" t="str">
        <f>E144</f>
        <v>Renowave</v>
      </c>
      <c r="E144" s="555" t="str">
        <f>'EE Measures'!$II$6</f>
        <v>Renowave</v>
      </c>
      <c r="F144" s="590">
        <f>SUM(G144:P144)</f>
        <v>477891.84591481305</v>
      </c>
      <c r="G144" s="591">
        <f>SUM(G145:G149)</f>
        <v>47304.830693134165</v>
      </c>
      <c r="H144" s="591">
        <f>SUM(H145:H149)</f>
        <v>48652.228157787838</v>
      </c>
      <c r="I144" s="591">
        <f t="shared" ref="I144:P144" si="407">SUM(I145:I149)</f>
        <v>49023.444534208538</v>
      </c>
      <c r="J144" s="591">
        <f t="shared" si="407"/>
        <v>49156.783432224111</v>
      </c>
      <c r="K144" s="591">
        <f t="shared" si="407"/>
        <v>48467.004567197597</v>
      </c>
      <c r="L144" s="591">
        <f t="shared" si="407"/>
        <v>47972.153208418546</v>
      </c>
      <c r="M144" s="591">
        <f t="shared" si="407"/>
        <v>47359.934243058269</v>
      </c>
      <c r="N144" s="591">
        <f t="shared" si="407"/>
        <v>47000.469104220254</v>
      </c>
      <c r="O144" s="591">
        <f t="shared" si="407"/>
        <v>46648.544713965654</v>
      </c>
      <c r="P144" s="591">
        <f t="shared" si="407"/>
        <v>46306.453260598078</v>
      </c>
      <c r="Q144" s="591">
        <f t="shared" ref="Q144:U144" si="408">SUM(Q145:Q149)</f>
        <v>46010.189140286697</v>
      </c>
      <c r="R144" s="591">
        <f t="shared" si="408"/>
        <v>45673.08927540046</v>
      </c>
      <c r="S144" s="591">
        <f t="shared" si="408"/>
        <v>45349.691836135302</v>
      </c>
      <c r="T144" s="591">
        <f t="shared" si="408"/>
        <v>45039.969576909185</v>
      </c>
      <c r="U144" s="591">
        <f t="shared" si="408"/>
        <v>44744.102288625334</v>
      </c>
      <c r="V144" s="997">
        <f>(F144-F$120)/1000</f>
        <v>-28.140964219909396</v>
      </c>
      <c r="W144" s="871">
        <f>(P144-P$120)/P$120/9</f>
        <v>-1.3722157960593272E-2</v>
      </c>
      <c r="Y144" s="555" t="str">
        <f>'EE Measures'!$II$6</f>
        <v>Renowave</v>
      </c>
      <c r="Z144" s="590">
        <f t="shared" si="343"/>
        <v>-27763.242219435015</v>
      </c>
      <c r="AA144" s="591">
        <f>SUM(AA145:AA149)</f>
        <v>-377.72200047450269</v>
      </c>
      <c r="AB144" s="591">
        <f>SUM(AB145:AB149)</f>
        <v>-455.254511811984</v>
      </c>
      <c r="AC144" s="591">
        <f t="shared" ref="AC144" si="409">SUM(AC145:AC149)</f>
        <v>-506.80686120013547</v>
      </c>
      <c r="AD144" s="591">
        <f t="shared" ref="AD144" si="410">SUM(AD145:AD149)</f>
        <v>-815.78474555807088</v>
      </c>
      <c r="AE144" s="591">
        <f t="shared" ref="AE144" si="411">SUM(AE145:AE149)</f>
        <v>-1966.2616795934152</v>
      </c>
      <c r="AF144" s="591">
        <f t="shared" ref="AF144" si="412">SUM(AF145:AF149)</f>
        <v>-2926.6296755104518</v>
      </c>
      <c r="AG144" s="591">
        <f t="shared" ref="AG144" si="413">SUM(AG145:AG149)</f>
        <v>-4015.3178812873357</v>
      </c>
      <c r="AH144" s="591">
        <f t="shared" ref="AH144" si="414">SUM(AH145:AH149)</f>
        <v>-4857.9245900625219</v>
      </c>
      <c r="AI144" s="591">
        <f t="shared" ref="AI144" si="415">SUM(AI145:AI149)</f>
        <v>-5694.6571145765174</v>
      </c>
      <c r="AJ144" s="591">
        <f t="shared" ref="AJ144:AO144" si="416">SUM(AJ145:AJ149)</f>
        <v>-6524.6051598345803</v>
      </c>
      <c r="AK144" s="591">
        <f t="shared" si="416"/>
        <v>-7319.097753093145</v>
      </c>
      <c r="AL144" s="591">
        <f t="shared" si="416"/>
        <v>-8101.0382891178688</v>
      </c>
      <c r="AM144" s="591">
        <f t="shared" si="416"/>
        <v>-8876.6981689881086</v>
      </c>
      <c r="AN144" s="591">
        <f t="shared" si="416"/>
        <v>-9646.2076366536639</v>
      </c>
      <c r="AO144" s="591">
        <f t="shared" si="416"/>
        <v>-10409.491542225707</v>
      </c>
      <c r="AQ144" s="555" t="s">
        <v>296</v>
      </c>
      <c r="AR144" s="591">
        <f t="shared" ref="AR144:BB144" si="417">SUM(AR145:AR149)</f>
        <v>-27763.242219435011</v>
      </c>
      <c r="AS144" s="591"/>
      <c r="AT144" s="591">
        <f t="shared" si="417"/>
        <v>-455.25451181198406</v>
      </c>
      <c r="AU144" s="591">
        <f t="shared" si="417"/>
        <v>-506.80686120013547</v>
      </c>
      <c r="AV144" s="591">
        <f t="shared" si="417"/>
        <v>-815.78474555807088</v>
      </c>
      <c r="AW144" s="591">
        <f t="shared" si="417"/>
        <v>-1966.2616795934152</v>
      </c>
      <c r="AX144" s="591">
        <f t="shared" si="417"/>
        <v>-2926.6296755104513</v>
      </c>
      <c r="AY144" s="591">
        <f t="shared" si="417"/>
        <v>-4015.3178812873357</v>
      </c>
      <c r="AZ144" s="591">
        <f t="shared" si="417"/>
        <v>-4857.9245900625228</v>
      </c>
      <c r="BA144" s="591">
        <f t="shared" si="417"/>
        <v>-5694.6571145765174</v>
      </c>
      <c r="BB144" s="591">
        <f t="shared" si="417"/>
        <v>-6524.6051598345812</v>
      </c>
      <c r="BC144" s="591">
        <f t="shared" ref="BC144:BG144" si="418">SUM(BC145:BC149)</f>
        <v>-7319.097753093145</v>
      </c>
      <c r="BD144" s="591">
        <f t="shared" si="418"/>
        <v>-8101.0382891178697</v>
      </c>
      <c r="BE144" s="591">
        <f t="shared" si="418"/>
        <v>-8876.6981689881104</v>
      </c>
      <c r="BF144" s="591">
        <f t="shared" si="418"/>
        <v>-9646.2076366536621</v>
      </c>
      <c r="BG144" s="591">
        <f t="shared" si="418"/>
        <v>-10409.491542225709</v>
      </c>
      <c r="BH144"/>
    </row>
    <row r="145" spans="3:60" outlineLevel="1" x14ac:dyDescent="0.3">
      <c r="C145" s="587" t="str">
        <f>C144</f>
        <v>Renowave</v>
      </c>
      <c r="E145" s="563" t="s">
        <v>50</v>
      </c>
      <c r="F145" s="592">
        <f>SUM(G145:P145)</f>
        <v>93410.447908039845</v>
      </c>
      <c r="G145" s="593">
        <f>G34*SUMPRODUCT(Assumptions!$C$599:$C$604,Assumptions!C$156:C$161)</f>
        <v>8031.1542022299864</v>
      </c>
      <c r="H145" s="593">
        <f>H34*SUMPRODUCT(Assumptions!$C$599:$C$604,Assumptions!D$156:D$161)</f>
        <v>9205.8922007668662</v>
      </c>
      <c r="I145" s="593">
        <f>I34*SUMPRODUCT(Assumptions!$C$599:$C$604,Assumptions!E$156:E$161)</f>
        <v>9333.8366143363182</v>
      </c>
      <c r="J145" s="593">
        <f>J34*SUMPRODUCT(Assumptions!$C$599:$C$604,Assumptions!F$156:F$161)</f>
        <v>9387.9736714869596</v>
      </c>
      <c r="K145" s="593">
        <f>K34*SUMPRODUCT(Assumptions!$C$599:$C$604,Assumptions!G$156:G$161)</f>
        <v>9363.0840137669202</v>
      </c>
      <c r="L145" s="593">
        <f>L34*SUMPRODUCT(Assumptions!$C$599:$C$604,Assumptions!H$156:H$161)</f>
        <v>9390.8820377237298</v>
      </c>
      <c r="M145" s="593">
        <f>M34*SUMPRODUCT(Assumptions!$C$599:$C$604,Assumptions!I$156:I$161)</f>
        <v>9449.8281193655002</v>
      </c>
      <c r="N145" s="593">
        <f>N34*SUMPRODUCT(Assumptions!$C$599:$C$604,Assumptions!J$156:J$161)</f>
        <v>9599.4627357488698</v>
      </c>
      <c r="O145" s="593">
        <f>O34*SUMPRODUCT(Assumptions!$C$599:$C$604,Assumptions!K$156:K$161)</f>
        <v>9748.9162386654225</v>
      </c>
      <c r="P145" s="593">
        <f>P34*SUMPRODUCT(Assumptions!$C$599:$C$604,Assumptions!L$156:L$161)</f>
        <v>9899.4180739492749</v>
      </c>
      <c r="Q145" s="593">
        <f>Q34*SUMPRODUCT(Assumptions!$C$599:$C$604,Assumptions!M$156:M$161)</f>
        <v>10057.66658623022</v>
      </c>
      <c r="R145" s="593">
        <f>R34*SUMPRODUCT(Assumptions!$C$599:$C$604,Assumptions!N$156:N$161)</f>
        <v>10197.372629255735</v>
      </c>
      <c r="S145" s="593">
        <f>S34*SUMPRODUCT(Assumptions!$C$599:$C$604,Assumptions!O$156:O$161)</f>
        <v>10339.459446684523</v>
      </c>
      <c r="T145" s="593">
        <f>T34*SUMPRODUCT(Assumptions!$C$599:$C$604,Assumptions!P$156:P$161)</f>
        <v>10483.96290614932</v>
      </c>
      <c r="U145" s="593">
        <f>U34*SUMPRODUCT(Assumptions!$C$599:$C$604,Assumptions!Q$156:Q$161)</f>
        <v>10630.91941459392</v>
      </c>
      <c r="Y145" s="563" t="s">
        <v>50</v>
      </c>
      <c r="Z145" s="592">
        <f t="shared" si="343"/>
        <v>-5090.6358165899928</v>
      </c>
      <c r="AA145" s="593">
        <f t="shared" ref="AA145:AO145" si="419">G145-G$121</f>
        <v>-197.89942248391799</v>
      </c>
      <c r="AB145" s="593">
        <f t="shared" si="419"/>
        <v>-218.28750058514379</v>
      </c>
      <c r="AC145" s="593">
        <f t="shared" si="419"/>
        <v>-222.82409379619639</v>
      </c>
      <c r="AD145" s="593">
        <f t="shared" si="419"/>
        <v>-318.12871876253848</v>
      </c>
      <c r="AE145" s="593">
        <f t="shared" si="419"/>
        <v>-508.17591580495719</v>
      </c>
      <c r="AF145" s="593">
        <f t="shared" si="419"/>
        <v>-647.61033576564478</v>
      </c>
      <c r="AG145" s="593">
        <f t="shared" si="419"/>
        <v>-756.18022450875105</v>
      </c>
      <c r="AH145" s="593">
        <f t="shared" si="419"/>
        <v>-781.36336424787623</v>
      </c>
      <c r="AI145" s="593">
        <f t="shared" si="419"/>
        <v>-806.47156666905357</v>
      </c>
      <c r="AJ145" s="593">
        <f t="shared" si="419"/>
        <v>-831.59409644983134</v>
      </c>
      <c r="AK145" s="593">
        <f t="shared" si="419"/>
        <v>-857.29298757878314</v>
      </c>
      <c r="AL145" s="593">
        <f t="shared" si="419"/>
        <v>-881.31133816040528</v>
      </c>
      <c r="AM145" s="593">
        <f t="shared" si="419"/>
        <v>-905.40478024285767</v>
      </c>
      <c r="AN145" s="593">
        <f t="shared" si="419"/>
        <v>-929.57428418196832</v>
      </c>
      <c r="AO145" s="593">
        <f t="shared" si="419"/>
        <v>-953.82083359233911</v>
      </c>
      <c r="AQ145" s="554" t="str" cm="1">
        <f t="array" ref="AQ145:AQ149">_xlfn.ANCHORARRAY(AQ139)</f>
        <v xml:space="preserve">Põhja-Eesti </v>
      </c>
      <c r="AR145" s="592">
        <f>SUM(AT145:BB145)</f>
        <v>-12028.063908476142</v>
      </c>
      <c r="AS145" s="592"/>
      <c r="AT145" s="593">
        <f t="shared" ref="AT145:BG145" si="420">AB144*$BH34</f>
        <v>-197.233101214073</v>
      </c>
      <c r="AU145" s="593">
        <f t="shared" si="420"/>
        <v>-219.56748666415231</v>
      </c>
      <c r="AV145" s="593">
        <f t="shared" si="420"/>
        <v>-353.42813989727563</v>
      </c>
      <c r="AW145" s="593">
        <f t="shared" si="420"/>
        <v>-851.85732113021663</v>
      </c>
      <c r="AX145" s="593">
        <f t="shared" si="420"/>
        <v>-1267.924275387418</v>
      </c>
      <c r="AY145" s="593">
        <f t="shared" si="420"/>
        <v>-1739.5842930463739</v>
      </c>
      <c r="AZ145" s="593">
        <f t="shared" si="420"/>
        <v>-2104.6326999562834</v>
      </c>
      <c r="BA145" s="593">
        <f t="shared" si="420"/>
        <v>-2467.1361928700057</v>
      </c>
      <c r="BB145" s="593">
        <f t="shared" si="420"/>
        <v>-2826.700398310345</v>
      </c>
      <c r="BC145" s="593">
        <f t="shared" si="420"/>
        <v>-3170.9039899151958</v>
      </c>
      <c r="BD145" s="593">
        <f t="shared" si="420"/>
        <v>-3509.6695658373606</v>
      </c>
      <c r="BE145" s="593">
        <f t="shared" si="420"/>
        <v>-3845.7141290976683</v>
      </c>
      <c r="BF145" s="593">
        <f t="shared" si="420"/>
        <v>-4179.0941061948497</v>
      </c>
      <c r="BG145" s="593">
        <f t="shared" si="420"/>
        <v>-4509.7769394161442</v>
      </c>
      <c r="BH145"/>
    </row>
    <row r="146" spans="3:60" outlineLevel="1" x14ac:dyDescent="0.3">
      <c r="C146" s="587" t="str">
        <f t="shared" ref="C146:C149" si="421">C145</f>
        <v>Renowave</v>
      </c>
      <c r="E146" s="563" t="s">
        <v>51</v>
      </c>
      <c r="F146" s="592">
        <f t="shared" ref="F146:F149" si="422">SUM(G146:P146)</f>
        <v>154039.22153289616</v>
      </c>
      <c r="G146" s="586">
        <f>G35*SUMPRODUCT(Assumptions!$C$599:$C$604,Assumptions!C$165:C$170)</f>
        <v>16424.951549140998</v>
      </c>
      <c r="H146" s="586">
        <f>H35*SUMPRODUCT(Assumptions!$C$599:$C$604,Assumptions!D$165:D$170)</f>
        <v>16466.023163513335</v>
      </c>
      <c r="I146" s="586">
        <f>I35*SUMPRODUCT(Assumptions!$C$599:$C$604,Assumptions!E$165:E$170)</f>
        <v>16506.927941431411</v>
      </c>
      <c r="J146" s="586">
        <f>J35*SUMPRODUCT(Assumptions!$C$599:$C$604,Assumptions!F$165:F$170)</f>
        <v>16516.208203873495</v>
      </c>
      <c r="K146" s="586">
        <f>K35*SUMPRODUCT(Assumptions!$C$599:$C$604,Assumptions!G$165:G$170)</f>
        <v>15964.82733059756</v>
      </c>
      <c r="L146" s="586">
        <f>L35*SUMPRODUCT(Assumptions!$C$599:$C$604,Assumptions!H$165:H$170)</f>
        <v>15441.72961706879</v>
      </c>
      <c r="M146" s="586">
        <f>M35*SUMPRODUCT(Assumptions!$C$599:$C$604,Assumptions!I$165:I$170)</f>
        <v>14932.413656505287</v>
      </c>
      <c r="N146" s="586">
        <f>N35*SUMPRODUCT(Assumptions!$C$599:$C$604,Assumptions!J$165:J$170)</f>
        <v>14426.664220175724</v>
      </c>
      <c r="O146" s="586">
        <f>O35*SUMPRODUCT(Assumptions!$C$599:$C$604,Assumptions!K$165:K$170)</f>
        <v>13926.782094388462</v>
      </c>
      <c r="P146" s="586">
        <f>P35*SUMPRODUCT(Assumptions!$C$599:$C$604,Assumptions!L$165:L$170)</f>
        <v>13432.693756201112</v>
      </c>
      <c r="Q146" s="586">
        <f>Q35*SUMPRODUCT(Assumptions!$C$599:$C$604,Assumptions!M$165:M$170)</f>
        <v>12944.32807734171</v>
      </c>
      <c r="R146" s="586">
        <f>R35*SUMPRODUCT(Assumptions!$C$599:$C$604,Assumptions!N$165:N$170)</f>
        <v>12448.759265383969</v>
      </c>
      <c r="S146" s="586">
        <f>S35*SUMPRODUCT(Assumptions!$C$599:$C$604,Assumptions!O$165:O$170)</f>
        <v>11959.759806127075</v>
      </c>
      <c r="T146" s="586">
        <f>T35*SUMPRODUCT(Assumptions!$C$599:$C$604,Assumptions!P$165:P$170)</f>
        <v>11477.250580535074</v>
      </c>
      <c r="U146" s="586">
        <f>U35*SUMPRODUCT(Assumptions!$C$599:$C$604,Assumptions!Q$165:Q$170)</f>
        <v>11002.303701154751</v>
      </c>
      <c r="Y146" s="563" t="s">
        <v>51</v>
      </c>
      <c r="Z146" s="592">
        <f t="shared" si="343"/>
        <v>-13934.566724205766</v>
      </c>
      <c r="AA146" s="593">
        <f t="shared" ref="AA146:AO146" si="423">G146-G$122</f>
        <v>-47.43557208429047</v>
      </c>
      <c r="AB146" s="593">
        <f t="shared" si="423"/>
        <v>-72.967320973271853</v>
      </c>
      <c r="AC146" s="593">
        <f t="shared" si="423"/>
        <v>-99.843913453714777</v>
      </c>
      <c r="AD146" s="593">
        <f t="shared" si="423"/>
        <v>-160.84106308293849</v>
      </c>
      <c r="AE146" s="593">
        <f t="shared" si="423"/>
        <v>-785.02945405765058</v>
      </c>
      <c r="AF146" s="593">
        <f t="shared" si="423"/>
        <v>-1383.499547441801</v>
      </c>
      <c r="AG146" s="593">
        <f t="shared" si="423"/>
        <v>-1977.8320628617876</v>
      </c>
      <c r="AH146" s="593">
        <f t="shared" si="423"/>
        <v>-2567.4222207826206</v>
      </c>
      <c r="AI146" s="593">
        <f t="shared" si="423"/>
        <v>-3152.8674117238297</v>
      </c>
      <c r="AJ146" s="593">
        <f t="shared" si="423"/>
        <v>-3734.2637298281516</v>
      </c>
      <c r="AK146" s="593">
        <f t="shared" si="423"/>
        <v>-4311.7052046731114</v>
      </c>
      <c r="AL146" s="593">
        <f t="shared" si="423"/>
        <v>-4880.2435443552658</v>
      </c>
      <c r="AM146" s="593">
        <f t="shared" si="423"/>
        <v>-5443.8320886959355</v>
      </c>
      <c r="AN146" s="593">
        <f t="shared" si="423"/>
        <v>-6002.5708760572888</v>
      </c>
      <c r="AO146" s="593">
        <f t="shared" si="423"/>
        <v>-6555.4090213224063</v>
      </c>
      <c r="AQ146" s="554" t="str">
        <v>Lääne-Eesti</v>
      </c>
      <c r="AR146" s="592">
        <f>SUM(AT146:BB146)</f>
        <v>-3646.343361941862</v>
      </c>
      <c r="AS146" s="592"/>
      <c r="AT146" s="593">
        <f t="shared" ref="AT146:BG146" si="424">AB144*$BH35</f>
        <v>-59.79180147690591</v>
      </c>
      <c r="AU146" s="593">
        <f t="shared" si="424"/>
        <v>-66.562536879430482</v>
      </c>
      <c r="AV146" s="593">
        <f t="shared" si="424"/>
        <v>-107.14279219365744</v>
      </c>
      <c r="AW146" s="593">
        <f t="shared" si="424"/>
        <v>-258.24308150174005</v>
      </c>
      <c r="AX146" s="593">
        <f t="shared" si="424"/>
        <v>-384.3750166430226</v>
      </c>
      <c r="AY146" s="593">
        <f t="shared" si="424"/>
        <v>-527.36015436515868</v>
      </c>
      <c r="AZ146" s="593">
        <f t="shared" si="424"/>
        <v>-638.02566507843164</v>
      </c>
      <c r="BA146" s="593">
        <f t="shared" si="424"/>
        <v>-747.91967754166888</v>
      </c>
      <c r="BB146" s="593">
        <f t="shared" si="424"/>
        <v>-856.92263626184626</v>
      </c>
      <c r="BC146" s="593">
        <f t="shared" si="424"/>
        <v>-961.26897919409828</v>
      </c>
      <c r="BD146" s="593">
        <f t="shared" si="424"/>
        <v>-1063.966771491969</v>
      </c>
      <c r="BE146" s="593">
        <f t="shared" si="424"/>
        <v>-1165.839680705345</v>
      </c>
      <c r="BF146" s="593">
        <f t="shared" si="424"/>
        <v>-1266.9048126952073</v>
      </c>
      <c r="BG146" s="593">
        <f t="shared" si="424"/>
        <v>-1367.1522974940599</v>
      </c>
      <c r="BH146"/>
    </row>
    <row r="147" spans="3:60" outlineLevel="1" x14ac:dyDescent="0.3">
      <c r="C147" s="587" t="str">
        <f t="shared" si="421"/>
        <v>Renowave</v>
      </c>
      <c r="E147" s="563" t="s">
        <v>52</v>
      </c>
      <c r="F147" s="592">
        <f t="shared" si="422"/>
        <v>106287.65206026031</v>
      </c>
      <c r="G147" s="593">
        <f>G36*SUMPRODUCT(Assumptions!$C$599:$C$604,Assumptions!C$174:C$179)</f>
        <v>10790.108021655264</v>
      </c>
      <c r="H147" s="593">
        <f>H36*SUMPRODUCT(Assumptions!$C$599:$C$604,Assumptions!D$174:D$179)</f>
        <v>10825.644269758481</v>
      </c>
      <c r="I147" s="593">
        <f>I36*SUMPRODUCT(Assumptions!$C$599:$C$604,Assumptions!E$174:E$179)</f>
        <v>10871.845896726469</v>
      </c>
      <c r="J147" s="593">
        <f>J36*SUMPRODUCT(Assumptions!$C$599:$C$604,Assumptions!F$174:F$179)</f>
        <v>10892.86125633092</v>
      </c>
      <c r="K147" s="593">
        <f>K36*SUMPRODUCT(Assumptions!$C$599:$C$604,Assumptions!G$174:G$179)</f>
        <v>10759.019901676078</v>
      </c>
      <c r="L147" s="593">
        <f>L36*SUMPRODUCT(Assumptions!$C$599:$C$604,Assumptions!H$174:H$179)</f>
        <v>10643.405491441677</v>
      </c>
      <c r="M147" s="593">
        <f>M36*SUMPRODUCT(Assumptions!$C$599:$C$604,Assumptions!I$174:I$179)</f>
        <v>10532.51424164014</v>
      </c>
      <c r="N147" s="593">
        <f>N36*SUMPRODUCT(Assumptions!$C$599:$C$604,Assumptions!J$174:J$179)</f>
        <v>10425.782569127223</v>
      </c>
      <c r="O147" s="593">
        <f>O36*SUMPRODUCT(Assumptions!$C$599:$C$604,Assumptions!K$174:K$179)</f>
        <v>10322.828798983433</v>
      </c>
      <c r="P147" s="593">
        <f>P36*SUMPRODUCT(Assumptions!$C$599:$C$604,Assumptions!L$174:L$179)</f>
        <v>10223.641612920621</v>
      </c>
      <c r="Q147" s="593">
        <f>Q36*SUMPRODUCT(Assumptions!$C$599:$C$604,Assumptions!M$174:M$179)</f>
        <v>10128.210813987664</v>
      </c>
      <c r="R147" s="593">
        <f>R36*SUMPRODUCT(Assumptions!$C$599:$C$604,Assumptions!N$174:N$179)</f>
        <v>10048.768890782248</v>
      </c>
      <c r="S147" s="593">
        <f>S36*SUMPRODUCT(Assumptions!$C$599:$C$604,Assumptions!O$174:O$179)</f>
        <v>9972.8554471506231</v>
      </c>
      <c r="T147" s="593">
        <f>T36*SUMPRODUCT(Assumptions!$C$599:$C$604,Assumptions!P$174:P$179)</f>
        <v>9900.4742921410379</v>
      </c>
      <c r="U147" s="593">
        <f>U36*SUMPRODUCT(Assumptions!$C$599:$C$604,Assumptions!Q$174:Q$179)</f>
        <v>9830.6843785416222</v>
      </c>
      <c r="Y147" s="563" t="s">
        <v>52</v>
      </c>
      <c r="Z147" s="592">
        <f t="shared" si="343"/>
        <v>-5019.3278550928899</v>
      </c>
      <c r="AA147" s="593">
        <f t="shared" ref="AA147:AO147" si="425">G147-G$123</f>
        <v>-96.454746475010325</v>
      </c>
      <c r="AB147" s="593">
        <f t="shared" si="425"/>
        <v>-112.26040536074834</v>
      </c>
      <c r="AC147" s="593">
        <f t="shared" si="425"/>
        <v>-119.17640416455833</v>
      </c>
      <c r="AD147" s="593">
        <f t="shared" si="425"/>
        <v>-153.07591645046159</v>
      </c>
      <c r="AE147" s="593">
        <f t="shared" si="425"/>
        <v>-343.65446329958286</v>
      </c>
      <c r="AF147" s="593">
        <f t="shared" si="425"/>
        <v>-517.85400162131737</v>
      </c>
      <c r="AG147" s="593">
        <f t="shared" si="425"/>
        <v>-690.00759511623437</v>
      </c>
      <c r="AH147" s="593">
        <f t="shared" si="425"/>
        <v>-860.18451630817617</v>
      </c>
      <c r="AI147" s="593">
        <f t="shared" si="425"/>
        <v>-1028.4055776114801</v>
      </c>
      <c r="AJ147" s="593">
        <f t="shared" si="425"/>
        <v>-1194.7089751603307</v>
      </c>
      <c r="AK147" s="593">
        <f t="shared" si="425"/>
        <v>-1359.1323336946189</v>
      </c>
      <c r="AL147" s="593">
        <f t="shared" si="425"/>
        <v>-1523.5687508946539</v>
      </c>
      <c r="AM147" s="593">
        <f t="shared" si="425"/>
        <v>-1686.5915121659073</v>
      </c>
      <c r="AN147" s="593">
        <f t="shared" si="425"/>
        <v>-1848.2297342875245</v>
      </c>
      <c r="AO147" s="593">
        <f t="shared" si="425"/>
        <v>-2009.4580491196793</v>
      </c>
      <c r="AQ147" s="554" t="str">
        <v>Kirde-Eesti</v>
      </c>
      <c r="AR147" s="592">
        <f>SUM(AT147:BB147)</f>
        <v>-2732.646049818587</v>
      </c>
      <c r="AS147" s="592"/>
      <c r="AT147" s="593">
        <f t="shared" ref="AT147:BG147" si="426">AB144*$BH36</f>
        <v>-44.809227738330918</v>
      </c>
      <c r="AU147" s="593">
        <f t="shared" si="426"/>
        <v>-49.883358590951005</v>
      </c>
      <c r="AV147" s="593">
        <f t="shared" si="426"/>
        <v>-80.295051450834805</v>
      </c>
      <c r="AW147" s="593">
        <f t="shared" si="426"/>
        <v>-193.53277146749434</v>
      </c>
      <c r="AX147" s="593">
        <f t="shared" si="426"/>
        <v>-288.05868417151453</v>
      </c>
      <c r="AY147" s="593">
        <f t="shared" si="426"/>
        <v>-395.21473970301537</v>
      </c>
      <c r="AZ147" s="593">
        <f t="shared" si="426"/>
        <v>-478.1497901588051</v>
      </c>
      <c r="BA147" s="593">
        <f t="shared" si="426"/>
        <v>-560.50666367508688</v>
      </c>
      <c r="BB147" s="593">
        <f t="shared" si="426"/>
        <v>-642.19576286255403</v>
      </c>
      <c r="BC147" s="593">
        <f t="shared" si="426"/>
        <v>-720.39509669462132</v>
      </c>
      <c r="BD147" s="593">
        <f t="shared" si="426"/>
        <v>-797.35897216969806</v>
      </c>
      <c r="BE147" s="593">
        <f t="shared" si="426"/>
        <v>-873.70466299273858</v>
      </c>
      <c r="BF147" s="593">
        <f t="shared" si="426"/>
        <v>-949.44498865406456</v>
      </c>
      <c r="BG147" s="593">
        <f t="shared" si="426"/>
        <v>-1024.572552393412</v>
      </c>
      <c r="BH147"/>
    </row>
    <row r="148" spans="3:60" outlineLevel="1" x14ac:dyDescent="0.3">
      <c r="C148" s="587" t="str">
        <f t="shared" si="421"/>
        <v>Renowave</v>
      </c>
      <c r="E148" s="563" t="s">
        <v>53</v>
      </c>
      <c r="F148" s="592">
        <f t="shared" si="422"/>
        <v>110841.33655516333</v>
      </c>
      <c r="G148" s="586">
        <f>G37*SUMPRODUCT(Assumptions!$C$599:$C$604,Assumptions!C$183:C$188)</f>
        <v>10706.130318465923</v>
      </c>
      <c r="H148" s="586">
        <f>H37*SUMPRODUCT(Assumptions!$C$599:$C$604,Assumptions!D$183:D$188)</f>
        <v>10802.295222584493</v>
      </c>
      <c r="I148" s="586">
        <f>I37*SUMPRODUCT(Assumptions!$C$599:$C$604,Assumptions!E$183:E$188)</f>
        <v>10958.5757692692</v>
      </c>
      <c r="J148" s="586">
        <f>J37*SUMPRODUCT(Assumptions!$C$599:$C$604,Assumptions!F$183:F$188)</f>
        <v>11018.967130104009</v>
      </c>
      <c r="K148" s="586">
        <f>K37*SUMPRODUCT(Assumptions!$C$599:$C$604,Assumptions!G$183:G$188)</f>
        <v>11045.043254556547</v>
      </c>
      <c r="L148" s="586">
        <f>L37*SUMPRODUCT(Assumptions!$C$599:$C$604,Assumptions!H$183:H$188)</f>
        <v>11161.226322508175</v>
      </c>
      <c r="M148" s="586">
        <f>M37*SUMPRODUCT(Assumptions!$C$599:$C$604,Assumptions!I$183:I$188)</f>
        <v>11119.694860642738</v>
      </c>
      <c r="N148" s="586">
        <f>N37*SUMPRODUCT(Assumptions!$C$599:$C$604,Assumptions!J$183:J$188)</f>
        <v>11232.504434238906</v>
      </c>
      <c r="O148" s="586">
        <f>O37*SUMPRODUCT(Assumptions!$C$599:$C$604,Assumptions!K$183:K$188)</f>
        <v>11343.392520610609</v>
      </c>
      <c r="P148" s="586">
        <f>P37*SUMPRODUCT(Assumptions!$C$599:$C$604,Assumptions!L$183:L$188)</f>
        <v>11453.506722182748</v>
      </c>
      <c r="Q148" s="586">
        <f>Q37*SUMPRODUCT(Assumptions!$C$599:$C$604,Assumptions!M$183:M$188)</f>
        <v>11582.920213948748</v>
      </c>
      <c r="R148" s="586">
        <f>R37*SUMPRODUCT(Assumptions!$C$599:$C$604,Assumptions!N$183:N$188)</f>
        <v>11681.25660846742</v>
      </c>
      <c r="S148" s="586">
        <f>S37*SUMPRODUCT(Assumptions!$C$599:$C$604,Assumptions!O$183:O$188)</f>
        <v>11780.818762252662</v>
      </c>
      <c r="T148" s="586">
        <f>T37*SUMPRODUCT(Assumptions!$C$599:$C$604,Assumptions!P$183:P$188)</f>
        <v>11881.61889200565</v>
      </c>
      <c r="U148" s="586">
        <f>U37*SUMPRODUCT(Assumptions!$C$599:$C$604,Assumptions!Q$183:Q$188)</f>
        <v>11983.669336588713</v>
      </c>
      <c r="Y148" s="563" t="s">
        <v>53</v>
      </c>
      <c r="Z148" s="592">
        <f t="shared" si="343"/>
        <v>-3477.8853025799526</v>
      </c>
      <c r="AA148" s="593">
        <f t="shared" ref="AA148:AO148" si="427">G148-G$124</f>
        <v>-32.693552431306671</v>
      </c>
      <c r="AB148" s="593">
        <f t="shared" si="427"/>
        <v>-48.387277415509743</v>
      </c>
      <c r="AC148" s="593">
        <f t="shared" si="427"/>
        <v>-61.495453588828241</v>
      </c>
      <c r="AD148" s="593">
        <f t="shared" si="427"/>
        <v>-168.7869090488839</v>
      </c>
      <c r="AE148" s="593">
        <f t="shared" si="427"/>
        <v>-308.70660438973391</v>
      </c>
      <c r="AF148" s="593">
        <f t="shared" si="427"/>
        <v>-356.85022171588753</v>
      </c>
      <c r="AG148" s="593">
        <f t="shared" si="427"/>
        <v>-561.05605506318898</v>
      </c>
      <c r="AH148" s="593">
        <f t="shared" si="427"/>
        <v>-609.2843250114056</v>
      </c>
      <c r="AI148" s="593">
        <f t="shared" si="427"/>
        <v>-657.81231124790429</v>
      </c>
      <c r="AJ148" s="593">
        <f t="shared" si="427"/>
        <v>-705.50614509861043</v>
      </c>
      <c r="AK148" s="593">
        <f t="shared" si="427"/>
        <v>-732.30536728301195</v>
      </c>
      <c r="AL148" s="593">
        <f t="shared" si="427"/>
        <v>-757.12122857665599</v>
      </c>
      <c r="AM148" s="593">
        <f t="shared" si="427"/>
        <v>-781.94285316185415</v>
      </c>
      <c r="AN148" s="593">
        <f t="shared" si="427"/>
        <v>-806.77033956301057</v>
      </c>
      <c r="AO148" s="593">
        <f t="shared" si="427"/>
        <v>-831.6037872956349</v>
      </c>
      <c r="AQ148" s="554" t="str">
        <v>Lõuna-Eesti </v>
      </c>
      <c r="AR148" s="592">
        <f>SUM(AT148:BB148)</f>
        <v>-6502.8898604962415</v>
      </c>
      <c r="AS148" s="592"/>
      <c r="AT148" s="593">
        <f t="shared" ref="AT148:BG148" si="428">AB144*$BH37</f>
        <v>-106.63271693588109</v>
      </c>
      <c r="AU148" s="593">
        <f t="shared" si="428"/>
        <v>-118.70764851164256</v>
      </c>
      <c r="AV148" s="593">
        <f t="shared" si="428"/>
        <v>-191.07848817900208</v>
      </c>
      <c r="AW148" s="593">
        <f t="shared" si="428"/>
        <v>-460.55079007881568</v>
      </c>
      <c r="AX148" s="593">
        <f t="shared" si="428"/>
        <v>-685.49452156498228</v>
      </c>
      <c r="AY148" s="593">
        <f t="shared" si="428"/>
        <v>-940.49425965869887</v>
      </c>
      <c r="AZ148" s="593">
        <f t="shared" si="428"/>
        <v>-1137.8551651167998</v>
      </c>
      <c r="BA148" s="593">
        <f t="shared" si="428"/>
        <v>-1333.8401803611832</v>
      </c>
      <c r="BB148" s="593">
        <f t="shared" si="428"/>
        <v>-1528.2360900892352</v>
      </c>
      <c r="BC148" s="593">
        <f t="shared" si="428"/>
        <v>-1714.3273898050802</v>
      </c>
      <c r="BD148" s="593">
        <f t="shared" si="428"/>
        <v>-1897.4786638182654</v>
      </c>
      <c r="BE148" s="593">
        <f t="shared" si="428"/>
        <v>-2079.1588410877257</v>
      </c>
      <c r="BF148" s="593">
        <f t="shared" si="428"/>
        <v>-2259.398428211136</v>
      </c>
      <c r="BG148" s="593">
        <f t="shared" si="428"/>
        <v>-2438.1798230854633</v>
      </c>
      <c r="BH148"/>
    </row>
    <row r="149" spans="3:60" outlineLevel="1" x14ac:dyDescent="0.3">
      <c r="C149" s="587" t="str">
        <f t="shared" si="421"/>
        <v>Renowave</v>
      </c>
      <c r="E149" s="563" t="s">
        <v>54</v>
      </c>
      <c r="F149" s="592">
        <f t="shared" si="422"/>
        <v>13313.187858453366</v>
      </c>
      <c r="G149" s="593">
        <f>G38*SUMPRODUCT(Assumptions!$C$599:$C$604,_xlfn.ANCHORARRAY(Assumptions!C$192))</f>
        <v>1352.4866016419983</v>
      </c>
      <c r="H149" s="593">
        <f>H38*SUMPRODUCT(Assumptions!$C$599:$C$604,_xlfn.ANCHORARRAY(Assumptions!D$192))</f>
        <v>1352.3733011646652</v>
      </c>
      <c r="I149" s="593">
        <f>I38*SUMPRODUCT(Assumptions!$C$599:$C$604,_xlfn.ANCHORARRAY(Assumptions!E$192))</f>
        <v>1352.2583124451378</v>
      </c>
      <c r="J149" s="593">
        <f>J38*SUMPRODUCT(Assumptions!$C$599:$C$604,_xlfn.ANCHORARRAY(Assumptions!F$192))</f>
        <v>1340.7731704287271</v>
      </c>
      <c r="K149" s="593">
        <f>K38*SUMPRODUCT(Assumptions!$C$599:$C$604,_xlfn.ANCHORARRAY(Assumptions!G$192))</f>
        <v>1335.0300666004848</v>
      </c>
      <c r="L149" s="593">
        <f>L38*SUMPRODUCT(Assumptions!$C$599:$C$604,_xlfn.ANCHORARRAY(Assumptions!H$192))</f>
        <v>1334.9097396761745</v>
      </c>
      <c r="M149" s="593">
        <f>M38*SUMPRODUCT(Assumptions!$C$599:$C$604,_xlfn.ANCHORARRAY(Assumptions!I$192))</f>
        <v>1325.483364904602</v>
      </c>
      <c r="N149" s="593">
        <f>N38*SUMPRODUCT(Assumptions!$C$599:$C$604,_xlfn.ANCHORARRAY(Assumptions!J$192))</f>
        <v>1316.0551449295319</v>
      </c>
      <c r="O149" s="593">
        <f>O38*SUMPRODUCT(Assumptions!$C$599:$C$604,_xlfn.ANCHORARRAY(Assumptions!K$192))</f>
        <v>1306.6250613177253</v>
      </c>
      <c r="P149" s="593">
        <f>P38*SUMPRODUCT(Assumptions!$C$599:$C$604,_xlfn.ANCHORARRAY(Assumptions!L$192))</f>
        <v>1297.1930953443198</v>
      </c>
      <c r="Q149" s="593">
        <f>Q38*SUMPRODUCT(Assumptions!$C$599:$C$604,_xlfn.ANCHORARRAY(Assumptions!M$192))</f>
        <v>1297.0634487783555</v>
      </c>
      <c r="R149" s="593">
        <f>R38*SUMPRODUCT(Assumptions!$C$599:$C$604,Assumptions!N$192:N$197)</f>
        <v>1296.9318815110878</v>
      </c>
      <c r="S149" s="593">
        <f>S38*SUMPRODUCT(Assumptions!$C$599:$C$604,Assumptions!O$192:O$197)</f>
        <v>1296.7983739204217</v>
      </c>
      <c r="T149" s="593">
        <f>T38*SUMPRODUCT(Assumptions!$C$599:$C$604,Assumptions!P$192:P$197)</f>
        <v>1296.6629060781036</v>
      </c>
      <c r="U149" s="593">
        <f>U38*SUMPRODUCT(Assumptions!$C$599:$C$604,Assumptions!Q$192:Q$197)</f>
        <v>1296.5254577463288</v>
      </c>
      <c r="Y149" s="563" t="s">
        <v>54</v>
      </c>
      <c r="Z149" s="592">
        <f t="shared" si="343"/>
        <v>-240.82652096641118</v>
      </c>
      <c r="AA149" s="593">
        <f t="shared" ref="AA149:AO149" si="429">G149-G$125</f>
        <v>-3.2387069999772393</v>
      </c>
      <c r="AB149" s="593">
        <f t="shared" si="429"/>
        <v>-3.3520074773102806</v>
      </c>
      <c r="AC149" s="593">
        <f t="shared" si="429"/>
        <v>-3.4669961968377265</v>
      </c>
      <c r="AD149" s="593">
        <f t="shared" si="429"/>
        <v>-14.952138213248418</v>
      </c>
      <c r="AE149" s="593">
        <f t="shared" si="429"/>
        <v>-20.695242041490701</v>
      </c>
      <c r="AF149" s="593">
        <f t="shared" si="429"/>
        <v>-20.815568965801049</v>
      </c>
      <c r="AG149" s="593">
        <f t="shared" si="429"/>
        <v>-30.241943737373504</v>
      </c>
      <c r="AH149" s="593">
        <f t="shared" si="429"/>
        <v>-39.670163712443582</v>
      </c>
      <c r="AI149" s="593">
        <f t="shared" si="429"/>
        <v>-49.100247324250176</v>
      </c>
      <c r="AJ149" s="593">
        <f t="shared" si="429"/>
        <v>-58.532213297655744</v>
      </c>
      <c r="AK149" s="593">
        <f t="shared" si="429"/>
        <v>-58.661859863620066</v>
      </c>
      <c r="AL149" s="593">
        <f t="shared" si="429"/>
        <v>-58.793427130887721</v>
      </c>
      <c r="AM149" s="593">
        <f t="shared" si="429"/>
        <v>-58.926934721553835</v>
      </c>
      <c r="AN149" s="593">
        <f t="shared" si="429"/>
        <v>-59.062402563871956</v>
      </c>
      <c r="AO149" s="593">
        <f t="shared" si="429"/>
        <v>-59.199850895646705</v>
      </c>
      <c r="AQ149" s="554" t="str">
        <v>Kesk-Eesti</v>
      </c>
      <c r="AR149" s="592">
        <f>SUM(AT149:BB149)</f>
        <v>-2853.2990387021796</v>
      </c>
      <c r="AS149" s="592"/>
      <c r="AT149" s="593">
        <f t="shared" ref="AT149:BG149" si="430">AB144*$BH38</f>
        <v>-46.78766444679308</v>
      </c>
      <c r="AU149" s="593">
        <f t="shared" si="430"/>
        <v>-52.085830553959106</v>
      </c>
      <c r="AV149" s="593">
        <f t="shared" si="430"/>
        <v>-83.840273837300927</v>
      </c>
      <c r="AW149" s="593">
        <f t="shared" si="430"/>
        <v>-202.07771541514853</v>
      </c>
      <c r="AX149" s="593">
        <f t="shared" si="430"/>
        <v>-300.77717774351424</v>
      </c>
      <c r="AY149" s="593">
        <f t="shared" si="430"/>
        <v>-412.6644345140889</v>
      </c>
      <c r="AZ149" s="593">
        <f t="shared" si="430"/>
        <v>-499.26126975220222</v>
      </c>
      <c r="BA149" s="593">
        <f t="shared" si="430"/>
        <v>-585.2544001285728</v>
      </c>
      <c r="BB149" s="593">
        <f t="shared" si="430"/>
        <v>-670.55027231059978</v>
      </c>
      <c r="BC149" s="593">
        <f t="shared" si="430"/>
        <v>-752.20229748414943</v>
      </c>
      <c r="BD149" s="593">
        <f t="shared" si="430"/>
        <v>-832.56431580057563</v>
      </c>
      <c r="BE149" s="593">
        <f t="shared" si="430"/>
        <v>-912.28085510463109</v>
      </c>
      <c r="BF149" s="593">
        <f t="shared" si="430"/>
        <v>-991.36530089840608</v>
      </c>
      <c r="BG149" s="593">
        <f t="shared" si="430"/>
        <v>-1069.809929836628</v>
      </c>
      <c r="BH149"/>
    </row>
    <row r="150" spans="3:60" outlineLevel="1" x14ac:dyDescent="0.3">
      <c r="C150" s="587" t="str">
        <f>E150</f>
        <v>EET</v>
      </c>
      <c r="E150" s="555" t="str">
        <f>'EE Measures'!$IJ$6</f>
        <v>EET</v>
      </c>
      <c r="F150" s="590">
        <f>SUM(G150:P150)</f>
        <v>480482.42647164682</v>
      </c>
      <c r="G150" s="591">
        <f>SUM(G151:G155)</f>
        <v>47273.883828693157</v>
      </c>
      <c r="H150" s="591">
        <f>SUM(H151:H155)</f>
        <v>48612.347588382967</v>
      </c>
      <c r="I150" s="591">
        <f t="shared" ref="I150:P150" si="431">SUM(I151:I155)</f>
        <v>48974.191585601446</v>
      </c>
      <c r="J150" s="591">
        <f t="shared" si="431"/>
        <v>49099.289525733366</v>
      </c>
      <c r="K150" s="591">
        <f t="shared" si="431"/>
        <v>48619.818046971319</v>
      </c>
      <c r="L150" s="591">
        <f t="shared" si="431"/>
        <v>48418.400399851555</v>
      </c>
      <c r="M150" s="591">
        <f t="shared" si="431"/>
        <v>47477.891481024089</v>
      </c>
      <c r="N150" s="591">
        <f t="shared" si="431"/>
        <v>47403.403675428533</v>
      </c>
      <c r="O150" s="591">
        <f t="shared" si="431"/>
        <v>47332.854636143355</v>
      </c>
      <c r="P150" s="591">
        <f t="shared" si="431"/>
        <v>47270.345703817045</v>
      </c>
      <c r="Q150" s="591">
        <f t="shared" ref="Q150:U150" si="432">SUM(Q151:Q155)</f>
        <v>47332.084927812204</v>
      </c>
      <c r="R150" s="591">
        <f t="shared" si="432"/>
        <v>47352.22554722213</v>
      </c>
      <c r="S150" s="591">
        <f t="shared" si="432"/>
        <v>47382.858545883253</v>
      </c>
      <c r="T150" s="591">
        <f t="shared" si="432"/>
        <v>47424.01962029923</v>
      </c>
      <c r="U150" s="591">
        <f t="shared" si="432"/>
        <v>47475.482904044249</v>
      </c>
      <c r="V150" s="997">
        <f>(F150-F$120)/1000</f>
        <v>-25.550383663075628</v>
      </c>
      <c r="W150" s="871">
        <f>(P150-P$120)/P$120/9</f>
        <v>-1.1694957227544132E-2</v>
      </c>
      <c r="Y150" s="555" t="str">
        <f>'EE Measures'!$IJ$6</f>
        <v>EET</v>
      </c>
      <c r="Z150" s="590">
        <f t="shared" si="343"/>
        <v>-25141.714798160217</v>
      </c>
      <c r="AA150" s="591">
        <f>SUM(AA151:AA155)</f>
        <v>-408.6688649155144</v>
      </c>
      <c r="AB150" s="591">
        <f>SUM(AB151:AB155)</f>
        <v>-495.1350812168555</v>
      </c>
      <c r="AC150" s="591">
        <f t="shared" ref="AC150" si="433">SUM(AC151:AC155)</f>
        <v>-556.05980980723166</v>
      </c>
      <c r="AD150" s="591">
        <f t="shared" ref="AD150" si="434">SUM(AD151:AD155)</f>
        <v>-873.27865204881573</v>
      </c>
      <c r="AE150" s="591">
        <f t="shared" ref="AE150" si="435">SUM(AE151:AE155)</f>
        <v>-1813.4481998196859</v>
      </c>
      <c r="AF150" s="591">
        <f t="shared" ref="AF150" si="436">SUM(AF151:AF155)</f>
        <v>-2480.3824840774409</v>
      </c>
      <c r="AG150" s="591">
        <f t="shared" ref="AG150" si="437">SUM(AG151:AG155)</f>
        <v>-3897.3606433215173</v>
      </c>
      <c r="AH150" s="591">
        <f t="shared" ref="AH150" si="438">SUM(AH151:AH155)</f>
        <v>-4454.9900188542424</v>
      </c>
      <c r="AI150" s="591">
        <f t="shared" ref="AI150" si="439">SUM(AI151:AI155)</f>
        <v>-5010.3471923988163</v>
      </c>
      <c r="AJ150" s="591">
        <f t="shared" ref="AJ150:AO150" si="440">SUM(AJ151:AJ155)</f>
        <v>-5560.7127166156115</v>
      </c>
      <c r="AK150" s="591">
        <f t="shared" si="440"/>
        <v>-5997.2019655676359</v>
      </c>
      <c r="AL150" s="591">
        <f t="shared" si="440"/>
        <v>-6421.9020172962064</v>
      </c>
      <c r="AM150" s="591">
        <f t="shared" si="440"/>
        <v>-6843.5314592401592</v>
      </c>
      <c r="AN150" s="591">
        <f t="shared" si="440"/>
        <v>-7262.1575932636188</v>
      </c>
      <c r="AO150" s="591">
        <f t="shared" si="440"/>
        <v>-7678.1109268067912</v>
      </c>
      <c r="AQ150" s="555" t="s">
        <v>38</v>
      </c>
      <c r="AR150" s="591">
        <f t="shared" ref="AR150:BB150" si="441">SUM(AR151:AR155)</f>
        <v>-25141.714798160214</v>
      </c>
      <c r="AS150" s="591"/>
      <c r="AT150" s="591">
        <f t="shared" si="441"/>
        <v>-495.13508121685544</v>
      </c>
      <c r="AU150" s="591">
        <f t="shared" si="441"/>
        <v>-556.05980980723166</v>
      </c>
      <c r="AV150" s="591">
        <f t="shared" si="441"/>
        <v>-873.27865204881562</v>
      </c>
      <c r="AW150" s="591">
        <f t="shared" si="441"/>
        <v>-1813.4481998196857</v>
      </c>
      <c r="AX150" s="591">
        <f t="shared" si="441"/>
        <v>-2480.3824840774409</v>
      </c>
      <c r="AY150" s="591">
        <f t="shared" si="441"/>
        <v>-3897.3606433215168</v>
      </c>
      <c r="AZ150" s="591">
        <f t="shared" si="441"/>
        <v>-4454.9900188542424</v>
      </c>
      <c r="BA150" s="591">
        <f t="shared" si="441"/>
        <v>-5010.3471923988154</v>
      </c>
      <c r="BB150" s="591">
        <f t="shared" si="441"/>
        <v>-5560.7127166156106</v>
      </c>
      <c r="BC150" s="591">
        <f t="shared" ref="BC150:BG150" si="442">SUM(BC151:BC155)</f>
        <v>-5997.2019655676349</v>
      </c>
      <c r="BD150" s="591">
        <f t="shared" si="442"/>
        <v>-6421.9020172962064</v>
      </c>
      <c r="BE150" s="591">
        <f t="shared" si="442"/>
        <v>-6843.5314592401583</v>
      </c>
      <c r="BF150" s="591">
        <f t="shared" si="442"/>
        <v>-7262.1575932636179</v>
      </c>
      <c r="BG150" s="591">
        <f t="shared" si="442"/>
        <v>-7678.1109268067903</v>
      </c>
      <c r="BH150"/>
    </row>
    <row r="151" spans="3:60" outlineLevel="1" x14ac:dyDescent="0.3">
      <c r="C151" s="587" t="str">
        <f>C150</f>
        <v>EET</v>
      </c>
      <c r="E151" s="563" t="s">
        <v>50</v>
      </c>
      <c r="F151" s="592">
        <f>SUM(G151:P151)</f>
        <v>93410.447908039845</v>
      </c>
      <c r="G151" s="593">
        <f>G40*SUMPRODUCT(Assumptions!$C$599:$C$604,Assumptions!C$156:C$161)</f>
        <v>8031.1542022299864</v>
      </c>
      <c r="H151" s="593">
        <f>H40*SUMPRODUCT(Assumptions!$C$599:$C$604,Assumptions!D$156:D$161)</f>
        <v>9205.8922007668662</v>
      </c>
      <c r="I151" s="593">
        <f>I40*SUMPRODUCT(Assumptions!$C$599:$C$604,Assumptions!E$156:E$161)</f>
        <v>9333.8366143363182</v>
      </c>
      <c r="J151" s="593">
        <f>J40*SUMPRODUCT(Assumptions!$C$599:$C$604,Assumptions!F$156:F$161)</f>
        <v>9387.9736714869596</v>
      </c>
      <c r="K151" s="593">
        <f>K40*SUMPRODUCT(Assumptions!$C$599:$C$604,Assumptions!G$156:G$161)</f>
        <v>9363.0840137669202</v>
      </c>
      <c r="L151" s="593">
        <f>L40*SUMPRODUCT(Assumptions!$C$599:$C$604,Assumptions!H$156:H$161)</f>
        <v>9390.8820377237298</v>
      </c>
      <c r="M151" s="593">
        <f>M40*SUMPRODUCT(Assumptions!$C$599:$C$604,Assumptions!I$156:I$161)</f>
        <v>9449.8281193655002</v>
      </c>
      <c r="N151" s="593">
        <f>N40*SUMPRODUCT(Assumptions!$C$599:$C$604,Assumptions!J$156:J$161)</f>
        <v>9599.4627357488698</v>
      </c>
      <c r="O151" s="593">
        <f>O40*SUMPRODUCT(Assumptions!$C$599:$C$604,Assumptions!K$156:K$161)</f>
        <v>9748.9162386654225</v>
      </c>
      <c r="P151" s="593">
        <f>P40*SUMPRODUCT(Assumptions!$C$599:$C$604,Assumptions!L$156:L$161)</f>
        <v>9899.4180739492749</v>
      </c>
      <c r="Q151" s="593">
        <f>Q40*SUMPRODUCT(Assumptions!$C$599:$C$604,Assumptions!M$156:M$161)</f>
        <v>10057.66658623022</v>
      </c>
      <c r="R151" s="593">
        <f>R40*SUMPRODUCT(Assumptions!$C$599:$C$604,Assumptions!N$156:N$161)</f>
        <v>10197.372629255735</v>
      </c>
      <c r="S151" s="593">
        <f>S40*SUMPRODUCT(Assumptions!$C$599:$C$604,Assumptions!O$156:O$161)</f>
        <v>10339.459446684523</v>
      </c>
      <c r="T151" s="593">
        <f>T40*SUMPRODUCT(Assumptions!$C$599:$C$604,Assumptions!P$156:P$161)</f>
        <v>10483.96290614932</v>
      </c>
      <c r="U151" s="593">
        <f>U40*SUMPRODUCT(Assumptions!$C$599:$C$604,Assumptions!Q$156:Q$161)</f>
        <v>10630.91941459392</v>
      </c>
      <c r="Y151" s="563" t="s">
        <v>50</v>
      </c>
      <c r="Z151" s="592">
        <f t="shared" si="343"/>
        <v>-5090.6358165899928</v>
      </c>
      <c r="AA151" s="593">
        <f t="shared" ref="AA151:AO151" si="443">G151-G$121</f>
        <v>-197.89942248391799</v>
      </c>
      <c r="AB151" s="593">
        <f t="shared" si="443"/>
        <v>-218.28750058514379</v>
      </c>
      <c r="AC151" s="593">
        <f t="shared" si="443"/>
        <v>-222.82409379619639</v>
      </c>
      <c r="AD151" s="593">
        <f t="shared" si="443"/>
        <v>-318.12871876253848</v>
      </c>
      <c r="AE151" s="593">
        <f t="shared" si="443"/>
        <v>-508.17591580495719</v>
      </c>
      <c r="AF151" s="593">
        <f t="shared" si="443"/>
        <v>-647.61033576564478</v>
      </c>
      <c r="AG151" s="593">
        <f t="shared" si="443"/>
        <v>-756.18022450875105</v>
      </c>
      <c r="AH151" s="593">
        <f t="shared" si="443"/>
        <v>-781.36336424787623</v>
      </c>
      <c r="AI151" s="593">
        <f t="shared" si="443"/>
        <v>-806.47156666905357</v>
      </c>
      <c r="AJ151" s="593">
        <f t="shared" si="443"/>
        <v>-831.59409644983134</v>
      </c>
      <c r="AK151" s="593">
        <f t="shared" si="443"/>
        <v>-857.29298757878314</v>
      </c>
      <c r="AL151" s="593">
        <f t="shared" si="443"/>
        <v>-881.31133816040528</v>
      </c>
      <c r="AM151" s="593">
        <f t="shared" si="443"/>
        <v>-905.40478024285767</v>
      </c>
      <c r="AN151" s="593">
        <f t="shared" si="443"/>
        <v>-929.57428418196832</v>
      </c>
      <c r="AO151" s="593">
        <f t="shared" si="443"/>
        <v>-953.82083359233911</v>
      </c>
      <c r="AQ151" s="554" t="str" cm="1">
        <f t="array" ref="AQ151:AQ155">_xlfn.ANCHORARRAY(AQ145)</f>
        <v xml:space="preserve">Põhja-Eesti </v>
      </c>
      <c r="AR151" s="592">
        <f>SUM(AT151:BB151)</f>
        <v>-12967.923374021022</v>
      </c>
      <c r="AS151" s="592"/>
      <c r="AT151" s="593">
        <f t="shared" ref="AT151:BG151" si="444">AB150*$BH40</f>
        <v>-255.38726552890955</v>
      </c>
      <c r="AU151" s="593">
        <f t="shared" si="444"/>
        <v>-286.8118210250542</v>
      </c>
      <c r="AV151" s="593">
        <f t="shared" si="444"/>
        <v>-450.43111557235966</v>
      </c>
      <c r="AW151" s="593">
        <f t="shared" si="444"/>
        <v>-935.36409456601268</v>
      </c>
      <c r="AX151" s="593">
        <f t="shared" si="444"/>
        <v>-1279.364206061789</v>
      </c>
      <c r="AY151" s="593">
        <f t="shared" si="444"/>
        <v>-2010.2317836815612</v>
      </c>
      <c r="AZ151" s="593">
        <f t="shared" si="444"/>
        <v>-2297.8531759002312</v>
      </c>
      <c r="BA151" s="593">
        <f t="shared" si="444"/>
        <v>-2584.3025819791646</v>
      </c>
      <c r="BB151" s="593">
        <f t="shared" si="444"/>
        <v>-2868.1773297059417</v>
      </c>
      <c r="BC151" s="593">
        <f t="shared" si="444"/>
        <v>-3093.3154787715753</v>
      </c>
      <c r="BD151" s="593">
        <f t="shared" si="444"/>
        <v>-3312.3728410864915</v>
      </c>
      <c r="BE151" s="593">
        <f t="shared" si="444"/>
        <v>-3529.8464040178683</v>
      </c>
      <c r="BF151" s="593">
        <f t="shared" si="444"/>
        <v>-3745.7708814037996</v>
      </c>
      <c r="BG151" s="593">
        <f t="shared" si="444"/>
        <v>-3960.3167467061608</v>
      </c>
      <c r="BH151"/>
    </row>
    <row r="152" spans="3:60" outlineLevel="1" x14ac:dyDescent="0.3">
      <c r="C152" s="587" t="str">
        <f t="shared" ref="C152:C155" si="445">C151</f>
        <v>EET</v>
      </c>
      <c r="E152" s="563" t="s">
        <v>51</v>
      </c>
      <c r="F152" s="592">
        <f t="shared" ref="F152:F155" si="446">SUM(G152:P152)</f>
        <v>161465.04032755151</v>
      </c>
      <c r="G152" s="586">
        <f>G41*SUMPRODUCT(Assumptions!$C$599:$C$604,Assumptions!C$165:C$170)</f>
        <v>16424.951549140998</v>
      </c>
      <c r="H152" s="586">
        <f>H41*SUMPRODUCT(Assumptions!$C$599:$C$604,Assumptions!D$165:D$170)</f>
        <v>16466.023163513335</v>
      </c>
      <c r="I152" s="586">
        <f>I41*SUMPRODUCT(Assumptions!$C$599:$C$604,Assumptions!E$165:E$170)</f>
        <v>16506.927941431411</v>
      </c>
      <c r="J152" s="586">
        <f>J41*SUMPRODUCT(Assumptions!$C$599:$C$604,Assumptions!F$165:F$170)</f>
        <v>16516.208203873495</v>
      </c>
      <c r="K152" s="586">
        <f>K41*SUMPRODUCT(Assumptions!$C$599:$C$604,Assumptions!G$165:G$170)</f>
        <v>16322.221653195526</v>
      </c>
      <c r="L152" s="586">
        <f>L41*SUMPRODUCT(Assumptions!$C$599:$C$604,Assumptions!H$165:H$170)</f>
        <v>16154.249196208428</v>
      </c>
      <c r="M152" s="586">
        <f>M41*SUMPRODUCT(Assumptions!$C$599:$C$604,Assumptions!I$165:I$170)</f>
        <v>15997.844508519145</v>
      </c>
      <c r="N152" s="586">
        <f>N41*SUMPRODUCT(Assumptions!$C$599:$C$604,Assumptions!J$165:J$170)</f>
        <v>15842.602752272373</v>
      </c>
      <c r="O152" s="586">
        <f>O41*SUMPRODUCT(Assumptions!$C$599:$C$604,Assumptions!K$165:K$170)</f>
        <v>15690.999261112749</v>
      </c>
      <c r="P152" s="586">
        <f>P41*SUMPRODUCT(Assumptions!$C$599:$C$604,Assumptions!L$165:L$170)</f>
        <v>15543.012098284051</v>
      </c>
      <c r="Q152" s="586">
        <f>Q41*SUMPRODUCT(Assumptions!$C$599:$C$604,Assumptions!M$165:M$170)</f>
        <v>15398.620571142623</v>
      </c>
      <c r="R152" s="586">
        <f>R41*SUMPRODUCT(Assumptions!$C$599:$C$604,Assumptions!N$165:N$170)</f>
        <v>15242.063279386053</v>
      </c>
      <c r="S152" s="586">
        <f>S41*SUMPRODUCT(Assumptions!$C$599:$C$604,Assumptions!O$165:O$170)</f>
        <v>15089.343824373707</v>
      </c>
      <c r="T152" s="586">
        <f>T41*SUMPRODUCT(Assumptions!$C$599:$C$604,Assumptions!P$165:P$170)</f>
        <v>14940.436646206033</v>
      </c>
      <c r="U152" s="586">
        <f>U41*SUMPRODUCT(Assumptions!$C$599:$C$604,Assumptions!Q$165:Q$170)</f>
        <v>14795.850477690527</v>
      </c>
      <c r="Y152" s="563" t="s">
        <v>51</v>
      </c>
      <c r="Z152" s="592">
        <f t="shared" si="343"/>
        <v>-6508.747929550429</v>
      </c>
      <c r="AA152" s="593">
        <f t="shared" ref="AA152:AO152" si="447">G152-G$122</f>
        <v>-47.43557208429047</v>
      </c>
      <c r="AB152" s="593">
        <f t="shared" si="447"/>
        <v>-72.967320973271853</v>
      </c>
      <c r="AC152" s="593">
        <f t="shared" si="447"/>
        <v>-99.843913453714777</v>
      </c>
      <c r="AD152" s="593">
        <f t="shared" si="447"/>
        <v>-160.84106308293849</v>
      </c>
      <c r="AE152" s="593">
        <f t="shared" si="447"/>
        <v>-427.635131459685</v>
      </c>
      <c r="AF152" s="593">
        <f t="shared" si="447"/>
        <v>-670.97996830216289</v>
      </c>
      <c r="AG152" s="593">
        <f t="shared" si="447"/>
        <v>-912.40121084792918</v>
      </c>
      <c r="AH152" s="593">
        <f t="shared" si="447"/>
        <v>-1151.4836886859721</v>
      </c>
      <c r="AI152" s="593">
        <f t="shared" si="447"/>
        <v>-1388.6502449995423</v>
      </c>
      <c r="AJ152" s="593">
        <f t="shared" si="447"/>
        <v>-1623.9453877452124</v>
      </c>
      <c r="AK152" s="593">
        <f t="shared" si="447"/>
        <v>-1857.4127108721987</v>
      </c>
      <c r="AL152" s="593">
        <f t="shared" si="447"/>
        <v>-2086.9395303531819</v>
      </c>
      <c r="AM152" s="593">
        <f t="shared" si="447"/>
        <v>-2314.2480704493028</v>
      </c>
      <c r="AN152" s="593">
        <f t="shared" si="447"/>
        <v>-2539.3848103863293</v>
      </c>
      <c r="AO152" s="593">
        <f t="shared" si="447"/>
        <v>-2761.862244786631</v>
      </c>
      <c r="AQ152" s="554" t="str">
        <v>Lääne-Eesti</v>
      </c>
      <c r="AR152" s="592">
        <f>SUM(AT152:BB152)</f>
        <v>-4066.7098837248964</v>
      </c>
      <c r="AS152" s="592"/>
      <c r="AT152" s="593">
        <f t="shared" ref="AT152:BG152" si="448">AB150*$BH41</f>
        <v>-80.08883820091944</v>
      </c>
      <c r="AU152" s="593">
        <f t="shared" si="448"/>
        <v>-89.943503959035112</v>
      </c>
      <c r="AV152" s="593">
        <f t="shared" si="448"/>
        <v>-141.25412502860587</v>
      </c>
      <c r="AW152" s="593">
        <f t="shared" si="448"/>
        <v>-293.32795225127194</v>
      </c>
      <c r="AX152" s="593">
        <f t="shared" si="448"/>
        <v>-401.20556789364144</v>
      </c>
      <c r="AY152" s="593">
        <f t="shared" si="448"/>
        <v>-630.40389949041344</v>
      </c>
      <c r="AZ152" s="593">
        <f t="shared" si="448"/>
        <v>-720.60128304756915</v>
      </c>
      <c r="BA152" s="593">
        <f t="shared" si="448"/>
        <v>-810.43113454268314</v>
      </c>
      <c r="BB152" s="593">
        <f t="shared" si="448"/>
        <v>-899.45357931075671</v>
      </c>
      <c r="BC152" s="593">
        <f t="shared" si="448"/>
        <v>-970.05636663466464</v>
      </c>
      <c r="BD152" s="593">
        <f t="shared" si="448"/>
        <v>-1038.7522337164692</v>
      </c>
      <c r="BE152" s="593">
        <f t="shared" si="448"/>
        <v>-1106.951425083812</v>
      </c>
      <c r="BF152" s="593">
        <f t="shared" si="448"/>
        <v>-1174.6648269136397</v>
      </c>
      <c r="BG152" s="593">
        <f t="shared" si="448"/>
        <v>-1241.9458992775708</v>
      </c>
      <c r="BH152"/>
    </row>
    <row r="153" spans="3:60" outlineLevel="1" x14ac:dyDescent="0.3">
      <c r="C153" s="587" t="str">
        <f t="shared" si="445"/>
        <v>EET</v>
      </c>
      <c r="E153" s="563" t="s">
        <v>52</v>
      </c>
      <c r="F153" s="592">
        <f t="shared" si="446"/>
        <v>107561.23077203553</v>
      </c>
      <c r="G153" s="593">
        <f>G42*SUMPRODUCT(Assumptions!$C$599:$C$604,Assumptions!C$174:C$179)</f>
        <v>10790.108021655264</v>
      </c>
      <c r="H153" s="593">
        <f>H42*SUMPRODUCT(Assumptions!$C$599:$C$604,Assumptions!D$174:D$179)</f>
        <v>10825.644269758481</v>
      </c>
      <c r="I153" s="593">
        <f>I42*SUMPRODUCT(Assumptions!$C$599:$C$604,Assumptions!E$174:E$179)</f>
        <v>10871.845896726469</v>
      </c>
      <c r="J153" s="593">
        <f>J42*SUMPRODUCT(Assumptions!$C$599:$C$604,Assumptions!F$174:F$179)</f>
        <v>10892.86125633092</v>
      </c>
      <c r="K153" s="593">
        <f>K42*SUMPRODUCT(Assumptions!$C$599:$C$604,Assumptions!G$174:G$179)</f>
        <v>10820.821709738426</v>
      </c>
      <c r="L153" s="593">
        <f>L42*SUMPRODUCT(Assumptions!$C$599:$C$604,Assumptions!H$174:H$179)</f>
        <v>10766.301075123136</v>
      </c>
      <c r="M153" s="593">
        <f>M42*SUMPRODUCT(Assumptions!$C$599:$C$604,Assumptions!I$174:I$179)</f>
        <v>10715.808726787145</v>
      </c>
      <c r="N153" s="593">
        <f>N42*SUMPRODUCT(Assumptions!$C$599:$C$604,Assumptions!J$174:J$179)</f>
        <v>10668.802367388378</v>
      </c>
      <c r="O153" s="593">
        <f>O42*SUMPRODUCT(Assumptions!$C$599:$C$604,Assumptions!K$174:K$179)</f>
        <v>10624.908677725789</v>
      </c>
      <c r="P153" s="593">
        <f>P42*SUMPRODUCT(Assumptions!$C$599:$C$604,Assumptions!L$174:L$179)</f>
        <v>10584.128770801528</v>
      </c>
      <c r="Q153" s="593">
        <f>Q42*SUMPRODUCT(Assumptions!$C$599:$C$604,Assumptions!M$174:M$179)</f>
        <v>10546.464696161833</v>
      </c>
      <c r="R153" s="593">
        <f>R42*SUMPRODUCT(Assumptions!$C$599:$C$604,Assumptions!N$174:N$179)</f>
        <v>10524.740843346508</v>
      </c>
      <c r="S153" s="593">
        <f>S42*SUMPRODUCT(Assumptions!$C$599:$C$604,Assumptions!O$174:O$179)</f>
        <v>10506.066939691727</v>
      </c>
      <c r="T153" s="593">
        <f>T42*SUMPRODUCT(Assumptions!$C$599:$C$604,Assumptions!P$174:P$179)</f>
        <v>10490.456177195019</v>
      </c>
      <c r="U153" s="593">
        <f>U42*SUMPRODUCT(Assumptions!$C$599:$C$604,Assumptions!Q$174:Q$179)</f>
        <v>10477.125231054764</v>
      </c>
      <c r="Y153" s="563" t="s">
        <v>52</v>
      </c>
      <c r="Z153" s="592">
        <f t="shared" si="343"/>
        <v>-3745.7491433176601</v>
      </c>
      <c r="AA153" s="593">
        <f t="shared" ref="AA153:AO153" si="449">G153-G$123</f>
        <v>-96.454746475010325</v>
      </c>
      <c r="AB153" s="593">
        <f t="shared" si="449"/>
        <v>-112.26040536074834</v>
      </c>
      <c r="AC153" s="593">
        <f t="shared" si="449"/>
        <v>-119.17640416455833</v>
      </c>
      <c r="AD153" s="593">
        <f t="shared" si="449"/>
        <v>-153.07591645046159</v>
      </c>
      <c r="AE153" s="593">
        <f t="shared" si="449"/>
        <v>-281.85265523723501</v>
      </c>
      <c r="AF153" s="593">
        <f t="shared" si="449"/>
        <v>-394.95841793985892</v>
      </c>
      <c r="AG153" s="593">
        <f t="shared" si="449"/>
        <v>-506.71310996922875</v>
      </c>
      <c r="AH153" s="593">
        <f t="shared" si="449"/>
        <v>-617.16471804702087</v>
      </c>
      <c r="AI153" s="593">
        <f t="shared" si="449"/>
        <v>-726.32569886912461</v>
      </c>
      <c r="AJ153" s="593">
        <f t="shared" si="449"/>
        <v>-834.2218172794237</v>
      </c>
      <c r="AK153" s="593">
        <f t="shared" si="449"/>
        <v>-940.87845152044974</v>
      </c>
      <c r="AL153" s="593">
        <f t="shared" si="449"/>
        <v>-1047.5967983303944</v>
      </c>
      <c r="AM153" s="593">
        <f t="shared" si="449"/>
        <v>-1153.380019624803</v>
      </c>
      <c r="AN153" s="593">
        <f t="shared" si="449"/>
        <v>-1258.2478492335431</v>
      </c>
      <c r="AO153" s="593">
        <f t="shared" si="449"/>
        <v>-1363.0171966065373</v>
      </c>
      <c r="AQ153" s="554" t="str">
        <v>Kirde-Eesti</v>
      </c>
      <c r="AR153" s="592">
        <f>SUM(AT153:BB153)</f>
        <v>-1835.6902936343749</v>
      </c>
      <c r="AS153" s="592"/>
      <c r="AT153" s="593">
        <f t="shared" ref="AT153:BG153" si="450">AB150*$BH42</f>
        <v>-36.151657511211639</v>
      </c>
      <c r="AU153" s="593">
        <f t="shared" si="450"/>
        <v>-40.599998995215991</v>
      </c>
      <c r="AV153" s="593">
        <f t="shared" si="450"/>
        <v>-63.761328854204834</v>
      </c>
      <c r="AW153" s="593">
        <f t="shared" si="450"/>
        <v>-132.40661128895343</v>
      </c>
      <c r="AX153" s="593">
        <f t="shared" si="450"/>
        <v>-181.10196886231748</v>
      </c>
      <c r="AY153" s="593">
        <f t="shared" si="450"/>
        <v>-284.56082495460743</v>
      </c>
      <c r="AZ153" s="593">
        <f t="shared" si="450"/>
        <v>-325.27542379277924</v>
      </c>
      <c r="BA153" s="593">
        <f t="shared" si="450"/>
        <v>-365.82412069592749</v>
      </c>
      <c r="BB153" s="593">
        <f t="shared" si="450"/>
        <v>-406.00835867915748</v>
      </c>
      <c r="BC153" s="593">
        <f t="shared" si="450"/>
        <v>-437.87806541990943</v>
      </c>
      <c r="BD153" s="593">
        <f t="shared" si="450"/>
        <v>-468.88699893629803</v>
      </c>
      <c r="BE153" s="593">
        <f t="shared" si="450"/>
        <v>-499.67173578899786</v>
      </c>
      <c r="BF153" s="593">
        <f t="shared" si="450"/>
        <v>-530.2371899379242</v>
      </c>
      <c r="BG153" s="593">
        <f t="shared" si="450"/>
        <v>-560.60749296299616</v>
      </c>
      <c r="BH153"/>
    </row>
    <row r="154" spans="3:60" outlineLevel="1" x14ac:dyDescent="0.3">
      <c r="C154" s="587" t="str">
        <f t="shared" si="445"/>
        <v>EET</v>
      </c>
      <c r="E154" s="563" t="s">
        <v>53</v>
      </c>
      <c r="F154" s="592">
        <f t="shared" si="446"/>
        <v>104732.51960556656</v>
      </c>
      <c r="G154" s="586">
        <f>G43*SUMPRODUCT(Assumptions!$C$599:$C$604,Assumptions!C$183:C$188)</f>
        <v>10675.183454024911</v>
      </c>
      <c r="H154" s="586">
        <f>H43*SUMPRODUCT(Assumptions!$C$599:$C$604,Assumptions!D$183:D$188)</f>
        <v>10762.414653179621</v>
      </c>
      <c r="I154" s="586">
        <f>I43*SUMPRODUCT(Assumptions!$C$599:$C$604,Assumptions!E$183:E$188)</f>
        <v>10909.322820662104</v>
      </c>
      <c r="J154" s="586">
        <f>J43*SUMPRODUCT(Assumptions!$C$599:$C$604,Assumptions!F$183:F$188)</f>
        <v>10961.473223613264</v>
      </c>
      <c r="K154" s="586">
        <f>K43*SUMPRODUCT(Assumptions!$C$599:$C$604,Assumptions!G$183:G$188)</f>
        <v>10778.660603669963</v>
      </c>
      <c r="L154" s="586">
        <f>L43*SUMPRODUCT(Assumptions!$C$599:$C$604,Assumptions!H$183:H$188)</f>
        <v>10772.058351120089</v>
      </c>
      <c r="M154" s="586">
        <f>M43*SUMPRODUCT(Assumptions!$C$599:$C$604,Assumptions!I$183:I$188)</f>
        <v>9988.9267614476921</v>
      </c>
      <c r="N154" s="586">
        <f>N43*SUMPRODUCT(Assumptions!$C$599:$C$604,Assumptions!J$183:J$188)</f>
        <v>9976.4806750893822</v>
      </c>
      <c r="O154" s="586">
        <f>O43*SUMPRODUCT(Assumptions!$C$599:$C$604,Assumptions!K$183:K$188)</f>
        <v>9961.4053973216669</v>
      </c>
      <c r="P154" s="586">
        <f>P43*SUMPRODUCT(Assumptions!$C$599:$C$604,Assumptions!L$183:L$188)</f>
        <v>9946.5936654378711</v>
      </c>
      <c r="Q154" s="586">
        <f>Q43*SUMPRODUCT(Assumptions!$C$599:$C$604,Assumptions!M$183:M$188)</f>
        <v>10032.269625499175</v>
      </c>
      <c r="R154" s="586">
        <f>R43*SUMPRODUCT(Assumptions!$C$599:$C$604,Assumptions!N$183:N$188)</f>
        <v>10091.116913722739</v>
      </c>
      <c r="S154" s="586">
        <f>S43*SUMPRODUCT(Assumptions!$C$599:$C$604,Assumptions!O$183:O$188)</f>
        <v>10151.189961212875</v>
      </c>
      <c r="T154" s="586">
        <f>T43*SUMPRODUCT(Assumptions!$C$599:$C$604,Assumptions!P$183:P$188)</f>
        <v>10212.500984670754</v>
      </c>
      <c r="U154" s="586">
        <f>U43*SUMPRODUCT(Assumptions!$C$599:$C$604,Assumptions!Q$183:Q$188)</f>
        <v>10275.062322958711</v>
      </c>
      <c r="Y154" s="563" t="s">
        <v>53</v>
      </c>
      <c r="Z154" s="592">
        <f t="shared" si="343"/>
        <v>-9555.7553877357241</v>
      </c>
      <c r="AA154" s="593">
        <f t="shared" ref="AA154:AO154" si="451">G154-G$124</f>
        <v>-63.640416872318383</v>
      </c>
      <c r="AB154" s="593">
        <f t="shared" si="451"/>
        <v>-88.267846820381237</v>
      </c>
      <c r="AC154" s="593">
        <f t="shared" si="451"/>
        <v>-110.74840219592443</v>
      </c>
      <c r="AD154" s="593">
        <f t="shared" si="451"/>
        <v>-226.28081553962875</v>
      </c>
      <c r="AE154" s="593">
        <f t="shared" si="451"/>
        <v>-575.089255276318</v>
      </c>
      <c r="AF154" s="593">
        <f t="shared" si="451"/>
        <v>-746.01819310397332</v>
      </c>
      <c r="AG154" s="593">
        <f t="shared" si="451"/>
        <v>-1691.8241542582346</v>
      </c>
      <c r="AH154" s="593">
        <f t="shared" si="451"/>
        <v>-1865.3080841609299</v>
      </c>
      <c r="AI154" s="593">
        <f t="shared" si="451"/>
        <v>-2039.7994345368461</v>
      </c>
      <c r="AJ154" s="593">
        <f t="shared" si="451"/>
        <v>-2212.4192018434878</v>
      </c>
      <c r="AK154" s="593">
        <f t="shared" si="451"/>
        <v>-2282.9559557325847</v>
      </c>
      <c r="AL154" s="593">
        <f t="shared" si="451"/>
        <v>-2347.260923321337</v>
      </c>
      <c r="AM154" s="593">
        <f t="shared" si="451"/>
        <v>-2411.5716542016416</v>
      </c>
      <c r="AN154" s="593">
        <f t="shared" si="451"/>
        <v>-2475.8882468979064</v>
      </c>
      <c r="AO154" s="593">
        <f t="shared" si="451"/>
        <v>-2540.2108009256372</v>
      </c>
      <c r="AQ154" s="554" t="str">
        <v>Lõuna-Eesti </v>
      </c>
      <c r="AR154" s="592">
        <f>SUM(AT154:BB154)</f>
        <v>-4455.7120987152302</v>
      </c>
      <c r="AS154" s="592"/>
      <c r="AT154" s="593">
        <f t="shared" ref="AT154:BG154" si="452">AB150*$BH43</f>
        <v>-87.74975730922425</v>
      </c>
      <c r="AU154" s="593">
        <f t="shared" si="452"/>
        <v>-98.547073740120425</v>
      </c>
      <c r="AV154" s="593">
        <f t="shared" si="452"/>
        <v>-154.7658259081187</v>
      </c>
      <c r="AW154" s="593">
        <f t="shared" si="452"/>
        <v>-321.38631549989617</v>
      </c>
      <c r="AX154" s="593">
        <f t="shared" si="452"/>
        <v>-439.58299314388557</v>
      </c>
      <c r="AY154" s="593">
        <f t="shared" si="452"/>
        <v>-690.7053520778544</v>
      </c>
      <c r="AZ154" s="593">
        <f t="shared" si="452"/>
        <v>-789.53059033654313</v>
      </c>
      <c r="BA154" s="593">
        <f t="shared" si="452"/>
        <v>-887.95314015609347</v>
      </c>
      <c r="BB154" s="593">
        <f t="shared" si="452"/>
        <v>-985.49105054349366</v>
      </c>
      <c r="BC154" s="593">
        <f t="shared" si="452"/>
        <v>-1062.8473662573676</v>
      </c>
      <c r="BD154" s="593">
        <f t="shared" si="452"/>
        <v>-1138.114354766459</v>
      </c>
      <c r="BE154" s="593">
        <f t="shared" si="452"/>
        <v>-1212.8371579135894</v>
      </c>
      <c r="BF154" s="593">
        <f t="shared" si="452"/>
        <v>-1287.0277031958549</v>
      </c>
      <c r="BG154" s="593">
        <f t="shared" si="452"/>
        <v>-1360.7445644222366</v>
      </c>
      <c r="BH154"/>
    </row>
    <row r="155" spans="3:60" outlineLevel="1" x14ac:dyDescent="0.3">
      <c r="C155" s="587" t="str">
        <f t="shared" si="445"/>
        <v>EET</v>
      </c>
      <c r="E155" s="563" t="s">
        <v>54</v>
      </c>
      <c r="F155" s="592">
        <f t="shared" si="446"/>
        <v>13313.187858453366</v>
      </c>
      <c r="G155" s="593">
        <f>G44*SUMPRODUCT(Assumptions!$C$599:$C$604,_xlfn.ANCHORARRAY(Assumptions!C$192))</f>
        <v>1352.4866016419983</v>
      </c>
      <c r="H155" s="593">
        <f>H44*SUMPRODUCT(Assumptions!$C$599:$C$604,_xlfn.ANCHORARRAY(Assumptions!D$192))</f>
        <v>1352.3733011646652</v>
      </c>
      <c r="I155" s="593">
        <f>I44*SUMPRODUCT(Assumptions!$C$599:$C$604,_xlfn.ANCHORARRAY(Assumptions!E$192))</f>
        <v>1352.2583124451378</v>
      </c>
      <c r="J155" s="593">
        <f>J44*SUMPRODUCT(Assumptions!$C$599:$C$604,_xlfn.ANCHORARRAY(Assumptions!F$192))</f>
        <v>1340.7731704287271</v>
      </c>
      <c r="K155" s="593">
        <f>K44*SUMPRODUCT(Assumptions!$C$599:$C$604,_xlfn.ANCHORARRAY(Assumptions!G$192))</f>
        <v>1335.0300666004848</v>
      </c>
      <c r="L155" s="593">
        <f>L44*SUMPRODUCT(Assumptions!$C$599:$C$604,_xlfn.ANCHORARRAY(Assumptions!H$192))</f>
        <v>1334.9097396761745</v>
      </c>
      <c r="M155" s="593">
        <f>M44*SUMPRODUCT(Assumptions!$C$599:$C$604,_xlfn.ANCHORARRAY(Assumptions!I$192))</f>
        <v>1325.483364904602</v>
      </c>
      <c r="N155" s="593">
        <f>N44*SUMPRODUCT(Assumptions!$C$599:$C$604,_xlfn.ANCHORARRAY(Assumptions!J$192))</f>
        <v>1316.0551449295319</v>
      </c>
      <c r="O155" s="593">
        <f>O44*SUMPRODUCT(Assumptions!$C$599:$C$604,_xlfn.ANCHORARRAY(Assumptions!K$192))</f>
        <v>1306.6250613177253</v>
      </c>
      <c r="P155" s="593">
        <f>P44*SUMPRODUCT(Assumptions!$C$599:$C$604,_xlfn.ANCHORARRAY(Assumptions!L$192))</f>
        <v>1297.1930953443198</v>
      </c>
      <c r="Q155" s="593">
        <f>Q44*SUMPRODUCT(Assumptions!$C$599:$C$604,_xlfn.ANCHORARRAY(Assumptions!M$192))</f>
        <v>1297.0634487783555</v>
      </c>
      <c r="R155" s="593">
        <f>R44*SUMPRODUCT(Assumptions!$C$599:$C$604,Assumptions!N$192:N$197)</f>
        <v>1296.9318815110878</v>
      </c>
      <c r="S155" s="593">
        <f>S44*SUMPRODUCT(Assumptions!$C$599:$C$604,Assumptions!O$192:O$197)</f>
        <v>1296.7983739204217</v>
      </c>
      <c r="T155" s="593">
        <f>T44*SUMPRODUCT(Assumptions!$C$599:$C$604,Assumptions!P$192:P$197)</f>
        <v>1296.6629060781036</v>
      </c>
      <c r="U155" s="593">
        <f>U44*SUMPRODUCT(Assumptions!$C$599:$C$604,Assumptions!Q$192:Q$197)</f>
        <v>1296.5254577463288</v>
      </c>
      <c r="Y155" s="563" t="s">
        <v>54</v>
      </c>
      <c r="Z155" s="592">
        <f t="shared" si="343"/>
        <v>-240.82652096641118</v>
      </c>
      <c r="AA155" s="593">
        <f t="shared" ref="AA155:AO155" si="453">G155-G$125</f>
        <v>-3.2387069999772393</v>
      </c>
      <c r="AB155" s="593">
        <f t="shared" si="453"/>
        <v>-3.3520074773102806</v>
      </c>
      <c r="AC155" s="593">
        <f t="shared" si="453"/>
        <v>-3.4669961968377265</v>
      </c>
      <c r="AD155" s="593">
        <f t="shared" si="453"/>
        <v>-14.952138213248418</v>
      </c>
      <c r="AE155" s="593">
        <f t="shared" si="453"/>
        <v>-20.695242041490701</v>
      </c>
      <c r="AF155" s="593">
        <f t="shared" si="453"/>
        <v>-20.815568965801049</v>
      </c>
      <c r="AG155" s="593">
        <f t="shared" si="453"/>
        <v>-30.241943737373504</v>
      </c>
      <c r="AH155" s="593">
        <f t="shared" si="453"/>
        <v>-39.670163712443582</v>
      </c>
      <c r="AI155" s="593">
        <f t="shared" si="453"/>
        <v>-49.100247324250176</v>
      </c>
      <c r="AJ155" s="593">
        <f t="shared" si="453"/>
        <v>-58.532213297655744</v>
      </c>
      <c r="AK155" s="593">
        <f t="shared" si="453"/>
        <v>-58.661859863620066</v>
      </c>
      <c r="AL155" s="593">
        <f t="shared" si="453"/>
        <v>-58.793427130887721</v>
      </c>
      <c r="AM155" s="593">
        <f t="shared" si="453"/>
        <v>-58.926934721553835</v>
      </c>
      <c r="AN155" s="593">
        <f t="shared" si="453"/>
        <v>-59.062402563871956</v>
      </c>
      <c r="AO155" s="593">
        <f t="shared" si="453"/>
        <v>-59.199850895646705</v>
      </c>
      <c r="AQ155" s="554" t="str">
        <v>Kesk-Eesti</v>
      </c>
      <c r="AR155" s="592">
        <f>SUM(AT155:BB155)</f>
        <v>-1815.6791480646893</v>
      </c>
      <c r="AS155" s="592"/>
      <c r="AT155" s="593">
        <f t="shared" ref="AT155:BG155" si="454">AB150*$BH44</f>
        <v>-35.757562666590552</v>
      </c>
      <c r="AU155" s="593">
        <f t="shared" si="454"/>
        <v>-40.157412087805902</v>
      </c>
      <c r="AV155" s="593">
        <f t="shared" si="454"/>
        <v>-63.066256685526575</v>
      </c>
      <c r="AW155" s="593">
        <f t="shared" si="454"/>
        <v>-130.96322621355151</v>
      </c>
      <c r="AX155" s="593">
        <f t="shared" si="454"/>
        <v>-179.12774811580724</v>
      </c>
      <c r="AY155" s="593">
        <f t="shared" si="454"/>
        <v>-281.4587831170802</v>
      </c>
      <c r="AZ155" s="593">
        <f t="shared" si="454"/>
        <v>-321.72954577711931</v>
      </c>
      <c r="BA155" s="593">
        <f t="shared" si="454"/>
        <v>-361.83621502494697</v>
      </c>
      <c r="BB155" s="593">
        <f t="shared" si="454"/>
        <v>-401.58239837626127</v>
      </c>
      <c r="BC155" s="593">
        <f t="shared" si="454"/>
        <v>-433.10468848411824</v>
      </c>
      <c r="BD155" s="593">
        <f t="shared" si="454"/>
        <v>-463.77558879048831</v>
      </c>
      <c r="BE155" s="593">
        <f t="shared" si="454"/>
        <v>-494.22473643589103</v>
      </c>
      <c r="BF155" s="593">
        <f t="shared" si="454"/>
        <v>-524.45699181239979</v>
      </c>
      <c r="BG155" s="593">
        <f t="shared" si="454"/>
        <v>-554.49622343782573</v>
      </c>
      <c r="BH155"/>
    </row>
    <row r="156" spans="3:60" outlineLevel="1" x14ac:dyDescent="0.3">
      <c r="C156" s="587" t="str">
        <f>E156</f>
        <v>CEER1</v>
      </c>
      <c r="E156" s="555" t="str">
        <f>'EE Measures'!$IK$6</f>
        <v>CEER1</v>
      </c>
      <c r="F156" s="590">
        <f>SUM(G156:P156)</f>
        <v>480660.75665131904</v>
      </c>
      <c r="G156" s="591">
        <f>SUM(G157:G161)</f>
        <v>47273.883828693157</v>
      </c>
      <c r="H156" s="591">
        <f>SUM(H157:H161)</f>
        <v>48612.347588382967</v>
      </c>
      <c r="I156" s="591">
        <f t="shared" ref="I156:P156" si="455">SUM(I157:I161)</f>
        <v>48974.191585601446</v>
      </c>
      <c r="J156" s="591">
        <f t="shared" si="455"/>
        <v>49099.289525733366</v>
      </c>
      <c r="K156" s="591">
        <f t="shared" si="455"/>
        <v>48614.510716914119</v>
      </c>
      <c r="L156" s="591">
        <f t="shared" si="455"/>
        <v>48365.705822533782</v>
      </c>
      <c r="M156" s="591">
        <f t="shared" si="455"/>
        <v>47736.322287152725</v>
      </c>
      <c r="N156" s="591">
        <f t="shared" si="455"/>
        <v>47555.909717018614</v>
      </c>
      <c r="O156" s="591">
        <f t="shared" si="455"/>
        <v>47336.197946874578</v>
      </c>
      <c r="P156" s="591">
        <f t="shared" si="455"/>
        <v>47092.397632414228</v>
      </c>
      <c r="Q156" s="591">
        <f t="shared" ref="Q156:U156" si="456">SUM(Q157:Q161)</f>
        <v>46920.586328057863</v>
      </c>
      <c r="R156" s="591">
        <f t="shared" si="456"/>
        <v>46704.740901221892</v>
      </c>
      <c r="S156" s="591">
        <f t="shared" si="456"/>
        <v>46497.842897811941</v>
      </c>
      <c r="T156" s="591">
        <f t="shared" si="456"/>
        <v>46299.878594922418</v>
      </c>
      <c r="U156" s="591">
        <f t="shared" si="456"/>
        <v>46110.910187326117</v>
      </c>
      <c r="V156" s="997">
        <f>(F156-F$120)/1000</f>
        <v>-25.372053483403405</v>
      </c>
      <c r="W156" s="871">
        <f>(P156-P$120)/P$120/9</f>
        <v>-1.2069206930745223E-2</v>
      </c>
      <c r="Y156" s="555" t="str">
        <f>'EE Measures'!$IK$6</f>
        <v>CEER1</v>
      </c>
      <c r="Z156" s="590">
        <f t="shared" si="343"/>
        <v>-24963.38461848806</v>
      </c>
      <c r="AA156" s="591">
        <f>SUM(AA157:AA161)</f>
        <v>-408.6688649155144</v>
      </c>
      <c r="AB156" s="591">
        <f>SUM(AB157:AB161)</f>
        <v>-495.1350812168555</v>
      </c>
      <c r="AC156" s="591">
        <f t="shared" ref="AC156" si="457">SUM(AC157:AC161)</f>
        <v>-556.05980980723166</v>
      </c>
      <c r="AD156" s="591">
        <f t="shared" ref="AD156" si="458">SUM(AD157:AD161)</f>
        <v>-873.27865204881573</v>
      </c>
      <c r="AE156" s="591">
        <f t="shared" ref="AE156" si="459">SUM(AE157:AE161)</f>
        <v>-1818.7555298768855</v>
      </c>
      <c r="AF156" s="591">
        <f t="shared" ref="AF156" si="460">SUM(AF157:AF161)</f>
        <v>-2533.0770613952113</v>
      </c>
      <c r="AG156" s="591">
        <f t="shared" ref="AG156" si="461">SUM(AG157:AG161)</f>
        <v>-3638.9298371928744</v>
      </c>
      <c r="AH156" s="591">
        <f t="shared" ref="AH156" si="462">SUM(AH157:AH161)</f>
        <v>-4302.4839772641635</v>
      </c>
      <c r="AI156" s="591">
        <f t="shared" ref="AI156" si="463">SUM(AI157:AI161)</f>
        <v>-5007.0038816675915</v>
      </c>
      <c r="AJ156" s="591">
        <f t="shared" ref="AJ156:AO156" si="464">SUM(AJ157:AJ161)</f>
        <v>-5738.660788018431</v>
      </c>
      <c r="AK156" s="591">
        <f t="shared" si="464"/>
        <v>-6408.7005653219767</v>
      </c>
      <c r="AL156" s="591">
        <f t="shared" si="464"/>
        <v>-7069.3866632964346</v>
      </c>
      <c r="AM156" s="591">
        <f t="shared" si="464"/>
        <v>-7728.5471073114732</v>
      </c>
      <c r="AN156" s="591">
        <f t="shared" si="464"/>
        <v>-8386.298618640436</v>
      </c>
      <c r="AO156" s="591">
        <f t="shared" si="464"/>
        <v>-9042.6836435249206</v>
      </c>
      <c r="AQ156" s="555" t="s">
        <v>39</v>
      </c>
      <c r="AR156" s="591">
        <f t="shared" ref="AR156:BB156" si="465">SUM(AR157:AR161)</f>
        <v>-24963.38461848806</v>
      </c>
      <c r="AS156" s="591"/>
      <c r="AT156" s="591">
        <f t="shared" si="465"/>
        <v>-495.1350812168555</v>
      </c>
      <c r="AU156" s="591">
        <f t="shared" si="465"/>
        <v>-556.05980980723166</v>
      </c>
      <c r="AV156" s="591">
        <f t="shared" si="465"/>
        <v>-873.27865204881573</v>
      </c>
      <c r="AW156" s="591">
        <f t="shared" si="465"/>
        <v>-1818.7555298768855</v>
      </c>
      <c r="AX156" s="591">
        <f t="shared" si="465"/>
        <v>-2533.0770613952118</v>
      </c>
      <c r="AY156" s="591">
        <f t="shared" si="465"/>
        <v>-3638.9298371928744</v>
      </c>
      <c r="AZ156" s="591">
        <f t="shared" si="465"/>
        <v>-4302.4839772641635</v>
      </c>
      <c r="BA156" s="591">
        <f t="shared" si="465"/>
        <v>-5007.0038816675915</v>
      </c>
      <c r="BB156" s="591">
        <f t="shared" si="465"/>
        <v>-5738.660788018432</v>
      </c>
      <c r="BC156" s="591">
        <f t="shared" ref="BC156:BG156" si="466">SUM(BC157:BC161)</f>
        <v>-6408.7005653219776</v>
      </c>
      <c r="BD156" s="591">
        <f t="shared" si="466"/>
        <v>-7069.3866632964355</v>
      </c>
      <c r="BE156" s="591">
        <f t="shared" si="466"/>
        <v>-7728.5471073114741</v>
      </c>
      <c r="BF156" s="591">
        <f t="shared" si="466"/>
        <v>-8386.298618640436</v>
      </c>
      <c r="BG156" s="591">
        <f t="shared" si="466"/>
        <v>-9042.6836435249224</v>
      </c>
      <c r="BH156"/>
    </row>
    <row r="157" spans="3:60" outlineLevel="1" x14ac:dyDescent="0.3">
      <c r="C157" s="587" t="str">
        <f>C156</f>
        <v>CEER1</v>
      </c>
      <c r="E157" s="563" t="s">
        <v>50</v>
      </c>
      <c r="F157" s="592">
        <f>SUM(G157:P157)</f>
        <v>92394.215336441906</v>
      </c>
      <c r="G157" s="593">
        <f>G46*SUMPRODUCT(Assumptions!$C$599:$C$604,Assumptions!C$156:C$161)</f>
        <v>8031.1542022299864</v>
      </c>
      <c r="H157" s="593">
        <f>H46*SUMPRODUCT(Assumptions!$C$599:$C$604,Assumptions!D$156:D$161)</f>
        <v>9205.8922007668662</v>
      </c>
      <c r="I157" s="593">
        <f>I46*SUMPRODUCT(Assumptions!$C$599:$C$604,Assumptions!E$156:E$161)</f>
        <v>9333.8366143363182</v>
      </c>
      <c r="J157" s="593">
        <f>J46*SUMPRODUCT(Assumptions!$C$599:$C$604,Assumptions!F$156:F$161)</f>
        <v>9387.9736714869596</v>
      </c>
      <c r="K157" s="593">
        <f>K46*SUMPRODUCT(Assumptions!$C$599:$C$604,Assumptions!G$156:G$161)</f>
        <v>9360.1226357880496</v>
      </c>
      <c r="L157" s="593">
        <f>L46*SUMPRODUCT(Assumptions!$C$599:$C$604,Assumptions!H$156:H$161)</f>
        <v>9364.8264631838701</v>
      </c>
      <c r="M157" s="593">
        <f>M46*SUMPRODUCT(Assumptions!$C$599:$C$604,Assumptions!I$156:I$161)</f>
        <v>9373.5156682828801</v>
      </c>
      <c r="N157" s="593">
        <f>N46*SUMPRODUCT(Assumptions!$C$599:$C$604,Assumptions!J$156:J$161)</f>
        <v>9437.2445999726388</v>
      </c>
      <c r="O157" s="593">
        <f>O46*SUMPRODUCT(Assumptions!$C$599:$C$604,Assumptions!K$156:K$161)</f>
        <v>9456.3655254044879</v>
      </c>
      <c r="P157" s="593">
        <f>P46*SUMPRODUCT(Assumptions!$C$599:$C$604,Assumptions!L$156:L$161)</f>
        <v>9443.2837549898504</v>
      </c>
      <c r="Q157" s="593">
        <f>Q46*SUMPRODUCT(Assumptions!$C$599:$C$604,Assumptions!M$156:M$161)</f>
        <v>9434.649104143642</v>
      </c>
      <c r="R157" s="593">
        <f>R46*SUMPRODUCT(Assumptions!$C$599:$C$604,Assumptions!N$156:N$161)</f>
        <v>9405.9466848214015</v>
      </c>
      <c r="S157" s="593">
        <f>S46*SUMPRODUCT(Assumptions!$C$599:$C$604,Assumptions!O$156:O$161)</f>
        <v>9377.1069526434057</v>
      </c>
      <c r="T157" s="593">
        <f>T46*SUMPRODUCT(Assumptions!$C$599:$C$604,Assumptions!P$156:P$161)</f>
        <v>9348.1354368416814</v>
      </c>
      <c r="U157" s="593">
        <f>U46*SUMPRODUCT(Assumptions!$C$599:$C$604,Assumptions!Q$156:Q$161)</f>
        <v>9319.0078675585992</v>
      </c>
      <c r="Y157" s="563" t="s">
        <v>50</v>
      </c>
      <c r="Z157" s="592">
        <f t="shared" si="343"/>
        <v>-6106.8683881879333</v>
      </c>
      <c r="AA157" s="593">
        <f t="shared" ref="AA157:AO157" si="467">G157-G$121</f>
        <v>-197.89942248391799</v>
      </c>
      <c r="AB157" s="593">
        <f t="shared" si="467"/>
        <v>-218.28750058514379</v>
      </c>
      <c r="AC157" s="593">
        <f t="shared" si="467"/>
        <v>-222.82409379619639</v>
      </c>
      <c r="AD157" s="593">
        <f t="shared" si="467"/>
        <v>-318.12871876253848</v>
      </c>
      <c r="AE157" s="593">
        <f t="shared" si="467"/>
        <v>-511.13729378382777</v>
      </c>
      <c r="AF157" s="593">
        <f t="shared" si="467"/>
        <v>-673.66591030550444</v>
      </c>
      <c r="AG157" s="593">
        <f t="shared" si="467"/>
        <v>-832.49267559137115</v>
      </c>
      <c r="AH157" s="593">
        <f t="shared" si="467"/>
        <v>-943.5815000241073</v>
      </c>
      <c r="AI157" s="593">
        <f t="shared" si="467"/>
        <v>-1099.0222799299881</v>
      </c>
      <c r="AJ157" s="593">
        <f t="shared" si="467"/>
        <v>-1287.7284154092558</v>
      </c>
      <c r="AK157" s="593">
        <f t="shared" si="467"/>
        <v>-1480.3104696653609</v>
      </c>
      <c r="AL157" s="593">
        <f t="shared" si="467"/>
        <v>-1672.7372825947386</v>
      </c>
      <c r="AM157" s="593">
        <f t="shared" si="467"/>
        <v>-1867.7572742839748</v>
      </c>
      <c r="AN157" s="593">
        <f t="shared" si="467"/>
        <v>-2065.4017534896066</v>
      </c>
      <c r="AO157" s="593">
        <f t="shared" si="467"/>
        <v>-2265.7323806276599</v>
      </c>
      <c r="AQ157" s="554" t="str" cm="1">
        <f t="array" ref="AQ157:AQ161">_xlfn.ANCHORARRAY(AQ151)</f>
        <v xml:space="preserve">Põhja-Eesti </v>
      </c>
      <c r="AR157" s="592">
        <f>SUM(AT157:BB157)</f>
        <v>-12063.195578412233</v>
      </c>
      <c r="AS157" s="592"/>
      <c r="AT157" s="593">
        <f t="shared" ref="AT157:BG157" si="468">AB156*$BH46</f>
        <v>-239.26688683185904</v>
      </c>
      <c r="AU157" s="593">
        <f t="shared" si="468"/>
        <v>-268.70788322635775</v>
      </c>
      <c r="AV157" s="593">
        <f t="shared" si="468"/>
        <v>-421.99931359929133</v>
      </c>
      <c r="AW157" s="593">
        <f t="shared" si="468"/>
        <v>-878.88737851576104</v>
      </c>
      <c r="AX157" s="593">
        <f t="shared" si="468"/>
        <v>-1224.0729562036004</v>
      </c>
      <c r="AY157" s="593">
        <f t="shared" si="468"/>
        <v>-1758.4603607664205</v>
      </c>
      <c r="AZ157" s="593">
        <f t="shared" si="468"/>
        <v>-2079.1133287384341</v>
      </c>
      <c r="BA157" s="593">
        <f t="shared" si="468"/>
        <v>-2419.5624114885591</v>
      </c>
      <c r="BB157" s="593">
        <f t="shared" si="468"/>
        <v>-2773.1250590419495</v>
      </c>
      <c r="BC157" s="593">
        <f t="shared" si="468"/>
        <v>-3096.9121176662939</v>
      </c>
      <c r="BD157" s="593">
        <f t="shared" si="468"/>
        <v>-3416.1791456598171</v>
      </c>
      <c r="BE157" s="593">
        <f t="shared" si="468"/>
        <v>-3734.7089233814431</v>
      </c>
      <c r="BF157" s="593">
        <f t="shared" si="468"/>
        <v>-4052.5578547030836</v>
      </c>
      <c r="BG157" s="593">
        <f t="shared" si="468"/>
        <v>-4369.7464511588032</v>
      </c>
      <c r="BH157"/>
    </row>
    <row r="158" spans="3:60" outlineLevel="1" x14ac:dyDescent="0.3">
      <c r="C158" s="587" t="str">
        <f t="shared" ref="C158:C161" si="469">C157</f>
        <v>CEER1</v>
      </c>
      <c r="E158" s="563" t="s">
        <v>51</v>
      </c>
      <c r="F158" s="592">
        <f t="shared" ref="F158:F161" si="470">SUM(G158:P158)</f>
        <v>160003.47493471808</v>
      </c>
      <c r="G158" s="586">
        <f>G47*SUMPRODUCT(Assumptions!$C$599:$C$604,Assumptions!C$165:C$170)</f>
        <v>16424.951549140998</v>
      </c>
      <c r="H158" s="586">
        <f>H47*SUMPRODUCT(Assumptions!$C$599:$C$604,Assumptions!D$165:D$170)</f>
        <v>16466.023163513335</v>
      </c>
      <c r="I158" s="586">
        <f>I47*SUMPRODUCT(Assumptions!$C$599:$C$604,Assumptions!E$165:E$170)</f>
        <v>16506.927941431411</v>
      </c>
      <c r="J158" s="586">
        <f>J47*SUMPRODUCT(Assumptions!$C$599:$C$604,Assumptions!F$165:F$170)</f>
        <v>16516.208203873495</v>
      </c>
      <c r="K158" s="586">
        <f>K47*SUMPRODUCT(Assumptions!$C$599:$C$604,Assumptions!G$165:G$170)</f>
        <v>16250.584708246426</v>
      </c>
      <c r="L158" s="586">
        <f>L47*SUMPRODUCT(Assumptions!$C$599:$C$604,Assumptions!H$165:H$170)</f>
        <v>16012.210854099896</v>
      </c>
      <c r="M158" s="586">
        <f>M47*SUMPRODUCT(Assumptions!$C$599:$C$604,Assumptions!I$165:I$170)</f>
        <v>15786.616748775145</v>
      </c>
      <c r="N158" s="586">
        <f>N47*SUMPRODUCT(Assumptions!$C$599:$C$604,Assumptions!J$165:J$170)</f>
        <v>15563.422484425828</v>
      </c>
      <c r="O158" s="586">
        <f>O47*SUMPRODUCT(Assumptions!$C$599:$C$604,Assumptions!K$165:K$170)</f>
        <v>15345.056112658658</v>
      </c>
      <c r="P158" s="586">
        <f>P47*SUMPRODUCT(Assumptions!$C$599:$C$604,Assumptions!L$165:L$170)</f>
        <v>15131.473168552855</v>
      </c>
      <c r="Q158" s="586">
        <f>Q47*SUMPRODUCT(Assumptions!$C$599:$C$604,Assumptions!M$165:M$170)</f>
        <v>14922.630896931423</v>
      </c>
      <c r="R158" s="586">
        <f>R47*SUMPRODUCT(Assumptions!$C$599:$C$604,Assumptions!N$165:N$170)</f>
        <v>14703.302720701298</v>
      </c>
      <c r="S158" s="586">
        <f>S47*SUMPRODUCT(Assumptions!$C$599:$C$604,Assumptions!O$165:O$170)</f>
        <v>14489.043182871743</v>
      </c>
      <c r="T158" s="586">
        <f>T47*SUMPRODUCT(Assumptions!$C$599:$C$604,Assumptions!P$165:P$170)</f>
        <v>14279.802590177394</v>
      </c>
      <c r="U158" s="586">
        <f>U47*SUMPRODUCT(Assumptions!$C$599:$C$604,Assumptions!Q$165:Q$170)</f>
        <v>14076.343530328035</v>
      </c>
      <c r="Y158" s="563" t="s">
        <v>51</v>
      </c>
      <c r="Z158" s="592">
        <f t="shared" si="343"/>
        <v>-7970.3133223838922</v>
      </c>
      <c r="AA158" s="593">
        <f t="shared" ref="AA158:AO158" si="471">G158-G$122</f>
        <v>-47.43557208429047</v>
      </c>
      <c r="AB158" s="593">
        <f t="shared" si="471"/>
        <v>-72.967320973271853</v>
      </c>
      <c r="AC158" s="593">
        <f t="shared" si="471"/>
        <v>-99.843913453714777</v>
      </c>
      <c r="AD158" s="593">
        <f t="shared" si="471"/>
        <v>-160.84106308293849</v>
      </c>
      <c r="AE158" s="593">
        <f t="shared" si="471"/>
        <v>-499.27207640878441</v>
      </c>
      <c r="AF158" s="593">
        <f t="shared" si="471"/>
        <v>-813.01831041069454</v>
      </c>
      <c r="AG158" s="593">
        <f t="shared" si="471"/>
        <v>-1123.6289705919298</v>
      </c>
      <c r="AH158" s="593">
        <f t="shared" si="471"/>
        <v>-1430.6639565325167</v>
      </c>
      <c r="AI158" s="593">
        <f t="shared" si="471"/>
        <v>-1734.5933934536333</v>
      </c>
      <c r="AJ158" s="593">
        <f t="shared" si="471"/>
        <v>-2035.4843174764083</v>
      </c>
      <c r="AK158" s="593">
        <f t="shared" si="471"/>
        <v>-2333.4023850833983</v>
      </c>
      <c r="AL158" s="593">
        <f t="shared" si="471"/>
        <v>-2625.7000890379368</v>
      </c>
      <c r="AM158" s="593">
        <f t="shared" si="471"/>
        <v>-2914.5487119512673</v>
      </c>
      <c r="AN158" s="593">
        <f t="shared" si="471"/>
        <v>-3200.0188664149682</v>
      </c>
      <c r="AO158" s="593">
        <f t="shared" si="471"/>
        <v>-3481.3691921491227</v>
      </c>
      <c r="AQ158" s="554" t="str">
        <v>Lääne-Eesti</v>
      </c>
      <c r="AR158" s="592">
        <f>SUM(AT158:BB158)</f>
        <v>-3481.5873064806233</v>
      </c>
      <c r="AS158" s="592"/>
      <c r="AT158" s="593">
        <f t="shared" ref="AT158:BG158" si="472">AB156*$BH47</f>
        <v>-69.055380113847079</v>
      </c>
      <c r="AU158" s="593">
        <f t="shared" si="472"/>
        <v>-77.55241546993966</v>
      </c>
      <c r="AV158" s="593">
        <f t="shared" si="472"/>
        <v>-121.7942164678233</v>
      </c>
      <c r="AW158" s="593">
        <f t="shared" si="472"/>
        <v>-253.65775767926775</v>
      </c>
      <c r="AX158" s="593">
        <f t="shared" si="472"/>
        <v>-353.28258079071924</v>
      </c>
      <c r="AY158" s="593">
        <f t="shared" si="472"/>
        <v>-507.51338906829858</v>
      </c>
      <c r="AZ158" s="593">
        <f t="shared" si="472"/>
        <v>-600.0577978710977</v>
      </c>
      <c r="BA158" s="593">
        <f t="shared" si="472"/>
        <v>-698.31561001558237</v>
      </c>
      <c r="BB158" s="593">
        <f t="shared" si="472"/>
        <v>-800.35815900404748</v>
      </c>
      <c r="BC158" s="593">
        <f t="shared" si="472"/>
        <v>-893.80710509645507</v>
      </c>
      <c r="BD158" s="593">
        <f t="shared" si="472"/>
        <v>-985.95151449567231</v>
      </c>
      <c r="BE158" s="593">
        <f t="shared" si="472"/>
        <v>-1077.8831443563624</v>
      </c>
      <c r="BF158" s="593">
        <f t="shared" si="472"/>
        <v>-1169.6182735329307</v>
      </c>
      <c r="BG158" s="593">
        <f t="shared" si="472"/>
        <v>-1261.1628219075653</v>
      </c>
      <c r="BH158"/>
    </row>
    <row r="159" spans="3:60" outlineLevel="1" x14ac:dyDescent="0.3">
      <c r="C159" s="587" t="str">
        <f t="shared" si="469"/>
        <v>CEER1</v>
      </c>
      <c r="E159" s="563" t="s">
        <v>52</v>
      </c>
      <c r="F159" s="592">
        <f t="shared" si="470"/>
        <v>107233.85601471952</v>
      </c>
      <c r="G159" s="593">
        <f>G48*SUMPRODUCT(Assumptions!$C$599:$C$604,Assumptions!C$174:C$179)</f>
        <v>10790.108021655264</v>
      </c>
      <c r="H159" s="593">
        <f>H48*SUMPRODUCT(Assumptions!$C$599:$C$604,Assumptions!D$174:D$179)</f>
        <v>10825.644269758481</v>
      </c>
      <c r="I159" s="593">
        <f>I48*SUMPRODUCT(Assumptions!$C$599:$C$604,Assumptions!E$174:E$179)</f>
        <v>10871.845896726469</v>
      </c>
      <c r="J159" s="593">
        <f>J48*SUMPRODUCT(Assumptions!$C$599:$C$604,Assumptions!F$174:F$179)</f>
        <v>10892.86125633092</v>
      </c>
      <c r="K159" s="593">
        <f>K48*SUMPRODUCT(Assumptions!$C$599:$C$604,Assumptions!G$174:G$179)</f>
        <v>10805.654881435143</v>
      </c>
      <c r="L159" s="593">
        <f>L48*SUMPRODUCT(Assumptions!$C$599:$C$604,Assumptions!H$174:H$179)</f>
        <v>10735.707645620305</v>
      </c>
      <c r="M159" s="593">
        <f>M48*SUMPRODUCT(Assumptions!$C$599:$C$604,Assumptions!I$174:I$179)</f>
        <v>10669.535814900602</v>
      </c>
      <c r="N159" s="593">
        <f>N48*SUMPRODUCT(Assumptions!$C$599:$C$604,Assumptions!J$174:J$179)</f>
        <v>10606.601688240222</v>
      </c>
      <c r="O159" s="593">
        <f>O48*SUMPRODUCT(Assumptions!$C$599:$C$604,Assumptions!K$174:K$179)</f>
        <v>10546.539568592374</v>
      </c>
      <c r="P159" s="593">
        <f>P48*SUMPRODUCT(Assumptions!$C$599:$C$604,Assumptions!L$174:L$179)</f>
        <v>10489.356971459756</v>
      </c>
      <c r="Q159" s="593">
        <f>Q48*SUMPRODUCT(Assumptions!$C$599:$C$604,Assumptions!M$174:M$179)</f>
        <v>10435.062192858186</v>
      </c>
      <c r="R159" s="593">
        <f>R48*SUMPRODUCT(Assumptions!$C$599:$C$604,Assumptions!N$174:N$179)</f>
        <v>10396.329282141191</v>
      </c>
      <c r="S159" s="593">
        <f>S48*SUMPRODUCT(Assumptions!$C$599:$C$604,Assumptions!O$174:O$179)</f>
        <v>10360.388650362223</v>
      </c>
      <c r="T159" s="593">
        <f>T48*SUMPRODUCT(Assumptions!$C$599:$C$604,Assumptions!P$174:P$179)</f>
        <v>10327.258541876112</v>
      </c>
      <c r="U159" s="593">
        <f>U48*SUMPRODUCT(Assumptions!$C$599:$C$604,Assumptions!Q$174:Q$179)</f>
        <v>10296.250514978985</v>
      </c>
      <c r="Y159" s="563" t="s">
        <v>52</v>
      </c>
      <c r="Z159" s="592">
        <f t="shared" si="343"/>
        <v>-4073.12390063366</v>
      </c>
      <c r="AA159" s="593">
        <f t="shared" ref="AA159:AO159" si="473">G159-G$123</f>
        <v>-96.454746475010325</v>
      </c>
      <c r="AB159" s="593">
        <f t="shared" si="473"/>
        <v>-112.26040536074834</v>
      </c>
      <c r="AC159" s="593">
        <f t="shared" si="473"/>
        <v>-119.17640416455833</v>
      </c>
      <c r="AD159" s="593">
        <f t="shared" si="473"/>
        <v>-153.07591645046159</v>
      </c>
      <c r="AE159" s="593">
        <f t="shared" si="473"/>
        <v>-297.01948354051819</v>
      </c>
      <c r="AF159" s="593">
        <f t="shared" si="473"/>
        <v>-425.5518474426899</v>
      </c>
      <c r="AG159" s="593">
        <f t="shared" si="473"/>
        <v>-552.98602185577147</v>
      </c>
      <c r="AH159" s="593">
        <f t="shared" si="473"/>
        <v>-679.36539719517714</v>
      </c>
      <c r="AI159" s="593">
        <f t="shared" si="473"/>
        <v>-804.6948080025395</v>
      </c>
      <c r="AJ159" s="593">
        <f t="shared" si="473"/>
        <v>-928.99361662119554</v>
      </c>
      <c r="AK159" s="593">
        <f t="shared" si="473"/>
        <v>-1052.2809548240966</v>
      </c>
      <c r="AL159" s="593">
        <f t="shared" si="473"/>
        <v>-1176.0083595357119</v>
      </c>
      <c r="AM159" s="593">
        <f t="shared" si="473"/>
        <v>-1299.058308954307</v>
      </c>
      <c r="AN159" s="593">
        <f t="shared" si="473"/>
        <v>-1421.4454845524506</v>
      </c>
      <c r="AO159" s="593">
        <f t="shared" si="473"/>
        <v>-1543.8919126823166</v>
      </c>
      <c r="AQ159" s="554" t="str">
        <v>Kirde-Eesti</v>
      </c>
      <c r="AR159" s="592">
        <f>SUM(AT159:BB159)</f>
        <v>-2155.5674275612505</v>
      </c>
      <c r="AS159" s="592"/>
      <c r="AT159" s="593">
        <f t="shared" ref="AT159:BG159" si="474">AB156*$BH48</f>
        <v>-42.754501027216484</v>
      </c>
      <c r="AU159" s="593">
        <f t="shared" si="474"/>
        <v>-48.015300493694383</v>
      </c>
      <c r="AV159" s="593">
        <f t="shared" si="474"/>
        <v>-75.406882772895116</v>
      </c>
      <c r="AW159" s="593">
        <f t="shared" si="474"/>
        <v>-157.04802208575529</v>
      </c>
      <c r="AX159" s="593">
        <f t="shared" si="474"/>
        <v>-218.72909016520984</v>
      </c>
      <c r="AY159" s="593">
        <f t="shared" si="474"/>
        <v>-314.21855441927664</v>
      </c>
      <c r="AZ159" s="593">
        <f t="shared" si="474"/>
        <v>-371.51590061734669</v>
      </c>
      <c r="BA159" s="593">
        <f t="shared" si="474"/>
        <v>-432.35060637579096</v>
      </c>
      <c r="BB159" s="593">
        <f t="shared" si="474"/>
        <v>-495.52856960406507</v>
      </c>
      <c r="BC159" s="593">
        <f t="shared" si="474"/>
        <v>-553.38594516427838</v>
      </c>
      <c r="BD159" s="593">
        <f t="shared" si="474"/>
        <v>-610.43563832093253</v>
      </c>
      <c r="BE159" s="593">
        <f t="shared" si="474"/>
        <v>-667.35359253148965</v>
      </c>
      <c r="BF159" s="593">
        <f t="shared" si="474"/>
        <v>-724.14988658048821</v>
      </c>
      <c r="BG159" s="593">
        <f t="shared" si="474"/>
        <v>-780.82818566546507</v>
      </c>
      <c r="BH159"/>
    </row>
    <row r="160" spans="3:60" outlineLevel="1" x14ac:dyDescent="0.3">
      <c r="C160" s="587" t="str">
        <f t="shared" si="469"/>
        <v>CEER1</v>
      </c>
      <c r="E160" s="563" t="s">
        <v>53</v>
      </c>
      <c r="F160" s="592">
        <f t="shared" si="470"/>
        <v>107716.02250698612</v>
      </c>
      <c r="G160" s="586">
        <f>G49*SUMPRODUCT(Assumptions!$C$599:$C$604,Assumptions!C$183:C$188)</f>
        <v>10675.183454024911</v>
      </c>
      <c r="H160" s="586">
        <f>H49*SUMPRODUCT(Assumptions!$C$599:$C$604,Assumptions!D$183:D$188)</f>
        <v>10762.414653179621</v>
      </c>
      <c r="I160" s="586">
        <f>I49*SUMPRODUCT(Assumptions!$C$599:$C$604,Assumptions!E$183:E$188)</f>
        <v>10909.322820662104</v>
      </c>
      <c r="J160" s="586">
        <f>J49*SUMPRODUCT(Assumptions!$C$599:$C$604,Assumptions!F$183:F$188)</f>
        <v>10961.473223613264</v>
      </c>
      <c r="K160" s="586">
        <f>K49*SUMPRODUCT(Assumptions!$C$599:$C$604,Assumptions!G$183:G$188)</f>
        <v>10863.118424844017</v>
      </c>
      <c r="L160" s="586">
        <f>L49*SUMPRODUCT(Assumptions!$C$599:$C$604,Assumptions!H$183:H$188)</f>
        <v>10918.051119953541</v>
      </c>
      <c r="M160" s="586">
        <f>M49*SUMPRODUCT(Assumptions!$C$599:$C$604,Assumptions!I$183:I$188)</f>
        <v>10581.170690289498</v>
      </c>
      <c r="N160" s="586">
        <f>N49*SUMPRODUCT(Assumptions!$C$599:$C$604,Assumptions!J$183:J$188)</f>
        <v>10632.585799450393</v>
      </c>
      <c r="O160" s="586">
        <f>O49*SUMPRODUCT(Assumptions!$C$599:$C$604,Assumptions!K$183:K$188)</f>
        <v>10681.611678901332</v>
      </c>
      <c r="P160" s="586">
        <f>P49*SUMPRODUCT(Assumptions!$C$599:$C$604,Assumptions!L$183:L$188)</f>
        <v>10731.090642067444</v>
      </c>
      <c r="Q160" s="586">
        <f>Q49*SUMPRODUCT(Assumptions!$C$599:$C$604,Assumptions!M$183:M$188)</f>
        <v>10831.180685346259</v>
      </c>
      <c r="R160" s="586">
        <f>R49*SUMPRODUCT(Assumptions!$C$599:$C$604,Assumptions!N$183:N$188)</f>
        <v>10902.230332046916</v>
      </c>
      <c r="S160" s="586">
        <f>S49*SUMPRODUCT(Assumptions!$C$599:$C$604,Assumptions!O$183:O$188)</f>
        <v>10974.505738014146</v>
      </c>
      <c r="T160" s="586">
        <f>T49*SUMPRODUCT(Assumptions!$C$599:$C$604,Assumptions!P$183:P$188)</f>
        <v>11048.019119949122</v>
      </c>
      <c r="U160" s="586">
        <f>U49*SUMPRODUCT(Assumptions!$C$599:$C$604,Assumptions!Q$183:Q$188)</f>
        <v>11122.782816714174</v>
      </c>
      <c r="Y160" s="563" t="s">
        <v>53</v>
      </c>
      <c r="Z160" s="592">
        <f t="shared" si="343"/>
        <v>-6572.2524863161634</v>
      </c>
      <c r="AA160" s="593">
        <f t="shared" ref="AA160:AO160" si="475">G160-G$124</f>
        <v>-63.640416872318383</v>
      </c>
      <c r="AB160" s="593">
        <f t="shared" si="475"/>
        <v>-88.267846820381237</v>
      </c>
      <c r="AC160" s="593">
        <f t="shared" si="475"/>
        <v>-110.74840219592443</v>
      </c>
      <c r="AD160" s="593">
        <f t="shared" si="475"/>
        <v>-226.28081553962875</v>
      </c>
      <c r="AE160" s="593">
        <f t="shared" si="475"/>
        <v>-490.63143410226439</v>
      </c>
      <c r="AF160" s="593">
        <f t="shared" si="475"/>
        <v>-600.0254242705214</v>
      </c>
      <c r="AG160" s="593">
        <f t="shared" si="475"/>
        <v>-1099.5802254164282</v>
      </c>
      <c r="AH160" s="593">
        <f t="shared" si="475"/>
        <v>-1209.202959799919</v>
      </c>
      <c r="AI160" s="593">
        <f t="shared" si="475"/>
        <v>-1319.5931529571808</v>
      </c>
      <c r="AJ160" s="593">
        <f t="shared" si="475"/>
        <v>-1427.9222252139152</v>
      </c>
      <c r="AK160" s="593">
        <f t="shared" si="475"/>
        <v>-1484.0448958855013</v>
      </c>
      <c r="AL160" s="593">
        <f t="shared" si="475"/>
        <v>-1536.1475049971596</v>
      </c>
      <c r="AM160" s="593">
        <f t="shared" si="475"/>
        <v>-1588.2558774003701</v>
      </c>
      <c r="AN160" s="593">
        <f t="shared" si="475"/>
        <v>-1640.3701116195389</v>
      </c>
      <c r="AO160" s="593">
        <f t="shared" si="475"/>
        <v>-1692.4903071701738</v>
      </c>
      <c r="AQ160" s="554" t="str">
        <v>Lõuna-Eesti </v>
      </c>
      <c r="AR160" s="592">
        <f>SUM(AT160:BB160)</f>
        <v>-5102.6277142149411</v>
      </c>
      <c r="AS160" s="592"/>
      <c r="AT160" s="593">
        <f t="shared" ref="AT160:BG160" si="476">AB156*$BH49</f>
        <v>-101.20783004024447</v>
      </c>
      <c r="AU160" s="593">
        <f t="shared" si="476"/>
        <v>-113.66111765878478</v>
      </c>
      <c r="AV160" s="593">
        <f t="shared" si="476"/>
        <v>-178.50207094419389</v>
      </c>
      <c r="AW160" s="593">
        <f t="shared" si="476"/>
        <v>-371.76178286570655</v>
      </c>
      <c r="AX160" s="593">
        <f t="shared" si="476"/>
        <v>-517.7723058492935</v>
      </c>
      <c r="AY160" s="593">
        <f t="shared" si="476"/>
        <v>-743.8135701996257</v>
      </c>
      <c r="AZ160" s="593">
        <f t="shared" si="476"/>
        <v>-879.44701080696325</v>
      </c>
      <c r="BA160" s="593">
        <f t="shared" si="476"/>
        <v>-1023.4540372725404</v>
      </c>
      <c r="BB160" s="593">
        <f t="shared" si="476"/>
        <v>-1173.007988577589</v>
      </c>
      <c r="BC160" s="593">
        <f t="shared" si="476"/>
        <v>-1309.9671225070231</v>
      </c>
      <c r="BD160" s="593">
        <f t="shared" si="476"/>
        <v>-1445.0143224537896</v>
      </c>
      <c r="BE160" s="593">
        <f t="shared" si="476"/>
        <v>-1579.7496718925179</v>
      </c>
      <c r="BF160" s="593">
        <f t="shared" si="476"/>
        <v>-1714.1970291746813</v>
      </c>
      <c r="BG160" s="593">
        <f t="shared" si="476"/>
        <v>-1848.3650705023276</v>
      </c>
      <c r="BH160"/>
    </row>
    <row r="161" spans="2:60" outlineLevel="1" x14ac:dyDescent="0.3">
      <c r="C161" s="587" t="str">
        <f t="shared" si="469"/>
        <v>CEER1</v>
      </c>
      <c r="E161" s="563" t="s">
        <v>54</v>
      </c>
      <c r="F161" s="592">
        <f t="shared" si="470"/>
        <v>13313.187858453366</v>
      </c>
      <c r="G161" s="593">
        <f>G50*SUMPRODUCT(Assumptions!$C$599:$C$604,_xlfn.ANCHORARRAY(Assumptions!C$192))</f>
        <v>1352.4866016419983</v>
      </c>
      <c r="H161" s="593">
        <f>H50*SUMPRODUCT(Assumptions!$C$599:$C$604,_xlfn.ANCHORARRAY(Assumptions!D$192))</f>
        <v>1352.3733011646652</v>
      </c>
      <c r="I161" s="593">
        <f>I50*SUMPRODUCT(Assumptions!$C$599:$C$604,_xlfn.ANCHORARRAY(Assumptions!E$192))</f>
        <v>1352.2583124451378</v>
      </c>
      <c r="J161" s="593">
        <f>J50*SUMPRODUCT(Assumptions!$C$599:$C$604,_xlfn.ANCHORARRAY(Assumptions!F$192))</f>
        <v>1340.7731704287271</v>
      </c>
      <c r="K161" s="593">
        <f>K50*SUMPRODUCT(Assumptions!$C$599:$C$604,_xlfn.ANCHORARRAY(Assumptions!G$192))</f>
        <v>1335.0300666004848</v>
      </c>
      <c r="L161" s="593">
        <f>L50*SUMPRODUCT(Assumptions!$C$599:$C$604,_xlfn.ANCHORARRAY(Assumptions!H$192))</f>
        <v>1334.9097396761745</v>
      </c>
      <c r="M161" s="593">
        <f>M50*SUMPRODUCT(Assumptions!$C$599:$C$604,_xlfn.ANCHORARRAY(Assumptions!I$192))</f>
        <v>1325.483364904602</v>
      </c>
      <c r="N161" s="593">
        <f>N50*SUMPRODUCT(Assumptions!$C$599:$C$604,_xlfn.ANCHORARRAY(Assumptions!J$192))</f>
        <v>1316.0551449295319</v>
      </c>
      <c r="O161" s="593">
        <f>O50*SUMPRODUCT(Assumptions!$C$599:$C$604,_xlfn.ANCHORARRAY(Assumptions!K$192))</f>
        <v>1306.6250613177253</v>
      </c>
      <c r="P161" s="593">
        <f>P50*SUMPRODUCT(Assumptions!$C$599:$C$604,_xlfn.ANCHORARRAY(Assumptions!L$192))</f>
        <v>1297.1930953443198</v>
      </c>
      <c r="Q161" s="593">
        <f>Q50*SUMPRODUCT(Assumptions!$C$599:$C$604,_xlfn.ANCHORARRAY(Assumptions!M$192))</f>
        <v>1297.0634487783555</v>
      </c>
      <c r="R161" s="593">
        <f>R50*SUMPRODUCT(Assumptions!$C$599:$C$604,Assumptions!N$192:N$197)</f>
        <v>1296.9318815110878</v>
      </c>
      <c r="S161" s="593">
        <f>S50*SUMPRODUCT(Assumptions!$C$599:$C$604,Assumptions!O$192:O$197)</f>
        <v>1296.7983739204217</v>
      </c>
      <c r="T161" s="593">
        <f>T50*SUMPRODUCT(Assumptions!$C$599:$C$604,Assumptions!P$192:P$197)</f>
        <v>1296.6629060781036</v>
      </c>
      <c r="U161" s="593">
        <f>U50*SUMPRODUCT(Assumptions!$C$599:$C$604,Assumptions!Q$192:Q$197)</f>
        <v>1296.5254577463288</v>
      </c>
      <c r="Y161" s="563" t="s">
        <v>54</v>
      </c>
      <c r="Z161" s="592">
        <f t="shared" si="343"/>
        <v>-240.82652096641118</v>
      </c>
      <c r="AA161" s="593">
        <f t="shared" ref="AA161:AO161" si="477">G161-G$125</f>
        <v>-3.2387069999772393</v>
      </c>
      <c r="AB161" s="593">
        <f t="shared" si="477"/>
        <v>-3.3520074773102806</v>
      </c>
      <c r="AC161" s="593">
        <f t="shared" si="477"/>
        <v>-3.4669961968377265</v>
      </c>
      <c r="AD161" s="593">
        <f t="shared" si="477"/>
        <v>-14.952138213248418</v>
      </c>
      <c r="AE161" s="593">
        <f t="shared" si="477"/>
        <v>-20.695242041490701</v>
      </c>
      <c r="AF161" s="593">
        <f t="shared" si="477"/>
        <v>-20.815568965801049</v>
      </c>
      <c r="AG161" s="593">
        <f t="shared" si="477"/>
        <v>-30.241943737373504</v>
      </c>
      <c r="AH161" s="593">
        <f t="shared" si="477"/>
        <v>-39.670163712443582</v>
      </c>
      <c r="AI161" s="593">
        <f t="shared" si="477"/>
        <v>-49.100247324250176</v>
      </c>
      <c r="AJ161" s="593">
        <f t="shared" si="477"/>
        <v>-58.532213297655744</v>
      </c>
      <c r="AK161" s="593">
        <f t="shared" si="477"/>
        <v>-58.661859863620066</v>
      </c>
      <c r="AL161" s="593">
        <f t="shared" si="477"/>
        <v>-58.793427130887721</v>
      </c>
      <c r="AM161" s="593">
        <f t="shared" si="477"/>
        <v>-58.926934721553835</v>
      </c>
      <c r="AN161" s="593">
        <f t="shared" si="477"/>
        <v>-59.062402563871956</v>
      </c>
      <c r="AO161" s="593">
        <f t="shared" si="477"/>
        <v>-59.199850895646705</v>
      </c>
      <c r="AQ161" s="554" t="str">
        <v>Kesk-Eesti</v>
      </c>
      <c r="AR161" s="592">
        <f>SUM(AT161:BB161)</f>
        <v>-2160.406591819014</v>
      </c>
      <c r="AS161" s="592"/>
      <c r="AT161" s="593">
        <f t="shared" ref="AT161:BG161" si="478">AB156*$BH50</f>
        <v>-42.850483203688462</v>
      </c>
      <c r="AU161" s="593">
        <f t="shared" si="478"/>
        <v>-48.123092958455153</v>
      </c>
      <c r="AV161" s="593">
        <f t="shared" si="478"/>
        <v>-75.57616826461215</v>
      </c>
      <c r="AW161" s="593">
        <f t="shared" si="478"/>
        <v>-157.40058873039499</v>
      </c>
      <c r="AX161" s="593">
        <f t="shared" si="478"/>
        <v>-219.22012838638864</v>
      </c>
      <c r="AY161" s="593">
        <f t="shared" si="478"/>
        <v>-314.92396273925306</v>
      </c>
      <c r="AZ161" s="593">
        <f t="shared" si="478"/>
        <v>-372.34993923032215</v>
      </c>
      <c r="BA161" s="593">
        <f t="shared" si="478"/>
        <v>-433.32121651511898</v>
      </c>
      <c r="BB161" s="593">
        <f t="shared" si="478"/>
        <v>-496.64101179078045</v>
      </c>
      <c r="BC161" s="593">
        <f t="shared" si="478"/>
        <v>-554.62827488792686</v>
      </c>
      <c r="BD161" s="593">
        <f t="shared" si="478"/>
        <v>-611.80604236622366</v>
      </c>
      <c r="BE161" s="593">
        <f t="shared" si="478"/>
        <v>-668.85177514966085</v>
      </c>
      <c r="BF161" s="593">
        <f t="shared" si="478"/>
        <v>-725.7755746492528</v>
      </c>
      <c r="BG161" s="593">
        <f t="shared" si="478"/>
        <v>-782.58111429076052</v>
      </c>
      <c r="BH161"/>
    </row>
    <row r="162" spans="2:60" outlineLevel="1" x14ac:dyDescent="0.3">
      <c r="C162" s="587" t="str">
        <f>E162</f>
        <v>CEER2</v>
      </c>
      <c r="E162" s="555" t="str">
        <f>'EE Measures'!$IL$6</f>
        <v>CEER2</v>
      </c>
      <c r="F162" s="590">
        <f>SUM(G162:P162)</f>
        <v>473764.81484946643</v>
      </c>
      <c r="G162" s="591">
        <f>SUM(G163:G167)</f>
        <v>47273.883828693157</v>
      </c>
      <c r="H162" s="591">
        <f>SUM(H163:H167)</f>
        <v>48612.347588382967</v>
      </c>
      <c r="I162" s="591">
        <f t="shared" ref="I162:P162" si="479">SUM(I163:I167)</f>
        <v>48974.191585601446</v>
      </c>
      <c r="J162" s="591">
        <f t="shared" si="479"/>
        <v>49099.289525733366</v>
      </c>
      <c r="K162" s="591">
        <f t="shared" si="479"/>
        <v>48263.091996406823</v>
      </c>
      <c r="L162" s="591">
        <f t="shared" si="479"/>
        <v>47701.765931069669</v>
      </c>
      <c r="M162" s="591">
        <f t="shared" si="479"/>
        <v>46766.195029594208</v>
      </c>
      <c r="N162" s="591">
        <f t="shared" si="479"/>
        <v>46264.483857475629</v>
      </c>
      <c r="O162" s="591">
        <f t="shared" si="479"/>
        <v>45704.008814882705</v>
      </c>
      <c r="P162" s="591">
        <f t="shared" si="479"/>
        <v>45105.55669162648</v>
      </c>
      <c r="Q162" s="591">
        <f t="shared" ref="Q162:U162" si="480">SUM(Q163:Q167)</f>
        <v>44630.089725272497</v>
      </c>
      <c r="R162" s="591">
        <f t="shared" si="480"/>
        <v>44114.450681546266</v>
      </c>
      <c r="S162" s="591">
        <f t="shared" si="480"/>
        <v>43609.449501932562</v>
      </c>
      <c r="T162" s="591">
        <f t="shared" si="480"/>
        <v>43114.999461299645</v>
      </c>
      <c r="U162" s="591">
        <f t="shared" si="480"/>
        <v>42630.867144155076</v>
      </c>
      <c r="V162" s="997">
        <f>(F162-F$120)/1000</f>
        <v>-32.267995285256006</v>
      </c>
      <c r="W162" s="871">
        <f>(P162-P$120)/P$120/9</f>
        <v>-1.6247811545764483E-2</v>
      </c>
      <c r="Y162" s="555" t="str">
        <f>'EE Measures'!$IL$6</f>
        <v>CEER2</v>
      </c>
      <c r="Z162" s="590">
        <f t="shared" si="343"/>
        <v>-31859.3264203406</v>
      </c>
      <c r="AA162" s="591">
        <f>SUM(AA163:AA167)</f>
        <v>-408.6688649155144</v>
      </c>
      <c r="AB162" s="591">
        <f>SUM(AB163:AB167)</f>
        <v>-495.1350812168555</v>
      </c>
      <c r="AC162" s="591">
        <f t="shared" ref="AC162" si="481">SUM(AC163:AC167)</f>
        <v>-556.05980980723166</v>
      </c>
      <c r="AD162" s="591">
        <f t="shared" ref="AD162" si="482">SUM(AD163:AD167)</f>
        <v>-873.27865204881573</v>
      </c>
      <c r="AE162" s="591">
        <f t="shared" ref="AE162" si="483">SUM(AE163:AE167)</f>
        <v>-2170.174250384187</v>
      </c>
      <c r="AF162" s="591">
        <f t="shared" ref="AF162" si="484">SUM(AF163:AF167)</f>
        <v>-3197.0169528593265</v>
      </c>
      <c r="AG162" s="591">
        <f t="shared" ref="AG162" si="485">SUM(AG163:AG167)</f>
        <v>-4609.0570947513988</v>
      </c>
      <c r="AH162" s="591">
        <f t="shared" ref="AH162" si="486">SUM(AH163:AH167)</f>
        <v>-5593.9098368071418</v>
      </c>
      <c r="AI162" s="591">
        <f t="shared" ref="AI162" si="487">SUM(AI163:AI167)</f>
        <v>-6639.1930136594619</v>
      </c>
      <c r="AJ162" s="591">
        <f t="shared" ref="AJ162:AO162" si="488">SUM(AJ163:AJ167)</f>
        <v>-7725.5017288061808</v>
      </c>
      <c r="AK162" s="591">
        <f t="shared" si="488"/>
        <v>-8699.1971681073392</v>
      </c>
      <c r="AL162" s="591">
        <f t="shared" si="488"/>
        <v>-9659.676882972064</v>
      </c>
      <c r="AM162" s="591">
        <f t="shared" si="488"/>
        <v>-10616.940503190852</v>
      </c>
      <c r="AN162" s="591">
        <f t="shared" si="488"/>
        <v>-11571.177752263206</v>
      </c>
      <c r="AO162" s="591">
        <f t="shared" si="488"/>
        <v>-12522.726686695962</v>
      </c>
      <c r="AQ162" s="555" t="s">
        <v>40</v>
      </c>
      <c r="AR162" s="591">
        <f t="shared" ref="AR162:BB162" si="489">SUM(AR163:AR167)</f>
        <v>-31859.3264203406</v>
      </c>
      <c r="AS162" s="591"/>
      <c r="AT162" s="591">
        <f t="shared" si="489"/>
        <v>-495.13508121685555</v>
      </c>
      <c r="AU162" s="591">
        <f t="shared" si="489"/>
        <v>-556.05980980723177</v>
      </c>
      <c r="AV162" s="591">
        <f t="shared" si="489"/>
        <v>-873.27865204881573</v>
      </c>
      <c r="AW162" s="591">
        <f t="shared" si="489"/>
        <v>-2170.174250384187</v>
      </c>
      <c r="AX162" s="591">
        <f t="shared" si="489"/>
        <v>-3197.0169528593265</v>
      </c>
      <c r="AY162" s="591">
        <f t="shared" si="489"/>
        <v>-4609.0570947513988</v>
      </c>
      <c r="AZ162" s="591">
        <f t="shared" si="489"/>
        <v>-5593.9098368071418</v>
      </c>
      <c r="BA162" s="591">
        <f t="shared" si="489"/>
        <v>-6639.1930136594628</v>
      </c>
      <c r="BB162" s="591">
        <f t="shared" si="489"/>
        <v>-7725.5017288061808</v>
      </c>
      <c r="BC162" s="591">
        <f t="shared" ref="BC162:BG162" si="490">SUM(BC163:BC167)</f>
        <v>-8699.1971681073392</v>
      </c>
      <c r="BD162" s="591">
        <f t="shared" si="490"/>
        <v>-9659.676882972064</v>
      </c>
      <c r="BE162" s="591">
        <f t="shared" si="490"/>
        <v>-10616.940503190852</v>
      </c>
      <c r="BF162" s="591">
        <f t="shared" si="490"/>
        <v>-11571.177752263206</v>
      </c>
      <c r="BG162" s="591">
        <f t="shared" si="490"/>
        <v>-12522.726686695962</v>
      </c>
      <c r="BH162"/>
    </row>
    <row r="163" spans="2:60" outlineLevel="1" x14ac:dyDescent="0.3">
      <c r="C163" s="587" t="str">
        <f>C162</f>
        <v>CEER2</v>
      </c>
      <c r="E163" s="563" t="s">
        <v>50</v>
      </c>
      <c r="F163" s="592">
        <f>SUM(G163:P163)</f>
        <v>91241.211767525499</v>
      </c>
      <c r="G163" s="593">
        <f>G52*SUMPRODUCT(Assumptions!$C$599:$C$604,Assumptions!C$156:C$161)</f>
        <v>8031.1542022299864</v>
      </c>
      <c r="H163" s="593">
        <f>H52*SUMPRODUCT(Assumptions!$C$599:$C$604,Assumptions!D$156:D$161)</f>
        <v>9205.8922007668662</v>
      </c>
      <c r="I163" s="593">
        <f>I52*SUMPRODUCT(Assumptions!$C$599:$C$604,Assumptions!E$156:E$161)</f>
        <v>9333.8366143363182</v>
      </c>
      <c r="J163" s="593">
        <f>J52*SUMPRODUCT(Assumptions!$C$599:$C$604,Assumptions!F$156:F$161)</f>
        <v>9387.9736714869596</v>
      </c>
      <c r="K163" s="593">
        <f>K52*SUMPRODUCT(Assumptions!$C$599:$C$604,Assumptions!G$156:G$161)</f>
        <v>9303.5294045886749</v>
      </c>
      <c r="L163" s="593">
        <f>L52*SUMPRODUCT(Assumptions!$C$599:$C$604,Assumptions!H$156:H$161)</f>
        <v>9264.3375114427254</v>
      </c>
      <c r="M163" s="593">
        <f>M52*SUMPRODUCT(Assumptions!$C$599:$C$604,Assumptions!I$156:I$161)</f>
        <v>9232.7218581874495</v>
      </c>
      <c r="N163" s="593">
        <f>N52*SUMPRODUCT(Assumptions!$C$599:$C$604,Assumptions!J$156:J$161)</f>
        <v>9238.2201219131985</v>
      </c>
      <c r="O163" s="593">
        <f>O52*SUMPRODUCT(Assumptions!$C$599:$C$604,Assumptions!K$156:K$161)</f>
        <v>9176.8743190084006</v>
      </c>
      <c r="P163" s="593">
        <f>P52*SUMPRODUCT(Assumptions!$C$599:$C$604,Assumptions!L$156:L$161)</f>
        <v>9066.6718635649086</v>
      </c>
      <c r="Q163" s="593">
        <f>Q52*SUMPRODUCT(Assumptions!$C$599:$C$604,Assumptions!M$156:M$161)</f>
        <v>8959.1364574827003</v>
      </c>
      <c r="R163" s="593">
        <f>R52*SUMPRODUCT(Assumptions!$C$599:$C$604,Assumptions!N$156:N$161)</f>
        <v>8831.084064725701</v>
      </c>
      <c r="S163" s="593">
        <f>S52*SUMPRODUCT(Assumptions!$C$599:$C$604,Assumptions!O$156:O$161)</f>
        <v>8701.635315483436</v>
      </c>
      <c r="T163" s="593">
        <f>T52*SUMPRODUCT(Assumptions!$C$599:$C$604,Assumptions!P$156:P$161)</f>
        <v>8570.7805697875701</v>
      </c>
      <c r="U163" s="593">
        <f>U52*SUMPRODUCT(Assumptions!$C$599:$C$604,Assumptions!Q$156:Q$161)</f>
        <v>8438.4652193797683</v>
      </c>
      <c r="Y163" s="563" t="s">
        <v>50</v>
      </c>
      <c r="Z163" s="592">
        <f t="shared" si="343"/>
        <v>-7259.871957104353</v>
      </c>
      <c r="AA163" s="593">
        <f t="shared" ref="AA163:AO163" si="491">G163-G$121</f>
        <v>-197.89942248391799</v>
      </c>
      <c r="AB163" s="593">
        <f t="shared" si="491"/>
        <v>-218.28750058514379</v>
      </c>
      <c r="AC163" s="593">
        <f t="shared" si="491"/>
        <v>-222.82409379619639</v>
      </c>
      <c r="AD163" s="593">
        <f t="shared" si="491"/>
        <v>-318.12871876253848</v>
      </c>
      <c r="AE163" s="593">
        <f t="shared" si="491"/>
        <v>-567.73052498320249</v>
      </c>
      <c r="AF163" s="593">
        <f t="shared" si="491"/>
        <v>-774.15486204664921</v>
      </c>
      <c r="AG163" s="593">
        <f t="shared" si="491"/>
        <v>-973.28648568680183</v>
      </c>
      <c r="AH163" s="593">
        <f t="shared" si="491"/>
        <v>-1142.6059780835476</v>
      </c>
      <c r="AI163" s="593">
        <f t="shared" si="491"/>
        <v>-1378.5134863260755</v>
      </c>
      <c r="AJ163" s="593">
        <f t="shared" si="491"/>
        <v>-1664.3403068341977</v>
      </c>
      <c r="AK163" s="593">
        <f t="shared" si="491"/>
        <v>-1955.8231163263026</v>
      </c>
      <c r="AL163" s="593">
        <f t="shared" si="491"/>
        <v>-2247.5999026904392</v>
      </c>
      <c r="AM163" s="593">
        <f t="shared" si="491"/>
        <v>-2543.2289114439445</v>
      </c>
      <c r="AN163" s="593">
        <f t="shared" si="491"/>
        <v>-2842.7566205437179</v>
      </c>
      <c r="AO163" s="593">
        <f t="shared" si="491"/>
        <v>-3146.2750288064908</v>
      </c>
      <c r="AQ163" s="554" t="str" cm="1">
        <f t="array" ref="AQ163:AQ167">_xlfn.ANCHORARRAY(AQ157)</f>
        <v xml:space="preserve">Põhja-Eesti </v>
      </c>
      <c r="AR163" s="592">
        <f>SUM(AT163:BB163)</f>
        <v>-15593.365511645841</v>
      </c>
      <c r="AS163" s="592"/>
      <c r="AT163" s="593">
        <f t="shared" ref="AT163:BG163" si="492">AB162*$BH52</f>
        <v>-242.34104002034127</v>
      </c>
      <c r="AU163" s="593">
        <f t="shared" si="492"/>
        <v>-272.16030076280987</v>
      </c>
      <c r="AV163" s="593">
        <f t="shared" si="492"/>
        <v>-427.4212528931738</v>
      </c>
      <c r="AW163" s="593">
        <f t="shared" si="492"/>
        <v>-1062.1794027822662</v>
      </c>
      <c r="AX163" s="593">
        <f t="shared" si="492"/>
        <v>-1564.7617038455498</v>
      </c>
      <c r="AY163" s="593">
        <f t="shared" si="492"/>
        <v>-2255.8766935077811</v>
      </c>
      <c r="AZ163" s="593">
        <f t="shared" si="492"/>
        <v>-2737.9072480588989</v>
      </c>
      <c r="BA163" s="593">
        <f t="shared" si="492"/>
        <v>-3249.5151340757911</v>
      </c>
      <c r="BB163" s="593">
        <f t="shared" si="492"/>
        <v>-3781.2027356992298</v>
      </c>
      <c r="BC163" s="593">
        <f t="shared" si="492"/>
        <v>-4257.7724120861049</v>
      </c>
      <c r="BD163" s="593">
        <f t="shared" si="492"/>
        <v>-4727.8737275629092</v>
      </c>
      <c r="BE163" s="593">
        <f t="shared" si="492"/>
        <v>-5196.4009438678577</v>
      </c>
      <c r="BF163" s="593">
        <f t="shared" si="492"/>
        <v>-5663.4469200851281</v>
      </c>
      <c r="BG163" s="593">
        <f t="shared" si="492"/>
        <v>-6129.1771160428762</v>
      </c>
      <c r="BH163"/>
    </row>
    <row r="164" spans="2:60" outlineLevel="1" x14ac:dyDescent="0.3">
      <c r="C164" s="587" t="str">
        <f t="shared" ref="C164:C167" si="493">C163</f>
        <v>CEER2</v>
      </c>
      <c r="E164" s="563" t="s">
        <v>51</v>
      </c>
      <c r="F164" s="592">
        <f t="shared" ref="F164:F167" si="494">SUM(G164:P164)</f>
        <v>157375.22137742981</v>
      </c>
      <c r="G164" s="586">
        <f>G53*SUMPRODUCT(Assumptions!$C$599:$C$604,Assumptions!C$165:C$170)</f>
        <v>16424.951549140998</v>
      </c>
      <c r="H164" s="586">
        <f>H53*SUMPRODUCT(Assumptions!$C$599:$C$604,Assumptions!D$165:D$170)</f>
        <v>16466.023163513335</v>
      </c>
      <c r="I164" s="586">
        <f>I53*SUMPRODUCT(Assumptions!$C$599:$C$604,Assumptions!E$165:E$170)</f>
        <v>16506.927941431411</v>
      </c>
      <c r="J164" s="586">
        <f>J53*SUMPRODUCT(Assumptions!$C$599:$C$604,Assumptions!F$165:F$170)</f>
        <v>16516.208203873495</v>
      </c>
      <c r="K164" s="586">
        <f>K53*SUMPRODUCT(Assumptions!$C$599:$C$604,Assumptions!G$165:G$170)</f>
        <v>16121.763886188834</v>
      </c>
      <c r="L164" s="586">
        <f>L53*SUMPRODUCT(Assumptions!$C$599:$C$604,Assumptions!H$165:H$170)</f>
        <v>15756.791028378417</v>
      </c>
      <c r="M164" s="586">
        <f>M53*SUMPRODUCT(Assumptions!$C$599:$C$604,Assumptions!I$165:I$170)</f>
        <v>15406.777356253036</v>
      </c>
      <c r="N164" s="586">
        <f>N53*SUMPRODUCT(Assumptions!$C$599:$C$604,Assumptions!J$165:J$170)</f>
        <v>15061.387792245643</v>
      </c>
      <c r="O164" s="586">
        <f>O53*SUMPRODUCT(Assumptions!$C$599:$C$604,Assumptions!K$165:K$170)</f>
        <v>14722.965363245597</v>
      </c>
      <c r="P164" s="586">
        <f>P53*SUMPRODUCT(Assumptions!$C$599:$C$604,Assumptions!L$165:L$170)</f>
        <v>14391.425093159038</v>
      </c>
      <c r="Q164" s="586">
        <f>Q53*SUMPRODUCT(Assumptions!$C$599:$C$604,Assumptions!M$165:M$170)</f>
        <v>14066.684552955141</v>
      </c>
      <c r="R164" s="586">
        <f>R53*SUMPRODUCT(Assumptions!$C$599:$C$604,Assumptions!N$165:N$170)</f>
        <v>13734.478909031342</v>
      </c>
      <c r="S164" s="586">
        <f>S53*SUMPRODUCT(Assumptions!$C$599:$C$604,Assumptions!O$165:O$170)</f>
        <v>13409.555187188384</v>
      </c>
      <c r="T164" s="586">
        <f>T53*SUMPRODUCT(Assumptions!$C$599:$C$604,Assumptions!P$165:P$170)</f>
        <v>13091.820296441678</v>
      </c>
      <c r="U164" s="586">
        <f>U53*SUMPRODUCT(Assumptions!$C$599:$C$604,Assumptions!Q$165:Q$170)</f>
        <v>12782.493317965656</v>
      </c>
      <c r="Y164" s="563" t="s">
        <v>51</v>
      </c>
      <c r="Z164" s="592">
        <f t="shared" si="343"/>
        <v>-10598.566879672135</v>
      </c>
      <c r="AA164" s="593">
        <f t="shared" ref="AA164:AO164" si="495">G164-G$122</f>
        <v>-47.43557208429047</v>
      </c>
      <c r="AB164" s="593">
        <f t="shared" si="495"/>
        <v>-72.967320973271853</v>
      </c>
      <c r="AC164" s="593">
        <f t="shared" si="495"/>
        <v>-99.843913453714777</v>
      </c>
      <c r="AD164" s="593">
        <f t="shared" si="495"/>
        <v>-160.84106308293849</v>
      </c>
      <c r="AE164" s="593">
        <f t="shared" si="495"/>
        <v>-628.09289846637694</v>
      </c>
      <c r="AF164" s="593">
        <f t="shared" si="495"/>
        <v>-1068.4381361321739</v>
      </c>
      <c r="AG164" s="593">
        <f t="shared" si="495"/>
        <v>-1503.4683631140379</v>
      </c>
      <c r="AH164" s="593">
        <f t="shared" si="495"/>
        <v>-1932.6986487127015</v>
      </c>
      <c r="AI164" s="593">
        <f t="shared" si="495"/>
        <v>-2356.6841428666939</v>
      </c>
      <c r="AJ164" s="593">
        <f t="shared" si="495"/>
        <v>-2775.5323928702255</v>
      </c>
      <c r="AK164" s="593">
        <f t="shared" si="495"/>
        <v>-3189.3487290596804</v>
      </c>
      <c r="AL164" s="593">
        <f t="shared" si="495"/>
        <v>-3594.5239007078926</v>
      </c>
      <c r="AM164" s="593">
        <f t="shared" si="495"/>
        <v>-3994.0367076346265</v>
      </c>
      <c r="AN164" s="593">
        <f t="shared" si="495"/>
        <v>-4388.0011601506849</v>
      </c>
      <c r="AO164" s="593">
        <f t="shared" si="495"/>
        <v>-4775.2194045115011</v>
      </c>
      <c r="AQ164" s="554" t="str">
        <v>Lääne-Eesti</v>
      </c>
      <c r="AR164" s="592">
        <f>SUM(AT164:BB164)</f>
        <v>-4248.9780930479301</v>
      </c>
      <c r="AS164" s="592"/>
      <c r="AT164" s="593">
        <f t="shared" ref="AT164:BG164" si="496">AB162*$BH53</f>
        <v>-66.034607431208698</v>
      </c>
      <c r="AU164" s="593">
        <f t="shared" si="496"/>
        <v>-74.15994673342712</v>
      </c>
      <c r="AV164" s="593">
        <f t="shared" si="496"/>
        <v>-116.4664253326099</v>
      </c>
      <c r="AW164" s="593">
        <f t="shared" si="496"/>
        <v>-289.42930953153984</v>
      </c>
      <c r="AX164" s="593">
        <f t="shared" si="496"/>
        <v>-426.3760889536378</v>
      </c>
      <c r="AY164" s="593">
        <f t="shared" si="496"/>
        <v>-614.69543852950255</v>
      </c>
      <c r="AZ164" s="593">
        <f t="shared" si="496"/>
        <v>-746.0421490864893</v>
      </c>
      <c r="BA164" s="593">
        <f t="shared" si="496"/>
        <v>-885.44827653811831</v>
      </c>
      <c r="BB164" s="593">
        <f t="shared" si="496"/>
        <v>-1030.3258509113969</v>
      </c>
      <c r="BC164" s="593">
        <f t="shared" si="496"/>
        <v>-1160.1845471156548</v>
      </c>
      <c r="BD164" s="593">
        <f t="shared" si="496"/>
        <v>-1288.2807037459968</v>
      </c>
      <c r="BE164" s="593">
        <f t="shared" si="496"/>
        <v>-1415.947939955503</v>
      </c>
      <c r="BF164" s="593">
        <f t="shared" si="496"/>
        <v>-1543.2115585701806</v>
      </c>
      <c r="BG164" s="593">
        <f t="shared" si="496"/>
        <v>-1670.1166451223733</v>
      </c>
      <c r="BH164"/>
    </row>
    <row r="165" spans="2:60" outlineLevel="1" x14ac:dyDescent="0.3">
      <c r="C165" s="587" t="str">
        <f t="shared" si="493"/>
        <v>CEER2</v>
      </c>
      <c r="E165" s="563" t="s">
        <v>52</v>
      </c>
      <c r="F165" s="592">
        <f t="shared" si="494"/>
        <v>105557.52335333225</v>
      </c>
      <c r="G165" s="593">
        <f>G54*SUMPRODUCT(Assumptions!$C$599:$C$604,Assumptions!C$174:C$179)</f>
        <v>10790.108021655264</v>
      </c>
      <c r="H165" s="593">
        <f>H54*SUMPRODUCT(Assumptions!$C$599:$C$604,Assumptions!D$174:D$179)</f>
        <v>10825.644269758481</v>
      </c>
      <c r="I165" s="593">
        <f>I54*SUMPRODUCT(Assumptions!$C$599:$C$604,Assumptions!E$174:E$179)</f>
        <v>10871.845896726469</v>
      </c>
      <c r="J165" s="593">
        <f>J54*SUMPRODUCT(Assumptions!$C$599:$C$604,Assumptions!F$174:F$179)</f>
        <v>10892.86125633092</v>
      </c>
      <c r="K165" s="593">
        <f>K54*SUMPRODUCT(Assumptions!$C$599:$C$604,Assumptions!G$174:G$179)</f>
        <v>10724.108035358862</v>
      </c>
      <c r="L165" s="593">
        <f>L54*SUMPRODUCT(Assumptions!$C$599:$C$604,Assumptions!H$174:H$179)</f>
        <v>10573.669300452266</v>
      </c>
      <c r="M165" s="593">
        <f>M54*SUMPRODUCT(Assumptions!$C$599:$C$604,Assumptions!I$174:I$179)</f>
        <v>10428.041128162085</v>
      </c>
      <c r="N165" s="593">
        <f>N54*SUMPRODUCT(Assumptions!$C$599:$C$604,Assumptions!J$174:J$179)</f>
        <v>10286.654987855554</v>
      </c>
      <c r="O165" s="593">
        <f>O54*SUMPRODUCT(Assumptions!$C$599:$C$604,Assumptions!K$174:K$179)</f>
        <v>10149.131455157671</v>
      </c>
      <c r="P165" s="593">
        <f>P54*SUMPRODUCT(Assumptions!$C$599:$C$604,Assumptions!L$174:L$179)</f>
        <v>10015.459001874675</v>
      </c>
      <c r="Q165" s="593">
        <f>Q54*SUMPRODUCT(Assumptions!$C$599:$C$604,Assumptions!M$174:M$179)</f>
        <v>9885.6271804134012</v>
      </c>
      <c r="R165" s="593">
        <f>R54*SUMPRODUCT(Assumptions!$C$599:$C$604,Assumptions!N$174:N$179)</f>
        <v>9771.5304524116618</v>
      </c>
      <c r="S165" s="593">
        <f>S54*SUMPRODUCT(Assumptions!$C$599:$C$604,Assumptions!O$174:O$179)</f>
        <v>9660.9622039837141</v>
      </c>
      <c r="T165" s="593">
        <f>T54*SUMPRODUCT(Assumptions!$C$599:$C$604,Assumptions!P$174:P$179)</f>
        <v>9553.9262441778064</v>
      </c>
      <c r="U165" s="593">
        <f>U54*SUMPRODUCT(Assumptions!$C$599:$C$604,Assumptions!Q$174:Q$179)</f>
        <v>9449.0123659608835</v>
      </c>
      <c r="Y165" s="563" t="s">
        <v>52</v>
      </c>
      <c r="Z165" s="592">
        <f t="shared" si="343"/>
        <v>-5749.4565620209487</v>
      </c>
      <c r="AA165" s="593">
        <f t="shared" ref="AA165:AO165" si="497">G165-G$123</f>
        <v>-96.454746475010325</v>
      </c>
      <c r="AB165" s="593">
        <f t="shared" si="497"/>
        <v>-112.26040536074834</v>
      </c>
      <c r="AC165" s="593">
        <f t="shared" si="497"/>
        <v>-119.17640416455833</v>
      </c>
      <c r="AD165" s="593">
        <f t="shared" si="497"/>
        <v>-153.07591645046159</v>
      </c>
      <c r="AE165" s="593">
        <f t="shared" si="497"/>
        <v>-378.56632961679861</v>
      </c>
      <c r="AF165" s="593">
        <f t="shared" si="497"/>
        <v>-587.59019261072899</v>
      </c>
      <c r="AG165" s="593">
        <f t="shared" si="497"/>
        <v>-794.48070859428844</v>
      </c>
      <c r="AH165" s="593">
        <f t="shared" si="497"/>
        <v>-999.3120975798447</v>
      </c>
      <c r="AI165" s="593">
        <f t="shared" si="497"/>
        <v>-1202.1029214372429</v>
      </c>
      <c r="AJ165" s="593">
        <f t="shared" si="497"/>
        <v>-1402.8915862062768</v>
      </c>
      <c r="AK165" s="593">
        <f t="shared" si="497"/>
        <v>-1601.7159672688813</v>
      </c>
      <c r="AL165" s="593">
        <f t="shared" si="497"/>
        <v>-1800.8071892652406</v>
      </c>
      <c r="AM165" s="593">
        <f t="shared" si="497"/>
        <v>-1998.4847553328163</v>
      </c>
      <c r="AN165" s="593">
        <f t="shared" si="497"/>
        <v>-2194.777782250756</v>
      </c>
      <c r="AO165" s="593">
        <f t="shared" si="497"/>
        <v>-2391.1300617004181</v>
      </c>
      <c r="AQ165" s="554" t="str">
        <v>Kirde-Eesti</v>
      </c>
      <c r="AR165" s="592">
        <f>SUM(AT165:BB165)</f>
        <v>-2733.5764781965904</v>
      </c>
      <c r="AS165" s="592"/>
      <c r="AT165" s="593">
        <f t="shared" ref="AT165:BG165" si="498">AB162*$BH54</f>
        <v>-42.483309084658444</v>
      </c>
      <c r="AU165" s="593">
        <f t="shared" si="498"/>
        <v>-47.710739282581095</v>
      </c>
      <c r="AV165" s="593">
        <f t="shared" si="498"/>
        <v>-74.928576664062021</v>
      </c>
      <c r="AW165" s="593">
        <f t="shared" si="498"/>
        <v>-186.20410256541481</v>
      </c>
      <c r="AX165" s="593">
        <f t="shared" si="498"/>
        <v>-274.30869778691834</v>
      </c>
      <c r="AY165" s="593">
        <f t="shared" si="498"/>
        <v>-395.4637927571992</v>
      </c>
      <c r="AZ165" s="593">
        <f t="shared" si="498"/>
        <v>-479.96558839002137</v>
      </c>
      <c r="BA165" s="593">
        <f t="shared" si="498"/>
        <v>-569.65240309536387</v>
      </c>
      <c r="BB165" s="593">
        <f t="shared" si="498"/>
        <v>-662.85926857037111</v>
      </c>
      <c r="BC165" s="593">
        <f t="shared" si="498"/>
        <v>-746.40375142238759</v>
      </c>
      <c r="BD165" s="593">
        <f t="shared" si="498"/>
        <v>-828.81430592371885</v>
      </c>
      <c r="BE165" s="593">
        <f t="shared" si="498"/>
        <v>-910.9489148334892</v>
      </c>
      <c r="BF165" s="593">
        <f t="shared" si="498"/>
        <v>-992.82385670350391</v>
      </c>
      <c r="BG165" s="593">
        <f t="shared" si="498"/>
        <v>-1074.4681372730302</v>
      </c>
      <c r="BH165"/>
    </row>
    <row r="166" spans="2:60" outlineLevel="1" x14ac:dyDescent="0.3">
      <c r="C166" s="587" t="str">
        <f t="shared" si="493"/>
        <v>CEER2</v>
      </c>
      <c r="E166" s="563" t="s">
        <v>53</v>
      </c>
      <c r="F166" s="592">
        <f t="shared" si="494"/>
        <v>106277.67049272552</v>
      </c>
      <c r="G166" s="586">
        <f>G55*SUMPRODUCT(Assumptions!$C$599:$C$604,Assumptions!C$183:C$188)</f>
        <v>10675.183454024911</v>
      </c>
      <c r="H166" s="586">
        <f>H55*SUMPRODUCT(Assumptions!$C$599:$C$604,Assumptions!D$183:D$188)</f>
        <v>10762.414653179621</v>
      </c>
      <c r="I166" s="586">
        <f>I55*SUMPRODUCT(Assumptions!$C$599:$C$604,Assumptions!E$183:E$188)</f>
        <v>10909.322820662104</v>
      </c>
      <c r="J166" s="586">
        <f>J55*SUMPRODUCT(Assumptions!$C$599:$C$604,Assumptions!F$183:F$188)</f>
        <v>10961.473223613264</v>
      </c>
      <c r="K166" s="586">
        <f>K55*SUMPRODUCT(Assumptions!$C$599:$C$604,Assumptions!G$183:G$188)</f>
        <v>10778.660603669963</v>
      </c>
      <c r="L166" s="586">
        <f>L55*SUMPRODUCT(Assumptions!$C$599:$C$604,Assumptions!H$183:H$188)</f>
        <v>10772.058351120089</v>
      </c>
      <c r="M166" s="586">
        <f>M55*SUMPRODUCT(Assumptions!$C$599:$C$604,Assumptions!I$183:I$188)</f>
        <v>10373.17132208703</v>
      </c>
      <c r="N166" s="586">
        <f>N55*SUMPRODUCT(Assumptions!$C$599:$C$604,Assumptions!J$183:J$188)</f>
        <v>10362.165810531707</v>
      </c>
      <c r="O166" s="586">
        <f>O55*SUMPRODUCT(Assumptions!$C$599:$C$604,Assumptions!K$183:K$188)</f>
        <v>10348.412616153313</v>
      </c>
      <c r="P166" s="586">
        <f>P55*SUMPRODUCT(Assumptions!$C$599:$C$604,Assumptions!L$183:L$188)</f>
        <v>10334.807637683534</v>
      </c>
      <c r="Q166" s="586">
        <f>Q55*SUMPRODUCT(Assumptions!$C$599:$C$604,Assumptions!M$183:M$188)</f>
        <v>10421.578085642905</v>
      </c>
      <c r="R166" s="586">
        <f>R55*SUMPRODUCT(Assumptions!$C$599:$C$604,Assumptions!N$183:N$188)</f>
        <v>10480.425373866472</v>
      </c>
      <c r="S166" s="586">
        <f>S55*SUMPRODUCT(Assumptions!$C$599:$C$604,Assumptions!O$183:O$188)</f>
        <v>10540.498421356606</v>
      </c>
      <c r="T166" s="586">
        <f>T55*SUMPRODUCT(Assumptions!$C$599:$C$604,Assumptions!P$183:P$188)</f>
        <v>10601.809444814486</v>
      </c>
      <c r="U166" s="586">
        <f>U55*SUMPRODUCT(Assumptions!$C$599:$C$604,Assumptions!Q$183:Q$188)</f>
        <v>10664.370783102442</v>
      </c>
      <c r="Y166" s="563" t="s">
        <v>53</v>
      </c>
      <c r="Z166" s="592">
        <f t="shared" si="343"/>
        <v>-8010.6045005767519</v>
      </c>
      <c r="AA166" s="593">
        <f t="shared" ref="AA166:AO166" si="499">G166-G$124</f>
        <v>-63.640416872318383</v>
      </c>
      <c r="AB166" s="593">
        <f t="shared" si="499"/>
        <v>-88.267846820381237</v>
      </c>
      <c r="AC166" s="593">
        <f t="shared" si="499"/>
        <v>-110.74840219592443</v>
      </c>
      <c r="AD166" s="593">
        <f t="shared" si="499"/>
        <v>-226.28081553962875</v>
      </c>
      <c r="AE166" s="593">
        <f t="shared" si="499"/>
        <v>-575.089255276318</v>
      </c>
      <c r="AF166" s="593">
        <f t="shared" si="499"/>
        <v>-746.01819310397332</v>
      </c>
      <c r="AG166" s="593">
        <f t="shared" si="499"/>
        <v>-1307.579593618897</v>
      </c>
      <c r="AH166" s="593">
        <f t="shared" si="499"/>
        <v>-1479.6229487186047</v>
      </c>
      <c r="AI166" s="593">
        <f t="shared" si="499"/>
        <v>-1652.7922157051999</v>
      </c>
      <c r="AJ166" s="593">
        <f t="shared" si="499"/>
        <v>-1824.2052295978247</v>
      </c>
      <c r="AK166" s="593">
        <f t="shared" si="499"/>
        <v>-1893.6474955888552</v>
      </c>
      <c r="AL166" s="593">
        <f t="shared" si="499"/>
        <v>-1957.9524631776039</v>
      </c>
      <c r="AM166" s="593">
        <f t="shared" si="499"/>
        <v>-2022.2631940579104</v>
      </c>
      <c r="AN166" s="593">
        <f t="shared" si="499"/>
        <v>-2086.5797867541751</v>
      </c>
      <c r="AO166" s="593">
        <f t="shared" si="499"/>
        <v>-2150.9023407819059</v>
      </c>
      <c r="AQ166" s="554" t="str">
        <v>Lõuna-Eesti </v>
      </c>
      <c r="AR166" s="592">
        <f>SUM(AT166:BB166)</f>
        <v>-6532.186828511677</v>
      </c>
      <c r="AS166" s="592"/>
      <c r="AT166" s="593">
        <f t="shared" ref="AT166:BG166" si="500">AB162*$BH55</f>
        <v>-101.51862011099688</v>
      </c>
      <c r="AU166" s="593">
        <f t="shared" si="500"/>
        <v>-114.01014941635654</v>
      </c>
      <c r="AV166" s="593">
        <f t="shared" si="500"/>
        <v>-179.05021698423974</v>
      </c>
      <c r="AW166" s="593">
        <f t="shared" si="500"/>
        <v>-444.95553568527822</v>
      </c>
      <c r="AX166" s="593">
        <f t="shared" si="500"/>
        <v>-655.491323151865</v>
      </c>
      <c r="AY166" s="593">
        <f t="shared" si="500"/>
        <v>-945.00497747408178</v>
      </c>
      <c r="AZ166" s="593">
        <f t="shared" si="500"/>
        <v>-1146.9314722405506</v>
      </c>
      <c r="BA166" s="593">
        <f t="shared" si="500"/>
        <v>-1361.2481501832533</v>
      </c>
      <c r="BB166" s="593">
        <f t="shared" si="500"/>
        <v>-1583.9763832650553</v>
      </c>
      <c r="BC166" s="593">
        <f t="shared" si="500"/>
        <v>-1783.6152720371715</v>
      </c>
      <c r="BD166" s="593">
        <f t="shared" si="500"/>
        <v>-1980.5445121508717</v>
      </c>
      <c r="BE166" s="593">
        <f t="shared" si="500"/>
        <v>-2176.8143494006113</v>
      </c>
      <c r="BF166" s="593">
        <f t="shared" si="500"/>
        <v>-2372.4636832071797</v>
      </c>
      <c r="BG166" s="593">
        <f t="shared" si="500"/>
        <v>-2567.5618260297333</v>
      </c>
      <c r="BH166"/>
    </row>
    <row r="167" spans="2:60" outlineLevel="1" x14ac:dyDescent="0.3">
      <c r="C167" s="587" t="str">
        <f t="shared" si="493"/>
        <v>CEER2</v>
      </c>
      <c r="E167" s="563" t="s">
        <v>54</v>
      </c>
      <c r="F167" s="592">
        <f t="shared" si="494"/>
        <v>13313.187858453366</v>
      </c>
      <c r="G167" s="593">
        <f>G56*SUMPRODUCT(Assumptions!$C$599:$C$604,_xlfn.ANCHORARRAY(Assumptions!C$192))</f>
        <v>1352.4866016419983</v>
      </c>
      <c r="H167" s="593">
        <f>H56*SUMPRODUCT(Assumptions!$C$599:$C$604,_xlfn.ANCHORARRAY(Assumptions!D$192))</f>
        <v>1352.3733011646652</v>
      </c>
      <c r="I167" s="593">
        <f>I56*SUMPRODUCT(Assumptions!$C$599:$C$604,_xlfn.ANCHORARRAY(Assumptions!E$192))</f>
        <v>1352.2583124451378</v>
      </c>
      <c r="J167" s="593">
        <f>J56*SUMPRODUCT(Assumptions!$C$599:$C$604,_xlfn.ANCHORARRAY(Assumptions!F$192))</f>
        <v>1340.7731704287271</v>
      </c>
      <c r="K167" s="593">
        <f>K56*SUMPRODUCT(Assumptions!$C$599:$C$604,_xlfn.ANCHORARRAY(Assumptions!G$192))</f>
        <v>1335.0300666004848</v>
      </c>
      <c r="L167" s="593">
        <f>L56*SUMPRODUCT(Assumptions!$C$599:$C$604,_xlfn.ANCHORARRAY(Assumptions!H$192))</f>
        <v>1334.9097396761745</v>
      </c>
      <c r="M167" s="593">
        <f>M56*SUMPRODUCT(Assumptions!$C$599:$C$604,_xlfn.ANCHORARRAY(Assumptions!I$192))</f>
        <v>1325.483364904602</v>
      </c>
      <c r="N167" s="593">
        <f>N56*SUMPRODUCT(Assumptions!$C$599:$C$604,_xlfn.ANCHORARRAY(Assumptions!J$192))</f>
        <v>1316.0551449295319</v>
      </c>
      <c r="O167" s="593">
        <f>O56*SUMPRODUCT(Assumptions!$C$599:$C$604,_xlfn.ANCHORARRAY(Assumptions!K$192))</f>
        <v>1306.6250613177253</v>
      </c>
      <c r="P167" s="593">
        <f>P56*SUMPRODUCT(Assumptions!$C$599:$C$604,_xlfn.ANCHORARRAY(Assumptions!L$192))</f>
        <v>1297.1930953443198</v>
      </c>
      <c r="Q167" s="593">
        <f>Q56*SUMPRODUCT(Assumptions!$C$599:$C$604,_xlfn.ANCHORARRAY(Assumptions!M$192))</f>
        <v>1297.0634487783555</v>
      </c>
      <c r="R167" s="593">
        <f>R56*SUMPRODUCT(Assumptions!$C$599:$C$604,Assumptions!N$192:N$197)</f>
        <v>1296.9318815110878</v>
      </c>
      <c r="S167" s="593">
        <f>S56*SUMPRODUCT(Assumptions!$C$599:$C$604,Assumptions!O$192:O$197)</f>
        <v>1296.7983739204217</v>
      </c>
      <c r="T167" s="593">
        <f>T56*SUMPRODUCT(Assumptions!$C$599:$C$604,Assumptions!P$192:P$197)</f>
        <v>1296.6629060781036</v>
      </c>
      <c r="U167" s="593">
        <f>U56*SUMPRODUCT(Assumptions!$C$599:$C$604,Assumptions!Q$192:Q$197)</f>
        <v>1296.5254577463288</v>
      </c>
      <c r="Y167" s="563" t="s">
        <v>54</v>
      </c>
      <c r="Z167" s="592">
        <f t="shared" si="343"/>
        <v>-240.82652096641118</v>
      </c>
      <c r="AA167" s="593">
        <f t="shared" ref="AA167:AO167" si="501">G167-G$125</f>
        <v>-3.2387069999772393</v>
      </c>
      <c r="AB167" s="593">
        <f t="shared" si="501"/>
        <v>-3.3520074773102806</v>
      </c>
      <c r="AC167" s="593">
        <f t="shared" si="501"/>
        <v>-3.4669961968377265</v>
      </c>
      <c r="AD167" s="593">
        <f t="shared" si="501"/>
        <v>-14.952138213248418</v>
      </c>
      <c r="AE167" s="593">
        <f t="shared" si="501"/>
        <v>-20.695242041490701</v>
      </c>
      <c r="AF167" s="593">
        <f t="shared" si="501"/>
        <v>-20.815568965801049</v>
      </c>
      <c r="AG167" s="593">
        <f t="shared" si="501"/>
        <v>-30.241943737373504</v>
      </c>
      <c r="AH167" s="593">
        <f t="shared" si="501"/>
        <v>-39.670163712443582</v>
      </c>
      <c r="AI167" s="593">
        <f t="shared" si="501"/>
        <v>-49.100247324250176</v>
      </c>
      <c r="AJ167" s="593">
        <f t="shared" si="501"/>
        <v>-58.532213297655744</v>
      </c>
      <c r="AK167" s="593">
        <f t="shared" si="501"/>
        <v>-58.661859863620066</v>
      </c>
      <c r="AL167" s="593">
        <f t="shared" si="501"/>
        <v>-58.793427130887721</v>
      </c>
      <c r="AM167" s="593">
        <f t="shared" si="501"/>
        <v>-58.926934721553835</v>
      </c>
      <c r="AN167" s="593">
        <f t="shared" si="501"/>
        <v>-59.062402563871956</v>
      </c>
      <c r="AO167" s="593">
        <f t="shared" si="501"/>
        <v>-59.199850895646705</v>
      </c>
      <c r="AQ167" s="554" t="str">
        <v>Kesk-Eesti</v>
      </c>
      <c r="AR167" s="592">
        <f>SUM(AT167:BB167)</f>
        <v>-2751.2195089385614</v>
      </c>
      <c r="AS167" s="592"/>
      <c r="AT167" s="593">
        <f t="shared" ref="AT167:BG167" si="502">AB162*$BH56</f>
        <v>-42.757504569650237</v>
      </c>
      <c r="AU167" s="593">
        <f t="shared" si="502"/>
        <v>-48.018673612057064</v>
      </c>
      <c r="AV167" s="593">
        <f t="shared" si="502"/>
        <v>-75.412180174730324</v>
      </c>
      <c r="AW167" s="593">
        <f t="shared" si="502"/>
        <v>-187.4058998196881</v>
      </c>
      <c r="AX167" s="593">
        <f t="shared" si="502"/>
        <v>-276.07913912135552</v>
      </c>
      <c r="AY167" s="593">
        <f t="shared" si="502"/>
        <v>-398.01619248283436</v>
      </c>
      <c r="AZ167" s="593">
        <f t="shared" si="502"/>
        <v>-483.06337903118163</v>
      </c>
      <c r="BA167" s="593">
        <f t="shared" si="502"/>
        <v>-573.3290497669359</v>
      </c>
      <c r="BB167" s="593">
        <f t="shared" si="502"/>
        <v>-667.13749036012791</v>
      </c>
      <c r="BC167" s="593">
        <f t="shared" si="502"/>
        <v>-751.22118544602074</v>
      </c>
      <c r="BD167" s="593">
        <f t="shared" si="502"/>
        <v>-834.16363358856779</v>
      </c>
      <c r="BE167" s="593">
        <f t="shared" si="502"/>
        <v>-916.82835513339091</v>
      </c>
      <c r="BF167" s="593">
        <f t="shared" si="502"/>
        <v>-999.2317336972136</v>
      </c>
      <c r="BG167" s="593">
        <f t="shared" si="502"/>
        <v>-1081.4029622279488</v>
      </c>
      <c r="BH167"/>
    </row>
    <row r="168" spans="2:60" x14ac:dyDescent="0.3"/>
    <row r="171" spans="2:60" ht="19.5" collapsed="1" thickBot="1" x14ac:dyDescent="0.35">
      <c r="B171" s="1" t="s">
        <v>404</v>
      </c>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row>
    <row r="172" spans="2:60" hidden="1" outlineLevel="1" x14ac:dyDescent="0.3"/>
    <row r="173" spans="2:60" ht="15" hidden="1" outlineLevel="1" x14ac:dyDescent="0.3">
      <c r="E173" s="5" t="s">
        <v>405</v>
      </c>
      <c r="F173" s="5"/>
      <c r="G173" s="5"/>
      <c r="H173" s="5"/>
      <c r="I173" s="5"/>
      <c r="J173" s="5"/>
      <c r="K173" s="5"/>
      <c r="L173" s="5"/>
      <c r="M173" s="5"/>
      <c r="N173" s="5"/>
      <c r="O173" s="5"/>
      <c r="P173" s="5"/>
      <c r="Q173" s="5"/>
      <c r="R173" s="5"/>
      <c r="S173" s="5"/>
      <c r="T173" s="5"/>
      <c r="U173" s="5"/>
      <c r="W173" s="587"/>
      <c r="Y173" s="5" t="s">
        <v>406</v>
      </c>
      <c r="Z173" s="5"/>
      <c r="AA173" s="5"/>
      <c r="AB173" s="5"/>
      <c r="AC173" s="5"/>
      <c r="AD173" s="5"/>
      <c r="AE173" s="5"/>
      <c r="AF173" s="5"/>
      <c r="AG173" s="5"/>
      <c r="AH173" s="5"/>
      <c r="AI173" s="5"/>
      <c r="AJ173" s="5"/>
      <c r="AK173" s="5"/>
      <c r="AL173" s="5"/>
      <c r="AM173" s="5"/>
      <c r="AN173" s="5"/>
      <c r="AO173" s="5"/>
    </row>
    <row r="174" spans="2:60" hidden="1" outlineLevel="1" x14ac:dyDescent="0.3">
      <c r="W174" s="587"/>
    </row>
    <row r="175" spans="2:60" ht="27" hidden="1" outlineLevel="1" x14ac:dyDescent="0.3">
      <c r="E175" s="625"/>
      <c r="F175" s="625" t="s">
        <v>386</v>
      </c>
      <c r="G175" s="625">
        <v>2021</v>
      </c>
      <c r="H175" s="625">
        <v>2022</v>
      </c>
      <c r="I175" s="625">
        <v>2023</v>
      </c>
      <c r="J175" s="625">
        <v>2024</v>
      </c>
      <c r="K175" s="625">
        <v>2025</v>
      </c>
      <c r="L175" s="625">
        <v>2026</v>
      </c>
      <c r="M175" s="625">
        <v>2027</v>
      </c>
      <c r="N175" s="625">
        <v>2028</v>
      </c>
      <c r="O175" s="625">
        <v>2029</v>
      </c>
      <c r="P175" s="625">
        <v>2030</v>
      </c>
      <c r="Q175" s="625">
        <v>2031</v>
      </c>
      <c r="R175" s="625">
        <v>2032</v>
      </c>
      <c r="S175" s="625">
        <v>2033</v>
      </c>
      <c r="T175" s="625">
        <v>2034</v>
      </c>
      <c r="U175" s="625">
        <v>2035</v>
      </c>
      <c r="W175" s="587"/>
      <c r="Y175" s="625"/>
      <c r="Z175" s="625" t="s">
        <v>386</v>
      </c>
      <c r="AA175" s="625">
        <v>2021</v>
      </c>
      <c r="AB175" s="625">
        <v>2022</v>
      </c>
      <c r="AC175" s="625">
        <v>2023</v>
      </c>
      <c r="AD175" s="625">
        <v>2024</v>
      </c>
      <c r="AE175" s="625">
        <v>2025</v>
      </c>
      <c r="AF175" s="625">
        <v>2026</v>
      </c>
      <c r="AG175" s="625">
        <v>2027</v>
      </c>
      <c r="AH175" s="625">
        <v>2028</v>
      </c>
      <c r="AI175" s="625">
        <v>2029</v>
      </c>
      <c r="AJ175" s="625">
        <v>2030</v>
      </c>
      <c r="AK175" s="625">
        <v>2031</v>
      </c>
      <c r="AL175" s="625">
        <v>2032</v>
      </c>
      <c r="AM175" s="625">
        <v>2033</v>
      </c>
      <c r="AN175" s="625">
        <v>2034</v>
      </c>
      <c r="AO175" s="625">
        <v>2035</v>
      </c>
    </row>
    <row r="176" spans="2:60" hidden="1" outlineLevel="1" x14ac:dyDescent="0.3">
      <c r="E176" s="555" t="s">
        <v>345</v>
      </c>
      <c r="F176" s="590">
        <f>SUM(G176:P176)</f>
        <v>-788.36585340709598</v>
      </c>
      <c r="G176" s="591">
        <f>SUM(G177:G181)</f>
        <v>145.77913658310069</v>
      </c>
      <c r="H176" s="591">
        <f>SUM(H177:H181)</f>
        <v>-257.01110931502404</v>
      </c>
      <c r="I176" s="591">
        <f>SUM(I177:I181)</f>
        <v>-79.541151989614278</v>
      </c>
      <c r="J176" s="591">
        <f t="shared" ref="J176:P176" si="503">SUM(J177:J181)</f>
        <v>-86.534854111062515</v>
      </c>
      <c r="K176" s="591">
        <f t="shared" si="503"/>
        <v>-86.286513178492029</v>
      </c>
      <c r="L176" s="591">
        <f t="shared" si="503"/>
        <v>-85.932551713747941</v>
      </c>
      <c r="M176" s="591">
        <f t="shared" si="503"/>
        <v>-86.546799344592216</v>
      </c>
      <c r="N176" s="591">
        <f t="shared" si="503"/>
        <v>-85.807794034309751</v>
      </c>
      <c r="O176" s="591">
        <f t="shared" si="503"/>
        <v>-84.96152525436105</v>
      </c>
      <c r="P176" s="591">
        <f t="shared" si="503"/>
        <v>-81.522691048992925</v>
      </c>
      <c r="Q176" s="591">
        <f t="shared" ref="Q176:U176" si="504">SUM(Q177:Q181)</f>
        <v>-42.778992170341446</v>
      </c>
      <c r="R176" s="591">
        <f t="shared" si="504"/>
        <v>-109.92626119277048</v>
      </c>
      <c r="S176" s="591">
        <f t="shared" si="504"/>
        <v>-111.7240777704328</v>
      </c>
      <c r="T176" s="591">
        <f t="shared" si="504"/>
        <v>-110.86960269634001</v>
      </c>
      <c r="U176" s="591">
        <f t="shared" si="504"/>
        <v>-109.94257851598945</v>
      </c>
      <c r="W176" s="587"/>
      <c r="Y176" s="1224"/>
      <c r="Z176" s="1224"/>
      <c r="AA176" s="1224"/>
      <c r="AB176" s="1224"/>
      <c r="AC176" s="1224"/>
      <c r="AD176" s="1224"/>
      <c r="AE176" s="1224"/>
      <c r="AF176" s="1224"/>
      <c r="AG176" s="1224"/>
      <c r="AH176" s="1224"/>
      <c r="AI176" s="1224"/>
      <c r="AJ176" s="1224"/>
      <c r="AK176" s="1224"/>
      <c r="AL176" s="1224"/>
      <c r="AM176" s="1224"/>
      <c r="AN176" s="1224"/>
      <c r="AO176" s="1224"/>
    </row>
    <row r="177" spans="3:41" hidden="1" outlineLevel="1" x14ac:dyDescent="0.3">
      <c r="E177" s="563" t="s">
        <v>50</v>
      </c>
      <c r="F177" s="592">
        <f>SUM(G177:P177)</f>
        <v>-283.73074503944855</v>
      </c>
      <c r="G177" s="593">
        <f>-(Baseline!AC6-Baseline!AB6)*Assumptions!G565</f>
        <v>187.18830026249987</v>
      </c>
      <c r="H177" s="593">
        <f>-(Baseline!AD6-Baseline!AC6)*Assumptions!H565</f>
        <v>-206.96642897826106</v>
      </c>
      <c r="I177" s="593">
        <f>-(Baseline!AE6-Baseline!AD6)*Assumptions!I565</f>
        <v>-29.039831041801701</v>
      </c>
      <c r="J177" s="593">
        <f>-(Baseline!AF6-Baseline!AE6)*Assumptions!J565</f>
        <v>-35.646319434053929</v>
      </c>
      <c r="K177" s="593">
        <f>-(Baseline!AG6-Baseline!AF6)*Assumptions!K565</f>
        <v>-35.079451646758919</v>
      </c>
      <c r="L177" s="593">
        <f>-(Baseline!AH6-Baseline!AG6)*Assumptions!L565</f>
        <v>-34.474949135195295</v>
      </c>
      <c r="M177" s="593">
        <f>-(Baseline!AI6-Baseline!AH6)*Assumptions!M565</f>
        <v>-33.838567128604069</v>
      </c>
      <c r="N177" s="593">
        <f>-(Baseline!AJ6-Baseline!AI6)*Assumptions!N565</f>
        <v>-33.16079113087801</v>
      </c>
      <c r="O177" s="593">
        <f>-(Baseline!AK6-Baseline!AJ6)*Assumptions!O565</f>
        <v>-32.432780966508162</v>
      </c>
      <c r="P177" s="593">
        <f>-(Baseline!AL6-Baseline!AK6)*Assumptions!P565</f>
        <v>-30.279925839887255</v>
      </c>
      <c r="Q177" s="593">
        <f>-(Baseline!AM6-Baseline!AL6)*Assumptions!Q565</f>
        <v>-9.5631211666597959</v>
      </c>
      <c r="R177" s="593">
        <f>-(Baseline!AN6-Baseline!AM6)*Assumptions!R565</f>
        <v>-45.377591883796839</v>
      </c>
      <c r="S177" s="593">
        <f>-(Baseline!AO6-Baseline!AN6)*Assumptions!S565</f>
        <v>-46.058255762052497</v>
      </c>
      <c r="T177" s="593">
        <f>-(Baseline!AP6-Baseline!AO6)*Assumptions!T565</f>
        <v>-45.288017598843311</v>
      </c>
      <c r="U177" s="593">
        <f>-(Baseline!AQ6-Baseline!AP6)*Assumptions!U565</f>
        <v>-44.4843091831927</v>
      </c>
      <c r="W177" s="587"/>
      <c r="Y177" s="1224"/>
      <c r="Z177" s="1224"/>
      <c r="AA177" s="1224"/>
      <c r="AB177" s="1224"/>
      <c r="AC177" s="1224"/>
      <c r="AD177" s="1224"/>
      <c r="AE177" s="1224"/>
      <c r="AF177" s="1224"/>
      <c r="AG177" s="1224"/>
      <c r="AH177" s="1224"/>
      <c r="AI177" s="1224"/>
      <c r="AJ177" s="1224"/>
      <c r="AK177" s="1224"/>
      <c r="AL177" s="1224"/>
      <c r="AM177" s="1224"/>
      <c r="AN177" s="1224"/>
      <c r="AO177" s="1224"/>
    </row>
    <row r="178" spans="3:41" hidden="1" outlineLevel="1" x14ac:dyDescent="0.3">
      <c r="E178" s="563" t="s">
        <v>51</v>
      </c>
      <c r="F178" s="592">
        <f t="shared" ref="F178:F181" si="505">SUM(G178:P178)</f>
        <v>-60.017426183355411</v>
      </c>
      <c r="G178" s="593">
        <f>-(Baseline!AC7-Baseline!AB7)*Assumptions!G566</f>
        <v>7.940061295902602</v>
      </c>
      <c r="H178" s="593">
        <f>-(Baseline!AD7-Baseline!AC7)*Assumptions!H566</f>
        <v>-7.0436823307461669</v>
      </c>
      <c r="I178" s="593">
        <f>-(Baseline!AE7-Baseline!AD7)*Assumptions!I566</f>
        <v>-7.1551707175250323</v>
      </c>
      <c r="J178" s="593">
        <f>-(Baseline!AF7-Baseline!AE7)*Assumptions!J566</f>
        <v>-7.246584975128135</v>
      </c>
      <c r="K178" s="593">
        <f>-(Baseline!AG7-Baseline!AF7)*Assumptions!K566</f>
        <v>-7.3172447906579778</v>
      </c>
      <c r="L178" s="593">
        <f>-(Baseline!AH7-Baseline!AG7)*Assumptions!L566</f>
        <v>-7.3664480057134449</v>
      </c>
      <c r="M178" s="593">
        <f>-(Baseline!AI7-Baseline!AH7)*Assumptions!M566</f>
        <v>-8.2894873695133828</v>
      </c>
      <c r="N178" s="593">
        <f>-(Baseline!AJ7-Baseline!AI7)*Assumptions!N566</f>
        <v>-8.1426991898055388</v>
      </c>
      <c r="O178" s="593">
        <f>-(Baseline!AK7-Baseline!AJ7)*Assumptions!O566</f>
        <v>-7.9799133976547072</v>
      </c>
      <c r="P178" s="593">
        <f>-(Baseline!AL7-Baseline!AK7)*Assumptions!P566</f>
        <v>-7.4162567025136319</v>
      </c>
      <c r="Q178" s="593">
        <f>-(Baseline!AM7-Baseline!AL7)*Assumptions!Q566</f>
        <v>0</v>
      </c>
      <c r="R178" s="593">
        <f>-(Baseline!AN7-Baseline!AM7)*Assumptions!R566</f>
        <v>-11.772955011287648</v>
      </c>
      <c r="S178" s="593">
        <f>-(Baseline!AO7-Baseline!AN7)*Assumptions!S566</f>
        <v>-12.034255536652276</v>
      </c>
      <c r="T178" s="593">
        <f>-(Baseline!AP7-Baseline!AO7)*Assumptions!T566</f>
        <v>-11.87907121062482</v>
      </c>
      <c r="U178" s="593">
        <f>-(Baseline!AQ7-Baseline!AP7)*Assumptions!U566</f>
        <v>-11.709006942728019</v>
      </c>
      <c r="W178" s="587"/>
      <c r="Y178" s="1224"/>
      <c r="Z178" s="1224"/>
      <c r="AA178" s="1224"/>
      <c r="AB178" s="1224"/>
      <c r="AC178" s="1224"/>
      <c r="AD178" s="1224"/>
      <c r="AE178" s="1224"/>
      <c r="AF178" s="1224"/>
      <c r="AG178" s="1224"/>
      <c r="AH178" s="1224"/>
      <c r="AI178" s="1224"/>
      <c r="AJ178" s="1224"/>
      <c r="AK178" s="1224"/>
      <c r="AL178" s="1224"/>
      <c r="AM178" s="1224"/>
      <c r="AN178" s="1224"/>
      <c r="AO178" s="1224"/>
    </row>
    <row r="179" spans="3:41" hidden="1" outlineLevel="1" x14ac:dyDescent="0.3">
      <c r="E179" s="563" t="s">
        <v>52</v>
      </c>
      <c r="F179" s="592">
        <f t="shared" si="505"/>
        <v>-144.57749501097919</v>
      </c>
      <c r="G179" s="593">
        <f>-(Baseline!AC8-Baseline!AB8)*Assumptions!G567</f>
        <v>-1.4834986259795784</v>
      </c>
      <c r="H179" s="593">
        <f>-(Baseline!AD8-Baseline!AC8)*Assumptions!H567</f>
        <v>-16.400349218346044</v>
      </c>
      <c r="I179" s="593">
        <f>-(Baseline!AE8-Baseline!AD8)*Assumptions!I567</f>
        <v>-16.329891251374388</v>
      </c>
      <c r="J179" s="593">
        <f>-(Baseline!AF8-Baseline!AE8)*Assumptions!J567</f>
        <v>-16.237504747795629</v>
      </c>
      <c r="K179" s="593">
        <f>-(Baseline!AG8-Baseline!AF8)*Assumptions!K567</f>
        <v>-16.122957093471594</v>
      </c>
      <c r="L179" s="593">
        <f>-(Baseline!AH8-Baseline!AG8)*Assumptions!L567</f>
        <v>-15.986006320827844</v>
      </c>
      <c r="M179" s="593">
        <f>-(Baseline!AI8-Baseline!AH8)*Assumptions!M567</f>
        <v>-15.997795504606094</v>
      </c>
      <c r="N179" s="593">
        <f>-(Baseline!AJ8-Baseline!AI8)*Assumptions!N567</f>
        <v>-15.788407722891636</v>
      </c>
      <c r="O179" s="593">
        <f>-(Baseline!AK8-Baseline!AJ8)*Assumptions!O567</f>
        <v>-15.557214008387545</v>
      </c>
      <c r="P179" s="593">
        <f>-(Baseline!AL8-Baseline!AK8)*Assumptions!P567</f>
        <v>-14.673870517298871</v>
      </c>
      <c r="Q179" s="593">
        <f>-(Baseline!AM8-Baseline!AL8)*Assumptions!Q567</f>
        <v>-5.2576220546261467</v>
      </c>
      <c r="R179" s="593">
        <f>-(Baseline!AN8-Baseline!AM8)*Assumptions!R567</f>
        <v>-22.046597065749381</v>
      </c>
      <c r="S179" s="593">
        <f>-(Baseline!AO8-Baseline!AN8)*Assumptions!S567</f>
        <v>-22.595158067471932</v>
      </c>
      <c r="T179" s="593">
        <f>-(Baseline!AP8-Baseline!AO8)*Assumptions!T567</f>
        <v>-22.456783448029483</v>
      </c>
      <c r="U179" s="593">
        <f>-(Baseline!AQ8-Baseline!AP8)*Assumptions!U567</f>
        <v>-22.2931271167886</v>
      </c>
      <c r="W179" s="587"/>
      <c r="Y179" s="1224"/>
      <c r="Z179" s="1224"/>
      <c r="AA179" s="1224"/>
      <c r="AB179" s="1224"/>
      <c r="AC179" s="1224"/>
      <c r="AD179" s="1224"/>
      <c r="AE179" s="1224"/>
      <c r="AF179" s="1224"/>
      <c r="AG179" s="1224"/>
      <c r="AH179" s="1224"/>
      <c r="AI179" s="1224"/>
      <c r="AJ179" s="1224"/>
      <c r="AK179" s="1224"/>
      <c r="AL179" s="1224"/>
      <c r="AM179" s="1224"/>
      <c r="AN179" s="1224"/>
      <c r="AO179" s="1224"/>
    </row>
    <row r="180" spans="3:41" hidden="1" outlineLevel="1" x14ac:dyDescent="0.3">
      <c r="E180" s="563" t="s">
        <v>53</v>
      </c>
      <c r="F180" s="592">
        <f t="shared" si="505"/>
        <v>-399.75621865342481</v>
      </c>
      <c r="G180" s="593">
        <f>-(Baseline!AC9-Baseline!AB9)*Assumptions!G568</f>
        <v>-147.5817578294342</v>
      </c>
      <c r="H180" s="593">
        <f>-(Baseline!AD9-Baseline!AC9)*Assumptions!H568</f>
        <v>-26.600648787670739</v>
      </c>
      <c r="I180" s="593">
        <f>-(Baseline!AE9-Baseline!AD9)*Assumptions!I568</f>
        <v>-27.016258978913157</v>
      </c>
      <c r="J180" s="593">
        <f>-(Baseline!AF9-Baseline!AE9)*Assumptions!J568</f>
        <v>-27.40444495408482</v>
      </c>
      <c r="K180" s="593">
        <f>-(Baseline!AG9-Baseline!AF9)*Assumptions!K568</f>
        <v>-27.766859647603535</v>
      </c>
      <c r="L180" s="593">
        <f>-(Baseline!AH9-Baseline!AG9)*Assumptions!L568</f>
        <v>-28.105148252011361</v>
      </c>
      <c r="M180" s="593">
        <f>-(Baseline!AI9-Baseline!AH9)*Assumptions!M568</f>
        <v>-28.420949341868663</v>
      </c>
      <c r="N180" s="593">
        <f>-(Baseline!AJ9-Baseline!AI9)*Assumptions!N568</f>
        <v>-28.71589599073457</v>
      </c>
      <c r="O180" s="593">
        <f>-(Baseline!AK9-Baseline!AJ9)*Assumptions!O568</f>
        <v>-28.991616881810639</v>
      </c>
      <c r="P180" s="593">
        <f>-(Baseline!AL9-Baseline!AK9)*Assumptions!P568</f>
        <v>-29.152637989293154</v>
      </c>
      <c r="Q180" s="593">
        <f>-(Baseline!AM9-Baseline!AL9)*Assumptions!Q568</f>
        <v>-27.958248949055506</v>
      </c>
      <c r="R180" s="593">
        <f>-(Baseline!AN9-Baseline!AM9)*Assumptions!R568</f>
        <v>-30.72911723193662</v>
      </c>
      <c r="S180" s="593">
        <f>-(Baseline!AO9-Baseline!AN9)*Assumptions!S568</f>
        <v>-31.036408404256093</v>
      </c>
      <c r="T180" s="593">
        <f>-(Baseline!AP9-Baseline!AO9)*Assumptions!T568</f>
        <v>-31.24573043884239</v>
      </c>
      <c r="U180" s="593">
        <f>-(Baseline!AQ9-Baseline!AP9)*Assumptions!U568</f>
        <v>-31.456135273280147</v>
      </c>
      <c r="W180" s="587"/>
      <c r="Y180" s="1224"/>
      <c r="Z180" s="1224"/>
      <c r="AA180" s="1224"/>
      <c r="AB180" s="1224"/>
      <c r="AC180" s="1224"/>
      <c r="AD180" s="1224"/>
      <c r="AE180" s="1224"/>
      <c r="AF180" s="1224"/>
      <c r="AG180" s="1224"/>
      <c r="AH180" s="1224"/>
      <c r="AI180" s="1224"/>
      <c r="AJ180" s="1224"/>
      <c r="AK180" s="1224"/>
      <c r="AL180" s="1224"/>
      <c r="AM180" s="1224"/>
      <c r="AN180" s="1224"/>
      <c r="AO180" s="1224"/>
    </row>
    <row r="181" spans="3:41" hidden="1" outlineLevel="1" x14ac:dyDescent="0.3">
      <c r="E181" s="563" t="s">
        <v>54</v>
      </c>
      <c r="F181" s="592">
        <f t="shared" si="505"/>
        <v>99.716031480112022</v>
      </c>
      <c r="G181" s="593">
        <f>-(Baseline!AC10-Baseline!AB10)*Assumptions!G569</f>
        <v>99.716031480112022</v>
      </c>
      <c r="H181" s="593">
        <f>-(Baseline!AD10-Baseline!AC10)*Assumptions!H569</f>
        <v>0</v>
      </c>
      <c r="I181" s="593">
        <f>-(Baseline!AE10-Baseline!AD10)*Assumptions!I569</f>
        <v>0</v>
      </c>
      <c r="J181" s="593">
        <f>-(Baseline!AF10-Baseline!AE10)*Assumptions!J569</f>
        <v>0</v>
      </c>
      <c r="K181" s="593">
        <f>-(Baseline!AG10-Baseline!AF10)*Assumptions!K569</f>
        <v>0</v>
      </c>
      <c r="L181" s="593">
        <f>-(Baseline!AH10-Baseline!AG10)*Assumptions!L569</f>
        <v>0</v>
      </c>
      <c r="M181" s="593">
        <f>-(Baseline!AI10-Baseline!AH10)*Assumptions!M569</f>
        <v>0</v>
      </c>
      <c r="N181" s="593">
        <f>-(Baseline!AJ10-Baseline!AI10)*Assumptions!N569</f>
        <v>0</v>
      </c>
      <c r="O181" s="593">
        <f>-(Baseline!AK10-Baseline!AJ10)*Assumptions!O569</f>
        <v>0</v>
      </c>
      <c r="P181" s="593">
        <f>-(Baseline!AL10-Baseline!AK10)*Assumptions!P569</f>
        <v>0</v>
      </c>
      <c r="Q181" s="593">
        <f>-(Baseline!AM10-Baseline!AL10)*Assumptions!Q569</f>
        <v>0</v>
      </c>
      <c r="R181" s="593">
        <f>-(Baseline!AN10-Baseline!AM10)*Assumptions!R569</f>
        <v>0</v>
      </c>
      <c r="S181" s="593">
        <f>-(Baseline!AO10-Baseline!AN10)*Assumptions!S569</f>
        <v>0</v>
      </c>
      <c r="T181" s="593">
        <f>-(Baseline!AP10-Baseline!AO10)*Assumptions!T569</f>
        <v>0</v>
      </c>
      <c r="U181" s="593">
        <f>-(Baseline!AQ10-Baseline!AP10)*Assumptions!U569</f>
        <v>0</v>
      </c>
      <c r="W181" s="587"/>
      <c r="Y181" s="1224"/>
      <c r="Z181" s="1224"/>
      <c r="AA181" s="1224"/>
      <c r="AB181" s="1224"/>
      <c r="AC181" s="1224"/>
      <c r="AD181" s="1224"/>
      <c r="AE181" s="1224"/>
      <c r="AF181" s="1224"/>
      <c r="AG181" s="1224"/>
      <c r="AH181" s="1224"/>
      <c r="AI181" s="1224"/>
      <c r="AJ181" s="1224"/>
      <c r="AK181" s="1224"/>
      <c r="AL181" s="1224"/>
      <c r="AM181" s="1224"/>
      <c r="AN181" s="1224"/>
      <c r="AO181" s="1224"/>
    </row>
    <row r="182" spans="3:41" hidden="1" outlineLevel="1" x14ac:dyDescent="0.3">
      <c r="C182" s="587" t="str">
        <f>E182</f>
        <v>Baseline</v>
      </c>
      <c r="E182" s="555" t="str">
        <f>'EE Measures'!$IF$6</f>
        <v>Baseline</v>
      </c>
      <c r="F182" s="590">
        <f>SUM(G182:P182)</f>
        <v>1259.1580423140167</v>
      </c>
      <c r="G182" s="591">
        <f>SUM(G183:G187)</f>
        <v>231.20192281743059</v>
      </c>
      <c r="H182" s="591">
        <f>SUM(H183:H187)</f>
        <v>-158.80228986656371</v>
      </c>
      <c r="I182" s="591">
        <f t="shared" ref="I182:P182" si="506">SUM(I183:I187)</f>
        <v>26.404173994278541</v>
      </c>
      <c r="J182" s="591">
        <f t="shared" si="506"/>
        <v>85.686023795354203</v>
      </c>
      <c r="K182" s="591">
        <f t="shared" si="506"/>
        <v>143.7948076152621</v>
      </c>
      <c r="L182" s="591">
        <f t="shared" si="506"/>
        <v>169.60265304612008</v>
      </c>
      <c r="M182" s="591">
        <f t="shared" si="506"/>
        <v>189.60347290367213</v>
      </c>
      <c r="N182" s="591">
        <f t="shared" si="506"/>
        <v>191.182039204928</v>
      </c>
      <c r="O182" s="591">
        <f t="shared" si="506"/>
        <v>192.58610658995175</v>
      </c>
      <c r="P182" s="591">
        <f t="shared" si="506"/>
        <v>187.89913221358319</v>
      </c>
      <c r="Q182" s="591">
        <f t="shared" ref="Q182:U182" si="507">SUM(Q183:Q187)</f>
        <v>103.87567907751138</v>
      </c>
      <c r="R182" s="591">
        <f t="shared" si="507"/>
        <v>263.45690166351335</v>
      </c>
      <c r="S182" s="591">
        <f t="shared" si="507"/>
        <v>271.99264483947888</v>
      </c>
      <c r="T182" s="591">
        <f t="shared" si="507"/>
        <v>274.20758426177173</v>
      </c>
      <c r="U182" s="591">
        <f t="shared" si="507"/>
        <v>276.31102313190917</v>
      </c>
      <c r="W182" s="587" t="str">
        <f>Y182</f>
        <v>Baseline</v>
      </c>
      <c r="Y182" s="1226" t="str">
        <f>'EE Measures'!$IF$6</f>
        <v>Baseline</v>
      </c>
      <c r="Z182" s="1225"/>
      <c r="AA182" s="1225"/>
      <c r="AB182" s="1225"/>
      <c r="AC182" s="1225"/>
      <c r="AD182" s="1225"/>
      <c r="AE182" s="1225"/>
      <c r="AF182" s="1225"/>
      <c r="AG182" s="1225"/>
      <c r="AH182" s="1225"/>
      <c r="AI182" s="1225"/>
      <c r="AJ182" s="1225"/>
      <c r="AK182" s="1225"/>
      <c r="AL182" s="1225"/>
      <c r="AM182" s="1225"/>
      <c r="AN182" s="1225"/>
      <c r="AO182" s="1225"/>
    </row>
    <row r="183" spans="3:41" hidden="1" outlineLevel="1" x14ac:dyDescent="0.3">
      <c r="C183" s="587" t="str">
        <f>C182</f>
        <v>Baseline</v>
      </c>
      <c r="E183" s="563" t="s">
        <v>50</v>
      </c>
      <c r="F183" s="592">
        <f>SUM(G183:P183)</f>
        <v>563.23398937814181</v>
      </c>
      <c r="G183" s="593" cm="1">
        <f t="array" ref="G183">SUMPRODUCT('EE Measures'!GP$8:GP$86,'EE Measures'!$IF$8:$IF$86,--('EE Measures'!$B$8:$B$86='Pathway Analysis'!$E183))+(SUMPRODUCT('EE Measures'!GP$8:GP$86,'EE Measures'!$IF$8:$IF$86,--('EE Measures'!$B$8:$B$86="Cross-sectoral"))*(G10/$H$9))+G177</f>
        <v>230.95891466181632</v>
      </c>
      <c r="H183" s="593" cm="1">
        <f t="array" ref="H183">SUMPRODUCT('EE Measures'!GQ$8:GQ$86,'EE Measures'!$IF$8:$IF$86,--('EE Measures'!$B$8:$B$86='Pathway Analysis'!$E183))+(SUMPRODUCT('EE Measures'!GQ$8:GQ$86,'EE Measures'!$IF$8:$IF$86,--('EE Measures'!$B$8:$B$86="Cross-sectoral"))*(H10/$H$9))+H177</f>
        <v>-161.10052215297077</v>
      </c>
      <c r="I183" s="593" cm="1">
        <f t="array" ref="I183">SUMPRODUCT('EE Measures'!GR$8:GR$86,'EE Measures'!$IF$8:$IF$86,--('EE Measures'!$B$8:$B$86='Pathway Analysis'!$E183))+(SUMPRODUCT('EE Measures'!GR$8:GR$86,'EE Measures'!$IF$8:$IF$86,--('EE Measures'!$B$8:$B$86="Cross-sectoral"))*(I10/$H$9))+I177</f>
        <v>16.684774517827552</v>
      </c>
      <c r="J183" s="593" cm="1">
        <f t="array" ref="J183">SUMPRODUCT('EE Measures'!GS$8:GS$86,'EE Measures'!$IF$8:$IF$86,--('EE Measures'!$B$8:$B$86='Pathway Analysis'!$E183))+(SUMPRODUCT('EE Measures'!GS$8:GS$86,'EE Measures'!$IF$8:$IF$86,--('EE Measures'!$B$8:$B$86="Cross-sectoral"))*(J10/$H$9))+J177</f>
        <v>19.374300337631873</v>
      </c>
      <c r="K183" s="593" cm="1">
        <f t="array" ref="K183">SUMPRODUCT('EE Measures'!GT$8:GT$86,'EE Measures'!$IF$8:$IF$86,--('EE Measures'!$B$8:$B$86='Pathway Analysis'!$E183))+(SUMPRODUCT('EE Measures'!GT$8:GT$86,'EE Measures'!$IF$8:$IF$86,--('EE Measures'!$B$8:$B$86="Cross-sectoral"))*(K10/$H$9))+K177</f>
        <v>47.985920327115757</v>
      </c>
      <c r="L183" s="593" cm="1">
        <f t="array" ref="L183">SUMPRODUCT('EE Measures'!GU$8:GU$86,'EE Measures'!$IF$8:$IF$86,--('EE Measures'!$B$8:$B$86='Pathway Analysis'!$E183))+(SUMPRODUCT('EE Measures'!GU$8:GU$86,'EE Measures'!$IF$8:$IF$86,--('EE Measures'!$B$8:$B$86="Cross-sectoral"))*(L10/$H$9))+L177</f>
        <v>70.391063877568371</v>
      </c>
      <c r="M183" s="593" cm="1">
        <f t="array" ref="M183">SUMPRODUCT('EE Measures'!GV$8:GV$86,'EE Measures'!$IF$8:$IF$86,--('EE Measures'!$B$8:$B$86='Pathway Analysis'!$E183))+(SUMPRODUCT('EE Measures'!GV$8:GV$86,'EE Measures'!$IF$8:$IF$86,--('EE Measures'!$B$8:$B$86="Cross-sectoral"))*(M10/$H$9))+M177</f>
        <v>88.155812711185632</v>
      </c>
      <c r="N183" s="593" cm="1">
        <f t="array" ref="N183">SUMPRODUCT('EE Measures'!GW$8:GW$86,'EE Measures'!$IF$8:$IF$86,--('EE Measures'!$B$8:$B$86='Pathway Analysis'!$E183))+(SUMPRODUCT('EE Measures'!GW$8:GW$86,'EE Measures'!$IF$8:$IF$86,--('EE Measures'!$B$8:$B$86="Cross-sectoral"))*(N10/$H$9))+N177</f>
        <v>86.407384393721117</v>
      </c>
      <c r="O183" s="593" cm="1">
        <f t="array" ref="O183">SUMPRODUCT('EE Measures'!GX$8:GX$86,'EE Measures'!$IF$8:$IF$86,--('EE Measures'!$B$8:$B$86='Pathway Analysis'!$E183))+(SUMPRODUCT('EE Measures'!GX$8:GX$86,'EE Measures'!$IF$8:$IF$86,--('EE Measures'!$B$8:$B$86="Cross-sectoral"))*(O10/$H$9))+O177</f>
        <v>84.622785810679289</v>
      </c>
      <c r="P183" s="593" cm="1">
        <f t="array" ref="P183">SUMPRODUCT('EE Measures'!GY$8:GY$86,'EE Measures'!$IF$8:$IF$86,--('EE Measures'!$B$8:$B$86='Pathway Analysis'!$E183))+(SUMPRODUCT('EE Measures'!GY$8:GY$86,'EE Measures'!$IF$8:$IF$86,--('EE Measures'!$B$8:$B$86="Cross-sectoral"))*(P10/$H$9))+P177</f>
        <v>79.753554893566701</v>
      </c>
      <c r="Q183" s="593" cm="1">
        <f t="array" ref="Q183">SUMPRODUCT('EE Measures'!GZ$8:GZ$86,'EE Measures'!$IF$8:$IF$86,--('EE Measures'!$B$8:$B$86='Pathway Analysis'!$E183))+(SUMPRODUCT('EE Measures'!GZ$8:GZ$86,'EE Measures'!$IF$8:$IF$86,--('EE Measures'!$B$8:$B$86="Cross-sectoral"))*(Q10/$H$9))+Q177</f>
        <v>34.255567778555189</v>
      </c>
      <c r="R183" s="593" cm="1">
        <f t="array" ref="R183">SUMPRODUCT('EE Measures'!HA$8:HA$86,'EE Measures'!$IF$8:$IF$86,--('EE Measures'!$B$8:$B$86='Pathway Analysis'!$E183))+(SUMPRODUCT('EE Measures'!HA$8:HA$86,'EE Measures'!$IF$8:$IF$86,--('EE Measures'!$B$8:$B$86="Cross-sectoral"))*(R10/$H$9))+R177</f>
        <v>112.6771745109946</v>
      </c>
      <c r="S183" s="593" cm="1">
        <f t="array" ref="S183">SUMPRODUCT('EE Measures'!HB$8:HB$86,'EE Measures'!$IF$8:$IF$86,--('EE Measures'!$B$8:$B$86='Pathway Analysis'!$E183))+(SUMPRODUCT('EE Measures'!HB$8:HB$86,'EE Measures'!$IF$8:$IF$86,--('EE Measures'!$B$8:$B$86="Cross-sectoral"))*(S10/$H$9))+S177</f>
        <v>113.94449177013895</v>
      </c>
      <c r="T183" s="593" cm="1">
        <f t="array" ref="T183">SUMPRODUCT('EE Measures'!HC$8:HC$86,'EE Measures'!$IF$8:$IF$86,--('EE Measures'!$B$8:$B$86='Pathway Analysis'!$E183))+(SUMPRODUCT('EE Measures'!HC$8:HC$86,'EE Measures'!$IF$8:$IF$86,--('EE Measures'!$B$8:$B$86="Cross-sectoral"))*(T10/$H$9))+T177</f>
        <v>112.14080731270505</v>
      </c>
      <c r="U183" s="593" cm="1">
        <f t="array" ref="U183">SUMPRODUCT('EE Measures'!HD$8:HD$86,'EE Measures'!$IF$8:$IF$86,--('EE Measures'!$B$8:$B$86='Pathway Analysis'!$E183))+(SUMPRODUCT('EE Measures'!HD$8:HD$86,'EE Measures'!$IF$8:$IF$86,--('EE Measures'!$B$8:$B$86="Cross-sectoral"))*(U10/$H$9))+U177</f>
        <v>110.35109185569127</v>
      </c>
      <c r="W183" s="587" t="str">
        <f>W182</f>
        <v>Baseline</v>
      </c>
      <c r="Y183" s="554" t="s">
        <v>407</v>
      </c>
      <c r="Z183" s="645">
        <f>SUM(AA183:AJ183)</f>
        <v>0.68554936221490259</v>
      </c>
      <c r="AA183" s="998">
        <f>-SUMPRODUCT(AA$16:AA$20,Assumptions!$D$565:$D$569)</f>
        <v>1.9961948285486239E-2</v>
      </c>
      <c r="AB183" s="998">
        <f>-SUMPRODUCT(AB$16:AB$20,Assumptions!$D$565:$D$569)</f>
        <v>2.385635498655022E-2</v>
      </c>
      <c r="AC183" s="998">
        <f>-SUMPRODUCT(AC$16:AC$20,Assumptions!$D$565:$D$569)</f>
        <v>2.6529337904340748E-2</v>
      </c>
      <c r="AD183" s="998">
        <f>-SUMPRODUCT(AD$16:AD$20,Assumptions!$D$565:$D$569)</f>
        <v>5.8275545363222707E-2</v>
      </c>
      <c r="AE183" s="998">
        <f>-SUMPRODUCT(AE$16:AE$20,Assumptions!$D$565:$D$569)</f>
        <v>8.1021498835939482E-2</v>
      </c>
      <c r="AF183" s="998">
        <f>-SUMPRODUCT(AF$16:AF$20,Assumptions!$D$565:$D$569)</f>
        <v>8.8626489087634916E-2</v>
      </c>
      <c r="AG183" s="998">
        <f>-SUMPRODUCT(AG$16:AG$20,Assumptions!$D$565:$D$569)</f>
        <v>9.529759847297313E-2</v>
      </c>
      <c r="AH183" s="998">
        <f>-SUMPRODUCT(AH$16:AH$20,Assumptions!$D$565:$D$569)</f>
        <v>9.6304962094508603E-2</v>
      </c>
      <c r="AI183" s="998">
        <f>-SUMPRODUCT(AI$16:AI$20,Assumptions!$D$565:$D$569)</f>
        <v>9.7323207036475817E-2</v>
      </c>
      <c r="AJ183" s="998">
        <f>-SUMPRODUCT(AJ$16:AJ$20,Assumptions!$D$565:$D$569)</f>
        <v>9.8352420147770694E-2</v>
      </c>
      <c r="AK183" s="998">
        <f>-SUMPRODUCT(AK$16:AK$20,Assumptions!$D$565:$D$569)</f>
        <v>9.9392690711668938E-2</v>
      </c>
      <c r="AL183" s="998">
        <f>-SUMPRODUCT(AL$16:AL$20,Assumptions!$D$565:$D$569)</f>
        <v>0.10044411047631076</v>
      </c>
      <c r="AM183" s="998">
        <f>-SUMPRODUCT(AM$16:AM$20,Assumptions!$D$565:$D$569)</f>
        <v>0.10150677368390494</v>
      </c>
      <c r="AN183" s="998">
        <f>-SUMPRODUCT(AN$16:AN$20,Assumptions!$D$565:$D$569)</f>
        <v>0.10258077709876047</v>
      </c>
      <c r="AO183" s="998">
        <f>-SUMPRODUCT(AO$16:AO$20,Assumptions!$D$565:$D$569)</f>
        <v>0.10366622003425621</v>
      </c>
    </row>
    <row r="184" spans="3:41" hidden="1" outlineLevel="1" x14ac:dyDescent="0.3">
      <c r="C184" s="587" t="str">
        <f t="shared" ref="C184:C187" si="508">C183</f>
        <v>Baseline</v>
      </c>
      <c r="E184" s="563" t="s">
        <v>51</v>
      </c>
      <c r="F184" s="592">
        <f t="shared" ref="F184:F187" si="509">SUM(G184:P184)</f>
        <v>373.20263056070678</v>
      </c>
      <c r="G184" s="593" cm="1">
        <f t="array" ref="G184">SUMPRODUCT('EE Measures'!GP$8:GP$86,'EE Measures'!$IF$8:$IF$86,--('EE Measures'!$B$8:$B$86='Pathway Analysis'!$E184))+(SUMPRODUCT('EE Measures'!GP$8:GP$86,'EE Measures'!$IF$8:$IF$86,--('EE Measures'!$B$8:$B$86="Cross-sectoral"))*(G11/$H$9))+G178</f>
        <v>22.187423222498907</v>
      </c>
      <c r="H184" s="593" cm="1">
        <f t="array" ref="H184">SUMPRODUCT('EE Measures'!GQ$8:GQ$86,'EE Measures'!$IF$8:$IF$86,--('EE Measures'!$B$8:$B$86='Pathway Analysis'!$E184))+(SUMPRODUCT('EE Measures'!GQ$8:GQ$86,'EE Measures'!$IF$8:$IF$86,--('EE Measures'!$B$8:$B$86="Cross-sectoral"))*(H11/$H$9))+H178</f>
        <v>10.014481661804284</v>
      </c>
      <c r="I184" s="593" cm="1">
        <f t="array" ref="I184">SUMPRODUCT('EE Measures'!GR$8:GR$86,'EE Measures'!$IF$8:$IF$86,--('EE Measures'!$B$8:$B$86='Pathway Analysis'!$E184))+(SUMPRODUCT('EE Measures'!GR$8:GR$86,'EE Measures'!$IF$8:$IF$86,--('EE Measures'!$B$8:$B$86="Cross-sectoral"))*(I11/$H$9))+I178</f>
        <v>12.875224448526115</v>
      </c>
      <c r="J184" s="593" cm="1">
        <f t="array" ref="J184">SUMPRODUCT('EE Measures'!GS$8:GS$86,'EE Measures'!$IF$8:$IF$86,--('EE Measures'!$B$8:$B$86='Pathway Analysis'!$E184))+(SUMPRODUCT('EE Measures'!GS$8:GS$86,'EE Measures'!$IF$8:$IF$86,--('EE Measures'!$B$8:$B$86="Cross-sectoral"))*(J11/$H$9))+J178</f>
        <v>34.994369319061413</v>
      </c>
      <c r="K184" s="593" cm="1">
        <f t="array" ref="K184">SUMPRODUCT('EE Measures'!GT$8:GT$86,'EE Measures'!$IF$8:$IF$86,--('EE Measures'!$B$8:$B$86='Pathway Analysis'!$E184))+(SUMPRODUCT('EE Measures'!GT$8:GT$86,'EE Measures'!$IF$8:$IF$86,--('EE Measures'!$B$8:$B$86="Cross-sectoral"))*(K11/$H$9))+K178</f>
        <v>46.504445700094834</v>
      </c>
      <c r="L184" s="593" cm="1">
        <f t="array" ref="L184">SUMPRODUCT('EE Measures'!GU$8:GU$86,'EE Measures'!$IF$8:$IF$86,--('EE Measures'!$B$8:$B$86='Pathway Analysis'!$E184))+(SUMPRODUCT('EE Measures'!GU$8:GU$86,'EE Measures'!$IF$8:$IF$86,--('EE Measures'!$B$8:$B$86="Cross-sectoral"))*(L11/$H$9))+L178</f>
        <v>47.775849650633269</v>
      </c>
      <c r="M184" s="593" cm="1">
        <f t="array" ref="M184">SUMPRODUCT('EE Measures'!GV$8:GV$86,'EE Measures'!$IF$8:$IF$86,--('EE Measures'!$B$8:$B$86='Pathway Analysis'!$E184))+(SUMPRODUCT('EE Measures'!GV$8:GV$86,'EE Measures'!$IF$8:$IF$86,--('EE Measures'!$B$8:$B$86="Cross-sectoral"))*(M11/$H$9))+M178</f>
        <v>48.11419355633884</v>
      </c>
      <c r="N184" s="593" cm="1">
        <f t="array" ref="N184">SUMPRODUCT('EE Measures'!GW$8:GW$86,'EE Measures'!$IF$8:$IF$86,--('EE Measures'!$B$8:$B$86='Pathway Analysis'!$E184))+(SUMPRODUCT('EE Measures'!GW$8:GW$86,'EE Measures'!$IF$8:$IF$86,--('EE Measures'!$B$8:$B$86="Cross-sectoral"))*(N11/$H$9))+N178</f>
        <v>49.409568780610513</v>
      </c>
      <c r="O184" s="593" cm="1">
        <f t="array" ref="O184">SUMPRODUCT('EE Measures'!GX$8:GX$86,'EE Measures'!$IF$8:$IF$86,--('EE Measures'!$B$8:$B$86='Pathway Analysis'!$E184))+(SUMPRODUCT('EE Measures'!GX$8:GX$86,'EE Measures'!$IF$8:$IF$86,--('EE Measures'!$B$8:$B$86="Cross-sectoral"))*(O11/$H$9))+O178</f>
        <v>50.6399114573994</v>
      </c>
      <c r="P184" s="593" cm="1">
        <f t="array" ref="P184">SUMPRODUCT('EE Measures'!GY$8:GY$86,'EE Measures'!$IF$8:$IF$86,--('EE Measures'!$B$8:$B$86='Pathway Analysis'!$E184))+(SUMPRODUCT('EE Measures'!GY$8:GY$86,'EE Measures'!$IF$8:$IF$86,--('EE Measures'!$B$8:$B$86="Cross-sectoral"))*(P11/$H$9))+P178</f>
        <v>50.687162763739209</v>
      </c>
      <c r="Q184" s="593" cm="1">
        <f t="array" ref="Q184">SUMPRODUCT('EE Measures'!GZ$8:GZ$86,'EE Measures'!$IF$8:$IF$86,--('EE Measures'!$B$8:$B$86='Pathway Analysis'!$E184))+(SUMPRODUCT('EE Measures'!GZ$8:GZ$86,'EE Measures'!$IF$8:$IF$86,--('EE Measures'!$B$8:$B$86="Cross-sectoral"))*(Q11/$H$9))+Q178</f>
        <v>36.409229174204583</v>
      </c>
      <c r="R184" s="593" cm="1">
        <f t="array" ref="R184">SUMPRODUCT('EE Measures'!HA$8:HA$86,'EE Measures'!$IF$8:$IF$86,--('EE Measures'!$B$8:$B$86='Pathway Analysis'!$E184))+(SUMPRODUCT('EE Measures'!HA$8:HA$86,'EE Measures'!$IF$8:$IF$86,--('EE Measures'!$B$8:$B$86="Cross-sectoral"))*(R11/$H$9))+R178</f>
        <v>67.182359663409756</v>
      </c>
      <c r="S184" s="593" cm="1">
        <f t="array" ref="S184">SUMPRODUCT('EE Measures'!HB$8:HB$86,'EE Measures'!$IF$8:$IF$86,--('EE Measures'!$B$8:$B$86='Pathway Analysis'!$E184))+(SUMPRODUCT('EE Measures'!HB$8:HB$86,'EE Measures'!$IF$8:$IF$86,--('EE Measures'!$B$8:$B$86="Cross-sectoral"))*(S11/$H$9))+S178</f>
        <v>69.925680580900092</v>
      </c>
      <c r="T184" s="593" cm="1">
        <f t="array" ref="T184">SUMPRODUCT('EE Measures'!HC$8:HC$86,'EE Measures'!$IF$8:$IF$86,--('EE Measures'!$B$8:$B$86='Pathway Analysis'!$E184))+(SUMPRODUCT('EE Measures'!HC$8:HC$86,'EE Measures'!$IF$8:$IF$86,--('EE Measures'!$B$8:$B$86="Cross-sectoral"))*(T11/$H$9))+T178</f>
        <v>71.40140293512755</v>
      </c>
      <c r="U184" s="593" cm="1">
        <f t="array" ref="U184">SUMPRODUCT('EE Measures'!HD$8:HD$86,'EE Measures'!$IF$8:$IF$86,--('EE Measures'!$B$8:$B$86='Pathway Analysis'!$E184))+(SUMPRODUCT('EE Measures'!HD$8:HD$86,'EE Measures'!$IF$8:$IF$86,--('EE Measures'!$B$8:$B$86="Cross-sectoral"))*(U11/$H$9))+U178</f>
        <v>72.822499285530199</v>
      </c>
      <c r="W184" s="587" t="str">
        <f t="shared" ref="W184:W185" si="510">W183</f>
        <v>Baseline</v>
      </c>
      <c r="Y184" s="554" t="s">
        <v>408</v>
      </c>
      <c r="Z184" s="645">
        <f t="shared" ref="Z184:Z185" si="511">SUM(AA184:AJ184)</f>
        <v>0.72192297147606932</v>
      </c>
      <c r="AA184" s="997">
        <f>-SUMPRODUCT(AA$16:AA$20,Assumptions!$E$565:$E$569)</f>
        <v>2.6882871597076963E-2</v>
      </c>
      <c r="AB184" s="997">
        <f>-SUMPRODUCT(AB$16:AB$20,Assumptions!$E$565:$E$569)</f>
        <v>3.2655115904012544E-2</v>
      </c>
      <c r="AC184" s="997">
        <f>-SUMPRODUCT(AC$16:AC$20,Assumptions!$E$565:$E$569)</f>
        <v>3.7659052019158874E-2</v>
      </c>
      <c r="AD184" s="997">
        <f>-SUMPRODUCT(AD$16:AD$20,Assumptions!$E$565:$E$569)</f>
        <v>5.6999486570288957E-2</v>
      </c>
      <c r="AE184" s="997">
        <f>-SUMPRODUCT(AE$16:AE$20,Assumptions!$E$565:$E$569)</f>
        <v>7.5518546182405832E-2</v>
      </c>
      <c r="AF184" s="997">
        <f>-SUMPRODUCT(AF$16:AF$20,Assumptions!$E$565:$E$569)</f>
        <v>8.6116257953356007E-2</v>
      </c>
      <c r="AG184" s="997">
        <f>-SUMPRODUCT(AG$16:AG$20,Assumptions!$E$565:$E$569)</f>
        <v>9.5772119454024293E-2</v>
      </c>
      <c r="AH184" s="997">
        <f>-SUMPRODUCT(AH$16:AH$20,Assumptions!$E$565:$E$569)</f>
        <v>9.9585804160847627E-2</v>
      </c>
      <c r="AI184" s="997">
        <f>-SUMPRODUCT(AI$16:AI$20,Assumptions!$E$565:$E$569)</f>
        <v>0.10342973581233567</v>
      </c>
      <c r="AJ184" s="997">
        <f>-SUMPRODUCT(AJ$16:AJ$20,Assumptions!$E$565:$E$569)</f>
        <v>0.10730398182256248</v>
      </c>
      <c r="AK184" s="997">
        <f>-SUMPRODUCT(AK$16:AK$20,Assumptions!$E$565:$E$569)</f>
        <v>0.11120861765878895</v>
      </c>
      <c r="AL184" s="997">
        <f>-SUMPRODUCT(AL$16:AL$20,Assumptions!$E$565:$E$569)</f>
        <v>0.11514372699293843</v>
      </c>
      <c r="AM184" s="997">
        <f>-SUMPRODUCT(AM$16:AM$20,Assumptions!$E$565:$E$569)</f>
        <v>0.11910940184620417</v>
      </c>
      <c r="AN184" s="997">
        <f>-SUMPRODUCT(AN$16:AN$20,Assumptions!$E$565:$E$569)</f>
        <v>0.12310574272707725</v>
      </c>
      <c r="AO184" s="997">
        <f>-SUMPRODUCT(AO$16:AO$20,Assumptions!$E$565:$E$569)</f>
        <v>0.12713285876309466</v>
      </c>
    </row>
    <row r="185" spans="3:41" hidden="1" outlineLevel="1" x14ac:dyDescent="0.3">
      <c r="C185" s="587" t="str">
        <f t="shared" si="508"/>
        <v>Baseline</v>
      </c>
      <c r="E185" s="563" t="s">
        <v>52</v>
      </c>
      <c r="F185" s="592">
        <f t="shared" si="509"/>
        <v>128.78676665079647</v>
      </c>
      <c r="G185" s="593" cm="1">
        <f t="array" ref="G185">SUMPRODUCT('EE Measures'!GP$8:GP$86,'EE Measures'!$IF$8:$IF$86,--('EE Measures'!$B$8:$B$86='Pathway Analysis'!$E185))+(SUMPRODUCT('EE Measures'!GP$8:GP$86,'EE Measures'!$IF$8:$IF$86,--('EE Measures'!$B$8:$B$86="Cross-sectoral"))*(G12/$H$9))+G179</f>
        <v>9.7711008458184168</v>
      </c>
      <c r="H185" s="593" cm="1">
        <f t="array" ref="H185">SUMPRODUCT('EE Measures'!GQ$8:GQ$86,'EE Measures'!$IF$8:$IF$86,--('EE Measures'!$B$8:$B$86='Pathway Analysis'!$E185))+(SUMPRODUCT('EE Measures'!GQ$8:GQ$86,'EE Measures'!$IF$8:$IF$86,--('EE Measures'!$B$8:$B$86="Cross-sectoral"))*(H12/$H$9))+H179</f>
        <v>-1.740784433651628</v>
      </c>
      <c r="I185" s="593" cm="1">
        <f t="array" ref="I185">SUMPRODUCT('EE Measures'!GR$8:GR$86,'EE Measures'!$IF$8:$IF$86,--('EE Measures'!$B$8:$B$86='Pathway Analysis'!$E185))+(SUMPRODUCT('EE Measures'!GR$8:GR$86,'EE Measures'!$IF$8:$IF$86,--('EE Measures'!$B$8:$B$86="Cross-sectoral"))*(I12/$H$9))+I179</f>
        <v>-0.57736654227458928</v>
      </c>
      <c r="J185" s="593" cm="1">
        <f t="array" ref="J185">SUMPRODUCT('EE Measures'!GS$8:GS$86,'EE Measures'!$IF$8:$IF$86,--('EE Measures'!$B$8:$B$86='Pathway Analysis'!$E185))+(SUMPRODUCT('EE Measures'!GS$8:GS$86,'EE Measures'!$IF$8:$IF$86,--('EE Measures'!$B$8:$B$86="Cross-sectoral"))*(J12/$H$9))+J179</f>
        <v>10.848091925823578</v>
      </c>
      <c r="K185" s="593" cm="1">
        <f t="array" ref="K185">SUMPRODUCT('EE Measures'!GT$8:GT$86,'EE Measures'!$IF$8:$IF$86,--('EE Measures'!$B$8:$B$86='Pathway Analysis'!$E185))+(SUMPRODUCT('EE Measures'!GT$8:GT$86,'EE Measures'!$IF$8:$IF$86,--('EE Measures'!$B$8:$B$86="Cross-sectoral"))*(K12/$H$9))+K179</f>
        <v>16.81935320469103</v>
      </c>
      <c r="L185" s="593" cm="1">
        <f t="array" ref="L185">SUMPRODUCT('EE Measures'!GU$8:GU$86,'EE Measures'!$IF$8:$IF$86,--('EE Measures'!$B$8:$B$86='Pathway Analysis'!$E185))+(SUMPRODUCT('EE Measures'!GU$8:GU$86,'EE Measures'!$IF$8:$IF$86,--('EE Measures'!$B$8:$B$86="Cross-sectoral"))*(L12/$H$9))+L179</f>
        <v>17.526963799333007</v>
      </c>
      <c r="M185" s="593" cm="1">
        <f t="array" ref="M185">SUMPRODUCT('EE Measures'!GV$8:GV$86,'EE Measures'!$IF$8:$IF$86,--('EE Measures'!$B$8:$B$86='Pathway Analysis'!$E185))+(SUMPRODUCT('EE Measures'!GV$8:GV$86,'EE Measures'!$IF$8:$IF$86,--('EE Measures'!$B$8:$B$86="Cross-sectoral"))*(M12/$H$9))+M179</f>
        <v>18.054594520962901</v>
      </c>
      <c r="N185" s="593" cm="1">
        <f t="array" ref="N185">SUMPRODUCT('EE Measures'!GW$8:GW$86,'EE Measures'!$IF$8:$IF$86,--('EE Measures'!$B$8:$B$86='Pathway Analysis'!$E185))+(SUMPRODUCT('EE Measures'!GW$8:GW$86,'EE Measures'!$IF$8:$IF$86,--('EE Measures'!$B$8:$B$86="Cross-sectoral"))*(N12/$H$9))+N179</f>
        <v>18.770408315501911</v>
      </c>
      <c r="O185" s="593" cm="1">
        <f t="array" ref="O185">SUMPRODUCT('EE Measures'!GX$8:GX$86,'EE Measures'!$IF$8:$IF$86,--('EE Measures'!$B$8:$B$86='Pathway Analysis'!$E185))+(SUMPRODUCT('EE Measures'!GX$8:GX$86,'EE Measures'!$IF$8:$IF$86,--('EE Measures'!$B$8:$B$86="Cross-sectoral"))*(O12/$H$9))+O179</f>
        <v>19.473149949384663</v>
      </c>
      <c r="P185" s="593" cm="1">
        <f t="array" ref="P185">SUMPRODUCT('EE Measures'!GY$8:GY$86,'EE Measures'!$IF$8:$IF$86,--('EE Measures'!$B$8:$B$86='Pathway Analysis'!$E185))+(SUMPRODUCT('EE Measures'!GY$8:GY$86,'EE Measures'!$IF$8:$IF$86,--('EE Measures'!$B$8:$B$86="Cross-sectoral"))*(P12/$H$9))+P179</f>
        <v>19.8412550652072</v>
      </c>
      <c r="Q185" s="593" cm="1">
        <f t="array" ref="Q185">SUMPRODUCT('EE Measures'!GZ$8:GZ$86,'EE Measures'!$IF$8:$IF$86,--('EE Measures'!$B$8:$B$86='Pathway Analysis'!$E185))+(SUMPRODUCT('EE Measures'!GZ$8:GZ$86,'EE Measures'!$IF$8:$IF$86,--('EE Measures'!$B$8:$B$86="Cross-sectoral"))*(Q12/$H$9))+Q179</f>
        <v>15.683017406655367</v>
      </c>
      <c r="R185" s="593" cm="1">
        <f t="array" ref="R185">SUMPRODUCT('EE Measures'!HA$8:HA$86,'EE Measures'!$IF$8:$IF$86,--('EE Measures'!$B$8:$B$86='Pathway Analysis'!$E185))+(SUMPRODUCT('EE Measures'!HA$8:HA$86,'EE Measures'!$IF$8:$IF$86,--('EE Measures'!$B$8:$B$86="Cross-sectoral"))*(R12/$H$9))+R179</f>
        <v>25.295544061171867</v>
      </c>
      <c r="S185" s="593" cm="1">
        <f t="array" ref="S185">SUMPRODUCT('EE Measures'!HB$8:HB$86,'EE Measures'!$IF$8:$IF$86,--('EE Measures'!$B$8:$B$86='Pathway Analysis'!$E185))+(SUMPRODUCT('EE Measures'!HB$8:HB$86,'EE Measures'!$IF$8:$IF$86,--('EE Measures'!$B$8:$B$86="Cross-sectoral"))*(S12/$H$9))+S179</f>
        <v>26.470068884939412</v>
      </c>
      <c r="T185" s="593" cm="1">
        <f t="array" ref="T185">SUMPRODUCT('EE Measures'!HC$8:HC$86,'EE Measures'!$IF$8:$IF$86,--('EE Measures'!$B$8:$B$86='Pathway Analysis'!$E185))+(SUMPRODUCT('EE Measures'!HC$8:HC$86,'EE Measures'!$IF$8:$IF$86,--('EE Measures'!$B$8:$B$86="Cross-sectoral"))*(T12/$H$9))+T179</f>
        <v>27.286928057306341</v>
      </c>
      <c r="U185" s="593" cm="1">
        <f t="array" ref="U185">SUMPRODUCT('EE Measures'!HD$8:HD$86,'EE Measures'!$IF$8:$IF$86,--('EE Measures'!$B$8:$B$86='Pathway Analysis'!$E185))+(SUMPRODUCT('EE Measures'!HD$8:HD$86,'EE Measures'!$IF$8:$IF$86,--('EE Measures'!$B$8:$B$86="Cross-sectoral"))*(U12/$H$9))+U179</f>
        <v>28.099554231506286</v>
      </c>
      <c r="W185" s="587" t="str">
        <f t="shared" si="510"/>
        <v>Baseline</v>
      </c>
      <c r="Y185" s="554" t="s">
        <v>409</v>
      </c>
      <c r="Z185" s="645">
        <f t="shared" si="511"/>
        <v>0.63854076473075672</v>
      </c>
      <c r="AA185" s="998">
        <f>-SUMPRODUCT(AA$16:AA$20,Assumptions!$F$565:$F$569)</f>
        <v>2.1480482541111554E-2</v>
      </c>
      <c r="AB185" s="998">
        <f>-SUMPRODUCT(AB$16:AB$20,Assumptions!$F$565:$F$569)</f>
        <v>2.7755237239546659E-2</v>
      </c>
      <c r="AC185" s="998">
        <f>-SUMPRODUCT(AC$16:AC$20,Assumptions!$F$565:$F$569)</f>
        <v>3.3407743274153912E-2</v>
      </c>
      <c r="AD185" s="998">
        <f>-SUMPRODUCT(AD$16:AD$20,Assumptions!$F$565:$F$569)</f>
        <v>5.3266194181210424E-2</v>
      </c>
      <c r="AE185" s="998">
        <f>-SUMPRODUCT(AE$16:AE$20,Assumptions!$F$565:$F$569)</f>
        <v>6.8683385418312065E-2</v>
      </c>
      <c r="AF185" s="998">
        <f>-SUMPRODUCT(AF$16:AF$20,Assumptions!$F$565:$F$569)</f>
        <v>7.6096655230322233E-2</v>
      </c>
      <c r="AG185" s="998">
        <f>-SUMPRODUCT(AG$16:AG$20,Assumptions!$F$565:$F$569)</f>
        <v>8.3084727353454138E-2</v>
      </c>
      <c r="AH185" s="998">
        <f>-SUMPRODUCT(AH$16:AH$20,Assumptions!$F$565:$F$569)</f>
        <v>8.7315487797261948E-2</v>
      </c>
      <c r="AI185" s="998">
        <f>-SUMPRODUCT(AI$16:AI$20,Assumptions!$F$565:$F$569)</f>
        <v>9.1578138088579161E-2</v>
      </c>
      <c r="AJ185" s="998">
        <f>-SUMPRODUCT(AJ$16:AJ$20,Assumptions!$F$565:$F$569)</f>
        <v>9.5872713606804591E-2</v>
      </c>
      <c r="AK185" s="998">
        <f>-SUMPRODUCT(AK$16:AK$20,Assumptions!$F$565:$F$569)</f>
        <v>0.10019925850002658</v>
      </c>
      <c r="AL185" s="998">
        <f>-SUMPRODUCT(AL$16:AL$20,Assumptions!$F$565:$F$569)</f>
        <v>0.10455782585884041</v>
      </c>
      <c r="AM185" s="998">
        <f>-SUMPRODUCT(AM$16:AM$20,Assumptions!$F$565:$F$569)</f>
        <v>0.10894847788224168</v>
      </c>
      <c r="AN185" s="998">
        <f>-SUMPRODUCT(AN$16:AN$20,Assumptions!$F$565:$F$569)</f>
        <v>0.11337128603589749</v>
      </c>
      <c r="AO185" s="998">
        <f>-SUMPRODUCT(AO$16:AO$20,Assumptions!$F$565:$F$569)</f>
        <v>0.11782633120310879</v>
      </c>
    </row>
    <row r="186" spans="3:41" hidden="1" outlineLevel="1" x14ac:dyDescent="0.3">
      <c r="C186" s="587" t="str">
        <f t="shared" si="508"/>
        <v>Baseline</v>
      </c>
      <c r="E186" s="563" t="s">
        <v>53</v>
      </c>
      <c r="F186" s="592">
        <f t="shared" si="509"/>
        <v>55.501018356972111</v>
      </c>
      <c r="G186" s="593" cm="1">
        <f t="array" ref="G186">SUMPRODUCT('EE Measures'!GP$8:GP$86,'EE Measures'!$IF$8:$IF$86,--('EE Measures'!$B$8:$B$86='Pathway Analysis'!$E186))+(SUMPRODUCT('EE Measures'!GP$8:GP$86,'EE Measures'!$IF$8:$IF$86,--('EE Measures'!$B$8:$B$86="Cross-sectoral"))*(G13/$H$9))+G180</f>
        <v>-132.76931638614047</v>
      </c>
      <c r="H186" s="593" cm="1">
        <f t="array" ref="H186">SUMPRODUCT('EE Measures'!GQ$8:GQ$86,'EE Measures'!$IF$8:$IF$86,--('EE Measures'!$B$8:$B$86='Pathway Analysis'!$E186))+(SUMPRODUCT('EE Measures'!GQ$8:GQ$86,'EE Measures'!$IF$8:$IF$86,--('EE Measures'!$B$8:$B$86="Cross-sectoral"))*(H13/$H$9))+H180</f>
        <v>-7.4935656656171581</v>
      </c>
      <c r="I186" s="593" cm="1">
        <f t="array" ref="I186">SUMPRODUCT('EE Measures'!GR$8:GR$86,'EE Measures'!$IF$8:$IF$86,--('EE Measures'!$B$8:$B$86='Pathway Analysis'!$E186))+(SUMPRODUCT('EE Measures'!GR$8:GR$86,'EE Measures'!$IF$8:$IF$86,--('EE Measures'!$B$8:$B$86="Cross-sectoral"))*(I13/$H$9))+I180</f>
        <v>-4.2799064946272907</v>
      </c>
      <c r="J186" s="593" cm="1">
        <f t="array" ref="J186">SUMPRODUCT('EE Measures'!GS$8:GS$86,'EE Measures'!$IF$8:$IF$86,--('EE Measures'!$B$8:$B$86='Pathway Analysis'!$E186))+(SUMPRODUCT('EE Measures'!GS$8:GS$86,'EE Measures'!$IF$8:$IF$86,--('EE Measures'!$B$8:$B$86="Cross-sectoral"))*(J13/$H$9))+J180</f>
        <v>16.698868932945128</v>
      </c>
      <c r="K186" s="593" cm="1">
        <f t="array" ref="K186">SUMPRODUCT('EE Measures'!GT$8:GT$86,'EE Measures'!$IF$8:$IF$86,--('EE Measures'!$B$8:$B$86='Pathway Analysis'!$E186))+(SUMPRODUCT('EE Measures'!GT$8:GT$86,'EE Measures'!$IF$8:$IF$86,--('EE Measures'!$B$8:$B$86="Cross-sectoral"))*(K13/$H$9))+K180</f>
        <v>27.646602020195939</v>
      </c>
      <c r="L186" s="593" cm="1">
        <f t="array" ref="L186">SUMPRODUCT('EE Measures'!GU$8:GU$86,'EE Measures'!$IF$8:$IF$86,--('EE Measures'!$B$8:$B$86='Pathway Analysis'!$E186))+(SUMPRODUCT('EE Measures'!GU$8:GU$86,'EE Measures'!$IF$8:$IF$86,--('EE Measures'!$B$8:$B$86="Cross-sectoral"))*(L13/$H$9))+L180</f>
        <v>28.959785983418122</v>
      </c>
      <c r="M186" s="593" cm="1">
        <f t="array" ref="M186">SUMPRODUCT('EE Measures'!GV$8:GV$86,'EE Measures'!$IF$8:$IF$86,--('EE Measures'!$B$8:$B$86='Pathway Analysis'!$E186))+(SUMPRODUCT('EE Measures'!GV$8:GV$86,'EE Measures'!$IF$8:$IF$86,--('EE Measures'!$B$8:$B$86="Cross-sectoral"))*(M13/$H$9))+M180</f>
        <v>30.227940397568133</v>
      </c>
      <c r="N186" s="593" cm="1">
        <f t="array" ref="N186">SUMPRODUCT('EE Measures'!GW$8:GW$86,'EE Measures'!$IF$8:$IF$86,--('EE Measures'!$B$8:$B$86='Pathway Analysis'!$E186))+(SUMPRODUCT('EE Measures'!GW$8:GW$86,'EE Measures'!$IF$8:$IF$86,--('EE Measures'!$B$8:$B$86="Cross-sectoral"))*(N13/$H$9))+N180</f>
        <v>31.450134440731585</v>
      </c>
      <c r="O186" s="593" cm="1">
        <f t="array" ref="O186">SUMPRODUCT('EE Measures'!GX$8:GX$86,'EE Measures'!$IF$8:$IF$86,--('EE Measures'!$B$8:$B$86='Pathway Analysis'!$E186))+(SUMPRODUCT('EE Measures'!GX$8:GX$86,'EE Measures'!$IF$8:$IF$86,--('EE Measures'!$B$8:$B$86="Cross-sectoral"))*(O13/$H$9))+O180</f>
        <v>32.620657133313628</v>
      </c>
      <c r="P186" s="593" cm="1">
        <f t="array" ref="P186">SUMPRODUCT('EE Measures'!GY$8:GY$86,'EE Measures'!$IF$8:$IF$86,--('EE Measures'!$B$8:$B$86='Pathway Analysis'!$E186))+(SUMPRODUCT('EE Measures'!GY$8:GY$86,'EE Measures'!$IF$8:$IF$86,--('EE Measures'!$B$8:$B$86="Cross-sectoral"))*(P13/$H$9))+P180</f>
        <v>32.43981799518447</v>
      </c>
      <c r="Q186" s="593" cm="1">
        <f t="array" ref="Q186">SUMPRODUCT('EE Measures'!GZ$8:GZ$86,'EE Measures'!$IF$8:$IF$86,--('EE Measures'!$B$8:$B$86='Pathway Analysis'!$E186))+(SUMPRODUCT('EE Measures'!GZ$8:GZ$86,'EE Measures'!$IF$8:$IF$86,--('EE Measures'!$B$8:$B$86="Cross-sectoral"))*(Q13/$H$9))+Q180</f>
        <v>14.180199062511083</v>
      </c>
      <c r="R186" s="593" cm="1">
        <f t="array" ref="R186">SUMPRODUCT('EE Measures'!HA$8:HA$86,'EE Measures'!$IF$8:$IF$86,--('EE Measures'!$B$8:$B$86='Pathway Analysis'!$E186))+(SUMPRODUCT('EE Measures'!HA$8:HA$86,'EE Measures'!$IF$8:$IF$86,--('EE Measures'!$B$8:$B$86="Cross-sectoral"))*(R13/$H$9))+R180</f>
        <v>51.362955993297696</v>
      </c>
      <c r="S186" s="593" cm="1">
        <f t="array" ref="S186">SUMPRODUCT('EE Measures'!HB$8:HB$86,'EE Measures'!$IF$8:$IF$86,--('EE Measures'!$B$8:$B$86='Pathway Analysis'!$E186))+(SUMPRODUCT('EE Measures'!HB$8:HB$86,'EE Measures'!$IF$8:$IF$86,--('EE Measures'!$B$8:$B$86="Cross-sectoral"))*(S13/$H$9))+S180</f>
        <v>54.472503008860159</v>
      </c>
      <c r="T186" s="593" cm="1">
        <f t="array" ref="T186">SUMPRODUCT('EE Measures'!HC$8:HC$86,'EE Measures'!$IF$8:$IF$86,--('EE Measures'!$B$8:$B$86='Pathway Analysis'!$E186))+(SUMPRODUCT('EE Measures'!HC$8:HC$86,'EE Measures'!$IF$8:$IF$86,--('EE Measures'!$B$8:$B$86="Cross-sectoral"))*(T13/$H$9))+T180</f>
        <v>56.103177406697711</v>
      </c>
      <c r="U186" s="593" cm="1">
        <f t="array" ref="U186">SUMPRODUCT('EE Measures'!HD$8:HD$86,'EE Measures'!$IF$8:$IF$86,--('EE Measures'!$B$8:$B$86='Pathway Analysis'!$E186))+(SUMPRODUCT('EE Measures'!HD$8:HD$86,'EE Measures'!$IF$8:$IF$86,--('EE Measures'!$B$8:$B$86="Cross-sectoral"))*(U13/$H$9))+U180</f>
        <v>57.674971570408495</v>
      </c>
      <c r="W186" s="587" t="str">
        <f>Y186</f>
        <v>EEO</v>
      </c>
      <c r="Y186" s="1226" t="str">
        <f>'EE Measures'!$IG$6</f>
        <v>EEO</v>
      </c>
      <c r="Z186" s="1225"/>
      <c r="AA186" s="1225"/>
      <c r="AB186" s="1225"/>
      <c r="AC186" s="1225"/>
      <c r="AD186" s="1225"/>
      <c r="AE186" s="1225"/>
      <c r="AF186" s="1225"/>
      <c r="AG186" s="1225"/>
      <c r="AH186" s="1225"/>
      <c r="AI186" s="1225"/>
      <c r="AJ186" s="1225"/>
      <c r="AK186" s="1225"/>
      <c r="AL186" s="1225"/>
      <c r="AM186" s="1225"/>
      <c r="AN186" s="1225"/>
      <c r="AO186" s="1225"/>
    </row>
    <row r="187" spans="3:41" hidden="1" outlineLevel="1" x14ac:dyDescent="0.3">
      <c r="C187" s="587" t="str">
        <f t="shared" si="508"/>
        <v>Baseline</v>
      </c>
      <c r="E187" s="563" t="s">
        <v>54</v>
      </c>
      <c r="F187" s="592">
        <f t="shared" si="509"/>
        <v>138.43363736739965</v>
      </c>
      <c r="G187" s="593" cm="1">
        <f t="array" ref="G187">SUMPRODUCT('EE Measures'!GP$8:GP$86,'EE Measures'!$IF$8:$IF$86,--('EE Measures'!$B$8:$B$86='Pathway Analysis'!$E187))+(SUMPRODUCT('EE Measures'!GP$8:GP$86,'EE Measures'!$IF$8:$IF$86,--('EE Measures'!$B$8:$B$86="Cross-sectoral"))*(G14/$H$9))+G181</f>
        <v>101.05380047343741</v>
      </c>
      <c r="H187" s="593" cm="1">
        <f t="array" ref="H187">SUMPRODUCT('EE Measures'!GQ$8:GQ$86,'EE Measures'!$IF$8:$IF$86,--('EE Measures'!$B$8:$B$86='Pathway Analysis'!$E187))+(SUMPRODUCT('EE Measures'!GQ$8:GQ$86,'EE Measures'!$IF$8:$IF$86,--('EE Measures'!$B$8:$B$86="Cross-sectoral"))*(H14/$H$9))+H181</f>
        <v>1.5181007238715616</v>
      </c>
      <c r="I187" s="593" cm="1">
        <f t="array" ref="I187">SUMPRODUCT('EE Measures'!GR$8:GR$86,'EE Measures'!$IF$8:$IF$86,--('EE Measures'!$B$8:$B$86='Pathway Analysis'!$E187))+(SUMPRODUCT('EE Measures'!GR$8:GR$86,'EE Measures'!$IF$8:$IF$86,--('EE Measures'!$B$8:$B$86="Cross-sectoral"))*(I14/$H$9))+I181</f>
        <v>1.701448064826754</v>
      </c>
      <c r="J187" s="593" cm="1">
        <f t="array" ref="J187">SUMPRODUCT('EE Measures'!GS$8:GS$86,'EE Measures'!$IF$8:$IF$86,--('EE Measures'!$B$8:$B$86='Pathway Analysis'!$E187))+(SUMPRODUCT('EE Measures'!GS$8:GS$86,'EE Measures'!$IF$8:$IF$86,--('EE Measures'!$B$8:$B$86="Cross-sectoral"))*(J14/$H$9))+J181</f>
        <v>3.7703932798922004</v>
      </c>
      <c r="K187" s="593" cm="1">
        <f t="array" ref="K187">SUMPRODUCT('EE Measures'!GT$8:GT$86,'EE Measures'!$IF$8:$IF$86,--('EE Measures'!$B$8:$B$86='Pathway Analysis'!$E187))+(SUMPRODUCT('EE Measures'!GT$8:GT$86,'EE Measures'!$IF$8:$IF$86,--('EE Measures'!$B$8:$B$86="Cross-sectoral"))*(K14/$H$9))+K181</f>
        <v>4.8384863631645452</v>
      </c>
      <c r="L187" s="593" cm="1">
        <f t="array" ref="L187">SUMPRODUCT('EE Measures'!GU$8:GU$86,'EE Measures'!$IF$8:$IF$86,--('EE Measures'!$B$8:$B$86='Pathway Analysis'!$E187))+(SUMPRODUCT('EE Measures'!GU$8:GU$86,'EE Measures'!$IF$8:$IF$86,--('EE Measures'!$B$8:$B$86="Cross-sectoral"))*(L14/$H$9))+L181</f>
        <v>4.948989735167304</v>
      </c>
      <c r="M187" s="593" cm="1">
        <f t="array" ref="M187">SUMPRODUCT('EE Measures'!GV$8:GV$86,'EE Measures'!$IF$8:$IF$86,--('EE Measures'!$B$8:$B$86='Pathway Analysis'!$E187))+(SUMPRODUCT('EE Measures'!GV$8:GV$86,'EE Measures'!$IF$8:$IF$86,--('EE Measures'!$B$8:$B$86="Cross-sectoral"))*(M14/$H$9))+M181</f>
        <v>5.0509317176166206</v>
      </c>
      <c r="N187" s="593" cm="1">
        <f t="array" ref="N187">SUMPRODUCT('EE Measures'!GW$8:GW$86,'EE Measures'!$IF$8:$IF$86,--('EE Measures'!$B$8:$B$86='Pathway Analysis'!$E187))+(SUMPRODUCT('EE Measures'!GW$8:GW$86,'EE Measures'!$IF$8:$IF$86,--('EE Measures'!$B$8:$B$86="Cross-sectoral"))*(N14/$H$9))+N181</f>
        <v>5.144543274362892</v>
      </c>
      <c r="O187" s="593" cm="1">
        <f t="array" ref="O187">SUMPRODUCT('EE Measures'!GX$8:GX$86,'EE Measures'!$IF$8:$IF$86,--('EE Measures'!$B$8:$B$86='Pathway Analysis'!$E187))+(SUMPRODUCT('EE Measures'!GX$8:GX$86,'EE Measures'!$IF$8:$IF$86,--('EE Measures'!$B$8:$B$86="Cross-sectoral"))*(O14/$H$9))+O181</f>
        <v>5.2296022391748043</v>
      </c>
      <c r="P187" s="593" cm="1">
        <f t="array" ref="P187">SUMPRODUCT('EE Measures'!GY$8:GY$86,'EE Measures'!$IF$8:$IF$86,--('EE Measures'!$B$8:$B$86='Pathway Analysis'!$E187))+(SUMPRODUCT('EE Measures'!GY$8:GY$86,'EE Measures'!$IF$8:$IF$86,--('EE Measures'!$B$8:$B$86="Cross-sectoral"))*(P14/$H$9))+P181</f>
        <v>5.1773414958855657</v>
      </c>
      <c r="Q187" s="593" cm="1">
        <f t="array" ref="Q187">SUMPRODUCT('EE Measures'!GZ$8:GZ$86,'EE Measures'!$IF$8:$IF$86,--('EE Measures'!$B$8:$B$86='Pathway Analysis'!$E187))+(SUMPRODUCT('EE Measures'!GZ$8:GZ$86,'EE Measures'!$IF$8:$IF$86,--('EE Measures'!$B$8:$B$86="Cross-sectoral"))*(Q14/$H$9))+Q181</f>
        <v>3.3476656555851592</v>
      </c>
      <c r="R187" s="593" cm="1">
        <f t="array" ref="R187">SUMPRODUCT('EE Measures'!HA$8:HA$86,'EE Measures'!$IF$8:$IF$86,--('EE Measures'!$B$8:$B$86='Pathway Analysis'!$E187))+(SUMPRODUCT('EE Measures'!HA$8:HA$86,'EE Measures'!$IF$8:$IF$86,--('EE Measures'!$B$8:$B$86="Cross-sectoral"))*(R14/$H$9))+R181</f>
        <v>6.9388674346393904</v>
      </c>
      <c r="S187" s="593" cm="1">
        <f t="array" ref="S187">SUMPRODUCT('EE Measures'!HB$8:HB$86,'EE Measures'!$IF$8:$IF$86,--('EE Measures'!$B$8:$B$86='Pathway Analysis'!$E187))+(SUMPRODUCT('EE Measures'!HB$8:HB$86,'EE Measures'!$IF$8:$IF$86,--('EE Measures'!$B$8:$B$86="Cross-sectoral"))*(S14/$H$9))+S181</f>
        <v>7.1799005946402064</v>
      </c>
      <c r="T187" s="593" cm="1">
        <f t="array" ref="T187">SUMPRODUCT('EE Measures'!HC$8:HC$86,'EE Measures'!$IF$8:$IF$86,--('EE Measures'!$B$8:$B$86='Pathway Analysis'!$E187))+(SUMPRODUCT('EE Measures'!HC$8:HC$86,'EE Measures'!$IF$8:$IF$86,--('EE Measures'!$B$8:$B$86="Cross-sectoral"))*(T14/$H$9))+T181</f>
        <v>7.2752685499351113</v>
      </c>
      <c r="U187" s="593" cm="1">
        <f t="array" ref="U187">SUMPRODUCT('EE Measures'!HD$8:HD$86,'EE Measures'!$IF$8:$IF$86,--('EE Measures'!$B$8:$B$86='Pathway Analysis'!$E187))+(SUMPRODUCT('EE Measures'!HD$8:HD$86,'EE Measures'!$IF$8:$IF$86,--('EE Measures'!$B$8:$B$86="Cross-sectoral"))*(U14/$H$9))+U181</f>
        <v>7.3629061887729197</v>
      </c>
      <c r="W187" s="587" t="str">
        <f>W186</f>
        <v>EEO</v>
      </c>
      <c r="Y187" s="554" t="s">
        <v>407</v>
      </c>
      <c r="Z187" s="645">
        <f>SUM(AA187:AJ187)</f>
        <v>1.5667560863140937</v>
      </c>
      <c r="AA187" s="998">
        <f>-SUMPRODUCT(AA$22:AA$26,Assumptions!$D$565:$D$569)</f>
        <v>2.4815119847171063E-2</v>
      </c>
      <c r="AB187" s="998">
        <f>-SUMPRODUCT(AB$22:AB$26,Assumptions!$D$565:$D$569)</f>
        <v>3.0107957820911004E-2</v>
      </c>
      <c r="AC187" s="998">
        <f>-SUMPRODUCT(AC$22:AC$26,Assumptions!$D$565:$D$569)</f>
        <v>3.4207482606761215E-2</v>
      </c>
      <c r="AD187" s="998">
        <f>-SUMPRODUCT(AD$22:AD$26,Assumptions!$D$565:$D$569)</f>
        <v>7.1792109698608261E-2</v>
      </c>
      <c r="AE187" s="998">
        <f>-SUMPRODUCT(AE$22:AE$26,Assumptions!$D$565:$D$569)</f>
        <v>0.13403872111653681</v>
      </c>
      <c r="AF187" s="998">
        <f>-SUMPRODUCT(AF$22:AF$26,Assumptions!$D$565:$D$569)</f>
        <v>0.16814529613928791</v>
      </c>
      <c r="AG187" s="998">
        <f>-SUMPRODUCT(AG$22:AG$26,Assumptions!$D$565:$D$569)</f>
        <v>0.23627358601801474</v>
      </c>
      <c r="AH187" s="998">
        <f>-SUMPRODUCT(AH$22:AH$26,Assumptions!$D$565:$D$569)</f>
        <v>0.26272279036022639</v>
      </c>
      <c r="AI187" s="998">
        <f>-SUMPRODUCT(AI$22:AI$26,Assumptions!$D$565:$D$569)</f>
        <v>0.28919925194878277</v>
      </c>
      <c r="AJ187" s="998">
        <f>-SUMPRODUCT(AJ$22:AJ$26,Assumptions!$D$565:$D$569)</f>
        <v>0.31545377075779357</v>
      </c>
      <c r="AK187" s="998">
        <f>-SUMPRODUCT(AK$22:AK$26,Assumptions!$D$565:$D$569)</f>
        <v>0.33540895928076692</v>
      </c>
      <c r="AL187" s="998">
        <f>-SUMPRODUCT(AL$22:AL$26,Assumptions!$D$565:$D$569)</f>
        <v>0.35535826081441352</v>
      </c>
      <c r="AM187" s="998">
        <f>-SUMPRODUCT(AM$22:AM$26,Assumptions!$D$565:$D$569)</f>
        <v>0.37530210364388483</v>
      </c>
      <c r="AN187" s="998">
        <f>-SUMPRODUCT(AN$22:AN$26,Assumptions!$D$565:$D$569)</f>
        <v>0.39524091202657069</v>
      </c>
      <c r="AO187" s="998">
        <f>-SUMPRODUCT(AO$22:AO$26,Assumptions!$D$565:$D$569)</f>
        <v>0.41517855432525491</v>
      </c>
    </row>
    <row r="188" spans="3:41" hidden="1" outlineLevel="1" x14ac:dyDescent="0.3">
      <c r="C188" s="587" t="str">
        <f>E188</f>
        <v>EEO</v>
      </c>
      <c r="E188" s="555" t="str">
        <f>'EE Measures'!$IG$6</f>
        <v>EEO</v>
      </c>
      <c r="F188" s="590">
        <f>SUM(G188:P188)</f>
        <v>3905.8076445539664</v>
      </c>
      <c r="G188" s="591">
        <f>SUM(G189:G193)</f>
        <v>236.27720961858685</v>
      </c>
      <c r="H188" s="591">
        <f>SUM(H189:H193)</f>
        <v>-152.21924767609516</v>
      </c>
      <c r="I188" s="591">
        <f t="shared" ref="I188:P188" si="512">SUM(I189:I193)</f>
        <v>34.534410130485973</v>
      </c>
      <c r="J188" s="591">
        <f t="shared" si="512"/>
        <v>112.01984633625058</v>
      </c>
      <c r="K188" s="591">
        <f t="shared" si="512"/>
        <v>311.67989602311638</v>
      </c>
      <c r="L188" s="591">
        <f t="shared" si="512"/>
        <v>449.24131193137271</v>
      </c>
      <c r="M188" s="591">
        <f t="shared" si="512"/>
        <v>605.75535260923914</v>
      </c>
      <c r="N188" s="591">
        <f t="shared" si="512"/>
        <v>697.81352969046975</v>
      </c>
      <c r="O188" s="591">
        <f t="shared" si="512"/>
        <v>782.16580704742103</v>
      </c>
      <c r="P188" s="591">
        <f t="shared" si="512"/>
        <v>828.53952884311934</v>
      </c>
      <c r="Q188" s="591">
        <f t="shared" ref="Q188:U188" si="513">SUM(Q189:Q193)</f>
        <v>364.62039785288249</v>
      </c>
      <c r="R188" s="591">
        <f t="shared" si="513"/>
        <v>1385.2985488930074</v>
      </c>
      <c r="S188" s="591">
        <f t="shared" si="513"/>
        <v>1513.5593471137013</v>
      </c>
      <c r="T188" s="591">
        <f t="shared" si="513"/>
        <v>1596.6130995391075</v>
      </c>
      <c r="U188" s="591">
        <f t="shared" si="513"/>
        <v>1672.160493244721</v>
      </c>
      <c r="W188" s="587" t="str">
        <f t="shared" ref="W188:W189" si="514">W187</f>
        <v>EEO</v>
      </c>
      <c r="Y188" s="554" t="s">
        <v>408</v>
      </c>
      <c r="Z188" s="645">
        <f t="shared" ref="Z188:Z189" si="515">SUM(AA188:AJ188)</f>
        <v>2.0494450608393864</v>
      </c>
      <c r="AA188" s="997">
        <f>-SUMPRODUCT(AA$22:AA$26,Assumptions!$E$565:$E$569)</f>
        <v>2.7648524731747524E-2</v>
      </c>
      <c r="AB188" s="997">
        <f>-SUMPRODUCT(AB$22:AB$26,Assumptions!$E$565:$E$569)</f>
        <v>3.3641390394004406E-2</v>
      </c>
      <c r="AC188" s="997">
        <f>-SUMPRODUCT(AC$22:AC$26,Assumptions!$E$565:$E$569)</f>
        <v>3.8870382689245787E-2</v>
      </c>
      <c r="AD188" s="997">
        <f>-SUMPRODUCT(AD$22:AD$26,Assumptions!$E$565:$E$569)</f>
        <v>6.3139379614213217E-2</v>
      </c>
      <c r="AE188" s="997">
        <f>-SUMPRODUCT(AE$22:AE$26,Assumptions!$E$565:$E$569)</f>
        <v>0.14615828134016451</v>
      </c>
      <c r="AF188" s="997">
        <f>-SUMPRODUCT(AF$22:AF$26,Assumptions!$E$565:$E$569)</f>
        <v>0.216417757872606</v>
      </c>
      <c r="AG188" s="997">
        <f>-SUMPRODUCT(AG$22:AG$26,Assumptions!$E$565:$E$569)</f>
        <v>0.28919112005009584</v>
      </c>
      <c r="AH188" s="997">
        <f>-SUMPRODUCT(AH$22:AH$26,Assumptions!$E$565:$E$569)</f>
        <v>0.35036134061249824</v>
      </c>
      <c r="AI188" s="997">
        <f>-SUMPRODUCT(AI$22:AI$26,Assumptions!$E$565:$E$569)</f>
        <v>0.41148688161586183</v>
      </c>
      <c r="AJ188" s="997">
        <f>-SUMPRODUCT(AJ$22:AJ$26,Assumptions!$E$565:$E$569)</f>
        <v>0.47253000191894928</v>
      </c>
      <c r="AK188" s="997">
        <f>-SUMPRODUCT(AK$22:AK$26,Assumptions!$E$565:$E$569)</f>
        <v>0.53248230271596542</v>
      </c>
      <c r="AL188" s="997">
        <f>-SUMPRODUCT(AL$22:AL$26,Assumptions!$E$565:$E$569)</f>
        <v>0.59238934989357117</v>
      </c>
      <c r="AM188" s="997">
        <f>-SUMPRODUCT(AM$22:AM$26,Assumptions!$E$565:$E$569)</f>
        <v>0.65225272031839743</v>
      </c>
      <c r="AN188" s="997">
        <f>-SUMPRODUCT(AN$22:AN$26,Assumptions!$E$565:$E$569)</f>
        <v>0.71207397022975671</v>
      </c>
      <c r="AO188" s="997">
        <f>-SUMPRODUCT(AO$22:AO$26,Assumptions!$E$565:$E$569)</f>
        <v>0.77186488437921497</v>
      </c>
    </row>
    <row r="189" spans="3:41" hidden="1" outlineLevel="1" x14ac:dyDescent="0.3">
      <c r="C189" s="587" t="str">
        <f>C188</f>
        <v>EEO</v>
      </c>
      <c r="E189" s="563" t="s">
        <v>50</v>
      </c>
      <c r="F189" s="592">
        <f>SUM(G189:P189)</f>
        <v>1044.1255892441093</v>
      </c>
      <c r="G189" s="593" cm="1">
        <f t="array" ref="G189">SUMPRODUCT('EE Measures'!GP$8:GP$86,'EE Measures'!$IG$8:$IG$86,--('EE Measures'!$B$8:$B$86='Pathway Analysis'!$E189))+(SUMPRODUCT('EE Measures'!GP$8:GP$86,'EE Measures'!$IG$8:$IG$86,--('EE Measures'!$B$8:$B$86="Cross-sectoral"))*(G10/$H$9))+G177</f>
        <v>230.95891466181632</v>
      </c>
      <c r="H189" s="593" cm="1">
        <f t="array" ref="H189">SUMPRODUCT('EE Measures'!GQ$8:GQ$86,'EE Measures'!$IG$8:$IG$86,--('EE Measures'!$B$8:$B$86='Pathway Analysis'!$E189))+(SUMPRODUCT('EE Measures'!GQ$8:GQ$86,'EE Measures'!$IG$8:$IG$86,--('EE Measures'!$B$8:$B$86="Cross-sectoral"))*(H10/$H$9))+H177</f>
        <v>-161.10052215297077</v>
      </c>
      <c r="I189" s="593" cm="1">
        <f t="array" ref="I189">SUMPRODUCT('EE Measures'!GR$8:GR$86,'EE Measures'!$IG$8:$IG$86,--('EE Measures'!$B$8:$B$86='Pathway Analysis'!$E189))+(SUMPRODUCT('EE Measures'!GR$8:GR$86,'EE Measures'!$IG$8:$IG$86,--('EE Measures'!$B$8:$B$86="Cross-sectoral"))*(I10/$H$9))+I177</f>
        <v>16.684774517827552</v>
      </c>
      <c r="J189" s="593" cm="1">
        <f t="array" ref="J189">SUMPRODUCT('EE Measures'!GS$8:GS$86,'EE Measures'!$IG$8:$IG$86,--('EE Measures'!$B$8:$B$86='Pathway Analysis'!$E189))+(SUMPRODUCT('EE Measures'!GS$8:GS$86,'EE Measures'!$IG$8:$IG$86,--('EE Measures'!$B$8:$B$86="Cross-sectoral"))*(J10/$H$9))+J177</f>
        <v>36.225466061630989</v>
      </c>
      <c r="K189" s="593" cm="1">
        <f t="array" ref="K189">SUMPRODUCT('EE Measures'!GT$8:GT$86,'EE Measures'!$IG$8:$IG$86,--('EE Measures'!$B$8:$B$86='Pathway Analysis'!$E189))+(SUMPRODUCT('EE Measures'!GT$8:GT$86,'EE Measures'!$IG$8:$IG$86,--('EE Measures'!$B$8:$B$86="Cross-sectoral"))*(K10/$H$9))+K177</f>
        <v>96.12986309572554</v>
      </c>
      <c r="L189" s="593" cm="1">
        <f t="array" ref="L189">SUMPRODUCT('EE Measures'!GU$8:GU$86,'EE Measures'!$IG$8:$IG$86,--('EE Measures'!$B$8:$B$86='Pathway Analysis'!$E189))+(SUMPRODUCT('EE Measures'!GU$8:GU$86,'EE Measures'!$IG$8:$IG$86,--('EE Measures'!$B$8:$B$86="Cross-sectoral"))*(L10/$H$9))+L177</f>
        <v>137.12392774588508</v>
      </c>
      <c r="M189" s="593" cm="1">
        <f t="array" ref="M189">SUMPRODUCT('EE Measures'!GV$8:GV$86,'EE Measures'!$IG$8:$IG$86,--('EE Measures'!$B$8:$B$86='Pathway Analysis'!$E189))+(SUMPRODUCT('EE Measures'!GV$8:GV$86,'EE Measures'!$IG$8:$IG$86,--('EE Measures'!$B$8:$B$86="Cross-sectoral"))*(M10/$H$9))+M177</f>
        <v>164.39620063429763</v>
      </c>
      <c r="N189" s="593" cm="1">
        <f t="array" ref="N189">SUMPRODUCT('EE Measures'!GW$8:GW$86,'EE Measures'!$IG$8:$IG$86,--('EE Measures'!$B$8:$B$86='Pathway Analysis'!$E189))+(SUMPRODUCT('EE Measures'!GW$8:GW$86,'EE Measures'!$IG$8:$IG$86,--('EE Measures'!$B$8:$B$86="Cross-sectoral"))*(N10/$H$9))+N177</f>
        <v>171.31987754427203</v>
      </c>
      <c r="O189" s="593" cm="1">
        <f t="array" ref="O189">SUMPRODUCT('EE Measures'!GX$8:GX$86,'EE Measures'!$IG$8:$IG$86,--('EE Measures'!$B$8:$B$86='Pathway Analysis'!$E189))+(SUMPRODUCT('EE Measures'!GX$8:GX$86,'EE Measures'!$IG$8:$IG$86,--('EE Measures'!$B$8:$B$86="Cross-sectoral"))*(O10/$H$9))+O177</f>
        <v>177.33558471351904</v>
      </c>
      <c r="P189" s="593" cm="1">
        <f t="array" ref="P189">SUMPRODUCT('EE Measures'!GY$8:GY$86,'EE Measures'!$IG$8:$IG$86,--('EE Measures'!$B$8:$B$86='Pathway Analysis'!$E189))+(SUMPRODUCT('EE Measures'!GY$8:GY$86,'EE Measures'!$IG$8:$IG$86,--('EE Measures'!$B$8:$B$86="Cross-sectoral"))*(P10/$H$9))+P177</f>
        <v>175.05150242210587</v>
      </c>
      <c r="Q189" s="593" cm="1">
        <f t="array" ref="Q189">SUMPRODUCT('EE Measures'!GZ$8:GZ$86,'EE Measures'!$IG$8:$IG$86,--('EE Measures'!$B$8:$B$86='Pathway Analysis'!$E189))+(SUMPRODUCT('EE Measures'!GZ$8:GZ$86,'EE Measures'!$IG$8:$IG$86,--('EE Measures'!$B$8:$B$86="Cross-sectoral"))*(Q10/$H$9))+Q177</f>
        <v>67.025466526343394</v>
      </c>
      <c r="R189" s="593" cm="1">
        <f t="array" ref="R189">SUMPRODUCT('EE Measures'!HA$8:HA$86,'EE Measures'!$IG$8:$IG$86,--('EE Measures'!$B$8:$B$86='Pathway Analysis'!$E189))+(SUMPRODUCT('EE Measures'!HA$8:HA$86,'EE Measures'!$IG$8:$IG$86,--('EE Measures'!$B$8:$B$86="Cross-sectoral"))*(R10/$H$9))+R177</f>
        <v>280.4476898137724</v>
      </c>
      <c r="S189" s="593" cm="1">
        <f t="array" ref="S189">SUMPRODUCT('EE Measures'!HB$8:HB$86,'EE Measures'!$IG$8:$IG$86,--('EE Measures'!$B$8:$B$86='Pathway Analysis'!$E189))+(SUMPRODUCT('EE Measures'!HB$8:HB$86,'EE Measures'!$IG$8:$IG$86,--('EE Measures'!$B$8:$B$86="Cross-sectoral"))*(S10/$H$9))+S177</f>
        <v>296.28831674367933</v>
      </c>
      <c r="T189" s="593" cm="1">
        <f t="array" ref="T189">SUMPRODUCT('EE Measures'!HC$8:HC$86,'EE Measures'!$IG$8:$IG$86,--('EE Measures'!$B$8:$B$86='Pathway Analysis'!$E189))+(SUMPRODUCT('EE Measures'!HC$8:HC$86,'EE Measures'!$IG$8:$IG$86,--('EE Measures'!$B$8:$B$86="Cross-sectoral"))*(T10/$H$9))+T177</f>
        <v>302.90343189800512</v>
      </c>
      <c r="U189" s="593" cm="1">
        <f t="array" ref="U189">SUMPRODUCT('EE Measures'!HD$8:HD$86,'EE Measures'!$IG$8:$IG$86,--('EE Measures'!$B$8:$B$86='Pathway Analysis'!$E189))+(SUMPRODUCT('EE Measures'!HD$8:HD$86,'EE Measures'!$IG$8:$IG$86,--('EE Measures'!$B$8:$B$86="Cross-sectoral"))*(U10/$H$9))+U177</f>
        <v>308.62155844488541</v>
      </c>
      <c r="W189" s="587" t="str">
        <f t="shared" si="514"/>
        <v>EEO</v>
      </c>
      <c r="Y189" s="554" t="s">
        <v>409</v>
      </c>
      <c r="Z189" s="645">
        <f t="shared" si="515"/>
        <v>2.0935494503139442</v>
      </c>
      <c r="AA189" s="998">
        <f>-SUMPRODUCT(AA$22:AA$26,Assumptions!$F$565:$F$569)</f>
        <v>2.2439882361267493E-2</v>
      </c>
      <c r="AB189" s="998">
        <f>-SUMPRODUCT(AB$22:AB$26,Assumptions!$F$565:$F$569)</f>
        <v>2.8991086118725765E-2</v>
      </c>
      <c r="AC189" s="998">
        <f>-SUMPRODUCT(AC$22:AC$26,Assumptions!$F$565:$F$569)</f>
        <v>3.492559825887985E-2</v>
      </c>
      <c r="AD189" s="998">
        <f>-SUMPRODUCT(AD$22:AD$26,Assumptions!$F$565:$F$569)</f>
        <v>5.7254509250991681E-2</v>
      </c>
      <c r="AE189" s="998">
        <f>-SUMPRODUCT(AE$22:AE$26,Assumptions!$F$565:$F$569)</f>
        <v>0.14216047742997767</v>
      </c>
      <c r="AF189" s="998">
        <f>-SUMPRODUCT(AF$22:AF$26,Assumptions!$F$565:$F$569)</f>
        <v>0.2155058548622272</v>
      </c>
      <c r="AG189" s="998">
        <f>-SUMPRODUCT(AG$22:AG$26,Assumptions!$F$565:$F$569)</f>
        <v>0.29454149818652198</v>
      </c>
      <c r="AH189" s="998">
        <f>-SUMPRODUCT(AH$22:AH$26,Assumptions!$F$565:$F$569)</f>
        <v>0.3636055065866251</v>
      </c>
      <c r="AI189" s="998">
        <f>-SUMPRODUCT(AI$22:AI$26,Assumptions!$F$565:$F$569)</f>
        <v>0.43261187118037092</v>
      </c>
      <c r="AJ189" s="998">
        <f>-SUMPRODUCT(AJ$22:AJ$26,Assumptions!$F$565:$F$569)</f>
        <v>0.50151316607835639</v>
      </c>
      <c r="AK189" s="998">
        <f>-SUMPRODUCT(AK$22:AK$26,Assumptions!$F$565:$F$569)</f>
        <v>0.56914140329088569</v>
      </c>
      <c r="AL189" s="998">
        <f>-SUMPRODUCT(AL$22:AL$26,Assumptions!$F$565:$F$569)</f>
        <v>0.63671087504757196</v>
      </c>
      <c r="AM189" s="998">
        <f>-SUMPRODUCT(AM$22:AM$26,Assumptions!$F$565:$F$569)</f>
        <v>0.70422342370273328</v>
      </c>
      <c r="AN189" s="998">
        <f>-SUMPRODUCT(AN$22:AN$26,Assumptions!$F$565:$F$569)</f>
        <v>0.77168086597235264</v>
      </c>
      <c r="AO189" s="998">
        <f>-SUMPRODUCT(AO$22:AO$26,Assumptions!$F$565:$F$569)</f>
        <v>0.83909812353699309</v>
      </c>
    </row>
    <row r="190" spans="3:41" hidden="1" outlineLevel="1" x14ac:dyDescent="0.3">
      <c r="C190" s="587" t="str">
        <f t="shared" ref="C190:C193" si="516">C189</f>
        <v>EEO</v>
      </c>
      <c r="E190" s="563" t="s">
        <v>51</v>
      </c>
      <c r="F190" s="592">
        <f t="shared" ref="F190:F193" si="517">SUM(G190:P190)</f>
        <v>1051.7382084933661</v>
      </c>
      <c r="G190" s="593" cm="1">
        <f t="array" ref="G190">SUMPRODUCT('EE Measures'!GP$8:GP$86,'EE Measures'!$IG$8:$IG$86,--('EE Measures'!$B$8:$B$86='Pathway Analysis'!$E190))+(SUMPRODUCT('EE Measures'!GP$8:GP$86,'EE Measures'!$IG$8:$IG$86,--('EE Measures'!$B$8:$B$86="Cross-sectoral"))*(G11/$H$9))+G178</f>
        <v>22.187423222498907</v>
      </c>
      <c r="H190" s="593" cm="1">
        <f t="array" ref="H190">SUMPRODUCT('EE Measures'!GQ$8:GQ$86,'EE Measures'!$IG$8:$IG$86,--('EE Measures'!$B$8:$B$86='Pathway Analysis'!$E190))+(SUMPRODUCT('EE Measures'!GQ$8:GQ$86,'EE Measures'!$IG$8:$IG$86,--('EE Measures'!$B$8:$B$86="Cross-sectoral"))*(H11/$H$9))+H178</f>
        <v>10.014481661804284</v>
      </c>
      <c r="I190" s="593" cm="1">
        <f t="array" ref="I190">SUMPRODUCT('EE Measures'!GR$8:GR$86,'EE Measures'!$IG$8:$IG$86,--('EE Measures'!$B$8:$B$86='Pathway Analysis'!$E190))+(SUMPRODUCT('EE Measures'!GR$8:GR$86,'EE Measures'!$IG$8:$IG$86,--('EE Measures'!$B$8:$B$86="Cross-sectoral"))*(I11/$H$9))+I178</f>
        <v>12.875224448526115</v>
      </c>
      <c r="J190" s="593" cm="1">
        <f t="array" ref="J190">SUMPRODUCT('EE Measures'!GS$8:GS$86,'EE Measures'!$IG$8:$IG$86,--('EE Measures'!$B$8:$B$86='Pathway Analysis'!$E190))+(SUMPRODUCT('EE Measures'!GS$8:GS$86,'EE Measures'!$IG$8:$IG$86,--('EE Measures'!$B$8:$B$86="Cross-sectoral"))*(J11/$H$9))+J178</f>
        <v>34.994369319061413</v>
      </c>
      <c r="K190" s="593" cm="1">
        <f t="array" ref="K190">SUMPRODUCT('EE Measures'!GT$8:GT$86,'EE Measures'!$IG$8:$IG$86,--('EE Measures'!$B$8:$B$86='Pathway Analysis'!$E190))+(SUMPRODUCT('EE Measures'!GT$8:GT$86,'EE Measures'!$IG$8:$IG$86,--('EE Measures'!$B$8:$B$86="Cross-sectoral"))*(K11/$H$9))+K178</f>
        <v>83.885591940230086</v>
      </c>
      <c r="L190" s="593" cm="1">
        <f t="array" ref="L190">SUMPRODUCT('EE Measures'!GU$8:GU$86,'EE Measures'!$IG$8:$IG$86,--('EE Measures'!$B$8:$B$86='Pathway Analysis'!$E190))+(SUMPRODUCT('EE Measures'!GU$8:GU$86,'EE Measures'!$IG$8:$IG$86,--('EE Measures'!$B$8:$B$86="Cross-sectoral"))*(L11/$H$9))+L178</f>
        <v>119.80800637575139</v>
      </c>
      <c r="M190" s="593" cm="1">
        <f t="array" ref="M190">SUMPRODUCT('EE Measures'!GV$8:GV$86,'EE Measures'!$IG$8:$IG$86,--('EE Measures'!$B$8:$B$86='Pathway Analysis'!$E190))+(SUMPRODUCT('EE Measures'!GV$8:GV$86,'EE Measures'!$IG$8:$IG$86,--('EE Measures'!$B$8:$B$86="Cross-sectoral"))*(M11/$H$9))+M178</f>
        <v>151.98321231779212</v>
      </c>
      <c r="N190" s="593" cm="1">
        <f t="array" ref="N190">SUMPRODUCT('EE Measures'!GW$8:GW$86,'EE Measures'!$IG$8:$IG$86,--('EE Measures'!$B$8:$B$86='Pathway Analysis'!$E190))+(SUMPRODUCT('EE Measures'!GW$8:GW$86,'EE Measures'!$IG$8:$IG$86,--('EE Measures'!$B$8:$B$86="Cross-sectoral"))*(N11/$H$9))+N178</f>
        <v>182.29096298101109</v>
      </c>
      <c r="O190" s="593" cm="1">
        <f t="array" ref="O190">SUMPRODUCT('EE Measures'!GX$8:GX$86,'EE Measures'!$IG$8:$IG$86,--('EE Measures'!$B$8:$B$86='Pathway Analysis'!$E190))+(SUMPRODUCT('EE Measures'!GX$8:GX$86,'EE Measures'!$IG$8:$IG$86,--('EE Measures'!$B$8:$B$86="Cross-sectoral"))*(O11/$H$9))+O178</f>
        <v>209.68006947238734</v>
      </c>
      <c r="P190" s="593" cm="1">
        <f t="array" ref="P190">SUMPRODUCT('EE Measures'!GY$8:GY$86,'EE Measures'!$IG$8:$IG$86,--('EE Measures'!$B$8:$B$86='Pathway Analysis'!$E190))+(SUMPRODUCT('EE Measures'!GY$8:GY$86,'EE Measures'!$IG$8:$IG$86,--('EE Measures'!$B$8:$B$86="Cross-sectoral"))*(P11/$H$9))+P178</f>
        <v>224.01886675430325</v>
      </c>
      <c r="Q190" s="593" cm="1">
        <f t="array" ref="Q190">SUMPRODUCT('EE Measures'!GZ$8:GZ$86,'EE Measures'!$IG$8:$IG$86,--('EE Measures'!$B$8:$B$86='Pathway Analysis'!$E190))+(SUMPRODUCT('EE Measures'!GZ$8:GZ$86,'EE Measures'!$IG$8:$IG$86,--('EE Measures'!$B$8:$B$86="Cross-sectoral"))*(Q11/$H$9))+Q178</f>
        <v>36.409229174204583</v>
      </c>
      <c r="R190" s="593" cm="1">
        <f t="array" ref="R190">SUMPRODUCT('EE Measures'!HA$8:HA$86,'EE Measures'!$IG$8:$IG$86,--('EE Measures'!$B$8:$B$86='Pathway Analysis'!$E190))+(SUMPRODUCT('EE Measures'!HA$8:HA$86,'EE Measures'!$IG$8:$IG$86,--('EE Measures'!$B$8:$B$86="Cross-sectoral"))*(R11/$H$9))+R178</f>
        <v>417.7828316273015</v>
      </c>
      <c r="S190" s="593" cm="1">
        <f t="array" ref="S190">SUMPRODUCT('EE Measures'!HB$8:HB$86,'EE Measures'!$IG$8:$IG$86,--('EE Measures'!$B$8:$B$86='Pathway Analysis'!$E190))+(SUMPRODUCT('EE Measures'!HB$8:HB$86,'EE Measures'!$IG$8:$IG$86,--('EE Measures'!$B$8:$B$86="Cross-sectoral"))*(S11/$H$9))+S178</f>
        <v>464.18689913760204</v>
      </c>
      <c r="T190" s="593" cm="1">
        <f t="array" ref="T190">SUMPRODUCT('EE Measures'!HC$8:HC$86,'EE Measures'!$IG$8:$IG$86,--('EE Measures'!$B$8:$B$86='Pathway Analysis'!$E190))+(SUMPRODUCT('EE Measures'!HC$8:HC$86,'EE Measures'!$IG$8:$IG$86,--('EE Measures'!$B$8:$B$86="Cross-sectoral"))*(T11/$H$9))+T178</f>
        <v>494.34063168263782</v>
      </c>
      <c r="U190" s="593" cm="1">
        <f t="array" ref="U190">SUMPRODUCT('EE Measures'!HD$8:HD$86,'EE Measures'!$IG$8:$IG$86,--('EE Measures'!$B$8:$B$86='Pathway Analysis'!$E190))+(SUMPRODUCT('EE Measures'!HD$8:HD$86,'EE Measures'!$IG$8:$IG$86,--('EE Measures'!$B$8:$B$86="Cross-sectoral"))*(U11/$H$9))+U178</f>
        <v>521.42257751548561</v>
      </c>
      <c r="W190" s="587" t="str">
        <f>Y190</f>
        <v>VA</v>
      </c>
      <c r="Y190" s="1226" t="s">
        <v>36</v>
      </c>
      <c r="Z190" s="1225"/>
      <c r="AA190" s="1225"/>
      <c r="AB190" s="1225"/>
      <c r="AC190" s="1225"/>
      <c r="AD190" s="1225"/>
      <c r="AE190" s="1225"/>
      <c r="AF190" s="1225"/>
      <c r="AG190" s="1225"/>
      <c r="AH190" s="1225"/>
      <c r="AI190" s="1225"/>
      <c r="AJ190" s="1225"/>
      <c r="AK190" s="1225"/>
      <c r="AL190" s="1225"/>
      <c r="AM190" s="1225"/>
      <c r="AN190" s="1225"/>
      <c r="AO190" s="1225"/>
    </row>
    <row r="191" spans="3:41" hidden="1" outlineLevel="1" x14ac:dyDescent="0.3">
      <c r="C191" s="587" t="str">
        <f t="shared" si="516"/>
        <v>EEO</v>
      </c>
      <c r="E191" s="563" t="s">
        <v>52</v>
      </c>
      <c r="F191" s="592">
        <f t="shared" si="517"/>
        <v>1052.9909967540054</v>
      </c>
      <c r="G191" s="593" cm="1">
        <f t="array" ref="G191">SUMPRODUCT('EE Measures'!GP$8:GP$86,'EE Measures'!$IG$8:$IG$86,--('EE Measures'!$B$8:$B$86='Pathway Analysis'!$E191))+(SUMPRODUCT('EE Measures'!GP$8:GP$86,'EE Measures'!$IG$8:$IG$86,--('EE Measures'!$B$8:$B$86="Cross-sectoral"))*(G12/$H$9))+G179</f>
        <v>9.7711008458184168</v>
      </c>
      <c r="H191" s="593" cm="1">
        <f t="array" ref="H191">SUMPRODUCT('EE Measures'!GQ$8:GQ$86,'EE Measures'!$IG$8:$IG$86,--('EE Measures'!$B$8:$B$86='Pathway Analysis'!$E191))+(SUMPRODUCT('EE Measures'!GQ$8:GQ$86,'EE Measures'!$IG$8:$IG$86,--('EE Measures'!$B$8:$B$86="Cross-sectoral"))*(H12/$H$9))+H179</f>
        <v>-1.740784433651628</v>
      </c>
      <c r="I191" s="593" cm="1">
        <f t="array" ref="I191">SUMPRODUCT('EE Measures'!GR$8:GR$86,'EE Measures'!$IG$8:$IG$86,--('EE Measures'!$B$8:$B$86='Pathway Analysis'!$E191))+(SUMPRODUCT('EE Measures'!GR$8:GR$86,'EE Measures'!$IG$8:$IG$86,--('EE Measures'!$B$8:$B$86="Cross-sectoral"))*(I12/$H$9))+I179</f>
        <v>-0.57736654227458928</v>
      </c>
      <c r="J191" s="593" cm="1">
        <f t="array" ref="J191">SUMPRODUCT('EE Measures'!GS$8:GS$86,'EE Measures'!$IG$8:$IG$86,--('EE Measures'!$B$8:$B$86='Pathway Analysis'!$E191))+(SUMPRODUCT('EE Measures'!GS$8:GS$86,'EE Measures'!$IG$8:$IG$86,--('EE Measures'!$B$8:$B$86="Cross-sectoral"))*(J12/$H$9))+J179</f>
        <v>10.848091925823578</v>
      </c>
      <c r="K191" s="593" cm="1">
        <f t="array" ref="K191">SUMPRODUCT('EE Measures'!GT$8:GT$86,'EE Measures'!$IG$8:$IG$86,--('EE Measures'!$B$8:$B$86='Pathway Analysis'!$E191))+(SUMPRODUCT('EE Measures'!GT$8:GT$86,'EE Measures'!$IG$8:$IG$86,--('EE Measures'!$B$8:$B$86="Cross-sectoral"))*(K12/$H$9))+K179</f>
        <v>67.686306405001915</v>
      </c>
      <c r="L191" s="593" cm="1">
        <f t="array" ref="L191">SUMPRODUCT('EE Measures'!GU$8:GU$86,'EE Measures'!$IG$8:$IG$86,--('EE Measures'!$B$8:$B$86='Pathway Analysis'!$E191))+(SUMPRODUCT('EE Measures'!GU$8:GU$86,'EE Measures'!$IG$8:$IG$86,--('EE Measures'!$B$8:$B$86="Cross-sectoral"))*(L12/$H$9))+L179</f>
        <v>115.36987465783423</v>
      </c>
      <c r="M191" s="593" cm="1">
        <f t="array" ref="M191">SUMPRODUCT('EE Measures'!GV$8:GV$86,'EE Measures'!$IG$8:$IG$86,--('EE Measures'!$B$8:$B$86='Pathway Analysis'!$E191))+(SUMPRODUCT('EE Measures'!GV$8:GV$86,'EE Measures'!$IG$8:$IG$86,--('EE Measures'!$B$8:$B$86="Cross-sectoral"))*(M12/$H$9))+M179</f>
        <v>159.05547312314613</v>
      </c>
      <c r="N191" s="593" cm="1">
        <f t="array" ref="N191">SUMPRODUCT('EE Measures'!GW$8:GW$86,'EE Measures'!$IG$8:$IG$86,--('EE Measures'!$B$8:$B$86='Pathway Analysis'!$E191))+(SUMPRODUCT('EE Measures'!GW$8:GW$86,'EE Measures'!$IG$8:$IG$86,--('EE Measures'!$B$8:$B$86="Cross-sectoral"))*(N12/$H$9))+N179</f>
        <v>199.17362877485942</v>
      </c>
      <c r="O191" s="593" cm="1">
        <f t="array" ref="O191">SUMPRODUCT('EE Measures'!GX$8:GX$86,'EE Measures'!$IG$8:$IG$86,--('EE Measures'!$B$8:$B$86='Pathway Analysis'!$E191))+(SUMPRODUCT('EE Measures'!GX$8:GX$86,'EE Measures'!$IG$8:$IG$86,--('EE Measures'!$B$8:$B$86="Cross-sectoral"))*(O12/$H$9))+O179</f>
        <v>235.5867745042614</v>
      </c>
      <c r="P191" s="593" cm="1">
        <f t="array" ref="P191">SUMPRODUCT('EE Measures'!GY$8:GY$86,'EE Measures'!$IG$8:$IG$86,--('EE Measures'!$B$8:$B$86='Pathway Analysis'!$E191))+(SUMPRODUCT('EE Measures'!GY$8:GY$86,'EE Measures'!$IG$8:$IG$86,--('EE Measures'!$B$8:$B$86="Cross-sectoral"))*(P12/$H$9))+P179</f>
        <v>257.81789749318654</v>
      </c>
      <c r="Q191" s="593" cm="1">
        <f t="array" ref="Q191">SUMPRODUCT('EE Measures'!GZ$8:GZ$86,'EE Measures'!$IG$8:$IG$86,--('EE Measures'!$B$8:$B$86='Pathway Analysis'!$E191))+(SUMPRODUCT('EE Measures'!GZ$8:GZ$86,'EE Measures'!$IG$8:$IG$86,--('EE Measures'!$B$8:$B$86="Cross-sectoral"))*(Q12/$H$9))+Q179</f>
        <v>112.48913172836512</v>
      </c>
      <c r="R191" s="593" cm="1">
        <f t="array" ref="R191">SUMPRODUCT('EE Measures'!HA$8:HA$86,'EE Measures'!$IG$8:$IG$86,--('EE Measures'!$B$8:$B$86='Pathway Analysis'!$E191))+(SUMPRODUCT('EE Measures'!HA$8:HA$86,'EE Measures'!$IG$8:$IG$86,--('EE Measures'!$B$8:$B$86="Cross-sectoral"))*(R12/$H$9))+R179</f>
        <v>476.87922866743901</v>
      </c>
      <c r="S191" s="593" cm="1">
        <f t="array" ref="S191">SUMPRODUCT('EE Measures'!HB$8:HB$86,'EE Measures'!$IG$8:$IG$86,--('EE Measures'!$B$8:$B$86='Pathway Analysis'!$E191))+(SUMPRODUCT('EE Measures'!HB$8:HB$86,'EE Measures'!$IG$8:$IG$86,--('EE Measures'!$B$8:$B$86="Cross-sectoral"))*(S12/$H$9))+S179</f>
        <v>533.420923894265</v>
      </c>
      <c r="T191" s="593" cm="1">
        <f t="array" ref="T191">SUMPRODUCT('EE Measures'!HC$8:HC$86,'EE Measures'!$IG$8:$IG$86,--('EE Measures'!$B$8:$B$86='Pathway Analysis'!$E191))+(SUMPRODUCT('EE Measures'!HC$8:HC$86,'EE Measures'!$IG$8:$IG$86,--('EE Measures'!$B$8:$B$86="Cross-sectoral"))*(T12/$H$9))+T179</f>
        <v>572.49543678597422</v>
      </c>
      <c r="U191" s="593" cm="1">
        <f t="array" ref="U191">SUMPRODUCT('EE Measures'!HD$8:HD$86,'EE Measures'!$IG$8:$IG$86,--('EE Measures'!$B$8:$B$86='Pathway Analysis'!$E191))+(SUMPRODUCT('EE Measures'!HD$8:HD$86,'EE Measures'!$IG$8:$IG$86,--('EE Measures'!$B$8:$B$86="Cross-sectoral"))*(U12/$H$9))+U179</f>
        <v>608.13845548065933</v>
      </c>
      <c r="W191" s="587" t="str">
        <f>W190</f>
        <v>VA</v>
      </c>
      <c r="Y191" s="554" t="s">
        <v>407</v>
      </c>
      <c r="Z191" s="645">
        <f>SUM(AA191:AJ191)</f>
        <v>1.6086418670673872</v>
      </c>
      <c r="AA191" s="998">
        <f>-SUMPRODUCT(AA$28:AA$32,Assumptions!$D$565:$D$569)</f>
        <v>2.4815119847171063E-2</v>
      </c>
      <c r="AB191" s="998">
        <f>-SUMPRODUCT(AB$28:AB$32,Assumptions!$D$565:$D$569)</f>
        <v>3.0107957820911004E-2</v>
      </c>
      <c r="AC191" s="998">
        <f>-SUMPRODUCT(AC$28:AC$32,Assumptions!$D$565:$D$569)</f>
        <v>3.4207482606761215E-2</v>
      </c>
      <c r="AD191" s="998">
        <f>-SUMPRODUCT(AD$28:AD$32,Assumptions!$D$565:$D$569)</f>
        <v>7.1792109698608261E-2</v>
      </c>
      <c r="AE191" s="998">
        <f>-SUMPRODUCT(AE$28:AE$32,Assumptions!$D$565:$D$569)</f>
        <v>0.1315919728728836</v>
      </c>
      <c r="AF191" s="998">
        <f>-SUMPRODUCT(AF$28:AF$32,Assumptions!$D$565:$D$569)</f>
        <v>0.16520816507570651</v>
      </c>
      <c r="AG191" s="998">
        <f>-SUMPRODUCT(AG$28:AG$32,Assumptions!$D$565:$D$569)</f>
        <v>0.23550547197032395</v>
      </c>
      <c r="AH191" s="998">
        <f>-SUMPRODUCT(AH$28:AH$32,Assumptions!$D$565:$D$569)</f>
        <v>0.26762110495353209</v>
      </c>
      <c r="AI191" s="998">
        <f>-SUMPRODUCT(AI$28:AI$32,Assumptions!$D$565:$D$569)</f>
        <v>0.30413518378077853</v>
      </c>
      <c r="AJ191" s="998">
        <f>-SUMPRODUCT(AJ$28:AJ$32,Assumptions!$D$565:$D$569)</f>
        <v>0.34365729844071102</v>
      </c>
      <c r="AK191" s="998">
        <f>-SUMPRODUCT(AK$28:AK$32,Assumptions!$D$565:$D$569)</f>
        <v>0.37705239619078618</v>
      </c>
      <c r="AL191" s="998">
        <f>-SUMPRODUCT(AL$28:AL$32,Assumptions!$D$565:$D$569)</f>
        <v>0.41061766394505561</v>
      </c>
      <c r="AM191" s="998">
        <f>-SUMPRODUCT(AM$28:AM$32,Assumptions!$D$565:$D$569)</f>
        <v>0.4443580230248883</v>
      </c>
      <c r="AN191" s="998">
        <f>-SUMPRODUCT(AN$28:AN$32,Assumptions!$D$565:$D$569)</f>
        <v>0.47827836236299309</v>
      </c>
      <c r="AO191" s="998">
        <f>-SUMPRODUCT(AO$28:AO$32,Assumptions!$D$565:$D$569)</f>
        <v>0.51237923857577483</v>
      </c>
    </row>
    <row r="192" spans="3:41" hidden="1" outlineLevel="1" x14ac:dyDescent="0.3">
      <c r="C192" s="587" t="str">
        <f t="shared" si="516"/>
        <v>EEO</v>
      </c>
      <c r="E192" s="563" t="s">
        <v>53</v>
      </c>
      <c r="F192" s="592">
        <f t="shared" si="517"/>
        <v>597.43932994224247</v>
      </c>
      <c r="G192" s="593" cm="1">
        <f t="array" ref="G192">SUMPRODUCT('EE Measures'!GP$8:GP$86,'EE Measures'!$IG$8:$IG$86,--('EE Measures'!$B$8:$B$86='Pathway Analysis'!$E192))+(SUMPRODUCT('EE Measures'!GP$8:GP$86,'EE Measures'!$IG$8:$IG$86,--('EE Measures'!$B$8:$B$86="Cross-sectoral"))*(G13/$H$9))+G180</f>
        <v>-127.69402958498421</v>
      </c>
      <c r="H192" s="593" cm="1">
        <f t="array" ref="H192">SUMPRODUCT('EE Measures'!GQ$8:GQ$86,'EE Measures'!$IG$8:$IG$86,--('EE Measures'!$B$8:$B$86='Pathway Analysis'!$E192))+(SUMPRODUCT('EE Measures'!GQ$8:GQ$86,'EE Measures'!$IG$8:$IG$86,--('EE Measures'!$B$8:$B$86="Cross-sectoral"))*(H13/$H$9))+H180</f>
        <v>-0.91052347514860443</v>
      </c>
      <c r="I192" s="593" cm="1">
        <f t="array" ref="I192">SUMPRODUCT('EE Measures'!GR$8:GR$86,'EE Measures'!$IG$8:$IG$86,--('EE Measures'!$B$8:$B$86='Pathway Analysis'!$E192))+(SUMPRODUCT('EE Measures'!GR$8:GR$86,'EE Measures'!$IG$8:$IG$86,--('EE Measures'!$B$8:$B$86="Cross-sectoral"))*(I13/$H$9))+I180</f>
        <v>3.8503296415801422</v>
      </c>
      <c r="J192" s="593" cm="1">
        <f t="array" ref="J192">SUMPRODUCT('EE Measures'!GS$8:GS$86,'EE Measures'!$IG$8:$IG$86,--('EE Measures'!$B$8:$B$86='Pathway Analysis'!$E192))+(SUMPRODUCT('EE Measures'!GS$8:GS$86,'EE Measures'!$IG$8:$IG$86,--('EE Measures'!$B$8:$B$86="Cross-sectoral"))*(J13/$H$9))+J180</f>
        <v>26.181525749842397</v>
      </c>
      <c r="K192" s="593" cm="1">
        <f t="array" ref="K192">SUMPRODUCT('EE Measures'!GT$8:GT$86,'EE Measures'!$IG$8:$IG$86,--('EE Measures'!$B$8:$B$86='Pathway Analysis'!$E192))+(SUMPRODUCT('EE Measures'!GT$8:GT$86,'EE Measures'!$IG$8:$IG$86,--('EE Measures'!$B$8:$B$86="Cross-sectoral"))*(K13/$H$9))+K180</f>
        <v>59.139648218994338</v>
      </c>
      <c r="L192" s="593" cm="1">
        <f t="array" ref="L192">SUMPRODUCT('EE Measures'!GU$8:GU$86,'EE Measures'!$IG$8:$IG$86,--('EE Measures'!$B$8:$B$86='Pathway Analysis'!$E192))+(SUMPRODUCT('EE Measures'!GU$8:GU$86,'EE Measures'!$IG$8:$IG$86,--('EE Measures'!$B$8:$B$86="Cross-sectoral"))*(L13/$H$9))+L180</f>
        <v>71.990513416734728</v>
      </c>
      <c r="M192" s="593" cm="1">
        <f t="array" ref="M192">SUMPRODUCT('EE Measures'!GV$8:GV$86,'EE Measures'!$IG$8:$IG$86,--('EE Measures'!$B$8:$B$86='Pathway Analysis'!$E192))+(SUMPRODUCT('EE Measures'!GV$8:GV$86,'EE Measures'!$IG$8:$IG$86,--('EE Measures'!$B$8:$B$86="Cross-sectoral"))*(M13/$H$9))+M180</f>
        <v>123.07669352175819</v>
      </c>
      <c r="N192" s="593" cm="1">
        <f t="array" ref="N192">SUMPRODUCT('EE Measures'!GW$8:GW$86,'EE Measures'!$IG$8:$IG$86,--('EE Measures'!$B$8:$B$86='Pathway Analysis'!$E192))+(SUMPRODUCT('EE Measures'!GW$8:GW$86,'EE Measures'!$IG$8:$IG$86,--('EE Measures'!$B$8:$B$86="Cross-sectoral"))*(N13/$H$9))+N180</f>
        <v>135.56954537616096</v>
      </c>
      <c r="O192" s="593" cm="1">
        <f t="array" ref="O192">SUMPRODUCT('EE Measures'!GX$8:GX$86,'EE Measures'!$IG$8:$IG$86,--('EE Measures'!$B$8:$B$86='Pathway Analysis'!$E192))+(SUMPRODUCT('EE Measures'!GX$8:GX$86,'EE Measures'!$IG$8:$IG$86,--('EE Measures'!$B$8:$B$86="Cross-sectoral"))*(O13/$H$9))+O180</f>
        <v>147.9673847825533</v>
      </c>
      <c r="P192" s="593" cm="1">
        <f t="array" ref="P192">SUMPRODUCT('EE Measures'!GY$8:GY$86,'EE Measures'!$IG$8:$IG$86,--('EE Measures'!$B$8:$B$86='Pathway Analysis'!$E192))+(SUMPRODUCT('EE Measures'!GY$8:GY$86,'EE Measures'!$IG$8:$IG$86,--('EE Measures'!$B$8:$B$86="Cross-sectoral"))*(P13/$H$9))+P180</f>
        <v>158.2682422947513</v>
      </c>
      <c r="Q192" s="593" cm="1">
        <f t="array" ref="Q192">SUMPRODUCT('EE Measures'!GZ$8:GZ$86,'EE Measures'!$IG$8:$IG$86,--('EE Measures'!$B$8:$B$86='Pathway Analysis'!$E192))+(SUMPRODUCT('EE Measures'!GZ$8:GZ$86,'EE Measures'!$IG$8:$IG$86,--('EE Measures'!$B$8:$B$86="Cross-sectoral"))*(Q13/$H$9))+Q180</f>
        <v>139.28597939923444</v>
      </c>
      <c r="R192" s="593" cm="1">
        <f t="array" ref="R192">SUMPRODUCT('EE Measures'!HA$8:HA$86,'EE Measures'!$IG$8:$IG$86,--('EE Measures'!$B$8:$B$86='Pathway Analysis'!$E192))+(SUMPRODUCT('EE Measures'!HA$8:HA$86,'EE Measures'!$IG$8:$IG$86,--('EE Measures'!$B$8:$B$86="Cross-sectoral"))*(R13/$H$9))+R180</f>
        <v>193.63003597790149</v>
      </c>
      <c r="S192" s="593" cm="1">
        <f t="array" ref="S192">SUMPRODUCT('EE Measures'!HB$8:HB$86,'EE Measures'!$IG$8:$IG$86,--('EE Measures'!$B$8:$B$86='Pathway Analysis'!$E192))+(SUMPRODUCT('EE Measures'!HB$8:HB$86,'EE Measures'!$IG$8:$IG$86,--('EE Measures'!$B$8:$B$86="Cross-sectoral"))*(S13/$H$9))+S180</f>
        <v>202.86341137156134</v>
      </c>
      <c r="T192" s="593" cm="1">
        <f t="array" ref="T192">SUMPRODUCT('EE Measures'!HC$8:HC$86,'EE Measures'!$IG$8:$IG$86,--('EE Measures'!$B$8:$B$86='Pathway Analysis'!$E192))+(SUMPRODUCT('EE Measures'!HC$8:HC$86,'EE Measures'!$IG$8:$IG$86,--('EE Measures'!$B$8:$B$86="Cross-sectoral"))*(T13/$H$9))+T180</f>
        <v>210.11985694950866</v>
      </c>
      <c r="U192" s="593" cm="1">
        <f t="array" ref="U192">SUMPRODUCT('EE Measures'!HD$8:HD$86,'EE Measures'!$IG$8:$IG$86,--('EE Measures'!$B$8:$B$86='Pathway Analysis'!$E192))+(SUMPRODUCT('EE Measures'!HD$8:HD$86,'EE Measures'!$IG$8:$IG$86,--('EE Measures'!$B$8:$B$86="Cross-sectoral"))*(U13/$H$9))+U180</f>
        <v>217.27794364077766</v>
      </c>
      <c r="W192" s="587" t="str">
        <f t="shared" ref="W192:W193" si="518">W191</f>
        <v>VA</v>
      </c>
      <c r="Y192" s="554" t="s">
        <v>408</v>
      </c>
      <c r="Z192" s="645">
        <f t="shared" ref="Z192:Z193" si="519">SUM(AA192:AJ192)</f>
        <v>1.9593630101336283</v>
      </c>
      <c r="AA192" s="997">
        <f>-SUMPRODUCT(AA$28:AA$32,Assumptions!$E$565:$E$569)</f>
        <v>2.7648524731747524E-2</v>
      </c>
      <c r="AB192" s="997">
        <f>-SUMPRODUCT(AB$28:AB$32,Assumptions!$E$565:$E$569)</f>
        <v>3.3641390394004406E-2</v>
      </c>
      <c r="AC192" s="997">
        <f>-SUMPRODUCT(AC$28:AC$32,Assumptions!$E$565:$E$569)</f>
        <v>3.8870382689245787E-2</v>
      </c>
      <c r="AD192" s="997">
        <f>-SUMPRODUCT(AD$28:AD$32,Assumptions!$E$565:$E$569)</f>
        <v>6.3139379614213217E-2</v>
      </c>
      <c r="AE192" s="997">
        <f>-SUMPRODUCT(AE$28:AE$32,Assumptions!$E$565:$E$569)</f>
        <v>0.13794160519502532</v>
      </c>
      <c r="AF192" s="997">
        <f>-SUMPRODUCT(AF$28:AF$32,Assumptions!$E$565:$E$569)</f>
        <v>0.20160405188137984</v>
      </c>
      <c r="AG192" s="997">
        <f>-SUMPRODUCT(AG$28:AG$32,Assumptions!$E$565:$E$569)</f>
        <v>0.27013116532024078</v>
      </c>
      <c r="AH192" s="997">
        <f>-SUMPRODUCT(AH$28:AH$32,Assumptions!$E$565:$E$569)</f>
        <v>0.33027579307986005</v>
      </c>
      <c r="AI192" s="997">
        <f>-SUMPRODUCT(AI$28:AI$32,Assumptions!$E$565:$E$569)</f>
        <v>0.39450292600172993</v>
      </c>
      <c r="AJ192" s="997">
        <f>-SUMPRODUCT(AJ$28:AJ$32,Assumptions!$E$565:$E$569)</f>
        <v>0.46160779122618151</v>
      </c>
      <c r="AK192" s="997">
        <f>-SUMPRODUCT(AK$28:AK$32,Assumptions!$E$565:$E$569)</f>
        <v>0.52744278938657885</v>
      </c>
      <c r="AL192" s="997">
        <f>-SUMPRODUCT(AL$28:AL$32,Assumptions!$E$565:$E$569)</f>
        <v>0.59306432594115555</v>
      </c>
      <c r="AM192" s="997">
        <f>-SUMPRODUCT(AM$28:AM$32,Assumptions!$E$565:$E$569)</f>
        <v>0.65848545146986348</v>
      </c>
      <c r="AN192" s="997">
        <f>-SUMPRODUCT(AN$28:AN$32,Assumptions!$E$565:$E$569)</f>
        <v>0.72371903242062186</v>
      </c>
      <c r="AO192" s="997">
        <f>-SUMPRODUCT(AO$28:AO$32,Assumptions!$E$565:$E$569)</f>
        <v>0.78871774762497848</v>
      </c>
    </row>
    <row r="193" spans="3:41" hidden="1" outlineLevel="1" x14ac:dyDescent="0.3">
      <c r="C193" s="587" t="str">
        <f t="shared" si="516"/>
        <v>EEO</v>
      </c>
      <c r="E193" s="563" t="s">
        <v>54</v>
      </c>
      <c r="F193" s="592">
        <f t="shared" si="517"/>
        <v>159.5135201202433</v>
      </c>
      <c r="G193" s="593" cm="1">
        <f t="array" ref="G193">SUMPRODUCT('EE Measures'!GP$8:GP$86,'EE Measures'!$IG$8:$IG$86,--('EE Measures'!$B$8:$B$86='Pathway Analysis'!$E193))+(SUMPRODUCT('EE Measures'!GP$8:GP$86,'EE Measures'!$IG$8:$IG$86,--('EE Measures'!$B$8:$B$86="Cross-sectoral"))*(G14/$H$9))+G181</f>
        <v>101.05380047343741</v>
      </c>
      <c r="H193" s="593" cm="1">
        <f t="array" ref="H193">SUMPRODUCT('EE Measures'!GQ$8:GQ$86,'EE Measures'!$IG$8:$IG$86,--('EE Measures'!$B$8:$B$86='Pathway Analysis'!$E193))+(SUMPRODUCT('EE Measures'!GQ$8:GQ$86,'EE Measures'!$IG$8:$IG$86,--('EE Measures'!$B$8:$B$86="Cross-sectoral"))*(H14/$H$9))+H181</f>
        <v>1.5181007238715616</v>
      </c>
      <c r="I193" s="593" cm="1">
        <f t="array" ref="I193">SUMPRODUCT('EE Measures'!GR$8:GR$86,'EE Measures'!$IG$8:$IG$86,--('EE Measures'!$B$8:$B$86='Pathway Analysis'!$E193))+(SUMPRODUCT('EE Measures'!GR$8:GR$86,'EE Measures'!$IG$8:$IG$86,--('EE Measures'!$B$8:$B$86="Cross-sectoral"))*(I14/$H$9))+I181</f>
        <v>1.701448064826754</v>
      </c>
      <c r="J193" s="593" cm="1">
        <f t="array" ref="J193">SUMPRODUCT('EE Measures'!GS$8:GS$86,'EE Measures'!$IG$8:$IG$86,--('EE Measures'!$B$8:$B$86='Pathway Analysis'!$E193))+(SUMPRODUCT('EE Measures'!GS$8:GS$86,'EE Measures'!$IG$8:$IG$86,--('EE Measures'!$B$8:$B$86="Cross-sectoral"))*(J14/$H$9))+J181</f>
        <v>3.7703932798922004</v>
      </c>
      <c r="K193" s="593" cm="1">
        <f t="array" ref="K193">SUMPRODUCT('EE Measures'!GT$8:GT$86,'EE Measures'!$IG$8:$IG$86,--('EE Measures'!$B$8:$B$86='Pathway Analysis'!$E193))+(SUMPRODUCT('EE Measures'!GT$8:GT$86,'EE Measures'!$IG$8:$IG$86,--('EE Measures'!$B$8:$B$86="Cross-sectoral"))*(K14/$H$9))+K181</f>
        <v>4.8384863631645452</v>
      </c>
      <c r="L193" s="593" cm="1">
        <f t="array" ref="L193">SUMPRODUCT('EE Measures'!GU$8:GU$86,'EE Measures'!$IG$8:$IG$86,--('EE Measures'!$B$8:$B$86='Pathway Analysis'!$E193))+(SUMPRODUCT('EE Measures'!GU$8:GU$86,'EE Measures'!$IG$8:$IG$86,--('EE Measures'!$B$8:$B$86="Cross-sectoral"))*(L14/$H$9))+L181</f>
        <v>4.948989735167304</v>
      </c>
      <c r="M193" s="593" cm="1">
        <f t="array" ref="M193">SUMPRODUCT('EE Measures'!GV$8:GV$86,'EE Measures'!$IG$8:$IG$86,--('EE Measures'!$B$8:$B$86='Pathway Analysis'!$E193))+(SUMPRODUCT('EE Measures'!GV$8:GV$86,'EE Measures'!$IG$8:$IG$86,--('EE Measures'!$B$8:$B$86="Cross-sectoral"))*(M14/$H$9))+M181</f>
        <v>7.2437730122449722</v>
      </c>
      <c r="N193" s="593" cm="1">
        <f t="array" ref="N193">SUMPRODUCT('EE Measures'!GW$8:GW$86,'EE Measures'!$IG$8:$IG$86,--('EE Measures'!$B$8:$B$86='Pathway Analysis'!$E193))+(SUMPRODUCT('EE Measures'!GW$8:GW$86,'EE Measures'!$IG$8:$IG$86,--('EE Measures'!$B$8:$B$86="Cross-sectoral"))*(N14/$H$9))+N181</f>
        <v>9.4595150141662732</v>
      </c>
      <c r="O193" s="593" cm="1">
        <f t="array" ref="O193">SUMPRODUCT('EE Measures'!GX$8:GX$86,'EE Measures'!$IG$8:$IG$86,--('EE Measures'!$B$8:$B$86='Pathway Analysis'!$E193))+(SUMPRODUCT('EE Measures'!GX$8:GX$86,'EE Measures'!$IG$8:$IG$86,--('EE Measures'!$B$8:$B$86="Cross-sectoral"))*(O14/$H$9))+O181</f>
        <v>11.595993574699891</v>
      </c>
      <c r="P193" s="593" cm="1">
        <f t="array" ref="P193">SUMPRODUCT('EE Measures'!GY$8:GY$86,'EE Measures'!$IG$8:$IG$86,--('EE Measures'!$B$8:$B$86='Pathway Analysis'!$E193))+(SUMPRODUCT('EE Measures'!GY$8:GY$86,'EE Measures'!$IG$8:$IG$86,--('EE Measures'!$B$8:$B$86="Cross-sectoral"))*(P14/$H$9))+P181</f>
        <v>13.383019878772394</v>
      </c>
      <c r="Q193" s="593" cm="1">
        <f t="array" ref="Q193">SUMPRODUCT('EE Measures'!GZ$8:GZ$86,'EE Measures'!$IG$8:$IG$86,--('EE Measures'!$B$8:$B$86='Pathway Analysis'!$E193))+(SUMPRODUCT('EE Measures'!GZ$8:GZ$86,'EE Measures'!$IG$8:$IG$86,--('EE Measures'!$B$8:$B$86="Cross-sectoral"))*(Q14/$H$9))+Q181</f>
        <v>9.4105910247349556</v>
      </c>
      <c r="R193" s="593" cm="1">
        <f t="array" ref="R193">SUMPRODUCT('EE Measures'!HA$8:HA$86,'EE Measures'!$IG$8:$IG$86,--('EE Measures'!$B$8:$B$86='Pathway Analysis'!$E193))+(SUMPRODUCT('EE Measures'!HA$8:HA$86,'EE Measures'!$IG$8:$IG$86,--('EE Measures'!$B$8:$B$86="Cross-sectoral"))*(R14/$H$9))+R181</f>
        <v>16.558762806592661</v>
      </c>
      <c r="S193" s="593" cm="1">
        <f t="array" ref="S193">SUMPRODUCT('EE Measures'!HB$8:HB$86,'EE Measures'!$IG$8:$IG$86,--('EE Measures'!$B$8:$B$86='Pathway Analysis'!$E193))+(SUMPRODUCT('EE Measures'!HB$8:HB$86,'EE Measures'!$IG$8:$IG$86,--('EE Measures'!$B$8:$B$86="Cross-sectoral"))*(S14/$H$9))+S181</f>
        <v>16.799795966593479</v>
      </c>
      <c r="T193" s="593" cm="1">
        <f t="array" ref="T193">SUMPRODUCT('EE Measures'!HC$8:HC$86,'EE Measures'!$IG$8:$IG$86,--('EE Measures'!$B$8:$B$86='Pathway Analysis'!$E193))+(SUMPRODUCT('EE Measures'!HC$8:HC$86,'EE Measures'!$IG$8:$IG$86,--('EE Measures'!$B$8:$B$86="Cross-sectoral"))*(T14/$H$9))+T181</f>
        <v>16.753742222981739</v>
      </c>
      <c r="U193" s="593" cm="1">
        <f t="array" ref="U193">SUMPRODUCT('EE Measures'!HD$8:HD$86,'EE Measures'!$IG$8:$IG$86,--('EE Measures'!$B$8:$B$86='Pathway Analysis'!$E193))+(SUMPRODUCT('EE Measures'!HD$8:HD$86,'EE Measures'!$IG$8:$IG$86,--('EE Measures'!$B$8:$B$86="Cross-sectoral"))*(U14/$H$9))+U181</f>
        <v>16.699958162912903</v>
      </c>
      <c r="W193" s="587" t="str">
        <f t="shared" si="518"/>
        <v>VA</v>
      </c>
      <c r="Y193" s="554" t="s">
        <v>409</v>
      </c>
      <c r="Z193" s="645">
        <f t="shared" si="519"/>
        <v>1.9226421039756698</v>
      </c>
      <c r="AA193" s="998">
        <f>-SUMPRODUCT(AA$28:AA$32,Assumptions!$F$565:$F$569)</f>
        <v>2.2439882361267493E-2</v>
      </c>
      <c r="AB193" s="998">
        <f>-SUMPRODUCT(AB$28:AB$32,Assumptions!$F$565:$F$569)</f>
        <v>2.8991086118725765E-2</v>
      </c>
      <c r="AC193" s="998">
        <f>-SUMPRODUCT(AC$28:AC$32,Assumptions!$F$565:$F$569)</f>
        <v>3.492559825887985E-2</v>
      </c>
      <c r="AD193" s="998">
        <f>-SUMPRODUCT(AD$28:AD$32,Assumptions!$F$565:$F$569)</f>
        <v>5.7254509250991681E-2</v>
      </c>
      <c r="AE193" s="998">
        <f>-SUMPRODUCT(AE$28:AE$32,Assumptions!$F$565:$F$569)</f>
        <v>0.13271607836583149</v>
      </c>
      <c r="AF193" s="998">
        <f>-SUMPRODUCT(AF$28:AF$32,Assumptions!$F$565:$F$569)</f>
        <v>0.19704786516170097</v>
      </c>
      <c r="AG193" s="998">
        <f>-SUMPRODUCT(AG$28:AG$32,Assumptions!$F$565:$F$569)</f>
        <v>0.26785100258338429</v>
      </c>
      <c r="AH193" s="998">
        <f>-SUMPRODUCT(AH$28:AH$32,Assumptions!$F$565:$F$569)</f>
        <v>0.32987897658674131</v>
      </c>
      <c r="AI193" s="998">
        <f>-SUMPRODUCT(AI$28:AI$32,Assumptions!$F$565:$F$569)</f>
        <v>0.39347827562380999</v>
      </c>
      <c r="AJ193" s="998">
        <f>-SUMPRODUCT(AJ$28:AJ$32,Assumptions!$F$565:$F$569)</f>
        <v>0.45805882966433681</v>
      </c>
      <c r="AK193" s="998">
        <f>-SUMPRODUCT(AK$28:AK$32,Assumptions!$F$565:$F$569)</f>
        <v>0.52098254337902705</v>
      </c>
      <c r="AL193" s="998">
        <f>-SUMPRODUCT(AL$28:AL$32,Assumptions!$F$565:$F$569)</f>
        <v>0.58347468027548399</v>
      </c>
      <c r="AM193" s="998">
        <f>-SUMPRODUCT(AM$28:AM$32,Assumptions!$F$565:$F$569)</f>
        <v>0.64554823698566199</v>
      </c>
      <c r="AN193" s="998">
        <f>-SUMPRODUCT(AN$28:AN$32,Assumptions!$F$565:$F$569)</f>
        <v>0.70721599469599705</v>
      </c>
      <c r="AO193" s="998">
        <f>-SUMPRODUCT(AO$28:AO$32,Assumptions!$F$565:$F$569)</f>
        <v>0.76842135855231175</v>
      </c>
    </row>
    <row r="194" spans="3:41" hidden="1" outlineLevel="1" x14ac:dyDescent="0.3">
      <c r="C194" s="587" t="str">
        <f>E194</f>
        <v>VA</v>
      </c>
      <c r="E194" s="555" t="str">
        <f>'EE Measures'!$IH$6</f>
        <v>VA</v>
      </c>
      <c r="F194" s="590">
        <f>SUM(G194:P194)</f>
        <v>3626.8950259948151</v>
      </c>
      <c r="G194" s="591">
        <f>SUM(G195:G199)</f>
        <v>236.27720961858685</v>
      </c>
      <c r="H194" s="591">
        <f>SUM(H195:H199)</f>
        <v>-152.21924767609516</v>
      </c>
      <c r="I194" s="591">
        <f t="shared" ref="I194:P194" si="520">SUM(I195:I199)</f>
        <v>34.534410130485973</v>
      </c>
      <c r="J194" s="591">
        <f t="shared" si="520"/>
        <v>112.01984633625058</v>
      </c>
      <c r="K194" s="591">
        <f t="shared" si="520"/>
        <v>281.29070275826177</v>
      </c>
      <c r="L194" s="591">
        <f t="shared" si="520"/>
        <v>397.21103349955206</v>
      </c>
      <c r="M194" s="591">
        <f t="shared" si="520"/>
        <v>542.51293477183549</v>
      </c>
      <c r="N194" s="591">
        <f t="shared" si="520"/>
        <v>635.5652763200992</v>
      </c>
      <c r="O194" s="591">
        <f t="shared" si="520"/>
        <v>734.57503410442587</v>
      </c>
      <c r="P194" s="591">
        <f t="shared" si="520"/>
        <v>805.12782613141258</v>
      </c>
      <c r="Q194" s="591">
        <f t="shared" ref="Q194:U194" si="521">SUM(Q195:Q199)</f>
        <v>363.73445795853377</v>
      </c>
      <c r="R194" s="591">
        <f t="shared" si="521"/>
        <v>1414.5399500175774</v>
      </c>
      <c r="S194" s="591">
        <f t="shared" si="521"/>
        <v>1574.2075389648357</v>
      </c>
      <c r="T194" s="591">
        <f t="shared" si="521"/>
        <v>1686.1500625351919</v>
      </c>
      <c r="U194" s="591">
        <f t="shared" si="521"/>
        <v>1789.1641143427462</v>
      </c>
      <c r="W194" s="587" t="str">
        <f>Y194</f>
        <v>Renowave</v>
      </c>
      <c r="Y194" s="1226" t="str">
        <f>'EE Measures'!$II$6</f>
        <v>Renowave</v>
      </c>
      <c r="Z194" s="1225"/>
      <c r="AA194" s="1225"/>
      <c r="AB194" s="1225"/>
      <c r="AC194" s="1225"/>
      <c r="AD194" s="1225"/>
      <c r="AE194" s="1225"/>
      <c r="AF194" s="1225"/>
      <c r="AG194" s="1225"/>
      <c r="AH194" s="1225"/>
      <c r="AI194" s="1225"/>
      <c r="AJ194" s="1225"/>
      <c r="AK194" s="1225"/>
      <c r="AL194" s="1225"/>
      <c r="AM194" s="1225"/>
      <c r="AN194" s="1225"/>
      <c r="AO194" s="1225"/>
    </row>
    <row r="195" spans="3:41" hidden="1" outlineLevel="1" x14ac:dyDescent="0.3">
      <c r="C195" s="587" t="str">
        <f>C194</f>
        <v>VA</v>
      </c>
      <c r="E195" s="563" t="s">
        <v>50</v>
      </c>
      <c r="F195" s="592">
        <f>SUM(G195:P195)</f>
        <v>1292.2789127425081</v>
      </c>
      <c r="G195" s="593" cm="1">
        <f t="array" ref="G195">SUMPRODUCT('EE Measures'!GP$8:GP$86,'EE Measures'!$IH$8:$IH$86,--('EE Measures'!$B$8:$B$86='Pathway Analysis'!$E195))+(SUMPRODUCT('EE Measures'!GP$8:GP$86,'EE Measures'!$IH$8:$IH$86,--('EE Measures'!$B$8:$B$86="Cross-sectoral"))*(G10/$H$9))+G177</f>
        <v>230.95891466181632</v>
      </c>
      <c r="H195" s="593" cm="1">
        <f t="array" ref="H195">SUMPRODUCT('EE Measures'!GQ$8:GQ$86,'EE Measures'!$IH$8:$IH$86,--('EE Measures'!$B$8:$B$86='Pathway Analysis'!$E195))+(SUMPRODUCT('EE Measures'!GQ$8:GQ$86,'EE Measures'!$IH$8:$IH$86,--('EE Measures'!$B$8:$B$86="Cross-sectoral"))*(H10/$H$9))+H177</f>
        <v>-161.10052215297077</v>
      </c>
      <c r="I195" s="593" cm="1">
        <f t="array" ref="I195">SUMPRODUCT('EE Measures'!GR$8:GR$86,'EE Measures'!$IH$8:$IH$86,--('EE Measures'!$B$8:$B$86='Pathway Analysis'!$E195))+(SUMPRODUCT('EE Measures'!GR$8:GR$86,'EE Measures'!$IH$8:$IH$86,--('EE Measures'!$B$8:$B$86="Cross-sectoral"))*(I10/$H$9))+I177</f>
        <v>16.684774517827552</v>
      </c>
      <c r="J195" s="593" cm="1">
        <f t="array" ref="J195">SUMPRODUCT('EE Measures'!GS$8:GS$86,'EE Measures'!$IH$8:$IH$86,--('EE Measures'!$B$8:$B$86='Pathway Analysis'!$E195))+(SUMPRODUCT('EE Measures'!GS$8:GS$86,'EE Measures'!$IH$8:$IH$86,--('EE Measures'!$B$8:$B$86="Cross-sectoral"))*(J10/$H$9))+J177</f>
        <v>36.225466061630989</v>
      </c>
      <c r="K195" s="593" cm="1">
        <f t="array" ref="K195">SUMPRODUCT('EE Measures'!GT$8:GT$86,'EE Measures'!$IH$8:$IH$86,--('EE Measures'!$B$8:$B$86='Pathway Analysis'!$E195))+(SUMPRODUCT('EE Measures'!GT$8:GT$86,'EE Measures'!$IH$8:$IH$86,--('EE Measures'!$B$8:$B$86="Cross-sectoral"))*(K10/$H$9))+K177</f>
        <v>93.842883317035557</v>
      </c>
      <c r="L195" s="593" cm="1">
        <f t="array" ref="L195">SUMPRODUCT('EE Measures'!GU$8:GU$86,'EE Measures'!$IH$8:$IH$86,--('EE Measures'!$B$8:$B$86='Pathway Analysis'!$E195))+(SUMPRODUCT('EE Measures'!GU$8:GU$86,'EE Measures'!$IH$8:$IH$86,--('EE Measures'!$B$8:$B$86="Cross-sectoral"))*(L10/$H$9))+L177</f>
        <v>139.70914743908813</v>
      </c>
      <c r="M195" s="593" cm="1">
        <f t="array" ref="M195">SUMPRODUCT('EE Measures'!GV$8:GV$86,'EE Measures'!$IH$8:$IH$86,--('EE Measures'!$B$8:$B$86='Pathway Analysis'!$E195))+(SUMPRODUCT('EE Measures'!GV$8:GV$86,'EE Measures'!$IH$8:$IH$86,--('EE Measures'!$B$8:$B$86="Cross-sectoral"))*(M10/$H$9))+M177</f>
        <v>180.6529894356627</v>
      </c>
      <c r="N195" s="593" cm="1">
        <f t="array" ref="N195">SUMPRODUCT('EE Measures'!GW$8:GW$86,'EE Measures'!$IH$8:$IH$86,--('EE Measures'!$B$8:$B$86='Pathway Analysis'!$E195))+(SUMPRODUCT('EE Measures'!GW$8:GW$86,'EE Measures'!$IH$8:$IH$86,--('EE Measures'!$B$8:$B$86="Cross-sectoral"))*(N10/$H$9))+N177</f>
        <v>211.78419418193488</v>
      </c>
      <c r="O195" s="593" cm="1">
        <f t="array" ref="O195">SUMPRODUCT('EE Measures'!GX$8:GX$86,'EE Measures'!$IH$8:$IH$86,--('EE Measures'!$B$8:$B$86='Pathway Analysis'!$E195))+(SUMPRODUCT('EE Measures'!GX$8:GX$86,'EE Measures'!$IH$8:$IH$86,--('EE Measures'!$B$8:$B$86="Cross-sectoral"))*(O10/$H$9))+O177</f>
        <v>253.96056240412048</v>
      </c>
      <c r="P195" s="593" cm="1">
        <f t="array" ref="P195">SUMPRODUCT('EE Measures'!GY$8:GY$86,'EE Measures'!$IH$8:$IH$86,--('EE Measures'!$B$8:$B$86='Pathway Analysis'!$E195))+(SUMPRODUCT('EE Measures'!GY$8:GY$86,'EE Measures'!$IH$8:$IH$86,--('EE Measures'!$B$8:$B$86="Cross-sectoral"))*(P10/$H$9))+P177</f>
        <v>289.56050287636197</v>
      </c>
      <c r="Q195" s="593" cm="1">
        <f t="array" ref="Q195">SUMPRODUCT('EE Measures'!GZ$8:GZ$86,'EE Measures'!$IH$8:$IH$86,--('EE Measures'!$B$8:$B$86='Pathway Analysis'!$E195))+(SUMPRODUCT('EE Measures'!GZ$8:GZ$86,'EE Measures'!$IH$8:$IH$86,--('EE Measures'!$B$8:$B$86="Cross-sectoral"))*(Q10/$H$9))+Q177</f>
        <v>116.57435603274033</v>
      </c>
      <c r="R195" s="593" cm="1">
        <f t="array" ref="R195">SUMPRODUCT('EE Measures'!HA$8:HA$86,'EE Measures'!$IH$8:$IH$86,--('EE Measures'!$B$8:$B$86='Pathway Analysis'!$E195))+(SUMPRODUCT('EE Measures'!HA$8:HA$86,'EE Measures'!$IH$8:$IH$86,--('EE Measures'!$B$8:$B$86="Cross-sectoral"))*(R10/$H$9))+R177</f>
        <v>578.18879520223982</v>
      </c>
      <c r="S195" s="593" cm="1">
        <f t="array" ref="S195">SUMPRODUCT('EE Measures'!HB$8:HB$86,'EE Measures'!$IH$8:$IH$86,--('EE Measures'!$B$8:$B$86='Pathway Analysis'!$E195))+(SUMPRODUCT('EE Measures'!HB$8:HB$86,'EE Measures'!$IH$8:$IH$86,--('EE Measures'!$B$8:$B$86="Cross-sectoral"))*(S10/$H$9))+S177</f>
        <v>661.17946407660861</v>
      </c>
      <c r="T195" s="593" cm="1">
        <f t="array" ref="T195">SUMPRODUCT('EE Measures'!HC$8:HC$86,'EE Measures'!$IH$8:$IH$86,--('EE Measures'!$B$8:$B$86='Pathway Analysis'!$E195))+(SUMPRODUCT('EE Measures'!HC$8:HC$86,'EE Measures'!$IH$8:$IH$86,--('EE Measures'!$B$8:$B$86="Cross-sectoral"))*(T10/$H$9))+T177</f>
        <v>722.46783314406696</v>
      </c>
      <c r="U195" s="593" cm="1">
        <f t="array" ref="U195">SUMPRODUCT('EE Measures'!HD$8:HD$86,'EE Measures'!$IH$8:$IH$86,--('EE Measures'!$B$8:$B$86='Pathway Analysis'!$E195))+(SUMPRODUCT('EE Measures'!HD$8:HD$86,'EE Measures'!$IH$8:$IH$86,--('EE Measures'!$B$8:$B$86="Cross-sectoral"))*(U10/$H$9))+U177</f>
        <v>779.61242890779556</v>
      </c>
      <c r="W195" s="587" t="str">
        <f>W194</f>
        <v>Renowave</v>
      </c>
      <c r="Y195" s="554" t="s">
        <v>407</v>
      </c>
      <c r="Z195" s="645">
        <f>SUM(AA195:AJ195)</f>
        <v>1.6362986150153995</v>
      </c>
      <c r="AA195" s="998">
        <f>-SUMPRODUCT(AA$34:AA$38,Assumptions!$D$565:$D$569)</f>
        <v>2.4815119847171063E-2</v>
      </c>
      <c r="AB195" s="998">
        <f>-SUMPRODUCT(AB$34:AB$38,Assumptions!$D$565:$D$569)</f>
        <v>3.0107957820911004E-2</v>
      </c>
      <c r="AC195" s="998">
        <f>-SUMPRODUCT(AC$34:AC$38,Assumptions!$D$565:$D$569)</f>
        <v>3.4207482606761215E-2</v>
      </c>
      <c r="AD195" s="998">
        <f>-SUMPRODUCT(AD$34:AD$38,Assumptions!$D$565:$D$569)</f>
        <v>6.9492224605704353E-2</v>
      </c>
      <c r="AE195" s="998">
        <f>-SUMPRODUCT(AE$34:AE$38,Assumptions!$D$565:$D$569)</f>
        <v>0.13440905501397987</v>
      </c>
      <c r="AF195" s="998">
        <f>-SUMPRODUCT(AF$34:AF$38,Assumptions!$D$565:$D$569)</f>
        <v>0.17258191327355329</v>
      </c>
      <c r="AG195" s="998">
        <f>-SUMPRODUCT(AG$34:AG$38,Assumptions!$D$565:$D$569)</f>
        <v>0.24578792156680387</v>
      </c>
      <c r="AH195" s="998">
        <f>-SUMPRODUCT(AH$34:AH$38,Assumptions!$D$565:$D$569)</f>
        <v>0.2771645577114335</v>
      </c>
      <c r="AI195" s="998">
        <f>-SUMPRODUCT(AI$34:AI$38,Assumptions!$D$565:$D$569)</f>
        <v>0.30842111128661809</v>
      </c>
      <c r="AJ195" s="998">
        <f>-SUMPRODUCT(AJ$34:AJ$38,Assumptions!$D$565:$D$569)</f>
        <v>0.33931127128246302</v>
      </c>
      <c r="AK195" s="998">
        <f>-SUMPRODUCT(AK$34:AK$38,Assumptions!$D$565:$D$569)</f>
        <v>0.36376048256109988</v>
      </c>
      <c r="AL195" s="998">
        <f>-SUMPRODUCT(AL$34:AL$38,Assumptions!$D$565:$D$569)</f>
        <v>0.3880649652512233</v>
      </c>
      <c r="AM195" s="998">
        <f>-SUMPRODUCT(AM$34:AM$38,Assumptions!$D$565:$D$569)</f>
        <v>0.41222787002228223</v>
      </c>
      <c r="AN195" s="998">
        <f>-SUMPRODUCT(AN$34:AN$38,Assumptions!$D$565:$D$569)</f>
        <v>0.43625229013588002</v>
      </c>
      <c r="AO195" s="998">
        <f>-SUMPRODUCT(AO$34:AO$38,Assumptions!$D$565:$D$569)</f>
        <v>0.46012272417439731</v>
      </c>
    </row>
    <row r="196" spans="3:41" hidden="1" outlineLevel="1" x14ac:dyDescent="0.3">
      <c r="C196" s="587" t="str">
        <f t="shared" ref="C196:C199" si="522">C195</f>
        <v>VA</v>
      </c>
      <c r="E196" s="563" t="s">
        <v>51</v>
      </c>
      <c r="F196" s="592">
        <f t="shared" ref="F196:F199" si="523">SUM(G196:P196)</f>
        <v>1002.5211223451081</v>
      </c>
      <c r="G196" s="593" cm="1">
        <f t="array" ref="G196">SUMPRODUCT('EE Measures'!GP$8:GP$86,'EE Measures'!$IH$8:$IH$86,--('EE Measures'!$B$8:$B$86='Pathway Analysis'!$E196))+(SUMPRODUCT('EE Measures'!GP$8:GP$86,'EE Measures'!$IH$8:$IH$86,--('EE Measures'!$B$8:$B$86="Cross-sectoral"))*(G11/$H$9))+G178</f>
        <v>22.187423222498907</v>
      </c>
      <c r="H196" s="593" cm="1">
        <f t="array" ref="H196">SUMPRODUCT('EE Measures'!GQ$8:GQ$86,'EE Measures'!$IH$8:$IH$86,--('EE Measures'!$B$8:$B$86='Pathway Analysis'!$E196))+(SUMPRODUCT('EE Measures'!GQ$8:GQ$86,'EE Measures'!$IH$8:$IH$86,--('EE Measures'!$B$8:$B$86="Cross-sectoral"))*(H11/$H$9))+H178</f>
        <v>10.014481661804284</v>
      </c>
      <c r="I196" s="593" cm="1">
        <f t="array" ref="I196">SUMPRODUCT('EE Measures'!GR$8:GR$86,'EE Measures'!$IH$8:$IH$86,--('EE Measures'!$B$8:$B$86='Pathway Analysis'!$E196))+(SUMPRODUCT('EE Measures'!GR$8:GR$86,'EE Measures'!$IH$8:$IH$86,--('EE Measures'!$B$8:$B$86="Cross-sectoral"))*(I11/$H$9))+I178</f>
        <v>12.875224448526115</v>
      </c>
      <c r="J196" s="593" cm="1">
        <f t="array" ref="J196">SUMPRODUCT('EE Measures'!GS$8:GS$86,'EE Measures'!$IH$8:$IH$86,--('EE Measures'!$B$8:$B$86='Pathway Analysis'!$E196))+(SUMPRODUCT('EE Measures'!GS$8:GS$86,'EE Measures'!$IH$8:$IH$86,--('EE Measures'!$B$8:$B$86="Cross-sectoral"))*(J11/$H$9))+J178</f>
        <v>34.994369319061413</v>
      </c>
      <c r="K196" s="593" cm="1">
        <f t="array" ref="K196">SUMPRODUCT('EE Measures'!GT$8:GT$86,'EE Measures'!$IH$8:$IH$86,--('EE Measures'!$B$8:$B$86='Pathway Analysis'!$E196))+(SUMPRODUCT('EE Measures'!GT$8:GT$86,'EE Measures'!$IH$8:$IH$86,--('EE Measures'!$B$8:$B$86="Cross-sectoral"))*(K11/$H$9))+K178</f>
        <v>81.846373806564372</v>
      </c>
      <c r="L196" s="593" cm="1">
        <f t="array" ref="L196">SUMPRODUCT('EE Measures'!GU$8:GU$86,'EE Measures'!$IH$8:$IH$86,--('EE Measures'!$B$8:$B$86='Pathway Analysis'!$E196))+(SUMPRODUCT('EE Measures'!GU$8:GU$86,'EE Measures'!$IH$8:$IH$86,--('EE Measures'!$B$8:$B$86="Cross-sectoral"))*(L11/$H$9))+L178</f>
        <v>115.46833326913689</v>
      </c>
      <c r="M196" s="593" cm="1">
        <f t="array" ref="M196">SUMPRODUCT('EE Measures'!GV$8:GV$86,'EE Measures'!$IH$8:$IH$86,--('EE Measures'!$B$8:$B$86='Pathway Analysis'!$E196))+(SUMPRODUCT('EE Measures'!GV$8:GV$86,'EE Measures'!$IH$8:$IH$86,--('EE Measures'!$B$8:$B$86="Cross-sectoral"))*(M11/$H$9))+M178</f>
        <v>145.14122882787044</v>
      </c>
      <c r="N196" s="593" cm="1">
        <f t="array" ref="N196">SUMPRODUCT('EE Measures'!GW$8:GW$86,'EE Measures'!$IH$8:$IH$86,--('EE Measures'!$B$8:$B$86='Pathway Analysis'!$E196))+(SUMPRODUCT('EE Measures'!GW$8:GW$86,'EE Measures'!$IH$8:$IH$86,--('EE Measures'!$B$8:$B$86="Cross-sectoral"))*(N11/$H$9))+N178</f>
        <v>172.79954378155526</v>
      </c>
      <c r="O196" s="593" cm="1">
        <f t="array" ref="O196">SUMPRODUCT('EE Measures'!GX$8:GX$86,'EE Measures'!$IH$8:$IH$86,--('EE Measures'!$B$8:$B$86='Pathway Analysis'!$E196))+(SUMPRODUCT('EE Measures'!GX$8:GX$86,'EE Measures'!$IH$8:$IH$86,--('EE Measures'!$B$8:$B$86="Cross-sectoral"))*(O11/$H$9))+O178</f>
        <v>197.44722752135985</v>
      </c>
      <c r="P196" s="593" cm="1">
        <f t="array" ref="P196">SUMPRODUCT('EE Measures'!GY$8:GY$86,'EE Measures'!$IH$8:$IH$86,--('EE Measures'!$B$8:$B$86='Pathway Analysis'!$E196))+(SUMPRODUCT('EE Measures'!GY$8:GY$86,'EE Measures'!$IH$8:$IH$86,--('EE Measures'!$B$8:$B$86="Cross-sectoral"))*(P11/$H$9))+P178</f>
        <v>209.74691648673061</v>
      </c>
      <c r="Q196" s="593" cm="1">
        <f t="array" ref="Q196">SUMPRODUCT('EE Measures'!GZ$8:GZ$86,'EE Measures'!$IH$8:$IH$86,--('EE Measures'!$B$8:$B$86='Pathway Analysis'!$E196))+(SUMPRODUCT('EE Measures'!GZ$8:GZ$86,'EE Measures'!$IH$8:$IH$86,--('EE Measures'!$B$8:$B$86="Cross-sectoral"))*(Q11/$H$9))+Q178</f>
        <v>36.409229174204583</v>
      </c>
      <c r="R196" s="593" cm="1">
        <f t="array" ref="R196">SUMPRODUCT('EE Measures'!HA$8:HA$86,'EE Measures'!$IH$8:$IH$86,--('EE Measures'!$B$8:$B$86='Pathway Analysis'!$E196))+(SUMPRODUCT('EE Measures'!HA$8:HA$86,'EE Measures'!$IH$8:$IH$86,--('EE Measures'!$B$8:$B$86="Cross-sectoral"))*(R11/$H$9))+R178</f>
        <v>385.18157265233242</v>
      </c>
      <c r="S196" s="593" cm="1">
        <f t="array" ref="S196">SUMPRODUCT('EE Measures'!HB$8:HB$86,'EE Measures'!$IH$8:$IH$86,--('EE Measures'!$B$8:$B$86='Pathway Analysis'!$E196))+(SUMPRODUCT('EE Measures'!HB$8:HB$86,'EE Measures'!$IH$8:$IH$86,--('EE Measures'!$B$8:$B$86="Cross-sectoral"))*(S11/$H$9))+S178</f>
        <v>425.46479337744211</v>
      </c>
      <c r="T196" s="593" cm="1">
        <f t="array" ref="T196">SUMPRODUCT('EE Measures'!HC$8:HC$86,'EE Measures'!$IH$8:$IH$86,--('EE Measures'!$B$8:$B$86='Pathway Analysis'!$E196))+(SUMPRODUCT('EE Measures'!HC$8:HC$86,'EE Measures'!$IH$8:$IH$86,--('EE Measures'!$B$8:$B$86="Cross-sectoral"))*(T11/$H$9))+T178</f>
        <v>450.61780863969176</v>
      </c>
      <c r="U196" s="593" cm="1">
        <f t="array" ref="U196">SUMPRODUCT('EE Measures'!HD$8:HD$86,'EE Measures'!$IH$8:$IH$86,--('EE Measures'!$B$8:$B$86='Pathway Analysis'!$E196))+(SUMPRODUCT('EE Measures'!HD$8:HD$86,'EE Measures'!$IH$8:$IH$86,--('EE Measures'!$B$8:$B$86="Cross-sectoral"))*(U11/$H$9))+U178</f>
        <v>472.66642591209796</v>
      </c>
      <c r="W196" s="587" t="str">
        <f t="shared" ref="W196:W197" si="524">W195</f>
        <v>Renowave</v>
      </c>
      <c r="Y196" s="554" t="s">
        <v>408</v>
      </c>
      <c r="Z196" s="645">
        <f t="shared" ref="Z196:Z197" si="525">SUM(AA196:AJ196)</f>
        <v>2.8881203760643341</v>
      </c>
      <c r="AA196" s="997">
        <f>-SUMPRODUCT(AA$34:AA$38,Assumptions!$E$565:$E$569)</f>
        <v>2.7648524731747524E-2</v>
      </c>
      <c r="AB196" s="997">
        <f>-SUMPRODUCT(AB$34:AB$38,Assumptions!$E$565:$E$569)</f>
        <v>3.3641390394004406E-2</v>
      </c>
      <c r="AC196" s="997">
        <f>-SUMPRODUCT(AC$34:AC$38,Assumptions!$E$565:$E$569)</f>
        <v>3.8870382689245787E-2</v>
      </c>
      <c r="AD196" s="997">
        <f>-SUMPRODUCT(AD$34:AD$38,Assumptions!$E$565:$E$569)</f>
        <v>6.0772805238183035E-2</v>
      </c>
      <c r="AE196" s="997">
        <f>-SUMPRODUCT(AE$34:AE$38,Assumptions!$E$565:$E$569)</f>
        <v>0.18426062138994487</v>
      </c>
      <c r="AF196" s="997">
        <f>-SUMPRODUCT(AF$34:AF$38,Assumptions!$E$565:$E$569)</f>
        <v>0.2956962727039279</v>
      </c>
      <c r="AG196" s="997">
        <f>-SUMPRODUCT(AG$34:AG$38,Assumptions!$E$565:$E$569)</f>
        <v>0.40997158765310809</v>
      </c>
      <c r="AH196" s="997">
        <f>-SUMPRODUCT(AH$34:AH$38,Assumptions!$E$565:$E$569)</f>
        <v>0.51178815031045188</v>
      </c>
      <c r="AI196" s="997">
        <f>-SUMPRODUCT(AI$34:AI$38,Assumptions!$E$565:$E$569)</f>
        <v>0.61272119941194458</v>
      </c>
      <c r="AJ196" s="997">
        <f>-SUMPRODUCT(AJ$34:AJ$38,Assumptions!$E$565:$E$569)</f>
        <v>0.71274944154177611</v>
      </c>
      <c r="AK196" s="997">
        <f>-SUMPRODUCT(AK$34:AK$38,Assumptions!$E$565:$E$569)</f>
        <v>0.81088060311515953</v>
      </c>
      <c r="AL196" s="997">
        <f>-SUMPRODUCT(AL$34:AL$38,Assumptions!$E$565:$E$569)</f>
        <v>0.90817605905895848</v>
      </c>
      <c r="AM196" s="997">
        <f>-SUMPRODUCT(AM$34:AM$38,Assumptions!$E$565:$E$569)</f>
        <v>1.0046528852988272</v>
      </c>
      <c r="AN196" s="997">
        <f>-SUMPRODUCT(AN$34:AN$38,Assumptions!$E$565:$E$569)</f>
        <v>1.1003278332299831</v>
      </c>
      <c r="AO196" s="997">
        <f>-SUMPRODUCT(AO$34:AO$38,Assumptions!$E$565:$E$569)</f>
        <v>1.1950854190472349</v>
      </c>
    </row>
    <row r="197" spans="3:41" hidden="1" outlineLevel="1" x14ac:dyDescent="0.3">
      <c r="C197" s="587" t="str">
        <f t="shared" si="522"/>
        <v>VA</v>
      </c>
      <c r="E197" s="563" t="s">
        <v>52</v>
      </c>
      <c r="F197" s="592">
        <f t="shared" si="523"/>
        <v>575.14214084471325</v>
      </c>
      <c r="G197" s="593" cm="1">
        <f t="array" ref="G197">SUMPRODUCT('EE Measures'!GP$8:GP$86,'EE Measures'!$IH$8:$IH$86,--('EE Measures'!$B$8:$B$86='Pathway Analysis'!$E197))+(SUMPRODUCT('EE Measures'!GP$8:GP$86,'EE Measures'!$IH$8:$IH$86,--('EE Measures'!$B$8:$B$86="Cross-sectoral"))*(G12/$H$9))+G179</f>
        <v>9.7711008458184168</v>
      </c>
      <c r="H197" s="593" cm="1">
        <f t="array" ref="H197">SUMPRODUCT('EE Measures'!GQ$8:GQ$86,'EE Measures'!$IH$8:$IH$86,--('EE Measures'!$B$8:$B$86='Pathway Analysis'!$E197))+(SUMPRODUCT('EE Measures'!GQ$8:GQ$86,'EE Measures'!$IH$8:$IH$86,--('EE Measures'!$B$8:$B$86="Cross-sectoral"))*(H12/$H$9))+H179</f>
        <v>-1.740784433651628</v>
      </c>
      <c r="I197" s="593" cm="1">
        <f t="array" ref="I197">SUMPRODUCT('EE Measures'!GR$8:GR$86,'EE Measures'!$IH$8:$IH$86,--('EE Measures'!$B$8:$B$86='Pathway Analysis'!$E197))+(SUMPRODUCT('EE Measures'!GR$8:GR$86,'EE Measures'!$IH$8:$IH$86,--('EE Measures'!$B$8:$B$86="Cross-sectoral"))*(I12/$H$9))+I179</f>
        <v>-0.57736654227458928</v>
      </c>
      <c r="J197" s="593" cm="1">
        <f t="array" ref="J197">SUMPRODUCT('EE Measures'!GS$8:GS$86,'EE Measures'!$IH$8:$IH$86,--('EE Measures'!$B$8:$B$86='Pathway Analysis'!$E197))+(SUMPRODUCT('EE Measures'!GS$8:GS$86,'EE Measures'!$IH$8:$IH$86,--('EE Measures'!$B$8:$B$86="Cross-sectoral"))*(J12/$H$9))+J179</f>
        <v>10.848091925823578</v>
      </c>
      <c r="K197" s="593" cm="1">
        <f t="array" ref="K197">SUMPRODUCT('EE Measures'!GT$8:GT$86,'EE Measures'!$IH$8:$IH$86,--('EE Measures'!$B$8:$B$86='Pathway Analysis'!$E197))+(SUMPRODUCT('EE Measures'!GT$8:GT$86,'EE Measures'!$IH$8:$IH$86,--('EE Measures'!$B$8:$B$86="Cross-sectoral"))*(K12/$H$9))+K179</f>
        <v>41.623311052502956</v>
      </c>
      <c r="L197" s="593" cm="1">
        <f t="array" ref="L197">SUMPRODUCT('EE Measures'!GU$8:GU$86,'EE Measures'!$IH$8:$IH$86,--('EE Measures'!$B$8:$B$86='Pathway Analysis'!$E197))+(SUMPRODUCT('EE Measures'!GU$8:GU$86,'EE Measures'!$IH$8:$IH$86,--('EE Measures'!$B$8:$B$86="Cross-sectoral"))*(L12/$H$9))+L179</f>
        <v>65.094049639424981</v>
      </c>
      <c r="M197" s="593" cm="1">
        <f t="array" ref="M197">SUMPRODUCT('EE Measures'!GV$8:GV$86,'EE Measures'!$IH$8:$IH$86,--('EE Measures'!$B$8:$B$86='Pathway Analysis'!$E197))+(SUMPRODUCT('EE Measures'!GV$8:GV$86,'EE Measures'!$IH$8:$IH$86,--('EE Measures'!$B$8:$B$86="Cross-sectoral"))*(M12/$H$9))+M179</f>
        <v>86.398249974299105</v>
      </c>
      <c r="N197" s="593" cm="1">
        <f t="array" ref="N197">SUMPRODUCT('EE Measures'!GW$8:GW$86,'EE Measures'!$IH$8:$IH$86,--('EE Measures'!$B$8:$B$86='Pathway Analysis'!$E197))+(SUMPRODUCT('EE Measures'!GW$8:GW$86,'EE Measures'!$IH$8:$IH$86,--('EE Measures'!$B$8:$B$86="Cross-sectoral"))*(N12/$H$9))+N179</f>
        <v>105.9524779662818</v>
      </c>
      <c r="O197" s="593" cm="1">
        <f t="array" ref="O197">SUMPRODUCT('EE Measures'!GX$8:GX$86,'EE Measures'!$IH$8:$IH$86,--('EE Measures'!$B$8:$B$86='Pathway Analysis'!$E197))+(SUMPRODUCT('EE Measures'!GX$8:GX$86,'EE Measures'!$IH$8:$IH$86,--('EE Measures'!$B$8:$B$86="Cross-sectoral"))*(O12/$H$9))+O179</f>
        <v>123.6038658216923</v>
      </c>
      <c r="P197" s="593" cm="1">
        <f t="array" ref="P197">SUMPRODUCT('EE Measures'!GY$8:GY$86,'EE Measures'!$IH$8:$IH$86,--('EE Measures'!$B$8:$B$86='Pathway Analysis'!$E197))+(SUMPRODUCT('EE Measures'!GY$8:GY$86,'EE Measures'!$IH$8:$IH$86,--('EE Measures'!$B$8:$B$86="Cross-sectoral"))*(P12/$H$9))+P179</f>
        <v>134.16914459479636</v>
      </c>
      <c r="Q197" s="593" cm="1">
        <f t="array" ref="Q197">SUMPRODUCT('EE Measures'!GZ$8:GZ$86,'EE Measures'!$IH$8:$IH$86,--('EE Measures'!$B$8:$B$86='Pathway Analysis'!$E197))+(SUMPRODUCT('EE Measures'!GZ$8:GZ$86,'EE Measures'!$IH$8:$IH$86,--('EE Measures'!$B$8:$B$86="Cross-sectoral"))*(Q12/$H$9))+Q179</f>
        <v>62.05430232761946</v>
      </c>
      <c r="R197" s="593" cm="1">
        <f t="array" ref="R197">SUMPRODUCT('EE Measures'!HA$8:HA$86,'EE Measures'!$IH$8:$IH$86,--('EE Measures'!$B$8:$B$86='Pathway Analysis'!$E197))+(SUMPRODUCT('EE Measures'!HA$8:HA$86,'EE Measures'!$IH$8:$IH$86,--('EE Measures'!$B$8:$B$86="Cross-sectoral"))*(R12/$H$9))+R179</f>
        <v>240.98078337851092</v>
      </c>
      <c r="S197" s="593" cm="1">
        <f t="array" ref="S197">SUMPRODUCT('EE Measures'!HB$8:HB$86,'EE Measures'!$IH$8:$IH$86,--('EE Measures'!$B$8:$B$86='Pathway Analysis'!$E197))+(SUMPRODUCT('EE Measures'!HB$8:HB$86,'EE Measures'!$IH$8:$IH$86,--('EE Measures'!$B$8:$B$86="Cross-sectoral"))*(S12/$H$9))+S179</f>
        <v>267.90007417263035</v>
      </c>
      <c r="T197" s="593" cm="1">
        <f t="array" ref="T197">SUMPRODUCT('EE Measures'!HC$8:HC$86,'EE Measures'!$IH$8:$IH$86,--('EE Measures'!$B$8:$B$86='Pathway Analysis'!$E197))+(SUMPRODUCT('EE Measures'!HC$8:HC$86,'EE Measures'!$IH$8:$IH$86,--('EE Measures'!$B$8:$B$86="Cross-sectoral"))*(T12/$H$9))+T179</f>
        <v>286.19082157894263</v>
      </c>
      <c r="U197" s="593" cm="1">
        <f t="array" ref="U197">SUMPRODUCT('EE Measures'!HD$8:HD$86,'EE Measures'!$IH$8:$IH$86,--('EE Measures'!$B$8:$B$86='Pathway Analysis'!$E197))+(SUMPRODUCT('EE Measures'!HD$8:HD$86,'EE Measures'!$IH$8:$IH$86,--('EE Measures'!$B$8:$B$86="Cross-sectoral"))*(U12/$H$9))+U179</f>
        <v>302.90735771916206</v>
      </c>
      <c r="W197" s="587" t="str">
        <f t="shared" si="524"/>
        <v>Renowave</v>
      </c>
      <c r="Y197" s="554" t="s">
        <v>409</v>
      </c>
      <c r="Z197" s="645">
        <f t="shared" si="525"/>
        <v>3.1231835566734785</v>
      </c>
      <c r="AA197" s="998">
        <f>-SUMPRODUCT(AA$34:AA$38,Assumptions!$F$565:$F$569)</f>
        <v>2.2439882361267493E-2</v>
      </c>
      <c r="AB197" s="998">
        <f>-SUMPRODUCT(AB$34:AB$38,Assumptions!$F$565:$F$569)</f>
        <v>2.8991086118725765E-2</v>
      </c>
      <c r="AC197" s="998">
        <f>-SUMPRODUCT(AC$34:AC$38,Assumptions!$F$565:$F$569)</f>
        <v>3.492559825887985E-2</v>
      </c>
      <c r="AD197" s="998">
        <f>-SUMPRODUCT(AD$34:AD$38,Assumptions!$F$565:$F$569)</f>
        <v>5.6141710493010082E-2</v>
      </c>
      <c r="AE197" s="998">
        <f>-SUMPRODUCT(AE$34:AE$38,Assumptions!$F$565:$F$569)</f>
        <v>0.19133519398181356</v>
      </c>
      <c r="AF197" s="998">
        <f>-SUMPRODUCT(AF$34:AF$38,Assumptions!$F$565:$F$569)</f>
        <v>0.31468440844328627</v>
      </c>
      <c r="AG197" s="998">
        <f>-SUMPRODUCT(AG$34:AG$38,Assumptions!$F$565:$F$569)</f>
        <v>0.44327291497794791</v>
      </c>
      <c r="AH197" s="998">
        <f>-SUMPRODUCT(AH$34:AH$38,Assumptions!$F$565:$F$569)</f>
        <v>0.56089515236866383</v>
      </c>
      <c r="AI197" s="998">
        <f>-SUMPRODUCT(AI$34:AI$38,Assumptions!$F$565:$F$569)</f>
        <v>0.67748461436502871</v>
      </c>
      <c r="AJ197" s="998">
        <f>-SUMPRODUCT(AJ$34:AJ$38,Assumptions!$F$565:$F$569)</f>
        <v>0.79301299530485492</v>
      </c>
      <c r="AK197" s="998">
        <f>-SUMPRODUCT(AK$34:AK$38,Assumptions!$F$565:$F$569)</f>
        <v>0.90633105251924639</v>
      </c>
      <c r="AL197" s="998">
        <f>-SUMPRODUCT(AL$34:AL$38,Assumptions!$F$565:$F$569)</f>
        <v>1.0186714560033059</v>
      </c>
      <c r="AM197" s="998">
        <f>-SUMPRODUCT(AM$34:AM$38,Assumptions!$F$565:$F$569)</f>
        <v>1.1300540655284981</v>
      </c>
      <c r="AN197" s="998">
        <f>-SUMPRODUCT(AN$34:AN$38,Assumptions!$F$565:$F$569)</f>
        <v>1.2404983619452641</v>
      </c>
      <c r="AO197" s="998">
        <f>-SUMPRODUCT(AO$34:AO$38,Assumptions!$F$565:$F$569)</f>
        <v>1.3498735219309848</v>
      </c>
    </row>
    <row r="198" spans="3:41" hidden="1" outlineLevel="1" x14ac:dyDescent="0.3">
      <c r="C198" s="587" t="str">
        <f t="shared" si="522"/>
        <v>VA</v>
      </c>
      <c r="E198" s="563" t="s">
        <v>53</v>
      </c>
      <c r="F198" s="592">
        <f t="shared" si="523"/>
        <v>597.43932994224247</v>
      </c>
      <c r="G198" s="593" cm="1">
        <f t="array" ref="G198">SUMPRODUCT('EE Measures'!GP$8:GP$86,'EE Measures'!$IH$8:$IH$86,--('EE Measures'!$B$8:$B$86='Pathway Analysis'!$E198))+(SUMPRODUCT('EE Measures'!GP$8:GP$86,'EE Measures'!$IH$8:$IH$86,--('EE Measures'!$B$8:$B$86="Cross-sectoral"))*(G13/$H$9))+G180</f>
        <v>-127.69402958498421</v>
      </c>
      <c r="H198" s="593" cm="1">
        <f t="array" ref="H198">SUMPRODUCT('EE Measures'!GQ$8:GQ$86,'EE Measures'!$IH$8:$IH$86,--('EE Measures'!$B$8:$B$86='Pathway Analysis'!$E198))+(SUMPRODUCT('EE Measures'!GQ$8:GQ$86,'EE Measures'!$IH$8:$IH$86,--('EE Measures'!$B$8:$B$86="Cross-sectoral"))*(H13/$H$9))+H180</f>
        <v>-0.91052347514860443</v>
      </c>
      <c r="I198" s="593" cm="1">
        <f t="array" ref="I198">SUMPRODUCT('EE Measures'!GR$8:GR$86,'EE Measures'!$IH$8:$IH$86,--('EE Measures'!$B$8:$B$86='Pathway Analysis'!$E198))+(SUMPRODUCT('EE Measures'!GR$8:GR$86,'EE Measures'!$IH$8:$IH$86,--('EE Measures'!$B$8:$B$86="Cross-sectoral"))*(I13/$H$9))+I180</f>
        <v>3.8503296415801422</v>
      </c>
      <c r="J198" s="593" cm="1">
        <f t="array" ref="J198">SUMPRODUCT('EE Measures'!GS$8:GS$86,'EE Measures'!$IH$8:$IH$86,--('EE Measures'!$B$8:$B$86='Pathway Analysis'!$E198))+(SUMPRODUCT('EE Measures'!GS$8:GS$86,'EE Measures'!$IH$8:$IH$86,--('EE Measures'!$B$8:$B$86="Cross-sectoral"))*(J13/$H$9))+J180</f>
        <v>26.181525749842397</v>
      </c>
      <c r="K198" s="593" cm="1">
        <f t="array" ref="K198">SUMPRODUCT('EE Measures'!GT$8:GT$86,'EE Measures'!$IH$8:$IH$86,--('EE Measures'!$B$8:$B$86='Pathway Analysis'!$E198))+(SUMPRODUCT('EE Measures'!GT$8:GT$86,'EE Measures'!$IH$8:$IH$86,--('EE Measures'!$B$8:$B$86="Cross-sectoral"))*(K13/$H$9))+K180</f>
        <v>59.139648218994338</v>
      </c>
      <c r="L198" s="593" cm="1">
        <f t="array" ref="L198">SUMPRODUCT('EE Measures'!GU$8:GU$86,'EE Measures'!$IH$8:$IH$86,--('EE Measures'!$B$8:$B$86='Pathway Analysis'!$E198))+(SUMPRODUCT('EE Measures'!GU$8:GU$86,'EE Measures'!$IH$8:$IH$86,--('EE Measures'!$B$8:$B$86="Cross-sectoral"))*(L13/$H$9))+L180</f>
        <v>71.990513416734728</v>
      </c>
      <c r="M198" s="593" cm="1">
        <f t="array" ref="M198">SUMPRODUCT('EE Measures'!GV$8:GV$86,'EE Measures'!$IH$8:$IH$86,--('EE Measures'!$B$8:$B$86='Pathway Analysis'!$E198))+(SUMPRODUCT('EE Measures'!GV$8:GV$86,'EE Measures'!$IH$8:$IH$86,--('EE Measures'!$B$8:$B$86="Cross-sectoral"))*(M13/$H$9))+M180</f>
        <v>123.07669352175819</v>
      </c>
      <c r="N198" s="593" cm="1">
        <f t="array" ref="N198">SUMPRODUCT('EE Measures'!GW$8:GW$86,'EE Measures'!$IH$8:$IH$86,--('EE Measures'!$B$8:$B$86='Pathway Analysis'!$E198))+(SUMPRODUCT('EE Measures'!GW$8:GW$86,'EE Measures'!$IH$8:$IH$86,--('EE Measures'!$B$8:$B$86="Cross-sectoral"))*(N13/$H$9))+N180</f>
        <v>135.56954537616096</v>
      </c>
      <c r="O198" s="593" cm="1">
        <f t="array" ref="O198">SUMPRODUCT('EE Measures'!GX$8:GX$86,'EE Measures'!$IH$8:$IH$86,--('EE Measures'!$B$8:$B$86='Pathway Analysis'!$E198))+(SUMPRODUCT('EE Measures'!GX$8:GX$86,'EE Measures'!$IH$8:$IH$86,--('EE Measures'!$B$8:$B$86="Cross-sectoral"))*(O13/$H$9))+O180</f>
        <v>147.9673847825533</v>
      </c>
      <c r="P198" s="593" cm="1">
        <f t="array" ref="P198">SUMPRODUCT('EE Measures'!GY$8:GY$86,'EE Measures'!$IH$8:$IH$86,--('EE Measures'!$B$8:$B$86='Pathway Analysis'!$E198))+(SUMPRODUCT('EE Measures'!GY$8:GY$86,'EE Measures'!$IH$8:$IH$86,--('EE Measures'!$B$8:$B$86="Cross-sectoral"))*(P13/$H$9))+P180</f>
        <v>158.2682422947513</v>
      </c>
      <c r="Q198" s="593" cm="1">
        <f t="array" ref="Q198">SUMPRODUCT('EE Measures'!GZ$8:GZ$86,'EE Measures'!$IH$8:$IH$86,--('EE Measures'!$B$8:$B$86='Pathway Analysis'!$E198))+(SUMPRODUCT('EE Measures'!GZ$8:GZ$86,'EE Measures'!$IH$8:$IH$86,--('EE Measures'!$B$8:$B$86="Cross-sectoral"))*(Q13/$H$9))+Q180</f>
        <v>139.28597939923444</v>
      </c>
      <c r="R198" s="593" cm="1">
        <f t="array" ref="R198">SUMPRODUCT('EE Measures'!HA$8:HA$86,'EE Measures'!$IH$8:$IH$86,--('EE Measures'!$B$8:$B$86='Pathway Analysis'!$E198))+(SUMPRODUCT('EE Measures'!HA$8:HA$86,'EE Measures'!$IH$8:$IH$86,--('EE Measures'!$B$8:$B$86="Cross-sectoral"))*(R13/$H$9))+R180</f>
        <v>193.63003597790149</v>
      </c>
      <c r="S198" s="593" cm="1">
        <f t="array" ref="S198">SUMPRODUCT('EE Measures'!HB$8:HB$86,'EE Measures'!$IH$8:$IH$86,--('EE Measures'!$B$8:$B$86='Pathway Analysis'!$E198))+(SUMPRODUCT('EE Measures'!HB$8:HB$86,'EE Measures'!$IH$8:$IH$86,--('EE Measures'!$B$8:$B$86="Cross-sectoral"))*(S13/$H$9))+S180</f>
        <v>202.86341137156134</v>
      </c>
      <c r="T198" s="593" cm="1">
        <f t="array" ref="T198">SUMPRODUCT('EE Measures'!HC$8:HC$86,'EE Measures'!$IH$8:$IH$86,--('EE Measures'!$B$8:$B$86='Pathway Analysis'!$E198))+(SUMPRODUCT('EE Measures'!HC$8:HC$86,'EE Measures'!$IH$8:$IH$86,--('EE Measures'!$B$8:$B$86="Cross-sectoral"))*(T13/$H$9))+T180</f>
        <v>210.11985694950866</v>
      </c>
      <c r="U198" s="593" cm="1">
        <f t="array" ref="U198">SUMPRODUCT('EE Measures'!HD$8:HD$86,'EE Measures'!$IH$8:$IH$86,--('EE Measures'!$B$8:$B$86='Pathway Analysis'!$E198))+(SUMPRODUCT('EE Measures'!HD$8:HD$86,'EE Measures'!$IH$8:$IH$86,--('EE Measures'!$B$8:$B$86="Cross-sectoral"))*(U13/$H$9))+U180</f>
        <v>217.27794364077766</v>
      </c>
      <c r="W198" s="587" t="str">
        <f>Y198</f>
        <v>EET</v>
      </c>
      <c r="Y198" s="1226" t="str">
        <f>'EE Measures'!$IJ$6</f>
        <v>EET</v>
      </c>
      <c r="Z198" s="1225"/>
      <c r="AA198" s="1225"/>
      <c r="AB198" s="1225"/>
      <c r="AC198" s="1225"/>
      <c r="AD198" s="1225"/>
      <c r="AE198" s="1225"/>
      <c r="AF198" s="1225"/>
      <c r="AG198" s="1225"/>
      <c r="AH198" s="1225"/>
      <c r="AI198" s="1225"/>
      <c r="AJ198" s="1225"/>
      <c r="AK198" s="1225"/>
      <c r="AL198" s="1225"/>
      <c r="AM198" s="1225"/>
      <c r="AN198" s="1225"/>
      <c r="AO198" s="1225"/>
    </row>
    <row r="199" spans="3:41" hidden="1" outlineLevel="1" x14ac:dyDescent="0.3">
      <c r="C199" s="587" t="str">
        <f t="shared" si="522"/>
        <v>VA</v>
      </c>
      <c r="E199" s="563" t="s">
        <v>54</v>
      </c>
      <c r="F199" s="592">
        <f t="shared" si="523"/>
        <v>159.5135201202433</v>
      </c>
      <c r="G199" s="593" cm="1">
        <f t="array" ref="G199">SUMPRODUCT('EE Measures'!GP$8:GP$86,'EE Measures'!$IH$8:$IH$86,--('EE Measures'!$B$8:$B$86='Pathway Analysis'!$E199))+(SUMPRODUCT('EE Measures'!GP$8:GP$86,'EE Measures'!$IH$8:$IH$86,--('EE Measures'!$B$8:$B$86="Cross-sectoral"))*(G14/$H$9))+G181</f>
        <v>101.05380047343741</v>
      </c>
      <c r="H199" s="593" cm="1">
        <f t="array" ref="H199">SUMPRODUCT('EE Measures'!GQ$8:GQ$86,'EE Measures'!$IH$8:$IH$86,--('EE Measures'!$B$8:$B$86='Pathway Analysis'!$E199))+(SUMPRODUCT('EE Measures'!GQ$8:GQ$86,'EE Measures'!$IH$8:$IH$86,--('EE Measures'!$B$8:$B$86="Cross-sectoral"))*(H14/$H$9))+H181</f>
        <v>1.5181007238715616</v>
      </c>
      <c r="I199" s="593" cm="1">
        <f t="array" ref="I199">SUMPRODUCT('EE Measures'!GR$8:GR$86,'EE Measures'!$IH$8:$IH$86,--('EE Measures'!$B$8:$B$86='Pathway Analysis'!$E199))+(SUMPRODUCT('EE Measures'!GR$8:GR$86,'EE Measures'!$IH$8:$IH$86,--('EE Measures'!$B$8:$B$86="Cross-sectoral"))*(I14/$H$9))+I181</f>
        <v>1.701448064826754</v>
      </c>
      <c r="J199" s="593" cm="1">
        <f t="array" ref="J199">SUMPRODUCT('EE Measures'!GS$8:GS$86,'EE Measures'!$IH$8:$IH$86,--('EE Measures'!$B$8:$B$86='Pathway Analysis'!$E199))+(SUMPRODUCT('EE Measures'!GS$8:GS$86,'EE Measures'!$IH$8:$IH$86,--('EE Measures'!$B$8:$B$86="Cross-sectoral"))*(J14/$H$9))+J181</f>
        <v>3.7703932798922004</v>
      </c>
      <c r="K199" s="593" cm="1">
        <f t="array" ref="K199">SUMPRODUCT('EE Measures'!GT$8:GT$86,'EE Measures'!$IH$8:$IH$86,--('EE Measures'!$B$8:$B$86='Pathway Analysis'!$E199))+(SUMPRODUCT('EE Measures'!GT$8:GT$86,'EE Measures'!$IH$8:$IH$86,--('EE Measures'!$B$8:$B$86="Cross-sectoral"))*(K14/$H$9))+K181</f>
        <v>4.8384863631645452</v>
      </c>
      <c r="L199" s="593" cm="1">
        <f t="array" ref="L199">SUMPRODUCT('EE Measures'!GU$8:GU$86,'EE Measures'!$IH$8:$IH$86,--('EE Measures'!$B$8:$B$86='Pathway Analysis'!$E199))+(SUMPRODUCT('EE Measures'!GU$8:GU$86,'EE Measures'!$IH$8:$IH$86,--('EE Measures'!$B$8:$B$86="Cross-sectoral"))*(L14/$H$9))+L181</f>
        <v>4.948989735167304</v>
      </c>
      <c r="M199" s="593" cm="1">
        <f t="array" ref="M199">SUMPRODUCT('EE Measures'!GV$8:GV$86,'EE Measures'!$IH$8:$IH$86,--('EE Measures'!$B$8:$B$86='Pathway Analysis'!$E199))+(SUMPRODUCT('EE Measures'!GV$8:GV$86,'EE Measures'!$IH$8:$IH$86,--('EE Measures'!$B$8:$B$86="Cross-sectoral"))*(M14/$H$9))+M181</f>
        <v>7.2437730122449722</v>
      </c>
      <c r="N199" s="593" cm="1">
        <f t="array" ref="N199">SUMPRODUCT('EE Measures'!GW$8:GW$86,'EE Measures'!$IH$8:$IH$86,--('EE Measures'!$B$8:$B$86='Pathway Analysis'!$E199))+(SUMPRODUCT('EE Measures'!GW$8:GW$86,'EE Measures'!$IH$8:$IH$86,--('EE Measures'!$B$8:$B$86="Cross-sectoral"))*(N14/$H$9))+N181</f>
        <v>9.4595150141662732</v>
      </c>
      <c r="O199" s="593" cm="1">
        <f t="array" ref="O199">SUMPRODUCT('EE Measures'!GX$8:GX$86,'EE Measures'!$IH$8:$IH$86,--('EE Measures'!$B$8:$B$86='Pathway Analysis'!$E199))+(SUMPRODUCT('EE Measures'!GX$8:GX$86,'EE Measures'!$IH$8:$IH$86,--('EE Measures'!$B$8:$B$86="Cross-sectoral"))*(O14/$H$9))+O181</f>
        <v>11.595993574699891</v>
      </c>
      <c r="P199" s="593" cm="1">
        <f t="array" ref="P199">SUMPRODUCT('EE Measures'!GY$8:GY$86,'EE Measures'!$IH$8:$IH$86,--('EE Measures'!$B$8:$B$86='Pathway Analysis'!$E199))+(SUMPRODUCT('EE Measures'!GY$8:GY$86,'EE Measures'!$IH$8:$IH$86,--('EE Measures'!$B$8:$B$86="Cross-sectoral"))*(P14/$H$9))+P181</f>
        <v>13.383019878772394</v>
      </c>
      <c r="Q199" s="593" cm="1">
        <f t="array" ref="Q199">SUMPRODUCT('EE Measures'!GZ$8:GZ$86,'EE Measures'!$IH$8:$IH$86,--('EE Measures'!$B$8:$B$86='Pathway Analysis'!$E199))+(SUMPRODUCT('EE Measures'!GZ$8:GZ$86,'EE Measures'!$IH$8:$IH$86,--('EE Measures'!$B$8:$B$86="Cross-sectoral"))*(Q14/$H$9))+Q181</f>
        <v>9.4105910247349556</v>
      </c>
      <c r="R199" s="593" cm="1">
        <f t="array" ref="R199">SUMPRODUCT('EE Measures'!HA$8:HA$86,'EE Measures'!$IH$8:$IH$86,--('EE Measures'!$B$8:$B$86='Pathway Analysis'!$E199))+(SUMPRODUCT('EE Measures'!HA$8:HA$86,'EE Measures'!$IH$8:$IH$86,--('EE Measures'!$B$8:$B$86="Cross-sectoral"))*(R14/$H$9))+R181</f>
        <v>16.558762806592661</v>
      </c>
      <c r="S199" s="593" cm="1">
        <f t="array" ref="S199">SUMPRODUCT('EE Measures'!HB$8:HB$86,'EE Measures'!$IH$8:$IH$86,--('EE Measures'!$B$8:$B$86='Pathway Analysis'!$E199))+(SUMPRODUCT('EE Measures'!HB$8:HB$86,'EE Measures'!$IH$8:$IH$86,--('EE Measures'!$B$8:$B$86="Cross-sectoral"))*(S14/$H$9))+S181</f>
        <v>16.799795966593479</v>
      </c>
      <c r="T199" s="593" cm="1">
        <f t="array" ref="T199">SUMPRODUCT('EE Measures'!HC$8:HC$86,'EE Measures'!$IH$8:$IH$86,--('EE Measures'!$B$8:$B$86='Pathway Analysis'!$E199))+(SUMPRODUCT('EE Measures'!HC$8:HC$86,'EE Measures'!$IH$8:$IH$86,--('EE Measures'!$B$8:$B$86="Cross-sectoral"))*(T14/$H$9))+T181</f>
        <v>16.753742222981739</v>
      </c>
      <c r="U199" s="593" cm="1">
        <f t="array" ref="U199">SUMPRODUCT('EE Measures'!HD$8:HD$86,'EE Measures'!$IH$8:$IH$86,--('EE Measures'!$B$8:$B$86='Pathway Analysis'!$E199))+(SUMPRODUCT('EE Measures'!HD$8:HD$86,'EE Measures'!$IH$8:$IH$86,--('EE Measures'!$B$8:$B$86="Cross-sectoral"))*(U14/$H$9))+U181</f>
        <v>16.699958162912903</v>
      </c>
      <c r="W199" s="587" t="str">
        <f>W198</f>
        <v>EET</v>
      </c>
      <c r="Y199" s="554" t="s">
        <v>407</v>
      </c>
      <c r="Z199" s="645">
        <f>SUM(AA199:AJ199)</f>
        <v>2.8211642729326938</v>
      </c>
      <c r="AA199" s="998">
        <f>-SUMPRODUCT(AA$40:AA$44,Assumptions!$D$565:$D$569)</f>
        <v>3.2094877189698293E-2</v>
      </c>
      <c r="AB199" s="998">
        <f>-SUMPRODUCT(AB$40:AB$44,Assumptions!$D$565:$D$569)</f>
        <v>3.9485362072452179E-2</v>
      </c>
      <c r="AC199" s="998">
        <f>-SUMPRODUCT(AC$40:AC$44,Assumptions!$D$565:$D$569)</f>
        <v>4.5724699660391922E-2</v>
      </c>
      <c r="AD199" s="998">
        <f>-SUMPRODUCT(AD$40:AD$44,Assumptions!$D$565:$D$569)</f>
        <v>8.286741583007097E-2</v>
      </c>
      <c r="AE199" s="998">
        <f>-SUMPRODUCT(AE$40:AE$44,Assumptions!$D$565:$D$569)</f>
        <v>0.18582683192733718</v>
      </c>
      <c r="AF199" s="998">
        <f>-SUMPRODUCT(AF$40:AF$44,Assumptions!$D$565:$D$569)</f>
        <v>0.24186303039947282</v>
      </c>
      <c r="AG199" s="998">
        <f>-SUMPRODUCT(AG$40:AG$44,Assumptions!$D$565:$D$569)</f>
        <v>0.47487349834327192</v>
      </c>
      <c r="AH199" s="998">
        <f>-SUMPRODUCT(AH$40:AH$44,Assumptions!$D$565:$D$569)</f>
        <v>0.52393452833237641</v>
      </c>
      <c r="AI199" s="998">
        <f>-SUMPRODUCT(AI$40:AI$44,Assumptions!$D$565:$D$569)</f>
        <v>0.57301163633098684</v>
      </c>
      <c r="AJ199" s="998">
        <f>-SUMPRODUCT(AJ$40:AJ$44,Assumptions!$D$565:$D$569)</f>
        <v>0.6214823928466352</v>
      </c>
      <c r="AK199" s="998">
        <f>-SUMPRODUCT(AK$40:AK$44,Assumptions!$D$565:$D$569)</f>
        <v>0.64513417929056205</v>
      </c>
      <c r="AL199" s="998">
        <f>-SUMPRODUCT(AL$40:AL$44,Assumptions!$D$565:$D$569)</f>
        <v>0.66872084291439515</v>
      </c>
      <c r="AM199" s="998">
        <f>-SUMPRODUCT(AM$40:AM$44,Assumptions!$D$565:$D$569)</f>
        <v>0.69224397349016331</v>
      </c>
      <c r="AN199" s="998">
        <f>-SUMPRODUCT(AN$40:AN$44,Assumptions!$D$565:$D$569)</f>
        <v>0.71570513398788227</v>
      </c>
      <c r="AO199" s="998">
        <f>-SUMPRODUCT(AO$40:AO$44,Assumptions!$D$565:$D$569)</f>
        <v>0.73910172601381363</v>
      </c>
    </row>
    <row r="200" spans="3:41" hidden="1" outlineLevel="1" x14ac:dyDescent="0.3">
      <c r="C200" s="587" t="str">
        <f>E200</f>
        <v>Renowave</v>
      </c>
      <c r="E200" s="555" t="str">
        <f>'EE Measures'!$II$6</f>
        <v>Renowave</v>
      </c>
      <c r="F200" s="590">
        <f>SUM(G200:P200)</f>
        <v>4170.2965605948712</v>
      </c>
      <c r="G200" s="591">
        <f>SUM(G201:G205)</f>
        <v>236.27720961858685</v>
      </c>
      <c r="H200" s="591">
        <f>SUM(H201:H205)</f>
        <v>-152.21924767609516</v>
      </c>
      <c r="I200" s="591">
        <f t="shared" ref="I200:P200" si="526">SUM(I201:I205)</f>
        <v>34.534410130485973</v>
      </c>
      <c r="J200" s="591">
        <f t="shared" si="526"/>
        <v>103.59426347425102</v>
      </c>
      <c r="K200" s="591">
        <f t="shared" si="526"/>
        <v>316.95987644168952</v>
      </c>
      <c r="L200" s="591">
        <f t="shared" si="526"/>
        <v>471.55384214801961</v>
      </c>
      <c r="M200" s="591">
        <f t="shared" si="526"/>
        <v>646.62368743692355</v>
      </c>
      <c r="N200" s="591">
        <f t="shared" si="526"/>
        <v>754.73215944682931</v>
      </c>
      <c r="O200" s="591">
        <f t="shared" si="526"/>
        <v>852.71903626346864</v>
      </c>
      <c r="P200" s="591">
        <f t="shared" si="526"/>
        <v>905.52132331071152</v>
      </c>
      <c r="Q200" s="591">
        <f t="shared" ref="Q200:U200" si="527">SUM(Q201:Q205)</f>
        <v>321.39525597047719</v>
      </c>
      <c r="R200" s="591">
        <f t="shared" si="527"/>
        <v>1553.28211387685</v>
      </c>
      <c r="S200" s="591">
        <f t="shared" si="527"/>
        <v>1701.3058730092662</v>
      </c>
      <c r="T200" s="591">
        <f t="shared" si="527"/>
        <v>1795.2255522694759</v>
      </c>
      <c r="U200" s="591">
        <f t="shared" si="527"/>
        <v>1879.3063140439174</v>
      </c>
      <c r="W200" s="587" t="str">
        <f t="shared" ref="W200:W201" si="528">W199</f>
        <v>EET</v>
      </c>
      <c r="Y200" s="554" t="s">
        <v>408</v>
      </c>
      <c r="Z200" s="645">
        <f t="shared" ref="Z200:Z201" si="529">SUM(AA200:AJ200)</f>
        <v>1.9087547417359074</v>
      </c>
      <c r="AA200" s="997">
        <f>-SUMPRODUCT(AA$40:AA$44,Assumptions!$E$565:$E$569)</f>
        <v>2.8797004433753368E-2</v>
      </c>
      <c r="AB200" s="997">
        <f>-SUMPRODUCT(AB$40:AB$44,Assumptions!$E$565:$E$569)</f>
        <v>3.5120802128992198E-2</v>
      </c>
      <c r="AC200" s="997">
        <f>-SUMPRODUCT(AC$40:AC$44,Assumptions!$E$565:$E$569)</f>
        <v>4.0687378694376143E-2</v>
      </c>
      <c r="AD200" s="997">
        <f>-SUMPRODUCT(AD$40:AD$44,Assumptions!$E$565:$E$569)</f>
        <v>6.2882921675978878E-2</v>
      </c>
      <c r="AE200" s="997">
        <f>-SUMPRODUCT(AE$40:AE$44,Assumptions!$E$565:$E$569)</f>
        <v>0.13603039812430953</v>
      </c>
      <c r="AF200" s="997">
        <f>-SUMPRODUCT(AF$40:AF$44,Assumptions!$E$565:$E$569)</f>
        <v>0.19443425024823616</v>
      </c>
      <c r="AG200" s="997">
        <f>-SUMPRODUCT(AG$40:AG$44,Assumptions!$E$565:$E$569)</f>
        <v>0.27855332734403604</v>
      </c>
      <c r="AH200" s="997">
        <f>-SUMPRODUCT(AH$40:AH$44,Assumptions!$E$565:$E$569)</f>
        <v>0.32826527862296023</v>
      </c>
      <c r="AI200" s="997">
        <f>-SUMPRODUCT(AI$40:AI$44,Assumptions!$E$565:$E$569)</f>
        <v>0.37757890310586573</v>
      </c>
      <c r="AJ200" s="997">
        <f>-SUMPRODUCT(AJ$40:AJ$44,Assumptions!$E$565:$E$569)</f>
        <v>0.42640447735739928</v>
      </c>
      <c r="AK200" s="997">
        <f>-SUMPRODUCT(AK$40:AK$44,Assumptions!$E$565:$E$569)</f>
        <v>0.47087929016895541</v>
      </c>
      <c r="AL200" s="997">
        <f>-SUMPRODUCT(AL$40:AL$44,Assumptions!$E$565:$E$569)</f>
        <v>0.51496791637197759</v>
      </c>
      <c r="AM200" s="997">
        <f>-SUMPRODUCT(AM$40:AM$44,Assumptions!$E$565:$E$569)</f>
        <v>0.55867861779366745</v>
      </c>
      <c r="AN200" s="997">
        <f>-SUMPRODUCT(AN$40:AN$44,Assumptions!$E$565:$E$569)</f>
        <v>0.60201950455625075</v>
      </c>
      <c r="AO200" s="997">
        <f>-SUMPRODUCT(AO$40:AO$44,Assumptions!$E$565:$E$569)</f>
        <v>0.64495404028887393</v>
      </c>
    </row>
    <row r="201" spans="3:41" hidden="1" outlineLevel="1" x14ac:dyDescent="0.3">
      <c r="C201" s="587" t="str">
        <f>C200</f>
        <v>Renowave</v>
      </c>
      <c r="E201" s="563" t="s">
        <v>50</v>
      </c>
      <c r="F201" s="592">
        <f>SUM(G201:P201)</f>
        <v>772.60348316126078</v>
      </c>
      <c r="G201" s="593" cm="1">
        <f t="array" ref="G201">SUMPRODUCT('EE Measures'!GP$8:GP$86,'EE Measures'!$II$8:$II$86,--('EE Measures'!$B$8:$B$86='Pathway Analysis'!$E201))+(SUMPRODUCT('EE Measures'!GP$8:GP$86,'EE Measures'!$II$8:$II$86,--('EE Measures'!$B$8:$B$86="Cross-sectoral"))*(G10/$H$9))+G177</f>
        <v>230.95891466181632</v>
      </c>
      <c r="H201" s="593" cm="1">
        <f t="array" ref="H201">SUMPRODUCT('EE Measures'!GQ$8:GQ$86,'EE Measures'!$II$8:$II$86,--('EE Measures'!$B$8:$B$86='Pathway Analysis'!$E201))+(SUMPRODUCT('EE Measures'!GQ$8:GQ$86,'EE Measures'!$II$8:$II$86,--('EE Measures'!$B$8:$B$86="Cross-sectoral"))*(H10/$H$9))+H177</f>
        <v>-161.10052215297077</v>
      </c>
      <c r="I201" s="593" cm="1">
        <f t="array" ref="I201">SUMPRODUCT('EE Measures'!GR$8:GR$86,'EE Measures'!$II$8:$II$86,--('EE Measures'!$B$8:$B$86='Pathway Analysis'!$E201))+(SUMPRODUCT('EE Measures'!GR$8:GR$86,'EE Measures'!$II$8:$II$86,--('EE Measures'!$B$8:$B$86="Cross-sectoral"))*(I10/$H$9))+I177</f>
        <v>16.684774517827552</v>
      </c>
      <c r="J201" s="593" cm="1">
        <f t="array" ref="J201">SUMPRODUCT('EE Measures'!GS$8:GS$86,'EE Measures'!$II$8:$II$86,--('EE Measures'!$B$8:$B$86='Pathway Analysis'!$E201))+(SUMPRODUCT('EE Measures'!GS$8:GS$86,'EE Measures'!$II$8:$II$86,--('EE Measures'!$B$8:$B$86="Cross-sectoral"))*(J10/$H$9))+J177</f>
        <v>27.799883199631438</v>
      </c>
      <c r="K201" s="593" cm="1">
        <f t="array" ref="K201">SUMPRODUCT('EE Measures'!GT$8:GT$86,'EE Measures'!$II$8:$II$86,--('EE Measures'!$B$8:$B$86='Pathway Analysis'!$E201))+(SUMPRODUCT('EE Measures'!GT$8:GT$86,'EE Measures'!$II$8:$II$86,--('EE Measures'!$B$8:$B$86="Cross-sectoral"))*(K10/$H$9))+K177</f>
        <v>70.380317170753727</v>
      </c>
      <c r="L201" s="593" cm="1">
        <f t="array" ref="L201">SUMPRODUCT('EE Measures'!GU$8:GU$86,'EE Measures'!$II$8:$II$86,--('EE Measures'!$B$8:$B$86='Pathway Analysis'!$E201))+(SUMPRODUCT('EE Measures'!GU$8:GU$86,'EE Measures'!$II$8:$II$86,--('EE Measures'!$B$8:$B$86="Cross-sectoral"))*(L10/$H$9))+L177</f>
        <v>100.50889298349463</v>
      </c>
      <c r="M201" s="593" cm="1">
        <f t="array" ref="M201">SUMPRODUCT('EE Measures'!GV$8:GV$86,'EE Measures'!$II$8:$II$86,--('EE Measures'!$B$8:$B$86='Pathway Analysis'!$E201))+(SUMPRODUCT('EE Measures'!GV$8:GV$86,'EE Measures'!$II$8:$II$86,--('EE Measures'!$B$8:$B$86="Cross-sectoral"))*(M10/$H$9))+M177</f>
        <v>121.56373668056537</v>
      </c>
      <c r="N201" s="593" cm="1">
        <f t="array" ref="N201">SUMPRODUCT('EE Measures'!GW$8:GW$86,'EE Measures'!$II$8:$II$86,--('EE Measures'!$B$8:$B$86='Pathway Analysis'!$E201))+(SUMPRODUCT('EE Measures'!GW$8:GW$86,'EE Measures'!$II$8:$II$86,--('EE Measures'!$B$8:$B$86="Cross-sectoral"))*(N10/$H$9))+N177</f>
        <v>122.79744418844567</v>
      </c>
      <c r="O201" s="593" cm="1">
        <f t="array" ref="O201">SUMPRODUCT('EE Measures'!GX$8:GX$86,'EE Measures'!$II$8:$II$86,--('EE Measures'!$B$8:$B$86='Pathway Analysis'!$E201))+(SUMPRODUCT('EE Measures'!GX$8:GX$86,'EE Measures'!$II$8:$II$86,--('EE Measures'!$B$8:$B$86="Cross-sectoral"))*(O10/$H$9))+O177</f>
        <v>123.67252263485811</v>
      </c>
      <c r="P201" s="593" cm="1">
        <f t="array" ref="P201">SUMPRODUCT('EE Measures'!GY$8:GY$86,'EE Measures'!$II$8:$II$86,--('EE Measures'!$B$8:$B$86='Pathway Analysis'!$E201))+(SUMPRODUCT('EE Measures'!GY$8:GY$86,'EE Measures'!$II$8:$II$86,--('EE Measures'!$B$8:$B$86="Cross-sectoral"))*(P10/$H$9))+P177</f>
        <v>119.33751927683875</v>
      </c>
      <c r="Q201" s="593" cm="1">
        <f t="array" ref="Q201">SUMPRODUCT('EE Measures'!GZ$8:GZ$86,'EE Measures'!$II$8:$II$86,--('EE Measures'!$B$8:$B$86='Pathway Analysis'!$E201))+(SUMPRODUCT('EE Measures'!GZ$8:GZ$86,'EE Measures'!$II$8:$II$86,--('EE Measures'!$B$8:$B$86="Cross-sectoral"))*(Q10/$H$9))+Q177</f>
        <v>47.712790842621772</v>
      </c>
      <c r="R201" s="593" cm="1">
        <f t="array" ref="R201">SUMPRODUCT('EE Measures'!HA$8:HA$86,'EE Measures'!$II$8:$II$86,--('EE Measures'!$B$8:$B$86='Pathway Analysis'!$E201))+(SUMPRODUCT('EE Measures'!HA$8:HA$86,'EE Measures'!$II$8:$II$86,--('EE Measures'!$B$8:$B$86="Cross-sectoral"))*(R10/$H$9))+R177</f>
        <v>180.92022019661698</v>
      </c>
      <c r="S201" s="593" cm="1">
        <f t="array" ref="S201">SUMPRODUCT('EE Measures'!HB$8:HB$86,'EE Measures'!$II$8:$II$86,--('EE Measures'!$B$8:$B$86='Pathway Analysis'!$E201))+(SUMPRODUCT('EE Measures'!HB$8:HB$86,'EE Measures'!$II$8:$II$86,--('EE Measures'!$B$8:$B$86="Cross-sectoral"))*(S10/$H$9))+S177</f>
        <v>187.51891579542178</v>
      </c>
      <c r="T201" s="593" cm="1">
        <f t="array" ref="T201">SUMPRODUCT('EE Measures'!HC$8:HC$86,'EE Measures'!$II$8:$II$86,--('EE Measures'!$B$8:$B$86='Pathway Analysis'!$E201))+(SUMPRODUCT('EE Measures'!HC$8:HC$86,'EE Measures'!$II$8:$II$86,--('EE Measures'!$B$8:$B$86="Cross-sectoral"))*(T10/$H$9))+T177</f>
        <v>188.5804629137015</v>
      </c>
      <c r="U201" s="593" cm="1">
        <f t="array" ref="U201">SUMPRODUCT('EE Measures'!HD$8:HD$86,'EE Measures'!$II$8:$II$86,--('EE Measures'!$B$8:$B$86='Pathway Analysis'!$E201))+(SUMPRODUCT('EE Measures'!HD$8:HD$86,'EE Measures'!$II$8:$II$86,--('EE Measures'!$B$8:$B$86="Cross-sectoral"))*(U10/$H$9))+U177</f>
        <v>189.32272188157941</v>
      </c>
      <c r="W201" s="587" t="str">
        <f t="shared" si="528"/>
        <v>EET</v>
      </c>
      <c r="Y201" s="554" t="s">
        <v>409</v>
      </c>
      <c r="Z201" s="645">
        <f t="shared" si="529"/>
        <v>2.0034801200959138</v>
      </c>
      <c r="AA201" s="998">
        <f>-SUMPRODUCT(AA$40:AA$44,Assumptions!$F$565:$F$569)</f>
        <v>2.3878982091501404E-2</v>
      </c>
      <c r="AB201" s="998">
        <f>-SUMPRODUCT(AB$40:AB$44,Assumptions!$F$565:$F$569)</f>
        <v>3.0844859437494421E-2</v>
      </c>
      <c r="AC201" s="998">
        <f>-SUMPRODUCT(AC$40:AC$44,Assumptions!$F$565:$F$569)</f>
        <v>3.7202380735968758E-2</v>
      </c>
      <c r="AD201" s="998">
        <f>-SUMPRODUCT(AD$40:AD$44,Assumptions!$F$565:$F$569)</f>
        <v>5.8785786823737161E-2</v>
      </c>
      <c r="AE201" s="998">
        <f>-SUMPRODUCT(AE$40:AE$44,Assumptions!$F$565:$F$569)</f>
        <v>0.1360929681097115</v>
      </c>
      <c r="AF201" s="998">
        <f>-SUMPRODUCT(AF$40:AF$44,Assumptions!$F$565:$F$569)</f>
        <v>0.19813804664783524</v>
      </c>
      <c r="AG201" s="998">
        <f>-SUMPRODUCT(AG$40:AG$44,Assumptions!$F$565:$F$569)</f>
        <v>0.29404216590126503</v>
      </c>
      <c r="AH201" s="998">
        <f>-SUMPRODUCT(AH$40:AH$44,Assumptions!$F$565:$F$569)</f>
        <v>0.35143411175963662</v>
      </c>
      <c r="AI201" s="998">
        <f>-SUMPRODUCT(AI$40:AI$44,Assumptions!$F$565:$F$569)</f>
        <v>0.4083585506422604</v>
      </c>
      <c r="AJ201" s="998">
        <f>-SUMPRODUCT(AJ$40:AJ$44,Assumptions!$F$565:$F$569)</f>
        <v>0.46470226794650299</v>
      </c>
      <c r="AK201" s="998">
        <f>-SUMPRODUCT(AK$40:AK$44,Assumptions!$F$565:$F$569)</f>
        <v>0.51572004675476046</v>
      </c>
      <c r="AL201" s="998">
        <f>-SUMPRODUCT(AL$40:AL$44,Assumptions!$F$565:$F$569)</f>
        <v>0.56628320934899623</v>
      </c>
      <c r="AM201" s="998">
        <f>-SUMPRODUCT(AM$40:AM$44,Assumptions!$F$565:$F$569)</f>
        <v>0.6164013598631003</v>
      </c>
      <c r="AN201" s="998">
        <f>-SUMPRODUCT(AN$40:AN$44,Assumptions!$F$565:$F$569)</f>
        <v>0.6660839246008714</v>
      </c>
      <c r="AO201" s="998">
        <f>-SUMPRODUCT(AO$40:AO$44,Assumptions!$F$565:$F$569)</f>
        <v>0.71529114401017402</v>
      </c>
    </row>
    <row r="202" spans="3:41" hidden="1" outlineLevel="1" x14ac:dyDescent="0.3">
      <c r="C202" s="587" t="str">
        <f t="shared" ref="C202:C205" si="530">C201</f>
        <v>Renowave</v>
      </c>
      <c r="E202" s="563" t="s">
        <v>51</v>
      </c>
      <c r="F202" s="592">
        <f t="shared" ref="F202:F205" si="531">SUM(G202:P202)</f>
        <v>1810.8773665215192</v>
      </c>
      <c r="G202" s="593" cm="1">
        <f t="array" ref="G202">SUMPRODUCT('EE Measures'!GP$8:GP$86,'EE Measures'!$II$8:$II$86,--('EE Measures'!$B$8:$B$86='Pathway Analysis'!$E202))+(SUMPRODUCT('EE Measures'!GP$8:GP$86,'EE Measures'!$II$8:$II$86,--('EE Measures'!$B$8:$B$86="Cross-sectoral"))*(G11/$H$9))+G178</f>
        <v>22.187423222498907</v>
      </c>
      <c r="H202" s="593" cm="1">
        <f t="array" ref="H202">SUMPRODUCT('EE Measures'!GQ$8:GQ$86,'EE Measures'!$II$8:$II$86,--('EE Measures'!$B$8:$B$86='Pathway Analysis'!$E202))+(SUMPRODUCT('EE Measures'!GQ$8:GQ$86,'EE Measures'!$II$8:$II$86,--('EE Measures'!$B$8:$B$86="Cross-sectoral"))*(H11/$H$9))+H178</f>
        <v>10.014481661804284</v>
      </c>
      <c r="I202" s="593" cm="1">
        <f t="array" ref="I202">SUMPRODUCT('EE Measures'!GR$8:GR$86,'EE Measures'!$II$8:$II$86,--('EE Measures'!$B$8:$B$86='Pathway Analysis'!$E202))+(SUMPRODUCT('EE Measures'!GR$8:GR$86,'EE Measures'!$II$8:$II$86,--('EE Measures'!$B$8:$B$86="Cross-sectoral"))*(I11/$H$9))+I178</f>
        <v>12.875224448526115</v>
      </c>
      <c r="J202" s="593" cm="1">
        <f t="array" ref="J202">SUMPRODUCT('EE Measures'!GS$8:GS$86,'EE Measures'!$II$8:$II$86,--('EE Measures'!$B$8:$B$86='Pathway Analysis'!$E202))+(SUMPRODUCT('EE Measures'!GS$8:GS$86,'EE Measures'!$II$8:$II$86,--('EE Measures'!$B$8:$B$86="Cross-sectoral"))*(J11/$H$9))+J178</f>
        <v>34.994369319061413</v>
      </c>
      <c r="K202" s="593" cm="1">
        <f t="array" ref="K202">SUMPRODUCT('EE Measures'!GT$8:GT$86,'EE Measures'!$II$8:$II$86,--('EE Measures'!$B$8:$B$86='Pathway Analysis'!$E202))+(SUMPRODUCT('EE Measures'!GT$8:GT$86,'EE Measures'!$II$8:$II$86,--('EE Measures'!$B$8:$B$86="Cross-sectoral"))*(K11/$H$9))+K178</f>
        <v>126.86035148517774</v>
      </c>
      <c r="L202" s="593" cm="1">
        <f t="array" ref="L202">SUMPRODUCT('EE Measures'!GU$8:GU$86,'EE Measures'!$II$8:$II$86,--('EE Measures'!$B$8:$B$86='Pathway Analysis'!$E202))+(SUMPRODUCT('EE Measures'!GU$8:GU$86,'EE Measures'!$II$8:$II$86,--('EE Measures'!$B$8:$B$86="Cross-sectoral"))*(L11/$H$9))+L178</f>
        <v>201.91524991164999</v>
      </c>
      <c r="M202" s="593" cm="1">
        <f t="array" ref="M202">SUMPRODUCT('EE Measures'!GV$8:GV$86,'EE Measures'!$II$8:$II$86,--('EE Measures'!$B$8:$B$86='Pathway Analysis'!$E202))+(SUMPRODUCT('EE Measures'!GV$8:GV$86,'EE Measures'!$II$8:$II$86,--('EE Measures'!$B$8:$B$86="Cross-sectoral"))*(M11/$H$9))+M178</f>
        <v>269.37808151699443</v>
      </c>
      <c r="N202" s="593" cm="1">
        <f t="array" ref="N202">SUMPRODUCT('EE Measures'!GW$8:GW$86,'EE Measures'!$II$8:$II$86,--('EE Measures'!$B$8:$B$86='Pathway Analysis'!$E202))+(SUMPRODUCT('EE Measures'!GW$8:GW$86,'EE Measures'!$II$8:$II$86,--('EE Measures'!$B$8:$B$86="Cross-sectoral"))*(N11/$H$9))+N178</f>
        <v>331.20963118605016</v>
      </c>
      <c r="O202" s="593" cm="1">
        <f t="array" ref="O202">SUMPRODUCT('EE Measures'!GX$8:GX$86,'EE Measures'!$II$8:$II$86,--('EE Measures'!$B$8:$B$86='Pathway Analysis'!$E202))+(SUMPRODUCT('EE Measures'!GX$8:GX$86,'EE Measures'!$II$8:$II$86,--('EE Measures'!$B$8:$B$86="Cross-sectoral"))*(O11/$H$9))+O178</f>
        <v>386.41708577447758</v>
      </c>
      <c r="P202" s="593" cm="1">
        <f t="array" ref="P202">SUMPRODUCT('EE Measures'!GY$8:GY$86,'EE Measures'!$II$8:$II$86,--('EE Measures'!$B$8:$B$86='Pathway Analysis'!$E202))+(SUMPRODUCT('EE Measures'!GY$8:GY$86,'EE Measures'!$II$8:$II$86,--('EE Measures'!$B$8:$B$86="Cross-sectoral"))*(P11/$H$9))+P178</f>
        <v>415.02546799527869</v>
      </c>
      <c r="Q202" s="593" cm="1">
        <f t="array" ref="Q202">SUMPRODUCT('EE Measures'!GZ$8:GZ$86,'EE Measures'!$II$8:$II$86,--('EE Measures'!$B$8:$B$86='Pathway Analysis'!$E202))+(SUMPRODUCT('EE Measures'!GZ$8:GZ$86,'EE Measures'!$II$8:$II$86,--('EE Measures'!$B$8:$B$86="Cross-sectoral"))*(Q11/$H$9))+Q178</f>
        <v>36.409229174204583</v>
      </c>
      <c r="R202" s="593" cm="1">
        <f t="array" ref="R202">SUMPRODUCT('EE Measures'!HA$8:HA$86,'EE Measures'!$II$8:$II$86,--('EE Measures'!$B$8:$B$86='Pathway Analysis'!$E202))+(SUMPRODUCT('EE Measures'!HA$8:HA$86,'EE Measures'!$II$8:$II$86,--('EE Measures'!$B$8:$B$86="Cross-sectoral"))*(R11/$H$9))+R178</f>
        <v>797.73064524215772</v>
      </c>
      <c r="S202" s="593" cm="1">
        <f t="array" ref="S202">SUMPRODUCT('EE Measures'!HB$8:HB$86,'EE Measures'!$II$8:$II$86,--('EE Measures'!$B$8:$B$86='Pathway Analysis'!$E202))+(SUMPRODUCT('EE Measures'!HB$8:HB$86,'EE Measures'!$II$8:$II$86,--('EE Measures'!$B$8:$B$86="Cross-sectoral"))*(S11/$H$9))+S178</f>
        <v>887.91472915383133</v>
      </c>
      <c r="T202" s="593" cm="1">
        <f t="array" ref="T202">SUMPRODUCT('EE Measures'!HC$8:HC$86,'EE Measures'!$II$8:$II$86,--('EE Measures'!$B$8:$B$86='Pathway Analysis'!$E202))+(SUMPRODUCT('EE Measures'!HC$8:HC$86,'EE Measures'!$II$8:$II$86,--('EE Measures'!$B$8:$B$86="Cross-sectoral"))*(T11/$H$9))+T178</f>
        <v>945.14317385350546</v>
      </c>
      <c r="U202" s="593" cm="1">
        <f t="array" ref="U202">SUMPRODUCT('EE Measures'!HD$8:HD$86,'EE Measures'!$II$8:$II$86,--('EE Measures'!$B$8:$B$86='Pathway Analysis'!$E202))+(SUMPRODUCT('EE Measures'!HD$8:HD$86,'EE Measures'!$II$8:$II$86,--('EE Measures'!$B$8:$B$86="Cross-sectoral"))*(U11/$H$9))+U178</f>
        <v>995.49290751968613</v>
      </c>
      <c r="W202" s="587" t="str">
        <f>Y202</f>
        <v>CEER1</v>
      </c>
      <c r="Y202" s="1226" t="str">
        <f>'EE Measures'!$IK$6</f>
        <v>CEER1</v>
      </c>
      <c r="Z202" s="1225"/>
      <c r="AA202" s="1225"/>
      <c r="AB202" s="1225"/>
      <c r="AC202" s="1225"/>
      <c r="AD202" s="1225"/>
      <c r="AE202" s="1225"/>
      <c r="AF202" s="1225"/>
      <c r="AG202" s="1225"/>
      <c r="AH202" s="1225"/>
      <c r="AI202" s="1225"/>
      <c r="AJ202" s="1225"/>
      <c r="AK202" s="1225"/>
      <c r="AL202" s="1225"/>
      <c r="AM202" s="1225"/>
      <c r="AN202" s="1225"/>
      <c r="AO202" s="1225"/>
    </row>
    <row r="203" spans="3:41" hidden="1" outlineLevel="1" x14ac:dyDescent="0.3">
      <c r="C203" s="587" t="str">
        <f t="shared" si="530"/>
        <v>Renowave</v>
      </c>
      <c r="E203" s="563" t="s">
        <v>52</v>
      </c>
      <c r="F203" s="592">
        <f t="shared" si="531"/>
        <v>829.86286084960466</v>
      </c>
      <c r="G203" s="593" cm="1">
        <f t="array" ref="G203">SUMPRODUCT('EE Measures'!GP$8:GP$86,'EE Measures'!$II$8:$II$86,--('EE Measures'!$B$8:$B$86='Pathway Analysis'!$E203))+(SUMPRODUCT('EE Measures'!GP$8:GP$86,'EE Measures'!$II$8:$II$86,--('EE Measures'!$B$8:$B$86="Cross-sectoral"))*(G12/$H$9))+G179</f>
        <v>9.7711008458184168</v>
      </c>
      <c r="H203" s="593" cm="1">
        <f t="array" ref="H203">SUMPRODUCT('EE Measures'!GQ$8:GQ$86,'EE Measures'!$II$8:$II$86,--('EE Measures'!$B$8:$B$86='Pathway Analysis'!$E203))+(SUMPRODUCT('EE Measures'!GQ$8:GQ$86,'EE Measures'!$II$8:$II$86,--('EE Measures'!$B$8:$B$86="Cross-sectoral"))*(H12/$H$9))+H179</f>
        <v>-1.740784433651628</v>
      </c>
      <c r="I203" s="593" cm="1">
        <f t="array" ref="I203">SUMPRODUCT('EE Measures'!GR$8:GR$86,'EE Measures'!$II$8:$II$86,--('EE Measures'!$B$8:$B$86='Pathway Analysis'!$E203))+(SUMPRODUCT('EE Measures'!GR$8:GR$86,'EE Measures'!$II$8:$II$86,--('EE Measures'!$B$8:$B$86="Cross-sectoral"))*(I12/$H$9))+I179</f>
        <v>-0.57736654227458928</v>
      </c>
      <c r="J203" s="593" cm="1">
        <f t="array" ref="J203">SUMPRODUCT('EE Measures'!GS$8:GS$86,'EE Measures'!$II$8:$II$86,--('EE Measures'!$B$8:$B$86='Pathway Analysis'!$E203))+(SUMPRODUCT('EE Measures'!GS$8:GS$86,'EE Measures'!$II$8:$II$86,--('EE Measures'!$B$8:$B$86="Cross-sectoral"))*(J12/$H$9))+J179</f>
        <v>10.848091925823578</v>
      </c>
      <c r="K203" s="593" cm="1">
        <f t="array" ref="K203">SUMPRODUCT('EE Measures'!GT$8:GT$86,'EE Measures'!$II$8:$II$86,--('EE Measures'!$B$8:$B$86='Pathway Analysis'!$E203))+(SUMPRODUCT('EE Measures'!GT$8:GT$86,'EE Measures'!$II$8:$II$86,--('EE Measures'!$B$8:$B$86="Cross-sectoral"))*(K12/$H$9))+K179</f>
        <v>55.741073203599171</v>
      </c>
      <c r="L203" s="593" cm="1">
        <f t="array" ref="L203">SUMPRODUCT('EE Measures'!GU$8:GU$86,'EE Measures'!$II$8:$II$86,--('EE Measures'!$B$8:$B$86='Pathway Analysis'!$E203))+(SUMPRODUCT('EE Measures'!GU$8:GU$86,'EE Measures'!$II$8:$II$86,--('EE Measures'!$B$8:$B$86="Cross-sectoral"))*(L12/$H$9))+L179</f>
        <v>92.190196100972912</v>
      </c>
      <c r="M203" s="593" cm="1">
        <f t="array" ref="M203">SUMPRODUCT('EE Measures'!GV$8:GV$86,'EE Measures'!$II$8:$II$86,--('EE Measures'!$B$8:$B$86='Pathway Analysis'!$E203))+(SUMPRODUCT('EE Measures'!GV$8:GV$86,'EE Measures'!$II$8:$II$86,--('EE Measures'!$B$8:$B$86="Cross-sectoral"))*(M12/$H$9))+M179</f>
        <v>125.3614027053605</v>
      </c>
      <c r="N203" s="593" cm="1">
        <f t="array" ref="N203">SUMPRODUCT('EE Measures'!GW$8:GW$86,'EE Measures'!$II$8:$II$86,--('EE Measures'!$B$8:$B$86='Pathway Analysis'!$E203))+(SUMPRODUCT('EE Measures'!GW$8:GW$86,'EE Measures'!$II$8:$II$86,--('EE Measures'!$B$8:$B$86="Cross-sectoral"))*(N12/$H$9))+N179</f>
        <v>155.69602368200626</v>
      </c>
      <c r="O203" s="593" cm="1">
        <f t="array" ref="O203">SUMPRODUCT('EE Measures'!GX$8:GX$86,'EE Measures'!$II$8:$II$86,--('EE Measures'!$B$8:$B$86='Pathway Analysis'!$E203))+(SUMPRODUCT('EE Measures'!GX$8:GX$86,'EE Measures'!$II$8:$II$86,--('EE Measures'!$B$8:$B$86="Cross-sectoral"))*(O12/$H$9))+O179</f>
        <v>183.06604949687974</v>
      </c>
      <c r="P203" s="593" cm="1">
        <f t="array" ref="P203">SUMPRODUCT('EE Measures'!GY$8:GY$86,'EE Measures'!$II$8:$II$86,--('EE Measures'!$B$8:$B$86='Pathway Analysis'!$E203))+(SUMPRODUCT('EE Measures'!GY$8:GY$86,'EE Measures'!$II$8:$II$86,--('EE Measures'!$B$8:$B$86="Cross-sectoral"))*(P12/$H$9))+P179</f>
        <v>199.50707386507037</v>
      </c>
      <c r="Q203" s="593" cm="1">
        <f t="array" ref="Q203">SUMPRODUCT('EE Measures'!GZ$8:GZ$86,'EE Measures'!$II$8:$II$86,--('EE Measures'!$B$8:$B$86='Pathway Analysis'!$E203))+(SUMPRODUCT('EE Measures'!GZ$8:GZ$86,'EE Measures'!$II$8:$II$86,--('EE Measures'!$B$8:$B$86="Cross-sectoral"))*(Q12/$H$9))+Q179</f>
        <v>88.576665529681435</v>
      </c>
      <c r="R203" s="593" cm="1">
        <f t="array" ref="R203">SUMPRODUCT('EE Measures'!HA$8:HA$86,'EE Measures'!$II$8:$II$86,--('EE Measures'!$B$8:$B$86='Pathway Analysis'!$E203))+(SUMPRODUCT('EE Measures'!HA$8:HA$86,'EE Measures'!$II$8:$II$86,--('EE Measures'!$B$8:$B$86="Cross-sectoral"))*(R12/$H$9))+R179</f>
        <v>364.44244965358098</v>
      </c>
      <c r="S203" s="593" cm="1">
        <f t="array" ref="S203">SUMPRODUCT('EE Measures'!HB$8:HB$86,'EE Measures'!$II$8:$II$86,--('EE Measures'!$B$8:$B$86='Pathway Analysis'!$E203))+(SUMPRODUCT('EE Measures'!HB$8:HB$86,'EE Measures'!$II$8:$II$86,--('EE Measures'!$B$8:$B$86="Cross-sectoral"))*(S12/$H$9))+S179</f>
        <v>406.20902072185817</v>
      </c>
      <c r="T203" s="593" cm="1">
        <f t="array" ref="T203">SUMPRODUCT('EE Measures'!HC$8:HC$86,'EE Measures'!$II$8:$II$86,--('EE Measures'!$B$8:$B$86='Pathway Analysis'!$E203))+(SUMPRODUCT('EE Measures'!HC$8:HC$86,'EE Measures'!$II$8:$II$86,--('EE Measures'!$B$8:$B$86="Cross-sectoral"))*(T12/$H$9))+T179</f>
        <v>434.6283163297785</v>
      </c>
      <c r="U203" s="593" cm="1">
        <f t="array" ref="U203">SUMPRODUCT('EE Measures'!HD$8:HD$86,'EE Measures'!$II$8:$II$86,--('EE Measures'!$B$8:$B$86='Pathway Analysis'!$E203))+(SUMPRODUCT('EE Measures'!HD$8:HD$86,'EE Measures'!$II$8:$II$86,--('EE Measures'!$B$8:$B$86="Cross-sectoral"))*(U12/$H$9))+U179</f>
        <v>460.51278283896113</v>
      </c>
      <c r="W203" s="587" t="str">
        <f>W202</f>
        <v>CEER1</v>
      </c>
      <c r="Y203" s="554" t="s">
        <v>407</v>
      </c>
      <c r="Z203" s="645">
        <f>SUM(AA203:AJ203)</f>
        <v>2.2505571474499524</v>
      </c>
      <c r="AA203" s="998">
        <f>-SUMPRODUCT(AA$46:AA$50,Assumptions!$D$565:$D$569)</f>
        <v>3.2094877189698293E-2</v>
      </c>
      <c r="AB203" s="998">
        <f>-SUMPRODUCT(AB$46:AB$50,Assumptions!$D$565:$D$569)</f>
        <v>3.9485362072452179E-2</v>
      </c>
      <c r="AC203" s="998">
        <f>-SUMPRODUCT(AC$46:AC$50,Assumptions!$D$565:$D$569)</f>
        <v>4.5724699660391922E-2</v>
      </c>
      <c r="AD203" s="998">
        <f>-SUMPRODUCT(AD$46:AD$50,Assumptions!$D$565:$D$569)</f>
        <v>8.286741583007097E-2</v>
      </c>
      <c r="AE203" s="998">
        <f>-SUMPRODUCT(AE$46:AE$50,Assumptions!$D$565:$D$569)</f>
        <v>0.16856332407768804</v>
      </c>
      <c r="AF203" s="998">
        <f>-SUMPRODUCT(AF$46:AF$50,Assumptions!$D$565:$D$569)</f>
        <v>0.21411834727694887</v>
      </c>
      <c r="AG203" s="998">
        <f>-SUMPRODUCT(AG$46:AG$50,Assumptions!$D$565:$D$569)</f>
        <v>0.35023102039336002</v>
      </c>
      <c r="AH203" s="998">
        <f>-SUMPRODUCT(AH$46:AH$50,Assumptions!$D$565:$D$569)</f>
        <v>0.39295766179416763</v>
      </c>
      <c r="AI203" s="998">
        <f>-SUMPRODUCT(AI$46:AI$50,Assumptions!$D$565:$D$569)</f>
        <v>0.43863501058150484</v>
      </c>
      <c r="AJ203" s="998">
        <f>-SUMPRODUCT(AJ$46:AJ$50,Assumptions!$D$565:$D$569)</f>
        <v>0.48587942857366967</v>
      </c>
      <c r="AK203" s="998">
        <f>-SUMPRODUCT(AK$46:AK$50,Assumptions!$D$565:$D$569)</f>
        <v>0.51977260922198487</v>
      </c>
      <c r="AL203" s="998">
        <f>-SUMPRODUCT(AL$46:AL$50,Assumptions!$D$565:$D$569)</f>
        <v>0.55373735942205826</v>
      </c>
      <c r="AM203" s="998">
        <f>-SUMPRODUCT(AM$46:AM$50,Assumptions!$D$565:$D$569)</f>
        <v>0.58777788545942022</v>
      </c>
      <c r="AN203" s="998">
        <f>-SUMPRODUCT(AN$46:AN$50,Assumptions!$D$565:$D$569)</f>
        <v>0.62189835533863458</v>
      </c>
      <c r="AO203" s="998">
        <f>-SUMPRODUCT(AO$46:AO$50,Assumptions!$D$565:$D$569)</f>
        <v>0.65609235180428793</v>
      </c>
    </row>
    <row r="204" spans="3:41" hidden="1" outlineLevel="1" x14ac:dyDescent="0.3">
      <c r="C204" s="587" t="str">
        <f t="shared" si="530"/>
        <v>Renowave</v>
      </c>
      <c r="E204" s="563" t="s">
        <v>53</v>
      </c>
      <c r="F204" s="592">
        <f t="shared" si="531"/>
        <v>597.43932994224247</v>
      </c>
      <c r="G204" s="593" cm="1">
        <f t="array" ref="G204">SUMPRODUCT('EE Measures'!GP$8:GP$86,'EE Measures'!$II$8:$II$86,--('EE Measures'!$B$8:$B$86='Pathway Analysis'!$E204))+(SUMPRODUCT('EE Measures'!GP$8:GP$86,'EE Measures'!$II$8:$II$86,--('EE Measures'!$B$8:$B$86="Cross-sectoral"))*(G13/$H$9))+G180</f>
        <v>-127.69402958498421</v>
      </c>
      <c r="H204" s="593" cm="1">
        <f t="array" ref="H204">SUMPRODUCT('EE Measures'!GQ$8:GQ$86,'EE Measures'!$II$8:$II$86,--('EE Measures'!$B$8:$B$86='Pathway Analysis'!$E204))+(SUMPRODUCT('EE Measures'!GQ$8:GQ$86,'EE Measures'!$II$8:$II$86,--('EE Measures'!$B$8:$B$86="Cross-sectoral"))*(H13/$H$9))+H180</f>
        <v>-0.91052347514860443</v>
      </c>
      <c r="I204" s="593" cm="1">
        <f t="array" ref="I204">SUMPRODUCT('EE Measures'!GR$8:GR$86,'EE Measures'!$II$8:$II$86,--('EE Measures'!$B$8:$B$86='Pathway Analysis'!$E204))+(SUMPRODUCT('EE Measures'!GR$8:GR$86,'EE Measures'!$II$8:$II$86,--('EE Measures'!$B$8:$B$86="Cross-sectoral"))*(I13/$H$9))+I180</f>
        <v>3.8503296415801422</v>
      </c>
      <c r="J204" s="593" cm="1">
        <f t="array" ref="J204">SUMPRODUCT('EE Measures'!GS$8:GS$86,'EE Measures'!$II$8:$II$86,--('EE Measures'!$B$8:$B$86='Pathway Analysis'!$E204))+(SUMPRODUCT('EE Measures'!GS$8:GS$86,'EE Measures'!$II$8:$II$86,--('EE Measures'!$B$8:$B$86="Cross-sectoral"))*(J13/$H$9))+J180</f>
        <v>26.181525749842397</v>
      </c>
      <c r="K204" s="593" cm="1">
        <f t="array" ref="K204">SUMPRODUCT('EE Measures'!GT$8:GT$86,'EE Measures'!$II$8:$II$86,--('EE Measures'!$B$8:$B$86='Pathway Analysis'!$E204))+(SUMPRODUCT('EE Measures'!GT$8:GT$86,'EE Measures'!$II$8:$II$86,--('EE Measures'!$B$8:$B$86="Cross-sectoral"))*(K13/$H$9))+K180</f>
        <v>59.139648218994338</v>
      </c>
      <c r="L204" s="593" cm="1">
        <f t="array" ref="L204">SUMPRODUCT('EE Measures'!GU$8:GU$86,'EE Measures'!$II$8:$II$86,--('EE Measures'!$B$8:$B$86='Pathway Analysis'!$E204))+(SUMPRODUCT('EE Measures'!GU$8:GU$86,'EE Measures'!$II$8:$II$86,--('EE Measures'!$B$8:$B$86="Cross-sectoral"))*(L13/$H$9))+L180</f>
        <v>71.990513416734728</v>
      </c>
      <c r="M204" s="593" cm="1">
        <f t="array" ref="M204">SUMPRODUCT('EE Measures'!GV$8:GV$86,'EE Measures'!$II$8:$II$86,--('EE Measures'!$B$8:$B$86='Pathway Analysis'!$E204))+(SUMPRODUCT('EE Measures'!GV$8:GV$86,'EE Measures'!$II$8:$II$86,--('EE Measures'!$B$8:$B$86="Cross-sectoral"))*(M13/$H$9))+M180</f>
        <v>123.07669352175819</v>
      </c>
      <c r="N204" s="593" cm="1">
        <f t="array" ref="N204">SUMPRODUCT('EE Measures'!GW$8:GW$86,'EE Measures'!$II$8:$II$86,--('EE Measures'!$B$8:$B$86='Pathway Analysis'!$E204))+(SUMPRODUCT('EE Measures'!GW$8:GW$86,'EE Measures'!$II$8:$II$86,--('EE Measures'!$B$8:$B$86="Cross-sectoral"))*(N13/$H$9))+N180</f>
        <v>135.56954537616096</v>
      </c>
      <c r="O204" s="593" cm="1">
        <f t="array" ref="O204">SUMPRODUCT('EE Measures'!GX$8:GX$86,'EE Measures'!$II$8:$II$86,--('EE Measures'!$B$8:$B$86='Pathway Analysis'!$E204))+(SUMPRODUCT('EE Measures'!GX$8:GX$86,'EE Measures'!$II$8:$II$86,--('EE Measures'!$B$8:$B$86="Cross-sectoral"))*(O13/$H$9))+O180</f>
        <v>147.9673847825533</v>
      </c>
      <c r="P204" s="593" cm="1">
        <f t="array" ref="P204">SUMPRODUCT('EE Measures'!GY$8:GY$86,'EE Measures'!$II$8:$II$86,--('EE Measures'!$B$8:$B$86='Pathway Analysis'!$E204))+(SUMPRODUCT('EE Measures'!GY$8:GY$86,'EE Measures'!$II$8:$II$86,--('EE Measures'!$B$8:$B$86="Cross-sectoral"))*(P13/$H$9))+P180</f>
        <v>158.2682422947513</v>
      </c>
      <c r="Q204" s="593" cm="1">
        <f t="array" ref="Q204">SUMPRODUCT('EE Measures'!GZ$8:GZ$86,'EE Measures'!$II$8:$II$86,--('EE Measures'!$B$8:$B$86='Pathway Analysis'!$E204))+(SUMPRODUCT('EE Measures'!GZ$8:GZ$86,'EE Measures'!$II$8:$II$86,--('EE Measures'!$B$8:$B$86="Cross-sectoral"))*(Q13/$H$9))+Q180</f>
        <v>139.28597939923444</v>
      </c>
      <c r="R204" s="593" cm="1">
        <f t="array" ref="R204">SUMPRODUCT('EE Measures'!HA$8:HA$86,'EE Measures'!$II$8:$II$86,--('EE Measures'!$B$8:$B$86='Pathway Analysis'!$E204))+(SUMPRODUCT('EE Measures'!HA$8:HA$86,'EE Measures'!$II$8:$II$86,--('EE Measures'!$B$8:$B$86="Cross-sectoral"))*(R13/$H$9))+R180</f>
        <v>193.63003597790149</v>
      </c>
      <c r="S204" s="593" cm="1">
        <f t="array" ref="S204">SUMPRODUCT('EE Measures'!HB$8:HB$86,'EE Measures'!$II$8:$II$86,--('EE Measures'!$B$8:$B$86='Pathway Analysis'!$E204))+(SUMPRODUCT('EE Measures'!HB$8:HB$86,'EE Measures'!$II$8:$II$86,--('EE Measures'!$B$8:$B$86="Cross-sectoral"))*(S13/$H$9))+S180</f>
        <v>202.86341137156134</v>
      </c>
      <c r="T204" s="593" cm="1">
        <f t="array" ref="T204">SUMPRODUCT('EE Measures'!HC$8:HC$86,'EE Measures'!$II$8:$II$86,--('EE Measures'!$B$8:$B$86='Pathway Analysis'!$E204))+(SUMPRODUCT('EE Measures'!HC$8:HC$86,'EE Measures'!$II$8:$II$86,--('EE Measures'!$B$8:$B$86="Cross-sectoral"))*(T13/$H$9))+T180</f>
        <v>210.11985694950866</v>
      </c>
      <c r="U204" s="593" cm="1">
        <f t="array" ref="U204">SUMPRODUCT('EE Measures'!HD$8:HD$86,'EE Measures'!$II$8:$II$86,--('EE Measures'!$B$8:$B$86='Pathway Analysis'!$E204))+(SUMPRODUCT('EE Measures'!HD$8:HD$86,'EE Measures'!$II$8:$II$86,--('EE Measures'!$B$8:$B$86="Cross-sectoral"))*(U13/$H$9))+U180</f>
        <v>217.27794364077766</v>
      </c>
      <c r="W204" s="587" t="str">
        <f t="shared" ref="W204:W205" si="532">W203</f>
        <v>CEER1</v>
      </c>
      <c r="Y204" s="554" t="s">
        <v>408</v>
      </c>
      <c r="Z204" s="645">
        <f t="shared" ref="Z204:Z205" si="533">SUM(AA204:AJ204)</f>
        <v>2.1111980733213862</v>
      </c>
      <c r="AA204" s="997">
        <f>-SUMPRODUCT(AA$46:AA$50,Assumptions!$E$565:$E$569)</f>
        <v>2.8797004433753368E-2</v>
      </c>
      <c r="AB204" s="997">
        <f>-SUMPRODUCT(AB$46:AB$50,Assumptions!$E$565:$E$569)</f>
        <v>3.5120802128992198E-2</v>
      </c>
      <c r="AC204" s="997">
        <f>-SUMPRODUCT(AC$46:AC$50,Assumptions!$E$565:$E$569)</f>
        <v>4.0687378694376143E-2</v>
      </c>
      <c r="AD204" s="997">
        <f>-SUMPRODUCT(AD$46:AD$50,Assumptions!$E$565:$E$569)</f>
        <v>6.2882921675978878E-2</v>
      </c>
      <c r="AE204" s="997">
        <f>-SUMPRODUCT(AE$46:AE$50,Assumptions!$E$565:$E$569)</f>
        <v>0.14489797968545184</v>
      </c>
      <c r="AF204" s="997">
        <f>-SUMPRODUCT(AF$46:AF$50,Assumptions!$E$565:$E$569)</f>
        <v>0.21422650296477169</v>
      </c>
      <c r="AG204" s="997">
        <f>-SUMPRODUCT(AG$46:AG$50,Assumptions!$E$565:$E$569)</f>
        <v>0.29703521550419287</v>
      </c>
      <c r="AH204" s="997">
        <f>-SUMPRODUCT(AH$46:AH$50,Assumptions!$E$565:$E$569)</f>
        <v>0.36161235191708208</v>
      </c>
      <c r="AI204" s="997">
        <f>-SUMPRODUCT(AI$46:AI$50,Assumptions!$E$565:$E$569)</f>
        <v>0.42865241349936328</v>
      </c>
      <c r="AJ204" s="997">
        <f>-SUMPRODUCT(AJ$46:AJ$50,Assumptions!$E$565:$E$569)</f>
        <v>0.49728550281742401</v>
      </c>
      <c r="AK204" s="997">
        <f>-SUMPRODUCT(AK$46:AK$50,Assumptions!$E$565:$E$569)</f>
        <v>0.56334195454843472</v>
      </c>
      <c r="AL204" s="997">
        <f>-SUMPRODUCT(AL$46:AL$50,Assumptions!$E$565:$E$569)</f>
        <v>0.62900354375062972</v>
      </c>
      <c r="AM204" s="997">
        <f>-SUMPRODUCT(AM$46:AM$50,Assumptions!$E$565:$E$569)</f>
        <v>0.6942841527123006</v>
      </c>
      <c r="AN204" s="997">
        <f>-SUMPRODUCT(AN$46:AN$50,Assumptions!$E$565:$E$569)</f>
        <v>0.75919744279168111</v>
      </c>
      <c r="AO204" s="997">
        <f>-SUMPRODUCT(AO$46:AO$50,Assumptions!$E$565:$E$569)</f>
        <v>0.82366775139337867</v>
      </c>
    </row>
    <row r="205" spans="3:41" hidden="1" outlineLevel="1" x14ac:dyDescent="0.3">
      <c r="C205" s="587" t="str">
        <f t="shared" si="530"/>
        <v>Renowave</v>
      </c>
      <c r="E205" s="563" t="s">
        <v>54</v>
      </c>
      <c r="F205" s="592">
        <f t="shared" si="531"/>
        <v>159.5135201202433</v>
      </c>
      <c r="G205" s="593" cm="1">
        <f t="array" ref="G205">SUMPRODUCT('EE Measures'!GP$8:GP$86,'EE Measures'!$II$8:$II$86,--('EE Measures'!$B$8:$B$86='Pathway Analysis'!$E205))+(SUMPRODUCT('EE Measures'!GP$8:GP$86,'EE Measures'!$II$8:$II$86,--('EE Measures'!$B$8:$B$86="Cross-sectoral"))*(G14/$H$9))+G181</f>
        <v>101.05380047343741</v>
      </c>
      <c r="H205" s="593" cm="1">
        <f t="array" ref="H205">SUMPRODUCT('EE Measures'!GQ$8:GQ$86,'EE Measures'!$II$8:$II$86,--('EE Measures'!$B$8:$B$86='Pathway Analysis'!$E205))+(SUMPRODUCT('EE Measures'!GQ$8:GQ$86,'EE Measures'!$II$8:$II$86,--('EE Measures'!$B$8:$B$86="Cross-sectoral"))*(H14/$H$9))+H181</f>
        <v>1.5181007238715616</v>
      </c>
      <c r="I205" s="593" cm="1">
        <f t="array" ref="I205">SUMPRODUCT('EE Measures'!GR$8:GR$86,'EE Measures'!$II$8:$II$86,--('EE Measures'!$B$8:$B$86='Pathway Analysis'!$E205))+(SUMPRODUCT('EE Measures'!GR$8:GR$86,'EE Measures'!$II$8:$II$86,--('EE Measures'!$B$8:$B$86="Cross-sectoral"))*(I14/$H$9))+I181</f>
        <v>1.701448064826754</v>
      </c>
      <c r="J205" s="593" cm="1">
        <f t="array" ref="J205">SUMPRODUCT('EE Measures'!GS$8:GS$86,'EE Measures'!$II$8:$II$86,--('EE Measures'!$B$8:$B$86='Pathway Analysis'!$E205))+(SUMPRODUCT('EE Measures'!GS$8:GS$86,'EE Measures'!$II$8:$II$86,--('EE Measures'!$B$8:$B$86="Cross-sectoral"))*(J14/$H$9))+J181</f>
        <v>3.7703932798922004</v>
      </c>
      <c r="K205" s="593" cm="1">
        <f t="array" ref="K205">SUMPRODUCT('EE Measures'!GT$8:GT$86,'EE Measures'!$II$8:$II$86,--('EE Measures'!$B$8:$B$86='Pathway Analysis'!$E205))+(SUMPRODUCT('EE Measures'!GT$8:GT$86,'EE Measures'!$II$8:$II$86,--('EE Measures'!$B$8:$B$86="Cross-sectoral"))*(K14/$H$9))+K181</f>
        <v>4.8384863631645452</v>
      </c>
      <c r="L205" s="593" cm="1">
        <f t="array" ref="L205">SUMPRODUCT('EE Measures'!GU$8:GU$86,'EE Measures'!$II$8:$II$86,--('EE Measures'!$B$8:$B$86='Pathway Analysis'!$E205))+(SUMPRODUCT('EE Measures'!GU$8:GU$86,'EE Measures'!$II$8:$II$86,--('EE Measures'!$B$8:$B$86="Cross-sectoral"))*(L14/$H$9))+L181</f>
        <v>4.948989735167304</v>
      </c>
      <c r="M205" s="593" cm="1">
        <f t="array" ref="M205">SUMPRODUCT('EE Measures'!GV$8:GV$86,'EE Measures'!$II$8:$II$86,--('EE Measures'!$B$8:$B$86='Pathway Analysis'!$E205))+(SUMPRODUCT('EE Measures'!GV$8:GV$86,'EE Measures'!$II$8:$II$86,--('EE Measures'!$B$8:$B$86="Cross-sectoral"))*(M14/$H$9))+M181</f>
        <v>7.2437730122449722</v>
      </c>
      <c r="N205" s="593" cm="1">
        <f t="array" ref="N205">SUMPRODUCT('EE Measures'!GW$8:GW$86,'EE Measures'!$II$8:$II$86,--('EE Measures'!$B$8:$B$86='Pathway Analysis'!$E205))+(SUMPRODUCT('EE Measures'!GW$8:GW$86,'EE Measures'!$II$8:$II$86,--('EE Measures'!$B$8:$B$86="Cross-sectoral"))*(N14/$H$9))+N181</f>
        <v>9.4595150141662732</v>
      </c>
      <c r="O205" s="593" cm="1">
        <f t="array" ref="O205">SUMPRODUCT('EE Measures'!GX$8:GX$86,'EE Measures'!$II$8:$II$86,--('EE Measures'!$B$8:$B$86='Pathway Analysis'!$E205))+(SUMPRODUCT('EE Measures'!GX$8:GX$86,'EE Measures'!$II$8:$II$86,--('EE Measures'!$B$8:$B$86="Cross-sectoral"))*(O14/$H$9))+O181</f>
        <v>11.595993574699891</v>
      </c>
      <c r="P205" s="593" cm="1">
        <f t="array" ref="P205">SUMPRODUCT('EE Measures'!GY$8:GY$86,'EE Measures'!$II$8:$II$86,--('EE Measures'!$B$8:$B$86='Pathway Analysis'!$E205))+(SUMPRODUCT('EE Measures'!GY$8:GY$86,'EE Measures'!$II$8:$II$86,--('EE Measures'!$B$8:$B$86="Cross-sectoral"))*(P14/$H$9))+P181</f>
        <v>13.383019878772394</v>
      </c>
      <c r="Q205" s="593" cm="1">
        <f t="array" ref="Q205">SUMPRODUCT('EE Measures'!GZ$8:GZ$86,'EE Measures'!$II$8:$II$86,--('EE Measures'!$B$8:$B$86='Pathway Analysis'!$E205))+(SUMPRODUCT('EE Measures'!GZ$8:GZ$86,'EE Measures'!$II$8:$II$86,--('EE Measures'!$B$8:$B$86="Cross-sectoral"))*(Q14/$H$9))+Q181</f>
        <v>9.4105910247349556</v>
      </c>
      <c r="R205" s="593" cm="1">
        <f t="array" ref="R205">SUMPRODUCT('EE Measures'!HA$8:HA$86,'EE Measures'!$II$8:$II$86,--('EE Measures'!$B$8:$B$86='Pathway Analysis'!$E205))+(SUMPRODUCT('EE Measures'!HA$8:HA$86,'EE Measures'!$II$8:$II$86,--('EE Measures'!$B$8:$B$86="Cross-sectoral"))*(R14/$H$9))+R181</f>
        <v>16.558762806592661</v>
      </c>
      <c r="S205" s="593" cm="1">
        <f t="array" ref="S205">SUMPRODUCT('EE Measures'!HB$8:HB$86,'EE Measures'!$II$8:$II$86,--('EE Measures'!$B$8:$B$86='Pathway Analysis'!$E205))+(SUMPRODUCT('EE Measures'!HB$8:HB$86,'EE Measures'!$II$8:$II$86,--('EE Measures'!$B$8:$B$86="Cross-sectoral"))*(S14/$H$9))+S181</f>
        <v>16.799795966593479</v>
      </c>
      <c r="T205" s="593" cm="1">
        <f t="array" ref="T205">SUMPRODUCT('EE Measures'!HC$8:HC$86,'EE Measures'!$II$8:$II$86,--('EE Measures'!$B$8:$B$86='Pathway Analysis'!$E205))+(SUMPRODUCT('EE Measures'!HC$8:HC$86,'EE Measures'!$II$8:$II$86,--('EE Measures'!$B$8:$B$86="Cross-sectoral"))*(T14/$H$9))+T181</f>
        <v>16.753742222981739</v>
      </c>
      <c r="U205" s="593" cm="1">
        <f t="array" ref="U205">SUMPRODUCT('EE Measures'!HD$8:HD$86,'EE Measures'!$II$8:$II$86,--('EE Measures'!$B$8:$B$86='Pathway Analysis'!$E205))+(SUMPRODUCT('EE Measures'!HD$8:HD$86,'EE Measures'!$II$8:$II$86,--('EE Measures'!$B$8:$B$86="Cross-sectoral"))*(U14/$H$9))+U181</f>
        <v>16.699958162912903</v>
      </c>
      <c r="W205" s="587" t="str">
        <f t="shared" si="532"/>
        <v>CEER1</v>
      </c>
      <c r="Y205" s="554" t="s">
        <v>409</v>
      </c>
      <c r="Z205" s="645">
        <f t="shared" si="533"/>
        <v>2.1809039448679624</v>
      </c>
      <c r="AA205" s="998">
        <f>-SUMPRODUCT(AA$46:AA$50,Assumptions!$F$565:$F$569)</f>
        <v>2.3878982091501404E-2</v>
      </c>
      <c r="AB205" s="998">
        <f>-SUMPRODUCT(AB$46:AB$50,Assumptions!$F$565:$F$569)</f>
        <v>3.0844859437494421E-2</v>
      </c>
      <c r="AC205" s="998">
        <f>-SUMPRODUCT(AC$46:AC$50,Assumptions!$F$565:$F$569)</f>
        <v>3.7202380735968758E-2</v>
      </c>
      <c r="AD205" s="998">
        <f>-SUMPRODUCT(AD$46:AD$50,Assumptions!$F$565:$F$569)</f>
        <v>5.8785786823737161E-2</v>
      </c>
      <c r="AE205" s="998">
        <f>-SUMPRODUCT(AE$46:AE$50,Assumptions!$F$565:$F$569)</f>
        <v>0.14599922065451917</v>
      </c>
      <c r="AF205" s="998">
        <f>-SUMPRODUCT(AF$46:AF$50,Assumptions!$F$565:$F$569)</f>
        <v>0.21945279466370413</v>
      </c>
      <c r="AG205" s="998">
        <f>-SUMPRODUCT(AG$46:AG$50,Assumptions!$F$565:$F$569)</f>
        <v>0.309981880306544</v>
      </c>
      <c r="AH205" s="998">
        <f>-SUMPRODUCT(AH$46:AH$50,Assumptions!$F$565:$F$569)</f>
        <v>0.38036552520346395</v>
      </c>
      <c r="AI205" s="998">
        <f>-SUMPRODUCT(AI$46:AI$50,Assumptions!$F$565:$F$569)</f>
        <v>0.45149617697620981</v>
      </c>
      <c r="AJ205" s="998">
        <f>-SUMPRODUCT(AJ$46:AJ$50,Assumptions!$F$565:$F$569)</f>
        <v>0.52289633797481927</v>
      </c>
      <c r="AK205" s="998">
        <f>-SUMPRODUCT(AK$46:AK$50,Assumptions!$F$565:$F$569)</f>
        <v>0.59107864394817022</v>
      </c>
      <c r="AL205" s="998">
        <f>-SUMPRODUCT(AL$46:AL$50,Assumptions!$F$565:$F$569)</f>
        <v>0.6586789138470085</v>
      </c>
      <c r="AM205" s="998">
        <f>-SUMPRODUCT(AM$46:AM$50,Assumptions!$F$565:$F$569)</f>
        <v>0.72571181306780985</v>
      </c>
      <c r="AN205" s="998">
        <f>-SUMPRODUCT(AN$46:AN$50,Assumptions!$F$565:$F$569)</f>
        <v>0.7921917492059446</v>
      </c>
      <c r="AO205" s="998">
        <f>-SUMPRODUCT(AO$46:AO$50,Assumptions!$F$565:$F$569)</f>
        <v>0.85803038292634182</v>
      </c>
    </row>
    <row r="206" spans="3:41" hidden="1" outlineLevel="1" x14ac:dyDescent="0.3">
      <c r="C206" s="587" t="str">
        <f>E206</f>
        <v>EET</v>
      </c>
      <c r="E206" s="555" t="str">
        <f>'EE Measures'!$IJ$6</f>
        <v>EET</v>
      </c>
      <c r="F206" s="590">
        <f>SUM(G206:P206)</f>
        <v>4499.452538259462</v>
      </c>
      <c r="G206" s="591">
        <f>SUM(G207:G211)</f>
        <v>243.63724131863421</v>
      </c>
      <c r="H206" s="591">
        <f>SUM(H207:H211)</f>
        <v>-142.68991183808126</v>
      </c>
      <c r="I206" s="591">
        <f t="shared" ref="I206:P206" si="534">SUM(I207:I211)</f>
        <v>46.293117173435334</v>
      </c>
      <c r="J206" s="591">
        <f t="shared" si="534"/>
        <v>116.13286192128781</v>
      </c>
      <c r="K206" s="591">
        <f t="shared" si="534"/>
        <v>316.38464385233908</v>
      </c>
      <c r="L206" s="591">
        <f t="shared" si="534"/>
        <v>442.33111171653832</v>
      </c>
      <c r="M206" s="591">
        <f t="shared" si="534"/>
        <v>745.78962101500667</v>
      </c>
      <c r="N206" s="591">
        <f t="shared" si="534"/>
        <v>835.35696834285932</v>
      </c>
      <c r="O206" s="591">
        <f t="shared" si="534"/>
        <v>919.6769223294574</v>
      </c>
      <c r="P206" s="591">
        <f t="shared" si="534"/>
        <v>976.5399624279853</v>
      </c>
      <c r="Q206" s="591">
        <f t="shared" ref="Q206:U206" si="535">SUM(Q207:Q211)</f>
        <v>647.72762118558228</v>
      </c>
      <c r="R206" s="591">
        <f t="shared" si="535"/>
        <v>1370.1779270041998</v>
      </c>
      <c r="S206" s="591">
        <f t="shared" si="535"/>
        <v>1458.6091263318526</v>
      </c>
      <c r="T206" s="591">
        <f t="shared" si="535"/>
        <v>1515.9350925501906</v>
      </c>
      <c r="U206" s="591">
        <f t="shared" si="535"/>
        <v>1568.4831643964326</v>
      </c>
      <c r="W206" s="587" t="str">
        <f>Y206</f>
        <v>CEER2</v>
      </c>
      <c r="Y206" s="1226" t="str">
        <f>'EE Measures'!$IL$6</f>
        <v>CEER2</v>
      </c>
      <c r="Z206" s="1225"/>
      <c r="AA206" s="1225"/>
      <c r="AB206" s="1225"/>
      <c r="AC206" s="1225"/>
      <c r="AD206" s="1225"/>
      <c r="AE206" s="1225"/>
      <c r="AF206" s="1225"/>
      <c r="AG206" s="1225"/>
      <c r="AH206" s="1225"/>
      <c r="AI206" s="1225"/>
      <c r="AJ206" s="1225"/>
      <c r="AK206" s="1225"/>
      <c r="AL206" s="1225"/>
      <c r="AM206" s="1225"/>
      <c r="AN206" s="1225"/>
      <c r="AO206" s="1225"/>
    </row>
    <row r="207" spans="3:41" hidden="1" outlineLevel="1" x14ac:dyDescent="0.3">
      <c r="C207" s="587" t="str">
        <f>C206</f>
        <v>EET</v>
      </c>
      <c r="E207" s="563" t="s">
        <v>50</v>
      </c>
      <c r="F207" s="592">
        <f>SUM(G207:P207)</f>
        <v>762.90020505392897</v>
      </c>
      <c r="G207" s="593" cm="1">
        <f t="array" ref="G207">SUMPRODUCT('EE Measures'!GP$8:GP$86,'EE Measures'!$IJ$8:$IJ$86,--('EE Measures'!$B$8:$B$86='Pathway Analysis'!$E207))+(SUMPRODUCT('EE Measures'!GP$8:GP$86,'EE Measures'!$IJ$8:$IJ$86,--('EE Measures'!$B$8:$B$86="Cross-sectoral"))*(G16/$H$9))+G177</f>
        <v>230.82319987441582</v>
      </c>
      <c r="H207" s="593" cm="1">
        <f t="array" ref="H207">SUMPRODUCT('EE Measures'!GQ$8:GQ$86,'EE Measures'!$IJ$8:$IJ$86,--('EE Measures'!$B$8:$B$86='Pathway Analysis'!$E207))+(SUMPRODUCT('EE Measures'!GQ$8:GQ$86,'EE Measures'!$IJ$8:$IJ$86,--('EE Measures'!$B$8:$B$86="Cross-sectoral"))*(H16/$H$9))+H177</f>
        <v>-161.26340348416215</v>
      </c>
      <c r="I207" s="593" cm="1">
        <f t="array" ref="I207">SUMPRODUCT('EE Measures'!GR$8:GR$86,'EE Measures'!$IJ$8:$IJ$86,--('EE Measures'!$B$8:$B$86='Pathway Analysis'!$E207))+(SUMPRODUCT('EE Measures'!GR$8:GR$86,'EE Measures'!$IJ$8:$IJ$86,--('EE Measures'!$B$8:$B$86="Cross-sectoral"))*(I16/$H$9))+I177</f>
        <v>16.497788940050025</v>
      </c>
      <c r="J207" s="593" cm="1">
        <f t="array" ref="J207">SUMPRODUCT('EE Measures'!GS$8:GS$86,'EE Measures'!$IJ$8:$IJ$86,--('EE Measures'!$B$8:$B$86='Pathway Analysis'!$E207))+(SUMPRODUCT('EE Measures'!GS$8:GS$86,'EE Measures'!$IJ$8:$IJ$86,--('EE Measures'!$B$8:$B$86="Cross-sectoral"))*(J16/$H$9))+J177</f>
        <v>27.260096372098239</v>
      </c>
      <c r="K207" s="593" cm="1">
        <f t="array" ref="K207">SUMPRODUCT('EE Measures'!GT$8:GT$86,'EE Measures'!$IJ$8:$IJ$86,--('EE Measures'!$B$8:$B$86='Pathway Analysis'!$E207))+(SUMPRODUCT('EE Measures'!GT$8:GT$86,'EE Measures'!$IJ$8:$IJ$86,--('EE Measures'!$B$8:$B$86="Cross-sectoral"))*(K16/$H$9))+K177</f>
        <v>69.366753912424684</v>
      </c>
      <c r="L207" s="593" cm="1">
        <f t="array" ref="L207">SUMPRODUCT('EE Measures'!GU$8:GU$86,'EE Measures'!$IJ$8:$IJ$86,--('EE Measures'!$B$8:$B$86='Pathway Analysis'!$E207))+(SUMPRODUCT('EE Measures'!GU$8:GU$86,'EE Measures'!$IJ$8:$IJ$86,--('EE Measures'!$B$8:$B$86="Cross-sectoral"))*(L16/$H$9))+L177</f>
        <v>99.21683773683344</v>
      </c>
      <c r="M207" s="593" cm="1">
        <f t="array" ref="M207">SUMPRODUCT('EE Measures'!GV$8:GV$86,'EE Measures'!$IJ$8:$IJ$86,--('EE Measures'!$B$8:$B$86='Pathway Analysis'!$E207))+(SUMPRODUCT('EE Measures'!GV$8:GV$86,'EE Measures'!$IJ$8:$IJ$86,--('EE Measures'!$B$8:$B$86="Cross-sectoral"))*(M16/$H$9))+M177</f>
        <v>120.019700705649</v>
      </c>
      <c r="N207" s="593" cm="1">
        <f t="array" ref="N207">SUMPRODUCT('EE Measures'!GW$8:GW$86,'EE Measures'!$IJ$8:$IJ$86,--('EE Measures'!$B$8:$B$86='Pathway Analysis'!$E207))+(SUMPRODUCT('EE Measures'!GW$8:GW$86,'EE Measures'!$IJ$8:$IJ$86,--('EE Measures'!$B$8:$B$86="Cross-sectoral"))*(N16/$H$9))+N177</f>
        <v>121.21259253149893</v>
      </c>
      <c r="O207" s="593" cm="1">
        <f t="array" ref="O207">SUMPRODUCT('EE Measures'!GX$8:GX$86,'EE Measures'!$IJ$8:$IJ$86,--('EE Measures'!$B$8:$B$86='Pathway Analysis'!$E207))+(SUMPRODUCT('EE Measures'!GX$8:GX$86,'EE Measures'!$IJ$8:$IJ$86,--('EE Measures'!$B$8:$B$86="Cross-sectoral"))*(O16/$H$9))+O177</f>
        <v>122.04892421740441</v>
      </c>
      <c r="P207" s="593" cm="1">
        <f t="array" ref="P207">SUMPRODUCT('EE Measures'!GY$8:GY$86,'EE Measures'!$IJ$8:$IJ$86,--('EE Measures'!$B$8:$B$86='Pathway Analysis'!$E207))+(SUMPRODUCT('EE Measures'!GY$8:GY$86,'EE Measures'!$IJ$8:$IJ$86,--('EE Measures'!$B$8:$B$86="Cross-sectoral"))*(P16/$H$9))+P177</f>
        <v>117.71771424771654</v>
      </c>
      <c r="Q207" s="593" cm="1">
        <f t="array" ref="Q207">SUMPRODUCT('EE Measures'!GZ$8:GZ$86,'EE Measures'!$IJ$8:$IJ$86,--('EE Measures'!$B$8:$B$86='Pathway Analysis'!$E207))+(SUMPRODUCT('EE Measures'!GZ$8:GZ$86,'EE Measures'!$IJ$8:$IJ$86,--('EE Measures'!$B$8:$B$86="Cross-sectoral"))*(Q16/$H$9))+Q177</f>
        <v>46.659212866688357</v>
      </c>
      <c r="R207" s="593" cm="1">
        <f t="array" ref="R207">SUMPRODUCT('EE Measures'!HA$8:HA$86,'EE Measures'!$IJ$8:$IJ$86,--('EE Measures'!$B$8:$B$86='Pathway Analysis'!$E207))+(SUMPRODUCT('EE Measures'!HA$8:HA$86,'EE Measures'!$IJ$8:$IJ$86,--('EE Measures'!$B$8:$B$86="Cross-sectoral"))*(R16/$H$9))+R177</f>
        <v>178.71330086672955</v>
      </c>
      <c r="S207" s="593" cm="1">
        <f t="array" ref="S207">SUMPRODUCT('EE Measures'!HB$8:HB$86,'EE Measures'!$IJ$8:$IJ$86,--('EE Measures'!$B$8:$B$86='Pathway Analysis'!$E207))+(SUMPRODUCT('EE Measures'!HB$8:HB$86,'EE Measures'!$IJ$8:$IJ$86,--('EE Measures'!$B$8:$B$86="Cross-sectoral"))*(S16/$H$9))+S177</f>
        <v>185.21712088556882</v>
      </c>
      <c r="T207" s="593" cm="1">
        <f t="array" ref="T207">SUMPRODUCT('EE Measures'!HC$8:HC$86,'EE Measures'!$IJ$8:$IJ$86,--('EE Measures'!$B$8:$B$86='Pathway Analysis'!$E207))+(SUMPRODUCT('EE Measures'!HC$8:HC$86,'EE Measures'!$IJ$8:$IJ$86,--('EE Measures'!$B$8:$B$86="Cross-sectoral"))*(T16/$H$9))+T177</f>
        <v>186.22950539401543</v>
      </c>
      <c r="U207" s="593" cm="1">
        <f t="array" ref="U207">SUMPRODUCT('EE Measures'!HD$8:HD$86,'EE Measures'!$IJ$8:$IJ$86,--('EE Measures'!$B$8:$B$86='Pathway Analysis'!$E207))+(SUMPRODUCT('EE Measures'!HD$8:HD$86,'EE Measures'!$IJ$8:$IJ$86,--('EE Measures'!$B$8:$B$86="Cross-sectoral"))*(U16/$H$9))+U177</f>
        <v>186.92437672313</v>
      </c>
      <c r="W207" s="587" t="str">
        <f>W206</f>
        <v>CEER2</v>
      </c>
      <c r="Y207" s="554" t="s">
        <v>407</v>
      </c>
      <c r="Z207" s="645">
        <f>SUM(AA207:AJ207)</f>
        <v>2.7472829660406362</v>
      </c>
      <c r="AA207" s="998">
        <f>-SUMPRODUCT(AA$52:AA$56,Assumptions!$D$565:$D$569)</f>
        <v>3.2094877189698293E-2</v>
      </c>
      <c r="AB207" s="998">
        <f>-SUMPRODUCT(AB$52:AB$56,Assumptions!$D$565:$D$569)</f>
        <v>3.9485362072452179E-2</v>
      </c>
      <c r="AC207" s="998">
        <f>-SUMPRODUCT(AC$52:AC$56,Assumptions!$D$565:$D$569)</f>
        <v>4.5724699660391922E-2</v>
      </c>
      <c r="AD207" s="998">
        <f>-SUMPRODUCT(AD$52:AD$56,Assumptions!$D$565:$D$569)</f>
        <v>8.286741583007097E-2</v>
      </c>
      <c r="AE207" s="998">
        <f>-SUMPRODUCT(AE$52:AE$56,Assumptions!$D$565:$D$569)</f>
        <v>0.19637899442871376</v>
      </c>
      <c r="AF207" s="998">
        <f>-SUMPRODUCT(AF$52:AF$56,Assumptions!$D$565:$D$569)</f>
        <v>0.26334312201277443</v>
      </c>
      <c r="AG207" s="998">
        <f>-SUMPRODUCT(AG$52:AG$56,Assumptions!$D$565:$D$569)</f>
        <v>0.42053768271386421</v>
      </c>
      <c r="AH207" s="998">
        <f>-SUMPRODUCT(AH$52:AH$56,Assumptions!$D$565:$D$569)</f>
        <v>0.48546401960378627</v>
      </c>
      <c r="AI207" s="998">
        <f>-SUMPRODUCT(AI$52:AI$56,Assumptions!$D$565:$D$569)</f>
        <v>0.5547510718729991</v>
      </c>
      <c r="AJ207" s="998">
        <f>-SUMPRODUCT(AJ$52:AJ$56,Assumptions!$D$565:$D$569)</f>
        <v>0.62663572065588491</v>
      </c>
      <c r="AK207" s="998">
        <f>-SUMPRODUCT(AK$52:AK$56,Assumptions!$D$565:$D$569)</f>
        <v>0.6738481925318599</v>
      </c>
      <c r="AL207" s="998">
        <f>-SUMPRODUCT(AL$52:AL$56,Assumptions!$D$565:$D$569)</f>
        <v>0.72114657876619437</v>
      </c>
      <c r="AM207" s="998">
        <f>-SUMPRODUCT(AM$52:AM$56,Assumptions!$D$565:$D$569)</f>
        <v>0.76853745275174346</v>
      </c>
      <c r="AN207" s="998">
        <f>-SUMPRODUCT(AN$52:AN$56,Assumptions!$D$565:$D$569)</f>
        <v>0.8160273230991455</v>
      </c>
      <c r="AO207" s="998">
        <f>-SUMPRODUCT(AO$52:AO$56,Assumptions!$D$565:$D$569)</f>
        <v>0.86360874681885791</v>
      </c>
    </row>
    <row r="208" spans="3:41" hidden="1" outlineLevel="1" x14ac:dyDescent="0.3">
      <c r="C208" s="587" t="str">
        <f t="shared" ref="C208:C211" si="536">C207</f>
        <v>EET</v>
      </c>
      <c r="E208" s="563" t="s">
        <v>51</v>
      </c>
      <c r="F208" s="592">
        <f t="shared" ref="F208:F211" si="537">SUM(G208:P208)</f>
        <v>920.5542913447872</v>
      </c>
      <c r="G208" s="593" cm="1">
        <f t="array" ref="G208">SUMPRODUCT('EE Measures'!GP$8:GP$86,'EE Measures'!$IJ$8:$IJ$86,--('EE Measures'!$B$8:$B$86='Pathway Analysis'!$E208))+(SUMPRODUCT('EE Measures'!GP$8:GP$86,'EE Measures'!$IJ$8:$IJ$86,--('EE Measures'!$B$8:$B$86="Cross-sectoral"))*(G17/$H$9))+G178</f>
        <v>22.148497610521122</v>
      </c>
      <c r="H208" s="593" cm="1">
        <f t="array" ref="H208">SUMPRODUCT('EE Measures'!GQ$8:GQ$86,'EE Measures'!$IJ$8:$IJ$86,--('EE Measures'!$B$8:$B$86='Pathway Analysis'!$E208))+(SUMPRODUCT('EE Measures'!GQ$8:GQ$86,'EE Measures'!$IJ$8:$IJ$86,--('EE Measures'!$B$8:$B$86="Cross-sectoral"))*(H17/$H$9))+H178</f>
        <v>9.9461502689816346</v>
      </c>
      <c r="I208" s="593" cm="1">
        <f t="array" ref="I208">SUMPRODUCT('EE Measures'!GR$8:GR$86,'EE Measures'!$IJ$8:$IJ$86,--('EE Measures'!$B$8:$B$86='Pathway Analysis'!$E208))+(SUMPRODUCT('EE Measures'!GR$8:GR$86,'EE Measures'!$IJ$8:$IJ$86,--('EE Measures'!$B$8:$B$86="Cross-sectoral"))*(I17/$H$9))+I178</f>
        <v>12.769983016869784</v>
      </c>
      <c r="J208" s="593" cm="1">
        <f t="array" ref="J208">SUMPRODUCT('EE Measures'!GS$8:GS$86,'EE Measures'!$IJ$8:$IJ$86,--('EE Measures'!$B$8:$B$86='Pathway Analysis'!$E208))+(SUMPRODUCT('EE Measures'!GS$8:GS$86,'EE Measures'!$IJ$8:$IJ$86,--('EE Measures'!$B$8:$B$86="Cross-sectoral"))*(J17/$H$9))+J178</f>
        <v>34.61089559307451</v>
      </c>
      <c r="K208" s="593" cm="1">
        <f t="array" ref="K208">SUMPRODUCT('EE Measures'!GT$8:GT$86,'EE Measures'!$IJ$8:$IJ$86,--('EE Measures'!$B$8:$B$86='Pathway Analysis'!$E208))+(SUMPRODUCT('EE Measures'!GT$8:GT$86,'EE Measures'!$IJ$8:$IJ$86,--('EE Measures'!$B$8:$B$86="Cross-sectoral"))*(K17/$H$9))+K178</f>
        <v>76.884403356684771</v>
      </c>
      <c r="L208" s="593" cm="1">
        <f t="array" ref="L208">SUMPRODUCT('EE Measures'!GU$8:GU$86,'EE Measures'!$IJ$8:$IJ$86,--('EE Measures'!$B$8:$B$86='Pathway Analysis'!$E208))+(SUMPRODUCT('EE Measures'!GU$8:GU$86,'EE Measures'!$IJ$8:$IJ$86,--('EE Measures'!$B$8:$B$86="Cross-sectoral"))*(L17/$H$9))+L178</f>
        <v>106.48304198055034</v>
      </c>
      <c r="M208" s="593" cm="1">
        <f t="array" ref="M208">SUMPRODUCT('EE Measures'!GV$8:GV$86,'EE Measures'!$IJ$8:$IJ$86,--('EE Measures'!$B$8:$B$86='Pathway Analysis'!$E208))+(SUMPRODUCT('EE Measures'!GV$8:GV$86,'EE Measures'!$IJ$8:$IJ$86,--('EE Measures'!$B$8:$B$86="Cross-sectoral"))*(M17/$H$9))+M178</f>
        <v>132.52490952312172</v>
      </c>
      <c r="N208" s="593" cm="1">
        <f t="array" ref="N208">SUMPRODUCT('EE Measures'!GW$8:GW$86,'EE Measures'!$IJ$8:$IJ$86,--('EE Measures'!$B$8:$B$86='Pathway Analysis'!$E208))+(SUMPRODUCT('EE Measures'!GW$8:GW$86,'EE Measures'!$IJ$8:$IJ$86,--('EE Measures'!$B$8:$B$86="Cross-sectoral"))*(N17/$H$9))+N178</f>
        <v>156.93649637104866</v>
      </c>
      <c r="O208" s="593" cm="1">
        <f t="array" ref="O208">SUMPRODUCT('EE Measures'!GX$8:GX$86,'EE Measures'!$IJ$8:$IJ$86,--('EE Measures'!$B$8:$B$86='Pathway Analysis'!$E208))+(SUMPRODUCT('EE Measures'!GX$8:GX$86,'EE Measures'!$IJ$8:$IJ$86,--('EE Measures'!$B$8:$B$86="Cross-sectoral"))*(O17/$H$9))+O178</f>
        <v>178.71444773747982</v>
      </c>
      <c r="P208" s="593" cm="1">
        <f t="array" ref="P208">SUMPRODUCT('EE Measures'!GY$8:GY$86,'EE Measures'!$IJ$8:$IJ$86,--('EE Measures'!$B$8:$B$86='Pathway Analysis'!$E208))+(SUMPRODUCT('EE Measures'!GY$8:GY$86,'EE Measures'!$IJ$8:$IJ$86,--('EE Measures'!$B$8:$B$86="Cross-sectoral"))*(P17/$H$9))+P178</f>
        <v>189.53546588645474</v>
      </c>
      <c r="Q208" s="593" cm="1">
        <f t="array" ref="Q208">SUMPRODUCT('EE Measures'!GZ$8:GZ$86,'EE Measures'!$IJ$8:$IJ$86,--('EE Measures'!$B$8:$B$86='Pathway Analysis'!$E208))+(SUMPRODUCT('EE Measures'!GZ$8:GZ$86,'EE Measures'!$IJ$8:$IJ$86,--('EE Measures'!$B$8:$B$86="Cross-sectoral"))*(Q17/$H$9))+Q178</f>
        <v>35.71130336307295</v>
      </c>
      <c r="R208" s="593" cm="1">
        <f t="array" ref="R208">SUMPRODUCT('EE Measures'!HA$8:HA$86,'EE Measures'!$IJ$8:$IJ$86,--('EE Measures'!$B$8:$B$86='Pathway Analysis'!$E208))+(SUMPRODUCT('EE Measures'!HA$8:HA$86,'EE Measures'!$IJ$8:$IJ$86,--('EE Measures'!$B$8:$B$86="Cross-sectoral"))*(R17/$H$9))+R178</f>
        <v>345.51186338235226</v>
      </c>
      <c r="S208" s="593" cm="1">
        <f t="array" ref="S208">SUMPRODUCT('EE Measures'!HB$8:HB$86,'EE Measures'!$IJ$8:$IJ$86,--('EE Measures'!$B$8:$B$86='Pathway Analysis'!$E208))+(SUMPRODUCT('EE Measures'!HB$8:HB$86,'EE Measures'!$IJ$8:$IJ$86,--('EE Measures'!$B$8:$B$86="Cross-sectoral"))*(S17/$H$9))+S178</f>
        <v>381.28791840028083</v>
      </c>
      <c r="T208" s="593" cm="1">
        <f t="array" ref="T208">SUMPRODUCT('EE Measures'!HC$8:HC$86,'EE Measures'!$IJ$8:$IJ$86,--('EE Measures'!$B$8:$B$86='Pathway Analysis'!$E208))+(SUMPRODUCT('EE Measures'!HC$8:HC$86,'EE Measures'!$IJ$8:$IJ$86,--('EE Measures'!$B$8:$B$86="Cross-sectoral"))*(T17/$H$9))+T178</f>
        <v>403.64425955518533</v>
      </c>
      <c r="U208" s="593" cm="1">
        <f t="array" ref="U208">SUMPRODUCT('EE Measures'!HD$8:HD$86,'EE Measures'!$IJ$8:$IJ$86,--('EE Measures'!$B$8:$B$86='Pathway Analysis'!$E208))+(SUMPRODUCT('EE Measures'!HD$8:HD$86,'EE Measures'!$IJ$8:$IJ$86,--('EE Measures'!$B$8:$B$86="Cross-sectoral"))*(U17/$H$9))+U178</f>
        <v>423.28269478901785</v>
      </c>
      <c r="W208" s="587" t="str">
        <f t="shared" ref="W208:W209" si="538">W207</f>
        <v>CEER2</v>
      </c>
      <c r="Y208" s="554" t="s">
        <v>408</v>
      </c>
      <c r="Z208" s="645">
        <f t="shared" ref="Z208:Z209" si="539">SUM(AA208:AJ208)</f>
        <v>2.7244590295831443</v>
      </c>
      <c r="AA208" s="997">
        <f>-SUMPRODUCT(AA$52:AA$56,Assumptions!$E$565:$E$569)</f>
        <v>2.8797004433753368E-2</v>
      </c>
      <c r="AB208" s="997">
        <f>-SUMPRODUCT(AB$52:AB$56,Assumptions!$E$565:$E$569)</f>
        <v>3.5120802128992198E-2</v>
      </c>
      <c r="AC208" s="997">
        <f>-SUMPRODUCT(AC$52:AC$56,Assumptions!$E$565:$E$569)</f>
        <v>4.0687378694376143E-2</v>
      </c>
      <c r="AD208" s="997">
        <f>-SUMPRODUCT(AD$52:AD$56,Assumptions!$E$565:$E$569)</f>
        <v>6.2882921675978878E-2</v>
      </c>
      <c r="AE208" s="997">
        <f>-SUMPRODUCT(AE$52:AE$56,Assumptions!$E$565:$E$569)</f>
        <v>0.17555843551107364</v>
      </c>
      <c r="AF208" s="997">
        <f>-SUMPRODUCT(AF$52:AF$56,Assumptions!$E$565:$E$569)</f>
        <v>0.27335985333682744</v>
      </c>
      <c r="AG208" s="997">
        <f>-SUMPRODUCT(AG$52:AG$56,Assumptions!$E$565:$E$569)</f>
        <v>0.38396263547342385</v>
      </c>
      <c r="AH208" s="997">
        <f>-SUMPRODUCT(AH$52:AH$56,Assumptions!$E$565:$E$569)</f>
        <v>0.47714865054905242</v>
      </c>
      <c r="AI208" s="997">
        <f>-SUMPRODUCT(AI$52:AI$56,Assumptions!$E$565:$E$569)</f>
        <v>0.57391964951190377</v>
      </c>
      <c r="AJ208" s="997">
        <f>-SUMPRODUCT(AJ$52:AJ$56,Assumptions!$E$565:$E$569)</f>
        <v>0.6730216982677627</v>
      </c>
      <c r="AK208" s="997">
        <f>-SUMPRODUCT(AK$52:AK$56,Assumptions!$E$565:$E$569)</f>
        <v>0.76745565079185885</v>
      </c>
      <c r="AL208" s="997">
        <f>-SUMPRODUCT(AL$52:AL$56,Assumptions!$E$565:$E$569)</f>
        <v>0.86119963300159663</v>
      </c>
      <c r="AM208" s="997">
        <f>-SUMPRODUCT(AM$52:AM$56,Assumptions!$E$565:$E$569)</f>
        <v>0.9542760387849385</v>
      </c>
      <c r="AN208" s="997">
        <f>-SUMPRODUCT(AN$52:AN$56,Assumptions!$E$565:$E$569)</f>
        <v>1.0467068946956963</v>
      </c>
      <c r="AO208" s="997">
        <f>-SUMPRODUCT(AO$52:AO$56,Assumptions!$E$565:$E$569)</f>
        <v>1.1383823365766224</v>
      </c>
    </row>
    <row r="209" spans="3:41" hidden="1" outlineLevel="1" x14ac:dyDescent="0.3">
      <c r="C209" s="587" t="str">
        <f t="shared" si="536"/>
        <v>EET</v>
      </c>
      <c r="E209" s="563" t="s">
        <v>52</v>
      </c>
      <c r="F209" s="592">
        <f t="shared" si="537"/>
        <v>571.76724932086586</v>
      </c>
      <c r="G209" s="593" cm="1">
        <f t="array" ref="G209">SUMPRODUCT('EE Measures'!GP$8:GP$86,'EE Measures'!$IJ$8:$IJ$86,--('EE Measures'!$B$8:$B$86='Pathway Analysis'!$E209))+(SUMPRODUCT('EE Measures'!GP$8:GP$86,'EE Measures'!$IJ$8:$IJ$86,--('EE Measures'!$B$8:$B$86="Cross-sectoral"))*(G18/$H$9))+G179</f>
        <v>9.7098881360923706</v>
      </c>
      <c r="H209" s="593" cm="1">
        <f t="array" ref="H209">SUMPRODUCT('EE Measures'!GQ$8:GQ$86,'EE Measures'!$IJ$8:$IJ$86,--('EE Measures'!$B$8:$B$86='Pathway Analysis'!$E209))+(SUMPRODUCT('EE Measures'!GQ$8:GQ$86,'EE Measures'!$IJ$8:$IJ$86,--('EE Measures'!$B$8:$B$86="Cross-sectoral"))*(H18/$H$9))+H179</f>
        <v>-1.8222909910493357</v>
      </c>
      <c r="I209" s="593" cm="1">
        <f t="array" ref="I209">SUMPRODUCT('EE Measures'!GR$8:GR$86,'EE Measures'!$IJ$8:$IJ$86,--('EE Measures'!$B$8:$B$86='Pathway Analysis'!$E209))+(SUMPRODUCT('EE Measures'!GR$8:GR$86,'EE Measures'!$IJ$8:$IJ$86,--('EE Measures'!$B$8:$B$86="Cross-sectoral"))*(I18/$H$9))+I179</f>
        <v>-0.67499703853276216</v>
      </c>
      <c r="J209" s="593" cm="1">
        <f t="array" ref="J209">SUMPRODUCT('EE Measures'!GS$8:GS$86,'EE Measures'!$IJ$8:$IJ$86,--('EE Measures'!$B$8:$B$86='Pathway Analysis'!$E209))+(SUMPRODUCT('EE Measures'!GS$8:GS$86,'EE Measures'!$IJ$8:$IJ$86,--('EE Measures'!$B$8:$B$86="Cross-sectoral"))*(J18/$H$9))+J179</f>
        <v>10.563754554782559</v>
      </c>
      <c r="K209" s="593" cm="1">
        <f t="array" ref="K209">SUMPRODUCT('EE Measures'!GT$8:GT$86,'EE Measures'!$IJ$8:$IJ$86,--('EE Measures'!$B$8:$B$86='Pathway Analysis'!$E209))+(SUMPRODUCT('EE Measures'!GT$8:GT$86,'EE Measures'!$IJ$8:$IJ$86,--('EE Measures'!$B$8:$B$86="Cross-sectoral"))*(K18/$H$9))+K179</f>
        <v>41.208116257361695</v>
      </c>
      <c r="L209" s="593" cm="1">
        <f t="array" ref="L209">SUMPRODUCT('EE Measures'!GU$8:GU$86,'EE Measures'!$IJ$8:$IJ$86,--('EE Measures'!$B$8:$B$86='Pathway Analysis'!$E209))+(SUMPRODUCT('EE Measures'!GU$8:GU$86,'EE Measures'!$IJ$8:$IJ$86,--('EE Measures'!$B$8:$B$86="Cross-sectoral"))*(L18/$H$9))+L179</f>
        <v>64.654033090898395</v>
      </c>
      <c r="M209" s="593" cm="1">
        <f t="array" ref="M209">SUMPRODUCT('EE Measures'!GV$8:GV$86,'EE Measures'!$IJ$8:$IJ$86,--('EE Measures'!$B$8:$B$86='Pathway Analysis'!$E209))+(SUMPRODUCT('EE Measures'!GV$8:GV$86,'EE Measures'!$IJ$8:$IJ$86,--('EE Measures'!$B$8:$B$86="Cross-sectoral"))*(M18/$H$9))+M179</f>
        <v>85.93337354382632</v>
      </c>
      <c r="N209" s="593" cm="1">
        <f t="array" ref="N209">SUMPRODUCT('EE Measures'!GW$8:GW$86,'EE Measures'!$IJ$8:$IJ$86,--('EE Measures'!$B$8:$B$86='Pathway Analysis'!$E209))+(SUMPRODUCT('EE Measures'!GW$8:GW$86,'EE Measures'!$IJ$8:$IJ$86,--('EE Measures'!$B$8:$B$86="Cross-sectoral"))*(N18/$H$9))+N179</f>
        <v>105.46275213556447</v>
      </c>
      <c r="O209" s="593" cm="1">
        <f t="array" ref="O209">SUMPRODUCT('EE Measures'!GX$8:GX$86,'EE Measures'!$IJ$8:$IJ$86,--('EE Measures'!$B$8:$B$86='Pathway Analysis'!$E209))+(SUMPRODUCT('EE Measures'!GX$8:GX$86,'EE Measures'!$IJ$8:$IJ$86,--('EE Measures'!$B$8:$B$86="Cross-sectoral"))*(O18/$H$9))+O179</f>
        <v>123.08939325818812</v>
      </c>
      <c r="P209" s="593" cm="1">
        <f t="array" ref="P209">SUMPRODUCT('EE Measures'!GY$8:GY$86,'EE Measures'!$IJ$8:$IJ$86,--('EE Measures'!$B$8:$B$86='Pathway Analysis'!$E209))+(SUMPRODUCT('EE Measures'!GY$8:GY$86,'EE Measures'!$IJ$8:$IJ$86,--('EE Measures'!$B$8:$B$86="Cross-sectoral"))*(P18/$H$9))+P179</f>
        <v>133.64322637373408</v>
      </c>
      <c r="Q209" s="593" cm="1">
        <f t="array" ref="Q209">SUMPRODUCT('EE Measures'!GZ$8:GZ$86,'EE Measures'!$IJ$8:$IJ$86,--('EE Measures'!$B$8:$B$86='Pathway Analysis'!$E209))+(SUMPRODUCT('EE Measures'!GZ$8:GZ$86,'EE Measures'!$IJ$8:$IJ$86,--('EE Measures'!$B$8:$B$86="Cross-sectoral"))*(Q18/$H$9))+Q179</f>
        <v>61.70406445027286</v>
      </c>
      <c r="R209" s="593" cm="1">
        <f t="array" ref="R209">SUMPRODUCT('EE Measures'!HA$8:HA$86,'EE Measures'!$IJ$8:$IJ$86,--('EE Measures'!$B$8:$B$86='Pathway Analysis'!$E209))+(SUMPRODUCT('EE Measures'!HA$8:HA$86,'EE Measures'!$IJ$8:$IJ$86,--('EE Measures'!$B$8:$B$86="Cross-sectoral"))*(R18/$H$9))+R179</f>
        <v>240.23018411880082</v>
      </c>
      <c r="S209" s="593" cm="1">
        <f t="array" ref="S209">SUMPRODUCT('EE Measures'!HB$8:HB$86,'EE Measures'!$IJ$8:$IJ$86,--('EE Measures'!$B$8:$B$86='Pathway Analysis'!$E209))+(SUMPRODUCT('EE Measures'!HB$8:HB$86,'EE Measures'!$IJ$8:$IJ$86,--('EE Measures'!$B$8:$B$86="Cross-sectoral"))*(S18/$H$9))+S179</f>
        <v>267.09966517101867</v>
      </c>
      <c r="T209" s="593" cm="1">
        <f t="array" ref="T209">SUMPRODUCT('EE Measures'!HC$8:HC$86,'EE Measures'!$IJ$8:$IJ$86,--('EE Measures'!$B$8:$B$86='Pathway Analysis'!$E209))+(SUMPRODUCT('EE Measures'!HC$8:HC$86,'EE Measures'!$IJ$8:$IJ$86,--('EE Measures'!$B$8:$B$86="Cross-sectoral"))*(T18/$H$9))+T179</f>
        <v>285.35555450885659</v>
      </c>
      <c r="U209" s="593" cm="1">
        <f t="array" ref="U209">SUMPRODUCT('EE Measures'!HD$8:HD$86,'EE Measures'!$IJ$8:$IJ$86,--('EE Measures'!$B$8:$B$86='Pathway Analysis'!$E209))+(SUMPRODUCT('EE Measures'!HD$8:HD$86,'EE Measures'!$IJ$8:$IJ$86,--('EE Measures'!$B$8:$B$86="Cross-sectoral"))*(U18/$H$9))+U179</f>
        <v>302.03729343388238</v>
      </c>
      <c r="W209" s="587" t="str">
        <f t="shared" si="538"/>
        <v>CEER2</v>
      </c>
      <c r="Y209" s="554" t="s">
        <v>409</v>
      </c>
      <c r="Z209" s="645">
        <f t="shared" si="539"/>
        <v>2.8475189947075519</v>
      </c>
      <c r="AA209" s="998">
        <f>-SUMPRODUCT(AA$52:AA$56,Assumptions!$F$565:$F$569)</f>
        <v>2.3878982091501404E-2</v>
      </c>
      <c r="AB209" s="998">
        <f>-SUMPRODUCT(AB$52:AB$56,Assumptions!$F$565:$F$569)</f>
        <v>3.0844859437494421E-2</v>
      </c>
      <c r="AC209" s="998">
        <f>-SUMPRODUCT(AC$52:AC$56,Assumptions!$F$565:$F$569)</f>
        <v>3.7202380735968758E-2</v>
      </c>
      <c r="AD209" s="998">
        <f>-SUMPRODUCT(AD$52:AD$56,Assumptions!$F$565:$F$569)</f>
        <v>5.8785786823737161E-2</v>
      </c>
      <c r="AE209" s="998">
        <f>-SUMPRODUCT(AE$52:AE$56,Assumptions!$F$565:$F$569)</f>
        <v>0.17939746800212361</v>
      </c>
      <c r="AF209" s="998">
        <f>-SUMPRODUCT(AF$52:AF$56,Assumptions!$F$565:$F$569)</f>
        <v>0.28424822477664446</v>
      </c>
      <c r="AG209" s="998">
        <f>-SUMPRODUCT(AG$52:AG$56,Assumptions!$F$565:$F$569)</f>
        <v>0.40556258315360422</v>
      </c>
      <c r="AH209" s="998">
        <f>-SUMPRODUCT(AH$52:AH$56,Assumptions!$F$565:$F$569)</f>
        <v>0.50682765940047492</v>
      </c>
      <c r="AI209" s="998">
        <f>-SUMPRODUCT(AI$52:AI$56,Assumptions!$F$565:$F$569)</f>
        <v>0.60908600152921699</v>
      </c>
      <c r="AJ209" s="998">
        <f>-SUMPRODUCT(AJ$52:AJ$56,Assumptions!$F$565:$F$569)</f>
        <v>0.71168504875678618</v>
      </c>
      <c r="AK209" s="998">
        <f>-SUMPRODUCT(AK$52:AK$56,Assumptions!$F$565:$F$569)</f>
        <v>0.80841271012052995</v>
      </c>
      <c r="AL209" s="998">
        <f>-SUMPRODUCT(AL$52:AL$56,Assumptions!$F$565:$F$569)</f>
        <v>0.90415444907701759</v>
      </c>
      <c r="AM209" s="998">
        <f>-SUMPRODUCT(AM$52:AM$56,Assumptions!$F$565:$F$569)</f>
        <v>0.99893413177955714</v>
      </c>
      <c r="AN209" s="998">
        <f>-SUMPRODUCT(AN$52:AN$56,Assumptions!$F$565:$F$569)</f>
        <v>1.0927751958080687</v>
      </c>
      <c r="AO209" s="998">
        <f>-SUMPRODUCT(AO$52:AO$56,Assumptions!$F$565:$F$569)</f>
        <v>1.185550544691131</v>
      </c>
    </row>
    <row r="210" spans="3:41" hidden="1" outlineLevel="1" x14ac:dyDescent="0.3">
      <c r="C210" s="587" t="str">
        <f t="shared" si="536"/>
        <v>EET</v>
      </c>
      <c r="E210" s="563" t="s">
        <v>53</v>
      </c>
      <c r="F210" s="592">
        <f t="shared" si="537"/>
        <v>2085.2342940195172</v>
      </c>
      <c r="G210" s="593" cm="1">
        <f t="array" ref="G210">SUMPRODUCT('EE Measures'!GP$8:GP$86,'EE Measures'!$IJ$8:$IJ$86,--('EE Measures'!$B$8:$B$86='Pathway Analysis'!$E210))+(SUMPRODUCT('EE Measures'!GP$8:GP$86,'EE Measures'!$IJ$8:$IJ$86,--('EE Measures'!$B$8:$B$86="Cross-sectoral"))*(G19/$H$9))+G180</f>
        <v>-120.09510796643752</v>
      </c>
      <c r="H210" s="593" cm="1">
        <f t="array" ref="H210">SUMPRODUCT('EE Measures'!GQ$8:GQ$86,'EE Measures'!$IJ$8:$IJ$86,--('EE Measures'!$B$8:$B$86='Pathway Analysis'!$E210))+(SUMPRODUCT('EE Measures'!GQ$8:GQ$86,'EE Measures'!$IJ$8:$IJ$86,--('EE Measures'!$B$8:$B$86="Cross-sectoral"))*(H19/$H$9))+H180</f>
        <v>8.9351229774624876</v>
      </c>
      <c r="I210" s="593" cm="1">
        <f t="array" ref="I210">SUMPRODUCT('EE Measures'!GR$8:GR$86,'EE Measures'!$IJ$8:$IJ$86,--('EE Measures'!$B$8:$B$86='Pathway Analysis'!$E210))+(SUMPRODUCT('EE Measures'!GR$8:GR$86,'EE Measures'!$IJ$8:$IJ$86,--('EE Measures'!$B$8:$B$86="Cross-sectoral"))*(I19/$H$9))+I180</f>
        <v>16.003080098435397</v>
      </c>
      <c r="J210" s="593" cm="1">
        <f t="array" ref="J210">SUMPRODUCT('EE Measures'!GS$8:GS$86,'EE Measures'!$IJ$8:$IJ$86,--('EE Measures'!$B$8:$B$86='Pathway Analysis'!$E210))+(SUMPRODUCT('EE Measures'!GS$8:GS$86,'EE Measures'!$IJ$8:$IJ$86,--('EE Measures'!$B$8:$B$86="Cross-sectoral"))*(J19/$H$9))+J180</f>
        <v>39.968603666229953</v>
      </c>
      <c r="K210" s="593" cm="1">
        <f t="array" ref="K210">SUMPRODUCT('EE Measures'!GT$8:GT$86,'EE Measures'!$IJ$8:$IJ$86,--('EE Measures'!$B$8:$B$86='Pathway Analysis'!$E210))+(SUMPRODUCT('EE Measures'!GT$8:GT$86,'EE Measures'!$IJ$8:$IJ$86,--('EE Measures'!$B$8:$B$86="Cross-sectoral"))*(K19/$H$9))+K180</f>
        <v>124.15978752710372</v>
      </c>
      <c r="L210" s="593" cm="1">
        <f t="array" ref="L210">SUMPRODUCT('EE Measures'!GU$8:GU$86,'EE Measures'!$IJ$8:$IJ$86,--('EE Measures'!$B$8:$B$86='Pathway Analysis'!$E210))+(SUMPRODUCT('EE Measures'!GU$8:GU$86,'EE Measures'!$IJ$8:$IJ$86,--('EE Measures'!$B$8:$B$86="Cross-sectoral"))*(L19/$H$9))+L180</f>
        <v>167.10324828834226</v>
      </c>
      <c r="M210" s="593" cm="1">
        <f t="array" ref="M210">SUMPRODUCT('EE Measures'!GV$8:GV$86,'EE Measures'!$IJ$8:$IJ$86,--('EE Measures'!$B$8:$B$86='Pathway Analysis'!$E210))+(SUMPRODUCT('EE Measures'!GV$8:GV$86,'EE Measures'!$IJ$8:$IJ$86,--('EE Measures'!$B$8:$B$86="Cross-sectoral"))*(M19/$H$9))+M180</f>
        <v>400.1449332005526</v>
      </c>
      <c r="N210" s="593" cm="1">
        <f t="array" ref="N210">SUMPRODUCT('EE Measures'!GW$8:GW$86,'EE Measures'!$IJ$8:$IJ$86,--('EE Measures'!$B$8:$B$86='Pathway Analysis'!$E210))+(SUMPRODUCT('EE Measures'!GW$8:GW$86,'EE Measures'!$IJ$8:$IJ$86,--('EE Measures'!$B$8:$B$86="Cross-sectoral"))*(N19/$H$9))+N180</f>
        <v>442.36460717845529</v>
      </c>
      <c r="O210" s="593" cm="1">
        <f t="array" ref="O210">SUMPRODUCT('EE Measures'!GX$8:GX$86,'EE Measures'!$IJ$8:$IJ$86,--('EE Measures'!$B$8:$B$86='Pathway Analysis'!$E210))+(SUMPRODUCT('EE Measures'!GX$8:GX$86,'EE Measures'!$IJ$8:$IJ$86,--('EE Measures'!$B$8:$B$86="Cross-sectoral"))*(O19/$H$9))+O180</f>
        <v>484.30897510808052</v>
      </c>
      <c r="P210" s="593" cm="1">
        <f t="array" ref="P210">SUMPRODUCT('EE Measures'!GY$8:GY$86,'EE Measures'!$IJ$8:$IJ$86,--('EE Measures'!$B$8:$B$86='Pathway Analysis'!$E210))+(SUMPRODUCT('EE Measures'!GY$8:GY$86,'EE Measures'!$IJ$8:$IJ$86,--('EE Measures'!$B$8:$B$86="Cross-sectoral"))*(P19/$H$9))+P180</f>
        <v>522.34104394129224</v>
      </c>
      <c r="Q210" s="593" cm="1">
        <f t="array" ref="Q210">SUMPRODUCT('EE Measures'!GZ$8:GZ$86,'EE Measures'!$IJ$8:$IJ$86,--('EE Measures'!$B$8:$B$86='Pathway Analysis'!$E210))+(SUMPRODUCT('EE Measures'!GZ$8:GZ$86,'EE Measures'!$IJ$8:$IJ$86,--('EE Measures'!$B$8:$B$86="Cross-sectoral"))*(Q19/$H$9))+Q180</f>
        <v>494.29473959695741</v>
      </c>
      <c r="R210" s="593" cm="1">
        <f t="array" ref="R210">SUMPRODUCT('EE Measures'!HA$8:HA$86,'EE Measures'!$IJ$8:$IJ$86,--('EE Measures'!$B$8:$B$86='Pathway Analysis'!$E210))+(SUMPRODUCT('EE Measures'!HA$8:HA$86,'EE Measures'!$IJ$8:$IJ$86,--('EE Measures'!$B$8:$B$86="Cross-sectoral"))*(R19/$H$9))+R180</f>
        <v>589.27318952205917</v>
      </c>
      <c r="S210" s="593" cm="1">
        <f t="array" ref="S210">SUMPRODUCT('EE Measures'!HB$8:HB$86,'EE Measures'!$IJ$8:$IJ$86,--('EE Measures'!$B$8:$B$86='Pathway Analysis'!$E210))+(SUMPRODUCT('EE Measures'!HB$8:HB$86,'EE Measures'!$IJ$8:$IJ$86,--('EE Measures'!$B$8:$B$86="Cross-sectoral"))*(S19/$H$9))+S180</f>
        <v>608.31853617442789</v>
      </c>
      <c r="T210" s="593" cm="1">
        <f t="array" ref="T210">SUMPRODUCT('EE Measures'!HC$8:HC$86,'EE Measures'!$IJ$8:$IJ$86,--('EE Measures'!$B$8:$B$86='Pathway Analysis'!$E210))+(SUMPRODUCT('EE Measures'!HC$8:HC$86,'EE Measures'!$IJ$8:$IJ$86,--('EE Measures'!$B$8:$B$86="Cross-sectoral"))*(T19/$H$9))+T180</f>
        <v>624.0682044010689</v>
      </c>
      <c r="U210" s="593" cm="1">
        <f t="array" ref="U210">SUMPRODUCT('EE Measures'!HD$8:HD$86,'EE Measures'!$IJ$8:$IJ$86,--('EE Measures'!$B$8:$B$86='Pathway Analysis'!$E210))+(SUMPRODUCT('EE Measures'!HD$8:HD$86,'EE Measures'!$IJ$8:$IJ$86,--('EE Measures'!$B$8:$B$86="Cross-sectoral"))*(U19/$H$9))+U180</f>
        <v>639.65718266618819</v>
      </c>
    </row>
    <row r="211" spans="3:41" hidden="1" outlineLevel="1" x14ac:dyDescent="0.3">
      <c r="C211" s="587" t="str">
        <f t="shared" si="536"/>
        <v>EET</v>
      </c>
      <c r="E211" s="563" t="s">
        <v>54</v>
      </c>
      <c r="F211" s="592">
        <f t="shared" si="537"/>
        <v>158.99649852036333</v>
      </c>
      <c r="G211" s="593" cm="1">
        <f t="array" ref="G211">SUMPRODUCT('EE Measures'!GP$8:GP$86,'EE Measures'!$IJ$8:$IJ$86,--('EE Measures'!$B$8:$B$86='Pathway Analysis'!$E211))+(SUMPRODUCT('EE Measures'!GP$8:GP$86,'EE Measures'!$IJ$8:$IJ$86,--('EE Measures'!$B$8:$B$86="Cross-sectoral"))*(G20/$H$9))+G181</f>
        <v>101.05076366404239</v>
      </c>
      <c r="H211" s="593" cm="1">
        <f t="array" ref="H211">SUMPRODUCT('EE Measures'!GQ$8:GQ$86,'EE Measures'!$IJ$8:$IJ$86,--('EE Measures'!$B$8:$B$86='Pathway Analysis'!$E211))+(SUMPRODUCT('EE Measures'!GQ$8:GQ$86,'EE Measures'!$IJ$8:$IJ$86,--('EE Measures'!$B$8:$B$86="Cross-sectoral"))*(H20/$H$9))+H181</f>
        <v>1.5145093906861087</v>
      </c>
      <c r="I211" s="593" cm="1">
        <f t="array" ref="I211">SUMPRODUCT('EE Measures'!GR$8:GR$86,'EE Measures'!$IJ$8:$IJ$86,--('EE Measures'!$B$8:$B$86='Pathway Analysis'!$E211))+(SUMPRODUCT('EE Measures'!GR$8:GR$86,'EE Measures'!$IJ$8:$IJ$86,--('EE Measures'!$B$8:$B$86="Cross-sectoral"))*(I20/$H$9))+I181</f>
        <v>1.69726215661289</v>
      </c>
      <c r="J211" s="593" cm="1">
        <f t="array" ref="J211">SUMPRODUCT('EE Measures'!GS$8:GS$86,'EE Measures'!$IJ$8:$IJ$86,--('EE Measures'!$B$8:$B$86='Pathway Analysis'!$E211))+(SUMPRODUCT('EE Measures'!GS$8:GS$86,'EE Measures'!$IJ$8:$IJ$86,--('EE Measures'!$B$8:$B$86="Cross-sectoral"))*(J20/$H$9))+J181</f>
        <v>3.729511735102546</v>
      </c>
      <c r="K211" s="593" cm="1">
        <f t="array" ref="K211">SUMPRODUCT('EE Measures'!GT$8:GT$86,'EE Measures'!$IJ$8:$IJ$86,--('EE Measures'!$B$8:$B$86='Pathway Analysis'!$E211))+(SUMPRODUCT('EE Measures'!GT$8:GT$86,'EE Measures'!$IJ$8:$IJ$86,--('EE Measures'!$B$8:$B$86="Cross-sectoral"))*(K20/$H$9))+K181</f>
        <v>4.765582798764239</v>
      </c>
      <c r="L211" s="593" cm="1">
        <f t="array" ref="L211">SUMPRODUCT('EE Measures'!GU$8:GU$86,'EE Measures'!$IJ$8:$IJ$86,--('EE Measures'!$B$8:$B$86='Pathway Analysis'!$E211))+(SUMPRODUCT('EE Measures'!GU$8:GU$86,'EE Measures'!$IJ$8:$IJ$86,--('EE Measures'!$B$8:$B$86="Cross-sectoral"))*(L20/$H$9))+L181</f>
        <v>4.8739506199139253</v>
      </c>
      <c r="M211" s="593" cm="1">
        <f t="array" ref="M211">SUMPRODUCT('EE Measures'!GV$8:GV$86,'EE Measures'!$IJ$8:$IJ$86,--('EE Measures'!$B$8:$B$86='Pathway Analysis'!$E211))+(SUMPRODUCT('EE Measures'!GV$8:GV$86,'EE Measures'!$IJ$8:$IJ$86,--('EE Measures'!$B$8:$B$86="Cross-sectoral"))*(M20/$H$9))+M181</f>
        <v>7.1667040418571286</v>
      </c>
      <c r="N211" s="593" cm="1">
        <f t="array" ref="N211">SUMPRODUCT('EE Measures'!GW$8:GW$86,'EE Measures'!$IJ$8:$IJ$86,--('EE Measures'!$B$8:$B$86='Pathway Analysis'!$E211))+(SUMPRODUCT('EE Measures'!GW$8:GW$86,'EE Measures'!$IJ$8:$IJ$86,--('EE Measures'!$B$8:$B$86="Cross-sectoral"))*(N20/$H$9))+N181</f>
        <v>9.3805201262919287</v>
      </c>
      <c r="O211" s="593" cm="1">
        <f t="array" ref="O211">SUMPRODUCT('EE Measures'!GX$8:GX$86,'EE Measures'!$IJ$8:$IJ$86,--('EE Measures'!$B$8:$B$86='Pathway Analysis'!$E211))+(SUMPRODUCT('EE Measures'!GX$8:GX$86,'EE Measures'!$IJ$8:$IJ$86,--('EE Measures'!$B$8:$B$86="Cross-sectoral"))*(O20/$H$9))+O181</f>
        <v>11.515182008304553</v>
      </c>
      <c r="P211" s="593" cm="1">
        <f t="array" ref="P211">SUMPRODUCT('EE Measures'!GY$8:GY$86,'EE Measures'!$IJ$8:$IJ$86,--('EE Measures'!$B$8:$B$86='Pathway Analysis'!$E211))+(SUMPRODUCT('EE Measures'!GY$8:GY$86,'EE Measures'!$IJ$8:$IJ$86,--('EE Measures'!$B$8:$B$86="Cross-sectoral"))*(P20/$H$9))+P181</f>
        <v>13.302511978787594</v>
      </c>
      <c r="Q211" s="593" cm="1">
        <f t="array" ref="Q211">SUMPRODUCT('EE Measures'!GZ$8:GZ$86,'EE Measures'!$IJ$8:$IJ$86,--('EE Measures'!$B$8:$B$86='Pathway Analysis'!$E211))+(SUMPRODUCT('EE Measures'!GZ$8:GZ$86,'EE Measures'!$IJ$8:$IJ$86,--('EE Measures'!$B$8:$B$86="Cross-sectoral"))*(Q20/$H$9))+Q181</f>
        <v>9.3583009085906568</v>
      </c>
      <c r="R211" s="593" cm="1">
        <f t="array" ref="R211">SUMPRODUCT('EE Measures'!HA$8:HA$86,'EE Measures'!$IJ$8:$IJ$86,--('EE Measures'!$B$8:$B$86='Pathway Analysis'!$E211))+(SUMPRODUCT('EE Measures'!HA$8:HA$86,'EE Measures'!$IJ$8:$IJ$86,--('EE Measures'!$B$8:$B$86="Cross-sectoral"))*(R20/$H$9))+R181</f>
        <v>16.449389114257979</v>
      </c>
      <c r="S211" s="593" cm="1">
        <f t="array" ref="S211">SUMPRODUCT('EE Measures'!HB$8:HB$86,'EE Measures'!$IJ$8:$IJ$86,--('EE Measures'!$B$8:$B$86='Pathway Analysis'!$E211))+(SUMPRODUCT('EE Measures'!HB$8:HB$86,'EE Measures'!$IJ$8:$IJ$86,--('EE Measures'!$B$8:$B$86="Cross-sectoral"))*(S20/$H$9))+S181</f>
        <v>16.685885700556305</v>
      </c>
      <c r="T211" s="593" cm="1">
        <f t="array" ref="T211">SUMPRODUCT('EE Measures'!HC$8:HC$86,'EE Measures'!$IJ$8:$IJ$86,--('EE Measures'!$B$8:$B$86='Pathway Analysis'!$E211))+(SUMPRODUCT('EE Measures'!HC$8:HC$86,'EE Measures'!$IJ$8:$IJ$86,--('EE Measures'!$B$8:$B$86="Cross-sectoral"))*(T20/$H$9))+T181</f>
        <v>16.637568691064391</v>
      </c>
      <c r="U211" s="593" cm="1">
        <f t="array" ref="U211">SUMPRODUCT('EE Measures'!HD$8:HD$86,'EE Measures'!$IJ$8:$IJ$86,--('EE Measures'!$B$8:$B$86='Pathway Analysis'!$E211))+(SUMPRODUCT('EE Measures'!HD$8:HD$86,'EE Measures'!$IJ$8:$IJ$86,--('EE Measures'!$B$8:$B$86="Cross-sectoral"))*(U20/$H$9))+U181</f>
        <v>16.581616784214052</v>
      </c>
    </row>
    <row r="212" spans="3:41" hidden="1" outlineLevel="1" x14ac:dyDescent="0.3">
      <c r="C212" s="587" t="str">
        <f>E212</f>
        <v>CEER1</v>
      </c>
      <c r="E212" s="555" t="str">
        <f>'EE Measures'!$IK$6</f>
        <v>CEER1</v>
      </c>
      <c r="F212" s="590">
        <f>SUM(G212:P212)</f>
        <v>4171.2175886178184</v>
      </c>
      <c r="G212" s="591">
        <f>SUM(G213:G217)</f>
        <v>243.61328119027033</v>
      </c>
      <c r="H212" s="591">
        <f>SUM(H213:H217)</f>
        <v>-142.72517812375753</v>
      </c>
      <c r="I212" s="591">
        <f t="shared" ref="I212:P212" si="540">SUM(I213:I217)</f>
        <v>46.24430701128405</v>
      </c>
      <c r="J212" s="591">
        <f t="shared" si="540"/>
        <v>115.87571644605522</v>
      </c>
      <c r="K212" s="591">
        <f t="shared" si="540"/>
        <v>307.19155663107102</v>
      </c>
      <c r="L212" s="591">
        <f t="shared" si="540"/>
        <v>433.76666226108125</v>
      </c>
      <c r="M212" s="591">
        <f t="shared" si="540"/>
        <v>647.33528549494531</v>
      </c>
      <c r="N212" s="591">
        <f t="shared" si="540"/>
        <v>747.85476700274864</v>
      </c>
      <c r="O212" s="591">
        <f t="shared" si="540"/>
        <v>849.95708918964431</v>
      </c>
      <c r="P212" s="591">
        <f t="shared" si="540"/>
        <v>922.10410151447559</v>
      </c>
      <c r="Q212" s="591">
        <f t="shared" ref="Q212:U212" si="541">SUM(Q213:Q217)</f>
        <v>499.37791177730423</v>
      </c>
      <c r="R212" s="591">
        <f t="shared" si="541"/>
        <v>1486.0511386712637</v>
      </c>
      <c r="S212" s="591">
        <f t="shared" si="541"/>
        <v>1630.1324242576075</v>
      </c>
      <c r="T212" s="591">
        <f t="shared" si="541"/>
        <v>1729.9980061310059</v>
      </c>
      <c r="U212" s="591">
        <f t="shared" si="541"/>
        <v>1821.6303863687456</v>
      </c>
    </row>
    <row r="213" spans="3:41" hidden="1" outlineLevel="1" x14ac:dyDescent="0.3">
      <c r="C213" s="587" t="str">
        <f>C212</f>
        <v>CEER1</v>
      </c>
      <c r="E213" s="563" t="s">
        <v>50</v>
      </c>
      <c r="F213" s="592">
        <f>SUM(G213:P213)</f>
        <v>964.09193761456038</v>
      </c>
      <c r="G213" s="593" cm="1">
        <f t="array" ref="G213">SUMPRODUCT('EE Measures'!GP$8:GP$86,'EE Measures'!$IK$8:$IK$86,--('EE Measures'!$B$8:$B$86='Pathway Analysis'!$E213))+(SUMPRODUCT('EE Measures'!GP$8:GP$86,'EE Measures'!$IK$8:$IK$86,--('EE Measures'!$B$8:$B$86="Cross-sectoral"))*(G22/$H$9))+G177</f>
        <v>230.82319987441582</v>
      </c>
      <c r="H213" s="593" cm="1">
        <f t="array" ref="H213">SUMPRODUCT('EE Measures'!GQ$8:GQ$86,'EE Measures'!$IK$8:$IK$86,--('EE Measures'!$B$8:$B$86='Pathway Analysis'!$E213))+(SUMPRODUCT('EE Measures'!GQ$8:GQ$86,'EE Measures'!$IK$8:$IK$86,--('EE Measures'!$B$8:$B$86="Cross-sectoral"))*(H22/$H$9))+H177</f>
        <v>-161.26340348416215</v>
      </c>
      <c r="I213" s="593" cm="1">
        <f t="array" ref="I213">SUMPRODUCT('EE Measures'!GR$8:GR$86,'EE Measures'!$IK$8:$IK$86,--('EE Measures'!$B$8:$B$86='Pathway Analysis'!$E213))+(SUMPRODUCT('EE Measures'!GR$8:GR$86,'EE Measures'!$IK$8:$IK$86,--('EE Measures'!$B$8:$B$86="Cross-sectoral"))*(I22/$H$9))+I177</f>
        <v>16.497788940050025</v>
      </c>
      <c r="J213" s="593" cm="1">
        <f t="array" ref="J213">SUMPRODUCT('EE Measures'!GS$8:GS$86,'EE Measures'!$IK$8:$IK$86,--('EE Measures'!$B$8:$B$86='Pathway Analysis'!$E213))+(SUMPRODUCT('EE Measures'!GS$8:GS$86,'EE Measures'!$IK$8:$IK$86,--('EE Measures'!$B$8:$B$86="Cross-sectoral"))*(J22/$H$9))+J177</f>
        <v>27.131317000176374</v>
      </c>
      <c r="K213" s="593" cm="1">
        <f t="array" ref="K213">SUMPRODUCT('EE Measures'!GT$8:GT$86,'EE Measures'!$IK$8:$IK$86,--('EE Measures'!$B$8:$B$86='Pathway Analysis'!$E213))+(SUMPRODUCT('EE Measures'!GT$8:GT$86,'EE Measures'!$IK$8:$IK$86,--('EE Measures'!$B$8:$B$86="Cross-sectoral"))*(K22/$H$9))+K177</f>
        <v>69.589944076847246</v>
      </c>
      <c r="L213" s="593" cm="1">
        <f t="array" ref="L213">SUMPRODUCT('EE Measures'!GU$8:GU$86,'EE Measures'!$IK$8:$IK$86,--('EE Measures'!$B$8:$B$86='Pathway Analysis'!$E213))+(SUMPRODUCT('EE Measures'!GU$8:GU$86,'EE Measures'!$IK$8:$IK$86,--('EE Measures'!$B$8:$B$86="Cross-sectoral"))*(L22/$H$9))+L177</f>
        <v>104.55552139583867</v>
      </c>
      <c r="M213" s="593" cm="1">
        <f t="array" ref="M213">SUMPRODUCT('EE Measures'!GV$8:GV$86,'EE Measures'!$IK$8:$IK$86,--('EE Measures'!$B$8:$B$86='Pathway Analysis'!$E213))+(SUMPRODUCT('EE Measures'!GV$8:GV$86,'EE Measures'!$IK$8:$IK$86,--('EE Measures'!$B$8:$B$86="Cross-sectoral"))*(M22/$H$9))+M177</f>
        <v>136.27655736285826</v>
      </c>
      <c r="N213" s="593" cm="1">
        <f t="array" ref="N213">SUMPRODUCT('EE Measures'!GW$8:GW$86,'EE Measures'!$IK$8:$IK$86,--('EE Measures'!$B$8:$B$86='Pathway Analysis'!$E213))+(SUMPRODUCT('EE Measures'!GW$8:GW$86,'EE Measures'!$IK$8:$IK$86,--('EE Measures'!$B$8:$B$86="Cross-sectoral"))*(N22/$H$9))+N177</f>
        <v>155.26145185340778</v>
      </c>
      <c r="O213" s="593" cm="1">
        <f t="array" ref="O213">SUMPRODUCT('EE Measures'!GX$8:GX$86,'EE Measures'!$IK$8:$IK$86,--('EE Measures'!$B$8:$B$86='Pathway Analysis'!$E213))+(SUMPRODUCT('EE Measures'!GX$8:GX$86,'EE Measures'!$IK$8:$IK$86,--('EE Measures'!$B$8:$B$86="Cross-sectoral"))*(O22/$H$9))+O177</f>
        <v>181.70419284853648</v>
      </c>
      <c r="P213" s="593" cm="1">
        <f t="array" ref="P213">SUMPRODUCT('EE Measures'!GY$8:GY$86,'EE Measures'!$IK$8:$IK$86,--('EE Measures'!$B$8:$B$86='Pathway Analysis'!$E213))+(SUMPRODUCT('EE Measures'!GY$8:GY$86,'EE Measures'!$IK$8:$IK$86,--('EE Measures'!$B$8:$B$86="Cross-sectoral"))*(P22/$H$9))+P177</f>
        <v>203.51536774659203</v>
      </c>
      <c r="Q213" s="593" cm="1">
        <f t="array" ref="Q213">SUMPRODUCT('EE Measures'!GZ$8:GZ$86,'EE Measures'!$IK$8:$IK$86,--('EE Measures'!$B$8:$B$86='Pathway Analysis'!$E213))+(SUMPRODUCT('EE Measures'!GZ$8:GZ$86,'EE Measures'!$IK$8:$IK$86,--('EE Measures'!$B$8:$B$86="Cross-sectoral"))*(Q22/$H$9))+Q177</f>
        <v>82.671511487133145</v>
      </c>
      <c r="R213" s="593" cm="1">
        <f t="array" ref="R213">SUMPRODUCT('EE Measures'!HA$8:HA$86,'EE Measures'!$IK$8:$IK$86,--('EE Measures'!$B$8:$B$86='Pathway Analysis'!$E213))+(SUMPRODUCT('EE Measures'!HA$8:HA$86,'EE Measures'!$IK$8:$IK$86,--('EE Measures'!$B$8:$B$86="Cross-sectoral"))*(R22/$H$9))+R177</f>
        <v>395.96016315054521</v>
      </c>
      <c r="S213" s="593" cm="1">
        <f t="array" ref="S213">SUMPRODUCT('EE Measures'!HB$8:HB$86,'EE Measures'!$IK$8:$IK$86,--('EE Measures'!$B$8:$B$86='Pathway Analysis'!$E213))+(SUMPRODUCT('EE Measures'!HB$8:HB$86,'EE Measures'!$IK$8:$IK$86,--('EE Measures'!$B$8:$B$86="Cross-sectoral"))*(S22/$H$9))+S177</f>
        <v>449.57480993130224</v>
      </c>
      <c r="T213" s="593" cm="1">
        <f t="array" ref="T213">SUMPRODUCT('EE Measures'!HC$8:HC$86,'EE Measures'!$IK$8:$IK$86,--('EE Measures'!$B$8:$B$86='Pathway Analysis'!$E213))+(SUMPRODUCT('EE Measures'!HC$8:HC$86,'EE Measures'!$IK$8:$IK$86,--('EE Measures'!$B$8:$B$86="Cross-sectoral"))*(T22/$H$9))+T177</f>
        <v>488.60451425221129</v>
      </c>
      <c r="U213" s="593" cm="1">
        <f t="array" ref="U213">SUMPRODUCT('EE Measures'!HD$8:HD$86,'EE Measures'!$IK$8:$IK$86,--('EE Measures'!$B$8:$B$86='Pathway Analysis'!$E213))+(SUMPRODUCT('EE Measures'!HD$8:HD$86,'EE Measures'!$IK$8:$IK$86,--('EE Measures'!$B$8:$B$86="Cross-sectoral"))*(U22/$H$9))+U177</f>
        <v>524.98707950781147</v>
      </c>
    </row>
    <row r="214" spans="3:41" hidden="1" outlineLevel="1" x14ac:dyDescent="0.3">
      <c r="C214" s="587" t="str">
        <f t="shared" ref="C214:C217" si="542">C213</f>
        <v>CEER1</v>
      </c>
      <c r="E214" s="563" t="s">
        <v>51</v>
      </c>
      <c r="F214" s="592">
        <f t="shared" ref="F214:F217" si="543">SUM(G214:P214)</f>
        <v>1076.3326408560197</v>
      </c>
      <c r="G214" s="593" cm="1">
        <f t="array" ref="G214">SUMPRODUCT('EE Measures'!GP$8:GP$86,'EE Measures'!$IK$8:$IK$86,--('EE Measures'!$B$8:$B$86='Pathway Analysis'!$E214))+(SUMPRODUCT('EE Measures'!GP$8:GP$86,'EE Measures'!$IK$8:$IK$86,--('EE Measures'!$B$8:$B$86="Cross-sectoral"))*(G23/$H$9))+G178</f>
        <v>22.148497610521122</v>
      </c>
      <c r="H214" s="593" cm="1">
        <f t="array" ref="H214">SUMPRODUCT('EE Measures'!GQ$8:GQ$86,'EE Measures'!$IK$8:$IK$86,--('EE Measures'!$B$8:$B$86='Pathway Analysis'!$E214))+(SUMPRODUCT('EE Measures'!GQ$8:GQ$86,'EE Measures'!$IK$8:$IK$86,--('EE Measures'!$B$8:$B$86="Cross-sectoral"))*(H23/$H$9))+H178</f>
        <v>9.9461502689816346</v>
      </c>
      <c r="I214" s="593" cm="1">
        <f t="array" ref="I214">SUMPRODUCT('EE Measures'!GR$8:GR$86,'EE Measures'!$IK$8:$IK$86,--('EE Measures'!$B$8:$B$86='Pathway Analysis'!$E214))+(SUMPRODUCT('EE Measures'!GR$8:GR$86,'EE Measures'!$IK$8:$IK$86,--('EE Measures'!$B$8:$B$86="Cross-sectoral"))*(I23/$H$9))+I178</f>
        <v>12.769983016869784</v>
      </c>
      <c r="J214" s="593" cm="1">
        <f t="array" ref="J214">SUMPRODUCT('EE Measures'!GS$8:GS$86,'EE Measures'!$IK$8:$IK$86,--('EE Measures'!$B$8:$B$86='Pathway Analysis'!$E214))+(SUMPRODUCT('EE Measures'!GS$8:GS$86,'EE Measures'!$IK$8:$IK$86,--('EE Measures'!$B$8:$B$86="Cross-sectoral"))*(J23/$H$9))+J178</f>
        <v>34.61089559307451</v>
      </c>
      <c r="K214" s="593" cm="1">
        <f t="array" ref="K214">SUMPRODUCT('EE Measures'!GT$8:GT$86,'EE Measures'!$IK$8:$IK$86,--('EE Measures'!$B$8:$B$86='Pathway Analysis'!$E214))+(SUMPRODUCT('EE Measures'!GT$8:GT$86,'EE Measures'!$IK$8:$IK$86,--('EE Measures'!$B$8:$B$86="Cross-sectoral"))*(K23/$H$9))+K178</f>
        <v>85.946230020189191</v>
      </c>
      <c r="L214" s="593" cm="1">
        <f t="array" ref="L214">SUMPRODUCT('EE Measures'!GU$8:GU$86,'EE Measures'!$IK$8:$IK$86,--('EE Measures'!$B$8:$B$86='Pathway Analysis'!$E214))+(SUMPRODUCT('EE Measures'!GU$8:GU$86,'EE Measures'!$IK$8:$IK$86,--('EE Measures'!$B$8:$B$86="Cross-sectoral"))*(L23/$H$9))+L178</f>
        <v>123.66791387216536</v>
      </c>
      <c r="M214" s="593" cm="1">
        <f t="array" ref="M214">SUMPRODUCT('EE Measures'!GV$8:GV$86,'EE Measures'!$IK$8:$IK$86,--('EE Measures'!$B$8:$B$86='Pathway Analysis'!$E214))+(SUMPRODUCT('EE Measures'!GV$8:GV$86,'EE Measures'!$IK$8:$IK$86,--('EE Measures'!$B$8:$B$86="Cross-sectoral"))*(M23/$H$9))+M178</f>
        <v>156.90013175939708</v>
      </c>
      <c r="N214" s="593" cm="1">
        <f t="array" ref="N214">SUMPRODUCT('EE Measures'!GW$8:GW$86,'EE Measures'!$IK$8:$IK$86,--('EE Measures'!$B$8:$B$86='Pathway Analysis'!$E214))+(SUMPRODUCT('EE Measures'!GW$8:GW$86,'EE Measures'!$IK$8:$IK$86,--('EE Measures'!$B$8:$B$86="Cross-sectoral"))*(N23/$H$9))+N178</f>
        <v>187.59451325644145</v>
      </c>
      <c r="O214" s="593" cm="1">
        <f t="array" ref="O214">SUMPRODUCT('EE Measures'!GX$8:GX$86,'EE Measures'!$IK$8:$IK$86,--('EE Measures'!$B$8:$B$86='Pathway Analysis'!$E214))+(SUMPRODUCT('EE Measures'!GX$8:GX$86,'EE Measures'!$IK$8:$IK$86,--('EE Measures'!$B$8:$B$86="Cross-sectoral"))*(O23/$H$9))+O178</f>
        <v>214.76782754755541</v>
      </c>
      <c r="P214" s="593" cm="1">
        <f t="array" ref="P214">SUMPRODUCT('EE Measures'!GY$8:GY$86,'EE Measures'!$IK$8:$IK$86,--('EE Measures'!$B$8:$B$86='Pathway Analysis'!$E214))+(SUMPRODUCT('EE Measures'!GY$8:GY$86,'EE Measures'!$IK$8:$IK$86,--('EE Measures'!$B$8:$B$86="Cross-sectoral"))*(P23/$H$9))+P178</f>
        <v>227.98049791082428</v>
      </c>
      <c r="Q214" s="593" cm="1">
        <f t="array" ref="Q214">SUMPRODUCT('EE Measures'!GZ$8:GZ$86,'EE Measures'!$IK$8:$IK$86,--('EE Measures'!$B$8:$B$86='Pathway Analysis'!$E214))+(SUMPRODUCT('EE Measures'!GZ$8:GZ$86,'EE Measures'!$IK$8:$IK$86,--('EE Measures'!$B$8:$B$86="Cross-sectoral"))*(Q23/$H$9))+Q178</f>
        <v>31.697737725261053</v>
      </c>
      <c r="R214" s="593" cm="1">
        <f t="array" ref="R214">SUMPRODUCT('EE Measures'!HA$8:HA$86,'EE Measures'!$IK$8:$IK$86,--('EE Measures'!$B$8:$B$86='Pathway Analysis'!$E214))+(SUMPRODUCT('EE Measures'!HA$8:HA$86,'EE Measures'!$IK$8:$IK$86,--('EE Measures'!$B$8:$B$86="Cross-sectoral"))*(R23/$H$9))+R178</f>
        <v>422.90404725070709</v>
      </c>
      <c r="S214" s="593" cm="1">
        <f t="array" ref="S214">SUMPRODUCT('EE Measures'!HB$8:HB$86,'EE Measures'!$IK$8:$IK$86,--('EE Measures'!$B$8:$B$86='Pathway Analysis'!$E214))+(SUMPRODUCT('EE Measures'!HB$8:HB$86,'EE Measures'!$IK$8:$IK$86,--('EE Measures'!$B$8:$B$86="Cross-sectoral"))*(S23/$H$9))+S178</f>
        <v>467.04606901287491</v>
      </c>
      <c r="T214" s="593" cm="1">
        <f t="array" ref="T214">SUMPRODUCT('EE Measures'!HC$8:HC$86,'EE Measures'!$IK$8:$IK$86,--('EE Measures'!$B$8:$B$86='Pathway Analysis'!$E214))+(SUMPRODUCT('EE Measures'!HC$8:HC$86,'EE Measures'!$IK$8:$IK$86,--('EE Measures'!$B$8:$B$86="Cross-sectoral"))*(T23/$H$9))+T178</f>
        <v>494.10339819290641</v>
      </c>
      <c r="U214" s="593" cm="1">
        <f t="array" ref="U214">SUMPRODUCT('EE Measures'!HD$8:HD$86,'EE Measures'!$IK$8:$IK$86,--('EE Measures'!$B$8:$B$86='Pathway Analysis'!$E214))+(SUMPRODUCT('EE Measures'!HD$8:HD$86,'EE Measures'!$IK$8:$IK$86,--('EE Measures'!$B$8:$B$86="Cross-sectoral"))*(U23/$H$9))+U178</f>
        <v>517.5413174731857</v>
      </c>
    </row>
    <row r="215" spans="3:41" hidden="1" outlineLevel="1" x14ac:dyDescent="0.3">
      <c r="C215" s="587" t="str">
        <f t="shared" si="542"/>
        <v>CEER1</v>
      </c>
      <c r="E215" s="563" t="s">
        <v>52</v>
      </c>
      <c r="F215" s="592">
        <f t="shared" si="543"/>
        <v>625.34718952249989</v>
      </c>
      <c r="G215" s="593" cm="1">
        <f t="array" ref="G215">SUMPRODUCT('EE Measures'!GP$8:GP$86,'EE Measures'!$IK$8:$IK$86,--('EE Measures'!$B$8:$B$86='Pathway Analysis'!$E215))+(SUMPRODUCT('EE Measures'!GP$8:GP$86,'EE Measures'!$IK$8:$IK$86,--('EE Measures'!$B$8:$B$86="Cross-sectoral"))*(G24/$H$9))+G179</f>
        <v>9.7098881360923706</v>
      </c>
      <c r="H215" s="593" cm="1">
        <f t="array" ref="H215">SUMPRODUCT('EE Measures'!GQ$8:GQ$86,'EE Measures'!$IK$8:$IK$86,--('EE Measures'!$B$8:$B$86='Pathway Analysis'!$E215))+(SUMPRODUCT('EE Measures'!GQ$8:GQ$86,'EE Measures'!$IK$8:$IK$86,--('EE Measures'!$B$8:$B$86="Cross-sectoral"))*(H24/$H$9))+H179</f>
        <v>-1.8222909910493357</v>
      </c>
      <c r="I215" s="593" cm="1">
        <f t="array" ref="I215">SUMPRODUCT('EE Measures'!GR$8:GR$86,'EE Measures'!$IK$8:$IK$86,--('EE Measures'!$B$8:$B$86='Pathway Analysis'!$E215))+(SUMPRODUCT('EE Measures'!GR$8:GR$86,'EE Measures'!$IK$8:$IK$86,--('EE Measures'!$B$8:$B$86="Cross-sectoral"))*(I24/$H$9))+I179</f>
        <v>-0.67499703853276216</v>
      </c>
      <c r="J215" s="593" cm="1">
        <f t="array" ref="J215">SUMPRODUCT('EE Measures'!GS$8:GS$86,'EE Measures'!$IK$8:$IK$86,--('EE Measures'!$B$8:$B$86='Pathway Analysis'!$E215))+(SUMPRODUCT('EE Measures'!GS$8:GS$86,'EE Measures'!$IK$8:$IK$86,--('EE Measures'!$B$8:$B$86="Cross-sectoral"))*(J24/$H$9))+J179</f>
        <v>10.563754554782559</v>
      </c>
      <c r="K215" s="593" cm="1">
        <f t="array" ref="K215">SUMPRODUCT('EE Measures'!GT$8:GT$86,'EE Measures'!$IK$8:$IK$86,--('EE Measures'!$B$8:$B$86='Pathway Analysis'!$E215))+(SUMPRODUCT('EE Measures'!GT$8:GT$86,'EE Measures'!$IK$8:$IK$86,--('EE Measures'!$B$8:$B$86="Cross-sectoral"))*(K24/$H$9))+K179</f>
        <v>44.139190072091324</v>
      </c>
      <c r="L215" s="593" cm="1">
        <f t="array" ref="L215">SUMPRODUCT('EE Measures'!GU$8:GU$86,'EE Measures'!$IK$8:$IK$86,--('EE Measures'!$B$8:$B$86='Pathway Analysis'!$E215))+(SUMPRODUCT('EE Measures'!GU$8:GU$86,'EE Measures'!$IK$8:$IK$86,--('EE Measures'!$B$8:$B$86="Cross-sectoral"))*(L24/$H$9))+L179</f>
        <v>70.309747125897218</v>
      </c>
      <c r="M215" s="593" cm="1">
        <f t="array" ref="M215">SUMPRODUCT('EE Measures'!GV$8:GV$86,'EE Measures'!$IK$8:$IK$86,--('EE Measures'!$B$8:$B$86='Pathway Analysis'!$E215))+(SUMPRODUCT('EE Measures'!GV$8:GV$86,'EE Measures'!$IK$8:$IK$86,--('EE Measures'!$B$8:$B$86="Cross-sectoral"))*(M24/$H$9))+M179</f>
        <v>94.104704639300181</v>
      </c>
      <c r="N215" s="593" cm="1">
        <f t="array" ref="N215">SUMPRODUCT('EE Measures'!GW$8:GW$86,'EE Measures'!$IK$8:$IK$86,--('EE Measures'!$B$8:$B$86='Pathway Analysis'!$E215))+(SUMPRODUCT('EE Measures'!GW$8:GW$86,'EE Measures'!$IK$8:$IK$86,--('EE Measures'!$B$8:$B$86="Cross-sectoral"))*(N24/$H$9))+N179</f>
        <v>115.93761459472944</v>
      </c>
      <c r="O215" s="593" cm="1">
        <f t="array" ref="O215">SUMPRODUCT('EE Measures'!GX$8:GX$86,'EE Measures'!$IK$8:$IK$86,--('EE Measures'!$B$8:$B$86='Pathway Analysis'!$E215))+(SUMPRODUCT('EE Measures'!GX$8:GX$86,'EE Measures'!$IK$8:$IK$86,--('EE Measures'!$B$8:$B$86="Cross-sectoral"))*(O24/$H$9))+O179</f>
        <v>135.65322350823473</v>
      </c>
      <c r="P215" s="593" cm="1">
        <f t="array" ref="P215">SUMPRODUCT('EE Measures'!GY$8:GY$86,'EE Measures'!$IK$8:$IK$86,--('EE Measures'!$B$8:$B$86='Pathway Analysis'!$E215))+(SUMPRODUCT('EE Measures'!GY$8:GY$86,'EE Measures'!$IK$8:$IK$86,--('EE Measures'!$B$8:$B$86="Cross-sectoral"))*(P24/$H$9))+P179</f>
        <v>147.42635492095417</v>
      </c>
      <c r="Q215" s="593" cm="1">
        <f t="array" ref="Q215">SUMPRODUCT('EE Measures'!GZ$8:GZ$86,'EE Measures'!$IK$8:$IK$86,--('EE Measures'!$B$8:$B$86='Pathway Analysis'!$E215))+(SUMPRODUCT('EE Measures'!GZ$8:GZ$86,'EE Measures'!$IK$8:$IK$86,--('EE Measures'!$B$8:$B$86="Cross-sectoral"))*(Q24/$H$9))+Q179</f>
        <v>66.217500771655779</v>
      </c>
      <c r="R215" s="593" cm="1">
        <f t="array" ref="R215">SUMPRODUCT('EE Measures'!HA$8:HA$86,'EE Measures'!$IK$8:$IK$86,--('EE Measures'!$B$8:$B$86='Pathway Analysis'!$E215))+(SUMPRODUCT('EE Measures'!HA$8:HA$86,'EE Measures'!$IK$8:$IK$86,--('EE Measures'!$B$8:$B$86="Cross-sectoral"))*(R24/$H$9))+R179</f>
        <v>267.49117242482413</v>
      </c>
      <c r="S215" s="593" cm="1">
        <f t="array" ref="S215">SUMPRODUCT('EE Measures'!HB$8:HB$86,'EE Measures'!$IK$8:$IK$86,--('EE Measures'!$B$8:$B$86='Pathway Analysis'!$E215))+(SUMPRODUCT('EE Measures'!HB$8:HB$86,'EE Measures'!$IK$8:$IK$86,--('EE Measures'!$B$8:$B$86="Cross-sectoral"))*(S24/$H$9))+S179</f>
        <v>297.8598712565481</v>
      </c>
      <c r="T215" s="593" cm="1">
        <f t="array" ref="T215">SUMPRODUCT('EE Measures'!HC$8:HC$86,'EE Measures'!$IK$8:$IK$86,--('EE Measures'!$B$8:$B$86='Pathway Analysis'!$E215))+(SUMPRODUCT('EE Measures'!HC$8:HC$86,'EE Measures'!$IK$8:$IK$86,--('EE Measures'!$B$8:$B$86="Cross-sectoral"))*(T24/$H$9))+T179</f>
        <v>318.51858365107501</v>
      </c>
      <c r="U215" s="593" cm="1">
        <f t="array" ref="U215">SUMPRODUCT('EE Measures'!HD$8:HD$86,'EE Measures'!$IK$8:$IK$86,--('EE Measures'!$B$8:$B$86='Pathway Analysis'!$E215))+(SUMPRODUCT('EE Measures'!HD$8:HD$86,'EE Measures'!$IK$8:$IK$86,--('EE Measures'!$B$8:$B$86="Cross-sectoral"))*(U24/$H$9))+U179</f>
        <v>337.3589095174616</v>
      </c>
    </row>
    <row r="216" spans="3:41" hidden="1" outlineLevel="1" x14ac:dyDescent="0.3">
      <c r="C216" s="587" t="str">
        <f t="shared" si="542"/>
        <v>CEER1</v>
      </c>
      <c r="E216" s="563" t="s">
        <v>53</v>
      </c>
      <c r="F216" s="592">
        <f t="shared" si="543"/>
        <v>1346.8003928971316</v>
      </c>
      <c r="G216" s="593" cm="1">
        <f t="array" ref="G216">SUMPRODUCT('EE Measures'!GP$8:GP$86,'EE Measures'!$IK$8:$IK$86,--('EE Measures'!$B$8:$B$86='Pathway Analysis'!$E216))+(SUMPRODUCT('EE Measures'!GP$8:GP$86,'EE Measures'!$IK$8:$IK$86,--('EE Measures'!$B$8:$B$86="Cross-sectoral"))*(G25/$H$9))+G180</f>
        <v>-120.11906809480141</v>
      </c>
      <c r="H216" s="593" cm="1">
        <f t="array" ref="H216">SUMPRODUCT('EE Measures'!GQ$8:GQ$86,'EE Measures'!$IK$8:$IK$86,--('EE Measures'!$B$8:$B$86='Pathway Analysis'!$E216))+(SUMPRODUCT('EE Measures'!GQ$8:GQ$86,'EE Measures'!$IK$8:$IK$86,--('EE Measures'!$B$8:$B$86="Cross-sectoral"))*(H25/$H$9))+H180</f>
        <v>8.8998566917862298</v>
      </c>
      <c r="I216" s="593" cm="1">
        <f t="array" ref="I216">SUMPRODUCT('EE Measures'!GR$8:GR$86,'EE Measures'!$IK$8:$IK$86,--('EE Measures'!$B$8:$B$86='Pathway Analysis'!$E216))+(SUMPRODUCT('EE Measures'!GR$8:GR$86,'EE Measures'!$IK$8:$IK$86,--('EE Measures'!$B$8:$B$86="Cross-sectoral"))*(I25/$H$9))+I180</f>
        <v>15.954269936284113</v>
      </c>
      <c r="J216" s="593" cm="1">
        <f t="array" ref="J216">SUMPRODUCT('EE Measures'!GS$8:GS$86,'EE Measures'!$IK$8:$IK$86,--('EE Measures'!$B$8:$B$86='Pathway Analysis'!$E216))+(SUMPRODUCT('EE Measures'!GS$8:GS$86,'EE Measures'!$IK$8:$IK$86,--('EE Measures'!$B$8:$B$86="Cross-sectoral"))*(J25/$H$9))+J180</f>
        <v>39.840237562919228</v>
      </c>
      <c r="K216" s="593" cm="1">
        <f t="array" ref="K216">SUMPRODUCT('EE Measures'!GT$8:GT$86,'EE Measures'!$IK$8:$IK$86,--('EE Measures'!$B$8:$B$86='Pathway Analysis'!$E216))+(SUMPRODUCT('EE Measures'!GT$8:GT$86,'EE Measures'!$IK$8:$IK$86,--('EE Measures'!$B$8:$B$86="Cross-sectoral"))*(K25/$H$9))+K180</f>
        <v>102.75060966317905</v>
      </c>
      <c r="L216" s="593" cm="1">
        <f t="array" ref="L216">SUMPRODUCT('EE Measures'!GU$8:GU$86,'EE Measures'!$IK$8:$IK$86,--('EE Measures'!$B$8:$B$86='Pathway Analysis'!$E216))+(SUMPRODUCT('EE Measures'!GU$8:GU$86,'EE Measures'!$IK$8:$IK$86,--('EE Measures'!$B$8:$B$86="Cross-sectoral"))*(L25/$H$9))+L180</f>
        <v>130.3595292472661</v>
      </c>
      <c r="M216" s="593" cm="1">
        <f t="array" ref="M216">SUMPRODUCT('EE Measures'!GV$8:GV$86,'EE Measures'!$IK$8:$IK$86,--('EE Measures'!$B$8:$B$86='Pathway Analysis'!$E216))+(SUMPRODUCT('EE Measures'!GV$8:GV$86,'EE Measures'!$IK$8:$IK$86,--('EE Measures'!$B$8:$B$86="Cross-sectoral"))*(M25/$H$9))+M180</f>
        <v>252.9214352894341</v>
      </c>
      <c r="N216" s="593" cm="1">
        <f t="array" ref="N216">SUMPRODUCT('EE Measures'!GW$8:GW$86,'EE Measures'!$IK$8:$IK$86,--('EE Measures'!$B$8:$B$86='Pathway Analysis'!$E216))+(SUMPRODUCT('EE Measures'!GW$8:GW$86,'EE Measures'!$IK$8:$IK$86,--('EE Measures'!$B$8:$B$86="Cross-sectoral"))*(N25/$H$9))+N180</f>
        <v>279.75046069335207</v>
      </c>
      <c r="O216" s="593" cm="1">
        <f t="array" ref="O216">SUMPRODUCT('EE Measures'!GX$8:GX$86,'EE Measures'!$IK$8:$IK$86,--('EE Measures'!$B$8:$B$86='Pathway Analysis'!$E216))+(SUMPRODUCT('EE Measures'!GX$8:GX$86,'EE Measures'!$IK$8:$IK$86,--('EE Measures'!$B$8:$B$86="Cross-sectoral"))*(O25/$H$9))+O180</f>
        <v>306.42312496072452</v>
      </c>
      <c r="P216" s="593" cm="1">
        <f t="array" ref="P216">SUMPRODUCT('EE Measures'!GY$8:GY$86,'EE Measures'!$IK$8:$IK$86,--('EE Measures'!$B$8:$B$86='Pathway Analysis'!$E216))+(SUMPRODUCT('EE Measures'!GY$8:GY$86,'EE Measures'!$IK$8:$IK$86,--('EE Measures'!$B$8:$B$86="Cross-sectoral"))*(P25/$H$9))+P180</f>
        <v>330.01993694698746</v>
      </c>
      <c r="Q216" s="593" cm="1">
        <f t="array" ref="Q216">SUMPRODUCT('EE Measures'!GZ$8:GZ$86,'EE Measures'!$IK$8:$IK$86,--('EE Measures'!$B$8:$B$86='Pathway Analysis'!$E216))+(SUMPRODUCT('EE Measures'!GZ$8:GZ$86,'EE Measures'!$IK$8:$IK$86,--('EE Measures'!$B$8:$B$86="Cross-sectoral"))*(Q25/$H$9))+Q180</f>
        <v>309.52360825032787</v>
      </c>
      <c r="R216" s="593" cm="1">
        <f t="array" ref="R216">SUMPRODUCT('EE Measures'!HA$8:HA$86,'EE Measures'!$IK$8:$IK$86,--('EE Measures'!$B$8:$B$86='Pathway Analysis'!$E216))+(SUMPRODUCT('EE Measures'!HA$8:HA$86,'EE Measures'!$IK$8:$IK$86,--('EE Measures'!$B$8:$B$86="Cross-sectoral"))*(R25/$H$9))+R180</f>
        <v>383.43502289074314</v>
      </c>
      <c r="S216" s="593" cm="1">
        <f t="array" ref="S216">SUMPRODUCT('EE Measures'!HB$8:HB$86,'EE Measures'!$IK$8:$IK$86,--('EE Measures'!$B$8:$B$86='Pathway Analysis'!$E216))+(SUMPRODUCT('EE Measures'!HB$8:HB$86,'EE Measures'!$IK$8:$IK$86,--('EE Measures'!$B$8:$B$86="Cross-sectoral"))*(S25/$H$9))+S180</f>
        <v>399.1610612716845</v>
      </c>
      <c r="T216" s="593" cm="1">
        <f t="array" ref="T216">SUMPRODUCT('EE Measures'!HC$8:HC$86,'EE Measures'!$IK$8:$IK$86,--('EE Measures'!$B$8:$B$86='Pathway Analysis'!$E216))+(SUMPRODUCT('EE Measures'!HC$8:HC$86,'EE Measures'!$IK$8:$IK$86,--('EE Measures'!$B$8:$B$86="Cross-sectoral"))*(T25/$H$9))+T180</f>
        <v>412.33185912647042</v>
      </c>
      <c r="U216" s="593" cm="1">
        <f t="array" ref="U216">SUMPRODUCT('EE Measures'!HD$8:HD$86,'EE Measures'!$IK$8:$IK$86,--('EE Measures'!$B$8:$B$86='Pathway Analysis'!$E216))+(SUMPRODUCT('EE Measures'!HD$8:HD$86,'EE Measures'!$IK$8:$IK$86,--('EE Measures'!$B$8:$B$86="Cross-sectoral"))*(U25/$H$9))+U180</f>
        <v>425.36181352629291</v>
      </c>
    </row>
    <row r="217" spans="3:41" hidden="1" outlineLevel="1" x14ac:dyDescent="0.3">
      <c r="C217" s="587" t="str">
        <f t="shared" si="542"/>
        <v>CEER1</v>
      </c>
      <c r="E217" s="563" t="s">
        <v>54</v>
      </c>
      <c r="F217" s="592">
        <f t="shared" si="543"/>
        <v>158.6454277276064</v>
      </c>
      <c r="G217" s="593" cm="1">
        <f t="array" ref="G217">SUMPRODUCT('EE Measures'!GP$8:GP$86,'EE Measures'!$IK$8:$IK$86,--('EE Measures'!$B$8:$B$86='Pathway Analysis'!$E217))+(SUMPRODUCT('EE Measures'!GP$8:GP$86,'EE Measures'!$IK$8:$IK$86,--('EE Measures'!$B$8:$B$86="Cross-sectoral"))*(G26/$H$9))+G181</f>
        <v>101.05076366404239</v>
      </c>
      <c r="H217" s="593" cm="1">
        <f t="array" ref="H217">SUMPRODUCT('EE Measures'!GQ$8:GQ$86,'EE Measures'!$IK$8:$IK$86,--('EE Measures'!$B$8:$B$86='Pathway Analysis'!$E217))+(SUMPRODUCT('EE Measures'!GQ$8:GQ$86,'EE Measures'!$IK$8:$IK$86,--('EE Measures'!$B$8:$B$86="Cross-sectoral"))*(H26/$H$9))+H181</f>
        <v>1.5145093906861087</v>
      </c>
      <c r="I217" s="593" cm="1">
        <f t="array" ref="I217">SUMPRODUCT('EE Measures'!GR$8:GR$86,'EE Measures'!$IK$8:$IK$86,--('EE Measures'!$B$8:$B$86='Pathway Analysis'!$E217))+(SUMPRODUCT('EE Measures'!GR$8:GR$86,'EE Measures'!$IK$8:$IK$86,--('EE Measures'!$B$8:$B$86="Cross-sectoral"))*(I26/$H$9))+I181</f>
        <v>1.69726215661289</v>
      </c>
      <c r="J217" s="593" cm="1">
        <f t="array" ref="J217">SUMPRODUCT('EE Measures'!GS$8:GS$86,'EE Measures'!$IK$8:$IK$86,--('EE Measures'!$B$8:$B$86='Pathway Analysis'!$E217))+(SUMPRODUCT('EE Measures'!GS$8:GS$86,'EE Measures'!$IK$8:$IK$86,--('EE Measures'!$B$8:$B$86="Cross-sectoral"))*(J26/$H$9))+J181</f>
        <v>3.729511735102546</v>
      </c>
      <c r="K217" s="593" cm="1">
        <f t="array" ref="K217">SUMPRODUCT('EE Measures'!GT$8:GT$86,'EE Measures'!$IK$8:$IK$86,--('EE Measures'!$B$8:$B$86='Pathway Analysis'!$E217))+(SUMPRODUCT('EE Measures'!GT$8:GT$86,'EE Measures'!$IK$8:$IK$86,--('EE Measures'!$B$8:$B$86="Cross-sectoral"))*(K26/$H$9))+K181</f>
        <v>4.765582798764239</v>
      </c>
      <c r="L217" s="593" cm="1">
        <f t="array" ref="L217">SUMPRODUCT('EE Measures'!GU$8:GU$86,'EE Measures'!$IK$8:$IK$86,--('EE Measures'!$B$8:$B$86='Pathway Analysis'!$E217))+(SUMPRODUCT('EE Measures'!GU$8:GU$86,'EE Measures'!$IK$8:$IK$86,--('EE Measures'!$B$8:$B$86="Cross-sectoral"))*(L26/$H$9))+L181</f>
        <v>4.8739506199139253</v>
      </c>
      <c r="M217" s="593" cm="1">
        <f t="array" ref="M217">SUMPRODUCT('EE Measures'!GV$8:GV$86,'EE Measures'!$IK$8:$IK$86,--('EE Measures'!$B$8:$B$86='Pathway Analysis'!$E217))+(SUMPRODUCT('EE Measures'!GV$8:GV$86,'EE Measures'!$IK$8:$IK$86,--('EE Measures'!$B$8:$B$86="Cross-sectoral"))*(M26/$H$9))+M181</f>
        <v>7.1324564439557374</v>
      </c>
      <c r="N217" s="593" cm="1">
        <f t="array" ref="N217">SUMPRODUCT('EE Measures'!GW$8:GW$86,'EE Measures'!$IK$8:$IK$86,--('EE Measures'!$B$8:$B$86='Pathway Analysis'!$E217))+(SUMPRODUCT('EE Measures'!GW$8:GW$86,'EE Measures'!$IK$8:$IK$86,--('EE Measures'!$B$8:$B$86="Cross-sectoral"))*(N26/$H$9))+N181</f>
        <v>9.3107266048179191</v>
      </c>
      <c r="O217" s="593" cm="1">
        <f t="array" ref="O217">SUMPRODUCT('EE Measures'!GX$8:GX$86,'EE Measures'!$IK$8:$IK$86,--('EE Measures'!$B$8:$B$86='Pathway Analysis'!$E217))+(SUMPRODUCT('EE Measures'!GX$8:GX$86,'EE Measures'!$IK$8:$IK$86,--('EE Measures'!$B$8:$B$86="Cross-sectoral"))*(O26/$H$9))+O181</f>
        <v>11.408720324593052</v>
      </c>
      <c r="P217" s="593" cm="1">
        <f t="array" ref="P217">SUMPRODUCT('EE Measures'!GY$8:GY$86,'EE Measures'!$IK$8:$IK$86,--('EE Measures'!$B$8:$B$86='Pathway Analysis'!$E217))+(SUMPRODUCT('EE Measures'!GY$8:GY$86,'EE Measures'!$IK$8:$IK$86,--('EE Measures'!$B$8:$B$86="Cross-sectoral"))*(P26/$H$9))+P181</f>
        <v>13.161943989117592</v>
      </c>
      <c r="Q217" s="593" cm="1">
        <f t="array" ref="Q217">SUMPRODUCT('EE Measures'!GZ$8:GZ$86,'EE Measures'!$IK$8:$IK$86,--('EE Measures'!$B$8:$B$86='Pathway Analysis'!$E217))+(SUMPRODUCT('EE Measures'!GZ$8:GZ$86,'EE Measures'!$IK$8:$IK$86,--('EE Measures'!$B$8:$B$86="Cross-sectoral"))*(Q26/$H$9))+Q181</f>
        <v>9.2675535429264269</v>
      </c>
      <c r="R217" s="593" cm="1">
        <f t="array" ref="R217">SUMPRODUCT('EE Measures'!HA$8:HA$86,'EE Measures'!$IK$8:$IK$86,--('EE Measures'!$B$8:$B$86='Pathway Analysis'!$E217))+(SUMPRODUCT('EE Measures'!HA$8:HA$86,'EE Measures'!$IK$8:$IK$86,--('EE Measures'!$B$8:$B$86="Cross-sectoral"))*(R26/$H$9))+R181</f>
        <v>16.260732954444052</v>
      </c>
      <c r="S217" s="593" cm="1">
        <f t="array" ref="S217">SUMPRODUCT('EE Measures'!HB$8:HB$86,'EE Measures'!$IK$8:$IK$86,--('EE Measures'!$B$8:$B$86='Pathway Analysis'!$E217))+(SUMPRODUCT('EE Measures'!HB$8:HB$86,'EE Measures'!$IK$8:$IK$86,--('EE Measures'!$B$8:$B$86="Cross-sectoral"))*(S26/$H$9))+S181</f>
        <v>16.490612785197861</v>
      </c>
      <c r="T217" s="593" cm="1">
        <f t="array" ref="T217">SUMPRODUCT('EE Measures'!HC$8:HC$86,'EE Measures'!$IK$8:$IK$86,--('EE Measures'!$B$8:$B$86='Pathway Analysis'!$E217))+(SUMPRODUCT('EE Measures'!HC$8:HC$86,'EE Measures'!$IK$8:$IK$86,--('EE Measures'!$B$8:$B$86="Cross-sectoral"))*(T26/$H$9))+T181</f>
        <v>16.439650908342781</v>
      </c>
      <c r="U217" s="593" cm="1">
        <f t="array" ref="U217">SUMPRODUCT('EE Measures'!HD$8:HD$86,'EE Measures'!$IK$8:$IK$86,--('EE Measures'!$B$8:$B$86='Pathway Analysis'!$E217))+(SUMPRODUCT('EE Measures'!HD$8:HD$86,'EE Measures'!$IK$8:$IK$86,--('EE Measures'!$B$8:$B$86="Cross-sectoral"))*(U26/$H$9))+U181</f>
        <v>16.381266343994003</v>
      </c>
    </row>
    <row r="218" spans="3:41" hidden="1" outlineLevel="1" x14ac:dyDescent="0.3">
      <c r="C218" s="587" t="str">
        <f>E218</f>
        <v>CEER2</v>
      </c>
      <c r="E218" s="555" t="str">
        <f>'EE Measures'!$IL$6</f>
        <v>CEER2</v>
      </c>
      <c r="F218" s="590">
        <f>SUM(G218:P218)</f>
        <v>5417.1814186660613</v>
      </c>
      <c r="G218" s="591">
        <f>SUM(G219:G223)</f>
        <v>243.61328119027033</v>
      </c>
      <c r="H218" s="591">
        <f>SUM(H219:H223)</f>
        <v>-142.72517812375753</v>
      </c>
      <c r="I218" s="591">
        <f t="shared" ref="I218:P218" si="544">SUM(I219:I223)</f>
        <v>46.24430701128405</v>
      </c>
      <c r="J218" s="591">
        <f t="shared" si="544"/>
        <v>115.87571644605522</v>
      </c>
      <c r="K218" s="591">
        <f t="shared" si="544"/>
        <v>378.42108793716665</v>
      </c>
      <c r="L218" s="591">
        <f t="shared" si="544"/>
        <v>563.41756168214113</v>
      </c>
      <c r="M218" s="591">
        <f t="shared" si="544"/>
        <v>830.72811014630804</v>
      </c>
      <c r="N218" s="591">
        <f t="shared" si="544"/>
        <v>985.01371539715194</v>
      </c>
      <c r="O218" s="591">
        <f t="shared" si="544"/>
        <v>1141.3559163751474</v>
      </c>
      <c r="P218" s="591">
        <f t="shared" si="544"/>
        <v>1255.2369006042941</v>
      </c>
      <c r="Q218" s="591">
        <f t="shared" ref="Q218:U218" si="545">SUM(Q219:Q223)</f>
        <v>656.61253528784232</v>
      </c>
      <c r="R218" s="591">
        <f t="shared" si="545"/>
        <v>2069.317236548618</v>
      </c>
      <c r="S218" s="591">
        <f t="shared" si="545"/>
        <v>2281.262451944353</v>
      </c>
      <c r="T218" s="591">
        <f t="shared" si="545"/>
        <v>2429.1304761854985</v>
      </c>
      <c r="U218" s="591">
        <f t="shared" si="545"/>
        <v>2564.5698637425799</v>
      </c>
    </row>
    <row r="219" spans="3:41" hidden="1" outlineLevel="1" x14ac:dyDescent="0.3">
      <c r="C219" s="587" t="str">
        <f>C218</f>
        <v>CEER2</v>
      </c>
      <c r="E219" s="563" t="s">
        <v>50</v>
      </c>
      <c r="F219" s="592">
        <f>SUM(G219:P219)</f>
        <v>1202.4839656207866</v>
      </c>
      <c r="G219" s="593" cm="1">
        <f t="array" ref="G219">SUMPRODUCT('EE Measures'!GP$8:GP$86,'EE Measures'!$IL$8:$IL$86,--('EE Measures'!$B$8:$B$86='Pathway Analysis'!$E219))+(SUMPRODUCT('EE Measures'!GP$8:GP$86,'EE Measures'!$IL$8:$IL$86,--('EE Measures'!$B$8:$B$86="Cross-sectoral"))*(G28/$H$9))+G177</f>
        <v>230.82319987441582</v>
      </c>
      <c r="H219" s="593" cm="1">
        <f t="array" ref="H219">SUMPRODUCT('EE Measures'!GQ$8:GQ$86,'EE Measures'!$IL$8:$IL$86,--('EE Measures'!$B$8:$B$86='Pathway Analysis'!$E219))+(SUMPRODUCT('EE Measures'!GQ$8:GQ$86,'EE Measures'!$IL$8:$IL$86,--('EE Measures'!$B$8:$B$86="Cross-sectoral"))*(H28/$H$9))+H177</f>
        <v>-161.26340348416215</v>
      </c>
      <c r="I219" s="593" cm="1">
        <f t="array" ref="I219">SUMPRODUCT('EE Measures'!GR$8:GR$86,'EE Measures'!$IL$8:$IL$86,--('EE Measures'!$B$8:$B$86='Pathway Analysis'!$E219))+(SUMPRODUCT('EE Measures'!GR$8:GR$86,'EE Measures'!$IL$8:$IL$86,--('EE Measures'!$B$8:$B$86="Cross-sectoral"))*(I28/$H$9))+I177</f>
        <v>16.497788940050025</v>
      </c>
      <c r="J219" s="593" cm="1">
        <f t="array" ref="J219">SUMPRODUCT('EE Measures'!GS$8:GS$86,'EE Measures'!$IL$8:$IL$86,--('EE Measures'!$B$8:$B$86='Pathway Analysis'!$E219))+(SUMPRODUCT('EE Measures'!GS$8:GS$86,'EE Measures'!$IL$8:$IL$86,--('EE Measures'!$B$8:$B$86="Cross-sectoral"))*(J28/$H$9))+J177</f>
        <v>27.131317000176374</v>
      </c>
      <c r="K219" s="593" cm="1">
        <f t="array" ref="K219">SUMPRODUCT('EE Measures'!GT$8:GT$86,'EE Measures'!$IL$8:$IL$86,--('EE Measures'!$B$8:$B$86='Pathway Analysis'!$E219))+(SUMPRODUCT('EE Measures'!GT$8:GT$86,'EE Measures'!$IL$8:$IL$86,--('EE Measures'!$B$8:$B$86="Cross-sectoral"))*(K28/$H$9))+K177</f>
        <v>83.221958399465819</v>
      </c>
      <c r="L219" s="593" cm="1">
        <f t="array" ref="L219">SUMPRODUCT('EE Measures'!GU$8:GU$86,'EE Measures'!$IL$8:$IL$86,--('EE Measures'!$B$8:$B$86='Pathway Analysis'!$E219))+(SUMPRODUCT('EE Measures'!GU$8:GU$86,'EE Measures'!$IL$8:$IL$86,--('EE Measures'!$B$8:$B$86="Cross-sectoral"))*(L28/$H$9))+L177</f>
        <v>127.8799969167199</v>
      </c>
      <c r="M219" s="593" cm="1">
        <f t="array" ref="M219">SUMPRODUCT('EE Measures'!GV$8:GV$86,'EE Measures'!$IL$8:$IL$86,--('EE Measures'!$B$8:$B$86='Pathway Analysis'!$E219))+(SUMPRODUCT('EE Measures'!GV$8:GV$86,'EE Measures'!$IL$8:$IL$86,--('EE Measures'!$B$8:$B$86="Cross-sectoral"))*(M28/$H$9))+M177</f>
        <v>167.67975698597587</v>
      </c>
      <c r="N219" s="593" cm="1">
        <f t="array" ref="N219">SUMPRODUCT('EE Measures'!GW$8:GW$86,'EE Measures'!$IL$8:$IL$86,--('EE Measures'!$B$8:$B$86='Pathway Analysis'!$E219))+(SUMPRODUCT('EE Measures'!GW$8:GW$86,'EE Measures'!$IL$8:$IL$86,--('EE Measures'!$B$8:$B$86="Cross-sectoral"))*(N28/$H$9))+N177</f>
        <v>197.79785624118549</v>
      </c>
      <c r="O219" s="593" cm="1">
        <f t="array" ref="O219">SUMPRODUCT('EE Measures'!GX$8:GX$86,'EE Measures'!$IL$8:$IL$86,--('EE Measures'!$B$8:$B$86='Pathway Analysis'!$E219))+(SUMPRODUCT('EE Measures'!GX$8:GX$86,'EE Measures'!$IL$8:$IL$86,--('EE Measures'!$B$8:$B$86="Cross-sectoral"))*(O28/$H$9))+O177</f>
        <v>238.84726905097278</v>
      </c>
      <c r="P219" s="593" cm="1">
        <f t="array" ref="P219">SUMPRODUCT('EE Measures'!GY$8:GY$86,'EE Measures'!$IL$8:$IL$86,--('EE Measures'!$B$8:$B$86='Pathway Analysis'!$E219))+(SUMPRODUCT('EE Measures'!GY$8:GY$86,'EE Measures'!$IL$8:$IL$86,--('EE Measures'!$B$8:$B$86="Cross-sectoral"))*(P28/$H$9))+P177</f>
        <v>273.86822569598667</v>
      </c>
      <c r="Q219" s="593" cm="1">
        <f t="array" ref="Q219">SUMPRODUCT('EE Measures'!GZ$8:GZ$86,'EE Measures'!$IL$8:$IL$86,--('EE Measures'!$B$8:$B$86='Pathway Analysis'!$E219))+(SUMPRODUCT('EE Measures'!GZ$8:GZ$86,'EE Measures'!$IL$8:$IL$86,--('EE Measures'!$B$8:$B$86="Cross-sectoral"))*(Q28/$H$9))+Q177</f>
        <v>109.46576069067484</v>
      </c>
      <c r="R219" s="593" cm="1">
        <f t="array" ref="R219">SUMPRODUCT('EE Measures'!HA$8:HA$86,'EE Measures'!$IL$8:$IL$86,--('EE Measures'!$B$8:$B$86='Pathway Analysis'!$E219))+(SUMPRODUCT('EE Measures'!HA$8:HA$86,'EE Measures'!$IL$8:$IL$86,--('EE Measures'!$B$8:$B$86="Cross-sectoral"))*(R28/$H$9))+R177</f>
        <v>551.55512099058751</v>
      </c>
      <c r="S219" s="593" cm="1">
        <f t="array" ref="S219">SUMPRODUCT('EE Measures'!HB$8:HB$86,'EE Measures'!$IL$8:$IL$86,--('EE Measures'!$B$8:$B$86='Pathway Analysis'!$E219))+(SUMPRODUCT('EE Measures'!HB$8:HB$86,'EE Measures'!$IL$8:$IL$86,--('EE Measures'!$B$8:$B$86="Cross-sectoral"))*(S28/$H$9))+S177</f>
        <v>632.05202338875847</v>
      </c>
      <c r="T219" s="593" cm="1">
        <f t="array" ref="T219">SUMPRODUCT('EE Measures'!HC$8:HC$86,'EE Measures'!$IL$8:$IL$86,--('EE Measures'!$B$8:$B$86='Pathway Analysis'!$E219))+(SUMPRODUCT('EE Measures'!HC$8:HC$86,'EE Measures'!$IL$8:$IL$86,--('EE Measures'!$B$8:$B$86="Cross-sectoral"))*(T28/$H$9))+T177</f>
        <v>691.62443813834841</v>
      </c>
      <c r="U219" s="593" cm="1">
        <f t="array" ref="U219">SUMPRODUCT('EE Measures'!HD$8:HD$86,'EE Measures'!$IL$8:$IL$86,--('EE Measures'!$B$8:$B$86='Pathway Analysis'!$E219))+(SUMPRODUCT('EE Measures'!HD$8:HD$86,'EE Measures'!$IL$8:$IL$86,--('EE Measures'!$B$8:$B$86="Cross-sectoral"))*(U28/$H$9))+U177</f>
        <v>747.09222242281123</v>
      </c>
    </row>
    <row r="220" spans="3:41" hidden="1" outlineLevel="1" x14ac:dyDescent="0.3">
      <c r="C220" s="587" t="str">
        <f t="shared" ref="C220:C223" si="546">C219</f>
        <v>CEER2</v>
      </c>
      <c r="E220" s="563" t="s">
        <v>51</v>
      </c>
      <c r="F220" s="592">
        <f t="shared" ref="F220:F223" si="547">SUM(G220:P220)</f>
        <v>1391.0520674608299</v>
      </c>
      <c r="G220" s="593" cm="1">
        <f t="array" ref="G220">SUMPRODUCT('EE Measures'!GP$8:GP$86,'EE Measures'!$IL$8:$IL$86,--('EE Measures'!$B$8:$B$86='Pathway Analysis'!$E220))+(SUMPRODUCT('EE Measures'!GP$8:GP$86,'EE Measures'!$IL$8:$IL$86,--('EE Measures'!$B$8:$B$86="Cross-sectoral"))*(G29/$H$9))+G178</f>
        <v>22.148497610521122</v>
      </c>
      <c r="H220" s="593" cm="1">
        <f t="array" ref="H220">SUMPRODUCT('EE Measures'!GQ$8:GQ$86,'EE Measures'!$IL$8:$IL$86,--('EE Measures'!$B$8:$B$86='Pathway Analysis'!$E220))+(SUMPRODUCT('EE Measures'!GQ$8:GQ$86,'EE Measures'!$IL$8:$IL$86,--('EE Measures'!$B$8:$B$86="Cross-sectoral"))*(H29/$H$9))+H178</f>
        <v>9.9461502689816346</v>
      </c>
      <c r="I220" s="593" cm="1">
        <f t="array" ref="I220">SUMPRODUCT('EE Measures'!GR$8:GR$86,'EE Measures'!$IL$8:$IL$86,--('EE Measures'!$B$8:$B$86='Pathway Analysis'!$E220))+(SUMPRODUCT('EE Measures'!GR$8:GR$86,'EE Measures'!$IL$8:$IL$86,--('EE Measures'!$B$8:$B$86="Cross-sectoral"))*(I29/$H$9))+I178</f>
        <v>12.769983016869784</v>
      </c>
      <c r="J220" s="593" cm="1">
        <f t="array" ref="J220">SUMPRODUCT('EE Measures'!GS$8:GS$86,'EE Measures'!$IL$8:$IL$86,--('EE Measures'!$B$8:$B$86='Pathway Analysis'!$E220))+(SUMPRODUCT('EE Measures'!GS$8:GS$86,'EE Measures'!$IL$8:$IL$86,--('EE Measures'!$B$8:$B$86="Cross-sectoral"))*(J29/$H$9))+J178</f>
        <v>34.61089559307451</v>
      </c>
      <c r="K220" s="593" cm="1">
        <f t="array" ref="K220">SUMPRODUCT('EE Measures'!GT$8:GT$86,'EE Measures'!$IL$8:$IL$86,--('EE Measures'!$B$8:$B$86='Pathway Analysis'!$E220))+(SUMPRODUCT('EE Measures'!GT$8:GT$86,'EE Measures'!$IL$8:$IL$86,--('EE Measures'!$B$8:$B$86="Cross-sectoral"))*(K29/$H$9))+K178</f>
        <v>103.78046240582171</v>
      </c>
      <c r="L220" s="593" cm="1">
        <f t="array" ref="L220">SUMPRODUCT('EE Measures'!GU$8:GU$86,'EE Measures'!$IL$8:$IL$86,--('EE Measures'!$B$8:$B$86='Pathway Analysis'!$E220))+(SUMPRODUCT('EE Measures'!GU$8:GU$86,'EE Measures'!$IL$8:$IL$86,--('EE Measures'!$B$8:$B$86="Cross-sectoral"))*(L29/$H$9))+L178</f>
        <v>157.72830262420092</v>
      </c>
      <c r="M220" s="593" cm="1">
        <f t="array" ref="M220">SUMPRODUCT('EE Measures'!GV$8:GV$86,'EE Measures'!$IL$8:$IL$86,--('EE Measures'!$B$8:$B$86='Pathway Analysis'!$E220))+(SUMPRODUCT('EE Measures'!GV$8:GV$86,'EE Measures'!$IL$8:$IL$86,--('EE Measures'!$B$8:$B$86="Cross-sectoral"))*(M29/$H$9))+M178</f>
        <v>205.58162584756082</v>
      </c>
      <c r="N220" s="593" cm="1">
        <f t="array" ref="N220">SUMPRODUCT('EE Measures'!GW$8:GW$86,'EE Measures'!$IL$8:$IL$86,--('EE Measures'!$B$8:$B$86='Pathway Analysis'!$E220))+(SUMPRODUCT('EE Measures'!GW$8:GW$86,'EE Measures'!$IL$8:$IL$86,--('EE Measures'!$B$8:$B$86="Cross-sectoral"))*(N29/$H$9))+N178</f>
        <v>249.32955213695865</v>
      </c>
      <c r="O220" s="593" cm="1">
        <f t="array" ref="O220">SUMPRODUCT('EE Measures'!GX$8:GX$86,'EE Measures'!$IL$8:$IL$86,--('EE Measures'!$B$8:$B$86='Pathway Analysis'!$E220))+(SUMPRODUCT('EE Measures'!GX$8:GX$86,'EE Measures'!$IL$8:$IL$86,--('EE Measures'!$B$8:$B$86="Cross-sectoral"))*(O29/$H$9))+O178</f>
        <v>288.01679602080537</v>
      </c>
      <c r="P220" s="593" cm="1">
        <f t="array" ref="P220">SUMPRODUCT('EE Measures'!GY$8:GY$86,'EE Measures'!$IL$8:$IL$86,--('EE Measures'!$B$8:$B$86='Pathway Analysis'!$E220))+(SUMPRODUCT('EE Measures'!GY$8:GY$86,'EE Measures'!$IL$8:$IL$86,--('EE Measures'!$B$8:$B$86="Cross-sectoral"))*(P29/$H$9))+P178</f>
        <v>307.1398019360351</v>
      </c>
      <c r="Q220" s="593" cm="1">
        <f t="array" ref="Q220">SUMPRODUCT('EE Measures'!GZ$8:GZ$86,'EE Measures'!$IL$8:$IL$86,--('EE Measures'!$B$8:$B$86='Pathway Analysis'!$E220))+(SUMPRODUCT('EE Measures'!GZ$8:GZ$86,'EE Measures'!$IL$8:$IL$86,--('EE Measures'!$B$8:$B$86="Cross-sectoral"))*(Q29/$H$9))+Q178</f>
        <v>32.04970900072145</v>
      </c>
      <c r="R220" s="593" cm="1">
        <f t="array" ref="R220">SUMPRODUCT('EE Measures'!HA$8:HA$86,'EE Measures'!$IL$8:$IL$86,--('EE Measures'!$B$8:$B$86='Pathway Analysis'!$E220))+(SUMPRODUCT('EE Measures'!HA$8:HA$86,'EE Measures'!$IL$8:$IL$86,--('EE Measures'!$B$8:$B$86="Cross-sectoral"))*(R29/$H$9))+R178</f>
        <v>580.10109858092949</v>
      </c>
      <c r="S220" s="593" cm="1">
        <f t="array" ref="S220">SUMPRODUCT('EE Measures'!HB$8:HB$86,'EE Measures'!$IL$8:$IL$86,--('EE Measures'!$B$8:$B$86='Pathway Analysis'!$E220))+(SUMPRODUCT('EE Measures'!HB$8:HB$86,'EE Measures'!$IL$8:$IL$86,--('EE Measures'!$B$8:$B$86="Cross-sectoral"))*(S29/$H$9))+S178</f>
        <v>642.30108904444239</v>
      </c>
      <c r="T220" s="593" cm="1">
        <f t="array" ref="T220">SUMPRODUCT('EE Measures'!HC$8:HC$86,'EE Measures'!$IL$8:$IL$86,--('EE Measures'!$B$8:$B$86='Pathway Analysis'!$E220))+(SUMPRODUCT('EE Measures'!HC$8:HC$86,'EE Measures'!$IL$8:$IL$86,--('EE Measures'!$B$8:$B$86="Cross-sectoral"))*(T29/$H$9))+T178</f>
        <v>680.52121713278666</v>
      </c>
      <c r="U220" s="593" cm="1">
        <f t="array" ref="U220">SUMPRODUCT('EE Measures'!HD$8:HD$86,'EE Measures'!$IL$8:$IL$86,--('EE Measures'!$B$8:$B$86='Pathway Analysis'!$E220))+(SUMPRODUCT('EE Measures'!HD$8:HD$86,'EE Measures'!$IL$8:$IL$86,--('EE Measures'!$B$8:$B$86="Cross-sectoral"))*(U29/$H$9))+U178</f>
        <v>713.55025286596833</v>
      </c>
    </row>
    <row r="221" spans="3:41" hidden="1" outlineLevel="1" x14ac:dyDescent="0.3">
      <c r="C221" s="587" t="str">
        <f t="shared" si="546"/>
        <v>CEER2</v>
      </c>
      <c r="E221" s="563" t="s">
        <v>52</v>
      </c>
      <c r="F221" s="592">
        <f t="shared" si="547"/>
        <v>966.75096238807009</v>
      </c>
      <c r="G221" s="593" cm="1">
        <f t="array" ref="G221">SUMPRODUCT('EE Measures'!GP$8:GP$86,'EE Measures'!$IL$8:$IL$86,--('EE Measures'!$B$8:$B$86='Pathway Analysis'!$E221))+(SUMPRODUCT('EE Measures'!GP$8:GP$86,'EE Measures'!$IL$8:$IL$86,--('EE Measures'!$B$8:$B$86="Cross-sectoral"))*(G30/$H$9))+G179</f>
        <v>9.7098881360923706</v>
      </c>
      <c r="H221" s="593" cm="1">
        <f t="array" ref="H221">SUMPRODUCT('EE Measures'!GQ$8:GQ$86,'EE Measures'!$IL$8:$IL$86,--('EE Measures'!$B$8:$B$86='Pathway Analysis'!$E221))+(SUMPRODUCT('EE Measures'!GQ$8:GQ$86,'EE Measures'!$IL$8:$IL$86,--('EE Measures'!$B$8:$B$86="Cross-sectoral"))*(H30/$H$9))+H179</f>
        <v>-1.8222909910493357</v>
      </c>
      <c r="I221" s="593" cm="1">
        <f t="array" ref="I221">SUMPRODUCT('EE Measures'!GR$8:GR$86,'EE Measures'!$IL$8:$IL$86,--('EE Measures'!$B$8:$B$86='Pathway Analysis'!$E221))+(SUMPRODUCT('EE Measures'!GR$8:GR$86,'EE Measures'!$IL$8:$IL$86,--('EE Measures'!$B$8:$B$86="Cross-sectoral"))*(I30/$H$9))+I179</f>
        <v>-0.67499703853276216</v>
      </c>
      <c r="J221" s="593" cm="1">
        <f t="array" ref="J221">SUMPRODUCT('EE Measures'!GS$8:GS$86,'EE Measures'!$IL$8:$IL$86,--('EE Measures'!$B$8:$B$86='Pathway Analysis'!$E221))+(SUMPRODUCT('EE Measures'!GS$8:GS$86,'EE Measures'!$IL$8:$IL$86,--('EE Measures'!$B$8:$B$86="Cross-sectoral"))*(J30/$H$9))+J179</f>
        <v>10.563754554782559</v>
      </c>
      <c r="K221" s="593" cm="1">
        <f t="array" ref="K221">SUMPRODUCT('EE Measures'!GT$8:GT$86,'EE Measures'!$IL$8:$IL$86,--('EE Measures'!$B$8:$B$86='Pathway Analysis'!$E221))+(SUMPRODUCT('EE Measures'!GT$8:GT$86,'EE Measures'!$IL$8:$IL$86,--('EE Measures'!$B$8:$B$86="Cross-sectoral"))*(K30/$H$9))+K179</f>
        <v>63.04082296212728</v>
      </c>
      <c r="L221" s="593" cm="1">
        <f t="array" ref="L221">SUMPRODUCT('EE Measures'!GU$8:GU$86,'EE Measures'!$IL$8:$IL$86,--('EE Measures'!$B$8:$B$86='Pathway Analysis'!$E221))+(SUMPRODUCT('EE Measures'!GU$8:GU$86,'EE Measures'!$IL$8:$IL$86,--('EE Measures'!$B$8:$B$86="Cross-sectoral"))*(L30/$H$9))+L179</f>
        <v>106.59599103032099</v>
      </c>
      <c r="M221" s="593" cm="1">
        <f t="array" ref="M221">SUMPRODUCT('EE Measures'!GV$8:GV$86,'EE Measures'!$IL$8:$IL$86,--('EE Measures'!$B$8:$B$86='Pathway Analysis'!$E221))+(SUMPRODUCT('EE Measures'!GV$8:GV$86,'EE Measures'!$IL$8:$IL$86,--('EE Measures'!$B$8:$B$86="Cross-sectoral"))*(M30/$H$9))+M179</f>
        <v>146.29750108609053</v>
      </c>
      <c r="N221" s="593" cm="1">
        <f t="array" ref="N221">SUMPRODUCT('EE Measures'!GW$8:GW$86,'EE Measures'!$IL$8:$IL$86,--('EE Measures'!$B$8:$B$86='Pathway Analysis'!$E221))+(SUMPRODUCT('EE Measures'!GW$8:GW$86,'EE Measures'!$IL$8:$IL$86,--('EE Measures'!$B$8:$B$86="Cross-sectoral"))*(N30/$H$9))+N179</f>
        <v>182.5935228074573</v>
      </c>
      <c r="O221" s="593" cm="1">
        <f t="array" ref="O221">SUMPRODUCT('EE Measures'!GX$8:GX$86,'EE Measures'!$IL$8:$IL$86,--('EE Measures'!$B$8:$B$86='Pathway Analysis'!$E221))+(SUMPRODUCT('EE Measures'!GX$8:GX$86,'EE Measures'!$IL$8:$IL$86,--('EE Measures'!$B$8:$B$86="Cross-sectoral"))*(O30/$H$9))+O179</f>
        <v>215.36334034999612</v>
      </c>
      <c r="P221" s="593" cm="1">
        <f t="array" ref="P221">SUMPRODUCT('EE Measures'!GY$8:GY$86,'EE Measures'!$IL$8:$IL$86,--('EE Measures'!$B$8:$B$86='Pathway Analysis'!$E221))+(SUMPRODUCT('EE Measures'!GY$8:GY$86,'EE Measures'!$IL$8:$IL$86,--('EE Measures'!$B$8:$B$86="Cross-sectoral"))*(P30/$H$9))+P179</f>
        <v>235.08342949078499</v>
      </c>
      <c r="Q221" s="593" cm="1">
        <f t="array" ref="Q221">SUMPRODUCT('EE Measures'!GZ$8:GZ$86,'EE Measures'!$IL$8:$IL$86,--('EE Measures'!$B$8:$B$86='Pathway Analysis'!$E221))+(SUMPRODUCT('EE Measures'!GZ$8:GZ$86,'EE Measures'!$IL$8:$IL$86,--('EE Measures'!$B$8:$B$86="Cross-sectoral"))*(Q30/$H$9))+Q179</f>
        <v>102.38728988157274</v>
      </c>
      <c r="R221" s="593" cm="1">
        <f t="array" ref="R221">SUMPRODUCT('EE Measures'!HA$8:HA$86,'EE Measures'!$IL$8:$IL$86,--('EE Measures'!$B$8:$B$86='Pathway Analysis'!$E221))+(SUMPRODUCT('EE Measures'!HA$8:HA$86,'EE Measures'!$IL$8:$IL$86,--('EE Measures'!$B$8:$B$86="Cross-sectoral"))*(R30/$H$9))+R179</f>
        <v>432.71591816662902</v>
      </c>
      <c r="S221" s="593" cm="1">
        <f t="array" ref="S221">SUMPRODUCT('EE Measures'!HB$8:HB$86,'EE Measures'!$IL$8:$IL$86,--('EE Measures'!$B$8:$B$86='Pathway Analysis'!$E221))+(SUMPRODUCT('EE Measures'!HB$8:HB$86,'EE Measures'!$IL$8:$IL$86,--('EE Measures'!$B$8:$B$86="Cross-sectoral"))*(S30/$H$9))+S179</f>
        <v>482.96357351808331</v>
      </c>
      <c r="T221" s="593" cm="1">
        <f t="array" ref="T221">SUMPRODUCT('EE Measures'!HC$8:HC$86,'EE Measures'!$IL$8:$IL$86,--('EE Measures'!$B$8:$B$86='Pathway Analysis'!$E221))+(SUMPRODUCT('EE Measures'!HC$8:HC$86,'EE Measures'!$IL$8:$IL$86,--('EE Measures'!$B$8:$B$86="Cross-sectoral"))*(T30/$H$9))+T179</f>
        <v>517.23335555385734</v>
      </c>
      <c r="U221" s="593" cm="1">
        <f t="array" ref="U221">SUMPRODUCT('EE Measures'!HD$8:HD$86,'EE Measures'!$IL$8:$IL$86,--('EE Measures'!$B$8:$B$86='Pathway Analysis'!$E221))+(SUMPRODUCT('EE Measures'!HD$8:HD$86,'EE Measures'!$IL$8:$IL$86,--('EE Measures'!$B$8:$B$86="Cross-sectoral"))*(U30/$H$9))+U179</f>
        <v>548.53811853510661</v>
      </c>
    </row>
    <row r="222" spans="3:41" hidden="1" outlineLevel="1" x14ac:dyDescent="0.3">
      <c r="C222" s="587" t="str">
        <f t="shared" si="546"/>
        <v>CEER2</v>
      </c>
      <c r="E222" s="563" t="s">
        <v>53</v>
      </c>
      <c r="F222" s="592">
        <f t="shared" si="547"/>
        <v>1698.2489954687685</v>
      </c>
      <c r="G222" s="593" cm="1">
        <f t="array" ref="G222">SUMPRODUCT('EE Measures'!GP$8:GP$86,'EE Measures'!$IL$8:$IL$86,--('EE Measures'!$B$8:$B$86='Pathway Analysis'!$E222))+(SUMPRODUCT('EE Measures'!GP$8:GP$86,'EE Measures'!$IL$8:$IL$86,--('EE Measures'!$B$8:$B$86="Cross-sectoral"))*(G31/$H$9))+G180</f>
        <v>-120.11906809480141</v>
      </c>
      <c r="H222" s="593" cm="1">
        <f t="array" ref="H222">SUMPRODUCT('EE Measures'!GQ$8:GQ$86,'EE Measures'!$IL$8:$IL$86,--('EE Measures'!$B$8:$B$86='Pathway Analysis'!$E222))+(SUMPRODUCT('EE Measures'!GQ$8:GQ$86,'EE Measures'!$IL$8:$IL$86,--('EE Measures'!$B$8:$B$86="Cross-sectoral"))*(H31/$H$9))+H180</f>
        <v>8.8998566917862298</v>
      </c>
      <c r="I222" s="593" cm="1">
        <f t="array" ref="I222">SUMPRODUCT('EE Measures'!GR$8:GR$86,'EE Measures'!$IL$8:$IL$86,--('EE Measures'!$B$8:$B$86='Pathway Analysis'!$E222))+(SUMPRODUCT('EE Measures'!GR$8:GR$86,'EE Measures'!$IL$8:$IL$86,--('EE Measures'!$B$8:$B$86="Cross-sectoral"))*(I31/$H$9))+I180</f>
        <v>15.954269936284113</v>
      </c>
      <c r="J222" s="593" cm="1">
        <f t="array" ref="J222">SUMPRODUCT('EE Measures'!GS$8:GS$86,'EE Measures'!$IL$8:$IL$86,--('EE Measures'!$B$8:$B$86='Pathway Analysis'!$E222))+(SUMPRODUCT('EE Measures'!GS$8:GS$86,'EE Measures'!$IL$8:$IL$86,--('EE Measures'!$B$8:$B$86="Cross-sectoral"))*(J31/$H$9))+J180</f>
        <v>39.840237562919228</v>
      </c>
      <c r="K222" s="593" cm="1">
        <f t="array" ref="K222">SUMPRODUCT('EE Measures'!GT$8:GT$86,'EE Measures'!$IL$8:$IL$86,--('EE Measures'!$B$8:$B$86='Pathway Analysis'!$E222))+(SUMPRODUCT('EE Measures'!GT$8:GT$86,'EE Measures'!$IL$8:$IL$86,--('EE Measures'!$B$8:$B$86="Cross-sectoral"))*(K31/$H$9))+K180</f>
        <v>123.61226137098761</v>
      </c>
      <c r="L222" s="593" cm="1">
        <f t="array" ref="L222">SUMPRODUCT('EE Measures'!GU$8:GU$86,'EE Measures'!$IL$8:$IL$86,--('EE Measures'!$B$8:$B$86='Pathway Analysis'!$E222))+(SUMPRODUCT('EE Measures'!GU$8:GU$86,'EE Measures'!$IL$8:$IL$86,--('EE Measures'!$B$8:$B$86="Cross-sectoral"))*(L31/$H$9))+L180</f>
        <v>166.33932049098544</v>
      </c>
      <c r="M222" s="593" cm="1">
        <f t="array" ref="M222">SUMPRODUCT('EE Measures'!GV$8:GV$86,'EE Measures'!$IL$8:$IL$86,--('EE Measures'!$B$8:$B$86='Pathway Analysis'!$E222))+(SUMPRODUCT('EE Measures'!GV$8:GV$86,'EE Measures'!$IL$8:$IL$86,--('EE Measures'!$B$8:$B$86="Cross-sectoral"))*(M31/$H$9))+M180</f>
        <v>304.03676978272506</v>
      </c>
      <c r="N222" s="593" cm="1">
        <f t="array" ref="N222">SUMPRODUCT('EE Measures'!GW$8:GW$86,'EE Measures'!$IL$8:$IL$86,--('EE Measures'!$B$8:$B$86='Pathway Analysis'!$E222))+(SUMPRODUCT('EE Measures'!GW$8:GW$86,'EE Measures'!$IL$8:$IL$86,--('EE Measures'!$B$8:$B$86="Cross-sectoral"))*(N31/$H$9))+N180</f>
        <v>345.98205760673267</v>
      </c>
      <c r="O222" s="593" cm="1">
        <f t="array" ref="O222">SUMPRODUCT('EE Measures'!GX$8:GX$86,'EE Measures'!$IL$8:$IL$86,--('EE Measures'!$B$8:$B$86='Pathway Analysis'!$E222))+(SUMPRODUCT('EE Measures'!GX$8:GX$86,'EE Measures'!$IL$8:$IL$86,--('EE Measures'!$B$8:$B$86="Cross-sectoral"))*(O31/$H$9))+O180</f>
        <v>387.71979062877995</v>
      </c>
      <c r="P222" s="593" cm="1">
        <f t="array" ref="P222">SUMPRODUCT('EE Measures'!GY$8:GY$86,'EE Measures'!$IL$8:$IL$86,--('EE Measures'!$B$8:$B$86='Pathway Analysis'!$E222))+(SUMPRODUCT('EE Measures'!GY$8:GY$86,'EE Measures'!$IL$8:$IL$86,--('EE Measures'!$B$8:$B$86="Cross-sectoral"))*(P31/$H$9))+P180</f>
        <v>425.98349949236967</v>
      </c>
      <c r="Q222" s="593" cm="1">
        <f t="array" ref="Q222">SUMPRODUCT('EE Measures'!GZ$8:GZ$86,'EE Measures'!$IL$8:$IL$86,--('EE Measures'!$B$8:$B$86='Pathway Analysis'!$E222))+(SUMPRODUCT('EE Measures'!GZ$8:GZ$86,'EE Measures'!$IL$8:$IL$86,--('EE Measures'!$B$8:$B$86="Cross-sectoral"))*(Q31/$H$9))+Q180</f>
        <v>403.44222217194692</v>
      </c>
      <c r="R222" s="593" cm="1">
        <f t="array" ref="R222">SUMPRODUCT('EE Measures'!HA$8:HA$86,'EE Measures'!$IL$8:$IL$86,--('EE Measures'!$B$8:$B$86='Pathway Analysis'!$E222))+(SUMPRODUCT('EE Measures'!HA$8:HA$86,'EE Measures'!$IL$8:$IL$86,--('EE Measures'!$B$8:$B$86="Cross-sectoral"))*(R31/$H$9))+R180</f>
        <v>488.68436585602802</v>
      </c>
      <c r="S222" s="593" cm="1">
        <f t="array" ref="S222">SUMPRODUCT('EE Measures'!HB$8:HB$86,'EE Measures'!$IL$8:$IL$86,--('EE Measures'!$B$8:$B$86='Pathway Analysis'!$E222))+(SUMPRODUCT('EE Measures'!HB$8:HB$86,'EE Measures'!$IL$8:$IL$86,--('EE Measures'!$B$8:$B$86="Cross-sectoral"))*(S31/$H$9))+S180</f>
        <v>507.45515320787115</v>
      </c>
      <c r="T222" s="593" cm="1">
        <f t="array" ref="T222">SUMPRODUCT('EE Measures'!HC$8:HC$86,'EE Measures'!$IL$8:$IL$86,--('EE Measures'!$B$8:$B$86='Pathway Analysis'!$E222))+(SUMPRODUCT('EE Measures'!HC$8:HC$86,'EE Measures'!$IL$8:$IL$86,--('EE Measures'!$B$8:$B$86="Cross-sectoral"))*(T31/$H$9))+T180</f>
        <v>523.31181445216339</v>
      </c>
      <c r="U222" s="593" cm="1">
        <f t="array" ref="U222">SUMPRODUCT('EE Measures'!HD$8:HD$86,'EE Measures'!$IL$8:$IL$86,--('EE Measures'!$B$8:$B$86='Pathway Analysis'!$E222))+(SUMPRODUCT('EE Measures'!HD$8:HD$86,'EE Measures'!$IL$8:$IL$86,--('EE Measures'!$B$8:$B$86="Cross-sectoral"))*(U31/$H$9))+U180</f>
        <v>539.00800357469961</v>
      </c>
    </row>
    <row r="223" spans="3:41" hidden="1" outlineLevel="1" x14ac:dyDescent="0.3">
      <c r="C223" s="587" t="str">
        <f t="shared" si="546"/>
        <v>CEER2</v>
      </c>
      <c r="E223" s="563" t="s">
        <v>54</v>
      </c>
      <c r="F223" s="592">
        <f t="shared" si="547"/>
        <v>158.6454277276064</v>
      </c>
      <c r="G223" s="593" cm="1">
        <f t="array" ref="G223">SUMPRODUCT('EE Measures'!GP$8:GP$86,'EE Measures'!$IL$8:$IL$86,--('EE Measures'!$B$8:$B$86='Pathway Analysis'!$E223))+(SUMPRODUCT('EE Measures'!GP$8:GP$86,'EE Measures'!$IL$8:$IL$86,--('EE Measures'!$B$8:$B$86="Cross-sectoral"))*(G32/$H$9))+G181</f>
        <v>101.05076366404239</v>
      </c>
      <c r="H223" s="593" cm="1">
        <f t="array" ref="H223">SUMPRODUCT('EE Measures'!GQ$8:GQ$86,'EE Measures'!$IL$8:$IL$86,--('EE Measures'!$B$8:$B$86='Pathway Analysis'!$E223))+(SUMPRODUCT('EE Measures'!GQ$8:GQ$86,'EE Measures'!$IL$8:$IL$86,--('EE Measures'!$B$8:$B$86="Cross-sectoral"))*(H32/$H$9))+H181</f>
        <v>1.5145093906861087</v>
      </c>
      <c r="I223" s="593" cm="1">
        <f t="array" ref="I223">SUMPRODUCT('EE Measures'!GR$8:GR$86,'EE Measures'!$IL$8:$IL$86,--('EE Measures'!$B$8:$B$86='Pathway Analysis'!$E223))+(SUMPRODUCT('EE Measures'!GR$8:GR$86,'EE Measures'!$IL$8:$IL$86,--('EE Measures'!$B$8:$B$86="Cross-sectoral"))*(I32/$H$9))+I181</f>
        <v>1.69726215661289</v>
      </c>
      <c r="J223" s="593" cm="1">
        <f t="array" ref="J223">SUMPRODUCT('EE Measures'!GS$8:GS$86,'EE Measures'!$IL$8:$IL$86,--('EE Measures'!$B$8:$B$86='Pathway Analysis'!$E223))+(SUMPRODUCT('EE Measures'!GS$8:GS$86,'EE Measures'!$IL$8:$IL$86,--('EE Measures'!$B$8:$B$86="Cross-sectoral"))*(J32/$H$9))+J181</f>
        <v>3.729511735102546</v>
      </c>
      <c r="K223" s="593" cm="1">
        <f t="array" ref="K223">SUMPRODUCT('EE Measures'!GT$8:GT$86,'EE Measures'!$IL$8:$IL$86,--('EE Measures'!$B$8:$B$86='Pathway Analysis'!$E223))+(SUMPRODUCT('EE Measures'!GT$8:GT$86,'EE Measures'!$IL$8:$IL$86,--('EE Measures'!$B$8:$B$86="Cross-sectoral"))*(K32/$H$9))+K181</f>
        <v>4.765582798764239</v>
      </c>
      <c r="L223" s="593" cm="1">
        <f t="array" ref="L223">SUMPRODUCT('EE Measures'!GU$8:GU$86,'EE Measures'!$IL$8:$IL$86,--('EE Measures'!$B$8:$B$86='Pathway Analysis'!$E223))+(SUMPRODUCT('EE Measures'!GU$8:GU$86,'EE Measures'!$IL$8:$IL$86,--('EE Measures'!$B$8:$B$86="Cross-sectoral"))*(L32/$H$9))+L181</f>
        <v>4.8739506199139253</v>
      </c>
      <c r="M223" s="593" cm="1">
        <f t="array" ref="M223">SUMPRODUCT('EE Measures'!GV$8:GV$86,'EE Measures'!$IL$8:$IL$86,--('EE Measures'!$B$8:$B$86='Pathway Analysis'!$E223))+(SUMPRODUCT('EE Measures'!GV$8:GV$86,'EE Measures'!$IL$8:$IL$86,--('EE Measures'!$B$8:$B$86="Cross-sectoral"))*(M32/$H$9))+M181</f>
        <v>7.1324564439557374</v>
      </c>
      <c r="N223" s="593" cm="1">
        <f t="array" ref="N223">SUMPRODUCT('EE Measures'!GW$8:GW$86,'EE Measures'!$IL$8:$IL$86,--('EE Measures'!$B$8:$B$86='Pathway Analysis'!$E223))+(SUMPRODUCT('EE Measures'!GW$8:GW$86,'EE Measures'!$IL$8:$IL$86,--('EE Measures'!$B$8:$B$86="Cross-sectoral"))*(N32/$H$9))+N181</f>
        <v>9.3107266048179191</v>
      </c>
      <c r="O223" s="593" cm="1">
        <f t="array" ref="O223">SUMPRODUCT('EE Measures'!GX$8:GX$86,'EE Measures'!$IL$8:$IL$86,--('EE Measures'!$B$8:$B$86='Pathway Analysis'!$E223))+(SUMPRODUCT('EE Measures'!GX$8:GX$86,'EE Measures'!$IL$8:$IL$86,--('EE Measures'!$B$8:$B$86="Cross-sectoral"))*(O32/$H$9))+O181</f>
        <v>11.408720324593052</v>
      </c>
      <c r="P223" s="593" cm="1">
        <f t="array" ref="P223">SUMPRODUCT('EE Measures'!GY$8:GY$86,'EE Measures'!$IL$8:$IL$86,--('EE Measures'!$B$8:$B$86='Pathway Analysis'!$E223))+(SUMPRODUCT('EE Measures'!GY$8:GY$86,'EE Measures'!$IL$8:$IL$86,--('EE Measures'!$B$8:$B$86="Cross-sectoral"))*(P32/$H$9))+P181</f>
        <v>13.161943989117592</v>
      </c>
      <c r="Q223" s="593" cm="1">
        <f t="array" ref="Q223">SUMPRODUCT('EE Measures'!GZ$8:GZ$86,'EE Measures'!$IL$8:$IL$86,--('EE Measures'!$B$8:$B$86='Pathway Analysis'!$E223))+(SUMPRODUCT('EE Measures'!GZ$8:GZ$86,'EE Measures'!$IL$8:$IL$86,--('EE Measures'!$B$8:$B$86="Cross-sectoral"))*(Q32/$H$9))+Q181</f>
        <v>9.2675535429264269</v>
      </c>
      <c r="R223" s="593" cm="1">
        <f t="array" ref="R223">SUMPRODUCT('EE Measures'!HA$8:HA$86,'EE Measures'!$IL$8:$IL$86,--('EE Measures'!$B$8:$B$86='Pathway Analysis'!$E223))+(SUMPRODUCT('EE Measures'!HA$8:HA$86,'EE Measures'!$IL$8:$IL$86,--('EE Measures'!$B$8:$B$86="Cross-sectoral"))*(R32/$H$9))+R181</f>
        <v>16.260732954444052</v>
      </c>
      <c r="S223" s="593" cm="1">
        <f t="array" ref="S223">SUMPRODUCT('EE Measures'!HB$8:HB$86,'EE Measures'!$IL$8:$IL$86,--('EE Measures'!$B$8:$B$86='Pathway Analysis'!$E223))+(SUMPRODUCT('EE Measures'!HB$8:HB$86,'EE Measures'!$IL$8:$IL$86,--('EE Measures'!$B$8:$B$86="Cross-sectoral"))*(S32/$H$9))+S181</f>
        <v>16.490612785197861</v>
      </c>
      <c r="T223" s="593" cm="1">
        <f t="array" ref="T223">SUMPRODUCT('EE Measures'!HC$8:HC$86,'EE Measures'!$IL$8:$IL$86,--('EE Measures'!$B$8:$B$86='Pathway Analysis'!$E223))+(SUMPRODUCT('EE Measures'!HC$8:HC$86,'EE Measures'!$IL$8:$IL$86,--('EE Measures'!$B$8:$B$86="Cross-sectoral"))*(T32/$H$9))+T181</f>
        <v>16.439650908342781</v>
      </c>
      <c r="U223" s="593" cm="1">
        <f t="array" ref="U223">SUMPRODUCT('EE Measures'!HD$8:HD$86,'EE Measures'!$IL$8:$IL$86,--('EE Measures'!$B$8:$B$86='Pathway Analysis'!$E223))+(SUMPRODUCT('EE Measures'!HD$8:HD$86,'EE Measures'!$IL$8:$IL$86,--('EE Measures'!$B$8:$B$86="Cross-sectoral"))*(U32/$H$9))+U181</f>
        <v>16.381266343994003</v>
      </c>
    </row>
    <row r="224" spans="3:41" hidden="1" outlineLevel="1" x14ac:dyDescent="0.3"/>
    <row r="225" spans="2:60" hidden="1" outlineLevel="1" x14ac:dyDescent="0.3"/>
    <row r="226" spans="2:60" x14ac:dyDescent="0.3"/>
    <row r="227" spans="2:60" ht="19.5" collapsed="1" thickBot="1" x14ac:dyDescent="0.35">
      <c r="B227" s="1" t="s">
        <v>410</v>
      </c>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row>
    <row r="228" spans="2:60" hidden="1" outlineLevel="1" x14ac:dyDescent="0.3"/>
    <row r="229" spans="2:60" hidden="1" outlineLevel="1" x14ac:dyDescent="0.3"/>
    <row r="230" spans="2:60" ht="15" hidden="1" outlineLevel="1" x14ac:dyDescent="0.3">
      <c r="E230" s="1227" t="s">
        <v>411</v>
      </c>
      <c r="F230" s="1227"/>
      <c r="G230" s="1227"/>
      <c r="H230" s="1227"/>
      <c r="I230" s="1227"/>
      <c r="J230" s="1227"/>
      <c r="K230" s="1227"/>
      <c r="L230" s="1227"/>
      <c r="M230" s="1227"/>
      <c r="N230" s="1227"/>
      <c r="O230" s="1227"/>
      <c r="P230" s="1227"/>
      <c r="Q230" s="1227"/>
      <c r="R230" s="1227"/>
      <c r="S230" s="1227"/>
      <c r="T230" s="1227"/>
      <c r="U230" s="1227"/>
      <c r="W230" s="1227" t="s">
        <v>412</v>
      </c>
      <c r="X230" s="1227"/>
      <c r="Y230" s="1227"/>
      <c r="Z230" s="1227"/>
      <c r="AA230" s="1227"/>
      <c r="AB230" s="1227"/>
      <c r="AC230" s="1227"/>
      <c r="AD230" s="1227"/>
      <c r="AE230" s="1227"/>
      <c r="AF230" s="1227"/>
      <c r="AG230" s="1227"/>
      <c r="AH230" s="1227"/>
      <c r="AI230" s="1227"/>
      <c r="AJ230" s="1227"/>
      <c r="AK230" s="1227"/>
      <c r="AL230" s="1227"/>
    </row>
    <row r="231" spans="2:60" hidden="1" outlineLevel="1" x14ac:dyDescent="0.3">
      <c r="E231"/>
      <c r="F231"/>
      <c r="G231"/>
      <c r="H231"/>
      <c r="I231"/>
      <c r="J231"/>
      <c r="K231"/>
      <c r="L231"/>
      <c r="M231"/>
      <c r="N231"/>
      <c r="O231"/>
      <c r="P231"/>
      <c r="Q231"/>
      <c r="R231"/>
      <c r="S231"/>
      <c r="T231"/>
      <c r="U231"/>
      <c r="W231"/>
      <c r="X231"/>
      <c r="Y231"/>
      <c r="Z231"/>
      <c r="AA231"/>
      <c r="AB231"/>
      <c r="AC231"/>
      <c r="AD231"/>
      <c r="AE231"/>
      <c r="AF231"/>
      <c r="AG231"/>
      <c r="AH231"/>
      <c r="AI231"/>
      <c r="AJ231"/>
      <c r="AK231"/>
      <c r="AL231"/>
    </row>
    <row r="232" spans="2:60" hidden="1" outlineLevel="1" x14ac:dyDescent="0.3">
      <c r="E232" s="627"/>
      <c r="F232" s="625"/>
      <c r="G232" s="625"/>
      <c r="H232" s="625"/>
      <c r="I232" s="625"/>
      <c r="J232" s="625"/>
      <c r="K232" s="625"/>
      <c r="L232" s="625"/>
      <c r="M232" s="625"/>
      <c r="N232" s="625"/>
      <c r="O232" s="625"/>
      <c r="P232" s="625"/>
      <c r="Q232" s="625"/>
      <c r="R232" s="625"/>
      <c r="S232" s="625"/>
      <c r="T232" s="625"/>
      <c r="U232" s="625"/>
      <c r="W232" s="627"/>
      <c r="X232" s="625"/>
      <c r="Y232" s="625"/>
      <c r="Z232" s="625"/>
      <c r="AA232" s="625"/>
      <c r="AB232" s="625"/>
      <c r="AC232" s="625"/>
      <c r="AD232" s="625"/>
      <c r="AE232" s="625"/>
      <c r="AF232" s="625"/>
      <c r="AG232" s="625"/>
      <c r="AH232" s="625"/>
      <c r="AI232" s="625"/>
      <c r="AJ232" s="625"/>
      <c r="AK232" s="625"/>
      <c r="AL232" s="625"/>
    </row>
    <row r="233" spans="2:60" hidden="1" outlineLevel="1" x14ac:dyDescent="0.3">
      <c r="E233" s="625"/>
      <c r="F233" s="625"/>
      <c r="G233" s="625">
        <v>2021</v>
      </c>
      <c r="H233" s="625">
        <v>2022</v>
      </c>
      <c r="I233" s="625">
        <v>2023</v>
      </c>
      <c r="J233" s="625">
        <v>2024</v>
      </c>
      <c r="K233" s="625">
        <v>2025</v>
      </c>
      <c r="L233" s="625">
        <v>2026</v>
      </c>
      <c r="M233" s="625">
        <v>2027</v>
      </c>
      <c r="N233" s="625">
        <v>2028</v>
      </c>
      <c r="O233" s="625">
        <v>2029</v>
      </c>
      <c r="P233" s="625">
        <v>2030</v>
      </c>
      <c r="Q233" s="625">
        <v>2031</v>
      </c>
      <c r="R233" s="625">
        <v>2032</v>
      </c>
      <c r="S233" s="625">
        <v>2033</v>
      </c>
      <c r="T233" s="625">
        <v>2034</v>
      </c>
      <c r="U233" s="625">
        <v>2035</v>
      </c>
      <c r="V233" s="554" t="s">
        <v>370</v>
      </c>
      <c r="W233" s="625"/>
      <c r="X233" s="625">
        <v>2021</v>
      </c>
      <c r="Y233" s="625">
        <v>2022</v>
      </c>
      <c r="Z233" s="625">
        <v>2023</v>
      </c>
      <c r="AA233" s="625">
        <v>2024</v>
      </c>
      <c r="AB233" s="625">
        <v>2025</v>
      </c>
      <c r="AC233" s="625">
        <v>2026</v>
      </c>
      <c r="AD233" s="625">
        <v>2027</v>
      </c>
      <c r="AE233" s="625">
        <v>2028</v>
      </c>
      <c r="AF233" s="625">
        <v>2029</v>
      </c>
      <c r="AG233" s="625">
        <v>2030</v>
      </c>
      <c r="AH233" s="625">
        <v>2031</v>
      </c>
      <c r="AI233" s="625">
        <v>2032</v>
      </c>
      <c r="AJ233" s="625">
        <v>2033</v>
      </c>
      <c r="AK233" s="625">
        <v>2034</v>
      </c>
      <c r="AL233" s="625">
        <v>2035</v>
      </c>
      <c r="AM233" s="554" t="s">
        <v>66</v>
      </c>
      <c r="AN233" s="554" t="s">
        <v>70</v>
      </c>
    </row>
    <row r="234" spans="2:60" hidden="1" outlineLevel="1" x14ac:dyDescent="0.3">
      <c r="E234" s="1297" t="s">
        <v>413</v>
      </c>
      <c r="F234" s="584"/>
      <c r="G234" s="1232">
        <f>SUM(G235:G236)</f>
        <v>76.555000000000007</v>
      </c>
      <c r="H234" s="1232">
        <f>SUM(H235:H236)</f>
        <v>77.206784624999997</v>
      </c>
      <c r="I234" s="1232">
        <f t="shared" ref="I234" si="548">SUM(I235:I236)</f>
        <v>78.428010862327483</v>
      </c>
      <c r="J234" s="1232">
        <f t="shared" ref="J234" si="549">SUM(J235:J236)</f>
        <v>79.393883078816572</v>
      </c>
      <c r="K234" s="1232">
        <f t="shared" ref="K234" si="550">SUM(K235:K236)</f>
        <v>80.379768814184885</v>
      </c>
      <c r="L234" s="1232">
        <f t="shared" ref="L234" si="551">SUM(L235:L236)</f>
        <v>81.386002573475309</v>
      </c>
      <c r="M234" s="1232">
        <f t="shared" ref="M234" si="552">SUM(M235:M236)</f>
        <v>82.35269195328631</v>
      </c>
      <c r="N234" s="1232">
        <f t="shared" ref="N234" si="553">SUM(N235:N236)</f>
        <v>83.335636806024397</v>
      </c>
      <c r="O234" s="1232">
        <f t="shared" ref="O234" si="554">SUM(O235:O236)</f>
        <v>84.335085807147806</v>
      </c>
      <c r="P234" s="1232">
        <f t="shared" ref="P234:U234" si="555">SUM(P235:P236)</f>
        <v>85.351291749389063</v>
      </c>
      <c r="Q234" s="1232">
        <f t="shared" si="555"/>
        <v>86.384511611580351</v>
      </c>
      <c r="R234" s="1232">
        <f t="shared" si="555"/>
        <v>87.435006628679048</v>
      </c>
      <c r="S234" s="1232">
        <f t="shared" si="555"/>
        <v>88.503042363014998</v>
      </c>
      <c r="T234" s="1232">
        <f t="shared" si="555"/>
        <v>89.588888776781275</v>
      </c>
      <c r="U234" s="1232">
        <f t="shared" si="555"/>
        <v>90.692820305790605</v>
      </c>
      <c r="W234" s="584"/>
      <c r="X234" s="584"/>
      <c r="Y234" s="584"/>
      <c r="Z234" s="584"/>
      <c r="AA234" s="584"/>
      <c r="AB234" s="584"/>
      <c r="AC234" s="584"/>
      <c r="AD234" s="584"/>
      <c r="AE234" s="584"/>
      <c r="AF234" s="584"/>
      <c r="AG234" s="584"/>
      <c r="AH234" s="584"/>
      <c r="AI234" s="584"/>
      <c r="AJ234" s="584"/>
      <c r="AK234" s="584"/>
      <c r="AL234" s="584"/>
    </row>
    <row r="235" spans="2:60" hidden="1" outlineLevel="1" x14ac:dyDescent="0.3">
      <c r="E235" s="1298" t="s">
        <v>125</v>
      </c>
      <c r="F235" s="584"/>
      <c r="G235" s="1258">
        <f>Baseline!AC639/1000000</f>
        <v>53.75</v>
      </c>
      <c r="H235" s="1258">
        <f>Baseline!AD639/1000000</f>
        <v>54.401784624999998</v>
      </c>
      <c r="I235" s="1258">
        <f>Baseline!AE639/1000000</f>
        <v>55.066930378835934</v>
      </c>
      <c r="J235" s="1258">
        <f>Baseline!AF639/1000000</f>
        <v>55.745656113628641</v>
      </c>
      <c r="K235" s="1258">
        <f>Baseline!AG639/1000000</f>
        <v>56.438184736561809</v>
      </c>
      <c r="L235" s="1258">
        <f>Baseline!AH639/1000000</f>
        <v>57.144743281814094</v>
      </c>
      <c r="M235" s="1258">
        <f>Baseline!AI639/1000000</f>
        <v>57.808273736206459</v>
      </c>
      <c r="N235" s="1258">
        <f>Baseline!AJ639/1000000</f>
        <v>58.481868942196705</v>
      </c>
      <c r="O235" s="1258">
        <f>Baseline!AK639/1000000</f>
        <v>59.165670110577437</v>
      </c>
      <c r="P235" s="1258">
        <f>Baseline!AL639/1000000</f>
        <v>59.859820478579785</v>
      </c>
      <c r="Q235" s="1258">
        <f>Baseline!AM639/1000000</f>
        <v>60.564465338773822</v>
      </c>
      <c r="R235" s="1258">
        <f>Baseline!AN639/1000000</f>
        <v>61.279752068382201</v>
      </c>
      <c r="S235" s="1258">
        <f>Baseline!AO639/1000000</f>
        <v>62.005830159012767</v>
      </c>
      <c r="T235" s="1258">
        <f>Baseline!AP639/1000000</f>
        <v>62.742851246816258</v>
      </c>
      <c r="U235" s="1258">
        <f>Baseline!AQ639/1000000</f>
        <v>63.490969143075027</v>
      </c>
      <c r="W235" s="584"/>
      <c r="X235" s="584"/>
      <c r="Y235" s="584"/>
      <c r="Z235" s="584"/>
      <c r="AA235" s="584"/>
      <c r="AB235" s="584"/>
      <c r="AC235" s="584"/>
      <c r="AD235" s="584"/>
      <c r="AE235" s="584"/>
      <c r="AF235" s="584"/>
      <c r="AG235" s="584"/>
      <c r="AH235" s="584"/>
      <c r="AI235" s="584"/>
      <c r="AJ235" s="584"/>
      <c r="AK235" s="584"/>
      <c r="AL235" s="584"/>
    </row>
    <row r="236" spans="2:60" hidden="1" outlineLevel="1" x14ac:dyDescent="0.3">
      <c r="E236" s="1298" t="s">
        <v>414</v>
      </c>
      <c r="F236" s="584"/>
      <c r="G236" s="1302">
        <f>H236</f>
        <v>22.805</v>
      </c>
      <c r="H236" s="1258">
        <f>Baseline!AC817/1000000</f>
        <v>22.805</v>
      </c>
      <c r="I236" s="1258">
        <f>Baseline!AE817/1000000</f>
        <v>23.361080483491552</v>
      </c>
      <c r="J236" s="1258">
        <f>Baseline!AF817/1000000</f>
        <v>23.648226965187924</v>
      </c>
      <c r="K236" s="1258">
        <f>Baseline!AG817/1000000</f>
        <v>23.94158407762308</v>
      </c>
      <c r="L236" s="1258">
        <f>Baseline!AH817/1000000</f>
        <v>24.241259291661216</v>
      </c>
      <c r="M236" s="1258">
        <f>Baseline!AI817/1000000</f>
        <v>24.544418217079851</v>
      </c>
      <c r="N236" s="1258">
        <f>Baseline!AJ817/1000000</f>
        <v>24.853767863827692</v>
      </c>
      <c r="O236" s="1258">
        <f>Baseline!AK817/1000000</f>
        <v>25.169415696570368</v>
      </c>
      <c r="P236" s="1258">
        <f>Baseline!AL817/1000000</f>
        <v>25.491471270809281</v>
      </c>
      <c r="Q236" s="1258">
        <f>Baseline!AM817/1000000</f>
        <v>25.820046272806525</v>
      </c>
      <c r="R236" s="1258">
        <f>Baseline!AN817/1000000</f>
        <v>26.15525456029685</v>
      </c>
      <c r="S236" s="1258">
        <f>Baseline!AO817/1000000</f>
        <v>26.497212204002235</v>
      </c>
      <c r="T236" s="1258">
        <f>Baseline!AP817/1000000</f>
        <v>26.846037529965013</v>
      </c>
      <c r="U236" s="1258">
        <f>Baseline!AQ817/1000000</f>
        <v>27.201851162715577</v>
      </c>
      <c r="W236" s="584"/>
      <c r="X236" s="584"/>
      <c r="Y236" s="584"/>
      <c r="Z236" s="584"/>
      <c r="AA236" s="584"/>
      <c r="AB236" s="584"/>
      <c r="AC236" s="584"/>
      <c r="AD236" s="584"/>
      <c r="AE236" s="584"/>
      <c r="AF236" s="584"/>
      <c r="AG236" s="584"/>
      <c r="AH236" s="584"/>
      <c r="AI236" s="584"/>
      <c r="AJ236" s="584"/>
      <c r="AK236" s="584"/>
      <c r="AL236" s="584"/>
    </row>
    <row r="237" spans="2:60" hidden="1" outlineLevel="1" x14ac:dyDescent="0.3">
      <c r="E237" s="1298" t="s">
        <v>415</v>
      </c>
      <c r="F237" s="584"/>
      <c r="G237" s="1262">
        <f>SUM(G238:G239)</f>
        <v>6.3356300765737963</v>
      </c>
      <c r="H237" s="1262">
        <f>SUM(H238:H239)</f>
        <v>6.3356300765737963</v>
      </c>
      <c r="I237" s="1262">
        <f t="shared" ref="I237:P237" si="556">SUM(I238:I239)</f>
        <v>6.4084610146421364</v>
      </c>
      <c r="J237" s="1262">
        <f t="shared" si="556"/>
        <v>6.4830336774407051</v>
      </c>
      <c r="K237" s="1262">
        <f t="shared" si="556"/>
        <v>6.5593768211402752</v>
      </c>
      <c r="L237" s="1262">
        <f t="shared" si="556"/>
        <v>6.6375197810299298</v>
      </c>
      <c r="M237" s="1262">
        <f t="shared" si="556"/>
        <v>6.7152439603480927</v>
      </c>
      <c r="N237" s="1262">
        <f t="shared" si="556"/>
        <v>6.7945620139579086</v>
      </c>
      <c r="O237" s="1262">
        <f t="shared" si="556"/>
        <v>6.8755000717626302</v>
      </c>
      <c r="P237" s="1262">
        <f t="shared" si="556"/>
        <v>6.9580847518207909</v>
      </c>
      <c r="Q237" s="1262">
        <f t="shared" ref="Q237:U237" si="557">SUM(Q238:Q239)</f>
        <v>7.0423431692050311</v>
      </c>
      <c r="R237" s="1262">
        <f t="shared" si="557"/>
        <v>7.1283029450281052</v>
      </c>
      <c r="S237" s="1262">
        <f t="shared" si="557"/>
        <v>7.2159922156392255</v>
      </c>
      <c r="T237" s="1262">
        <f t="shared" si="557"/>
        <v>7.3054396419940044</v>
      </c>
      <c r="U237" s="1262">
        <f t="shared" si="557"/>
        <v>7.396674419201263</v>
      </c>
      <c r="W237" s="584"/>
      <c r="X237" s="584"/>
      <c r="Y237" s="584"/>
      <c r="Z237" s="584"/>
      <c r="AA237" s="584"/>
      <c r="AB237" s="584"/>
      <c r="AC237" s="584"/>
      <c r="AD237" s="584"/>
      <c r="AE237" s="584"/>
      <c r="AF237" s="584"/>
      <c r="AG237" s="584"/>
      <c r="AH237" s="584"/>
      <c r="AI237" s="584"/>
      <c r="AJ237" s="584"/>
      <c r="AK237" s="584"/>
      <c r="AL237" s="584"/>
    </row>
    <row r="238" spans="2:60" hidden="1" outlineLevel="1" x14ac:dyDescent="0.3">
      <c r="E238" s="1299" t="s">
        <v>416</v>
      </c>
      <c r="F238" s="584"/>
      <c r="G238" s="1303">
        <f>H238</f>
        <v>1.4345460889779384</v>
      </c>
      <c r="H238" s="1261">
        <f>(SUMPRODUCT(Baseline!AD$818:AD$821,Assumptions!$L$783:$L$786))/1000000</f>
        <v>1.4345460889779384</v>
      </c>
      <c r="I238" s="1261">
        <f>(SUMPRODUCT(Baseline!AE$818:AE$821,Assumptions!$L$783:$L$786))/1000000</f>
        <v>1.4519947693965716</v>
      </c>
      <c r="J238" s="1261">
        <f>(SUMPRODUCT(Baseline!AF$818:AF$821,Assumptions!$L$783:$L$786))/1000000</f>
        <v>1.4698386590836674</v>
      </c>
      <c r="K238" s="1261">
        <f>(SUMPRODUCT(Baseline!AG$818:AG$821,Assumptions!$L$783:$L$786))/1000000</f>
        <v>1.4880846151804166</v>
      </c>
      <c r="L238" s="1261">
        <f>(SUMPRODUCT(Baseline!AH$818:AH$821,Assumptions!$L$783:$L$786))/1000000</f>
        <v>1.5067396336267056</v>
      </c>
      <c r="M238" s="1261">
        <f>(SUMPRODUCT(Baseline!AI$818:AI$821,Assumptions!$L$783:$L$786))/1000000</f>
        <v>1.5255195055647752</v>
      </c>
      <c r="N238" s="1261">
        <f>(SUMPRODUCT(Baseline!AJ$818:AJ$821,Assumptions!$L$783:$L$786))/1000000</f>
        <v>1.5446883417066148</v>
      </c>
      <c r="O238" s="1261">
        <f>(SUMPRODUCT(Baseline!AK$818:AK$821,Assumptions!$L$783:$L$786))/1000000</f>
        <v>1.5642529217402676</v>
      </c>
      <c r="P238" s="1261">
        <f>(SUMPRODUCT(Baseline!AL$818:AL$821,Assumptions!$L$783:$L$786))/1000000</f>
        <v>1.5842201576521779</v>
      </c>
      <c r="Q238" s="1261">
        <f>(SUMPRODUCT(Baseline!AM$818:AM$821,Assumptions!$L$783:$L$786))/1000000</f>
        <v>1.6045970962651332</v>
      </c>
      <c r="R238" s="1261">
        <f>(SUMPRODUCT(Baseline!AN$818:AN$821,Assumptions!$L$783:$L$786))/1000000</f>
        <v>1.6253909218264391</v>
      </c>
      <c r="S238" s="1261">
        <f>(SUMPRODUCT(Baseline!AO$818:AO$821,Assumptions!$L$783:$L$786))/1000000</f>
        <v>1.6466089586473156</v>
      </c>
      <c r="T238" s="1261">
        <f>(SUMPRODUCT(Baseline!AP$818:AP$821,Assumptions!$L$783:$L$786))/1000000</f>
        <v>1.6682586737945493</v>
      </c>
      <c r="U238" s="1261">
        <f>(SUMPRODUCT(Baseline!AQ$818:AQ$821,Assumptions!$L$783:$L$786))/1000000</f>
        <v>1.6903476798354253</v>
      </c>
      <c r="W238" s="584"/>
      <c r="X238" s="584"/>
      <c r="Y238" s="584"/>
      <c r="Z238" s="584"/>
      <c r="AA238" s="584"/>
      <c r="AB238" s="584"/>
      <c r="AC238" s="584"/>
      <c r="AD238" s="584"/>
      <c r="AE238" s="584"/>
      <c r="AF238" s="584"/>
      <c r="AG238" s="584"/>
      <c r="AH238" s="584"/>
      <c r="AI238" s="584"/>
      <c r="AJ238" s="584"/>
      <c r="AK238" s="584"/>
      <c r="AL238" s="584"/>
    </row>
    <row r="239" spans="2:60" hidden="1" outlineLevel="1" x14ac:dyDescent="0.3">
      <c r="E239" s="1299" t="s">
        <v>190</v>
      </c>
      <c r="F239" s="584"/>
      <c r="G239" s="1303">
        <f>H239</f>
        <v>4.9010839875958574</v>
      </c>
      <c r="H239" s="1261">
        <f>(SUMPRODUCT(Baseline!AD$818:AD$821,Assumptions!$M$783:$M$786))/1000000</f>
        <v>4.9010839875958574</v>
      </c>
      <c r="I239" s="1261">
        <f>(SUMPRODUCT(Baseline!AE$818:AE$821,Assumptions!$M$783:$M$786))/1000000</f>
        <v>4.956466245245565</v>
      </c>
      <c r="J239" s="1261">
        <f>(SUMPRODUCT(Baseline!AF$818:AF$821,Assumptions!$M$783:$M$786))/1000000</f>
        <v>5.0131950183570373</v>
      </c>
      <c r="K239" s="1261">
        <f>(SUMPRODUCT(Baseline!AG$818:AG$821,Assumptions!$M$783:$M$786))/1000000</f>
        <v>5.0712922059598586</v>
      </c>
      <c r="L239" s="1261">
        <f>(SUMPRODUCT(Baseline!AH$818:AH$821,Assumptions!$M$783:$M$786))/1000000</f>
        <v>5.1307801474032244</v>
      </c>
      <c r="M239" s="1261">
        <f>(SUMPRODUCT(Baseline!AI$818:AI$821,Assumptions!$M$783:$M$786))/1000000</f>
        <v>5.1897244547833177</v>
      </c>
      <c r="N239" s="1261">
        <f>(SUMPRODUCT(Baseline!AJ$818:AJ$821,Assumptions!$M$783:$M$786))/1000000</f>
        <v>5.2498736722512938</v>
      </c>
      <c r="O239" s="1261">
        <f>(SUMPRODUCT(Baseline!AK$818:AK$821,Assumptions!$M$783:$M$786))/1000000</f>
        <v>5.3112471500223624</v>
      </c>
      <c r="P239" s="1261">
        <f>(SUMPRODUCT(Baseline!AL$818:AL$821,Assumptions!$M$783:$M$786))/1000000</f>
        <v>5.3738645941686132</v>
      </c>
      <c r="Q239" s="1261">
        <f>(SUMPRODUCT(Baseline!AM$818:AM$821,Assumptions!$M$783:$M$786))/1000000</f>
        <v>5.4377460729398983</v>
      </c>
      <c r="R239" s="1261">
        <f>(SUMPRODUCT(Baseline!AN$818:AN$821,Assumptions!$M$783:$M$786))/1000000</f>
        <v>5.5029120232016666</v>
      </c>
      <c r="S239" s="1261">
        <f>(SUMPRODUCT(Baseline!AO$818:AO$821,Assumptions!$M$783:$M$786))/1000000</f>
        <v>5.5693832569919097</v>
      </c>
      <c r="T239" s="1261">
        <f>(SUMPRODUCT(Baseline!AP$818:AP$821,Assumptions!$M$783:$M$786))/1000000</f>
        <v>5.6371809681994547</v>
      </c>
      <c r="U239" s="1261">
        <f>(SUMPRODUCT(Baseline!AQ$818:AQ$821,Assumptions!$M$783:$M$786))/1000000</f>
        <v>5.7063267393658377</v>
      </c>
      <c r="W239" s="584"/>
      <c r="X239" s="584"/>
      <c r="Y239" s="584"/>
      <c r="Z239" s="584"/>
      <c r="AA239" s="584"/>
      <c r="AB239" s="584"/>
      <c r="AC239" s="584"/>
      <c r="AD239" s="584"/>
      <c r="AE239" s="584"/>
      <c r="AF239" s="584"/>
      <c r="AG239" s="584"/>
      <c r="AH239" s="584"/>
      <c r="AI239" s="584"/>
      <c r="AJ239" s="584"/>
      <c r="AK239" s="584"/>
      <c r="AL239" s="584"/>
    </row>
    <row r="240" spans="2:60" hidden="1" outlineLevel="1" x14ac:dyDescent="0.3">
      <c r="E240" s="1298" t="s">
        <v>417</v>
      </c>
      <c r="F240" s="584"/>
      <c r="G240" s="1262">
        <f t="shared" ref="G240:P240" si="558">G236-G238-G239</f>
        <v>16.469369923426203</v>
      </c>
      <c r="H240" s="1262">
        <f t="shared" si="558"/>
        <v>16.469369923426203</v>
      </c>
      <c r="I240" s="1262">
        <f t="shared" si="558"/>
        <v>16.952619468849417</v>
      </c>
      <c r="J240" s="1262">
        <f t="shared" si="558"/>
        <v>17.165193287747218</v>
      </c>
      <c r="K240" s="1262">
        <f t="shared" si="558"/>
        <v>17.382207256482808</v>
      </c>
      <c r="L240" s="1262">
        <f t="shared" si="558"/>
        <v>17.603739510631286</v>
      </c>
      <c r="M240" s="1262">
        <f t="shared" si="558"/>
        <v>17.829174256731758</v>
      </c>
      <c r="N240" s="1262">
        <f t="shared" si="558"/>
        <v>18.059205849869784</v>
      </c>
      <c r="O240" s="1262">
        <f t="shared" si="558"/>
        <v>18.293915624807738</v>
      </c>
      <c r="P240" s="1262">
        <f t="shared" si="558"/>
        <v>18.53338651898849</v>
      </c>
      <c r="Q240" s="1262">
        <f t="shared" ref="Q240:U240" si="559">Q236-Q238-Q239</f>
        <v>18.777703103601493</v>
      </c>
      <c r="R240" s="1262">
        <f t="shared" si="559"/>
        <v>19.026951615268743</v>
      </c>
      <c r="S240" s="1262">
        <f t="shared" si="559"/>
        <v>19.281219988363009</v>
      </c>
      <c r="T240" s="1262">
        <f t="shared" si="559"/>
        <v>19.540597887971007</v>
      </c>
      <c r="U240" s="1262">
        <f t="shared" si="559"/>
        <v>19.805176743514313</v>
      </c>
      <c r="W240" s="584"/>
      <c r="X240" s="584"/>
      <c r="Y240" s="584"/>
      <c r="Z240" s="584"/>
      <c r="AA240" s="584"/>
      <c r="AB240" s="584"/>
      <c r="AC240" s="584"/>
      <c r="AD240" s="584"/>
      <c r="AE240" s="584"/>
      <c r="AF240" s="584"/>
      <c r="AG240" s="584"/>
      <c r="AH240" s="584"/>
      <c r="AI240" s="584"/>
      <c r="AJ240" s="584"/>
      <c r="AK240" s="584"/>
      <c r="AL240" s="584"/>
    </row>
    <row r="241" spans="5:41" hidden="1" outlineLevel="1" x14ac:dyDescent="0.3">
      <c r="E241" s="596" t="s">
        <v>345</v>
      </c>
      <c r="F241" s="1319">
        <f>SUM(G241:P241)</f>
        <v>4.8961488721429482</v>
      </c>
      <c r="G241" s="1232">
        <f>SUM(G242:G243)</f>
        <v>0.53725000000000001</v>
      </c>
      <c r="H241" s="1232">
        <f>SUM(H242:H243)</f>
        <v>0.53874</v>
      </c>
      <c r="I241" s="1232">
        <f t="shared" ref="I241:P241" si="560">SUM(I242:I243)</f>
        <v>0.5454073271713562</v>
      </c>
      <c r="J241" s="1232">
        <f t="shared" si="560"/>
        <v>0.55222352895470328</v>
      </c>
      <c r="K241" s="1232">
        <f t="shared" si="560"/>
        <v>0.55919114178598606</v>
      </c>
      <c r="L241" s="1232">
        <f t="shared" si="560"/>
        <v>0.56631275183529428</v>
      </c>
      <c r="M241" s="1232">
        <f t="shared" si="560"/>
        <v>0.39191748435460194</v>
      </c>
      <c r="N241" s="1232">
        <f t="shared" si="560"/>
        <v>0.39675094222199825</v>
      </c>
      <c r="O241" s="1232">
        <f t="shared" si="560"/>
        <v>0.40167240358228379</v>
      </c>
      <c r="P241" s="1232">
        <f t="shared" si="560"/>
        <v>0.40668329223672489</v>
      </c>
      <c r="Q241" s="1232">
        <f t="shared" ref="Q241:U241" si="561">SUM(Q242:Q243)</f>
        <v>0.41178505727910669</v>
      </c>
      <c r="R241" s="1232">
        <f t="shared" si="561"/>
        <v>0.41697917354472258</v>
      </c>
      <c r="S241" s="1232">
        <f t="shared" si="561"/>
        <v>0.42226714206763638</v>
      </c>
      <c r="T241" s="1232">
        <f t="shared" si="561"/>
        <v>0.42765049054640814</v>
      </c>
      <c r="U241" s="1232">
        <f t="shared" si="561"/>
        <v>0.43313077381840726</v>
      </c>
      <c r="V241" s="1139">
        <f>SUM(J241:U241)</f>
        <v>5.3865641822278727</v>
      </c>
      <c r="W241" s="596" t="s">
        <v>345</v>
      </c>
      <c r="X241" s="1274">
        <f t="shared" ref="X241:AG241" si="562">G241/G$234</f>
        <v>7.0178303180719742E-3</v>
      </c>
      <c r="Y241" s="1274">
        <f t="shared" si="562"/>
        <v>6.9778841667439799E-3</v>
      </c>
      <c r="Z241" s="1274">
        <f t="shared" si="562"/>
        <v>6.9542414906934736E-3</v>
      </c>
      <c r="AA241" s="1274">
        <f t="shared" si="562"/>
        <v>6.9554921303760292E-3</v>
      </c>
      <c r="AB241" s="1274">
        <f t="shared" si="562"/>
        <v>6.9568642711411201E-3</v>
      </c>
      <c r="AC241" s="1274">
        <f t="shared" si="562"/>
        <v>6.9583556622531857E-3</v>
      </c>
      <c r="AD241" s="1274">
        <f t="shared" si="562"/>
        <v>4.7590124264172565E-3</v>
      </c>
      <c r="AE241" s="1274">
        <f t="shared" si="562"/>
        <v>4.7608797079872651E-3</v>
      </c>
      <c r="AF241" s="1274">
        <f t="shared" si="562"/>
        <v>4.7628149036428695E-3</v>
      </c>
      <c r="AG241" s="1274">
        <f t="shared" si="562"/>
        <v>4.7648170742493291E-3</v>
      </c>
      <c r="AH241" s="1274">
        <f t="shared" ref="AH241:AL241" si="563">Q241/Q$234</f>
        <v>4.7668852853004319E-3</v>
      </c>
      <c r="AI241" s="1274">
        <f t="shared" si="563"/>
        <v>4.769018607336065E-3</v>
      </c>
      <c r="AJ241" s="1274">
        <f t="shared" si="563"/>
        <v>4.7712161163411017E-3</v>
      </c>
      <c r="AK241" s="1274">
        <f t="shared" si="563"/>
        <v>4.7734768941262076E-3</v>
      </c>
      <c r="AL241" s="1274">
        <f t="shared" si="563"/>
        <v>4.7758000286903914E-3</v>
      </c>
      <c r="AM241" s="1275">
        <f t="shared" ref="AM241:AM272" si="564">AVERAGE(X241:AG241)</f>
        <v>6.086819215157648E-3</v>
      </c>
      <c r="AN241" s="1275">
        <f>AVERAGE(AA241:AL241)</f>
        <v>5.3145527589884374E-3</v>
      </c>
      <c r="AO241" s="1275"/>
    </row>
    <row r="242" spans="5:41" hidden="1" outlineLevel="1" x14ac:dyDescent="0.3">
      <c r="E242" s="1234" t="s">
        <v>125</v>
      </c>
      <c r="F242" s="1319">
        <f t="shared" ref="F242:F296" si="565">SUM(G242:P242)</f>
        <v>3.1442803441255713</v>
      </c>
      <c r="G242" s="1233">
        <f>(Baseline!AC647-Baseline!AB647)/1000000</f>
        <v>0.36499999999999999</v>
      </c>
      <c r="H242" s="1233">
        <f>(Baseline!AD647-Baseline!AC647)/1000000</f>
        <v>0.36648999999999998</v>
      </c>
      <c r="I242" s="1237">
        <f>(Baseline!AE647-Baseline!AD647)/1000000</f>
        <v>0.37099587357499986</v>
      </c>
      <c r="J242" s="1237">
        <f>(Baseline!AF647-Baseline!AE647)/1000000</f>
        <v>0.3756005533995766</v>
      </c>
      <c r="K242" s="1237">
        <f>(Baseline!AG647-Baseline!AF647)/1000000</f>
        <v>0.38030569842612094</v>
      </c>
      <c r="L242" s="1237">
        <f>(Baseline!AH647-Baseline!AG647)/1000000</f>
        <v>0.38511299950321343</v>
      </c>
      <c r="M242" s="1237">
        <f>(Baseline!AI647-Baseline!AH647)/1000000</f>
        <v>0.22130177469671516</v>
      </c>
      <c r="N242" s="1237">
        <f>(Baseline!AJ647-Baseline!AI647)/1000000</f>
        <v>0.22387021840199595</v>
      </c>
      <c r="O242" s="1237">
        <f>(Baseline!AK647-Baseline!AJ647)/1000000</f>
        <v>0.2264778887427929</v>
      </c>
      <c r="P242" s="1237">
        <f>(Baseline!AL647-Baseline!AK647)/1000000</f>
        <v>0.22912533738015686</v>
      </c>
      <c r="Q242" s="1237">
        <f>(Baseline!AM647-Baseline!AL647)/1000000</f>
        <v>0.23181312392410264</v>
      </c>
      <c r="R242" s="1237">
        <f>(Baseline!AN647-Baseline!AM647)/1000000</f>
        <v>0.23454181604736299</v>
      </c>
      <c r="S242" s="1237">
        <f>(Baseline!AO647-Baseline!AN647)/1000000</f>
        <v>0.23731198960077018</v>
      </c>
      <c r="T242" s="1237">
        <f>(Baseline!AP647-Baseline!AO647)/1000000</f>
        <v>0.24012422873029671</v>
      </c>
      <c r="U242" s="1237">
        <f>(Baseline!AQ647-Baseline!AP647)/1000000</f>
        <v>0.2429791259957729</v>
      </c>
      <c r="V242" s="1139">
        <f t="shared" ref="V242:V296" si="566">SUM(J242:U242)</f>
        <v>3.2285647548488776</v>
      </c>
      <c r="W242" s="1234" t="s">
        <v>125</v>
      </c>
      <c r="X242" s="1260">
        <f t="shared" ref="X242:AG242" si="567">G242/G$235</f>
        <v>6.7906976744186043E-3</v>
      </c>
      <c r="Y242" s="1260">
        <f t="shared" si="567"/>
        <v>6.7367275269786244E-3</v>
      </c>
      <c r="Z242" s="1260">
        <f t="shared" si="567"/>
        <v>6.7371809364116285E-3</v>
      </c>
      <c r="AA242" s="1260">
        <f t="shared" si="567"/>
        <v>6.7377546446663883E-3</v>
      </c>
      <c r="AB242" s="1260">
        <f t="shared" si="567"/>
        <v>6.7384466775691878E-3</v>
      </c>
      <c r="AC242" s="1260">
        <f t="shared" si="567"/>
        <v>6.7392550458052871E-3</v>
      </c>
      <c r="AD242" s="1260">
        <f t="shared" si="567"/>
        <v>3.8282024422069795E-3</v>
      </c>
      <c r="AE242" s="1260">
        <f t="shared" si="567"/>
        <v>3.8280277708509719E-3</v>
      </c>
      <c r="AF242" s="1260">
        <f t="shared" si="567"/>
        <v>3.8278597761086451E-3</v>
      </c>
      <c r="AG242" s="1260">
        <f t="shared" si="567"/>
        <v>3.8276983717675361E-3</v>
      </c>
      <c r="AH242" s="1260">
        <f t="shared" ref="AH242:AL242" si="568">Q242/Q$235</f>
        <v>3.827543471694683E-3</v>
      </c>
      <c r="AI242" s="1260">
        <f t="shared" si="568"/>
        <v>3.8273949898758939E-3</v>
      </c>
      <c r="AJ242" s="1260">
        <f t="shared" si="568"/>
        <v>3.8272528404536821E-3</v>
      </c>
      <c r="AK242" s="1260">
        <f t="shared" si="568"/>
        <v>3.8271169377639856E-3</v>
      </c>
      <c r="AL242" s="1260">
        <f t="shared" si="568"/>
        <v>3.8269871963716069E-3</v>
      </c>
      <c r="AM242" s="1275">
        <f t="shared" si="564"/>
        <v>5.5791850866783853E-3</v>
      </c>
      <c r="AN242" s="1275">
        <f t="shared" ref="AN242:AN296" si="569">AVERAGE(AA242:AL242)</f>
        <v>4.5552950137612369E-3</v>
      </c>
    </row>
    <row r="243" spans="5:41" hidden="1" outlineLevel="1" x14ac:dyDescent="0.3">
      <c r="E243" s="1234" t="s">
        <v>414</v>
      </c>
      <c r="F243" s="1319">
        <f t="shared" si="565"/>
        <v>1.7518685280173771</v>
      </c>
      <c r="G243" s="1237">
        <f>(Baseline!AC835-Baseline!AB835)/1000000</f>
        <v>0.17224999999999999</v>
      </c>
      <c r="H243" s="1237">
        <f>(Baseline!AD835-Baseline!AC835)/1000000</f>
        <v>0.17224999999999999</v>
      </c>
      <c r="I243" s="952">
        <f>(Baseline!AE835-Baseline!AD835)/1000000</f>
        <v>0.17441145359635638</v>
      </c>
      <c r="J243" s="952">
        <f>(Baseline!AF835-Baseline!AE835)/1000000</f>
        <v>0.17662297555512674</v>
      </c>
      <c r="K243" s="952">
        <f>(Baseline!AG835-Baseline!AF835)/1000000</f>
        <v>0.17888544335986512</v>
      </c>
      <c r="L243" s="952">
        <f>(Baseline!AH835-Baseline!AG835)/1000000</f>
        <v>0.18119975233208085</v>
      </c>
      <c r="M243" s="952">
        <f>(Baseline!AI835-Baseline!AH835)/1000000</f>
        <v>0.17061570965788678</v>
      </c>
      <c r="N243" s="952">
        <f>(Baseline!AJ835-Baseline!AI835)/1000000</f>
        <v>0.17288072382000227</v>
      </c>
      <c r="O243" s="952">
        <f>(Baseline!AK835-Baseline!AJ835)/1000000</f>
        <v>0.17519451483949089</v>
      </c>
      <c r="P243" s="952">
        <f>(Baseline!AL835-Baseline!AK835)/1000000</f>
        <v>0.17755795485656803</v>
      </c>
      <c r="Q243" s="952">
        <f>(Baseline!AM835-Baseline!AL835)/1000000</f>
        <v>0.17997193335500405</v>
      </c>
      <c r="R243" s="952">
        <f>(Baseline!AN835-Baseline!AM835)/1000000</f>
        <v>0.18243735749735962</v>
      </c>
      <c r="S243" s="952">
        <f>(Baseline!AO835-Baseline!AN835)/1000000</f>
        <v>0.1849551524668662</v>
      </c>
      <c r="T243" s="952">
        <f>(Baseline!AP835-Baseline!AO835)/1000000</f>
        <v>0.1875262618161114</v>
      </c>
      <c r="U243" s="952">
        <f>(Baseline!AQ835-Baseline!AP835)/1000000</f>
        <v>0.19015164782263433</v>
      </c>
      <c r="V243" s="1139">
        <f t="shared" si="566"/>
        <v>2.157999427378996</v>
      </c>
      <c r="W243" s="1234" t="s">
        <v>414</v>
      </c>
      <c r="X243" s="1260">
        <f t="shared" ref="X243:AG243" si="570">G243/G$236</f>
        <v>7.553168164876123E-3</v>
      </c>
      <c r="Y243" s="1260">
        <f t="shared" si="570"/>
        <v>7.553168164876123E-3</v>
      </c>
      <c r="Z243" s="1260">
        <f t="shared" si="570"/>
        <v>7.4658984082353027E-3</v>
      </c>
      <c r="AA243" s="1260">
        <f t="shared" si="570"/>
        <v>7.4687618575011924E-3</v>
      </c>
      <c r="AB243" s="1260">
        <f t="shared" si="570"/>
        <v>7.4717463464357729E-3</v>
      </c>
      <c r="AC243" s="1260">
        <f t="shared" si="570"/>
        <v>7.4748489817281069E-3</v>
      </c>
      <c r="AD243" s="1260">
        <f t="shared" si="570"/>
        <v>6.951303882980593E-3</v>
      </c>
      <c r="AE243" s="1260">
        <f t="shared" si="570"/>
        <v>6.9559160915642826E-3</v>
      </c>
      <c r="AF243" s="1260">
        <f t="shared" si="570"/>
        <v>6.9606111223059989E-3</v>
      </c>
      <c r="AG243" s="1260">
        <f t="shared" si="570"/>
        <v>6.9653866962121041E-3</v>
      </c>
      <c r="AH243" s="1260">
        <f t="shared" ref="AH243:AL243" si="571">Q243/Q$236</f>
        <v>6.9702405430833447E-3</v>
      </c>
      <c r="AI243" s="1260">
        <f t="shared" si="571"/>
        <v>6.9751704032082282E-3</v>
      </c>
      <c r="AJ243" s="1260">
        <f t="shared" si="571"/>
        <v>6.980174028984449E-3</v>
      </c>
      <c r="AK243" s="1260">
        <f t="shared" si="571"/>
        <v>6.9852491864692626E-3</v>
      </c>
      <c r="AL243" s="1260">
        <f t="shared" si="571"/>
        <v>6.9903936568577038E-3</v>
      </c>
      <c r="AM243" s="1275">
        <f t="shared" si="564"/>
        <v>7.2820809716715607E-3</v>
      </c>
      <c r="AN243" s="1275">
        <f t="shared" si="569"/>
        <v>7.0958168997775871E-3</v>
      </c>
    </row>
    <row r="244" spans="5:41" hidden="1" outlineLevel="1" x14ac:dyDescent="0.3">
      <c r="E244" s="1234" t="s">
        <v>415</v>
      </c>
      <c r="F244" s="1319">
        <f t="shared" si="565"/>
        <v>0.54418370321451359</v>
      </c>
      <c r="G244" s="1233">
        <f>SUM(G245:G246)</f>
        <v>5.6019199972943343E-2</v>
      </c>
      <c r="H244" s="1233">
        <f>SUM(H245:H246)</f>
        <v>5.6019199972943343E-2</v>
      </c>
      <c r="I244" s="1233">
        <f t="shared" ref="I244:P244" si="572">SUM(I245:I246)</f>
        <v>5.6656261281738854E-2</v>
      </c>
      <c r="J244" s="1233">
        <f t="shared" si="572"/>
        <v>5.7309062872679582E-2</v>
      </c>
      <c r="K244" s="1233">
        <f t="shared" si="572"/>
        <v>5.7977863617038751E-2</v>
      </c>
      <c r="L244" s="1233">
        <f t="shared" si="572"/>
        <v>5.866292763644837E-2</v>
      </c>
      <c r="M244" s="1233">
        <f t="shared" si="572"/>
        <v>4.9472944021138006E-2</v>
      </c>
      <c r="N244" s="1233">
        <f t="shared" si="572"/>
        <v>5.0072402854848846E-2</v>
      </c>
      <c r="O244" s="1233">
        <f t="shared" si="572"/>
        <v>5.0684473572138046E-2</v>
      </c>
      <c r="P244" s="1233">
        <f t="shared" si="572"/>
        <v>5.1309367412596438E-2</v>
      </c>
      <c r="Q244" s="1233">
        <f t="shared" ref="Q244:U244" si="573">SUM(Q245:Q246)</f>
        <v>5.1947299630141622E-2</v>
      </c>
      <c r="R244" s="1233">
        <f t="shared" si="573"/>
        <v>5.259848956683242E-2</v>
      </c>
      <c r="S244" s="1233">
        <f t="shared" si="573"/>
        <v>5.3263160728089606E-2</v>
      </c>
      <c r="T244" s="1233">
        <f t="shared" si="573"/>
        <v>5.394154085935135E-2</v>
      </c>
      <c r="U244" s="1233">
        <f t="shared" si="573"/>
        <v>5.4633862024189378E-2</v>
      </c>
      <c r="V244" s="1139">
        <f t="shared" si="566"/>
        <v>0.64187339479549244</v>
      </c>
      <c r="W244" s="1234" t="s">
        <v>415</v>
      </c>
      <c r="X244" s="1260">
        <f t="shared" ref="X244:AG244" si="574">G244/G$237</f>
        <v>8.8419303677587189E-3</v>
      </c>
      <c r="Y244" s="1260">
        <f t="shared" si="574"/>
        <v>8.8419303677587189E-3</v>
      </c>
      <c r="Z244" s="1260">
        <f t="shared" si="574"/>
        <v>8.840852921206805E-3</v>
      </c>
      <c r="AA244" s="1260">
        <f t="shared" si="574"/>
        <v>8.8398527177331234E-3</v>
      </c>
      <c r="AB244" s="1260">
        <f t="shared" si="574"/>
        <v>8.8389286357480439E-3</v>
      </c>
      <c r="AC244" s="1260">
        <f t="shared" si="574"/>
        <v>8.8380795194173828E-3</v>
      </c>
      <c r="AD244" s="1260">
        <f t="shared" si="574"/>
        <v>7.3672593748289553E-3</v>
      </c>
      <c r="AE244" s="1260">
        <f t="shared" si="574"/>
        <v>7.3694820581497802E-3</v>
      </c>
      <c r="AF244" s="1260">
        <f t="shared" si="574"/>
        <v>7.3717508607551181E-3</v>
      </c>
      <c r="AG244" s="1260">
        <f t="shared" si="574"/>
        <v>7.3740647380257634E-3</v>
      </c>
      <c r="AH244" s="1260">
        <f t="shared" ref="AH244:AL244" si="575">Q244/Q$237</f>
        <v>7.3764226454198266E-3</v>
      </c>
      <c r="AI244" s="1260">
        <f t="shared" si="575"/>
        <v>7.3788235394118811E-3</v>
      </c>
      <c r="AJ244" s="1260">
        <f t="shared" si="575"/>
        <v>7.3812663783993995E-3</v>
      </c>
      <c r="AK244" s="1260">
        <f t="shared" si="575"/>
        <v>7.3837501235761525E-3</v>
      </c>
      <c r="AL244" s="1260">
        <f t="shared" si="575"/>
        <v>7.3862737397719699E-3</v>
      </c>
      <c r="AM244" s="1275">
        <f t="shared" si="564"/>
        <v>8.2524131561382413E-3</v>
      </c>
      <c r="AN244" s="1275">
        <f t="shared" si="569"/>
        <v>7.7421628609364501E-3</v>
      </c>
    </row>
    <row r="245" spans="5:41" hidden="1" outlineLevel="1" x14ac:dyDescent="0.3">
      <c r="E245" s="1264" t="s">
        <v>416</v>
      </c>
      <c r="F245" s="1319">
        <f t="shared" si="565"/>
        <v>0.11289295952698447</v>
      </c>
      <c r="G245" s="1237">
        <f>SUMPRODUCT(Baseline!AC$831:AC$834,Assumptions!$L$783:$L$786)/1000000</f>
        <v>1.1284004571140755E-2</v>
      </c>
      <c r="H245" s="1237">
        <f>SUMPRODUCT(Baseline!AD$831:AD$834,Assumptions!$L$783:$L$786)/1000000</f>
        <v>1.1284004571140755E-2</v>
      </c>
      <c r="I245" s="1237">
        <f>SUMPRODUCT(Baseline!AE$831:AE$834,Assumptions!$L$783:$L$786)/1000000</f>
        <v>1.1422595388391438E-2</v>
      </c>
      <c r="J245" s="1237">
        <f>SUMPRODUCT(Baseline!AF$831:AF$834,Assumptions!$L$783:$L$786)/1000000</f>
        <v>1.1564492544938682E-2</v>
      </c>
      <c r="K245" s="1237">
        <f>SUMPRODUCT(Baseline!AG$831:AG$834,Assumptions!$L$783:$L$786)/1000000</f>
        <v>1.1709753694380168E-2</v>
      </c>
      <c r="L245" s="1237">
        <f>SUMPRODUCT(Baseline!AH$831:AH$834,Assumptions!$L$783:$L$786)/1000000</f>
        <v>1.1858437672423136E-2</v>
      </c>
      <c r="M245" s="1237">
        <f>SUMPRODUCT(Baseline!AI$831:AI$834,Assumptions!$L$783:$L$786)/1000000</f>
        <v>1.0728929197572365E-2</v>
      </c>
      <c r="N245" s="1237">
        <f>SUMPRODUCT(Baseline!AJ$831:AJ$834,Assumptions!$L$783:$L$786)/1000000</f>
        <v>1.086922812306201E-2</v>
      </c>
      <c r="O245" s="1237">
        <f>SUMPRODUCT(Baseline!AK$831:AK$834,Assumptions!$L$783:$L$786)/1000000</f>
        <v>1.101255371015066E-2</v>
      </c>
      <c r="P245" s="1237">
        <f>SUMPRODUCT(Baseline!AL$831:AL$834,Assumptions!$L$783:$L$786)/1000000</f>
        <v>1.1158960053784512E-2</v>
      </c>
      <c r="Q245" s="1237">
        <f>SUMPRODUCT(Baseline!AM$831:AM$834,Assumptions!$L$783:$L$786)/1000000</f>
        <v>1.1308502323978759E-2</v>
      </c>
      <c r="R245" s="1237">
        <f>SUMPRODUCT(Baseline!AN$831:AN$834,Assumptions!$L$783:$L$786)/1000000</f>
        <v>1.1461236786672782E-2</v>
      </c>
      <c r="S245" s="1237">
        <f>SUMPRODUCT(Baseline!AO$831:AO$834,Assumptions!$L$783:$L$786)/1000000</f>
        <v>1.1617220825000999E-2</v>
      </c>
      <c r="T245" s="1237">
        <f>SUMPRODUCT(Baseline!AP$831:AP$834,Assumptions!$L$783:$L$786)/1000000</f>
        <v>1.1776512960987782E-2</v>
      </c>
      <c r="U245" s="1237">
        <f>SUMPRODUCT(Baseline!AQ$831:AQ$834,Assumptions!$L$783:$L$786)/1000000</f>
        <v>1.1939172877674837E-2</v>
      </c>
      <c r="V245" s="1139">
        <f t="shared" si="566"/>
        <v>0.13700500077062669</v>
      </c>
      <c r="W245" s="1264" t="s">
        <v>416</v>
      </c>
      <c r="X245" s="1260">
        <f t="shared" ref="X245:AG245" si="576">G245/G$238</f>
        <v>7.865905918143205E-3</v>
      </c>
      <c r="Y245" s="1260">
        <f t="shared" si="576"/>
        <v>7.865905918143205E-3</v>
      </c>
      <c r="Z245" s="1260">
        <f t="shared" si="576"/>
        <v>7.8668295707005238E-3</v>
      </c>
      <c r="AA245" s="1260">
        <f t="shared" si="576"/>
        <v>7.8678652745113285E-3</v>
      </c>
      <c r="AB245" s="1260">
        <f t="shared" si="576"/>
        <v>7.8690106563331867E-3</v>
      </c>
      <c r="AC245" s="1260">
        <f t="shared" si="576"/>
        <v>7.8702633207304758E-3</v>
      </c>
      <c r="AD245" s="1260">
        <f t="shared" si="576"/>
        <v>7.0329675618276142E-3</v>
      </c>
      <c r="AE245" s="1260">
        <f t="shared" si="576"/>
        <v>7.036518519362542E-3</v>
      </c>
      <c r="AF245" s="1260">
        <f t="shared" si="576"/>
        <v>7.0401362574403501E-3</v>
      </c>
      <c r="AG245" s="1260">
        <f t="shared" si="576"/>
        <v>7.0438190045013348E-3</v>
      </c>
      <c r="AH245" s="1260">
        <f t="shared" ref="AH245:AL245" si="577">Q245/Q$238</f>
        <v>7.047564993293628E-3</v>
      </c>
      <c r="AI245" s="1260">
        <f t="shared" si="577"/>
        <v>7.0513724623205596E-3</v>
      </c>
      <c r="AJ245" s="1260">
        <f t="shared" si="577"/>
        <v>7.0552396572313757E-3</v>
      </c>
      <c r="AK245" s="1260">
        <f t="shared" si="577"/>
        <v>7.059164832154856E-3</v>
      </c>
      <c r="AL245" s="1260">
        <f t="shared" si="577"/>
        <v>7.0631462509755695E-3</v>
      </c>
      <c r="AM245" s="1275">
        <f t="shared" si="564"/>
        <v>7.5359222001693772E-3</v>
      </c>
      <c r="AN245" s="1275">
        <f t="shared" si="569"/>
        <v>7.2530890658902341E-3</v>
      </c>
    </row>
    <row r="246" spans="5:41" hidden="1" outlineLevel="1" x14ac:dyDescent="0.3">
      <c r="E246" s="1264" t="s">
        <v>190</v>
      </c>
      <c r="F246" s="1319">
        <f t="shared" si="565"/>
        <v>0.43129074368752912</v>
      </c>
      <c r="G246" s="1237">
        <f>SUMPRODUCT(Baseline!AC$831:AC$834,Assumptions!$M$783:$M$786)/1000000</f>
        <v>4.473519540180259E-2</v>
      </c>
      <c r="H246" s="1237">
        <f>SUMPRODUCT(Baseline!AD$831:AD$834,Assumptions!$M$783:$M$786)/1000000</f>
        <v>4.473519540180259E-2</v>
      </c>
      <c r="I246" s="1237">
        <f>SUMPRODUCT(Baseline!AE$831:AE$834,Assumptions!$M$783:$M$786)/1000000</f>
        <v>4.5233665893347416E-2</v>
      </c>
      <c r="J246" s="1237">
        <f>SUMPRODUCT(Baseline!AF$831:AF$834,Assumptions!$M$783:$M$786)/1000000</f>
        <v>4.5744570327740902E-2</v>
      </c>
      <c r="K246" s="1237">
        <f>SUMPRODUCT(Baseline!AG$831:AG$834,Assumptions!$M$783:$M$786)/1000000</f>
        <v>4.6268109922658583E-2</v>
      </c>
      <c r="L246" s="1237">
        <f>SUMPRODUCT(Baseline!AH$831:AH$834,Assumptions!$M$783:$M$786)/1000000</f>
        <v>4.6804489964025232E-2</v>
      </c>
      <c r="M246" s="1237">
        <f>SUMPRODUCT(Baseline!AI$831:AI$834,Assumptions!$M$783:$M$786)/1000000</f>
        <v>3.874401482356564E-2</v>
      </c>
      <c r="N246" s="1237">
        <f>SUMPRODUCT(Baseline!AJ$831:AJ$834,Assumptions!$M$783:$M$786)/1000000</f>
        <v>3.920317473178684E-2</v>
      </c>
      <c r="O246" s="1237">
        <f>SUMPRODUCT(Baseline!AK$831:AK$834,Assumptions!$M$783:$M$786)/1000000</f>
        <v>3.9671919861987384E-2</v>
      </c>
      <c r="P246" s="1237">
        <f>SUMPRODUCT(Baseline!AL$831:AL$834,Assumptions!$M$783:$M$786)/1000000</f>
        <v>4.0150407358811924E-2</v>
      </c>
      <c r="Q246" s="1237">
        <f>SUMPRODUCT(Baseline!AM$831:AM$834,Assumptions!$M$783:$M$786)/1000000</f>
        <v>4.0638797306162863E-2</v>
      </c>
      <c r="R246" s="1237">
        <f>SUMPRODUCT(Baseline!AN$831:AN$834,Assumptions!$M$783:$M$786)/1000000</f>
        <v>4.1137252780159637E-2</v>
      </c>
      <c r="S246" s="1237">
        <f>SUMPRODUCT(Baseline!AO$831:AO$834,Assumptions!$M$783:$M$786)/1000000</f>
        <v>4.1645939903088611E-2</v>
      </c>
      <c r="T246" s="1237">
        <f>SUMPRODUCT(Baseline!AP$831:AP$834,Assumptions!$M$783:$M$786)/1000000</f>
        <v>4.2165027898363565E-2</v>
      </c>
      <c r="U246" s="1237">
        <f>SUMPRODUCT(Baseline!AQ$831:AQ$834,Assumptions!$M$783:$M$786)/1000000</f>
        <v>4.2694689146514544E-2</v>
      </c>
      <c r="V246" s="1139">
        <f t="shared" si="566"/>
        <v>0.50486839402486572</v>
      </c>
      <c r="W246" s="1264" t="s">
        <v>190</v>
      </c>
      <c r="X246" s="1260">
        <f t="shared" ref="X246:AG246" si="578">G246/G$239</f>
        <v>9.1276124863444077E-3</v>
      </c>
      <c r="Y246" s="1260">
        <f t="shared" si="578"/>
        <v>9.1276124863444077E-3</v>
      </c>
      <c r="Z246" s="1260">
        <f t="shared" si="578"/>
        <v>9.126192665336378E-3</v>
      </c>
      <c r="AA246" s="1260">
        <f t="shared" si="578"/>
        <v>9.1248335961868609E-3</v>
      </c>
      <c r="AB246" s="1260">
        <f t="shared" si="578"/>
        <v>9.1235346029328798E-3</v>
      </c>
      <c r="AC246" s="1260">
        <f t="shared" si="578"/>
        <v>9.1222949764693754E-3</v>
      </c>
      <c r="AD246" s="1260">
        <f t="shared" si="578"/>
        <v>7.4655244533947587E-3</v>
      </c>
      <c r="AE246" s="1260">
        <f t="shared" si="578"/>
        <v>7.4674510624891692E-3</v>
      </c>
      <c r="AF246" s="1260">
        <f t="shared" si="578"/>
        <v>7.4694170204111761E-3</v>
      </c>
      <c r="AG246" s="1260">
        <f t="shared" si="578"/>
        <v>7.4714214798751481E-3</v>
      </c>
      <c r="AH246" s="1260">
        <f t="shared" ref="AH246:AL246" si="579">Q246/Q$239</f>
        <v>7.4734635933802699E-3</v>
      </c>
      <c r="AI246" s="1260">
        <f t="shared" si="579"/>
        <v>7.4755425139843403E-3</v>
      </c>
      <c r="AJ246" s="1260">
        <f t="shared" si="579"/>
        <v>7.4776573960510804E-3</v>
      </c>
      <c r="AK246" s="1260">
        <f t="shared" si="579"/>
        <v>7.4798073959707022E-3</v>
      </c>
      <c r="AL246" s="1260">
        <f t="shared" si="579"/>
        <v>7.4819916728531641E-3</v>
      </c>
      <c r="AM246" s="1275">
        <f t="shared" si="564"/>
        <v>8.4625894829784571E-3</v>
      </c>
      <c r="AN246" s="1275">
        <f t="shared" si="569"/>
        <v>7.8860783136665783E-3</v>
      </c>
    </row>
    <row r="247" spans="5:41" hidden="1" outlineLevel="1" x14ac:dyDescent="0.3">
      <c r="E247" s="1234" t="s">
        <v>417</v>
      </c>
      <c r="F247" s="1319">
        <f t="shared" si="565"/>
        <v>1.2076848248028633</v>
      </c>
      <c r="G247" s="1233">
        <f>G243-G244</f>
        <v>0.11623080002705664</v>
      </c>
      <c r="H247" s="1233">
        <f>H243-H244</f>
        <v>0.11623080002705664</v>
      </c>
      <c r="I247" s="1233">
        <f t="shared" ref="I247:P247" si="580">I243-I244</f>
        <v>0.11775519231461752</v>
      </c>
      <c r="J247" s="1233">
        <f t="shared" si="580"/>
        <v>0.11931391268244715</v>
      </c>
      <c r="K247" s="1233">
        <f t="shared" si="580"/>
        <v>0.12090757974282637</v>
      </c>
      <c r="L247" s="1233">
        <f t="shared" si="580"/>
        <v>0.12253682469563248</v>
      </c>
      <c r="M247" s="1233">
        <f t="shared" si="580"/>
        <v>0.12114276563674878</v>
      </c>
      <c r="N247" s="1233">
        <f t="shared" si="580"/>
        <v>0.12280832096515343</v>
      </c>
      <c r="O247" s="1233">
        <f t="shared" si="580"/>
        <v>0.12451004126735285</v>
      </c>
      <c r="P247" s="1233">
        <f t="shared" si="580"/>
        <v>0.1262485874439716</v>
      </c>
      <c r="Q247" s="1233">
        <f t="shared" ref="Q247:U247" si="581">Q243-Q244</f>
        <v>0.12802463372486245</v>
      </c>
      <c r="R247" s="1233">
        <f t="shared" si="581"/>
        <v>0.12983886793052721</v>
      </c>
      <c r="S247" s="1233">
        <f t="shared" si="581"/>
        <v>0.1316919917387766</v>
      </c>
      <c r="T247" s="1233">
        <f t="shared" si="581"/>
        <v>0.13358472095676005</v>
      </c>
      <c r="U247" s="1233">
        <f t="shared" si="581"/>
        <v>0.13551778579844495</v>
      </c>
      <c r="V247" s="1139">
        <f t="shared" si="566"/>
        <v>1.5161260325835038</v>
      </c>
      <c r="W247" s="1234" t="s">
        <v>417</v>
      </c>
      <c r="X247" s="1260">
        <f t="shared" ref="X247:AG247" si="582">G247/G$240</f>
        <v>7.0573920294138724E-3</v>
      </c>
      <c r="Y247" s="1260">
        <f t="shared" si="582"/>
        <v>7.0573920294138724E-3</v>
      </c>
      <c r="Z247" s="1260">
        <f t="shared" si="582"/>
        <v>6.9461355238341601E-3</v>
      </c>
      <c r="AA247" s="1260">
        <f t="shared" si="582"/>
        <v>6.9509215936190633E-3</v>
      </c>
      <c r="AB247" s="1260">
        <f t="shared" si="582"/>
        <v>6.9558243069350757E-3</v>
      </c>
      <c r="AC247" s="1260">
        <f t="shared" si="582"/>
        <v>6.9608405998980959E-3</v>
      </c>
      <c r="AD247" s="1260">
        <f t="shared" si="582"/>
        <v>6.7946369188134964E-3</v>
      </c>
      <c r="AE247" s="1260">
        <f t="shared" si="582"/>
        <v>6.8003168016404743E-3</v>
      </c>
      <c r="AF247" s="1260">
        <f t="shared" si="582"/>
        <v>6.8060902772782636E-3</v>
      </c>
      <c r="AG247" s="1260">
        <f t="shared" si="582"/>
        <v>6.8119545941926415E-3</v>
      </c>
      <c r="AH247" s="1260">
        <f t="shared" ref="AH247:AL247" si="583">Q247/Q$240</f>
        <v>6.8179070154915705E-3</v>
      </c>
      <c r="AI247" s="1260">
        <f t="shared" si="583"/>
        <v>6.8239448207948429E-3</v>
      </c>
      <c r="AJ247" s="1260">
        <f t="shared" si="583"/>
        <v>6.8300653080177508E-3</v>
      </c>
      <c r="AK247" s="1260">
        <f t="shared" si="583"/>
        <v>6.8362657950703466E-3</v>
      </c>
      <c r="AL247" s="1260">
        <f t="shared" si="583"/>
        <v>6.8425436214712672E-3</v>
      </c>
      <c r="AM247" s="1275">
        <f t="shared" si="564"/>
        <v>6.9141504675039019E-3</v>
      </c>
      <c r="AN247" s="1275">
        <f t="shared" si="569"/>
        <v>6.8526093044352409E-3</v>
      </c>
    </row>
    <row r="248" spans="5:41" hidden="1" outlineLevel="1" x14ac:dyDescent="0.3">
      <c r="E248" s="596" t="str">
        <f>'EE Measures'!$IF$6</f>
        <v>Baseline</v>
      </c>
      <c r="F248" s="1319">
        <f t="shared" si="565"/>
        <v>5.106405829493756</v>
      </c>
      <c r="G248" s="1232">
        <f>SUM(G249:G250)</f>
        <v>0.60079300501896338</v>
      </c>
      <c r="H248" s="1232">
        <f>SUM(H249:H250)</f>
        <v>0.61712743509515233</v>
      </c>
      <c r="I248" s="1232">
        <f t="shared" ref="I248" si="584">SUM(I249:I250)</f>
        <v>0.6113515444080484</v>
      </c>
      <c r="J248" s="1232">
        <f t="shared" ref="J248" si="585">SUM(J249:J250)</f>
        <v>0.55460582895470334</v>
      </c>
      <c r="K248" s="1232">
        <f t="shared" ref="K248" si="586">SUM(K249:K250)</f>
        <v>0.55919114178598606</v>
      </c>
      <c r="L248" s="1232">
        <f t="shared" ref="L248" si="587">SUM(L249:L250)</f>
        <v>0.56631275183529428</v>
      </c>
      <c r="M248" s="1232">
        <f t="shared" ref="M248" si="588">SUM(M249:M250)</f>
        <v>0.39191748435460194</v>
      </c>
      <c r="N248" s="1232">
        <f t="shared" ref="N248" si="589">SUM(N249:N250)</f>
        <v>0.39675094222199825</v>
      </c>
      <c r="O248" s="1232">
        <f t="shared" ref="O248" si="590">SUM(O249:O250)</f>
        <v>0.40167240358228379</v>
      </c>
      <c r="P248" s="1232">
        <f t="shared" ref="P248:U248" si="591">SUM(P249:P250)</f>
        <v>0.40668329223672489</v>
      </c>
      <c r="Q248" s="1232">
        <f t="shared" si="591"/>
        <v>0.41178505727910669</v>
      </c>
      <c r="R248" s="1232">
        <f t="shared" si="591"/>
        <v>0.41697917354472258</v>
      </c>
      <c r="S248" s="1232">
        <f t="shared" si="591"/>
        <v>0.42226714206763638</v>
      </c>
      <c r="T248" s="1232">
        <f t="shared" si="591"/>
        <v>0.42765049054640814</v>
      </c>
      <c r="U248" s="1232">
        <f t="shared" si="591"/>
        <v>0.43313077381840726</v>
      </c>
      <c r="V248" s="1139">
        <f t="shared" si="566"/>
        <v>5.3889464822278725</v>
      </c>
      <c r="W248" s="596" t="str">
        <f>'EE Measures'!$IF$6</f>
        <v>Baseline</v>
      </c>
      <c r="X248" s="1274">
        <f>G248/G$234</f>
        <v>7.8478610805167957E-3</v>
      </c>
      <c r="Y248" s="1274">
        <f>H248/H$234</f>
        <v>7.9931762226932955E-3</v>
      </c>
      <c r="Z248" s="1274">
        <f t="shared" ref="Z248" si="592">I248/I$234</f>
        <v>7.7950662994783178E-3</v>
      </c>
      <c r="AA248" s="1274">
        <f t="shared" ref="AA248" si="593">J248/J$234</f>
        <v>6.9854982203620183E-3</v>
      </c>
      <c r="AB248" s="1274">
        <f t="shared" ref="AB248" si="594">K248/K$234</f>
        <v>6.9568642711411201E-3</v>
      </c>
      <c r="AC248" s="1274">
        <f t="shared" ref="AC248" si="595">L248/L$234</f>
        <v>6.9583556622531857E-3</v>
      </c>
      <c r="AD248" s="1274">
        <f t="shared" ref="AD248" si="596">M248/M$234</f>
        <v>4.7590124264172565E-3</v>
      </c>
      <c r="AE248" s="1274">
        <f t="shared" ref="AE248" si="597">N248/N$234</f>
        <v>4.7608797079872651E-3</v>
      </c>
      <c r="AF248" s="1274">
        <f t="shared" ref="AF248" si="598">O248/O$234</f>
        <v>4.7628149036428695E-3</v>
      </c>
      <c r="AG248" s="1274">
        <f t="shared" ref="AG248" si="599">P248/P$234</f>
        <v>4.7648170742493291E-3</v>
      </c>
      <c r="AH248" s="1274">
        <f t="shared" ref="AH248" si="600">Q248/Q$234</f>
        <v>4.7668852853004319E-3</v>
      </c>
      <c r="AI248" s="1274">
        <f t="shared" ref="AI248" si="601">R248/R$234</f>
        <v>4.769018607336065E-3</v>
      </c>
      <c r="AJ248" s="1274">
        <f t="shared" ref="AJ248" si="602">S248/S$234</f>
        <v>4.7712161163411017E-3</v>
      </c>
      <c r="AK248" s="1274">
        <f t="shared" ref="AK248" si="603">T248/T$234</f>
        <v>4.7734768941262076E-3</v>
      </c>
      <c r="AL248" s="1274">
        <f t="shared" ref="AL248" si="604">U248/U$234</f>
        <v>4.7758000286903914E-3</v>
      </c>
      <c r="AM248" s="1275">
        <f t="shared" si="564"/>
        <v>6.3584345868741452E-3</v>
      </c>
      <c r="AN248" s="1275">
        <f t="shared" si="569"/>
        <v>5.3170532664872693E-3</v>
      </c>
    </row>
    <row r="249" spans="5:41" hidden="1" outlineLevel="1" x14ac:dyDescent="0.3">
      <c r="E249" s="1234" t="s">
        <v>125</v>
      </c>
      <c r="F249" s="1319">
        <f t="shared" si="565"/>
        <v>3.2956683614763795</v>
      </c>
      <c r="G249" s="1263">
        <f>G242+SUM('EE Measures'!HF8:HF11)</f>
        <v>0.41008533501896333</v>
      </c>
      <c r="H249" s="1263">
        <f>H242+SUM('EE Measures'!HG8:HG11)</f>
        <v>0.41782526509515228</v>
      </c>
      <c r="I249" s="1263">
        <f>I242+SUM('EE Measures'!HH8:HH11)</f>
        <v>0.42596329081169204</v>
      </c>
      <c r="J249" s="1263">
        <f>J242+SUM('EE Measures'!HI8:HI11)</f>
        <v>0.3756005533995766</v>
      </c>
      <c r="K249" s="1263">
        <f>K242+SUM('EE Measures'!HJ8:HJ11)</f>
        <v>0.38030569842612094</v>
      </c>
      <c r="L249" s="1263">
        <f>L242+SUM('EE Measures'!HK8:HK11)</f>
        <v>0.38511299950321343</v>
      </c>
      <c r="M249" s="1263">
        <f>M242+SUM('EE Measures'!HL8:HL11)</f>
        <v>0.22130177469671516</v>
      </c>
      <c r="N249" s="1263">
        <f>N242+SUM('EE Measures'!HM8:HM11)</f>
        <v>0.22387021840199595</v>
      </c>
      <c r="O249" s="1263">
        <f>O242+SUM('EE Measures'!HN8:HN11)</f>
        <v>0.2264778887427929</v>
      </c>
      <c r="P249" s="1263">
        <f>P242+SUM('EE Measures'!HO8:HO11)</f>
        <v>0.22912533738015686</v>
      </c>
      <c r="Q249" s="1263">
        <f>Q242+SUM('EE Measures'!HP8:HP11)</f>
        <v>0.23181312392410264</v>
      </c>
      <c r="R249" s="1263">
        <f>R242+SUM('EE Measures'!HQ8:HQ11)</f>
        <v>0.23454181604736299</v>
      </c>
      <c r="S249" s="1263">
        <f>S242+SUM('EE Measures'!HR8:HR11)</f>
        <v>0.23731198960077018</v>
      </c>
      <c r="T249" s="1263">
        <f>T242+SUM('EE Measures'!HS8:HS11)</f>
        <v>0.24012422873029671</v>
      </c>
      <c r="U249" s="1263">
        <f>U242+SUM('EE Measures'!HT8:HT11)</f>
        <v>0.2429791259957729</v>
      </c>
      <c r="V249" s="1139">
        <f t="shared" si="566"/>
        <v>3.2285647548488776</v>
      </c>
      <c r="W249" s="1234" t="s">
        <v>125</v>
      </c>
      <c r="X249" s="1260">
        <f>G249/G$235</f>
        <v>7.6294946050039685E-3</v>
      </c>
      <c r="Y249" s="1260">
        <f>H249/H$235</f>
        <v>7.6803595318662267E-3</v>
      </c>
      <c r="Z249" s="1260">
        <f t="shared" ref="Z249" si="605">I249/I$235</f>
        <v>7.7353738056807324E-3</v>
      </c>
      <c r="AA249" s="1260">
        <f t="shared" ref="AA249" si="606">J249/J$235</f>
        <v>6.7377546446663883E-3</v>
      </c>
      <c r="AB249" s="1260">
        <f t="shared" ref="AB249" si="607">K249/K$235</f>
        <v>6.7384466775691878E-3</v>
      </c>
      <c r="AC249" s="1260">
        <f t="shared" ref="AC249" si="608">L249/L$235</f>
        <v>6.7392550458052871E-3</v>
      </c>
      <c r="AD249" s="1260">
        <f t="shared" ref="AD249" si="609">M249/M$235</f>
        <v>3.8282024422069795E-3</v>
      </c>
      <c r="AE249" s="1260">
        <f t="shared" ref="AE249" si="610">N249/N$235</f>
        <v>3.8280277708509719E-3</v>
      </c>
      <c r="AF249" s="1260">
        <f t="shared" ref="AF249" si="611">O249/O$235</f>
        <v>3.8278597761086451E-3</v>
      </c>
      <c r="AG249" s="1260">
        <f t="shared" ref="AG249" si="612">P249/P$235</f>
        <v>3.8276983717675361E-3</v>
      </c>
      <c r="AH249" s="1260">
        <f t="shared" ref="AH249" si="613">Q249/Q$235</f>
        <v>3.827543471694683E-3</v>
      </c>
      <c r="AI249" s="1260">
        <f t="shared" ref="AI249" si="614">R249/R$235</f>
        <v>3.8273949898758939E-3</v>
      </c>
      <c r="AJ249" s="1260">
        <f t="shared" ref="AJ249" si="615">S249/S$235</f>
        <v>3.8272528404536821E-3</v>
      </c>
      <c r="AK249" s="1260">
        <f t="shared" ref="AK249" si="616">T249/T$235</f>
        <v>3.8271169377639856E-3</v>
      </c>
      <c r="AL249" s="1260">
        <f t="shared" ref="AL249" si="617">U249/U$235</f>
        <v>3.8269871963716069E-3</v>
      </c>
      <c r="AM249" s="1275">
        <f t="shared" si="564"/>
        <v>5.8572472671525929E-3</v>
      </c>
      <c r="AN249" s="1275">
        <f t="shared" si="569"/>
        <v>4.5552950137612369E-3</v>
      </c>
    </row>
    <row r="250" spans="5:41" hidden="1" outlineLevel="1" x14ac:dyDescent="0.3">
      <c r="E250" s="1234" t="s">
        <v>414</v>
      </c>
      <c r="F250" s="1319">
        <f t="shared" si="565"/>
        <v>1.8107374680173771</v>
      </c>
      <c r="G250" s="1143">
        <f>G243+SUM('EE Measures'!HF12:HF18)</f>
        <v>0.19070767</v>
      </c>
      <c r="H250" s="1143">
        <f>H243+SUM('EE Measures'!HG12:HG18)</f>
        <v>0.19930217</v>
      </c>
      <c r="I250" s="1143">
        <f>I243+SUM('EE Measures'!HH12:HH18)</f>
        <v>0.18538825359635636</v>
      </c>
      <c r="J250" s="1143">
        <f>J243+SUM('EE Measures'!HI12:HI18)</f>
        <v>0.17900527555512674</v>
      </c>
      <c r="K250" s="1143">
        <f>K243+SUM('EE Measures'!HJ12:HJ18)</f>
        <v>0.17888544335986512</v>
      </c>
      <c r="L250" s="1143">
        <f>L243+SUM('EE Measures'!HK12:HK18)</f>
        <v>0.18119975233208085</v>
      </c>
      <c r="M250" s="1143">
        <f>M243+SUM('EE Measures'!HL12:HL18)</f>
        <v>0.17061570965788678</v>
      </c>
      <c r="N250" s="1143">
        <f>N243+SUM('EE Measures'!HM12:HM18)</f>
        <v>0.17288072382000227</v>
      </c>
      <c r="O250" s="1143">
        <f>O243+SUM('EE Measures'!HN12:HN18)</f>
        <v>0.17519451483949089</v>
      </c>
      <c r="P250" s="1143">
        <f>P243+SUM('EE Measures'!HO12:HO18)</f>
        <v>0.17755795485656803</v>
      </c>
      <c r="Q250" s="1143">
        <f>Q243+SUM('EE Measures'!HP12:HP18)</f>
        <v>0.17997193335500405</v>
      </c>
      <c r="R250" s="1143">
        <f>R243+SUM('EE Measures'!HQ12:HQ18)</f>
        <v>0.18243735749735962</v>
      </c>
      <c r="S250" s="1143">
        <f>S243+SUM('EE Measures'!HR12:HR18)</f>
        <v>0.1849551524668662</v>
      </c>
      <c r="T250" s="1143">
        <f>T243+SUM('EE Measures'!HS12:HS18)</f>
        <v>0.1875262618161114</v>
      </c>
      <c r="U250" s="1143">
        <f>U243+SUM('EE Measures'!HT12:HT18)</f>
        <v>0.19015164782263433</v>
      </c>
      <c r="V250" s="1139">
        <f t="shared" si="566"/>
        <v>2.1603817273789963</v>
      </c>
      <c r="W250" s="1234" t="s">
        <v>414</v>
      </c>
      <c r="X250" s="1260">
        <f>G250/G$236</f>
        <v>8.3625376014032013E-3</v>
      </c>
      <c r="Y250" s="1260">
        <f>H250/H$236</f>
        <v>8.7394067090550316E-3</v>
      </c>
      <c r="Z250" s="1260">
        <f t="shared" ref="Z250" si="618">I250/I$236</f>
        <v>7.9357739350867634E-3</v>
      </c>
      <c r="AA250" s="1260">
        <f t="shared" ref="AA250" si="619">J250/J$236</f>
        <v>7.5695009109408833E-3</v>
      </c>
      <c r="AB250" s="1260">
        <f t="shared" ref="AB250" si="620">K250/K$236</f>
        <v>7.4717463464357729E-3</v>
      </c>
      <c r="AC250" s="1260">
        <f t="shared" ref="AC250" si="621">L250/L$236</f>
        <v>7.4748489817281069E-3</v>
      </c>
      <c r="AD250" s="1260">
        <f t="shared" ref="AD250" si="622">M250/M$236</f>
        <v>6.951303882980593E-3</v>
      </c>
      <c r="AE250" s="1260">
        <f t="shared" ref="AE250" si="623">N250/N$236</f>
        <v>6.9559160915642826E-3</v>
      </c>
      <c r="AF250" s="1260">
        <f t="shared" ref="AF250" si="624">O250/O$236</f>
        <v>6.9606111223059989E-3</v>
      </c>
      <c r="AG250" s="1260">
        <f t="shared" ref="AG250" si="625">P250/P$236</f>
        <v>6.9653866962121041E-3</v>
      </c>
      <c r="AH250" s="1260">
        <f t="shared" ref="AH250" si="626">Q250/Q$236</f>
        <v>6.9702405430833447E-3</v>
      </c>
      <c r="AI250" s="1260">
        <f t="shared" ref="AI250" si="627">R250/R$236</f>
        <v>6.9751704032082282E-3</v>
      </c>
      <c r="AJ250" s="1260">
        <f t="shared" ref="AJ250" si="628">S250/S$236</f>
        <v>6.980174028984449E-3</v>
      </c>
      <c r="AK250" s="1260">
        <f t="shared" ref="AK250" si="629">T250/T$236</f>
        <v>6.9852491864692626E-3</v>
      </c>
      <c r="AL250" s="1260">
        <f t="shared" ref="AL250" si="630">U250/U$236</f>
        <v>6.9903936568577038E-3</v>
      </c>
      <c r="AM250" s="1275">
        <f t="shared" si="564"/>
        <v>7.5387032277712731E-3</v>
      </c>
      <c r="AN250" s="1275">
        <f t="shared" si="569"/>
        <v>7.1042118208975609E-3</v>
      </c>
    </row>
    <row r="251" spans="5:41" hidden="1" outlineLevel="1" x14ac:dyDescent="0.3">
      <c r="E251" s="1234" t="s">
        <v>415</v>
      </c>
      <c r="F251" s="1319">
        <f t="shared" si="565"/>
        <v>0.57171738636034819</v>
      </c>
      <c r="G251" s="1233">
        <f>SUM(G252:G253)</f>
        <v>6.3193514091787042E-2</v>
      </c>
      <c r="H251" s="1233">
        <f>SUM(H252:H253)</f>
        <v>6.8780846015333963E-2</v>
      </c>
      <c r="I251" s="1233">
        <f t="shared" ref="I251" si="631">SUM(I252:I253)</f>
        <v>6.3248788735812522E-2</v>
      </c>
      <c r="J251" s="1233">
        <f t="shared" ref="J251" si="632">SUM(J252:J253)</f>
        <v>5.8314258403206337E-2</v>
      </c>
      <c r="K251" s="1233">
        <f t="shared" ref="K251" si="633">SUM(K252:K253)</f>
        <v>5.7977863617038751E-2</v>
      </c>
      <c r="L251" s="1233">
        <f t="shared" ref="L251" si="634">SUM(L252:L253)</f>
        <v>5.866292763644837E-2</v>
      </c>
      <c r="M251" s="1233">
        <f t="shared" ref="M251" si="635">SUM(M252:M253)</f>
        <v>4.9472944021138006E-2</v>
      </c>
      <c r="N251" s="1233">
        <f t="shared" ref="N251" si="636">SUM(N252:N253)</f>
        <v>5.0072402854848846E-2</v>
      </c>
      <c r="O251" s="1233">
        <f t="shared" ref="O251" si="637">SUM(O252:O253)</f>
        <v>5.0684473572138046E-2</v>
      </c>
      <c r="P251" s="1233">
        <f t="shared" ref="P251:U251" si="638">SUM(P252:P253)</f>
        <v>5.1309367412596438E-2</v>
      </c>
      <c r="Q251" s="1233">
        <f t="shared" si="638"/>
        <v>5.1947299630141622E-2</v>
      </c>
      <c r="R251" s="1233">
        <f t="shared" si="638"/>
        <v>5.259848956683242E-2</v>
      </c>
      <c r="S251" s="1233">
        <f t="shared" si="638"/>
        <v>5.3263160728089606E-2</v>
      </c>
      <c r="T251" s="1233">
        <f t="shared" si="638"/>
        <v>5.394154085935135E-2</v>
      </c>
      <c r="U251" s="1233">
        <f t="shared" si="638"/>
        <v>5.4633862024189378E-2</v>
      </c>
      <c r="V251" s="1139">
        <f t="shared" si="566"/>
        <v>0.64287859032601924</v>
      </c>
      <c r="W251" s="1234" t="s">
        <v>415</v>
      </c>
      <c r="X251" s="1260">
        <f>G251/G$237</f>
        <v>9.9743061586640251E-3</v>
      </c>
      <c r="Y251" s="1260">
        <f>H251/H$237</f>
        <v>1.0856196650377906E-2</v>
      </c>
      <c r="Z251" s="1260">
        <f t="shared" ref="Z251" si="639">I251/I$237</f>
        <v>9.8695753303797672E-3</v>
      </c>
      <c r="AA251" s="1260">
        <f t="shared" ref="AA251" si="640">J251/J$237</f>
        <v>8.9949028964827083E-3</v>
      </c>
      <c r="AB251" s="1260">
        <f t="shared" ref="AB251" si="641">K251/K$237</f>
        <v>8.8389286357480439E-3</v>
      </c>
      <c r="AC251" s="1260">
        <f t="shared" ref="AC251" si="642">L251/L$237</f>
        <v>8.8380795194173828E-3</v>
      </c>
      <c r="AD251" s="1260">
        <f t="shared" ref="AD251" si="643">M251/M$237</f>
        <v>7.3672593748289553E-3</v>
      </c>
      <c r="AE251" s="1260">
        <f t="shared" ref="AE251" si="644">N251/N$237</f>
        <v>7.3694820581497802E-3</v>
      </c>
      <c r="AF251" s="1260">
        <f t="shared" ref="AF251" si="645">O251/O$237</f>
        <v>7.3717508607551181E-3</v>
      </c>
      <c r="AG251" s="1260">
        <f t="shared" ref="AG251" si="646">P251/P$237</f>
        <v>7.3740647380257634E-3</v>
      </c>
      <c r="AH251" s="1260">
        <f t="shared" ref="AH251" si="647">Q251/Q$237</f>
        <v>7.3764226454198266E-3</v>
      </c>
      <c r="AI251" s="1260">
        <f t="shared" ref="AI251" si="648">R251/R$237</f>
        <v>7.3788235394118811E-3</v>
      </c>
      <c r="AJ251" s="1260">
        <f t="shared" ref="AJ251" si="649">S251/S$237</f>
        <v>7.3812663783993995E-3</v>
      </c>
      <c r="AK251" s="1260">
        <f t="shared" ref="AK251" si="650">T251/T$237</f>
        <v>7.3837501235761525E-3</v>
      </c>
      <c r="AL251" s="1260">
        <f t="shared" ref="AL251" si="651">U251/U$237</f>
        <v>7.3862737397719699E-3</v>
      </c>
      <c r="AM251" s="1275">
        <f t="shared" si="564"/>
        <v>8.6854546222829461E-3</v>
      </c>
      <c r="AN251" s="1275">
        <f t="shared" si="569"/>
        <v>7.7550837091655824E-3</v>
      </c>
    </row>
    <row r="252" spans="5:41" hidden="1" outlineLevel="1" x14ac:dyDescent="0.3">
      <c r="E252" s="1264" t="s">
        <v>416</v>
      </c>
      <c r="F252" s="1319">
        <f t="shared" si="565"/>
        <v>0.11572443884643135</v>
      </c>
      <c r="G252" s="952">
        <f>SUMPRODUCT('EE Measures'!$AL$8:$AL$40,'EE Measures'!HF$8:HF$40)+G$245</f>
        <v>1.192118852838411E-2</v>
      </c>
      <c r="H252" s="952">
        <f>SUMPRODUCT('EE Measures'!$AL$8:$AL$40,'EE Measures'!HG$8:HG$40)+H$245</f>
        <v>1.2603893378246578E-2</v>
      </c>
      <c r="I252" s="952">
        <f>SUMPRODUCT('EE Measures'!$AL$8:$AL$40,'EE Measures'!HH$8:HH$40)+I$245</f>
        <v>1.2201151090871521E-2</v>
      </c>
      <c r="J252" s="952">
        <f>SUMPRODUCT('EE Measures'!$AL$8:$AL$40,'EE Measures'!HI$8:HI$40)+J$245</f>
        <v>1.1660343397556297E-2</v>
      </c>
      <c r="K252" s="952">
        <f>SUMPRODUCT('EE Measures'!$AL$8:$AL$40,'EE Measures'!HJ$8:HJ$40)+K$245</f>
        <v>1.1709753694380168E-2</v>
      </c>
      <c r="L252" s="952">
        <f>SUMPRODUCT('EE Measures'!$AL$8:$AL$40,'EE Measures'!HK$8:HK$40)+L$245</f>
        <v>1.1858437672423136E-2</v>
      </c>
      <c r="M252" s="952">
        <f>SUMPRODUCT('EE Measures'!$AL$8:$AL$40,'EE Measures'!HL$8:HL$40)+M$245</f>
        <v>1.0728929197572365E-2</v>
      </c>
      <c r="N252" s="952">
        <f>SUMPRODUCT('EE Measures'!$AL$8:$AL$40,'EE Measures'!HM$8:HM$40)+N$245</f>
        <v>1.086922812306201E-2</v>
      </c>
      <c r="O252" s="952">
        <f>SUMPRODUCT('EE Measures'!$AL$8:$AL$40,'EE Measures'!HN$8:HN$40)+O$245</f>
        <v>1.101255371015066E-2</v>
      </c>
      <c r="P252" s="952">
        <f>SUMPRODUCT('EE Measures'!$AL$8:$AL$40,'EE Measures'!HO$8:HO$40)+P$245</f>
        <v>1.1158960053784512E-2</v>
      </c>
      <c r="Q252" s="952">
        <f>SUMPRODUCT('EE Measures'!$AL$8:$AL$40,'EE Measures'!HP$8:HP$40)+Q$245</f>
        <v>1.1308502323978759E-2</v>
      </c>
      <c r="R252" s="952">
        <f>SUMPRODUCT('EE Measures'!$AL$8:$AL$40,'EE Measures'!HQ$8:HQ$40)+R$245</f>
        <v>1.1461236786672782E-2</v>
      </c>
      <c r="S252" s="952">
        <f>SUMPRODUCT('EE Measures'!$AL$8:$AL$40,'EE Measures'!HR$8:HR$40)+S$245</f>
        <v>1.1617220825000999E-2</v>
      </c>
      <c r="T252" s="952">
        <f>SUMPRODUCT('EE Measures'!$AL$8:$AL$40,'EE Measures'!HS$8:HS$40)+T$245</f>
        <v>1.1776512960987782E-2</v>
      </c>
      <c r="U252" s="952">
        <f>SUMPRODUCT('EE Measures'!$AL$8:$AL$40,'EE Measures'!HT$8:HT$40)+U$245</f>
        <v>1.1939172877674837E-2</v>
      </c>
      <c r="V252" s="1139">
        <f t="shared" si="566"/>
        <v>0.13710085162324431</v>
      </c>
      <c r="W252" s="1264" t="s">
        <v>416</v>
      </c>
      <c r="X252" s="1260">
        <f>G252/G$238</f>
        <v>8.3100770480490586E-3</v>
      </c>
      <c r="Y252" s="1260">
        <f>H252/H$238</f>
        <v>8.7859800916026271E-3</v>
      </c>
      <c r="Z252" s="1260">
        <f t="shared" ref="Z252" si="652">I252/I$238</f>
        <v>8.4030268896506735E-3</v>
      </c>
      <c r="AA252" s="1260">
        <f t="shared" ref="AA252" si="653">J252/J$238</f>
        <v>7.9330770935264645E-3</v>
      </c>
      <c r="AB252" s="1260">
        <f t="shared" ref="AB252" si="654">K252/K$238</f>
        <v>7.8690106563331867E-3</v>
      </c>
      <c r="AC252" s="1260">
        <f t="shared" ref="AC252" si="655">L252/L$238</f>
        <v>7.8702633207304758E-3</v>
      </c>
      <c r="AD252" s="1260">
        <f t="shared" ref="AD252" si="656">M252/M$238</f>
        <v>7.0329675618276142E-3</v>
      </c>
      <c r="AE252" s="1260">
        <f t="shared" ref="AE252" si="657">N252/N$238</f>
        <v>7.036518519362542E-3</v>
      </c>
      <c r="AF252" s="1260">
        <f t="shared" ref="AF252" si="658">O252/O$238</f>
        <v>7.0401362574403501E-3</v>
      </c>
      <c r="AG252" s="1260">
        <f t="shared" ref="AG252" si="659">P252/P$238</f>
        <v>7.0438190045013348E-3</v>
      </c>
      <c r="AH252" s="1260">
        <f t="shared" ref="AH252" si="660">Q252/Q$238</f>
        <v>7.047564993293628E-3</v>
      </c>
      <c r="AI252" s="1260">
        <f t="shared" ref="AI252" si="661">R252/R$238</f>
        <v>7.0513724623205596E-3</v>
      </c>
      <c r="AJ252" s="1260">
        <f t="shared" ref="AJ252" si="662">S252/S$238</f>
        <v>7.0552396572313757E-3</v>
      </c>
      <c r="AK252" s="1260">
        <f t="shared" ref="AK252" si="663">T252/T$238</f>
        <v>7.059164832154856E-3</v>
      </c>
      <c r="AL252" s="1260">
        <f t="shared" ref="AL252" si="664">U252/U$238</f>
        <v>7.0631462509755695E-3</v>
      </c>
      <c r="AM252" s="1275">
        <f t="shared" si="564"/>
        <v>7.7324876443024323E-3</v>
      </c>
      <c r="AN252" s="1275">
        <f t="shared" si="569"/>
        <v>7.2585233841414958E-3</v>
      </c>
    </row>
    <row r="253" spans="5:41" hidden="1" outlineLevel="1" x14ac:dyDescent="0.3">
      <c r="E253" s="1264" t="s">
        <v>190</v>
      </c>
      <c r="F253" s="1319">
        <f t="shared" si="565"/>
        <v>0.45599294751391695</v>
      </c>
      <c r="G253" s="646">
        <f>SUMPRODUCT('EE Measures'!$AM$8:$AM$40,'EE Measures'!HF$8:HF$40)+G246</f>
        <v>5.1272325563402936E-2</v>
      </c>
      <c r="H253" s="646">
        <f>SUMPRODUCT('EE Measures'!$AM$8:$AM$40,'EE Measures'!HG$8:HG$40)+H246</f>
        <v>5.6176952637087378E-2</v>
      </c>
      <c r="I253" s="646">
        <f>SUMPRODUCT('EE Measures'!$AM$8:$AM$40,'EE Measures'!HH$8:HH$40)+I246</f>
        <v>5.1047637644940996E-2</v>
      </c>
      <c r="J253" s="646">
        <f>SUMPRODUCT('EE Measures'!$AM$8:$AM$40,'EE Measures'!HI$8:HI$40)+J246</f>
        <v>4.665391500565004E-2</v>
      </c>
      <c r="K253" s="646">
        <f>SUMPRODUCT('EE Measures'!$AM$8:$AM$40,'EE Measures'!HJ$8:HJ$40)+K246</f>
        <v>4.6268109922658583E-2</v>
      </c>
      <c r="L253" s="646">
        <f>SUMPRODUCT('EE Measures'!$AM$8:$AM$40,'EE Measures'!HK$8:HK$40)+L246</f>
        <v>4.6804489964025232E-2</v>
      </c>
      <c r="M253" s="646">
        <f>SUMPRODUCT('EE Measures'!$AM$8:$AM$40,'EE Measures'!HL$8:HL$40)+M246</f>
        <v>3.874401482356564E-2</v>
      </c>
      <c r="N253" s="646">
        <f>SUMPRODUCT('EE Measures'!$AM$8:$AM$40,'EE Measures'!HM$8:HM$40)+N246</f>
        <v>3.920317473178684E-2</v>
      </c>
      <c r="O253" s="646">
        <f>SUMPRODUCT('EE Measures'!$AM$8:$AM$40,'EE Measures'!HN$8:HN$40)+O246</f>
        <v>3.9671919861987384E-2</v>
      </c>
      <c r="P253" s="646">
        <f>SUMPRODUCT('EE Measures'!$AM$8:$AM$40,'EE Measures'!HO$8:HO$40)+P246</f>
        <v>4.0150407358811924E-2</v>
      </c>
      <c r="Q253" s="646">
        <f>SUMPRODUCT('EE Measures'!$AM$8:$AM$40,'EE Measures'!HP$8:HP$40)+Q246</f>
        <v>4.0638797306162863E-2</v>
      </c>
      <c r="R253" s="646">
        <f>SUMPRODUCT('EE Measures'!$AM$8:$AM$40,'EE Measures'!HQ$8:HQ$40)+R246</f>
        <v>4.1137252780159637E-2</v>
      </c>
      <c r="S253" s="646">
        <f>SUMPRODUCT('EE Measures'!$AM$8:$AM$40,'EE Measures'!HR$8:HR$40)+S246</f>
        <v>4.1645939903088611E-2</v>
      </c>
      <c r="T253" s="646">
        <f>SUMPRODUCT('EE Measures'!$AM$8:$AM$40,'EE Measures'!HS$8:HS$40)+T246</f>
        <v>4.2165027898363565E-2</v>
      </c>
      <c r="U253" s="646">
        <f>SUMPRODUCT('EE Measures'!$AM$8:$AM$40,'EE Measures'!HT$8:HT$40)+U246</f>
        <v>4.2694689146514544E-2</v>
      </c>
      <c r="V253" s="1139">
        <f t="shared" si="566"/>
        <v>0.50577773870277487</v>
      </c>
      <c r="W253" s="1264" t="s">
        <v>190</v>
      </c>
      <c r="X253" s="1260">
        <f>G253/G$239</f>
        <v>1.0461425613837255E-2</v>
      </c>
      <c r="Y253" s="1260">
        <f>H253/H$239</f>
        <v>1.1462148532705316E-2</v>
      </c>
      <c r="Z253" s="1260">
        <f t="shared" ref="Z253" si="665">I253/I$239</f>
        <v>1.0299200099245683E-2</v>
      </c>
      <c r="AA253" s="1260">
        <f t="shared" ref="AA253" si="666">J253/J$239</f>
        <v>9.3062238422433885E-3</v>
      </c>
      <c r="AB253" s="1260">
        <f t="shared" ref="AB253" si="667">K253/K$239</f>
        <v>9.1235346029328798E-3</v>
      </c>
      <c r="AC253" s="1260">
        <f t="shared" ref="AC253" si="668">L253/L$239</f>
        <v>9.1222949764693754E-3</v>
      </c>
      <c r="AD253" s="1260">
        <f t="shared" ref="AD253" si="669">M253/M$239</f>
        <v>7.4655244533947587E-3</v>
      </c>
      <c r="AE253" s="1260">
        <f t="shared" ref="AE253" si="670">N253/N$239</f>
        <v>7.4674510624891692E-3</v>
      </c>
      <c r="AF253" s="1260">
        <f t="shared" ref="AF253" si="671">O253/O$239</f>
        <v>7.4694170204111761E-3</v>
      </c>
      <c r="AG253" s="1260">
        <f t="shared" ref="AG253" si="672">P253/P$239</f>
        <v>7.4714214798751481E-3</v>
      </c>
      <c r="AH253" s="1260">
        <f t="shared" ref="AH253" si="673">Q253/Q$239</f>
        <v>7.4734635933802699E-3</v>
      </c>
      <c r="AI253" s="1260">
        <f t="shared" ref="AI253" si="674">R253/R$239</f>
        <v>7.4755425139843403E-3</v>
      </c>
      <c r="AJ253" s="1260">
        <f t="shared" ref="AJ253" si="675">S253/S$239</f>
        <v>7.4776573960510804E-3</v>
      </c>
      <c r="AK253" s="1260">
        <f t="shared" ref="AK253" si="676">T253/T$239</f>
        <v>7.4798073959707022E-3</v>
      </c>
      <c r="AL253" s="1260">
        <f t="shared" ref="AL253" si="677">U253/U$239</f>
        <v>7.4819916728531641E-3</v>
      </c>
      <c r="AM253" s="1275">
        <f t="shared" si="564"/>
        <v>8.9648641683604154E-3</v>
      </c>
      <c r="AN253" s="1275">
        <f t="shared" si="569"/>
        <v>7.9011941675046216E-3</v>
      </c>
    </row>
    <row r="254" spans="5:41" hidden="1" outlineLevel="1" x14ac:dyDescent="0.3">
      <c r="E254" s="1234" t="s">
        <v>417</v>
      </c>
      <c r="F254" s="1319">
        <f t="shared" si="565"/>
        <v>1.2390200816570287</v>
      </c>
      <c r="G254" s="952">
        <f>G250-G251</f>
        <v>0.12751415590821297</v>
      </c>
      <c r="H254" s="952">
        <f>H250-H251</f>
        <v>0.13052132398466604</v>
      </c>
      <c r="I254" s="952">
        <f t="shared" ref="I254:P254" si="678">I250-I251</f>
        <v>0.12213946486054383</v>
      </c>
      <c r="J254" s="952">
        <f t="shared" si="678"/>
        <v>0.1206910171519204</v>
      </c>
      <c r="K254" s="952">
        <f t="shared" si="678"/>
        <v>0.12090757974282637</v>
      </c>
      <c r="L254" s="952">
        <f t="shared" si="678"/>
        <v>0.12253682469563248</v>
      </c>
      <c r="M254" s="952">
        <f t="shared" si="678"/>
        <v>0.12114276563674878</v>
      </c>
      <c r="N254" s="952">
        <f t="shared" si="678"/>
        <v>0.12280832096515343</v>
      </c>
      <c r="O254" s="952">
        <f t="shared" si="678"/>
        <v>0.12451004126735285</v>
      </c>
      <c r="P254" s="952">
        <f t="shared" si="678"/>
        <v>0.1262485874439716</v>
      </c>
      <c r="Q254" s="952">
        <f t="shared" ref="Q254:U254" si="679">Q250-Q251</f>
        <v>0.12802463372486245</v>
      </c>
      <c r="R254" s="952">
        <f t="shared" si="679"/>
        <v>0.12983886793052721</v>
      </c>
      <c r="S254" s="952">
        <f t="shared" si="679"/>
        <v>0.1316919917387766</v>
      </c>
      <c r="T254" s="952">
        <f t="shared" si="679"/>
        <v>0.13358472095676005</v>
      </c>
      <c r="U254" s="952">
        <f t="shared" si="679"/>
        <v>0.13551778579844495</v>
      </c>
      <c r="V254" s="1139">
        <f t="shared" si="566"/>
        <v>1.517503137052977</v>
      </c>
      <c r="W254" s="1234" t="s">
        <v>417</v>
      </c>
      <c r="X254" s="1260">
        <f>G254/G$240</f>
        <v>7.742503599171423E-3</v>
      </c>
      <c r="Y254" s="1260">
        <f>H254/H$240</f>
        <v>7.9250951670598608E-3</v>
      </c>
      <c r="Z254" s="1260">
        <f t="shared" ref="Z254" si="680">I254/I$240</f>
        <v>7.2047547038365453E-3</v>
      </c>
      <c r="AA254" s="1260">
        <f t="shared" ref="AA254" si="681">J254/J$240</f>
        <v>7.031148157129785E-3</v>
      </c>
      <c r="AB254" s="1260">
        <f t="shared" ref="AB254" si="682">K254/K$240</f>
        <v>6.9558243069350757E-3</v>
      </c>
      <c r="AC254" s="1260">
        <f t="shared" ref="AC254" si="683">L254/L$240</f>
        <v>6.9608405998980959E-3</v>
      </c>
      <c r="AD254" s="1260">
        <f t="shared" ref="AD254" si="684">M254/M$240</f>
        <v>6.7946369188134964E-3</v>
      </c>
      <c r="AE254" s="1260">
        <f t="shared" ref="AE254" si="685">N254/N$240</f>
        <v>6.8003168016404743E-3</v>
      </c>
      <c r="AF254" s="1260">
        <f t="shared" ref="AF254" si="686">O254/O$240</f>
        <v>6.8060902772782636E-3</v>
      </c>
      <c r="AG254" s="1260">
        <f t="shared" ref="AG254" si="687">P254/P$240</f>
        <v>6.8119545941926415E-3</v>
      </c>
      <c r="AH254" s="1260">
        <f t="shared" ref="AH254" si="688">Q254/Q$240</f>
        <v>6.8179070154915705E-3</v>
      </c>
      <c r="AI254" s="1260">
        <f t="shared" ref="AI254" si="689">R254/R$240</f>
        <v>6.8239448207948429E-3</v>
      </c>
      <c r="AJ254" s="1260">
        <f t="shared" ref="AJ254" si="690">S254/S$240</f>
        <v>6.8300653080177508E-3</v>
      </c>
      <c r="AK254" s="1260">
        <f t="shared" ref="AK254" si="691">T254/T$240</f>
        <v>6.8362657950703466E-3</v>
      </c>
      <c r="AL254" s="1260">
        <f t="shared" ref="AL254" si="692">U254/U$240</f>
        <v>6.8425436214712672E-3</v>
      </c>
      <c r="AM254" s="1275">
        <f t="shared" si="564"/>
        <v>7.1033165125955668E-3</v>
      </c>
      <c r="AN254" s="1275">
        <f t="shared" si="569"/>
        <v>6.8592948513944681E-3</v>
      </c>
    </row>
    <row r="255" spans="5:41" hidden="1" outlineLevel="1" x14ac:dyDescent="0.3">
      <c r="E255" s="596" t="str">
        <f>'EE Measures'!$IG$6</f>
        <v>EEO</v>
      </c>
      <c r="F255" s="1319">
        <f t="shared" si="565"/>
        <v>34.811562709475261</v>
      </c>
      <c r="G255" s="1232">
        <f>SUM(G256:G257)</f>
        <v>0.60079300501896338</v>
      </c>
      <c r="H255" s="1232">
        <f>SUM(H256:H257)</f>
        <v>0.61712743509515233</v>
      </c>
      <c r="I255" s="1232">
        <f t="shared" ref="I255" si="693">SUM(I256:I257)</f>
        <v>0.6113515444080484</v>
      </c>
      <c r="J255" s="1232">
        <f t="shared" ref="J255" si="694">SUM(J256:J257)</f>
        <v>0.55460582895470334</v>
      </c>
      <c r="K255" s="1232">
        <f t="shared" ref="K255" si="695">SUM(K256:K257)</f>
        <v>5.5435864718987071</v>
      </c>
      <c r="L255" s="1232">
        <f t="shared" ref="L255" si="696">SUM(L256:L257)</f>
        <v>5.5369390187671872</v>
      </c>
      <c r="M255" s="1232">
        <f t="shared" ref="M255" si="697">SUM(M256:M257)</f>
        <v>5.3490446697366636</v>
      </c>
      <c r="N255" s="1232">
        <f t="shared" ref="N255" si="698">SUM(N256:N257)</f>
        <v>5.3406437339277542</v>
      </c>
      <c r="O255" s="1232">
        <f t="shared" ref="O255" si="699">SUM(O256:O257)</f>
        <v>5.3325902995269567</v>
      </c>
      <c r="P255" s="1232">
        <f t="shared" ref="P255:U255" si="700">SUM(P256:P257)</f>
        <v>5.3248807021411206</v>
      </c>
      <c r="Q255" s="1232">
        <f t="shared" si="700"/>
        <v>5.3175114024381323</v>
      </c>
      <c r="R255" s="1232">
        <f t="shared" si="700"/>
        <v>5.3104789846396585</v>
      </c>
      <c r="S255" s="1232">
        <f t="shared" si="700"/>
        <v>5.3037801550605241</v>
      </c>
      <c r="T255" s="1232">
        <f t="shared" si="700"/>
        <v>5.2974117406941517</v>
      </c>
      <c r="U255" s="1232">
        <f t="shared" si="700"/>
        <v>5.2940394971588374</v>
      </c>
      <c r="V255" s="1139">
        <f t="shared" si="566"/>
        <v>59.505512504944399</v>
      </c>
      <c r="W255" s="596" t="str">
        <f>'EE Measures'!$IG$6</f>
        <v>EEO</v>
      </c>
      <c r="X255" s="1274">
        <f>G255/G$234</f>
        <v>7.8478610805167957E-3</v>
      </c>
      <c r="Y255" s="1274">
        <f>H255/H$234</f>
        <v>7.9931762226932955E-3</v>
      </c>
      <c r="Z255" s="1274">
        <f t="shared" ref="Z255" si="701">I255/I$234</f>
        <v>7.7950662994783178E-3</v>
      </c>
      <c r="AA255" s="1274">
        <f t="shared" ref="AA255" si="702">J255/J$234</f>
        <v>6.9854982203620183E-3</v>
      </c>
      <c r="AB255" s="1274">
        <f t="shared" ref="AB255" si="703">K255/K$234</f>
        <v>6.8967434886680237E-2</v>
      </c>
      <c r="AC255" s="1274">
        <f t="shared" ref="AC255" si="704">L255/L$234</f>
        <v>6.803306273420219E-2</v>
      </c>
      <c r="AD255" s="1274">
        <f t="shared" ref="AD255" si="705">M255/M$234</f>
        <v>6.4952881841079974E-2</v>
      </c>
      <c r="AE255" s="1274">
        <f t="shared" ref="AE255" si="706">N255/N$234</f>
        <v>6.4085953364211592E-2</v>
      </c>
      <c r="AF255" s="1274">
        <f t="shared" ref="AF255" si="707">O255/O$234</f>
        <v>6.3230982081659226E-2</v>
      </c>
      <c r="AG255" s="1274">
        <f t="shared" ref="AG255" si="708">P255/P$234</f>
        <v>6.2387816200558388E-2</v>
      </c>
      <c r="AH255" s="1274">
        <f t="shared" ref="AH255" si="709">Q255/Q$234</f>
        <v>6.1556305676043074E-2</v>
      </c>
      <c r="AI255" s="1274">
        <f t="shared" ref="AI255" si="710">R255/R$234</f>
        <v>6.0736302190635381E-2</v>
      </c>
      <c r="AJ255" s="1274">
        <f t="shared" ref="AJ255" si="711">S255/S$234</f>
        <v>5.9927659134088124E-2</v>
      </c>
      <c r="AK255" s="1274">
        <f t="shared" ref="AK255" si="712">T255/T$234</f>
        <v>5.9130231583663533E-2</v>
      </c>
      <c r="AL255" s="1274">
        <f t="shared" ref="AL255" si="713">U255/U$234</f>
        <v>5.8373303193227755E-2</v>
      </c>
      <c r="AM255" s="1275">
        <f t="shared" si="564"/>
        <v>4.2227973293144205E-2</v>
      </c>
      <c r="AN255" s="1275">
        <f t="shared" si="569"/>
        <v>5.8197285925534296E-2</v>
      </c>
    </row>
    <row r="256" spans="5:41" hidden="1" outlineLevel="1" x14ac:dyDescent="0.3">
      <c r="E256" s="1234" t="s">
        <v>125</v>
      </c>
      <c r="F256" s="1319">
        <f t="shared" si="565"/>
        <v>19.668586899598086</v>
      </c>
      <c r="G256" s="952">
        <f>SUMPRODUCT('EE Measures'!HF$42:HF$86,'EE Measures'!$AJ$42:$AJ$86,'EE Measures'!$IG$42:$IG$86)+G$249</f>
        <v>0.41008533501896333</v>
      </c>
      <c r="H256" s="952">
        <f>SUMPRODUCT('EE Measures'!HG$42:HG$86,'EE Measures'!$AJ$42:$AJ$86,'EE Measures'!$IG$42:$IG$86)+H$249</f>
        <v>0.41782526509515228</v>
      </c>
      <c r="I256" s="952">
        <f>SUMPRODUCT('EE Measures'!HH$42:HH$86,'EE Measures'!$AJ$42:$AJ$86,'EE Measures'!$IG$42:$IG$86)+I$249</f>
        <v>0.42596329081169204</v>
      </c>
      <c r="J256" s="952">
        <f>SUMPRODUCT('EE Measures'!HI$42:HI$86,'EE Measures'!$AJ$42:$AJ$86,'EE Measures'!$IG$42:$IG$86)+J$249</f>
        <v>0.3756005533995766</v>
      </c>
      <c r="K256" s="952">
        <f>SUMPRODUCT('EE Measures'!HJ$42:HJ$86,'EE Measures'!$AJ$42:$AJ$86,'EE Measures'!$IG$42:$IG$86)+K$249</f>
        <v>3.1197380655758793</v>
      </c>
      <c r="L256" s="952">
        <f>SUMPRODUCT('EE Measures'!HK$42:HK$86,'EE Measures'!$AJ$42:$AJ$86,'EE Measures'!$IG$42:$IG$86)+L$249</f>
        <v>3.1201880681780261</v>
      </c>
      <c r="M256" s="952">
        <f>SUMPRODUCT('EE Measures'!HL$42:HL$86,'EE Measures'!$AJ$42:$AJ$86,'EE Measures'!$IG$42:$IG$86)+M$249</f>
        <v>2.9521049821215812</v>
      </c>
      <c r="N256" s="952">
        <f>SUMPRODUCT('EE Measures'!HM$42:HM$86,'EE Measures'!$AJ$42:$AJ$86,'EE Measures'!$IG$42:$IG$86)+N$249</f>
        <v>2.9504853265622084</v>
      </c>
      <c r="O256" s="952">
        <f>SUMPRODUCT('EE Measures'!HN$42:HN$86,'EE Measures'!$AJ$42:$AJ$86,'EE Measures'!$IG$42:$IG$86)+O$249</f>
        <v>2.9489870172317763</v>
      </c>
      <c r="P256" s="952">
        <f>SUMPRODUCT('EE Measures'!HO$42:HO$86,'EE Measures'!$AJ$42:$AJ$86,'EE Measures'!$IG$42:$IG$86)+P$249</f>
        <v>2.9476089956032299</v>
      </c>
      <c r="Q256" s="952">
        <f>SUMPRODUCT('EE Measures'!HP$42:HP$86,'EE Measures'!$AJ$42:$AJ$86,'EE Measures'!$IG$42:$IG$86)+Q$249</f>
        <v>2.9463502426707926</v>
      </c>
      <c r="R256" s="952">
        <f>SUMPRODUCT('EE Measures'!HQ$42:HQ$86,'EE Measures'!$AJ$42:$AJ$86,'EE Measures'!$IG$42:$IG$86)+R$249</f>
        <v>2.9452097784446578</v>
      </c>
      <c r="S256" s="952">
        <f>SUMPRODUCT('EE Measures'!HR$42:HR$86,'EE Measures'!$AJ$42:$AJ$86,'EE Measures'!$IG$42:$IG$86)+S$249</f>
        <v>2.9441866614594421</v>
      </c>
      <c r="T256" s="952">
        <f>SUMPRODUCT('EE Measures'!HS$42:HS$86,'EE Measures'!$AJ$42:$AJ$86,'EE Measures'!$IG$42:$IG$86)+T$249</f>
        <v>2.9432799882962013</v>
      </c>
      <c r="U256" s="952">
        <f>SUMPRODUCT('EE Measures'!HT$42:HT$86,'EE Measures'!$AJ$42:$AJ$86,'EE Measures'!$IG$42:$IG$86)+U$249</f>
        <v>2.9416336007443995</v>
      </c>
      <c r="V256" s="1139">
        <f t="shared" si="566"/>
        <v>33.135373280287766</v>
      </c>
      <c r="W256" s="1234" t="s">
        <v>125</v>
      </c>
      <c r="X256" s="1260">
        <f>G256/G$235</f>
        <v>7.6294946050039685E-3</v>
      </c>
      <c r="Y256" s="1260">
        <f>H256/H$235</f>
        <v>7.6803595318662267E-3</v>
      </c>
      <c r="Z256" s="1260">
        <f t="shared" ref="Z256" si="714">I256/I$235</f>
        <v>7.7353738056807324E-3</v>
      </c>
      <c r="AA256" s="1260">
        <f t="shared" ref="AA256" si="715">J256/J$235</f>
        <v>6.7377546446663883E-3</v>
      </c>
      <c r="AB256" s="1260">
        <f t="shared" ref="AB256" si="716">K256/K$235</f>
        <v>5.5277080227473178E-2</v>
      </c>
      <c r="AC256" s="1260">
        <f t="shared" ref="AC256" si="717">L256/L$235</f>
        <v>5.4601488938196066E-2</v>
      </c>
      <c r="AD256" s="1260">
        <f t="shared" ref="AD256" si="718">M256/M$235</f>
        <v>5.1067170688970424E-2</v>
      </c>
      <c r="AE256" s="1260">
        <f t="shared" ref="AE256" si="719">N256/N$235</f>
        <v>5.0451283105853867E-2</v>
      </c>
      <c r="AF256" s="1260">
        <f t="shared" ref="AF256" si="720">O256/O$235</f>
        <v>4.9842873607622108E-2</v>
      </c>
      <c r="AG256" s="1260">
        <f t="shared" ref="AG256" si="721">P256/P$235</f>
        <v>4.9241861603276961E-2</v>
      </c>
      <c r="AH256" s="1260">
        <f t="shared" ref="AH256" si="722">Q256/Q$235</f>
        <v>4.8648167307183625E-2</v>
      </c>
      <c r="AI256" s="1260">
        <f t="shared" ref="AI256" si="723">R256/R$235</f>
        <v>4.8061711724259132E-2</v>
      </c>
      <c r="AJ256" s="1260">
        <f t="shared" ref="AJ256" si="724">S256/S$235</f>
        <v>4.7482416635808787E-2</v>
      </c>
      <c r="AK256" s="1260">
        <f t="shared" ref="AK256" si="725">T256/T$235</f>
        <v>4.6910204585985424E-2</v>
      </c>
      <c r="AL256" s="1260">
        <f t="shared" ref="AL256" si="726">U256/U$235</f>
        <v>4.6331527781778147E-2</v>
      </c>
      <c r="AM256" s="1275">
        <f t="shared" si="564"/>
        <v>3.4026474075860999E-2</v>
      </c>
      <c r="AN256" s="1275">
        <f t="shared" si="569"/>
        <v>4.6221128404256177E-2</v>
      </c>
    </row>
    <row r="257" spans="5:40" hidden="1" outlineLevel="1" x14ac:dyDescent="0.3">
      <c r="E257" s="1234" t="s">
        <v>414</v>
      </c>
      <c r="F257" s="1319">
        <f t="shared" si="565"/>
        <v>15.142975809877171</v>
      </c>
      <c r="G257" s="646">
        <f>SUMPRODUCT('EE Measures'!HF$42:HF$86,'EE Measures'!$P$42:$P$86,'EE Measures'!$IG$42:$IG$86)+G$250</f>
        <v>0.19070767</v>
      </c>
      <c r="H257" s="646">
        <f>SUMPRODUCT('EE Measures'!HG$42:HG$86,'EE Measures'!$P$42:$P$86,'EE Measures'!$IG$42:$IG$86)+H$250</f>
        <v>0.19930217</v>
      </c>
      <c r="I257" s="646">
        <f>SUMPRODUCT('EE Measures'!HH$42:HH$86,'EE Measures'!$P$42:$P$86,'EE Measures'!$IG$42:$IG$86)+I$250</f>
        <v>0.18538825359635636</v>
      </c>
      <c r="J257" s="646">
        <f>SUMPRODUCT('EE Measures'!HI$42:HI$86,'EE Measures'!$P$42:$P$86,'EE Measures'!$IG$42:$IG$86)+J$250</f>
        <v>0.17900527555512674</v>
      </c>
      <c r="K257" s="646">
        <f>SUMPRODUCT('EE Measures'!HJ$42:HJ$86,'EE Measures'!$P$42:$P$86,'EE Measures'!$IG$42:$IG$86)+K$250</f>
        <v>2.4238484063228278</v>
      </c>
      <c r="L257" s="646">
        <f>SUMPRODUCT('EE Measures'!HK$42:HK$86,'EE Measures'!$P$42:$P$86,'EE Measures'!$IG$42:$IG$86)+L$250</f>
        <v>2.4167509505891611</v>
      </c>
      <c r="M257" s="646">
        <f>SUMPRODUCT('EE Measures'!HL$42:HL$86,'EE Measures'!$P$42:$P$86,'EE Measures'!$IG$42:$IG$86)+M$250</f>
        <v>2.3969396876150828</v>
      </c>
      <c r="N257" s="646">
        <f>SUMPRODUCT('EE Measures'!HM$42:HM$86,'EE Measures'!$P$42:$P$86,'EE Measures'!$IG$42:$IG$86)+N$250</f>
        <v>2.3901584073655462</v>
      </c>
      <c r="O257" s="646">
        <f>SUMPRODUCT('EE Measures'!HN$42:HN$86,'EE Measures'!$P$42:$P$86,'EE Measures'!$IG$42:$IG$86)+O$250</f>
        <v>2.3836032822951805</v>
      </c>
      <c r="P257" s="646">
        <f>SUMPRODUCT('EE Measures'!HO$42:HO$86,'EE Measures'!$P$42:$P$86,'EE Measures'!$IG$42:$IG$86)+P$250</f>
        <v>2.3772717065378908</v>
      </c>
      <c r="Q257" s="646">
        <f>SUMPRODUCT('EE Measures'!HP$42:HP$86,'EE Measures'!$P$42:$P$86,'EE Measures'!$IG$42:$IG$86)+Q$250</f>
        <v>2.3711611597673392</v>
      </c>
      <c r="R257" s="646">
        <f>SUMPRODUCT('EE Measures'!HQ$42:HQ$86,'EE Measures'!$P$42:$P$86,'EE Measures'!$IG$42:$IG$86)+R$250</f>
        <v>2.3652692061950011</v>
      </c>
      <c r="S257" s="646">
        <f>SUMPRODUCT('EE Measures'!HR$42:HR$86,'EE Measures'!$P$42:$P$86,'EE Measures'!$IG$42:$IG$86)+S$250</f>
        <v>2.3595934936010825</v>
      </c>
      <c r="T257" s="646">
        <f>SUMPRODUCT('EE Measures'!HS$42:HS$86,'EE Measures'!$P$42:$P$86,'EE Measures'!$IG$42:$IG$86)+T$250</f>
        <v>2.3541317523979504</v>
      </c>
      <c r="U257" s="646">
        <f>SUMPRODUCT('EE Measures'!HT$42:HT$86,'EE Measures'!$P$42:$P$86,'EE Measures'!$IG$42:$IG$86)+U$250</f>
        <v>2.3524058964144379</v>
      </c>
      <c r="V257" s="1139">
        <f t="shared" si="566"/>
        <v>26.370139224656629</v>
      </c>
      <c r="W257" s="1234" t="s">
        <v>414</v>
      </c>
      <c r="X257" s="1260">
        <f>G257/G$236</f>
        <v>8.3625376014032013E-3</v>
      </c>
      <c r="Y257" s="1260">
        <f>H257/H$236</f>
        <v>8.7394067090550316E-3</v>
      </c>
      <c r="Z257" s="1260">
        <f t="shared" ref="Z257" si="727">I257/I$236</f>
        <v>7.9357739350867634E-3</v>
      </c>
      <c r="AA257" s="1260">
        <f t="shared" ref="AA257" si="728">J257/J$236</f>
        <v>7.5695009109408833E-3</v>
      </c>
      <c r="AB257" s="1260">
        <f t="shared" ref="AB257" si="729">K257/K$236</f>
        <v>0.10124010167682553</v>
      </c>
      <c r="AC257" s="1260">
        <f t="shared" ref="AC257" si="730">L257/L$236</f>
        <v>9.969576751404588E-2</v>
      </c>
      <c r="AD257" s="1260">
        <f t="shared" ref="AD257" si="731">M257/M$236</f>
        <v>9.7657221548934983E-2</v>
      </c>
      <c r="AE257" s="1260">
        <f t="shared" ref="AE257" si="732">N257/N$236</f>
        <v>9.6168855380845325E-2</v>
      </c>
      <c r="AF257" s="1260">
        <f t="shared" ref="AF257" si="733">O257/O$236</f>
        <v>9.4702368582198548E-2</v>
      </c>
      <c r="AG257" s="1260">
        <f t="shared" ref="AG257" si="734">P257/P$236</f>
        <v>9.3257532344166616E-2</v>
      </c>
      <c r="AH257" s="1260">
        <f t="shared" ref="AH257" si="735">Q257/Q$236</f>
        <v>9.1834117364252288E-2</v>
      </c>
      <c r="AI257" s="1260">
        <f t="shared" ref="AI257" si="736">R257/R$236</f>
        <v>9.0431893933291402E-2</v>
      </c>
      <c r="AJ257" s="1260">
        <f t="shared" ref="AJ257" si="737">S257/S$236</f>
        <v>8.9050632022514467E-2</v>
      </c>
      <c r="AK257" s="1260">
        <f t="shared" ref="AK257" si="738">T257/T$236</f>
        <v>8.7690101370465387E-2</v>
      </c>
      <c r="AL257" s="1260">
        <f t="shared" ref="AL257" si="739">U257/U$236</f>
        <v>8.6479625314573469E-2</v>
      </c>
      <c r="AM257" s="1275">
        <f t="shared" si="564"/>
        <v>6.153290662035029E-2</v>
      </c>
      <c r="AN257" s="1275">
        <f t="shared" si="569"/>
        <v>8.631480983025458E-2</v>
      </c>
    </row>
    <row r="258" spans="5:40" hidden="1" outlineLevel="1" x14ac:dyDescent="0.3">
      <c r="E258" s="1234" t="s">
        <v>415</v>
      </c>
      <c r="F258" s="1319">
        <f t="shared" si="565"/>
        <v>4.3478863532488798</v>
      </c>
      <c r="G258" s="1237">
        <f>SUM(G259:G260)</f>
        <v>6.3193514091787042E-2</v>
      </c>
      <c r="H258" s="1237">
        <f>SUM(H259:H260)</f>
        <v>6.8780846015333963E-2</v>
      </c>
      <c r="I258" s="1237">
        <f t="shared" ref="I258" si="740">SUM(I259:I260)</f>
        <v>6.3248788735812522E-2</v>
      </c>
      <c r="J258" s="1237">
        <f t="shared" ref="J258" si="741">SUM(J259:J260)</f>
        <v>5.8314258403206337E-2</v>
      </c>
      <c r="K258" s="1237">
        <f t="shared" ref="K258" si="742">SUM(K259:K260)</f>
        <v>0.68841906493968541</v>
      </c>
      <c r="L258" s="1237">
        <f t="shared" ref="L258" si="743">SUM(L259:L260)</f>
        <v>0.68866082569818887</v>
      </c>
      <c r="M258" s="1237">
        <f t="shared" ref="M258" si="744">SUM(M259:M260)</f>
        <v>0.67903623104277444</v>
      </c>
      <c r="N258" s="1237">
        <f t="shared" ref="N258" si="745">SUM(N259:N260)</f>
        <v>0.67920960062148139</v>
      </c>
      <c r="O258" s="1237">
        <f t="shared" ref="O258" si="746">SUM(O259:O260)</f>
        <v>0.67940393677504118</v>
      </c>
      <c r="P258" s="1237">
        <f t="shared" ref="P258:U258" si="747">SUM(P259:P260)</f>
        <v>0.67961928692556883</v>
      </c>
      <c r="Q258" s="1237">
        <f t="shared" si="747"/>
        <v>0.67985570572161336</v>
      </c>
      <c r="R258" s="1237">
        <f t="shared" si="747"/>
        <v>0.68011325504898978</v>
      </c>
      <c r="S258" s="1237">
        <f t="shared" si="747"/>
        <v>0.68039200404425237</v>
      </c>
      <c r="T258" s="1237">
        <f t="shared" si="747"/>
        <v>0.68069202911081339</v>
      </c>
      <c r="U258" s="1237">
        <f t="shared" si="747"/>
        <v>0.68138435027565158</v>
      </c>
      <c r="V258" s="1139">
        <f t="shared" si="566"/>
        <v>7.5551005486072675</v>
      </c>
      <c r="W258" s="1234" t="s">
        <v>415</v>
      </c>
      <c r="X258" s="1260">
        <f>G258/G$237</f>
        <v>9.9743061586640251E-3</v>
      </c>
      <c r="Y258" s="1260">
        <f>H258/H$237</f>
        <v>1.0856196650377906E-2</v>
      </c>
      <c r="Z258" s="1260">
        <f t="shared" ref="Z258" si="748">I258/I$237</f>
        <v>9.8695753303797672E-3</v>
      </c>
      <c r="AA258" s="1260">
        <f t="shared" ref="AA258" si="749">J258/J$237</f>
        <v>8.9949028964827083E-3</v>
      </c>
      <c r="AB258" s="1260">
        <f t="shared" ref="AB258" si="750">K258/K$237</f>
        <v>0.10495190072340002</v>
      </c>
      <c r="AC258" s="1260">
        <f t="shared" ref="AC258" si="751">L258/L$237</f>
        <v>0.10375273421653454</v>
      </c>
      <c r="AD258" s="1260">
        <f t="shared" ref="AD258" si="752">M258/M$237</f>
        <v>0.1011186242900959</v>
      </c>
      <c r="AE258" s="1260">
        <f t="shared" ref="AE258" si="753">N258/N$237</f>
        <v>9.996370615592251E-2</v>
      </c>
      <c r="AF258" s="1260">
        <f t="shared" ref="AF258" si="754">O258/O$237</f>
        <v>9.8815203211955832E-2</v>
      </c>
      <c r="AG258" s="1260">
        <f t="shared" ref="AG258" si="755">P258/P$237</f>
        <v>9.7673326952179784E-2</v>
      </c>
      <c r="AH258" s="1260">
        <f t="shared" ref="AH258" si="756">Q258/Q$237</f>
        <v>9.6538281277530849E-2</v>
      </c>
      <c r="AI258" s="1260">
        <f t="shared" ref="AI258" si="757">R258/R$237</f>
        <v>9.5410262483773864E-2</v>
      </c>
      <c r="AJ258" s="1260">
        <f t="shared" ref="AJ258" si="758">S258/S$237</f>
        <v>9.4289459261006167E-2</v>
      </c>
      <c r="AK258" s="1260">
        <f t="shared" ref="AK258" si="759">T258/T$237</f>
        <v>9.317605270434072E-2</v>
      </c>
      <c r="AL258" s="1260">
        <f t="shared" ref="AL258" si="760">U258/U$237</f>
        <v>9.2120365404596449E-2</v>
      </c>
      <c r="AM258" s="1275">
        <f t="shared" si="564"/>
        <v>6.4597047658599291E-2</v>
      </c>
      <c r="AN258" s="1275">
        <f t="shared" si="569"/>
        <v>9.0567068298151601E-2</v>
      </c>
    </row>
    <row r="259" spans="5:40" hidden="1" outlineLevel="1" x14ac:dyDescent="0.3">
      <c r="E259" s="1264" t="s">
        <v>416</v>
      </c>
      <c r="F259" s="1319">
        <f t="shared" si="565"/>
        <v>0.86683063864333521</v>
      </c>
      <c r="G259" s="646">
        <f>SUMPRODUCT('EE Measures'!HF$42:HF$86,'EE Measures'!$AL$42:$AL$86,'EE Measures'!$IG$42:$IG$86)+G$252</f>
        <v>1.192118852838411E-2</v>
      </c>
      <c r="H259" s="646">
        <f>SUMPRODUCT('EE Measures'!HG$42:HG$86,'EE Measures'!$AL$42:$AL$86,'EE Measures'!$IG$42:$IG$86)+H$252</f>
        <v>1.2603893378246578E-2</v>
      </c>
      <c r="I259" s="646">
        <f>SUMPRODUCT('EE Measures'!HH$42:HH$86,'EE Measures'!$AL$42:$AL$86,'EE Measures'!$IG$42:$IG$86)+I$252</f>
        <v>1.2201151090871521E-2</v>
      </c>
      <c r="J259" s="646">
        <f>SUMPRODUCT('EE Measures'!HI$42:HI$86,'EE Measures'!$AL$42:$AL$86,'EE Measures'!$IG$42:$IG$86)+J$252</f>
        <v>1.1660343397556297E-2</v>
      </c>
      <c r="K259" s="646">
        <f>SUMPRODUCT('EE Measures'!HJ$42:HJ$86,'EE Measures'!$AL$42:$AL$86,'EE Measures'!$IG$42:$IG$86)+K$252</f>
        <v>0.1371320286661738</v>
      </c>
      <c r="L259" s="646">
        <f>SUMPRODUCT('EE Measures'!HK$42:HK$86,'EE Measures'!$AL$42:$AL$86,'EE Measures'!$IG$42:$IG$86)+L$252</f>
        <v>0.13718303284962982</v>
      </c>
      <c r="M259" s="646">
        <f>SUMPRODUCT('EE Measures'!HL$42:HL$86,'EE Measures'!$AL$42:$AL$86,'EE Measures'!$IG$42:$IG$86)+M$252</f>
        <v>0.13595775987028202</v>
      </c>
      <c r="N259" s="646">
        <f>SUMPRODUCT('EE Measures'!HM$42:HM$86,'EE Measures'!$AL$42:$AL$86,'EE Measures'!$IG$42:$IG$86)+N$252</f>
        <v>0.13600417202665693</v>
      </c>
      <c r="O259" s="646">
        <f>SUMPRODUCT('EE Measures'!HN$42:HN$86,'EE Measures'!$AL$42:$AL$86,'EE Measures'!$IG$42:$IG$86)+O$252</f>
        <v>0.13605545176167233</v>
      </c>
      <c r="P259" s="646">
        <f>SUMPRODUCT('EE Measures'!HO$42:HO$86,'EE Measures'!$AL$42:$AL$86,'EE Measures'!$IG$42:$IG$86)+P$252</f>
        <v>0.1361116170738618</v>
      </c>
      <c r="Q259" s="646">
        <f>SUMPRODUCT('EE Measures'!HP$42:HP$86,'EE Measures'!$AL$42:$AL$86,'EE Measures'!$IG$42:$IG$86)+Q$252</f>
        <v>0.13617268774460078</v>
      </c>
      <c r="R259" s="646">
        <f>SUMPRODUCT('EE Measures'!HQ$42:HQ$86,'EE Measures'!$AL$42:$AL$86,'EE Measures'!$IG$42:$IG$86)+R$252</f>
        <v>0.13623868534508377</v>
      </c>
      <c r="S259" s="646">
        <f>SUMPRODUCT('EE Measures'!HR$42:HR$86,'EE Measures'!$AL$42:$AL$86,'EE Measures'!$IG$42:$IG$86)+S$252</f>
        <v>0.13630963324398937</v>
      </c>
      <c r="T259" s="646">
        <f>SUMPRODUCT('EE Measures'!HS$42:HS$86,'EE Measures'!$AL$42:$AL$86,'EE Measures'!$IG$42:$IG$86)+T$252</f>
        <v>0.13638555661583635</v>
      </c>
      <c r="U259" s="646">
        <f>SUMPRODUCT('EE Measures'!HT$42:HT$86,'EE Measures'!$AL$42:$AL$86,'EE Measures'!$IG$42:$IG$86)+U$252</f>
        <v>0.13654821653252341</v>
      </c>
      <c r="V259" s="1139">
        <f t="shared" si="566"/>
        <v>1.5117591851278664</v>
      </c>
      <c r="W259" s="1264" t="s">
        <v>416</v>
      </c>
      <c r="X259" s="1260">
        <f>G259/G$238</f>
        <v>8.3100770480490586E-3</v>
      </c>
      <c r="Y259" s="1260">
        <f>H259/H$238</f>
        <v>8.7859800916026271E-3</v>
      </c>
      <c r="Z259" s="1260">
        <f t="shared" ref="Z259" si="761">I259/I$238</f>
        <v>8.4030268896506735E-3</v>
      </c>
      <c r="AA259" s="1260">
        <f t="shared" ref="AA259" si="762">J259/J$238</f>
        <v>7.9330770935264645E-3</v>
      </c>
      <c r="AB259" s="1260">
        <f t="shared" ref="AB259" si="763">K259/K$238</f>
        <v>9.2153381109680924E-2</v>
      </c>
      <c r="AC259" s="1260">
        <f t="shared" ref="AC259" si="764">L259/L$238</f>
        <v>9.1046276203295848E-2</v>
      </c>
      <c r="AD259" s="1260">
        <f t="shared" ref="AD259" si="765">M259/M$238</f>
        <v>8.9122269085604361E-2</v>
      </c>
      <c r="AE259" s="1260">
        <f t="shared" ref="AE259" si="766">N259/N$238</f>
        <v>8.8046351069365703E-2</v>
      </c>
      <c r="AF259" s="1260">
        <f t="shared" ref="AF259" si="767">O259/O$238</f>
        <v>8.6977911225703503E-2</v>
      </c>
      <c r="AG259" s="1260">
        <f t="shared" ref="AG259" si="768">P259/P$238</f>
        <v>8.5917109699942137E-2</v>
      </c>
      <c r="AH259" s="1260">
        <f t="shared" ref="AH259" si="769">Q259/Q$238</f>
        <v>8.4864099568394386E-2</v>
      </c>
      <c r="AI259" s="1260">
        <f t="shared" ref="AI259" si="770">R259/R$238</f>
        <v>8.3819026866468166E-2</v>
      </c>
      <c r="AJ259" s="1260">
        <f t="shared" ref="AJ259" si="771">S259/S$238</f>
        <v>8.2782030626122272E-2</v>
      </c>
      <c r="AK259" s="1260">
        <f t="shared" ref="AK259" si="772">T259/T$238</f>
        <v>8.175324292222598E-2</v>
      </c>
      <c r="AL259" s="1260">
        <f t="shared" ref="AL259" si="773">U259/U$238</f>
        <v>8.0781142342158829E-2</v>
      </c>
      <c r="AM259" s="1275">
        <f t="shared" si="564"/>
        <v>5.6669545951642128E-2</v>
      </c>
      <c r="AN259" s="1275">
        <f t="shared" si="569"/>
        <v>7.9599659817707377E-2</v>
      </c>
    </row>
    <row r="260" spans="5:40" hidden="1" outlineLevel="1" x14ac:dyDescent="0.3">
      <c r="E260" s="1264" t="s">
        <v>190</v>
      </c>
      <c r="F260" s="1319">
        <f t="shared" si="565"/>
        <v>3.481055714605545</v>
      </c>
      <c r="G260" s="646">
        <f>SUMPRODUCT('EE Measures'!HF$42:HF$86,'EE Measures'!$AM$42:$AM$86,'EE Measures'!$IG$42:$IG$86)+G$253</f>
        <v>5.1272325563402936E-2</v>
      </c>
      <c r="H260" s="646">
        <f>SUMPRODUCT('EE Measures'!HG$42:HG$86,'EE Measures'!$AM$42:$AM$86,'EE Measures'!$IG$42:$IG$86)+H$253</f>
        <v>5.6176952637087378E-2</v>
      </c>
      <c r="I260" s="646">
        <f>SUMPRODUCT('EE Measures'!HH$42:HH$86,'EE Measures'!$AM$42:$AM$86,'EE Measures'!$IG$42:$IG$86)+I$253</f>
        <v>5.1047637644940996E-2</v>
      </c>
      <c r="J260" s="646">
        <f>SUMPRODUCT('EE Measures'!HI$42:HI$86,'EE Measures'!$AM$42:$AM$86,'EE Measures'!$IG$42:$IG$86)+J$253</f>
        <v>4.665391500565004E-2</v>
      </c>
      <c r="K260" s="646">
        <f>SUMPRODUCT('EE Measures'!HJ$42:HJ$86,'EE Measures'!$AM$42:$AM$86,'EE Measures'!$IG$42:$IG$86)+K$253</f>
        <v>0.55128703627351161</v>
      </c>
      <c r="L260" s="646">
        <f>SUMPRODUCT('EE Measures'!HK$42:HK$86,'EE Measures'!$AM$42:$AM$86,'EE Measures'!$IG$42:$IG$86)+L$253</f>
        <v>0.55147779284855902</v>
      </c>
      <c r="M260" s="646">
        <f>SUMPRODUCT('EE Measures'!HL$42:HL$86,'EE Measures'!$AM$42:$AM$86,'EE Measures'!$IG$42:$IG$86)+M$253</f>
        <v>0.54307847117249242</v>
      </c>
      <c r="N260" s="646">
        <f>SUMPRODUCT('EE Measures'!HM$42:HM$86,'EE Measures'!$AM$42:$AM$86,'EE Measures'!$IG$42:$IG$86)+N$253</f>
        <v>0.54320542859482446</v>
      </c>
      <c r="O260" s="646">
        <f>SUMPRODUCT('EE Measures'!HN$42:HN$86,'EE Measures'!$AM$42:$AM$86,'EE Measures'!$IG$42:$IG$86)+O$253</f>
        <v>0.54334848501336885</v>
      </c>
      <c r="P260" s="646">
        <f>SUMPRODUCT('EE Measures'!HO$42:HO$86,'EE Measures'!$AM$42:$AM$86,'EE Measures'!$IG$42:$IG$86)+P$253</f>
        <v>0.54350766985170706</v>
      </c>
      <c r="Q260" s="646">
        <f>SUMPRODUCT('EE Measures'!HP$42:HP$86,'EE Measures'!$AM$42:$AM$86,'EE Measures'!$IG$42:$IG$86)+Q$253</f>
        <v>0.54368301797701257</v>
      </c>
      <c r="R260" s="646">
        <f>SUMPRODUCT('EE Measures'!HQ$42:HQ$86,'EE Measures'!$AM$42:$AM$86,'EE Measures'!$IG$42:$IG$86)+R$253</f>
        <v>0.54387456970390602</v>
      </c>
      <c r="S260" s="646">
        <f>SUMPRODUCT('EE Measures'!HR$42:HR$86,'EE Measures'!$AM$42:$AM$86,'EE Measures'!$IG$42:$IG$86)+S$253</f>
        <v>0.544082370800263</v>
      </c>
      <c r="T260" s="646">
        <f>SUMPRODUCT('EE Measures'!HS$42:HS$86,'EE Measures'!$AM$42:$AM$86,'EE Measures'!$IG$42:$IG$86)+T$253</f>
        <v>0.5443064724949771</v>
      </c>
      <c r="U260" s="646">
        <f>SUMPRODUCT('EE Measures'!HT$42:HT$86,'EE Measures'!$AM$42:$AM$86,'EE Measures'!$IG$42:$IG$86)+U$253</f>
        <v>0.54483613374312811</v>
      </c>
      <c r="V260" s="1139">
        <f t="shared" si="566"/>
        <v>6.0433413634794002</v>
      </c>
      <c r="W260" s="1264" t="s">
        <v>190</v>
      </c>
      <c r="X260" s="1260">
        <f>G260/G$239</f>
        <v>1.0461425613837255E-2</v>
      </c>
      <c r="Y260" s="1260">
        <f>H260/H$239</f>
        <v>1.1462148532705316E-2</v>
      </c>
      <c r="Z260" s="1260">
        <f t="shared" ref="Z260" si="774">I260/I$239</f>
        <v>1.0299200099245683E-2</v>
      </c>
      <c r="AA260" s="1260">
        <f t="shared" ref="AA260" si="775">J260/J$239</f>
        <v>9.3062238422433885E-3</v>
      </c>
      <c r="AB260" s="1260">
        <f t="shared" ref="AB260" si="776">K260/K$239</f>
        <v>0.10870740905555212</v>
      </c>
      <c r="AC260" s="1260">
        <f t="shared" ref="AC260" si="777">L260/L$239</f>
        <v>0.10748419869981593</v>
      </c>
      <c r="AD260" s="1260">
        <f t="shared" ref="AD260" si="778">M260/M$239</f>
        <v>0.10464495290726704</v>
      </c>
      <c r="AE260" s="1260">
        <f t="shared" ref="AE260" si="779">N260/N$239</f>
        <v>0.10347019042876944</v>
      </c>
      <c r="AF260" s="1260">
        <f t="shared" ref="AF260" si="780">O260/O$239</f>
        <v>0.1023014877044615</v>
      </c>
      <c r="AG260" s="1260">
        <f t="shared" ref="AG260" si="781">P260/P$239</f>
        <v>0.10113907046364512</v>
      </c>
      <c r="AH260" s="1260">
        <f t="shared" ref="AH260" si="782">Q260/Q$239</f>
        <v>9.9983156749920143E-2</v>
      </c>
      <c r="AI260" s="1260">
        <f t="shared" ref="AI260" si="783">R260/R$239</f>
        <v>9.8833956896056757E-2</v>
      </c>
      <c r="AJ260" s="1260">
        <f t="shared" ref="AJ260" si="784">S260/S$239</f>
        <v>9.7691673511104055E-2</v>
      </c>
      <c r="AK260" s="1260">
        <f t="shared" ref="AK260" si="785">T260/T$239</f>
        <v>9.655650147929018E-2</v>
      </c>
      <c r="AL260" s="1260">
        <f t="shared" ref="AL260" si="786">U260/U$239</f>
        <v>9.5479308954481201E-2</v>
      </c>
      <c r="AM260" s="1275">
        <f t="shared" si="564"/>
        <v>6.6927630734754287E-2</v>
      </c>
      <c r="AN260" s="1275">
        <f t="shared" si="569"/>
        <v>9.3799844224383921E-2</v>
      </c>
    </row>
    <row r="261" spans="5:40" hidden="1" outlineLevel="1" x14ac:dyDescent="0.3">
      <c r="E261" s="1234" t="s">
        <v>417</v>
      </c>
      <c r="F261" s="1319">
        <f t="shared" si="565"/>
        <v>10.795089456628292</v>
      </c>
      <c r="G261" s="1237">
        <f>G257-G258</f>
        <v>0.12751415590821297</v>
      </c>
      <c r="H261" s="1237">
        <f>H257-H258</f>
        <v>0.13052132398466604</v>
      </c>
      <c r="I261" s="1237">
        <f t="shared" ref="I261:P261" si="787">I257-I258</f>
        <v>0.12213946486054383</v>
      </c>
      <c r="J261" s="1237">
        <f t="shared" si="787"/>
        <v>0.1206910171519204</v>
      </c>
      <c r="K261" s="1237">
        <f t="shared" si="787"/>
        <v>1.7354293413831425</v>
      </c>
      <c r="L261" s="1237">
        <f t="shared" si="787"/>
        <v>1.7280901248909721</v>
      </c>
      <c r="M261" s="1237">
        <f t="shared" si="787"/>
        <v>1.7179034565723084</v>
      </c>
      <c r="N261" s="1237">
        <f t="shared" si="787"/>
        <v>1.7109488067440648</v>
      </c>
      <c r="O261" s="1237">
        <f t="shared" si="787"/>
        <v>1.7041993455201392</v>
      </c>
      <c r="P261" s="1237">
        <f t="shared" si="787"/>
        <v>1.6976524196123219</v>
      </c>
      <c r="Q261" s="1237">
        <f t="shared" ref="Q261:U261" si="788">Q257-Q258</f>
        <v>1.6913054540457257</v>
      </c>
      <c r="R261" s="1237">
        <f t="shared" si="788"/>
        <v>1.6851559511460112</v>
      </c>
      <c r="S261" s="1237">
        <f t="shared" si="788"/>
        <v>1.6792014895568301</v>
      </c>
      <c r="T261" s="1237">
        <f t="shared" si="788"/>
        <v>1.673439723287137</v>
      </c>
      <c r="U261" s="1237">
        <f t="shared" si="788"/>
        <v>1.6710215461387863</v>
      </c>
      <c r="V261" s="1139">
        <f t="shared" si="566"/>
        <v>18.815038676049358</v>
      </c>
      <c r="W261" s="1234" t="s">
        <v>417</v>
      </c>
      <c r="X261" s="1260">
        <f>G261/G$240</f>
        <v>7.742503599171423E-3</v>
      </c>
      <c r="Y261" s="1260">
        <f>H261/H$240</f>
        <v>7.9250951670598608E-3</v>
      </c>
      <c r="Z261" s="1260">
        <f t="shared" ref="Z261" si="789">I261/I$240</f>
        <v>7.2047547038365453E-3</v>
      </c>
      <c r="AA261" s="1260">
        <f t="shared" ref="AA261" si="790">J261/J$240</f>
        <v>7.031148157129785E-3</v>
      </c>
      <c r="AB261" s="1260">
        <f t="shared" ref="AB261" si="791">K261/K$240</f>
        <v>9.9839411403629591E-2</v>
      </c>
      <c r="AC261" s="1260">
        <f t="shared" ref="AC261" si="792">L261/L$240</f>
        <v>9.8166081351484469E-2</v>
      </c>
      <c r="AD261" s="1260">
        <f t="shared" ref="AD261" si="793">M261/M$240</f>
        <v>9.635350644036024E-2</v>
      </c>
      <c r="AE261" s="1260">
        <f t="shared" ref="AE261" si="794">N261/N$240</f>
        <v>9.474108778467695E-2</v>
      </c>
      <c r="AF261" s="1260">
        <f t="shared" ref="AF261" si="795">O261/O$240</f>
        <v>9.3156619964352205E-2</v>
      </c>
      <c r="AG261" s="1260">
        <f t="shared" ref="AG261" si="796">P261/P$240</f>
        <v>9.1599687832171539E-2</v>
      </c>
      <c r="AH261" s="1260">
        <f t="shared" ref="AH261" si="797">Q261/Q$240</f>
        <v>9.0069879405076964E-2</v>
      </c>
      <c r="AI261" s="1260">
        <f t="shared" ref="AI261" si="798">R261/R$240</f>
        <v>8.8566785958172495E-2</v>
      </c>
      <c r="AJ261" s="1260">
        <f t="shared" ref="AJ261" si="799">S261/S$240</f>
        <v>8.7090002114508083E-2</v>
      </c>
      <c r="AK261" s="1260">
        <f t="shared" ref="AK261" si="800">T261/T$240</f>
        <v>8.5639125930598539E-2</v>
      </c>
      <c r="AL261" s="1260">
        <f t="shared" ref="AL261" si="801">U261/U$240</f>
        <v>8.4372968127436831E-2</v>
      </c>
      <c r="AM261" s="1275">
        <f t="shared" si="564"/>
        <v>6.0375989640387262E-2</v>
      </c>
      <c r="AN261" s="1275">
        <f t="shared" si="569"/>
        <v>8.4718858705799802E-2</v>
      </c>
    </row>
    <row r="262" spans="5:40" hidden="1" outlineLevel="1" x14ac:dyDescent="0.3">
      <c r="E262" s="608" t="s">
        <v>36</v>
      </c>
      <c r="F262" s="1319">
        <f t="shared" si="565"/>
        <v>22.638866812644508</v>
      </c>
      <c r="G262" s="1232">
        <f>SUM(G263:G264)</f>
        <v>0.60079300501896338</v>
      </c>
      <c r="H262" s="1232">
        <f>SUM(H263:H264)</f>
        <v>0.61712743509515233</v>
      </c>
      <c r="I262" s="1232">
        <f t="shared" ref="I262" si="802">SUM(I263:I264)</f>
        <v>0.6113515444080484</v>
      </c>
      <c r="J262" s="1232">
        <f t="shared" ref="J262" si="803">SUM(J263:J264)</f>
        <v>0.55460582895470334</v>
      </c>
      <c r="K262" s="1232">
        <f t="shared" ref="K262" si="804">SUM(K263:K264)</f>
        <v>3.5613578084526529</v>
      </c>
      <c r="L262" s="1232">
        <f t="shared" ref="L262" si="805">SUM(L263:L264)</f>
        <v>3.5355963393443721</v>
      </c>
      <c r="M262" s="1232">
        <f t="shared" ref="M262" si="806">SUM(M263:M264)</f>
        <v>3.3289627589640824</v>
      </c>
      <c r="N262" s="1232">
        <f t="shared" ref="N262" si="807">SUM(N263:N264)</f>
        <v>3.3021900277142269</v>
      </c>
      <c r="O262" s="1232">
        <f t="shared" ref="O262" si="808">SUM(O263:O264)</f>
        <v>3.2761250291556374</v>
      </c>
      <c r="P262" s="1232">
        <f t="shared" ref="P262:U262" si="809">SUM(P263:P264)</f>
        <v>3.2507570355366724</v>
      </c>
      <c r="Q262" s="1232">
        <f t="shared" si="809"/>
        <v>3.2260755826639498</v>
      </c>
      <c r="R262" s="1232">
        <f t="shared" si="809"/>
        <v>3.2020704656794639</v>
      </c>
      <c r="S262" s="1232">
        <f t="shared" si="809"/>
        <v>3.1787317349375712</v>
      </c>
      <c r="T262" s="1232">
        <f t="shared" si="809"/>
        <v>3.1560496919802583</v>
      </c>
      <c r="U262" s="1232">
        <f t="shared" si="809"/>
        <v>3.1370354837049037</v>
      </c>
      <c r="V262" s="1139">
        <f t="shared" si="566"/>
        <v>36.709557787088492</v>
      </c>
      <c r="W262" s="608" t="s">
        <v>36</v>
      </c>
      <c r="X262" s="1274">
        <f>G262/G$234</f>
        <v>7.8478610805167957E-3</v>
      </c>
      <c r="Y262" s="1274">
        <f>H262/H$234</f>
        <v>7.9931762226932955E-3</v>
      </c>
      <c r="Z262" s="1274">
        <f t="shared" ref="Z262" si="810">I262/I$234</f>
        <v>7.7950662994783178E-3</v>
      </c>
      <c r="AA262" s="1274">
        <f t="shared" ref="AA262" si="811">J262/J$234</f>
        <v>6.9854982203620183E-3</v>
      </c>
      <c r="AB262" s="1274">
        <f t="shared" ref="AB262" si="812">K262/K$234</f>
        <v>4.4306644084601651E-2</v>
      </c>
      <c r="AC262" s="1274">
        <f t="shared" ref="AC262" si="813">L262/L$234</f>
        <v>4.3442314741437692E-2</v>
      </c>
      <c r="AD262" s="1274">
        <f t="shared" ref="AD262" si="814">M262/M$234</f>
        <v>4.0423241548101445E-2</v>
      </c>
      <c r="AE262" s="1274">
        <f t="shared" ref="AE262" si="815">N262/N$234</f>
        <v>3.9625185026191688E-2</v>
      </c>
      <c r="AF262" s="1274">
        <f t="shared" ref="AF262" si="816">O262/O$234</f>
        <v>3.8846525118232229E-2</v>
      </c>
      <c r="AG262" s="1274">
        <f t="shared" ref="AG262" si="817">P262/P$234</f>
        <v>3.8086793637308262E-2</v>
      </c>
      <c r="AH262" s="1274">
        <f t="shared" ref="AH262" si="818">Q262/Q$234</f>
        <v>3.734553246269063E-2</v>
      </c>
      <c r="AI262" s="1274">
        <f t="shared" ref="AI262" si="819">R262/R$234</f>
        <v>3.6622293394201803E-2</v>
      </c>
      <c r="AJ262" s="1274">
        <f t="shared" ref="AJ262" si="820">S262/S$234</f>
        <v>3.5916638005496951E-2</v>
      </c>
      <c r="AK262" s="1274">
        <f t="shared" ref="AK262" si="821">T262/T$234</f>
        <v>3.5228137496423673E-2</v>
      </c>
      <c r="AL262" s="1274">
        <f t="shared" ref="AL262" si="822">U262/U$234</f>
        <v>3.4589678357423499E-2</v>
      </c>
      <c r="AM262" s="1275">
        <f t="shared" si="564"/>
        <v>2.7535230597892341E-2</v>
      </c>
      <c r="AN262" s="1275">
        <f t="shared" si="569"/>
        <v>3.5951540174372625E-2</v>
      </c>
    </row>
    <row r="263" spans="5:40" hidden="1" outlineLevel="1" x14ac:dyDescent="0.3">
      <c r="E263" s="1234" t="s">
        <v>125</v>
      </c>
      <c r="F263" s="1319">
        <f t="shared" si="565"/>
        <v>15.417083432257087</v>
      </c>
      <c r="G263" s="952">
        <f>SUMPRODUCT('EE Measures'!HF$42:HF$86,'EE Measures'!$AJ$42:$AJ$86,'EE Measures'!$IH$42:$IH$86)+G$249</f>
        <v>0.41008533501896333</v>
      </c>
      <c r="H263" s="952">
        <f>SUMPRODUCT('EE Measures'!HG$42:HG$86,'EE Measures'!$AJ$42:$AJ$86,'EE Measures'!$IH$42:$IH$86)+H$249</f>
        <v>0.41782526509515228</v>
      </c>
      <c r="I263" s="952">
        <f>SUMPRODUCT('EE Measures'!HH$42:HH$86,'EE Measures'!$AJ$42:$AJ$86,'EE Measures'!$IH$42:$IH$86)+I$249</f>
        <v>0.42596329081169204</v>
      </c>
      <c r="J263" s="952">
        <f>SUMPRODUCT('EE Measures'!HI$42:HI$86,'EE Measures'!$AJ$42:$AJ$86,'EE Measures'!$IH$42:$IH$86)+J$249</f>
        <v>0.3756005533995766</v>
      </c>
      <c r="K263" s="952">
        <f>SUMPRODUCT('EE Measures'!HJ$42:HJ$86,'EE Measures'!$AJ$42:$AJ$86,'EE Measures'!$IH$42:$IH$86)+K$249</f>
        <v>2.4548427354631581</v>
      </c>
      <c r="L263" s="952">
        <f>SUMPRODUCT('EE Measures'!HK$42:HK$86,'EE Measures'!$AJ$42:$AJ$86,'EE Measures'!$IH$42:$IH$86)+L$249</f>
        <v>2.4373551926767791</v>
      </c>
      <c r="M263" s="952">
        <f>SUMPRODUCT('EE Measures'!HL$42:HL$86,'EE Measures'!$AJ$42:$AJ$86,'EE Measures'!$IH$42:$IH$86)+M$249</f>
        <v>2.2516862778080537</v>
      </c>
      <c r="N263" s="952">
        <f>SUMPRODUCT('EE Measures'!HM$42:HM$86,'EE Measures'!$AJ$42:$AJ$86,'EE Measures'!$IH$42:$IH$86)+N$249</f>
        <v>2.2328256136091911</v>
      </c>
      <c r="O263" s="952">
        <f>SUMPRODUCT('EE Measures'!HN$42:HN$86,'EE Measures'!$AJ$42:$AJ$86,'EE Measures'!$IH$42:$IH$86)+O$249</f>
        <v>2.2144243546321993</v>
      </c>
      <c r="P263" s="952">
        <f>SUMPRODUCT('EE Measures'!HO$42:HO$86,'EE Measures'!$AJ$42:$AJ$86,'EE Measures'!$IH$42:$IH$86)+P$249</f>
        <v>2.1964748137423205</v>
      </c>
      <c r="Q263" s="952">
        <f>SUMPRODUCT('EE Measures'!HP$42:HP$86,'EE Measures'!$AJ$42:$AJ$86,'EE Measures'!$IH$42:$IH$86)+Q$249</f>
        <v>2.1789694732987726</v>
      </c>
      <c r="R263" s="952">
        <f>SUMPRODUCT('EE Measures'!HQ$42:HQ$86,'EE Measures'!$AJ$42:$AJ$86,'EE Measures'!$IH$42:$IH$86)+R$249</f>
        <v>2.1619009821009612</v>
      </c>
      <c r="S263" s="952">
        <f>SUMPRODUCT('EE Measures'!HR$42:HR$86,'EE Measures'!$AJ$42:$AJ$86,'EE Measures'!$IH$42:$IH$86)+S$249</f>
        <v>2.145262152398415</v>
      </c>
      <c r="T263" s="952">
        <f>SUMPRODUCT('EE Measures'!HS$42:HS$86,'EE Measures'!$AJ$42:$AJ$86,'EE Measures'!$IH$42:$IH$86)+T$249</f>
        <v>2.129045956963282</v>
      </c>
      <c r="U263" s="952">
        <f>SUMPRODUCT('EE Measures'!HT$42:HT$86,'EE Measures'!$AJ$42:$AJ$86,'EE Measures'!$IH$42:$IH$86)+U$249</f>
        <v>2.1088692802470193</v>
      </c>
      <c r="V263" s="1139">
        <f t="shared" si="566"/>
        <v>24.88725738633973</v>
      </c>
      <c r="W263" s="1234" t="s">
        <v>125</v>
      </c>
      <c r="X263" s="1260">
        <f>G263/G$235</f>
        <v>7.6294946050039685E-3</v>
      </c>
      <c r="Y263" s="1260">
        <f>H263/H$235</f>
        <v>7.6803595318662267E-3</v>
      </c>
      <c r="Z263" s="1260">
        <f t="shared" ref="Z263" si="823">I263/I$235</f>
        <v>7.7353738056807324E-3</v>
      </c>
      <c r="AA263" s="1260">
        <f t="shared" ref="AA263" si="824">J263/J$235</f>
        <v>6.7377546446663883E-3</v>
      </c>
      <c r="AB263" s="1260">
        <f t="shared" ref="AB263" si="825">K263/K$235</f>
        <v>4.3496132041129607E-2</v>
      </c>
      <c r="AC263" s="1260">
        <f t="shared" ref="AC263" si="826">L263/L$235</f>
        <v>4.2652308028697544E-2</v>
      </c>
      <c r="AD263" s="1260">
        <f t="shared" ref="AD263" si="827">M263/M$235</f>
        <v>3.8950934395361098E-2</v>
      </c>
      <c r="AE263" s="1260">
        <f t="shared" ref="AE263" si="828">N263/N$235</f>
        <v>3.8179792369770343E-2</v>
      </c>
      <c r="AF263" s="1260">
        <f t="shared" ref="AF263" si="829">O263/O$235</f>
        <v>3.7427520900102373E-2</v>
      </c>
      <c r="AG263" s="1260">
        <f t="shared" ref="AG263" si="830">P263/P$235</f>
        <v>3.669364184826291E-2</v>
      </c>
      <c r="AH263" s="1260">
        <f t="shared" ref="AH263" si="831">Q263/Q$235</f>
        <v>3.5977688585385401E-2</v>
      </c>
      <c r="AI263" s="1260">
        <f t="shared" ref="AI263" si="832">R263/R$235</f>
        <v>3.5279205759326367E-2</v>
      </c>
      <c r="AJ263" s="1260">
        <f t="shared" ref="AJ263" si="833">S263/S$235</f>
        <v>3.4597749064836827E-2</v>
      </c>
      <c r="AK263" s="1260">
        <f t="shared" ref="AK263" si="834">T263/T$235</f>
        <v>3.3932885016463382E-2</v>
      </c>
      <c r="AL263" s="1260">
        <f t="shared" ref="AL263" si="835">U263/U$235</f>
        <v>3.3215263662061047E-2</v>
      </c>
      <c r="AM263" s="1275">
        <f t="shared" si="564"/>
        <v>2.6718331217054119E-2</v>
      </c>
      <c r="AN263" s="1275">
        <f t="shared" si="569"/>
        <v>3.4761739693005271E-2</v>
      </c>
    </row>
    <row r="264" spans="5:40" hidden="1" outlineLevel="1" x14ac:dyDescent="0.3">
      <c r="E264" s="1234" t="s">
        <v>414</v>
      </c>
      <c r="F264" s="1319">
        <f t="shared" si="565"/>
        <v>7.2217833803874258</v>
      </c>
      <c r="G264" s="646">
        <f>SUMPRODUCT('EE Measures'!HF$42:HF$86,'EE Measures'!$P$42:$P$86,'EE Measures'!$IH$42:$IH$86)+G$250</f>
        <v>0.19070767</v>
      </c>
      <c r="H264" s="646">
        <f>SUMPRODUCT('EE Measures'!HG$42:HG$86,'EE Measures'!$P$42:$P$86,'EE Measures'!$IH$42:$IH$86)+H$250</f>
        <v>0.19930217</v>
      </c>
      <c r="I264" s="646">
        <f>SUMPRODUCT('EE Measures'!HH$42:HH$86,'EE Measures'!$P$42:$P$86,'EE Measures'!$IH$42:$IH$86)+I$250</f>
        <v>0.18538825359635636</v>
      </c>
      <c r="J264" s="646">
        <f>SUMPRODUCT('EE Measures'!HI$42:HI$86,'EE Measures'!$P$42:$P$86,'EE Measures'!$IH$42:$IH$86)+J$250</f>
        <v>0.17900527555512674</v>
      </c>
      <c r="K264" s="646">
        <f>SUMPRODUCT('EE Measures'!HJ$42:HJ$86,'EE Measures'!$P$42:$P$86,'EE Measures'!$IH$42:$IH$86)+K$250</f>
        <v>1.1065150729894948</v>
      </c>
      <c r="L264" s="646">
        <f>SUMPRODUCT('EE Measures'!HK$42:HK$86,'EE Measures'!$P$42:$P$86,'EE Measures'!$IH$42:$IH$86)+L$250</f>
        <v>1.098241146667593</v>
      </c>
      <c r="M264" s="646">
        <f>SUMPRODUCT('EE Measures'!HL$42:HL$86,'EE Measures'!$P$42:$P$86,'EE Measures'!$IH$42:$IH$86)+M$250</f>
        <v>1.0772764811560285</v>
      </c>
      <c r="N264" s="646">
        <f>SUMPRODUCT('EE Measures'!HM$42:HM$86,'EE Measures'!$P$42:$P$86,'EE Measures'!$IH$42:$IH$86)+N$250</f>
        <v>1.0693644141050358</v>
      </c>
      <c r="O264" s="646">
        <f>SUMPRODUCT('EE Measures'!HN$42:HN$86,'EE Measures'!$P$42:$P$86,'EE Measures'!$IH$42:$IH$86)+O$250</f>
        <v>1.0617006745234383</v>
      </c>
      <c r="P264" s="646">
        <f>SUMPRODUCT('EE Measures'!HO$42:HO$86,'EE Measures'!$P$42:$P$86,'EE Measures'!$IH$42:$IH$86)+P$250</f>
        <v>1.0542822217943522</v>
      </c>
      <c r="Q264" s="646">
        <f>SUMPRODUCT('EE Measures'!HP$42:HP$86,'EE Measures'!$P$42:$P$86,'EE Measures'!$IH$42:$IH$86)+Q$250</f>
        <v>1.0471061093651775</v>
      </c>
      <c r="R264" s="646">
        <f>SUMPRODUCT('EE Measures'!HQ$42:HQ$86,'EE Measures'!$P$42:$P$86,'EE Measures'!$IH$42:$IH$86)+R$250</f>
        <v>1.0401694835785029</v>
      </c>
      <c r="S264" s="646">
        <f>SUMPRODUCT('EE Measures'!HR$42:HR$86,'EE Measures'!$P$42:$P$86,'EE Measures'!$IH$42:$IH$86)+S$250</f>
        <v>1.0334695825391562</v>
      </c>
      <c r="T264" s="646">
        <f>SUMPRODUCT('EE Measures'!HS$42:HS$86,'EE Measures'!$P$42:$P$86,'EE Measures'!$IH$42:$IH$86)+T$250</f>
        <v>1.0270037350169765</v>
      </c>
      <c r="U264" s="646">
        <f>SUMPRODUCT('EE Measures'!HT$42:HT$86,'EE Measures'!$P$42:$P$86,'EE Measures'!$IH$42:$IH$86)+U$250</f>
        <v>1.0281662034578842</v>
      </c>
      <c r="V264" s="1139">
        <f t="shared" si="566"/>
        <v>11.822300400748766</v>
      </c>
      <c r="W264" s="1234" t="s">
        <v>414</v>
      </c>
      <c r="X264" s="1260">
        <f>G264/G$236</f>
        <v>8.3625376014032013E-3</v>
      </c>
      <c r="Y264" s="1260">
        <f>H264/H$236</f>
        <v>8.7394067090550316E-3</v>
      </c>
      <c r="Z264" s="1260">
        <f t="shared" ref="Z264" si="836">I264/I$236</f>
        <v>7.9357739350867634E-3</v>
      </c>
      <c r="AA264" s="1260">
        <f t="shared" ref="AA264" si="837">J264/J$236</f>
        <v>7.5695009109408833E-3</v>
      </c>
      <c r="AB264" s="1260">
        <f t="shared" ref="AB264" si="838">K264/K$236</f>
        <v>4.6217287436034586E-2</v>
      </c>
      <c r="AC264" s="1260">
        <f t="shared" ref="AC264" si="839">L264/L$236</f>
        <v>4.5304624378378663E-2</v>
      </c>
      <c r="AD264" s="1260">
        <f t="shared" ref="AD264" si="840">M264/M$236</f>
        <v>4.3890894932941557E-2</v>
      </c>
      <c r="AE264" s="1260">
        <f t="shared" ref="AE264" si="841">N264/N$236</f>
        <v>4.3026249378525602E-2</v>
      </c>
      <c r="AF264" s="1260">
        <f t="shared" ref="AF264" si="842">O264/O$236</f>
        <v>4.2182174084720914E-2</v>
      </c>
      <c r="AG264" s="1260">
        <f t="shared" ref="AG264" si="843">P264/P$236</f>
        <v>4.1358233528153737E-2</v>
      </c>
      <c r="AH264" s="1260">
        <f t="shared" ref="AH264" si="844">Q264/Q$236</f>
        <v>4.0553998172651672E-2</v>
      </c>
      <c r="AI264" s="1260">
        <f t="shared" ref="AI264" si="845">R264/R$236</f>
        <v>3.9769044540574242E-2</v>
      </c>
      <c r="AJ264" s="1260">
        <f t="shared" ref="AJ264" si="846">S264/S$236</f>
        <v>3.9002955276293452E-2</v>
      </c>
      <c r="AK264" s="1260">
        <f t="shared" ref="AK264" si="847">T264/T$236</f>
        <v>3.8255319201973677E-2</v>
      </c>
      <c r="AL264" s="1260">
        <f t="shared" ref="AL264" si="848">U264/U$236</f>
        <v>3.7797655656139607E-2</v>
      </c>
      <c r="AM264" s="1275">
        <f t="shared" si="564"/>
        <v>2.9458668289524093E-2</v>
      </c>
      <c r="AN264" s="1275">
        <f t="shared" si="569"/>
        <v>3.8743994791444046E-2</v>
      </c>
    </row>
    <row r="265" spans="5:40" hidden="1" outlineLevel="1" x14ac:dyDescent="0.3">
      <c r="E265" s="1234" t="s">
        <v>415</v>
      </c>
      <c r="F265" s="1319">
        <f t="shared" si="565"/>
        <v>2.3397299497874329</v>
      </c>
      <c r="G265" s="1237">
        <f>SUM(G266:G267)</f>
        <v>6.3193514091787042E-2</v>
      </c>
      <c r="H265" s="1237">
        <f>SUM(H266:H267)</f>
        <v>6.8780846015333963E-2</v>
      </c>
      <c r="I265" s="1237">
        <f t="shared" ref="I265" si="849">SUM(I266:I267)</f>
        <v>6.3248788735812522E-2</v>
      </c>
      <c r="J265" s="1237">
        <f t="shared" ref="J265" si="850">SUM(J266:J267)</f>
        <v>5.8314258403206337E-2</v>
      </c>
      <c r="K265" s="1237">
        <f t="shared" ref="K265" si="851">SUM(K266:K267)</f>
        <v>0.35804515839434276</v>
      </c>
      <c r="L265" s="1237">
        <f t="shared" ref="L265" si="852">SUM(L266:L267)</f>
        <v>0.3565137061092219</v>
      </c>
      <c r="M265" s="1237">
        <f t="shared" ref="M265" si="853">SUM(M266:M267)</f>
        <v>0.34515066729339139</v>
      </c>
      <c r="N265" s="1237">
        <f t="shared" ref="N265" si="854">SUM(N266:N267)</f>
        <v>0.34361967985208253</v>
      </c>
      <c r="O265" s="1237">
        <f t="shared" ref="O265" si="855">SUM(O266:O267)</f>
        <v>0.34214307775072494</v>
      </c>
      <c r="P265" s="1237">
        <f t="shared" ref="P265:U265" si="856">SUM(P266:P267)</f>
        <v>0.34072025314152965</v>
      </c>
      <c r="Q265" s="1237">
        <f t="shared" si="856"/>
        <v>0.3393506182515712</v>
      </c>
      <c r="R265" s="1237">
        <f t="shared" si="856"/>
        <v>0.33803360514168973</v>
      </c>
      <c r="S265" s="1237">
        <f t="shared" si="856"/>
        <v>0.33676866547297424</v>
      </c>
      <c r="T265" s="1237">
        <f t="shared" si="856"/>
        <v>0.33555527028073329</v>
      </c>
      <c r="U265" s="1237">
        <f t="shared" si="856"/>
        <v>0.33624759144557131</v>
      </c>
      <c r="V265" s="1139">
        <f t="shared" si="566"/>
        <v>3.8304625515370394</v>
      </c>
      <c r="W265" s="1234" t="s">
        <v>415</v>
      </c>
      <c r="X265" s="1260">
        <f>G265/G$237</f>
        <v>9.9743061586640251E-3</v>
      </c>
      <c r="Y265" s="1260">
        <f>H265/H$237</f>
        <v>1.0856196650377906E-2</v>
      </c>
      <c r="Z265" s="1260">
        <f t="shared" ref="Z265" si="857">I265/I$237</f>
        <v>9.8695753303797672E-3</v>
      </c>
      <c r="AA265" s="1260">
        <f t="shared" ref="AA265" si="858">J265/J$237</f>
        <v>8.9949028964827083E-3</v>
      </c>
      <c r="AB265" s="1260">
        <f t="shared" ref="AB265" si="859">K265/K$237</f>
        <v>5.4585240055182643E-2</v>
      </c>
      <c r="AC265" s="1260">
        <f t="shared" ref="AC265" si="860">L265/L$237</f>
        <v>5.3711886046372344E-2</v>
      </c>
      <c r="AD265" s="1260">
        <f t="shared" ref="AD265" si="861">M265/M$237</f>
        <v>5.1398083127198867E-2</v>
      </c>
      <c r="AE265" s="1260">
        <f t="shared" ref="AE265" si="862">N265/N$237</f>
        <v>5.0572749081720457E-2</v>
      </c>
      <c r="AF265" s="1260">
        <f t="shared" ref="AF265" si="863">O265/O$237</f>
        <v>4.9762646233674143E-2</v>
      </c>
      <c r="AG265" s="1260">
        <f t="shared" ref="AG265" si="864">P265/P$237</f>
        <v>4.8967534212970031E-2</v>
      </c>
      <c r="AH265" s="1260">
        <f t="shared" ref="AH265" si="865">Q265/Q$237</f>
        <v>4.8187174367686846E-2</v>
      </c>
      <c r="AI265" s="1260">
        <f t="shared" ref="AI265" si="866">R265/R$237</f>
        <v>4.7421329838045617E-2</v>
      </c>
      <c r="AJ265" s="1260">
        <f t="shared" ref="AJ265" si="867">S265/S$237</f>
        <v>4.6669765627392897E-2</v>
      </c>
      <c r="AK265" s="1260">
        <f t="shared" ref="AK265" si="868">T265/T$237</f>
        <v>4.5932248670135366E-2</v>
      </c>
      <c r="AL265" s="1260">
        <f t="shared" ref="AL265" si="869">U265/U$237</f>
        <v>4.5459293243014114E-2</v>
      </c>
      <c r="AM265" s="1275">
        <f t="shared" si="564"/>
        <v>3.4869311979302285E-2</v>
      </c>
      <c r="AN265" s="1275">
        <f t="shared" si="569"/>
        <v>4.5971904449989665E-2</v>
      </c>
    </row>
    <row r="266" spans="5:40" hidden="1" outlineLevel="1" x14ac:dyDescent="0.3">
      <c r="E266" s="1264" t="s">
        <v>416</v>
      </c>
      <c r="F266" s="1319">
        <f t="shared" si="565"/>
        <v>0.48251395468883423</v>
      </c>
      <c r="G266" s="646">
        <f>SUMPRODUCT('EE Measures'!HF$42:HF$86,'EE Measures'!$AL$42:$AL$86,'EE Measures'!$IH$42:$IH$86)+G$252</f>
        <v>1.192118852838411E-2</v>
      </c>
      <c r="H266" s="646">
        <f>SUMPRODUCT('EE Measures'!HG$42:HG$86,'EE Measures'!$AL$42:$AL$86,'EE Measures'!$IH$42:$IH$86)+H$252</f>
        <v>1.2603893378246578E-2</v>
      </c>
      <c r="I266" s="646">
        <f>SUMPRODUCT('EE Measures'!HH$42:HH$86,'EE Measures'!$AL$42:$AL$86,'EE Measures'!$IH$42:$IH$86)+I$252</f>
        <v>1.2201151090871521E-2</v>
      </c>
      <c r="J266" s="646">
        <f>SUMPRODUCT('EE Measures'!HI$42:HI$86,'EE Measures'!$AL$42:$AL$86,'EE Measures'!$IH$42:$IH$86)+J$252</f>
        <v>1.1660343397556297E-2</v>
      </c>
      <c r="K266" s="646">
        <f>SUMPRODUCT('EE Measures'!HJ$42:HJ$86,'EE Measures'!$AL$42:$AL$86,'EE Measures'!$IH$42:$IH$86)+K$252</f>
        <v>7.403088136299564E-2</v>
      </c>
      <c r="L266" s="646">
        <f>SUMPRODUCT('EE Measures'!HK$42:HK$86,'EE Measures'!$AL$42:$AL$86,'EE Measures'!$IH$42:$IH$86)+L$252</f>
        <v>7.3691166368103786E-2</v>
      </c>
      <c r="M266" s="646">
        <f>SUMPRODUCT('EE Measures'!HL$42:HL$86,'EE Measures'!$AL$42:$AL$86,'EE Measures'!$IH$42:$IH$86)+M$252</f>
        <v>7.20828353707679E-2</v>
      </c>
      <c r="N266" s="646">
        <f>SUMPRODUCT('EE Measures'!HM$42:HM$86,'EE Measures'!$AL$42:$AL$86,'EE Measures'!$IH$42:$IH$86)+N$252</f>
        <v>7.175370045068391E-2</v>
      </c>
      <c r="O266" s="646">
        <f>SUMPRODUCT('EE Measures'!HN$42:HN$86,'EE Measures'!$AL$42:$AL$86,'EE Measures'!$IH$42:$IH$86)+O$252</f>
        <v>7.1436796777406247E-2</v>
      </c>
      <c r="P266" s="646">
        <f>SUMPRODUCT('EE Measures'!HO$42:HO$86,'EE Measures'!$AL$42:$AL$86,'EE Measures'!$IH$42:$IH$86)+P$252</f>
        <v>7.1131997963818236E-2</v>
      </c>
      <c r="Q266" s="646">
        <f>SUMPRODUCT('EE Measures'!HP$42:HP$86,'EE Measures'!$AL$42:$AL$86,'EE Measures'!$IH$42:$IH$86)+Q$252</f>
        <v>7.0839182236736131E-2</v>
      </c>
      <c r="R266" s="646">
        <f>SUMPRODUCT('EE Measures'!HQ$42:HQ$86,'EE Measures'!$AL$42:$AL$86,'EE Measures'!$IH$42:$IH$86)+R$252</f>
        <v>7.05582323883749E-2</v>
      </c>
      <c r="S266" s="646">
        <f>SUMPRODUCT('EE Measures'!HR$42:HR$86,'EE Measures'!$AL$42:$AL$86,'EE Measures'!$IH$42:$IH$86)+S$252</f>
        <v>7.0289035729590138E-2</v>
      </c>
      <c r="T266" s="646">
        <f>SUMPRODUCT('EE Measures'!HS$42:HS$86,'EE Measures'!$AL$42:$AL$86,'EE Measures'!$IH$42:$IH$86)+T$252</f>
        <v>7.0031484044877912E-2</v>
      </c>
      <c r="U266" s="646">
        <f>SUMPRODUCT('EE Measures'!HT$42:HT$86,'EE Measures'!$AL$42:$AL$86,'EE Measures'!$IH$42:$IH$86)+U$252</f>
        <v>7.0194143961564967E-2</v>
      </c>
      <c r="V266" s="1139">
        <f t="shared" si="566"/>
        <v>0.79769980005247609</v>
      </c>
      <c r="W266" s="1264" t="s">
        <v>416</v>
      </c>
      <c r="X266" s="1260">
        <f>G266/G$238</f>
        <v>8.3100770480490586E-3</v>
      </c>
      <c r="Y266" s="1260">
        <f>H266/H$238</f>
        <v>8.7859800916026271E-3</v>
      </c>
      <c r="Z266" s="1260">
        <f t="shared" ref="Z266" si="870">I266/I$238</f>
        <v>8.4030268896506735E-3</v>
      </c>
      <c r="AA266" s="1260">
        <f t="shared" ref="AA266" si="871">J266/J$238</f>
        <v>7.9330770935264645E-3</v>
      </c>
      <c r="AB266" s="1260">
        <f t="shared" ref="AB266" si="872">K266/K$238</f>
        <v>4.9749107414849579E-2</v>
      </c>
      <c r="AC266" s="1260">
        <f t="shared" ref="AC266" si="873">L266/L$238</f>
        <v>4.8907697603155206E-2</v>
      </c>
      <c r="AD266" s="1260">
        <f t="shared" ref="AD266" si="874">M266/M$238</f>
        <v>4.7251336418724789E-2</v>
      </c>
      <c r="AE266" s="1260">
        <f t="shared" ref="AE266" si="875">N266/N$238</f>
        <v>4.6451894866642432E-2</v>
      </c>
      <c r="AF266" s="1260">
        <f t="shared" ref="AF266" si="876">O266/O$238</f>
        <v>4.5668316027775838E-2</v>
      </c>
      <c r="AG266" s="1260">
        <f t="shared" ref="AG266" si="877">P266/P$238</f>
        <v>4.4900323746187021E-2</v>
      </c>
      <c r="AH266" s="1260">
        <f t="shared" ref="AH266" si="878">Q266/Q$238</f>
        <v>4.4147644540565169E-2</v>
      </c>
      <c r="AI266" s="1260">
        <f t="shared" ref="AI266" si="879">R266/R$238</f>
        <v>4.3410007673162818E-2</v>
      </c>
      <c r="AJ266" s="1260">
        <f t="shared" ref="AJ266" si="880">S266/S$238</f>
        <v>4.2687145214691635E-2</v>
      </c>
      <c r="AK266" s="1260">
        <f t="shared" ref="AK266" si="881">T266/T$238</f>
        <v>4.1978792105175938E-2</v>
      </c>
      <c r="AL266" s="1260">
        <f t="shared" ref="AL266" si="882">U266/U$238</f>
        <v>4.152645328468707E-2</v>
      </c>
      <c r="AM266" s="1275">
        <f t="shared" si="564"/>
        <v>3.1636083720016368E-2</v>
      </c>
      <c r="AN266" s="1275">
        <f t="shared" si="569"/>
        <v>4.2050982999095328E-2</v>
      </c>
    </row>
    <row r="267" spans="5:40" hidden="1" outlineLevel="1" x14ac:dyDescent="0.3">
      <c r="E267" s="1264" t="s">
        <v>190</v>
      </c>
      <c r="F267" s="1319">
        <f t="shared" si="565"/>
        <v>1.8572159950985987</v>
      </c>
      <c r="G267" s="646">
        <f>SUMPRODUCT('EE Measures'!HF$42:HF$86,'EE Measures'!$AM$42:$AM$86,'EE Measures'!$IH$42:$IH$86)+G$253</f>
        <v>5.1272325563402936E-2</v>
      </c>
      <c r="H267" s="646">
        <f>SUMPRODUCT('EE Measures'!HG$42:HG$86,'EE Measures'!$AM$42:$AM$86,'EE Measures'!$IH$42:$IH$86)+H$253</f>
        <v>5.6176952637087378E-2</v>
      </c>
      <c r="I267" s="646">
        <f>SUMPRODUCT('EE Measures'!HH$42:HH$86,'EE Measures'!$AM$42:$AM$86,'EE Measures'!$IH$42:$IH$86)+I$253</f>
        <v>5.1047637644940996E-2</v>
      </c>
      <c r="J267" s="646">
        <f>SUMPRODUCT('EE Measures'!HI$42:HI$86,'EE Measures'!$AM$42:$AM$86,'EE Measures'!$IH$42:$IH$86)+J$253</f>
        <v>4.665391500565004E-2</v>
      </c>
      <c r="K267" s="646">
        <f>SUMPRODUCT('EE Measures'!HJ$42:HJ$86,'EE Measures'!$AM$42:$AM$86,'EE Measures'!$IH$42:$IH$86)+K$253</f>
        <v>0.28401427703134713</v>
      </c>
      <c r="L267" s="646">
        <f>SUMPRODUCT('EE Measures'!HK$42:HK$86,'EE Measures'!$AM$42:$AM$86,'EE Measures'!$IH$42:$IH$86)+L$253</f>
        <v>0.2828225397411181</v>
      </c>
      <c r="M267" s="646">
        <f>SUMPRODUCT('EE Measures'!HL$42:HL$86,'EE Measures'!$AM$42:$AM$86,'EE Measures'!$IH$42:$IH$86)+M$253</f>
        <v>0.27306783192262346</v>
      </c>
      <c r="N267" s="646">
        <f>SUMPRODUCT('EE Measures'!HM$42:HM$86,'EE Measures'!$AM$42:$AM$86,'EE Measures'!$IH$42:$IH$86)+N$253</f>
        <v>0.27186597940139862</v>
      </c>
      <c r="O267" s="646">
        <f>SUMPRODUCT('EE Measures'!HN$42:HN$86,'EE Measures'!$AM$42:$AM$86,'EE Measures'!$IH$42:$IH$86)+O$253</f>
        <v>0.27070628097331867</v>
      </c>
      <c r="P267" s="646">
        <f>SUMPRODUCT('EE Measures'!HO$42:HO$86,'EE Measures'!$AM$42:$AM$86,'EE Measures'!$IH$42:$IH$86)+P$253</f>
        <v>0.2695882551777114</v>
      </c>
      <c r="Q267" s="646">
        <f>SUMPRODUCT('EE Measures'!HP$42:HP$86,'EE Measures'!$AM$42:$AM$86,'EE Measures'!$IH$42:$IH$86)+Q$253</f>
        <v>0.26851143601483507</v>
      </c>
      <c r="R267" s="646">
        <f>SUMPRODUCT('EE Measures'!HQ$42:HQ$86,'EE Measures'!$AM$42:$AM$86,'EE Measures'!$IH$42:$IH$86)+R$253</f>
        <v>0.26747537275331484</v>
      </c>
      <c r="S267" s="646">
        <f>SUMPRODUCT('EE Measures'!HR$42:HR$86,'EE Measures'!$AM$42:$AM$86,'EE Measures'!$IH$42:$IH$86)+S$253</f>
        <v>0.26647962974338413</v>
      </c>
      <c r="T267" s="646">
        <f>SUMPRODUCT('EE Measures'!HS$42:HS$86,'EE Measures'!$AM$42:$AM$86,'EE Measures'!$IH$42:$IH$86)+T$253</f>
        <v>0.26552378623585537</v>
      </c>
      <c r="U267" s="646">
        <f>SUMPRODUCT('EE Measures'!HT$42:HT$86,'EE Measures'!$AM$42:$AM$86,'EE Measures'!$IH$42:$IH$86)+U$253</f>
        <v>0.26605344748400633</v>
      </c>
      <c r="V267" s="1139">
        <f t="shared" si="566"/>
        <v>3.032762751484563</v>
      </c>
      <c r="W267" s="1264" t="s">
        <v>190</v>
      </c>
      <c r="X267" s="1260">
        <f>G267/G$239</f>
        <v>1.0461425613837255E-2</v>
      </c>
      <c r="Y267" s="1260">
        <f>H267/H$239</f>
        <v>1.1462148532705316E-2</v>
      </c>
      <c r="Z267" s="1260">
        <f t="shared" ref="Z267" si="883">I267/I$239</f>
        <v>1.0299200099245683E-2</v>
      </c>
      <c r="AA267" s="1260">
        <f t="shared" ref="AA267" si="884">J267/J$239</f>
        <v>9.3062238422433885E-3</v>
      </c>
      <c r="AB267" s="1260">
        <f t="shared" ref="AB267" si="885">K267/K$239</f>
        <v>5.6004321087546341E-2</v>
      </c>
      <c r="AC267" s="1260">
        <f t="shared" ref="AC267" si="886">L267/L$239</f>
        <v>5.5122716549111821E-2</v>
      </c>
      <c r="AD267" s="1260">
        <f t="shared" ref="AD267" si="887">M267/M$239</f>
        <v>5.2617019323817772E-2</v>
      </c>
      <c r="AE267" s="1260">
        <f t="shared" ref="AE267" si="888">N267/N$239</f>
        <v>5.1785242155134532E-2</v>
      </c>
      <c r="AF267" s="1260">
        <f t="shared" ref="AF267" si="889">O267/O$239</f>
        <v>5.0968496348767899E-2</v>
      </c>
      <c r="AG267" s="1260">
        <f t="shared" ref="AG267" si="890">P267/P$239</f>
        <v>5.0166551548442802E-2</v>
      </c>
      <c r="AH267" s="1260">
        <f t="shared" ref="AH267" si="891">Q267/Q$239</f>
        <v>4.9379178875424264E-2</v>
      </c>
      <c r="AI267" s="1260">
        <f t="shared" ref="AI267" si="892">R267/R$239</f>
        <v>4.8606151002518506E-2</v>
      </c>
      <c r="AJ267" s="1260">
        <f t="shared" ref="AJ267" si="893">S267/S$239</f>
        <v>4.7847242225400904E-2</v>
      </c>
      <c r="AK267" s="1260">
        <f t="shared" ref="AK267" si="894">T267/T$239</f>
        <v>4.7102228531198824E-2</v>
      </c>
      <c r="AL267" s="1260">
        <f t="shared" ref="AL267" si="895">U267/U$239</f>
        <v>4.662429258538632E-2</v>
      </c>
      <c r="AM267" s="1275">
        <f t="shared" si="564"/>
        <v>3.5819334510085274E-2</v>
      </c>
      <c r="AN267" s="1275">
        <f t="shared" si="569"/>
        <v>4.7127472006249449E-2</v>
      </c>
    </row>
    <row r="268" spans="5:40" hidden="1" outlineLevel="1" x14ac:dyDescent="0.3">
      <c r="E268" s="1234" t="s">
        <v>417</v>
      </c>
      <c r="F268" s="1319">
        <f t="shared" si="565"/>
        <v>4.8820534305999921</v>
      </c>
      <c r="G268" s="1237">
        <f>G264-G265</f>
        <v>0.12751415590821297</v>
      </c>
      <c r="H268" s="1237">
        <f>H264-H265</f>
        <v>0.13052132398466604</v>
      </c>
      <c r="I268" s="1237">
        <f t="shared" ref="I268:P268" si="896">I264-I265</f>
        <v>0.12213946486054383</v>
      </c>
      <c r="J268" s="1237">
        <f t="shared" si="896"/>
        <v>0.1206910171519204</v>
      </c>
      <c r="K268" s="1237">
        <f t="shared" si="896"/>
        <v>0.74846991459515211</v>
      </c>
      <c r="L268" s="1237">
        <f t="shared" si="896"/>
        <v>0.74172744055837114</v>
      </c>
      <c r="M268" s="1237">
        <f t="shared" si="896"/>
        <v>0.73212581386263709</v>
      </c>
      <c r="N268" s="1237">
        <f t="shared" si="896"/>
        <v>0.72574473425295327</v>
      </c>
      <c r="O268" s="1237">
        <f t="shared" si="896"/>
        <v>0.71955759677271336</v>
      </c>
      <c r="P268" s="1237">
        <f t="shared" si="896"/>
        <v>0.71356196865282251</v>
      </c>
      <c r="Q268" s="1237">
        <f t="shared" ref="Q268:U268" si="897">Q264-Q265</f>
        <v>0.70775549111360625</v>
      </c>
      <c r="R268" s="1237">
        <f t="shared" si="897"/>
        <v>0.70213587843681324</v>
      </c>
      <c r="S268" s="1237">
        <f t="shared" si="897"/>
        <v>0.69670091706618198</v>
      </c>
      <c r="T268" s="1237">
        <f t="shared" si="897"/>
        <v>0.69144846473624322</v>
      </c>
      <c r="U268" s="1237">
        <f t="shared" si="897"/>
        <v>0.69191861201231286</v>
      </c>
      <c r="V268" s="1139">
        <f t="shared" si="566"/>
        <v>7.9918378492117279</v>
      </c>
      <c r="W268" s="1234" t="s">
        <v>417</v>
      </c>
      <c r="X268" s="1260">
        <f>G268/G$240</f>
        <v>7.742503599171423E-3</v>
      </c>
      <c r="Y268" s="1260">
        <f>H268/H$240</f>
        <v>7.9250951670598608E-3</v>
      </c>
      <c r="Z268" s="1260">
        <f t="shared" ref="Z268" si="898">I268/I$240</f>
        <v>7.2047547038365453E-3</v>
      </c>
      <c r="AA268" s="1260">
        <f t="shared" ref="AA268" si="899">J268/J$240</f>
        <v>7.031148157129785E-3</v>
      </c>
      <c r="AB268" s="1260">
        <f t="shared" ref="AB268" si="900">K268/K$240</f>
        <v>4.3059543793899098E-2</v>
      </c>
      <c r="AC268" s="1260">
        <f t="shared" ref="AC268" si="901">L268/L$240</f>
        <v>4.2134652135157172E-2</v>
      </c>
      <c r="AD268" s="1260">
        <f t="shared" ref="AD268" si="902">M268/M$240</f>
        <v>4.1063360721050136E-2</v>
      </c>
      <c r="AE268" s="1260">
        <f t="shared" ref="AE268" si="903">N268/N$240</f>
        <v>4.0186968368721834E-2</v>
      </c>
      <c r="AF268" s="1260">
        <f t="shared" ref="AF268" si="904">O268/O$240</f>
        <v>3.9333164727017027E-2</v>
      </c>
      <c r="AG268" s="1260">
        <f t="shared" ref="AG268" si="905">P268/P$240</f>
        <v>3.8501434582489197E-2</v>
      </c>
      <c r="AH268" s="1260">
        <f t="shared" ref="AH268" si="906">Q268/Q$240</f>
        <v>3.7691270716590543E-2</v>
      </c>
      <c r="AI268" s="1260">
        <f t="shared" ref="AI268" si="907">R268/R$240</f>
        <v>3.6902173960087409E-2</v>
      </c>
      <c r="AJ268" s="1260">
        <f t="shared" ref="AJ268" si="908">S268/S$240</f>
        <v>3.6133653238055938E-2</v>
      </c>
      <c r="AK268" s="1260">
        <f t="shared" ref="AK268" si="909">T268/T$240</f>
        <v>3.5385225605706359E-2</v>
      </c>
      <c r="AL268" s="1260">
        <f t="shared" ref="AL268" si="910">U268/U$240</f>
        <v>3.4936250303289944E-2</v>
      </c>
      <c r="AM268" s="1275">
        <f t="shared" si="564"/>
        <v>2.741826259555321E-2</v>
      </c>
      <c r="AN268" s="1275">
        <f t="shared" si="569"/>
        <v>3.6029903859099537E-2</v>
      </c>
    </row>
    <row r="269" spans="5:40" hidden="1" outlineLevel="1" x14ac:dyDescent="0.3">
      <c r="E269" s="596" t="str">
        <f>'EE Measures'!$II$6</f>
        <v>Renowave</v>
      </c>
      <c r="F269" s="1319">
        <f t="shared" si="565"/>
        <v>44.020573387142818</v>
      </c>
      <c r="G269" s="1232">
        <f>SUM(G270:G271)</f>
        <v>0.60079300501896338</v>
      </c>
      <c r="H269" s="1232">
        <f>SUM(H270:H271)</f>
        <v>0.61712743509515233</v>
      </c>
      <c r="I269" s="1232">
        <f t="shared" ref="I269" si="911">SUM(I270:I271)</f>
        <v>0.6113515444080484</v>
      </c>
      <c r="J269" s="1232">
        <f t="shared" ref="J269" si="912">SUM(J270:J271)</f>
        <v>0.55460582895470334</v>
      </c>
      <c r="K269" s="1232">
        <f t="shared" ref="K269" si="913">SUM(K270:K271)</f>
        <v>7.1814346603045047</v>
      </c>
      <c r="L269" s="1232">
        <f t="shared" ref="L269" si="914">SUM(L270:L271)</f>
        <v>7.132492363309515</v>
      </c>
      <c r="M269" s="1232">
        <f t="shared" ref="M269" si="915">SUM(M270:M271)</f>
        <v>6.9031324810795098</v>
      </c>
      <c r="N269" s="1232">
        <f t="shared" ref="N269" si="916">SUM(N270:N271)</f>
        <v>6.8540790617416949</v>
      </c>
      <c r="O269" s="1232">
        <f t="shared" ref="O269" si="917">SUM(O270:O271)</f>
        <v>6.8061702513321691</v>
      </c>
      <c r="P269" s="1232">
        <f t="shared" ref="P269:U269" si="918">SUM(P270:P271)</f>
        <v>6.759386755898559</v>
      </c>
      <c r="Q269" s="1232">
        <f t="shared" si="918"/>
        <v>6.7137097130114789</v>
      </c>
      <c r="R269" s="1232">
        <f t="shared" si="918"/>
        <v>6.6691206842482096</v>
      </c>
      <c r="S269" s="1232">
        <f t="shared" si="918"/>
        <v>6.6256016478408428</v>
      </c>
      <c r="T269" s="1232">
        <f t="shared" si="918"/>
        <v>6.5831349914860082</v>
      </c>
      <c r="U269" s="1232">
        <f t="shared" si="918"/>
        <v>6.5425521267945292</v>
      </c>
      <c r="V269" s="1139">
        <f t="shared" si="566"/>
        <v>75.325420566001739</v>
      </c>
      <c r="W269" s="596" t="str">
        <f>'EE Measures'!$II$6</f>
        <v>Renowave</v>
      </c>
      <c r="X269" s="1274">
        <f>G269/G$234</f>
        <v>7.8478610805167957E-3</v>
      </c>
      <c r="Y269" s="1274">
        <f>H269/H$234</f>
        <v>7.9931762226932955E-3</v>
      </c>
      <c r="Z269" s="1274">
        <f t="shared" ref="Z269" si="919">I269/I$234</f>
        <v>7.7950662994783178E-3</v>
      </c>
      <c r="AA269" s="1274">
        <f t="shared" ref="AA269" si="920">J269/J$234</f>
        <v>6.9854982203620183E-3</v>
      </c>
      <c r="AB269" s="1274">
        <f t="shared" ref="AB269" si="921">K269/K$234</f>
        <v>8.9343808351899284E-2</v>
      </c>
      <c r="AC269" s="1274">
        <f t="shared" ref="AC269" si="922">L269/L$234</f>
        <v>8.7637826380160377E-2</v>
      </c>
      <c r="AD269" s="1274">
        <f t="shared" ref="AD269" si="923">M269/M$234</f>
        <v>8.3824005231003723E-2</v>
      </c>
      <c r="AE269" s="1274">
        <f t="shared" ref="AE269" si="924">N269/N$234</f>
        <v>8.2246675305254383E-2</v>
      </c>
      <c r="AF269" s="1274">
        <f t="shared" ref="AF269" si="925">O269/O$234</f>
        <v>8.0703899049751282E-2</v>
      </c>
      <c r="AG269" s="1274">
        <f t="shared" ref="AG269" si="926">P269/P$234</f>
        <v>7.919489696471925E-2</v>
      </c>
      <c r="AH269" s="1274">
        <f t="shared" ref="AH269" si="927">Q269/Q$234</f>
        <v>7.7718905713086955E-2</v>
      </c>
      <c r="AI269" s="1274">
        <f t="shared" ref="AI269" si="928">R269/R$234</f>
        <v>7.6275177888082982E-2</v>
      </c>
      <c r="AJ269" s="1274">
        <f t="shared" ref="AJ269" si="929">S269/S$234</f>
        <v>7.4862981779365928E-2</v>
      </c>
      <c r="AK269" s="1274">
        <f t="shared" ref="AK269" si="930">T269/T$234</f>
        <v>7.3481601137932159E-2</v>
      </c>
      <c r="AL269" s="1274">
        <f t="shared" ref="AL269" si="931">U269/U$234</f>
        <v>7.2139692036645123E-2</v>
      </c>
      <c r="AM269" s="1275">
        <f t="shared" si="564"/>
        <v>5.3357271310583862E-2</v>
      </c>
      <c r="AN269" s="1275">
        <f t="shared" si="569"/>
        <v>7.3701247338188614E-2</v>
      </c>
    </row>
    <row r="270" spans="5:40" hidden="1" outlineLevel="1" x14ac:dyDescent="0.3">
      <c r="E270" s="1234" t="s">
        <v>125</v>
      </c>
      <c r="F270" s="1319">
        <f t="shared" si="565"/>
        <v>33.529912756766521</v>
      </c>
      <c r="G270" s="952">
        <f>SUMPRODUCT('EE Measures'!HF$42:HF$86,'EE Measures'!$AJ$42:$AJ$86,'EE Measures'!$II$42:$II$86)+G$249</f>
        <v>0.41008533501896333</v>
      </c>
      <c r="H270" s="952">
        <f>SUMPRODUCT('EE Measures'!HG$42:HG$86,'EE Measures'!$AJ$42:$AJ$86,'EE Measures'!$II$42:$II$86)+H$249</f>
        <v>0.41782526509515228</v>
      </c>
      <c r="I270" s="952">
        <f>SUMPRODUCT('EE Measures'!HH$42:HH$86,'EE Measures'!$AJ$42:$AJ$86,'EE Measures'!$II$42:$II$86)+I$249</f>
        <v>0.42596329081169204</v>
      </c>
      <c r="J270" s="952">
        <f>SUMPRODUCT('EE Measures'!HI$42:HI$86,'EE Measures'!$AJ$42:$AJ$86,'EE Measures'!$II$42:$II$86)+J$249</f>
        <v>0.3756005533995766</v>
      </c>
      <c r="K270" s="952">
        <f>SUMPRODUCT('EE Measures'!HJ$42:HJ$86,'EE Measures'!$AJ$42:$AJ$86,'EE Measures'!$II$42:$II$86)+K$249</f>
        <v>5.5176899576853806</v>
      </c>
      <c r="L270" s="952">
        <f>SUMPRODUCT('EE Measures'!HK$42:HK$86,'EE Measures'!$AJ$42:$AJ$86,'EE Measures'!$II$42:$II$86)+L$249</f>
        <v>5.4821196262279788</v>
      </c>
      <c r="M270" s="952">
        <f>SUMPRODUCT('EE Measures'!HL$42:HL$86,'EE Measures'!$AJ$42:$AJ$86,'EE Measures'!$II$42:$II$86)+M$249</f>
        <v>5.2787224871719749</v>
      </c>
      <c r="N270" s="952">
        <f>SUMPRODUCT('EE Measures'!HM$42:HM$86,'EE Measures'!$AJ$42:$AJ$86,'EE Measures'!$II$42:$II$86)+N$249</f>
        <v>5.2424812110247982</v>
      </c>
      <c r="O270" s="952">
        <f>SUMPRODUCT('EE Measures'!HN$42:HN$86,'EE Measures'!$AJ$42:$AJ$86,'EE Measures'!$II$42:$II$86)+O$249</f>
        <v>5.2070401364122079</v>
      </c>
      <c r="P270" s="952">
        <f>SUMPRODUCT('EE Measures'!HO$42:HO$86,'EE Measures'!$AJ$42:$AJ$86,'EE Measures'!$II$42:$II$86)+P$249</f>
        <v>5.1723848939187986</v>
      </c>
      <c r="Q270" s="952">
        <f>SUMPRODUCT('EE Measures'!HP$42:HP$86,'EE Measures'!$AJ$42:$AJ$86,'EE Measures'!$II$42:$II$86)+Q$249</f>
        <v>5.1385014146482613</v>
      </c>
      <c r="R270" s="952">
        <f>SUMPRODUCT('EE Measures'!HQ$42:HQ$86,'EE Measures'!$AJ$42:$AJ$86,'EE Measures'!$II$42:$II$86)+R$249</f>
        <v>5.1053759246004597</v>
      </c>
      <c r="S270" s="952">
        <f>SUMPRODUCT('EE Measures'!HR$42:HR$86,'EE Measures'!$AJ$42:$AJ$86,'EE Measures'!$II$42:$II$86)+S$249</f>
        <v>5.0729949391626281</v>
      </c>
      <c r="T270" s="952">
        <f>SUMPRODUCT('EE Measures'!HS$42:HS$86,'EE Measures'!$AJ$42:$AJ$86,'EE Measures'!$II$42:$II$86)+T$249</f>
        <v>5.0413452577125106</v>
      </c>
      <c r="U270" s="952">
        <f>SUMPRODUCT('EE Measures'!HT$42:HT$86,'EE Measures'!$AJ$42:$AJ$86,'EE Measures'!$II$42:$II$86)+U$249</f>
        <v>5.0024882490045446</v>
      </c>
      <c r="V270" s="1139">
        <f t="shared" si="566"/>
        <v>57.636744650969121</v>
      </c>
      <c r="W270" s="1234" t="s">
        <v>125</v>
      </c>
      <c r="X270" s="1260">
        <f>G270/G$235</f>
        <v>7.6294946050039685E-3</v>
      </c>
      <c r="Y270" s="1260">
        <f>H270/H$235</f>
        <v>7.6803595318662267E-3</v>
      </c>
      <c r="Z270" s="1260">
        <f t="shared" ref="Z270" si="932">I270/I$235</f>
        <v>7.7353738056807324E-3</v>
      </c>
      <c r="AA270" s="1260">
        <f t="shared" ref="AA270" si="933">J270/J$235</f>
        <v>6.7377546446663883E-3</v>
      </c>
      <c r="AB270" s="1260">
        <f t="shared" ref="AB270" si="934">K270/K$235</f>
        <v>9.7765191836705345E-2</v>
      </c>
      <c r="AC270" s="1260">
        <f t="shared" ref="AC270" si="935">L270/L$235</f>
        <v>9.593392692644441E-2</v>
      </c>
      <c r="AD270" s="1260">
        <f t="shared" ref="AD270" si="936">M270/M$235</f>
        <v>9.1314307555006732E-2</v>
      </c>
      <c r="AE270" s="1260">
        <f t="shared" ref="AE270" si="937">N270/N$235</f>
        <v>8.9642846677941326E-2</v>
      </c>
      <c r="AF270" s="1260">
        <f t="shared" ref="AF270" si="938">O270/O$235</f>
        <v>8.8007794497730385E-2</v>
      </c>
      <c r="AG270" s="1260">
        <f t="shared" ref="AG270" si="939">P270/P$235</f>
        <v>8.6408292784133603E-2</v>
      </c>
      <c r="AH270" s="1260">
        <f t="shared" ref="AH270" si="940">Q270/Q$235</f>
        <v>8.484350329694984E-2</v>
      </c>
      <c r="AI270" s="1260">
        <f t="shared" ref="AI270" si="941">R270/R$235</f>
        <v>8.3312607382995937E-2</v>
      </c>
      <c r="AJ270" s="1260">
        <f t="shared" ref="AJ270" si="942">S270/S$235</f>
        <v>8.1814805578008215E-2</v>
      </c>
      <c r="AK270" s="1260">
        <f t="shared" ref="AK270" si="943">T270/T$235</f>
        <v>8.0349317213541868E-2</v>
      </c>
      <c r="AL270" s="1260">
        <f t="shared" ref="AL270" si="944">U270/U$235</f>
        <v>7.8790547955435747E-2</v>
      </c>
      <c r="AM270" s="1275">
        <f t="shared" si="564"/>
        <v>5.7885534286517916E-2</v>
      </c>
      <c r="AN270" s="1275">
        <f t="shared" si="569"/>
        <v>8.0410074695796654E-2</v>
      </c>
    </row>
    <row r="271" spans="5:40" hidden="1" outlineLevel="1" x14ac:dyDescent="0.3">
      <c r="E271" s="1234" t="s">
        <v>414</v>
      </c>
      <c r="F271" s="1319">
        <f t="shared" si="565"/>
        <v>10.490660630376297</v>
      </c>
      <c r="G271" s="646">
        <f>SUMPRODUCT('EE Measures'!HF$42:HF$86,'EE Measures'!$P$42:$P$86,'EE Measures'!$II$42:$II$86)+G$250</f>
        <v>0.19070767</v>
      </c>
      <c r="H271" s="646">
        <f>SUMPRODUCT('EE Measures'!HG$42:HG$86,'EE Measures'!$P$42:$P$86,'EE Measures'!$II$42:$II$86)+H$250</f>
        <v>0.19930217</v>
      </c>
      <c r="I271" s="646">
        <f>SUMPRODUCT('EE Measures'!HH$42:HH$86,'EE Measures'!$P$42:$P$86,'EE Measures'!$II$42:$II$86)+I$250</f>
        <v>0.18538825359635636</v>
      </c>
      <c r="J271" s="646">
        <f>SUMPRODUCT('EE Measures'!HI$42:HI$86,'EE Measures'!$P$42:$P$86,'EE Measures'!$II$42:$II$86)+J$250</f>
        <v>0.17900527555512674</v>
      </c>
      <c r="K271" s="646">
        <f>SUMPRODUCT('EE Measures'!HJ$42:HJ$86,'EE Measures'!$P$42:$P$86,'EE Measures'!$II$42:$II$86)+K$250</f>
        <v>1.6637447026191241</v>
      </c>
      <c r="L271" s="646">
        <f>SUMPRODUCT('EE Measures'!HK$42:HK$86,'EE Measures'!$P$42:$P$86,'EE Measures'!$II$42:$II$86)+L$250</f>
        <v>1.6503727370815362</v>
      </c>
      <c r="M271" s="646">
        <f>SUMPRODUCT('EE Measures'!HL$42:HL$86,'EE Measures'!$P$42:$P$86,'EE Measures'!$II$42:$II$86)+M$250</f>
        <v>1.6244099939075345</v>
      </c>
      <c r="N271" s="646">
        <f>SUMPRODUCT('EE Measures'!HM$42:HM$86,'EE Measures'!$P$42:$P$86,'EE Measures'!$II$42:$II$86)+N$250</f>
        <v>1.6115978507168971</v>
      </c>
      <c r="O271" s="646">
        <f>SUMPRODUCT('EE Measures'!HN$42:HN$86,'EE Measures'!$P$42:$P$86,'EE Measures'!$II$42:$II$86)+O$250</f>
        <v>1.5991301149199617</v>
      </c>
      <c r="P271" s="646">
        <f>SUMPRODUCT('EE Measures'!HO$42:HO$86,'EE Measures'!$P$42:$P$86,'EE Measures'!$II$42:$II$86)+P$250</f>
        <v>1.5870018619797601</v>
      </c>
      <c r="Q271" s="646">
        <f>SUMPRODUCT('EE Measures'!HP$42:HP$86,'EE Measures'!$P$42:$P$86,'EE Measures'!$II$42:$II$86)+Q$250</f>
        <v>1.5752082983632172</v>
      </c>
      <c r="R271" s="646">
        <f>SUMPRODUCT('EE Measures'!HQ$42:HQ$86,'EE Measures'!$P$42:$P$86,'EE Measures'!$II$42:$II$86)+R$250</f>
        <v>1.5637447596477501</v>
      </c>
      <c r="S271" s="646">
        <f>SUMPRODUCT('EE Measures'!HR$42:HR$86,'EE Measures'!$P$42:$P$86,'EE Measures'!$II$42:$II$86)+S$250</f>
        <v>1.5526067086782147</v>
      </c>
      <c r="T271" s="646">
        <f>SUMPRODUCT('EE Measures'!HS$42:HS$86,'EE Measures'!$P$42:$P$86,'EE Measures'!$II$42:$II$86)+T$250</f>
        <v>1.5417897337734974</v>
      </c>
      <c r="U271" s="646">
        <f>SUMPRODUCT('EE Measures'!HT$42:HT$86,'EE Measures'!$P$42:$P$86,'EE Measures'!$II$42:$II$86)+U$250</f>
        <v>1.5400638777899851</v>
      </c>
      <c r="V271" s="1139">
        <f t="shared" si="566"/>
        <v>17.688675915032608</v>
      </c>
      <c r="W271" s="1234" t="s">
        <v>414</v>
      </c>
      <c r="X271" s="1260">
        <f>G271/G$236</f>
        <v>8.3625376014032013E-3</v>
      </c>
      <c r="Y271" s="1260">
        <f>H271/H$236</f>
        <v>8.7394067090550316E-3</v>
      </c>
      <c r="Z271" s="1260">
        <f t="shared" ref="Z271" si="945">I271/I$236</f>
        <v>7.9357739350867634E-3</v>
      </c>
      <c r="AA271" s="1260">
        <f t="shared" ref="AA271" si="946">J271/J$236</f>
        <v>7.5695009109408833E-3</v>
      </c>
      <c r="AB271" s="1260">
        <f t="shared" ref="AB271" si="947">K271/K$236</f>
        <v>6.9491838853475763E-2</v>
      </c>
      <c r="AC271" s="1260">
        <f t="shared" ref="AC271" si="948">L271/L$236</f>
        <v>6.8081146990958935E-2</v>
      </c>
      <c r="AD271" s="1260">
        <f t="shared" ref="AD271" si="949">M271/M$236</f>
        <v>6.6182460693940903E-2</v>
      </c>
      <c r="AE271" s="1260">
        <f t="shared" ref="AE271" si="950">N271/N$236</f>
        <v>6.4843200417206176E-2</v>
      </c>
      <c r="AF271" s="1260">
        <f t="shared" ref="AF271" si="951">O271/O$236</f>
        <v>6.3534653890986517E-2</v>
      </c>
      <c r="AG271" s="1260">
        <f t="shared" ref="AG271" si="952">P271/P$236</f>
        <v>6.2256189339571902E-2</v>
      </c>
      <c r="AH271" s="1260">
        <f t="shared" ref="AH271" si="953">Q271/Q$236</f>
        <v>6.1007183400062857E-2</v>
      </c>
      <c r="AI271" s="1260">
        <f t="shared" ref="AI271" si="954">R271/R$236</f>
        <v>5.9787021229052884E-2</v>
      </c>
      <c r="AJ271" s="1260">
        <f t="shared" ref="AJ271" si="955">S271/S$236</f>
        <v>5.8595096598264153E-2</v>
      </c>
      <c r="AK271" s="1260">
        <f t="shared" ref="AK271" si="956">T271/T$236</f>
        <v>5.7430811979331489E-2</v>
      </c>
      <c r="AL271" s="1260">
        <f t="shared" ref="AL271" si="957">U271/U$236</f>
        <v>5.6616142356549812E-2</v>
      </c>
      <c r="AM271" s="1275">
        <f t="shared" si="564"/>
        <v>4.2699670934262607E-2</v>
      </c>
      <c r="AN271" s="1275">
        <f t="shared" si="569"/>
        <v>5.7949603888361852E-2</v>
      </c>
    </row>
    <row r="272" spans="5:40" hidden="1" outlineLevel="1" x14ac:dyDescent="0.3">
      <c r="E272" s="1234" t="s">
        <v>415</v>
      </c>
      <c r="F272" s="1319">
        <f t="shared" si="565"/>
        <v>2.9194797292649195</v>
      </c>
      <c r="G272" s="1237">
        <f>SUM(G273:G274)</f>
        <v>6.3193514091787042E-2</v>
      </c>
      <c r="H272" s="1237">
        <f>SUM(H273:H274)</f>
        <v>6.8780846015333963E-2</v>
      </c>
      <c r="I272" s="1237">
        <f t="shared" ref="I272" si="958">SUM(I273:I274)</f>
        <v>6.3248788735812522E-2</v>
      </c>
      <c r="J272" s="1237">
        <f t="shared" ref="J272" si="959">SUM(J273:J274)</f>
        <v>5.8314258403206337E-2</v>
      </c>
      <c r="K272" s="1237">
        <f t="shared" ref="K272" si="960">SUM(K273:K274)</f>
        <v>0.4546701216405904</v>
      </c>
      <c r="L272" s="1237">
        <f t="shared" ref="L272" si="961">SUM(L273:L274)</f>
        <v>0.45313866935546959</v>
      </c>
      <c r="M272" s="1237">
        <f t="shared" ref="M272" si="962">SUM(M273:M274)</f>
        <v>0.44177563053963909</v>
      </c>
      <c r="N272" s="1237">
        <f t="shared" ref="N272" si="963">SUM(N273:N274)</f>
        <v>0.44024464309833022</v>
      </c>
      <c r="O272" s="1237">
        <f t="shared" ref="O272" si="964">SUM(O273:O274)</f>
        <v>0.43876804099697264</v>
      </c>
      <c r="P272" s="1237">
        <f t="shared" ref="P272:U272" si="965">SUM(P273:P274)</f>
        <v>0.43734521638777735</v>
      </c>
      <c r="Q272" s="1237">
        <f t="shared" si="965"/>
        <v>0.4359755814978189</v>
      </c>
      <c r="R272" s="1237">
        <f t="shared" si="965"/>
        <v>0.43465856838793748</v>
      </c>
      <c r="S272" s="1237">
        <f t="shared" si="965"/>
        <v>0.43339362871922193</v>
      </c>
      <c r="T272" s="1237">
        <f t="shared" si="965"/>
        <v>0.43218023352698098</v>
      </c>
      <c r="U272" s="1237">
        <f t="shared" si="965"/>
        <v>0.43287255469181901</v>
      </c>
      <c r="V272" s="1139">
        <f t="shared" si="566"/>
        <v>4.8933371472457639</v>
      </c>
      <c r="W272" s="1234" t="s">
        <v>415</v>
      </c>
      <c r="X272" s="1260">
        <f>G272/G$237</f>
        <v>9.9743061586640251E-3</v>
      </c>
      <c r="Y272" s="1260">
        <f>H272/H$237</f>
        <v>1.0856196650377906E-2</v>
      </c>
      <c r="Z272" s="1260">
        <f t="shared" ref="Z272" si="966">I272/I$237</f>
        <v>9.8695753303797672E-3</v>
      </c>
      <c r="AA272" s="1260">
        <f t="shared" ref="AA272" si="967">J272/J$237</f>
        <v>8.9949028964827083E-3</v>
      </c>
      <c r="AB272" s="1260">
        <f t="shared" ref="AB272" si="968">K272/K$237</f>
        <v>6.9316054564090596E-2</v>
      </c>
      <c r="AC272" s="1260">
        <f t="shared" ref="AC272" si="969">L272/L$237</f>
        <v>6.8269275919981817E-2</v>
      </c>
      <c r="AD272" s="1260">
        <f t="shared" ref="AD272" si="970">M272/M$237</f>
        <v>6.5786981552452661E-2</v>
      </c>
      <c r="AE272" s="1260">
        <f t="shared" ref="AE272" si="971">N272/N$237</f>
        <v>6.479367502922867E-2</v>
      </c>
      <c r="AF272" s="1260">
        <f t="shared" ref="AF272" si="972">O272/O$237</f>
        <v>6.3816164121497612E-2</v>
      </c>
      <c r="AG272" s="1260">
        <f t="shared" ref="AG272" si="973">P272/P$237</f>
        <v>6.2854252569046809E-2</v>
      </c>
      <c r="AH272" s="1260">
        <f t="shared" ref="AH272" si="974">Q272/Q$237</f>
        <v>6.1907744485424389E-2</v>
      </c>
      <c r="AI272" s="1260">
        <f t="shared" ref="AI272" si="975">R272/R$237</f>
        <v>6.0976444427225968E-2</v>
      </c>
      <c r="AJ272" s="1260">
        <f t="shared" ref="AJ272" si="976">S272/S$237</f>
        <v>6.0060157462466159E-2</v>
      </c>
      <c r="AK272" s="1260">
        <f t="shared" ref="AK272" si="977">T272/T$237</f>
        <v>5.9158689237903045E-2</v>
      </c>
      <c r="AL272" s="1260">
        <f t="shared" ref="AL272" si="978">U272/U$237</f>
        <v>5.8522591391627479E-2</v>
      </c>
      <c r="AM272" s="1275">
        <f t="shared" si="564"/>
        <v>4.3453138479220256E-2</v>
      </c>
      <c r="AN272" s="1275">
        <f t="shared" si="569"/>
        <v>5.8704744471452325E-2</v>
      </c>
    </row>
    <row r="273" spans="5:40" hidden="1" outlineLevel="1" x14ac:dyDescent="0.3">
      <c r="E273" s="1264" t="s">
        <v>416</v>
      </c>
      <c r="F273" s="1319">
        <f t="shared" si="565"/>
        <v>0.5869906349824735</v>
      </c>
      <c r="G273" s="646">
        <f>SUMPRODUCT('EE Measures'!HF$42:HF$86,'EE Measures'!$AL$42:$AL$86,'EE Measures'!$II$42:$II$86)+G$252</f>
        <v>1.192118852838411E-2</v>
      </c>
      <c r="H273" s="646">
        <f>SUMPRODUCT('EE Measures'!HG$42:HG$86,'EE Measures'!$AL$42:$AL$86,'EE Measures'!$II$42:$II$86)+H$252</f>
        <v>1.2603893378246578E-2</v>
      </c>
      <c r="I273" s="646">
        <f>SUMPRODUCT('EE Measures'!HH$42:HH$86,'EE Measures'!$AL$42:$AL$86,'EE Measures'!$II$42:$II$86)+I$252</f>
        <v>1.2201151090871521E-2</v>
      </c>
      <c r="J273" s="646">
        <f>SUMPRODUCT('EE Measures'!HI$42:HI$86,'EE Measures'!$AL$42:$AL$86,'EE Measures'!$II$42:$II$86)+J$252</f>
        <v>1.1660343397556297E-2</v>
      </c>
      <c r="K273" s="646">
        <f>SUMPRODUCT('EE Measures'!HJ$42:HJ$86,'EE Measures'!$AL$42:$AL$86,'EE Measures'!$II$42:$II$86)+K$252</f>
        <v>9.1443661411935509E-2</v>
      </c>
      <c r="L273" s="646">
        <f>SUMPRODUCT('EE Measures'!HK$42:HK$86,'EE Measures'!$AL$42:$AL$86,'EE Measures'!$II$42:$II$86)+L$252</f>
        <v>9.1103946417043669E-2</v>
      </c>
      <c r="M273" s="646">
        <f>SUMPRODUCT('EE Measures'!HL$42:HL$86,'EE Measures'!$AL$42:$AL$86,'EE Measures'!$II$42:$II$86)+M$252</f>
        <v>8.9495615419707783E-2</v>
      </c>
      <c r="N273" s="646">
        <f>SUMPRODUCT('EE Measures'!HM$42:HM$86,'EE Measures'!$AL$42:$AL$86,'EE Measures'!$II$42:$II$86)+N$252</f>
        <v>8.9166480499623779E-2</v>
      </c>
      <c r="O273" s="646">
        <f>SUMPRODUCT('EE Measures'!HN$42:HN$86,'EE Measures'!$AL$42:$AL$86,'EE Measures'!$II$42:$II$86)+O$252</f>
        <v>8.884957682634613E-2</v>
      </c>
      <c r="P273" s="646">
        <f>SUMPRODUCT('EE Measures'!HO$42:HO$86,'EE Measures'!$AL$42:$AL$86,'EE Measures'!$II$42:$II$86)+P$252</f>
        <v>8.8544778012758105E-2</v>
      </c>
      <c r="Q273" s="646">
        <f>SUMPRODUCT('EE Measures'!HP$42:HP$86,'EE Measures'!$AL$42:$AL$86,'EE Measures'!$II$42:$II$86)+Q$252</f>
        <v>8.8251962285676E-2</v>
      </c>
      <c r="R273" s="646">
        <f>SUMPRODUCT('EE Measures'!HQ$42:HQ$86,'EE Measures'!$AL$42:$AL$86,'EE Measures'!$II$42:$II$86)+R$252</f>
        <v>8.7971012437314783E-2</v>
      </c>
      <c r="S273" s="646">
        <f>SUMPRODUCT('EE Measures'!HR$42:HR$86,'EE Measures'!$AL$42:$AL$86,'EE Measures'!$II$42:$II$86)+S$252</f>
        <v>8.7701815778530007E-2</v>
      </c>
      <c r="T273" s="646">
        <f>SUMPRODUCT('EE Measures'!HS$42:HS$86,'EE Measures'!$AL$42:$AL$86,'EE Measures'!$II$42:$II$86)+T$252</f>
        <v>8.7444264093817781E-2</v>
      </c>
      <c r="U273" s="646">
        <f>SUMPRODUCT('EE Measures'!HT$42:HT$86,'EE Measures'!$AL$42:$AL$86,'EE Measures'!$II$42:$II$86)+U$252</f>
        <v>8.7606924010504836E-2</v>
      </c>
      <c r="V273" s="1139">
        <f t="shared" si="566"/>
        <v>0.98924038059081465</v>
      </c>
      <c r="W273" s="1264" t="s">
        <v>416</v>
      </c>
      <c r="X273" s="1260">
        <f>G273/G$238</f>
        <v>8.3100770480490586E-3</v>
      </c>
      <c r="Y273" s="1260">
        <f>H273/H$238</f>
        <v>8.7859800916026271E-3</v>
      </c>
      <c r="Z273" s="1260">
        <f t="shared" ref="Z273" si="979">I273/I$238</f>
        <v>8.4030268896506735E-3</v>
      </c>
      <c r="AA273" s="1260">
        <f t="shared" ref="AA273" si="980">J273/J$238</f>
        <v>7.9330770935264645E-3</v>
      </c>
      <c r="AB273" s="1260">
        <f t="shared" ref="AB273" si="981">K273/K$238</f>
        <v>6.1450579139848714E-2</v>
      </c>
      <c r="AC273" s="1260">
        <f t="shared" ref="AC273" si="982">L273/L$238</f>
        <v>6.046429282394164E-2</v>
      </c>
      <c r="AD273" s="1260">
        <f t="shared" ref="AD273" si="983">M273/M$238</f>
        <v>5.8665664446273254E-2</v>
      </c>
      <c r="AE273" s="1260">
        <f t="shared" ref="AE273" si="984">N273/N$238</f>
        <v>5.7724576597186043E-2</v>
      </c>
      <c r="AF273" s="1260">
        <f t="shared" ref="AF273" si="985">O273/O$238</f>
        <v>5.6800006949962359E-2</v>
      </c>
      <c r="AG273" s="1260">
        <f t="shared" ref="AG273" si="986">P273/P$238</f>
        <v>5.5891712767991729E-2</v>
      </c>
      <c r="AH273" s="1260">
        <f t="shared" ref="AH273" si="987">Q273/Q$238</f>
        <v>5.4999452816592791E-2</v>
      </c>
      <c r="AI273" s="1260">
        <f t="shared" ref="AI273" si="988">R273/R$238</f>
        <v>5.4122987433978309E-2</v>
      </c>
      <c r="AJ273" s="1260">
        <f t="shared" ref="AJ273" si="989">S273/S$238</f>
        <v>5.3262078599752544E-2</v>
      </c>
      <c r="AK273" s="1260">
        <f t="shared" ref="AK273" si="990">T273/T$238</f>
        <v>5.2416490000870682E-2</v>
      </c>
      <c r="AL273" s="1260">
        <f t="shared" ref="AL273" si="991">U273/U$238</f>
        <v>5.1827754168914157E-2</v>
      </c>
      <c r="AM273" s="1275">
        <f t="shared" ref="AM273:AM296" si="992">AVERAGE(X273:AG273)</f>
        <v>3.8442899384803254E-2</v>
      </c>
      <c r="AN273" s="1275">
        <f t="shared" si="569"/>
        <v>5.2129889403236561E-2</v>
      </c>
    </row>
    <row r="274" spans="5:40" hidden="1" outlineLevel="1" x14ac:dyDescent="0.3">
      <c r="E274" s="1264" t="s">
        <v>190</v>
      </c>
      <c r="F274" s="1319">
        <f t="shared" si="565"/>
        <v>2.3324890942824457</v>
      </c>
      <c r="G274" s="646">
        <f>SUMPRODUCT('EE Measures'!HF$42:HF$86,'EE Measures'!$AM$42:$AM$86,'EE Measures'!$II$42:$II$86)+G$253</f>
        <v>5.1272325563402936E-2</v>
      </c>
      <c r="H274" s="646">
        <f>SUMPRODUCT('EE Measures'!HG$42:HG$86,'EE Measures'!$AM$42:$AM$86,'EE Measures'!$II$42:$II$86)+H$253</f>
        <v>5.6176952637087378E-2</v>
      </c>
      <c r="I274" s="646">
        <f>SUMPRODUCT('EE Measures'!HH$42:HH$86,'EE Measures'!$AM$42:$AM$86,'EE Measures'!$II$42:$II$86)+I$253</f>
        <v>5.1047637644940996E-2</v>
      </c>
      <c r="J274" s="646">
        <f>SUMPRODUCT('EE Measures'!HI$42:HI$86,'EE Measures'!$AM$42:$AM$86,'EE Measures'!$II$42:$II$86)+J$253</f>
        <v>4.665391500565004E-2</v>
      </c>
      <c r="K274" s="646">
        <f>SUMPRODUCT('EE Measures'!HJ$42:HJ$86,'EE Measures'!$AM$42:$AM$86,'EE Measures'!$II$42:$II$86)+K$253</f>
        <v>0.3632264602286549</v>
      </c>
      <c r="L274" s="646">
        <f>SUMPRODUCT('EE Measures'!HK$42:HK$86,'EE Measures'!$AM$42:$AM$86,'EE Measures'!$II$42:$II$86)+L$253</f>
        <v>0.36203472293842592</v>
      </c>
      <c r="M274" s="646">
        <f>SUMPRODUCT('EE Measures'!HL$42:HL$86,'EE Measures'!$AM$42:$AM$86,'EE Measures'!$II$42:$II$86)+M$253</f>
        <v>0.35228001511993129</v>
      </c>
      <c r="N274" s="646">
        <f>SUMPRODUCT('EE Measures'!HM$42:HM$86,'EE Measures'!$AM$42:$AM$86,'EE Measures'!$II$42:$II$86)+N$253</f>
        <v>0.35107816259870644</v>
      </c>
      <c r="O274" s="646">
        <f>SUMPRODUCT('EE Measures'!HN$42:HN$86,'EE Measures'!$AM$42:$AM$86,'EE Measures'!$II$42:$II$86)+O$253</f>
        <v>0.3499184641706265</v>
      </c>
      <c r="P274" s="646">
        <f>SUMPRODUCT('EE Measures'!HO$42:HO$86,'EE Measures'!$AM$42:$AM$86,'EE Measures'!$II$42:$II$86)+P$253</f>
        <v>0.34880043837501923</v>
      </c>
      <c r="Q274" s="646">
        <f>SUMPRODUCT('EE Measures'!HP$42:HP$86,'EE Measures'!$AM$42:$AM$86,'EE Measures'!$II$42:$II$86)+Q$253</f>
        <v>0.3477236192121429</v>
      </c>
      <c r="R274" s="646">
        <f>SUMPRODUCT('EE Measures'!HQ$42:HQ$86,'EE Measures'!$AM$42:$AM$86,'EE Measures'!$II$42:$II$86)+R$253</f>
        <v>0.34668755595062267</v>
      </c>
      <c r="S274" s="646">
        <f>SUMPRODUCT('EE Measures'!HR$42:HR$86,'EE Measures'!$AM$42:$AM$86,'EE Measures'!$II$42:$II$86)+S$253</f>
        <v>0.34569181294069196</v>
      </c>
      <c r="T274" s="646">
        <f>SUMPRODUCT('EE Measures'!HS$42:HS$86,'EE Measures'!$AM$42:$AM$86,'EE Measures'!$II$42:$II$86)+T$253</f>
        <v>0.3447359694331632</v>
      </c>
      <c r="U274" s="646">
        <f>SUMPRODUCT('EE Measures'!HT$42:HT$86,'EE Measures'!$AM$42:$AM$86,'EE Measures'!$II$42:$II$86)+U$253</f>
        <v>0.34526563068131416</v>
      </c>
      <c r="V274" s="1139">
        <f t="shared" si="566"/>
        <v>3.9040967666549498</v>
      </c>
      <c r="W274" s="1264" t="s">
        <v>190</v>
      </c>
      <c r="X274" s="1260">
        <f>G274/G$239</f>
        <v>1.0461425613837255E-2</v>
      </c>
      <c r="Y274" s="1260">
        <f>H274/H$239</f>
        <v>1.1462148532705316E-2</v>
      </c>
      <c r="Z274" s="1260">
        <f t="shared" ref="Z274" si="993">I274/I$239</f>
        <v>1.0299200099245683E-2</v>
      </c>
      <c r="AA274" s="1260">
        <f t="shared" ref="AA274" si="994">J274/J$239</f>
        <v>9.3062238422433885E-3</v>
      </c>
      <c r="AB274" s="1260">
        <f t="shared" ref="AB274" si="995">K274/K$239</f>
        <v>7.16240448148079E-2</v>
      </c>
      <c r="AC274" s="1260">
        <f t="shared" ref="AC274" si="996">L274/L$239</f>
        <v>7.0561340095941921E-2</v>
      </c>
      <c r="AD274" s="1260">
        <f t="shared" ref="AD274" si="997">M274/M$239</f>
        <v>6.7880292718669924E-2</v>
      </c>
      <c r="AE274" s="1260">
        <f t="shared" ref="AE274" si="998">N274/N$239</f>
        <v>6.6873640113354241E-2</v>
      </c>
      <c r="AF274" s="1260">
        <f t="shared" ref="AF274" si="999">O274/O$239</f>
        <v>6.5882542138742908E-2</v>
      </c>
      <c r="AG274" s="1260">
        <f t="shared" ref="AG274" si="1000">P274/P$239</f>
        <v>6.4906815618971117E-2</v>
      </c>
      <c r="AH274" s="1260">
        <f t="shared" ref="AH274" si="1001">Q274/Q$239</f>
        <v>6.3946277473774599E-2</v>
      </c>
      <c r="AI274" s="1260">
        <f t="shared" ref="AI274" si="1002">R274/R$239</f>
        <v>6.300074478547002E-2</v>
      </c>
      <c r="AJ274" s="1260">
        <f t="shared" ref="AJ274" si="1003">S274/S$239</f>
        <v>6.2070034865477047E-2</v>
      </c>
      <c r="AK274" s="1260">
        <f t="shared" ref="AK274" si="1004">T274/T$239</f>
        <v>6.1153965320235884E-2</v>
      </c>
      <c r="AL274" s="1260">
        <f t="shared" ref="AL274" si="1005">U274/U$239</f>
        <v>6.0505759037500301E-2</v>
      </c>
      <c r="AM274" s="1275">
        <f t="shared" si="992"/>
        <v>4.492576735885196E-2</v>
      </c>
      <c r="AN274" s="1275">
        <f t="shared" si="569"/>
        <v>6.0642640068765769E-2</v>
      </c>
    </row>
    <row r="275" spans="5:40" hidden="1" outlineLevel="1" x14ac:dyDescent="0.3">
      <c r="E275" s="1234" t="s">
        <v>417</v>
      </c>
      <c r="F275" s="1319">
        <f t="shared" si="565"/>
        <v>7.5711809011113766</v>
      </c>
      <c r="G275" s="1237">
        <f>G271-G272</f>
        <v>0.12751415590821297</v>
      </c>
      <c r="H275" s="1237">
        <f>H271-H272</f>
        <v>0.13052132398466604</v>
      </c>
      <c r="I275" s="1237">
        <f t="shared" ref="I275:P275" si="1006">I271-I272</f>
        <v>0.12213946486054383</v>
      </c>
      <c r="J275" s="1237">
        <f t="shared" si="1006"/>
        <v>0.1206910171519204</v>
      </c>
      <c r="K275" s="1237">
        <f t="shared" si="1006"/>
        <v>1.2090745809785337</v>
      </c>
      <c r="L275" s="1237">
        <f t="shared" si="1006"/>
        <v>1.1972340677260667</v>
      </c>
      <c r="M275" s="1237">
        <f t="shared" si="1006"/>
        <v>1.1826343633678955</v>
      </c>
      <c r="N275" s="1237">
        <f t="shared" si="1006"/>
        <v>1.1713532076185669</v>
      </c>
      <c r="O275" s="1237">
        <f t="shared" si="1006"/>
        <v>1.1603620739229892</v>
      </c>
      <c r="P275" s="1237">
        <f t="shared" si="1006"/>
        <v>1.1496566455919828</v>
      </c>
      <c r="Q275" s="1237">
        <f t="shared" ref="Q275:U275" si="1007">Q271-Q272</f>
        <v>1.1392327168653984</v>
      </c>
      <c r="R275" s="1237">
        <f t="shared" si="1007"/>
        <v>1.1290861912598125</v>
      </c>
      <c r="S275" s="1237">
        <f t="shared" si="1007"/>
        <v>1.1192130799589928</v>
      </c>
      <c r="T275" s="1237">
        <f t="shared" si="1007"/>
        <v>1.1096095002465165</v>
      </c>
      <c r="U275" s="1237">
        <f t="shared" si="1007"/>
        <v>1.107191323098166</v>
      </c>
      <c r="V275" s="1139">
        <f t="shared" si="566"/>
        <v>12.795338767786841</v>
      </c>
      <c r="W275" s="1234" t="s">
        <v>417</v>
      </c>
      <c r="X275" s="1260">
        <f>G275/G$240</f>
        <v>7.742503599171423E-3</v>
      </c>
      <c r="Y275" s="1260">
        <f>H275/H$240</f>
        <v>7.9250951670598608E-3</v>
      </c>
      <c r="Z275" s="1260">
        <f t="shared" ref="Z275" si="1008">I275/I$240</f>
        <v>7.2047547038365453E-3</v>
      </c>
      <c r="AA275" s="1260">
        <f t="shared" ref="AA275" si="1009">J275/J$240</f>
        <v>7.031148157129785E-3</v>
      </c>
      <c r="AB275" s="1260">
        <f t="shared" ref="AB275" si="1010">K275/K$240</f>
        <v>6.9558173086884667E-2</v>
      </c>
      <c r="AC275" s="1260">
        <f t="shared" ref="AC275" si="1011">L275/L$240</f>
        <v>6.8010212659817576E-2</v>
      </c>
      <c r="AD275" s="1260">
        <f t="shared" ref="AD275" si="1012">M275/M$240</f>
        <v>6.6331415372272134E-2</v>
      </c>
      <c r="AE275" s="1260">
        <f t="shared" ref="AE275" si="1013">N275/N$240</f>
        <v>6.4861833757048237E-2</v>
      </c>
      <c r="AF275" s="1260">
        <f t="shared" ref="AF275" si="1014">O275/O$240</f>
        <v>6.3428852396665847E-2</v>
      </c>
      <c r="AG275" s="1260">
        <f t="shared" ref="AG275" si="1015">P275/P$240</f>
        <v>6.2031655381173612E-2</v>
      </c>
      <c r="AH275" s="1260">
        <f t="shared" ref="AH275" si="1016">Q275/Q$240</f>
        <v>6.0669439205634147E-2</v>
      </c>
      <c r="AI275" s="1260">
        <f t="shared" ref="AI275" si="1017">R275/R$240</f>
        <v>5.9341412859522054E-2</v>
      </c>
      <c r="AJ275" s="1260">
        <f t="shared" ref="AJ275" si="1018">S275/S$240</f>
        <v>5.8046797901506381E-2</v>
      </c>
      <c r="AK275" s="1260">
        <f t="shared" ref="AK275" si="1019">T275/T$240</f>
        <v>5.6784828519990213E-2</v>
      </c>
      <c r="AL275" s="1260">
        <f t="shared" ref="AL275" si="1020">U275/U$240</f>
        <v>5.5904137460461835E-2</v>
      </c>
      <c r="AM275" s="1275">
        <f t="shared" si="992"/>
        <v>4.2412564428105967E-2</v>
      </c>
      <c r="AN275" s="1275">
        <f t="shared" si="569"/>
        <v>5.7666658896508877E-2</v>
      </c>
    </row>
    <row r="276" spans="5:40" hidden="1" outlineLevel="1" x14ac:dyDescent="0.3">
      <c r="E276" s="596" t="str">
        <f>'EE Measures'!$IJ$6</f>
        <v>EET</v>
      </c>
      <c r="F276" s="1319">
        <f t="shared" si="565"/>
        <v>21.580818755514102</v>
      </c>
      <c r="G276" s="1232">
        <f>SUM(G277:G278)</f>
        <v>0.60079300501896338</v>
      </c>
      <c r="H276" s="1232">
        <f>SUM(H277:H278)</f>
        <v>0.61712743509515233</v>
      </c>
      <c r="I276" s="1232">
        <f t="shared" ref="I276" si="1021">SUM(I277:I278)</f>
        <v>0.6113515444080484</v>
      </c>
      <c r="J276" s="1232">
        <f t="shared" ref="J276" si="1022">SUM(J277:J278)</f>
        <v>0.55460582895470334</v>
      </c>
      <c r="K276" s="1232">
        <f t="shared" ref="K276" si="1023">SUM(K277:K278)</f>
        <v>3.3761726232674678</v>
      </c>
      <c r="L276" s="1232">
        <f t="shared" ref="L276" si="1024">SUM(L277:L278)</f>
        <v>3.3540422362216415</v>
      </c>
      <c r="M276" s="1232">
        <f t="shared" ref="M276" si="1025">SUM(M277:M278)</f>
        <v>3.150968540216307</v>
      </c>
      <c r="N276" s="1232">
        <f t="shared" ref="N276" si="1026">SUM(N277:N278)</f>
        <v>3.1276858916869963</v>
      </c>
      <c r="O276" s="1232">
        <f t="shared" ref="O276" si="1027">SUM(O277:O278)</f>
        <v>3.1050425428544317</v>
      </c>
      <c r="P276" s="1232">
        <f t="shared" ref="P276:U276" si="1028">SUM(P277:P278)</f>
        <v>3.0830291077903915</v>
      </c>
      <c r="Q276" s="1232">
        <f t="shared" si="1028"/>
        <v>3.0616364378146557</v>
      </c>
      <c r="R276" s="1232">
        <f t="shared" si="1028"/>
        <v>3.0408556177879982</v>
      </c>
      <c r="S276" s="1232">
        <f t="shared" si="1028"/>
        <v>3.0206779624949585</v>
      </c>
      <c r="T276" s="1232">
        <f t="shared" si="1028"/>
        <v>3.0010950131149512</v>
      </c>
      <c r="U276" s="1232">
        <f t="shared" si="1028"/>
        <v>2.9858318755206614</v>
      </c>
      <c r="V276" s="1139">
        <f t="shared" si="566"/>
        <v>34.861643677725162</v>
      </c>
      <c r="W276" s="596" t="str">
        <f>'EE Measures'!$IJ$6</f>
        <v>EET</v>
      </c>
      <c r="X276" s="1274">
        <f>G276/G$234</f>
        <v>7.8478610805167957E-3</v>
      </c>
      <c r="Y276" s="1274">
        <f>H276/H$234</f>
        <v>7.9931762226932955E-3</v>
      </c>
      <c r="Z276" s="1274">
        <f t="shared" ref="Z276" si="1029">I276/I$234</f>
        <v>7.7950662994783178E-3</v>
      </c>
      <c r="AA276" s="1274">
        <f t="shared" ref="AA276" si="1030">J276/J$234</f>
        <v>6.9854982203620183E-3</v>
      </c>
      <c r="AB276" s="1274">
        <f t="shared" ref="AB276" si="1031">K276/K$234</f>
        <v>4.2002766032734139E-2</v>
      </c>
      <c r="AC276" s="1274">
        <f t="shared" ref="AC276" si="1032">L276/L$234</f>
        <v>4.1211536752817059E-2</v>
      </c>
      <c r="AD276" s="1274">
        <f t="shared" ref="AD276" si="1033">M276/M$234</f>
        <v>3.8261876636694045E-2</v>
      </c>
      <c r="AE276" s="1274">
        <f t="shared" ref="AE276" si="1034">N276/N$234</f>
        <v>3.7531193275298684E-2</v>
      </c>
      <c r="AF276" s="1274">
        <f t="shared" ref="AF276" si="1035">O276/O$234</f>
        <v>3.681792119065188E-2</v>
      </c>
      <c r="AG276" s="1274">
        <f t="shared" ref="AG276" si="1036">P276/P$234</f>
        <v>3.6121645549816291E-2</v>
      </c>
      <c r="AH276" s="1274">
        <f t="shared" ref="AH276" si="1037">Q276/Q$234</f>
        <v>3.5441960378047969E-2</v>
      </c>
      <c r="AI276" s="1274">
        <f t="shared" ref="AI276" si="1038">R276/R$234</f>
        <v>3.4778468430865135E-2</v>
      </c>
      <c r="AJ276" s="1274">
        <f t="shared" ref="AJ276" si="1039">S276/S$234</f>
        <v>3.4130781065186133E-2</v>
      </c>
      <c r="AK276" s="1274">
        <f t="shared" ref="AK276" si="1040">T276/T$234</f>
        <v>3.3498518109678174E-2</v>
      </c>
      <c r="AL276" s="1274">
        <f t="shared" ref="AL276" si="1041">U276/U$234</f>
        <v>3.2922472423431964E-2</v>
      </c>
      <c r="AM276" s="1275">
        <f t="shared" si="992"/>
        <v>2.6256854126106254E-2</v>
      </c>
      <c r="AN276" s="1275">
        <f t="shared" si="569"/>
        <v>3.4142053172131953E-2</v>
      </c>
    </row>
    <row r="277" spans="5:40" hidden="1" outlineLevel="1" x14ac:dyDescent="0.3">
      <c r="E277" s="1234" t="s">
        <v>125</v>
      </c>
      <c r="F277" s="1319">
        <f t="shared" si="565"/>
        <v>14.359035375126677</v>
      </c>
      <c r="G277" s="952">
        <f>SUMPRODUCT('EE Measures'!HF$42:HF$86,'EE Measures'!$AJ$42:$AJ$86,'EE Measures'!$IJ$42:$IJ$86)+G$249</f>
        <v>0.41008533501896333</v>
      </c>
      <c r="H277" s="952">
        <f>SUMPRODUCT('EE Measures'!HG$42:HG$86,'EE Measures'!$AJ$42:$AJ$86,'EE Measures'!$IJ$42:$IJ$86)+H$249</f>
        <v>0.41782526509515228</v>
      </c>
      <c r="I277" s="952">
        <f>SUMPRODUCT('EE Measures'!HH$42:HH$86,'EE Measures'!$AJ$42:$AJ$86,'EE Measures'!$IJ$42:$IJ$86)+I$249</f>
        <v>0.42596329081169204</v>
      </c>
      <c r="J277" s="952">
        <f>SUMPRODUCT('EE Measures'!HI$42:HI$86,'EE Measures'!$AJ$42:$AJ$86,'EE Measures'!$IJ$42:$IJ$86)+J$249</f>
        <v>0.3756005533995766</v>
      </c>
      <c r="K277" s="952">
        <f>SUMPRODUCT('EE Measures'!HJ$42:HJ$86,'EE Measures'!$AJ$42:$AJ$86,'EE Measures'!$IJ$42:$IJ$86)+K$249</f>
        <v>2.269657550277973</v>
      </c>
      <c r="L277" s="952">
        <f>SUMPRODUCT('EE Measures'!HK$42:HK$86,'EE Measures'!$AJ$42:$AJ$86,'EE Measures'!$IJ$42:$IJ$86)+L$249</f>
        <v>2.2558010895540486</v>
      </c>
      <c r="M277" s="952">
        <f>SUMPRODUCT('EE Measures'!HL$42:HL$86,'EE Measures'!$AJ$42:$AJ$86,'EE Measures'!$IJ$42:$IJ$86)+M$249</f>
        <v>2.0736920590602788</v>
      </c>
      <c r="N277" s="952">
        <f>SUMPRODUCT('EE Measures'!HM$42:HM$86,'EE Measures'!$AJ$42:$AJ$86,'EE Measures'!$IJ$42:$IJ$86)+N$249</f>
        <v>2.0583214775819605</v>
      </c>
      <c r="O277" s="952">
        <f>SUMPRODUCT('EE Measures'!HN$42:HN$86,'EE Measures'!$AJ$42:$AJ$86,'EE Measures'!$IJ$42:$IJ$86)+O$249</f>
        <v>2.0433418683309932</v>
      </c>
      <c r="P277" s="952">
        <f>SUMPRODUCT('EE Measures'!HO$42:HO$86,'EE Measures'!$AJ$42:$AJ$86,'EE Measures'!$IJ$42:$IJ$86)+P$249</f>
        <v>2.0287468859960396</v>
      </c>
      <c r="Q277" s="952">
        <f>SUMPRODUCT('EE Measures'!HP$42:HP$86,'EE Measures'!$AJ$42:$AJ$86,'EE Measures'!$IJ$42:$IJ$86)+Q$249</f>
        <v>2.014530328449478</v>
      </c>
      <c r="R277" s="952">
        <f>SUMPRODUCT('EE Measures'!HQ$42:HQ$86,'EE Measures'!$AJ$42:$AJ$86,'EE Measures'!$IJ$42:$IJ$86)+R$249</f>
        <v>2.0006861342094955</v>
      </c>
      <c r="S277" s="952">
        <f>SUMPRODUCT('EE Measures'!HR$42:HR$86,'EE Measures'!$AJ$42:$AJ$86,'EE Measures'!$IJ$42:$IJ$86)+S$249</f>
        <v>1.987208379955802</v>
      </c>
      <c r="T277" s="952">
        <f>SUMPRODUCT('EE Measures'!HS$42:HS$86,'EE Measures'!$AJ$42:$AJ$86,'EE Measures'!$IJ$42:$IJ$86)+T$249</f>
        <v>1.9740912780979749</v>
      </c>
      <c r="U277" s="952">
        <f>SUMPRODUCT('EE Measures'!HT$42:HT$86,'EE Measures'!$AJ$42:$AJ$86,'EE Measures'!$IJ$42:$IJ$86)+U$249</f>
        <v>1.957665672062777</v>
      </c>
      <c r="V277" s="1139">
        <f t="shared" si="566"/>
        <v>23.0393432769764</v>
      </c>
      <c r="W277" s="1234" t="s">
        <v>125</v>
      </c>
      <c r="X277" s="1260">
        <f>G277/G$235</f>
        <v>7.6294946050039685E-3</v>
      </c>
      <c r="Y277" s="1260">
        <f>H277/H$235</f>
        <v>7.6803595318662267E-3</v>
      </c>
      <c r="Z277" s="1260">
        <f t="shared" ref="Z277" si="1042">I277/I$235</f>
        <v>7.7353738056807324E-3</v>
      </c>
      <c r="AA277" s="1260">
        <f t="shared" ref="AA277" si="1043">J277/J$235</f>
        <v>6.7377546446663883E-3</v>
      </c>
      <c r="AB277" s="1260">
        <f t="shared" ref="AB277" si="1044">K277/K$235</f>
        <v>4.0214928259512971E-2</v>
      </c>
      <c r="AC277" s="1260">
        <f t="shared" ref="AC277" si="1045">L277/L$235</f>
        <v>3.947521609169502E-2</v>
      </c>
      <c r="AD277" s="1260">
        <f t="shared" ref="AD277" si="1046">M277/M$235</f>
        <v>3.5871890389307451E-2</v>
      </c>
      <c r="AE277" s="1260">
        <f t="shared" ref="AE277" si="1047">N277/N$235</f>
        <v>3.519589087716056E-2</v>
      </c>
      <c r="AF277" s="1260">
        <f t="shared" ref="AF277" si="1048">O277/O$235</f>
        <v>3.4535937216837023E-2</v>
      </c>
      <c r="AG277" s="1260">
        <f t="shared" ref="AG277" si="1049">P277/P$235</f>
        <v>3.3891629974433443E-2</v>
      </c>
      <c r="AH277" s="1260">
        <f t="shared" ref="AH277" si="1050">Q277/Q$235</f>
        <v>3.3262579256350844E-2</v>
      </c>
      <c r="AI277" s="1260">
        <f t="shared" ref="AI277" si="1051">R277/R$235</f>
        <v>3.2648404516665237E-2</v>
      </c>
      <c r="AJ277" s="1260">
        <f t="shared" ref="AJ277" si="1052">S277/S$235</f>
        <v>3.2048734366746545E-2</v>
      </c>
      <c r="AK277" s="1260">
        <f t="shared" ref="AK277" si="1053">T277/T$235</f>
        <v>3.1463206387168222E-2</v>
      </c>
      <c r="AL277" s="1260">
        <f t="shared" ref="AL277" si="1054">U277/U$235</f>
        <v>3.0833765785670007E-2</v>
      </c>
      <c r="AM277" s="1275">
        <f t="shared" si="992"/>
        <v>2.4896847539616379E-2</v>
      </c>
      <c r="AN277" s="1275">
        <f t="shared" si="569"/>
        <v>3.2181661480517806E-2</v>
      </c>
    </row>
    <row r="278" spans="5:40" hidden="1" outlineLevel="1" x14ac:dyDescent="0.3">
      <c r="E278" s="1234" t="s">
        <v>414</v>
      </c>
      <c r="F278" s="1319">
        <f t="shared" si="565"/>
        <v>7.2217833803874258</v>
      </c>
      <c r="G278" s="646">
        <f>SUMPRODUCT('EE Measures'!HF$42:HF$86,'EE Measures'!$P$42:$P$86,'EE Measures'!$IJ$42:$IJ$86)+G$250</f>
        <v>0.19070767</v>
      </c>
      <c r="H278" s="646">
        <f>SUMPRODUCT('EE Measures'!HG$42:HG$86,'EE Measures'!$P$42:$P$86,'EE Measures'!$IJ$42:$IJ$86)+H$250</f>
        <v>0.19930217</v>
      </c>
      <c r="I278" s="646">
        <f>SUMPRODUCT('EE Measures'!HH$42:HH$86,'EE Measures'!$P$42:$P$86,'EE Measures'!$IJ$42:$IJ$86)+I$250</f>
        <v>0.18538825359635636</v>
      </c>
      <c r="J278" s="646">
        <f>SUMPRODUCT('EE Measures'!HI$42:HI$86,'EE Measures'!$P$42:$P$86,'EE Measures'!$IJ$42:$IJ$86)+J$250</f>
        <v>0.17900527555512674</v>
      </c>
      <c r="K278" s="646">
        <f>SUMPRODUCT('EE Measures'!HJ$42:HJ$86,'EE Measures'!$P$42:$P$86,'EE Measures'!$IJ$42:$IJ$86)+K$250</f>
        <v>1.1065150729894948</v>
      </c>
      <c r="L278" s="646">
        <f>SUMPRODUCT('EE Measures'!HK$42:HK$86,'EE Measures'!$P$42:$P$86,'EE Measures'!$IJ$42:$IJ$86)+L$250</f>
        <v>1.098241146667593</v>
      </c>
      <c r="M278" s="646">
        <f>SUMPRODUCT('EE Measures'!HL$42:HL$86,'EE Measures'!$P$42:$P$86,'EE Measures'!$IJ$42:$IJ$86)+M$250</f>
        <v>1.0772764811560285</v>
      </c>
      <c r="N278" s="646">
        <f>SUMPRODUCT('EE Measures'!HM$42:HM$86,'EE Measures'!$P$42:$P$86,'EE Measures'!$IJ$42:$IJ$86)+N$250</f>
        <v>1.0693644141050358</v>
      </c>
      <c r="O278" s="646">
        <f>SUMPRODUCT('EE Measures'!HN$42:HN$86,'EE Measures'!$P$42:$P$86,'EE Measures'!$IJ$42:$IJ$86)+O$250</f>
        <v>1.0617006745234383</v>
      </c>
      <c r="P278" s="646">
        <f>SUMPRODUCT('EE Measures'!HO$42:HO$86,'EE Measures'!$P$42:$P$86,'EE Measures'!$IJ$42:$IJ$86)+P$250</f>
        <v>1.0542822217943522</v>
      </c>
      <c r="Q278" s="646">
        <f>SUMPRODUCT('EE Measures'!HP$42:HP$86,'EE Measures'!$P$42:$P$86,'EE Measures'!$IJ$42:$IJ$86)+Q$250</f>
        <v>1.0471061093651775</v>
      </c>
      <c r="R278" s="646">
        <f>SUMPRODUCT('EE Measures'!HQ$42:HQ$86,'EE Measures'!$P$42:$P$86,'EE Measures'!$IJ$42:$IJ$86)+R$250</f>
        <v>1.0401694835785029</v>
      </c>
      <c r="S278" s="646">
        <f>SUMPRODUCT('EE Measures'!HR$42:HR$86,'EE Measures'!$P$42:$P$86,'EE Measures'!$IJ$42:$IJ$86)+S$250</f>
        <v>1.0334695825391562</v>
      </c>
      <c r="T278" s="646">
        <f>SUMPRODUCT('EE Measures'!HS$42:HS$86,'EE Measures'!$P$42:$P$86,'EE Measures'!$IJ$42:$IJ$86)+T$250</f>
        <v>1.0270037350169765</v>
      </c>
      <c r="U278" s="646">
        <f>SUMPRODUCT('EE Measures'!HT$42:HT$86,'EE Measures'!$P$42:$P$86,'EE Measures'!$IJ$42:$IJ$86)+U$250</f>
        <v>1.0281662034578842</v>
      </c>
      <c r="V278" s="1139">
        <f t="shared" si="566"/>
        <v>11.822300400748766</v>
      </c>
      <c r="W278" s="1234" t="s">
        <v>414</v>
      </c>
      <c r="X278" s="1260">
        <f>G278/G$236</f>
        <v>8.3625376014032013E-3</v>
      </c>
      <c r="Y278" s="1260">
        <f>H278/H$236</f>
        <v>8.7394067090550316E-3</v>
      </c>
      <c r="Z278" s="1260">
        <f t="shared" ref="Z278" si="1055">I278/I$236</f>
        <v>7.9357739350867634E-3</v>
      </c>
      <c r="AA278" s="1260">
        <f t="shared" ref="AA278" si="1056">J278/J$236</f>
        <v>7.5695009109408833E-3</v>
      </c>
      <c r="AB278" s="1260">
        <f t="shared" ref="AB278" si="1057">K278/K$236</f>
        <v>4.6217287436034586E-2</v>
      </c>
      <c r="AC278" s="1260">
        <f t="shared" ref="AC278" si="1058">L278/L$236</f>
        <v>4.5304624378378663E-2</v>
      </c>
      <c r="AD278" s="1260">
        <f t="shared" ref="AD278" si="1059">M278/M$236</f>
        <v>4.3890894932941557E-2</v>
      </c>
      <c r="AE278" s="1260">
        <f t="shared" ref="AE278" si="1060">N278/N$236</f>
        <v>4.3026249378525602E-2</v>
      </c>
      <c r="AF278" s="1260">
        <f t="shared" ref="AF278" si="1061">O278/O$236</f>
        <v>4.2182174084720914E-2</v>
      </c>
      <c r="AG278" s="1260">
        <f t="shared" ref="AG278" si="1062">P278/P$236</f>
        <v>4.1358233528153737E-2</v>
      </c>
      <c r="AH278" s="1260">
        <f t="shared" ref="AH278" si="1063">Q278/Q$236</f>
        <v>4.0553998172651672E-2</v>
      </c>
      <c r="AI278" s="1260">
        <f t="shared" ref="AI278" si="1064">R278/R$236</f>
        <v>3.9769044540574242E-2</v>
      </c>
      <c r="AJ278" s="1260">
        <f t="shared" ref="AJ278" si="1065">S278/S$236</f>
        <v>3.9002955276293452E-2</v>
      </c>
      <c r="AK278" s="1260">
        <f t="shared" ref="AK278" si="1066">T278/T$236</f>
        <v>3.8255319201973677E-2</v>
      </c>
      <c r="AL278" s="1260">
        <f t="shared" ref="AL278" si="1067">U278/U$236</f>
        <v>3.7797655656139607E-2</v>
      </c>
      <c r="AM278" s="1275">
        <f t="shared" si="992"/>
        <v>2.9458668289524093E-2</v>
      </c>
      <c r="AN278" s="1275">
        <f t="shared" si="569"/>
        <v>3.8743994791444046E-2</v>
      </c>
    </row>
    <row r="279" spans="5:40" hidden="1" outlineLevel="1" x14ac:dyDescent="0.3">
      <c r="E279" s="1234" t="s">
        <v>415</v>
      </c>
      <c r="F279" s="1319">
        <f t="shared" si="565"/>
        <v>2.3397299497874329</v>
      </c>
      <c r="G279" s="1237">
        <f>SUM(G280:G281)</f>
        <v>6.3193514091787042E-2</v>
      </c>
      <c r="H279" s="1237">
        <f>SUM(H280:H281)</f>
        <v>6.8780846015333963E-2</v>
      </c>
      <c r="I279" s="1237">
        <f t="shared" ref="I279" si="1068">SUM(I280:I281)</f>
        <v>6.3248788735812522E-2</v>
      </c>
      <c r="J279" s="1237">
        <f t="shared" ref="J279" si="1069">SUM(J280:J281)</f>
        <v>5.8314258403206337E-2</v>
      </c>
      <c r="K279" s="1237">
        <f t="shared" ref="K279" si="1070">SUM(K280:K281)</f>
        <v>0.35804515839434276</v>
      </c>
      <c r="L279" s="1237">
        <f t="shared" ref="L279" si="1071">SUM(L280:L281)</f>
        <v>0.3565137061092219</v>
      </c>
      <c r="M279" s="1237">
        <f t="shared" ref="M279" si="1072">SUM(M280:M281)</f>
        <v>0.34515066729339139</v>
      </c>
      <c r="N279" s="1237">
        <f t="shared" ref="N279" si="1073">SUM(N280:N281)</f>
        <v>0.34361967985208253</v>
      </c>
      <c r="O279" s="1237">
        <f t="shared" ref="O279" si="1074">SUM(O280:O281)</f>
        <v>0.34214307775072494</v>
      </c>
      <c r="P279" s="1237">
        <f t="shared" ref="P279:U279" si="1075">SUM(P280:P281)</f>
        <v>0.34072025314152965</v>
      </c>
      <c r="Q279" s="1237">
        <f t="shared" si="1075"/>
        <v>0.3393506182515712</v>
      </c>
      <c r="R279" s="1237">
        <f t="shared" si="1075"/>
        <v>0.33803360514168973</v>
      </c>
      <c r="S279" s="1237">
        <f t="shared" si="1075"/>
        <v>0.33676866547297424</v>
      </c>
      <c r="T279" s="1237">
        <f t="shared" si="1075"/>
        <v>0.33555527028073329</v>
      </c>
      <c r="U279" s="1237">
        <f t="shared" si="1075"/>
        <v>0.33624759144557131</v>
      </c>
      <c r="V279" s="1139">
        <f t="shared" si="566"/>
        <v>3.8304625515370394</v>
      </c>
      <c r="W279" s="1234" t="s">
        <v>415</v>
      </c>
      <c r="X279" s="1260">
        <f>G279/G$237</f>
        <v>9.9743061586640251E-3</v>
      </c>
      <c r="Y279" s="1260">
        <f>H279/H$237</f>
        <v>1.0856196650377906E-2</v>
      </c>
      <c r="Z279" s="1260">
        <f t="shared" ref="Z279" si="1076">I279/I$237</f>
        <v>9.8695753303797672E-3</v>
      </c>
      <c r="AA279" s="1260">
        <f t="shared" ref="AA279" si="1077">J279/J$237</f>
        <v>8.9949028964827083E-3</v>
      </c>
      <c r="AB279" s="1260">
        <f t="shared" ref="AB279" si="1078">K279/K$237</f>
        <v>5.4585240055182643E-2</v>
      </c>
      <c r="AC279" s="1260">
        <f t="shared" ref="AC279" si="1079">L279/L$237</f>
        <v>5.3711886046372344E-2</v>
      </c>
      <c r="AD279" s="1260">
        <f t="shared" ref="AD279" si="1080">M279/M$237</f>
        <v>5.1398083127198867E-2</v>
      </c>
      <c r="AE279" s="1260">
        <f t="shared" ref="AE279" si="1081">N279/N$237</f>
        <v>5.0572749081720457E-2</v>
      </c>
      <c r="AF279" s="1260">
        <f t="shared" ref="AF279" si="1082">O279/O$237</f>
        <v>4.9762646233674143E-2</v>
      </c>
      <c r="AG279" s="1260">
        <f t="shared" ref="AG279" si="1083">P279/P$237</f>
        <v>4.8967534212970031E-2</v>
      </c>
      <c r="AH279" s="1260">
        <f t="shared" ref="AH279" si="1084">Q279/Q$237</f>
        <v>4.8187174367686846E-2</v>
      </c>
      <c r="AI279" s="1260">
        <f t="shared" ref="AI279" si="1085">R279/R$237</f>
        <v>4.7421329838045617E-2</v>
      </c>
      <c r="AJ279" s="1260">
        <f t="shared" ref="AJ279" si="1086">S279/S$237</f>
        <v>4.6669765627392897E-2</v>
      </c>
      <c r="AK279" s="1260">
        <f t="shared" ref="AK279" si="1087">T279/T$237</f>
        <v>4.5932248670135366E-2</v>
      </c>
      <c r="AL279" s="1260">
        <f t="shared" ref="AL279" si="1088">U279/U$237</f>
        <v>4.5459293243014114E-2</v>
      </c>
      <c r="AM279" s="1275">
        <f t="shared" si="992"/>
        <v>3.4869311979302285E-2</v>
      </c>
      <c r="AN279" s="1275">
        <f t="shared" si="569"/>
        <v>4.5971904449989665E-2</v>
      </c>
    </row>
    <row r="280" spans="5:40" hidden="1" outlineLevel="1" x14ac:dyDescent="0.3">
      <c r="E280" s="1264" t="s">
        <v>416</v>
      </c>
      <c r="F280" s="1319">
        <f t="shared" si="565"/>
        <v>0.48251395468883423</v>
      </c>
      <c r="G280" s="646">
        <f>SUMPRODUCT('EE Measures'!HF$42:HF$86,'EE Measures'!$AL$42:$AL$86,'EE Measures'!$IJ$42:$IJ$86)+G$252</f>
        <v>1.192118852838411E-2</v>
      </c>
      <c r="H280" s="646">
        <f>SUMPRODUCT('EE Measures'!HG$42:HG$86,'EE Measures'!$AL$42:$AL$86,'EE Measures'!$IJ$42:$IJ$86)+H$252</f>
        <v>1.2603893378246578E-2</v>
      </c>
      <c r="I280" s="646">
        <f>SUMPRODUCT('EE Measures'!HH$42:HH$86,'EE Measures'!$AL$42:$AL$86,'EE Measures'!$IJ$42:$IJ$86)+I$252</f>
        <v>1.2201151090871521E-2</v>
      </c>
      <c r="J280" s="646">
        <f>SUMPRODUCT('EE Measures'!HI$42:HI$86,'EE Measures'!$AL$42:$AL$86,'EE Measures'!$IJ$42:$IJ$86)+J$252</f>
        <v>1.1660343397556297E-2</v>
      </c>
      <c r="K280" s="646">
        <f>SUMPRODUCT('EE Measures'!HJ$42:HJ$86,'EE Measures'!$AL$42:$AL$86,'EE Measures'!$IJ$42:$IJ$86)+K$252</f>
        <v>7.403088136299564E-2</v>
      </c>
      <c r="L280" s="646">
        <f>SUMPRODUCT('EE Measures'!HK$42:HK$86,'EE Measures'!$AL$42:$AL$86,'EE Measures'!$IJ$42:$IJ$86)+L$252</f>
        <v>7.3691166368103786E-2</v>
      </c>
      <c r="M280" s="646">
        <f>SUMPRODUCT('EE Measures'!HL$42:HL$86,'EE Measures'!$AL$42:$AL$86,'EE Measures'!$IJ$42:$IJ$86)+M$252</f>
        <v>7.20828353707679E-2</v>
      </c>
      <c r="N280" s="646">
        <f>SUMPRODUCT('EE Measures'!HM$42:HM$86,'EE Measures'!$AL$42:$AL$86,'EE Measures'!$IJ$42:$IJ$86)+N$252</f>
        <v>7.175370045068391E-2</v>
      </c>
      <c r="O280" s="646">
        <f>SUMPRODUCT('EE Measures'!HN$42:HN$86,'EE Measures'!$AL$42:$AL$86,'EE Measures'!$IJ$42:$IJ$86)+O$252</f>
        <v>7.1436796777406247E-2</v>
      </c>
      <c r="P280" s="646">
        <f>SUMPRODUCT('EE Measures'!HO$42:HO$86,'EE Measures'!$AL$42:$AL$86,'EE Measures'!$IJ$42:$IJ$86)+P$252</f>
        <v>7.1131997963818236E-2</v>
      </c>
      <c r="Q280" s="646">
        <f>SUMPRODUCT('EE Measures'!HP$42:HP$86,'EE Measures'!$AL$42:$AL$86,'EE Measures'!$IJ$42:$IJ$86)+Q$252</f>
        <v>7.0839182236736131E-2</v>
      </c>
      <c r="R280" s="646">
        <f>SUMPRODUCT('EE Measures'!HQ$42:HQ$86,'EE Measures'!$AL$42:$AL$86,'EE Measures'!$IJ$42:$IJ$86)+R$252</f>
        <v>7.05582323883749E-2</v>
      </c>
      <c r="S280" s="646">
        <f>SUMPRODUCT('EE Measures'!HR$42:HR$86,'EE Measures'!$AL$42:$AL$86,'EE Measures'!$IJ$42:$IJ$86)+S$252</f>
        <v>7.0289035729590138E-2</v>
      </c>
      <c r="T280" s="646">
        <f>SUMPRODUCT('EE Measures'!HS$42:HS$86,'EE Measures'!$AL$42:$AL$86,'EE Measures'!$IJ$42:$IJ$86)+T$252</f>
        <v>7.0031484044877912E-2</v>
      </c>
      <c r="U280" s="646">
        <f>SUMPRODUCT('EE Measures'!HT$42:HT$86,'EE Measures'!$AL$42:$AL$86,'EE Measures'!$IJ$42:$IJ$86)+U$252</f>
        <v>7.0194143961564967E-2</v>
      </c>
      <c r="V280" s="1139">
        <f t="shared" si="566"/>
        <v>0.79769980005247609</v>
      </c>
      <c r="W280" s="1264" t="s">
        <v>416</v>
      </c>
      <c r="X280" s="1260">
        <f>G280/G$238</f>
        <v>8.3100770480490586E-3</v>
      </c>
      <c r="Y280" s="1260">
        <f>H280/H$238</f>
        <v>8.7859800916026271E-3</v>
      </c>
      <c r="Z280" s="1260">
        <f t="shared" ref="Z280" si="1089">I280/I$238</f>
        <v>8.4030268896506735E-3</v>
      </c>
      <c r="AA280" s="1260">
        <f t="shared" ref="AA280" si="1090">J280/J$238</f>
        <v>7.9330770935264645E-3</v>
      </c>
      <c r="AB280" s="1260">
        <f t="shared" ref="AB280" si="1091">K280/K$238</f>
        <v>4.9749107414849579E-2</v>
      </c>
      <c r="AC280" s="1260">
        <f t="shared" ref="AC280" si="1092">L280/L$238</f>
        <v>4.8907697603155206E-2</v>
      </c>
      <c r="AD280" s="1260">
        <f t="shared" ref="AD280" si="1093">M280/M$238</f>
        <v>4.7251336418724789E-2</v>
      </c>
      <c r="AE280" s="1260">
        <f t="shared" ref="AE280" si="1094">N280/N$238</f>
        <v>4.6451894866642432E-2</v>
      </c>
      <c r="AF280" s="1260">
        <f t="shared" ref="AF280" si="1095">O280/O$238</f>
        <v>4.5668316027775838E-2</v>
      </c>
      <c r="AG280" s="1260">
        <f t="shared" ref="AG280" si="1096">P280/P$238</f>
        <v>4.4900323746187021E-2</v>
      </c>
      <c r="AH280" s="1260">
        <f t="shared" ref="AH280" si="1097">Q280/Q$238</f>
        <v>4.4147644540565169E-2</v>
      </c>
      <c r="AI280" s="1260">
        <f t="shared" ref="AI280" si="1098">R280/R$238</f>
        <v>4.3410007673162818E-2</v>
      </c>
      <c r="AJ280" s="1260">
        <f t="shared" ref="AJ280" si="1099">S280/S$238</f>
        <v>4.2687145214691635E-2</v>
      </c>
      <c r="AK280" s="1260">
        <f t="shared" ref="AK280" si="1100">T280/T$238</f>
        <v>4.1978792105175938E-2</v>
      </c>
      <c r="AL280" s="1260">
        <f t="shared" ref="AL280" si="1101">U280/U$238</f>
        <v>4.152645328468707E-2</v>
      </c>
      <c r="AM280" s="1275">
        <f t="shared" si="992"/>
        <v>3.1636083720016368E-2</v>
      </c>
      <c r="AN280" s="1275">
        <f t="shared" si="569"/>
        <v>4.2050982999095328E-2</v>
      </c>
    </row>
    <row r="281" spans="5:40" hidden="1" outlineLevel="1" x14ac:dyDescent="0.3">
      <c r="E281" s="1264" t="s">
        <v>190</v>
      </c>
      <c r="F281" s="1319">
        <f t="shared" si="565"/>
        <v>1.8572159950985987</v>
      </c>
      <c r="G281" s="646">
        <f>SUMPRODUCT('EE Measures'!HF$42:HF$86,'EE Measures'!$AM$42:$AM$86,'EE Measures'!$IJ$42:$IJ$86)+G$253</f>
        <v>5.1272325563402936E-2</v>
      </c>
      <c r="H281" s="646">
        <f>SUMPRODUCT('EE Measures'!HG$42:HG$86,'EE Measures'!$AM$42:$AM$86,'EE Measures'!$IJ$42:$IJ$86)+H$253</f>
        <v>5.6176952637087378E-2</v>
      </c>
      <c r="I281" s="646">
        <f>SUMPRODUCT('EE Measures'!HH$42:HH$86,'EE Measures'!$AM$42:$AM$86,'EE Measures'!$IJ$42:$IJ$86)+I$253</f>
        <v>5.1047637644940996E-2</v>
      </c>
      <c r="J281" s="646">
        <f>SUMPRODUCT('EE Measures'!HI$42:HI$86,'EE Measures'!$AM$42:$AM$86,'EE Measures'!$IJ$42:$IJ$86)+J$253</f>
        <v>4.665391500565004E-2</v>
      </c>
      <c r="K281" s="646">
        <f>SUMPRODUCT('EE Measures'!HJ$42:HJ$86,'EE Measures'!$AM$42:$AM$86,'EE Measures'!$IJ$42:$IJ$86)+K$253</f>
        <v>0.28401427703134713</v>
      </c>
      <c r="L281" s="646">
        <f>SUMPRODUCT('EE Measures'!HK$42:HK$86,'EE Measures'!$AM$42:$AM$86,'EE Measures'!$IJ$42:$IJ$86)+L$253</f>
        <v>0.2828225397411181</v>
      </c>
      <c r="M281" s="646">
        <f>SUMPRODUCT('EE Measures'!HL$42:HL$86,'EE Measures'!$AM$42:$AM$86,'EE Measures'!$IJ$42:$IJ$86)+M$253</f>
        <v>0.27306783192262346</v>
      </c>
      <c r="N281" s="646">
        <f>SUMPRODUCT('EE Measures'!HM$42:HM$86,'EE Measures'!$AM$42:$AM$86,'EE Measures'!$IJ$42:$IJ$86)+N$253</f>
        <v>0.27186597940139862</v>
      </c>
      <c r="O281" s="646">
        <f>SUMPRODUCT('EE Measures'!HN$42:HN$86,'EE Measures'!$AM$42:$AM$86,'EE Measures'!$IJ$42:$IJ$86)+O$253</f>
        <v>0.27070628097331867</v>
      </c>
      <c r="P281" s="646">
        <f>SUMPRODUCT('EE Measures'!HO$42:HO$86,'EE Measures'!$AM$42:$AM$86,'EE Measures'!$IJ$42:$IJ$86)+P$253</f>
        <v>0.2695882551777114</v>
      </c>
      <c r="Q281" s="646">
        <f>SUMPRODUCT('EE Measures'!HP$42:HP$86,'EE Measures'!$AM$42:$AM$86,'EE Measures'!$IJ$42:$IJ$86)+Q$253</f>
        <v>0.26851143601483507</v>
      </c>
      <c r="R281" s="646">
        <f>SUMPRODUCT('EE Measures'!HQ$42:HQ$86,'EE Measures'!$AM$42:$AM$86,'EE Measures'!$IJ$42:$IJ$86)+R$253</f>
        <v>0.26747537275331484</v>
      </c>
      <c r="S281" s="646">
        <f>SUMPRODUCT('EE Measures'!HR$42:HR$86,'EE Measures'!$AM$42:$AM$86,'EE Measures'!$IJ$42:$IJ$86)+S$253</f>
        <v>0.26647962974338413</v>
      </c>
      <c r="T281" s="646">
        <f>SUMPRODUCT('EE Measures'!HS$42:HS$86,'EE Measures'!$AM$42:$AM$86,'EE Measures'!$IJ$42:$IJ$86)+T$253</f>
        <v>0.26552378623585537</v>
      </c>
      <c r="U281" s="646">
        <f>SUMPRODUCT('EE Measures'!HT$42:HT$86,'EE Measures'!$AM$42:$AM$86,'EE Measures'!$IJ$42:$IJ$86)+U$253</f>
        <v>0.26605344748400633</v>
      </c>
      <c r="V281" s="1139">
        <f t="shared" si="566"/>
        <v>3.032762751484563</v>
      </c>
      <c r="W281" s="1264" t="s">
        <v>190</v>
      </c>
      <c r="X281" s="1260">
        <f>G281/G$239</f>
        <v>1.0461425613837255E-2</v>
      </c>
      <c r="Y281" s="1260">
        <f>H281/H$239</f>
        <v>1.1462148532705316E-2</v>
      </c>
      <c r="Z281" s="1260">
        <f t="shared" ref="Z281" si="1102">I281/I$239</f>
        <v>1.0299200099245683E-2</v>
      </c>
      <c r="AA281" s="1260">
        <f t="shared" ref="AA281" si="1103">J281/J$239</f>
        <v>9.3062238422433885E-3</v>
      </c>
      <c r="AB281" s="1260">
        <f t="shared" ref="AB281" si="1104">K281/K$239</f>
        <v>5.6004321087546341E-2</v>
      </c>
      <c r="AC281" s="1260">
        <f t="shared" ref="AC281" si="1105">L281/L$239</f>
        <v>5.5122716549111821E-2</v>
      </c>
      <c r="AD281" s="1260">
        <f t="shared" ref="AD281" si="1106">M281/M$239</f>
        <v>5.2617019323817772E-2</v>
      </c>
      <c r="AE281" s="1260">
        <f t="shared" ref="AE281" si="1107">N281/N$239</f>
        <v>5.1785242155134532E-2</v>
      </c>
      <c r="AF281" s="1260">
        <f t="shared" ref="AF281" si="1108">O281/O$239</f>
        <v>5.0968496348767899E-2</v>
      </c>
      <c r="AG281" s="1260">
        <f t="shared" ref="AG281" si="1109">P281/P$239</f>
        <v>5.0166551548442802E-2</v>
      </c>
      <c r="AH281" s="1260">
        <f t="shared" ref="AH281" si="1110">Q281/Q$239</f>
        <v>4.9379178875424264E-2</v>
      </c>
      <c r="AI281" s="1260">
        <f t="shared" ref="AI281" si="1111">R281/R$239</f>
        <v>4.8606151002518506E-2</v>
      </c>
      <c r="AJ281" s="1260">
        <f t="shared" ref="AJ281" si="1112">S281/S$239</f>
        <v>4.7847242225400904E-2</v>
      </c>
      <c r="AK281" s="1260">
        <f t="shared" ref="AK281" si="1113">T281/T$239</f>
        <v>4.7102228531198824E-2</v>
      </c>
      <c r="AL281" s="1260">
        <f t="shared" ref="AL281" si="1114">U281/U$239</f>
        <v>4.662429258538632E-2</v>
      </c>
      <c r="AM281" s="1275">
        <f t="shared" si="992"/>
        <v>3.5819334510085274E-2</v>
      </c>
      <c r="AN281" s="1275">
        <f t="shared" si="569"/>
        <v>4.7127472006249449E-2</v>
      </c>
    </row>
    <row r="282" spans="5:40" hidden="1" outlineLevel="1" x14ac:dyDescent="0.3">
      <c r="E282" s="1234" t="s">
        <v>417</v>
      </c>
      <c r="F282" s="1319">
        <f t="shared" si="565"/>
        <v>4.8820534305999921</v>
      </c>
      <c r="G282" s="1237">
        <f>G278-G279</f>
        <v>0.12751415590821297</v>
      </c>
      <c r="H282" s="1237">
        <f>H278-H279</f>
        <v>0.13052132398466604</v>
      </c>
      <c r="I282" s="1237">
        <f t="shared" ref="I282:P282" si="1115">I278-I279</f>
        <v>0.12213946486054383</v>
      </c>
      <c r="J282" s="1237">
        <f t="shared" si="1115"/>
        <v>0.1206910171519204</v>
      </c>
      <c r="K282" s="1237">
        <f t="shared" si="1115"/>
        <v>0.74846991459515211</v>
      </c>
      <c r="L282" s="1237">
        <f t="shared" si="1115"/>
        <v>0.74172744055837114</v>
      </c>
      <c r="M282" s="1237">
        <f t="shared" si="1115"/>
        <v>0.73212581386263709</v>
      </c>
      <c r="N282" s="1237">
        <f t="shared" si="1115"/>
        <v>0.72574473425295327</v>
      </c>
      <c r="O282" s="1237">
        <f t="shared" si="1115"/>
        <v>0.71955759677271336</v>
      </c>
      <c r="P282" s="1237">
        <f t="shared" si="1115"/>
        <v>0.71356196865282251</v>
      </c>
      <c r="Q282" s="1237">
        <f t="shared" ref="Q282:U282" si="1116">Q278-Q279</f>
        <v>0.70775549111360625</v>
      </c>
      <c r="R282" s="1237">
        <f t="shared" si="1116"/>
        <v>0.70213587843681324</v>
      </c>
      <c r="S282" s="1237">
        <f t="shared" si="1116"/>
        <v>0.69670091706618198</v>
      </c>
      <c r="T282" s="1237">
        <f t="shared" si="1116"/>
        <v>0.69144846473624322</v>
      </c>
      <c r="U282" s="1237">
        <f t="shared" si="1116"/>
        <v>0.69191861201231286</v>
      </c>
      <c r="V282" s="1139">
        <f t="shared" si="566"/>
        <v>7.9918378492117279</v>
      </c>
      <c r="W282" s="1234" t="s">
        <v>417</v>
      </c>
      <c r="X282" s="1260">
        <f>G282/G$240</f>
        <v>7.742503599171423E-3</v>
      </c>
      <c r="Y282" s="1260">
        <f>H282/H$240</f>
        <v>7.9250951670598608E-3</v>
      </c>
      <c r="Z282" s="1260">
        <f t="shared" ref="Z282" si="1117">I282/I$240</f>
        <v>7.2047547038365453E-3</v>
      </c>
      <c r="AA282" s="1260">
        <f t="shared" ref="AA282" si="1118">J282/J$240</f>
        <v>7.031148157129785E-3</v>
      </c>
      <c r="AB282" s="1260">
        <f t="shared" ref="AB282" si="1119">K282/K$240</f>
        <v>4.3059543793899098E-2</v>
      </c>
      <c r="AC282" s="1260">
        <f t="shared" ref="AC282" si="1120">L282/L$240</f>
        <v>4.2134652135157172E-2</v>
      </c>
      <c r="AD282" s="1260">
        <f t="shared" ref="AD282" si="1121">M282/M$240</f>
        <v>4.1063360721050136E-2</v>
      </c>
      <c r="AE282" s="1260">
        <f t="shared" ref="AE282" si="1122">N282/N$240</f>
        <v>4.0186968368721834E-2</v>
      </c>
      <c r="AF282" s="1260">
        <f t="shared" ref="AF282" si="1123">O282/O$240</f>
        <v>3.9333164727017027E-2</v>
      </c>
      <c r="AG282" s="1260">
        <f t="shared" ref="AG282" si="1124">P282/P$240</f>
        <v>3.8501434582489197E-2</v>
      </c>
      <c r="AH282" s="1260">
        <f t="shared" ref="AH282" si="1125">Q282/Q$240</f>
        <v>3.7691270716590543E-2</v>
      </c>
      <c r="AI282" s="1260">
        <f t="shared" ref="AI282" si="1126">R282/R$240</f>
        <v>3.6902173960087409E-2</v>
      </c>
      <c r="AJ282" s="1260">
        <f t="shared" ref="AJ282" si="1127">S282/S$240</f>
        <v>3.6133653238055938E-2</v>
      </c>
      <c r="AK282" s="1260">
        <f t="shared" ref="AK282" si="1128">T282/T$240</f>
        <v>3.5385225605706359E-2</v>
      </c>
      <c r="AL282" s="1260">
        <f t="shared" ref="AL282" si="1129">U282/U$240</f>
        <v>3.4936250303289944E-2</v>
      </c>
      <c r="AM282" s="1275">
        <f t="shared" si="992"/>
        <v>2.741826259555321E-2</v>
      </c>
      <c r="AN282" s="1275">
        <f t="shared" si="569"/>
        <v>3.6029903859099537E-2</v>
      </c>
    </row>
    <row r="283" spans="5:40" hidden="1" outlineLevel="1" x14ac:dyDescent="0.3">
      <c r="E283" s="596" t="str">
        <f>'EE Measures'!$IK$6</f>
        <v>CEER1</v>
      </c>
      <c r="F283" s="1319">
        <f t="shared" si="565"/>
        <v>25.675178295777734</v>
      </c>
      <c r="G283" s="1232">
        <f>SUM(G284:G285)</f>
        <v>0.60079300501896338</v>
      </c>
      <c r="H283" s="1232">
        <f>SUM(H284:H285)</f>
        <v>0.61712743509515233</v>
      </c>
      <c r="I283" s="1232">
        <f t="shared" ref="I283" si="1130">SUM(I284:I285)</f>
        <v>0.6113515444080484</v>
      </c>
      <c r="J283" s="1232">
        <f t="shared" ref="J283" si="1131">SUM(J284:J285)</f>
        <v>0.55460582895470334</v>
      </c>
      <c r="K283" s="1232">
        <f t="shared" ref="K283" si="1132">SUM(K284:K285)</f>
        <v>4.0787652158600602</v>
      </c>
      <c r="L283" s="1232">
        <f t="shared" ref="L283" si="1133">SUM(L284:L285)</f>
        <v>4.0483414373835878</v>
      </c>
      <c r="M283" s="1232">
        <f t="shared" ref="M283" si="1134">SUM(M284:M285)</f>
        <v>3.8371369654658554</v>
      </c>
      <c r="N283" s="1232">
        <f t="shared" ref="N283" si="1135">SUM(N284:N285)</f>
        <v>3.8058829680028206</v>
      </c>
      <c r="O283" s="1232">
        <f t="shared" ref="O283" si="1136">SUM(O284:O285)</f>
        <v>3.7754245711960159</v>
      </c>
      <c r="P283" s="1232">
        <f t="shared" ref="P283:U283" si="1137">SUM(P284:P285)</f>
        <v>3.7457493243925262</v>
      </c>
      <c r="Q283" s="1232">
        <f t="shared" si="1137"/>
        <v>3.7168450742800747</v>
      </c>
      <c r="R283" s="1232">
        <f t="shared" si="1137"/>
        <v>3.6886999600017352</v>
      </c>
      <c r="S283" s="1232">
        <f t="shared" si="1137"/>
        <v>3.6613024083835164</v>
      </c>
      <c r="T283" s="1232">
        <f t="shared" si="1137"/>
        <v>3.6346411292729424</v>
      </c>
      <c r="U283" s="1232">
        <f t="shared" si="1137"/>
        <v>3.6094376543738296</v>
      </c>
      <c r="V283" s="1139">
        <f t="shared" si="566"/>
        <v>42.156832537567666</v>
      </c>
      <c r="W283" s="596" t="str">
        <f>'EE Measures'!$IK$6</f>
        <v>CEER1</v>
      </c>
      <c r="X283" s="1274">
        <f>G283/G$234</f>
        <v>7.8478610805167957E-3</v>
      </c>
      <c r="Y283" s="1274">
        <f>H283/H$234</f>
        <v>7.9931762226932955E-3</v>
      </c>
      <c r="Z283" s="1274">
        <f t="shared" ref="Z283" si="1138">I283/I$234</f>
        <v>7.7950662994783178E-3</v>
      </c>
      <c r="AA283" s="1274">
        <f t="shared" ref="AA283" si="1139">J283/J$234</f>
        <v>6.9854982203620183E-3</v>
      </c>
      <c r="AB283" s="1274">
        <f t="shared" ref="AB283" si="1140">K283/K$234</f>
        <v>5.0743679361519474E-2</v>
      </c>
      <c r="AC283" s="1274">
        <f t="shared" ref="AC283" si="1141">L283/L$234</f>
        <v>4.9742477936900072E-2</v>
      </c>
      <c r="AD283" s="1274">
        <f t="shared" ref="AD283" si="1142">M283/M$234</f>
        <v>4.6593947015629196E-2</v>
      </c>
      <c r="AE283" s="1274">
        <f t="shared" ref="AE283" si="1143">N283/N$234</f>
        <v>4.5669333239290615E-2</v>
      </c>
      <c r="AF283" s="1274">
        <f t="shared" ref="AF283" si="1144">O283/O$234</f>
        <v>4.4766950019229486E-2</v>
      </c>
      <c r="AG283" s="1274">
        <f t="shared" ref="AG283" si="1145">P283/P$234</f>
        <v>4.3886264022704E-2</v>
      </c>
      <c r="AH283" s="1274">
        <f t="shared" ref="AH283" si="1146">Q283/Q$234</f>
        <v>4.302675334893958E-2</v>
      </c>
      <c r="AI283" s="1274">
        <f t="shared" ref="AI283" si="1147">R283/R$234</f>
        <v>4.218790736377466E-2</v>
      </c>
      <c r="AJ283" s="1274">
        <f t="shared" ref="AJ283" si="1148">S283/S$234</f>
        <v>4.1369226533093252E-2</v>
      </c>
      <c r="AK283" s="1274">
        <f t="shared" ref="AK283" si="1149">T283/T$234</f>
        <v>4.0570222255228279E-2</v>
      </c>
      <c r="AL283" s="1274">
        <f t="shared" ref="AL283" si="1150">U283/U$234</f>
        <v>3.979849388522514E-2</v>
      </c>
      <c r="AM283" s="1275">
        <f t="shared" si="992"/>
        <v>3.1202425341832329E-2</v>
      </c>
      <c r="AN283" s="1275">
        <f t="shared" si="569"/>
        <v>4.1278396100157981E-2</v>
      </c>
    </row>
    <row r="284" spans="5:40" hidden="1" outlineLevel="1" x14ac:dyDescent="0.3">
      <c r="E284" s="1234" t="s">
        <v>125</v>
      </c>
      <c r="F284" s="1319">
        <f t="shared" si="565"/>
        <v>17.575501468803118</v>
      </c>
      <c r="G284" s="952">
        <f>SUMPRODUCT('EE Measures'!HF$42:HF$86,'EE Measures'!$AJ$42:$AJ$86,'EE Measures'!$IK$42:$IK$86)+G$249</f>
        <v>0.41008533501896333</v>
      </c>
      <c r="H284" s="952">
        <f>SUMPRODUCT('EE Measures'!HG$42:HG$86,'EE Measures'!$AJ$42:$AJ$86,'EE Measures'!$IK$42:$IK$86)+H$249</f>
        <v>0.41782526509515228</v>
      </c>
      <c r="I284" s="952">
        <f>SUMPRODUCT('EE Measures'!HH$42:HH$86,'EE Measures'!$AJ$42:$AJ$86,'EE Measures'!$IK$42:$IK$86)+I$249</f>
        <v>0.42596329081169204</v>
      </c>
      <c r="J284" s="952">
        <f>SUMPRODUCT('EE Measures'!HI$42:HI$86,'EE Measures'!$AJ$42:$AJ$86,'EE Measures'!$IK$42:$IK$86)+J$249</f>
        <v>0.3756005533995766</v>
      </c>
      <c r="K284" s="952">
        <f>SUMPRODUCT('EE Measures'!HJ$42:HJ$86,'EE Measures'!$AJ$42:$AJ$86,'EE Measures'!$IK$42:$IK$86)+K$249</f>
        <v>2.8326205132409359</v>
      </c>
      <c r="L284" s="952">
        <f>SUMPRODUCT('EE Measures'!HK$42:HK$86,'EE Measures'!$AJ$42:$AJ$86,'EE Measures'!$IK$42:$IK$86)+L$249</f>
        <v>2.8077255630471498</v>
      </c>
      <c r="M284" s="952">
        <f>SUMPRODUCT('EE Measures'!HL$42:HL$86,'EE Measures'!$AJ$42:$AJ$86,'EE Measures'!$IK$42:$IK$86)+M$249</f>
        <v>2.6147944840535153</v>
      </c>
      <c r="N284" s="952">
        <f>SUMPRODUCT('EE Measures'!HM$42:HM$86,'EE Measures'!$AJ$42:$AJ$86,'EE Measures'!$IK$42:$IK$86)+N$249</f>
        <v>2.5888140511047411</v>
      </c>
      <c r="O284" s="952">
        <f>SUMPRODUCT('EE Measures'!HN$42:HN$86,'EE Measures'!$AJ$42:$AJ$86,'EE Measures'!$IK$42:$IK$86)+O$249</f>
        <v>2.5634326266866601</v>
      </c>
      <c r="P284" s="952">
        <f>SUMPRODUCT('EE Measures'!HO$42:HO$86,'EE Measures'!$AJ$42:$AJ$86,'EE Measures'!$IK$42:$IK$86)+P$249</f>
        <v>2.5386397863447328</v>
      </c>
      <c r="Q284" s="952">
        <f>SUMPRODUCT('EE Measures'!HP$42:HP$86,'EE Measures'!$AJ$42:$AJ$86,'EE Measures'!$IK$42:$IK$86)+Q$249</f>
        <v>2.5144253287913343</v>
      </c>
      <c r="R284" s="952">
        <f>SUMPRODUCT('EE Measures'!HQ$42:HQ$86,'EE Measures'!$AJ$42:$AJ$86,'EE Measures'!$IK$42:$IK$86)+R$249</f>
        <v>2.4907792717995507</v>
      </c>
      <c r="S284" s="952">
        <f>SUMPRODUCT('EE Measures'!HR$42:HR$86,'EE Measures'!$AJ$42:$AJ$86,'EE Measures'!$IK$42:$IK$86)+S$249</f>
        <v>2.4676918481813463</v>
      </c>
      <c r="T284" s="952">
        <f>SUMPRODUCT('EE Measures'!HS$42:HS$86,'EE Measures'!$AJ$42:$AJ$86,'EE Measures'!$IK$42:$IK$86)+T$249</f>
        <v>2.4451535018485084</v>
      </c>
      <c r="U284" s="952">
        <f>SUMPRODUCT('EE Measures'!HT$42:HT$86,'EE Measures'!$AJ$42:$AJ$86,'EE Measures'!$IK$42:$IK$86)+U$249</f>
        <v>2.4173246409428728</v>
      </c>
      <c r="V284" s="1139">
        <f t="shared" si="566"/>
        <v>28.657002169440922</v>
      </c>
      <c r="W284" s="1234" t="s">
        <v>125</v>
      </c>
      <c r="X284" s="1260">
        <f>G284/G$235</f>
        <v>7.6294946050039685E-3</v>
      </c>
      <c r="Y284" s="1260">
        <f>H284/H$235</f>
        <v>7.6803595318662267E-3</v>
      </c>
      <c r="Z284" s="1260">
        <f t="shared" ref="Z284" si="1151">I284/I$235</f>
        <v>7.7353738056807324E-3</v>
      </c>
      <c r="AA284" s="1260">
        <f t="shared" ref="AA284" si="1152">J284/J$235</f>
        <v>6.7377546446663883E-3</v>
      </c>
      <c r="AB284" s="1260">
        <f t="shared" ref="AB284" si="1153">K284/K$235</f>
        <v>5.0189787755627553E-2</v>
      </c>
      <c r="AC284" s="1260">
        <f t="shared" ref="AC284" si="1154">L284/L$235</f>
        <v>4.9133575580182692E-2</v>
      </c>
      <c r="AD284" s="1260">
        <f t="shared" ref="AD284" si="1155">M284/M$235</f>
        <v>4.5232184167710549E-2</v>
      </c>
      <c r="AE284" s="1260">
        <f t="shared" ref="AE284" si="1156">N284/N$235</f>
        <v>4.4266951414694299E-2</v>
      </c>
      <c r="AF284" s="1260">
        <f t="shared" ref="AF284" si="1157">O284/O$235</f>
        <v>4.3326351613963691E-2</v>
      </c>
      <c r="AG284" s="1260">
        <f t="shared" ref="AG284" si="1158">P284/P$235</f>
        <v>4.2409746070875012E-2</v>
      </c>
      <c r="AH284" s="1260">
        <f t="shared" ref="AH284" si="1159">Q284/Q$235</f>
        <v>4.1516511616615896E-2</v>
      </c>
      <c r="AI284" s="1260">
        <f t="shared" ref="AI284" si="1160">R284/R$235</f>
        <v>4.0646040294355056E-2</v>
      </c>
      <c r="AJ284" s="1260">
        <f t="shared" ref="AJ284" si="1161">S284/S$235</f>
        <v>3.979773904894101E-2</v>
      </c>
      <c r="AK284" s="1260">
        <f t="shared" ref="AK284" si="1162">T284/T$235</f>
        <v>3.8971029420225498E-2</v>
      </c>
      <c r="AL284" s="1260">
        <f t="shared" ref="AL284" si="1163">U284/U$235</f>
        <v>3.8073519329898761E-2</v>
      </c>
      <c r="AM284" s="1275">
        <f t="shared" si="992"/>
        <v>3.0434157919027111E-2</v>
      </c>
      <c r="AN284" s="1275">
        <f t="shared" si="569"/>
        <v>4.0025099246479699E-2</v>
      </c>
    </row>
    <row r="285" spans="5:40" hidden="1" outlineLevel="1" x14ac:dyDescent="0.3">
      <c r="E285" s="1234" t="s">
        <v>414</v>
      </c>
      <c r="F285" s="1319">
        <f t="shared" si="565"/>
        <v>8.0996768269746156</v>
      </c>
      <c r="G285" s="646">
        <f>SUMPRODUCT('EE Measures'!HF$42:HF$86,'EE Measures'!$P$42:$P$86,'EE Measures'!$IK$42:$IK$86)+G$250</f>
        <v>0.19070767</v>
      </c>
      <c r="H285" s="646">
        <f>SUMPRODUCT('EE Measures'!HG$42:HG$86,'EE Measures'!$P$42:$P$86,'EE Measures'!$IK$42:$IK$86)+H$250</f>
        <v>0.19930217</v>
      </c>
      <c r="I285" s="646">
        <f>SUMPRODUCT('EE Measures'!HH$42:HH$86,'EE Measures'!$P$42:$P$86,'EE Measures'!$IK$42:$IK$86)+I$250</f>
        <v>0.18538825359635636</v>
      </c>
      <c r="J285" s="646">
        <f>SUMPRODUCT('EE Measures'!HI$42:HI$86,'EE Measures'!$P$42:$P$86,'EE Measures'!$IK$42:$IK$86)+J$250</f>
        <v>0.17900527555512674</v>
      </c>
      <c r="K285" s="646">
        <f>SUMPRODUCT('EE Measures'!HJ$42:HJ$86,'EE Measures'!$P$42:$P$86,'EE Measures'!$IK$42:$IK$86)+K$250</f>
        <v>1.2461447026191244</v>
      </c>
      <c r="L285" s="646">
        <f>SUMPRODUCT('EE Measures'!HK$42:HK$86,'EE Measures'!$P$42:$P$86,'EE Measures'!$IK$42:$IK$86)+L$250</f>
        <v>1.2406158743364384</v>
      </c>
      <c r="M285" s="646">
        <f>SUMPRODUCT('EE Measures'!HL$42:HL$86,'EE Measures'!$P$42:$P$86,'EE Measures'!$IK$42:$IK$86)+M$250</f>
        <v>1.22234248141234</v>
      </c>
      <c r="N285" s="646">
        <f>SUMPRODUCT('EE Measures'!HM$42:HM$86,'EE Measures'!$P$42:$P$86,'EE Measures'!$IK$42:$IK$86)+N$250</f>
        <v>1.2170689168980793</v>
      </c>
      <c r="O285" s="646">
        <f>SUMPRODUCT('EE Measures'!HN$42:HN$86,'EE Measures'!$P$42:$P$86,'EE Measures'!$IK$42:$IK$86)+O$250</f>
        <v>1.2119919445093559</v>
      </c>
      <c r="P285" s="646">
        <f>SUMPRODUCT('EE Measures'!HO$42:HO$86,'EE Measures'!$P$42:$P$86,'EE Measures'!$IK$42:$IK$86)+P$250</f>
        <v>1.2071095380477936</v>
      </c>
      <c r="Q285" s="646">
        <f>SUMPRODUCT('EE Measures'!HP$42:HP$86,'EE Measures'!$P$42:$P$86,'EE Measures'!$IK$42:$IK$86)+Q$250</f>
        <v>1.2024197454887402</v>
      </c>
      <c r="R285" s="646">
        <f>SUMPRODUCT('EE Measures'!HQ$42:HQ$86,'EE Measures'!$P$42:$P$86,'EE Measures'!$IK$42:$IK$86)+R$250</f>
        <v>1.1979206882021844</v>
      </c>
      <c r="S285" s="646">
        <f>SUMPRODUCT('EE Measures'!HR$42:HR$86,'EE Measures'!$P$42:$P$86,'EE Measures'!$IK$42:$IK$86)+S$250</f>
        <v>1.19361056020217</v>
      </c>
      <c r="T285" s="646">
        <f>SUMPRODUCT('EE Measures'!HS$42:HS$86,'EE Measures'!$P$42:$P$86,'EE Measures'!$IK$42:$IK$86)+T$250</f>
        <v>1.1894876274244339</v>
      </c>
      <c r="U285" s="646">
        <f>SUMPRODUCT('EE Measures'!HT$42:HT$86,'EE Measures'!$P$42:$P$86,'EE Measures'!$IK$42:$IK$86)+U$250</f>
        <v>1.192113013430957</v>
      </c>
      <c r="V285" s="1139">
        <f t="shared" si="566"/>
        <v>13.499830368126744</v>
      </c>
      <c r="W285" s="1234" t="s">
        <v>414</v>
      </c>
      <c r="X285" s="1260">
        <f>G285/G$236</f>
        <v>8.3625376014032013E-3</v>
      </c>
      <c r="Y285" s="1260">
        <f>H285/H$236</f>
        <v>8.7394067090550316E-3</v>
      </c>
      <c r="Z285" s="1260">
        <f t="shared" ref="Z285" si="1164">I285/I$236</f>
        <v>7.9357739350867634E-3</v>
      </c>
      <c r="AA285" s="1260">
        <f t="shared" ref="AA285" si="1165">J285/J$236</f>
        <v>7.5695009109408833E-3</v>
      </c>
      <c r="AB285" s="1260">
        <f t="shared" ref="AB285" si="1166">K285/K$236</f>
        <v>5.2049383974714911E-2</v>
      </c>
      <c r="AC285" s="1260">
        <f t="shared" ref="AC285" si="1167">L285/L$236</f>
        <v>5.1177864128667587E-2</v>
      </c>
      <c r="AD285" s="1260">
        <f t="shared" ref="AD285" si="1168">M285/M$236</f>
        <v>4.9801240779125178E-2</v>
      </c>
      <c r="AE285" s="1260">
        <f t="shared" ref="AE285" si="1169">N285/N$236</f>
        <v>4.8969191454846087E-2</v>
      </c>
      <c r="AF285" s="1260">
        <f t="shared" ref="AF285" si="1170">O285/O$236</f>
        <v>4.8153360376756944E-2</v>
      </c>
      <c r="AG285" s="1260">
        <f t="shared" ref="AG285" si="1171">P285/P$236</f>
        <v>4.7353466782047819E-2</v>
      </c>
      <c r="AH285" s="1260">
        <f t="shared" ref="AH285" si="1172">Q285/Q$236</f>
        <v>4.6569232788522125E-2</v>
      </c>
      <c r="AI285" s="1260">
        <f t="shared" ref="AI285" si="1173">R285/R$236</f>
        <v>4.5800383454137887E-2</v>
      </c>
      <c r="AJ285" s="1260">
        <f t="shared" ref="AJ285" si="1174">S285/S$236</f>
        <v>4.5046646832600859E-2</v>
      </c>
      <c r="AK285" s="1260">
        <f t="shared" ref="AK285" si="1175">T285/T$236</f>
        <v>4.4307754025030753E-2</v>
      </c>
      <c r="AL285" s="1260">
        <f t="shared" ref="AL285" si="1176">U285/U$236</f>
        <v>4.382470171974677E-2</v>
      </c>
      <c r="AM285" s="1275">
        <f t="shared" si="992"/>
        <v>3.3011172665264446E-2</v>
      </c>
      <c r="AN285" s="1275">
        <f t="shared" si="569"/>
        <v>4.4218560602261481E-2</v>
      </c>
    </row>
    <row r="286" spans="5:40" hidden="1" outlineLevel="1" x14ac:dyDescent="0.3">
      <c r="E286" s="1234" t="s">
        <v>415</v>
      </c>
      <c r="F286" s="1319">
        <f t="shared" si="565"/>
        <v>2.8138797292649191</v>
      </c>
      <c r="G286" s="1237">
        <f>SUM(G287:G288)</f>
        <v>6.3193514091787042E-2</v>
      </c>
      <c r="H286" s="1237">
        <f>SUM(H287:H288)</f>
        <v>6.8780846015333963E-2</v>
      </c>
      <c r="I286" s="1237">
        <f t="shared" ref="I286" si="1177">SUM(I287:I288)</f>
        <v>6.3248788735812522E-2</v>
      </c>
      <c r="J286" s="1237">
        <f t="shared" ref="J286" si="1178">SUM(J287:J288)</f>
        <v>5.8314258403206337E-2</v>
      </c>
      <c r="K286" s="1237">
        <f t="shared" ref="K286" si="1179">SUM(K287:K288)</f>
        <v>0.43707012164059039</v>
      </c>
      <c r="L286" s="1237">
        <f t="shared" ref="L286" si="1180">SUM(L287:L288)</f>
        <v>0.43553866935546959</v>
      </c>
      <c r="M286" s="1237">
        <f t="shared" ref="M286" si="1181">SUM(M287:M288)</f>
        <v>0.42417563053963908</v>
      </c>
      <c r="N286" s="1237">
        <f t="shared" ref="N286" si="1182">SUM(N287:N288)</f>
        <v>0.42264464309833022</v>
      </c>
      <c r="O286" s="1237">
        <f t="shared" ref="O286" si="1183">SUM(O287:O288)</f>
        <v>0.42116804099697264</v>
      </c>
      <c r="P286" s="1237">
        <f t="shared" ref="P286:U286" si="1184">SUM(P287:P288)</f>
        <v>0.41974521638777734</v>
      </c>
      <c r="Q286" s="1237">
        <f t="shared" si="1184"/>
        <v>0.41837558149781889</v>
      </c>
      <c r="R286" s="1237">
        <f t="shared" si="1184"/>
        <v>0.41705856838793742</v>
      </c>
      <c r="S286" s="1237">
        <f t="shared" si="1184"/>
        <v>0.41579362871922199</v>
      </c>
      <c r="T286" s="1237">
        <f t="shared" si="1184"/>
        <v>0.41458023352698098</v>
      </c>
      <c r="U286" s="1237">
        <f t="shared" si="1184"/>
        <v>0.41527255469181901</v>
      </c>
      <c r="V286" s="1139">
        <f t="shared" si="566"/>
        <v>4.699737147245763</v>
      </c>
      <c r="W286" s="1234" t="s">
        <v>415</v>
      </c>
      <c r="X286" s="1260">
        <f>G286/G$237</f>
        <v>9.9743061586640251E-3</v>
      </c>
      <c r="Y286" s="1260">
        <f>H286/H$237</f>
        <v>1.0856196650377906E-2</v>
      </c>
      <c r="Z286" s="1260">
        <f t="shared" ref="Z286" si="1185">I286/I$237</f>
        <v>9.8695753303797672E-3</v>
      </c>
      <c r="AA286" s="1260">
        <f t="shared" ref="AA286" si="1186">J286/J$237</f>
        <v>8.9949028964827083E-3</v>
      </c>
      <c r="AB286" s="1260">
        <f t="shared" ref="AB286" si="1187">K286/K$237</f>
        <v>6.6632872841205448E-2</v>
      </c>
      <c r="AC286" s="1260">
        <f t="shared" ref="AC286" si="1188">L286/L$237</f>
        <v>6.5617683068944166E-2</v>
      </c>
      <c r="AD286" s="1260">
        <f t="shared" ref="AD286" si="1189">M286/M$237</f>
        <v>6.3166079005363709E-2</v>
      </c>
      <c r="AE286" s="1260">
        <f t="shared" ref="AE286" si="1190">N286/N$237</f>
        <v>6.2203368256865017E-2</v>
      </c>
      <c r="AF286" s="1260">
        <f t="shared" ref="AF286" si="1191">O286/O$237</f>
        <v>6.1256350316494193E-2</v>
      </c>
      <c r="AG286" s="1260">
        <f t="shared" ref="AG286" si="1192">P286/P$237</f>
        <v>6.0324820889532636E-2</v>
      </c>
      <c r="AH286" s="1260">
        <f t="shared" ref="AH286" si="1193">Q286/Q$237</f>
        <v>5.9408576299903156E-2</v>
      </c>
      <c r="AI286" s="1260">
        <f t="shared" ref="AI286" si="1194">R286/R$237</f>
        <v>5.8507413560310327E-2</v>
      </c>
      <c r="AJ286" s="1260">
        <f t="shared" ref="AJ286" si="1195">S286/S$237</f>
        <v>5.7621130441087798E-2</v>
      </c>
      <c r="AK286" s="1260">
        <f t="shared" ref="AK286" si="1196">T286/T$237</f>
        <v>5.6749525537633787E-2</v>
      </c>
      <c r="AL286" s="1260">
        <f t="shared" ref="AL286" si="1197">U286/U$237</f>
        <v>5.6143143682760965E-2</v>
      </c>
      <c r="AM286" s="1275">
        <f t="shared" si="992"/>
        <v>4.1889615541430954E-2</v>
      </c>
      <c r="AN286" s="1275">
        <f t="shared" si="569"/>
        <v>5.6385488899715314E-2</v>
      </c>
    </row>
    <row r="287" spans="5:40" hidden="1" outlineLevel="1" x14ac:dyDescent="0.3">
      <c r="E287" s="1264" t="s">
        <v>416</v>
      </c>
      <c r="F287" s="1319">
        <f t="shared" si="565"/>
        <v>0.5869906349824735</v>
      </c>
      <c r="G287" s="646">
        <f>SUMPRODUCT('EE Measures'!HF$42:HF$86,'EE Measures'!$AL$42:$AL$86,'EE Measures'!$IK$42:$IK$86)+G$252</f>
        <v>1.192118852838411E-2</v>
      </c>
      <c r="H287" s="646">
        <f>SUMPRODUCT('EE Measures'!HG$42:HG$86,'EE Measures'!$AL$42:$AL$86,'EE Measures'!$IK$42:$IK$86)+H$252</f>
        <v>1.2603893378246578E-2</v>
      </c>
      <c r="I287" s="646">
        <f>SUMPRODUCT('EE Measures'!HH$42:HH$86,'EE Measures'!$AL$42:$AL$86,'EE Measures'!$IK$42:$IK$86)+I$252</f>
        <v>1.2201151090871521E-2</v>
      </c>
      <c r="J287" s="646">
        <f>SUMPRODUCT('EE Measures'!HI$42:HI$86,'EE Measures'!$AL$42:$AL$86,'EE Measures'!$IK$42:$IK$86)+J$252</f>
        <v>1.1660343397556297E-2</v>
      </c>
      <c r="K287" s="646">
        <f>SUMPRODUCT('EE Measures'!HJ$42:HJ$86,'EE Measures'!$AL$42:$AL$86,'EE Measures'!$IK$42:$IK$86)+K$252</f>
        <v>9.1443661411935509E-2</v>
      </c>
      <c r="L287" s="646">
        <f>SUMPRODUCT('EE Measures'!HK$42:HK$86,'EE Measures'!$AL$42:$AL$86,'EE Measures'!$IK$42:$IK$86)+L$252</f>
        <v>9.1103946417043669E-2</v>
      </c>
      <c r="M287" s="646">
        <f>SUMPRODUCT('EE Measures'!HL$42:HL$86,'EE Measures'!$AL$42:$AL$86,'EE Measures'!$IK$42:$IK$86)+M$252</f>
        <v>8.9495615419707783E-2</v>
      </c>
      <c r="N287" s="646">
        <f>SUMPRODUCT('EE Measures'!HM$42:HM$86,'EE Measures'!$AL$42:$AL$86,'EE Measures'!$IK$42:$IK$86)+N$252</f>
        <v>8.9166480499623779E-2</v>
      </c>
      <c r="O287" s="646">
        <f>SUMPRODUCT('EE Measures'!HN$42:HN$86,'EE Measures'!$AL$42:$AL$86,'EE Measures'!$IK$42:$IK$86)+O$252</f>
        <v>8.884957682634613E-2</v>
      </c>
      <c r="P287" s="646">
        <f>SUMPRODUCT('EE Measures'!HO$42:HO$86,'EE Measures'!$AL$42:$AL$86,'EE Measures'!$IK$42:$IK$86)+P$252</f>
        <v>8.8544778012758105E-2</v>
      </c>
      <c r="Q287" s="646">
        <f>SUMPRODUCT('EE Measures'!HP$42:HP$86,'EE Measures'!$AL$42:$AL$86,'EE Measures'!$IK$42:$IK$86)+Q$252</f>
        <v>8.8251962285676E-2</v>
      </c>
      <c r="R287" s="646">
        <f>SUMPRODUCT('EE Measures'!HQ$42:HQ$86,'EE Measures'!$AL$42:$AL$86,'EE Measures'!$IK$42:$IK$86)+R$252</f>
        <v>8.7971012437314783E-2</v>
      </c>
      <c r="S287" s="646">
        <f>SUMPRODUCT('EE Measures'!HR$42:HR$86,'EE Measures'!$AL$42:$AL$86,'EE Measures'!$IK$42:$IK$86)+S$252</f>
        <v>8.7701815778530007E-2</v>
      </c>
      <c r="T287" s="646">
        <f>SUMPRODUCT('EE Measures'!HS$42:HS$86,'EE Measures'!$AL$42:$AL$86,'EE Measures'!$IK$42:$IK$86)+T$252</f>
        <v>8.7444264093817781E-2</v>
      </c>
      <c r="U287" s="646">
        <f>SUMPRODUCT('EE Measures'!HT$42:HT$86,'EE Measures'!$AL$42:$AL$86,'EE Measures'!$IK$42:$IK$86)+U$252</f>
        <v>8.7606924010504836E-2</v>
      </c>
      <c r="V287" s="1139">
        <f t="shared" si="566"/>
        <v>0.98924038059081465</v>
      </c>
      <c r="W287" s="1264" t="s">
        <v>416</v>
      </c>
      <c r="X287" s="1260">
        <f>G287/G$238</f>
        <v>8.3100770480490586E-3</v>
      </c>
      <c r="Y287" s="1260">
        <f>H287/H$238</f>
        <v>8.7859800916026271E-3</v>
      </c>
      <c r="Z287" s="1260">
        <f t="shared" ref="Z287" si="1198">I287/I$238</f>
        <v>8.4030268896506735E-3</v>
      </c>
      <c r="AA287" s="1260">
        <f t="shared" ref="AA287" si="1199">J287/J$238</f>
        <v>7.9330770935264645E-3</v>
      </c>
      <c r="AB287" s="1260">
        <f t="shared" ref="AB287" si="1200">K287/K$238</f>
        <v>6.1450579139848714E-2</v>
      </c>
      <c r="AC287" s="1260">
        <f t="shared" ref="AC287" si="1201">L287/L$238</f>
        <v>6.046429282394164E-2</v>
      </c>
      <c r="AD287" s="1260">
        <f t="shared" ref="AD287" si="1202">M287/M$238</f>
        <v>5.8665664446273254E-2</v>
      </c>
      <c r="AE287" s="1260">
        <f t="shared" ref="AE287" si="1203">N287/N$238</f>
        <v>5.7724576597186043E-2</v>
      </c>
      <c r="AF287" s="1260">
        <f t="shared" ref="AF287" si="1204">O287/O$238</f>
        <v>5.6800006949962359E-2</v>
      </c>
      <c r="AG287" s="1260">
        <f t="shared" ref="AG287" si="1205">P287/P$238</f>
        <v>5.5891712767991729E-2</v>
      </c>
      <c r="AH287" s="1260">
        <f t="shared" ref="AH287" si="1206">Q287/Q$238</f>
        <v>5.4999452816592791E-2</v>
      </c>
      <c r="AI287" s="1260">
        <f t="shared" ref="AI287" si="1207">R287/R$238</f>
        <v>5.4122987433978309E-2</v>
      </c>
      <c r="AJ287" s="1260">
        <f t="shared" ref="AJ287" si="1208">S287/S$238</f>
        <v>5.3262078599752544E-2</v>
      </c>
      <c r="AK287" s="1260">
        <f t="shared" ref="AK287" si="1209">T287/T$238</f>
        <v>5.2416490000870682E-2</v>
      </c>
      <c r="AL287" s="1260">
        <f t="shared" ref="AL287" si="1210">U287/U$238</f>
        <v>5.1827754168914157E-2</v>
      </c>
      <c r="AM287" s="1275">
        <f t="shared" si="992"/>
        <v>3.8442899384803254E-2</v>
      </c>
      <c r="AN287" s="1275">
        <f t="shared" si="569"/>
        <v>5.2129889403236561E-2</v>
      </c>
    </row>
    <row r="288" spans="5:40" hidden="1" outlineLevel="1" x14ac:dyDescent="0.3">
      <c r="E288" s="1264" t="s">
        <v>190</v>
      </c>
      <c r="F288" s="1319">
        <f t="shared" si="565"/>
        <v>2.2268890942824453</v>
      </c>
      <c r="G288" s="646">
        <f>SUMPRODUCT('EE Measures'!HF$42:HF$86,'EE Measures'!$AM$42:$AM$86,'EE Measures'!$IK$42:$IK$86)+G$253</f>
        <v>5.1272325563402936E-2</v>
      </c>
      <c r="H288" s="646">
        <f>SUMPRODUCT('EE Measures'!HG$42:HG$86,'EE Measures'!$AM$42:$AM$86,'EE Measures'!$IK$42:$IK$86)+H$253</f>
        <v>5.6176952637087378E-2</v>
      </c>
      <c r="I288" s="646">
        <f>SUMPRODUCT('EE Measures'!HH$42:HH$86,'EE Measures'!$AM$42:$AM$86,'EE Measures'!$IK$42:$IK$86)+I$253</f>
        <v>5.1047637644940996E-2</v>
      </c>
      <c r="J288" s="646">
        <f>SUMPRODUCT('EE Measures'!HI$42:HI$86,'EE Measures'!$AM$42:$AM$86,'EE Measures'!$IK$42:$IK$86)+J$253</f>
        <v>4.665391500565004E-2</v>
      </c>
      <c r="K288" s="646">
        <f>SUMPRODUCT('EE Measures'!HJ$42:HJ$86,'EE Measures'!$AM$42:$AM$86,'EE Measures'!$IK$42:$IK$86)+K$253</f>
        <v>0.3456264602286549</v>
      </c>
      <c r="L288" s="646">
        <f>SUMPRODUCT('EE Measures'!HK$42:HK$86,'EE Measures'!$AM$42:$AM$86,'EE Measures'!$IK$42:$IK$86)+L$253</f>
        <v>0.34443472293842592</v>
      </c>
      <c r="M288" s="646">
        <f>SUMPRODUCT('EE Measures'!HL$42:HL$86,'EE Measures'!$AM$42:$AM$86,'EE Measures'!$IK$42:$IK$86)+M$253</f>
        <v>0.33468001511993128</v>
      </c>
      <c r="N288" s="646">
        <f>SUMPRODUCT('EE Measures'!HM$42:HM$86,'EE Measures'!$AM$42:$AM$86,'EE Measures'!$IK$42:$IK$86)+N$253</f>
        <v>0.33347816259870644</v>
      </c>
      <c r="O288" s="646">
        <f>SUMPRODUCT('EE Measures'!HN$42:HN$86,'EE Measures'!$AM$42:$AM$86,'EE Measures'!$IK$42:$IK$86)+O$253</f>
        <v>0.33231846417062649</v>
      </c>
      <c r="P288" s="646">
        <f>SUMPRODUCT('EE Measures'!HO$42:HO$86,'EE Measures'!$AM$42:$AM$86,'EE Measures'!$IK$42:$IK$86)+P$253</f>
        <v>0.33120043837501922</v>
      </c>
      <c r="Q288" s="646">
        <f>SUMPRODUCT('EE Measures'!HP$42:HP$86,'EE Measures'!$AM$42:$AM$86,'EE Measures'!$IK$42:$IK$86)+Q$253</f>
        <v>0.33012361921214289</v>
      </c>
      <c r="R288" s="646">
        <f>SUMPRODUCT('EE Measures'!HQ$42:HQ$86,'EE Measures'!$AM$42:$AM$86,'EE Measures'!$IK$42:$IK$86)+R$253</f>
        <v>0.32908755595062267</v>
      </c>
      <c r="S288" s="646">
        <f>SUMPRODUCT('EE Measures'!HR$42:HR$86,'EE Measures'!$AM$42:$AM$86,'EE Measures'!$IK$42:$IK$86)+S$253</f>
        <v>0.32809181294069195</v>
      </c>
      <c r="T288" s="646">
        <f>SUMPRODUCT('EE Measures'!HS$42:HS$86,'EE Measures'!$AM$42:$AM$86,'EE Measures'!$IK$42:$IK$86)+T$253</f>
        <v>0.3271359694331632</v>
      </c>
      <c r="U288" s="646">
        <f>SUMPRODUCT('EE Measures'!HT$42:HT$86,'EE Measures'!$AM$42:$AM$86,'EE Measures'!$IK$42:$IK$86)+U$253</f>
        <v>0.32766563068131416</v>
      </c>
      <c r="V288" s="1139">
        <f t="shared" si="566"/>
        <v>3.7104967666549493</v>
      </c>
      <c r="W288" s="1264" t="s">
        <v>190</v>
      </c>
      <c r="X288" s="1260">
        <f>G288/G$239</f>
        <v>1.0461425613837255E-2</v>
      </c>
      <c r="Y288" s="1260">
        <f>H288/H$239</f>
        <v>1.1462148532705316E-2</v>
      </c>
      <c r="Z288" s="1260">
        <f t="shared" ref="Z288" si="1211">I288/I$239</f>
        <v>1.0299200099245683E-2</v>
      </c>
      <c r="AA288" s="1260">
        <f t="shared" ref="AA288" si="1212">J288/J$239</f>
        <v>9.3062238422433885E-3</v>
      </c>
      <c r="AB288" s="1260">
        <f t="shared" ref="AB288" si="1213">K288/K$239</f>
        <v>6.8153528961015009E-2</v>
      </c>
      <c r="AC288" s="1260">
        <f t="shared" ref="AC288" si="1214">L288/L$239</f>
        <v>6.713106253690293E-2</v>
      </c>
      <c r="AD288" s="1260">
        <f t="shared" ref="AD288" si="1215">M288/M$239</f>
        <v>6.4488975866813125E-2</v>
      </c>
      <c r="AE288" s="1260">
        <f t="shared" ref="AE288" si="1216">N288/N$239</f>
        <v>6.3521178492605829E-2</v>
      </c>
      <c r="AF288" s="1260">
        <f t="shared" ref="AF288" si="1217">O288/O$239</f>
        <v>6.256881948512362E-2</v>
      </c>
      <c r="AG288" s="1260">
        <f t="shared" ref="AG288" si="1218">P288/P$239</f>
        <v>6.1631705185578652E-2</v>
      </c>
      <c r="AH288" s="1260">
        <f t="shared" ref="AH288" si="1219">Q288/Q$239</f>
        <v>6.0709642337834054E-2</v>
      </c>
      <c r="AI288" s="1260">
        <f t="shared" ref="AI288" si="1220">R288/R$239</f>
        <v>5.9802438156944256E-2</v>
      </c>
      <c r="AJ288" s="1260">
        <f t="shared" ref="AJ288" si="1221">S288/S$239</f>
        <v>5.8909900396744874E-2</v>
      </c>
      <c r="AK288" s="1260">
        <f t="shared" ref="AK288" si="1222">T288/T$239</f>
        <v>5.8031837416362413E-2</v>
      </c>
      <c r="AL288" s="1260">
        <f t="shared" ref="AL288" si="1223">U288/U$239</f>
        <v>5.7421463166641012E-2</v>
      </c>
      <c r="AM288" s="1275">
        <f t="shared" si="992"/>
        <v>4.2902426861607078E-2</v>
      </c>
      <c r="AN288" s="1275">
        <f t="shared" si="569"/>
        <v>5.7639731320400754E-2</v>
      </c>
    </row>
    <row r="289" spans="5:40" hidden="1" outlineLevel="1" x14ac:dyDescent="0.3">
      <c r="E289" s="1234" t="s">
        <v>417</v>
      </c>
      <c r="F289" s="1319">
        <f t="shared" si="565"/>
        <v>5.2857970977096951</v>
      </c>
      <c r="G289" s="1237">
        <f>G285-G286</f>
        <v>0.12751415590821297</v>
      </c>
      <c r="H289" s="1237">
        <f>H285-H286</f>
        <v>0.13052132398466604</v>
      </c>
      <c r="I289" s="1237">
        <f t="shared" ref="I289:P289" si="1224">I285-I286</f>
        <v>0.12213946486054383</v>
      </c>
      <c r="J289" s="1237">
        <f t="shared" si="1224"/>
        <v>0.1206910171519204</v>
      </c>
      <c r="K289" s="1237">
        <f t="shared" si="1224"/>
        <v>0.80907458097853402</v>
      </c>
      <c r="L289" s="1237">
        <f t="shared" si="1224"/>
        <v>0.8050772049809688</v>
      </c>
      <c r="M289" s="1237">
        <f t="shared" si="1224"/>
        <v>0.79816685087270089</v>
      </c>
      <c r="N289" s="1237">
        <f t="shared" si="1224"/>
        <v>0.79442427379974911</v>
      </c>
      <c r="O289" s="1237">
        <f t="shared" si="1224"/>
        <v>0.79082390351238319</v>
      </c>
      <c r="P289" s="1237">
        <f t="shared" si="1224"/>
        <v>0.78736432166001635</v>
      </c>
      <c r="Q289" s="1237">
        <f t="shared" ref="Q289:U289" si="1225">Q285-Q286</f>
        <v>0.78404416399092125</v>
      </c>
      <c r="R289" s="1237">
        <f t="shared" si="1225"/>
        <v>0.78086211981424702</v>
      </c>
      <c r="S289" s="1237">
        <f t="shared" si="1225"/>
        <v>0.77781693148294806</v>
      </c>
      <c r="T289" s="1237">
        <f t="shared" si="1225"/>
        <v>0.77490739389745289</v>
      </c>
      <c r="U289" s="1237">
        <f t="shared" si="1225"/>
        <v>0.77684045873913798</v>
      </c>
      <c r="V289" s="1139">
        <f t="shared" si="566"/>
        <v>8.8000932208809797</v>
      </c>
      <c r="W289" s="1234" t="s">
        <v>417</v>
      </c>
      <c r="X289" s="1260">
        <f>G289/G$240</f>
        <v>7.742503599171423E-3</v>
      </c>
      <c r="Y289" s="1260">
        <f>H289/H$240</f>
        <v>7.9250951670598608E-3</v>
      </c>
      <c r="Z289" s="1260">
        <f t="shared" ref="Z289" si="1226">I289/I$240</f>
        <v>7.2047547038365453E-3</v>
      </c>
      <c r="AA289" s="1260">
        <f t="shared" ref="AA289" si="1227">J289/J$240</f>
        <v>7.031148157129785E-3</v>
      </c>
      <c r="AB289" s="1260">
        <f t="shared" ref="AB289" si="1228">K289/K$240</f>
        <v>4.6546135887131614E-2</v>
      </c>
      <c r="AC289" s="1260">
        <f t="shared" ref="AC289" si="1229">L289/L$240</f>
        <v>4.5733305954383442E-2</v>
      </c>
      <c r="AD289" s="1260">
        <f t="shared" ref="AD289" si="1230">M289/M$240</f>
        <v>4.4767460308563489E-2</v>
      </c>
      <c r="AE289" s="1260">
        <f t="shared" ref="AE289" si="1231">N289/N$240</f>
        <v>4.3989989393995267E-2</v>
      </c>
      <c r="AF289" s="1260">
        <f t="shared" ref="AF289" si="1232">O289/O$240</f>
        <v>4.3228793645466182E-2</v>
      </c>
      <c r="AG289" s="1260">
        <f t="shared" ref="AG289" si="1233">P289/P$240</f>
        <v>4.248356450416213E-2</v>
      </c>
      <c r="AH289" s="1260">
        <f t="shared" ref="AH289" si="1234">Q289/Q$240</f>
        <v>4.175399726287847E-2</v>
      </c>
      <c r="AI289" s="1260">
        <f t="shared" ref="AI289" si="1235">R289/R$240</f>
        <v>4.103979111333951E-2</v>
      </c>
      <c r="AJ289" s="1260">
        <f t="shared" ref="AJ289" si="1236">S289/S$240</f>
        <v>4.0340649188816469E-2</v>
      </c>
      <c r="AK289" s="1260">
        <f t="shared" ref="AK289" si="1237">T289/T$240</f>
        <v>3.9656278602123937E-2</v>
      </c>
      <c r="AL289" s="1260">
        <f t="shared" ref="AL289" si="1238">U289/U$240</f>
        <v>3.922411139267077E-2</v>
      </c>
      <c r="AM289" s="1275">
        <f t="shared" si="992"/>
        <v>2.9665275132089976E-2</v>
      </c>
      <c r="AN289" s="1275">
        <f t="shared" si="569"/>
        <v>3.964960211755509E-2</v>
      </c>
    </row>
    <row r="290" spans="5:40" hidden="1" outlineLevel="1" x14ac:dyDescent="0.3">
      <c r="E290" s="596" t="str">
        <f>'EE Measures'!$IL$6</f>
        <v>CEER2</v>
      </c>
      <c r="F290" s="1319">
        <f t="shared" si="565"/>
        <v>35.291892466747427</v>
      </c>
      <c r="G290" s="1232">
        <f>SUM(G291:G292)</f>
        <v>0.60079300501896338</v>
      </c>
      <c r="H290" s="1232">
        <f>SUM(H291:H292)</f>
        <v>0.61712743509515233</v>
      </c>
      <c r="I290" s="1232">
        <f t="shared" ref="I290" si="1239">SUM(I291:I292)</f>
        <v>0.6113515444080484</v>
      </c>
      <c r="J290" s="1232">
        <f t="shared" ref="J290" si="1240">SUM(J291:J292)</f>
        <v>0.55460582895470334</v>
      </c>
      <c r="K290" s="1232">
        <f t="shared" ref="K290" si="1241">SUM(K291:K292)</f>
        <v>5.7369133640082079</v>
      </c>
      <c r="L290" s="1232">
        <f t="shared" ref="L290" si="1242">SUM(L291:L292)</f>
        <v>5.6837590118207704</v>
      </c>
      <c r="M290" s="1232">
        <f t="shared" ref="M290" si="1243">SUM(M291:M292)</f>
        <v>5.450269663715817</v>
      </c>
      <c r="N290" s="1232">
        <f t="shared" ref="N290" si="1244">SUM(N291:N292)</f>
        <v>5.3971677484221718</v>
      </c>
      <c r="O290" s="1232">
        <f t="shared" ref="O290" si="1245">SUM(O291:O292)</f>
        <v>5.3452898243304565</v>
      </c>
      <c r="P290" s="1232">
        <f t="shared" ref="P290:U290" si="1246">SUM(P291:P292)</f>
        <v>5.2946150409731327</v>
      </c>
      <c r="Q290" s="1232">
        <f t="shared" si="1246"/>
        <v>5.2451230099255488</v>
      </c>
      <c r="R290" s="1232">
        <f t="shared" si="1246"/>
        <v>5.1967937966911979</v>
      </c>
      <c r="S290" s="1232">
        <f t="shared" si="1246"/>
        <v>5.1496079127631642</v>
      </c>
      <c r="T290" s="1232">
        <f t="shared" si="1246"/>
        <v>5.1035463078586538</v>
      </c>
      <c r="U290" s="1232">
        <f t="shared" si="1246"/>
        <v>5.0629634431671739</v>
      </c>
      <c r="V290" s="1139">
        <f t="shared" si="566"/>
        <v>59.220654952631008</v>
      </c>
      <c r="W290" s="596" t="str">
        <f>'EE Measures'!$IL$6</f>
        <v>CEER2</v>
      </c>
      <c r="X290" s="1274">
        <f>G290/G$234</f>
        <v>7.8478610805167957E-3</v>
      </c>
      <c r="Y290" s="1274">
        <f>H290/H$234</f>
        <v>7.9931762226932955E-3</v>
      </c>
      <c r="Z290" s="1274">
        <f t="shared" ref="Z290" si="1247">I290/I$234</f>
        <v>7.7950662994783178E-3</v>
      </c>
      <c r="AA290" s="1274">
        <f t="shared" ref="AA290" si="1248">J290/J$234</f>
        <v>6.9854982203620183E-3</v>
      </c>
      <c r="AB290" s="1274">
        <f t="shared" ref="AB290" si="1249">K290/K$234</f>
        <v>7.1372603437941162E-2</v>
      </c>
      <c r="AC290" s="1274">
        <f t="shared" ref="AC290" si="1250">L290/L$234</f>
        <v>6.9837058365036064E-2</v>
      </c>
      <c r="AD290" s="1274">
        <f t="shared" ref="AD290" si="1251">M290/M$234</f>
        <v>6.6182046202052813E-2</v>
      </c>
      <c r="AE290" s="1274">
        <f t="shared" ref="AE290" si="1252">N290/N$234</f>
        <v>6.4764222789643416E-2</v>
      </c>
      <c r="AF290" s="1274">
        <f t="shared" ref="AF290" si="1253">O290/O$234</f>
        <v>6.3381566203107101E-2</v>
      </c>
      <c r="AG290" s="1274">
        <f t="shared" ref="AG290" si="1254">P290/P$234</f>
        <v>6.2033215109612343E-2</v>
      </c>
      <c r="AH290" s="1274">
        <f t="shared" ref="AH290" si="1255">Q290/Q$234</f>
        <v>6.07183268397666E-2</v>
      </c>
      <c r="AI290" s="1274">
        <f t="shared" ref="AI290" si="1256">R290/R$234</f>
        <v>5.9436077116812702E-2</v>
      </c>
      <c r="AJ290" s="1274">
        <f t="shared" ref="AJ290" si="1257">S290/S$234</f>
        <v>5.8185659783772145E-2</v>
      </c>
      <c r="AK290" s="1274">
        <f t="shared" ref="AK290" si="1258">T290/T$234</f>
        <v>5.6966286528841711E-2</v>
      </c>
      <c r="AL290" s="1274">
        <f t="shared" ref="AL290" si="1259">U290/U$234</f>
        <v>5.5825405209544585E-2</v>
      </c>
      <c r="AM290" s="1275">
        <f t="shared" si="992"/>
        <v>4.2819231393044332E-2</v>
      </c>
      <c r="AN290" s="1275">
        <f t="shared" si="569"/>
        <v>5.7973997150541051E-2</v>
      </c>
    </row>
    <row r="291" spans="5:40" hidden="1" outlineLevel="1" x14ac:dyDescent="0.3">
      <c r="E291" s="1234" t="s">
        <v>125</v>
      </c>
      <c r="F291" s="1319">
        <f t="shared" si="565"/>
        <v>21.91349850303779</v>
      </c>
      <c r="G291" s="952">
        <f>SUMPRODUCT('EE Measures'!HF$42:HF$86,'EE Measures'!$AJ$42:$AJ$86,'EE Measures'!$IL$42:$IL$86)+G$249</f>
        <v>0.41008533501896333</v>
      </c>
      <c r="H291" s="952">
        <f>SUMPRODUCT('EE Measures'!HG$42:HG$86,'EE Measures'!$AJ$42:$AJ$86,'EE Measures'!$IL$42:$IL$86)+H$249</f>
        <v>0.41782526509515228</v>
      </c>
      <c r="I291" s="952">
        <f>SUMPRODUCT('EE Measures'!HH$42:HH$86,'EE Measures'!$AJ$42:$AJ$86,'EE Measures'!$IL$42:$IL$86)+I$249</f>
        <v>0.42596329081169204</v>
      </c>
      <c r="J291" s="952">
        <f>SUMPRODUCT('EE Measures'!HI$42:HI$86,'EE Measures'!$AJ$42:$AJ$86,'EE Measures'!$IL$42:$IL$86)+J$249</f>
        <v>0.3756005533995766</v>
      </c>
      <c r="K291" s="952">
        <f>SUMPRODUCT('EE Measures'!HJ$42:HJ$86,'EE Measures'!$AJ$42:$AJ$86,'EE Measures'!$IL$42:$IL$86)+K$249</f>
        <v>3.5918797725001945</v>
      </c>
      <c r="L291" s="952">
        <f>SUMPRODUCT('EE Measures'!HK$42:HK$86,'EE Measures'!$AJ$42:$AJ$86,'EE Measures'!$IL$42:$IL$86)+L$249</f>
        <v>3.5520973858503448</v>
      </c>
      <c r="M291" s="952">
        <f>SUMPRODUCT('EE Measures'!HL$42:HL$86,'EE Measures'!$AJ$42:$AJ$86,'EE Measures'!$IL$42:$IL$86)+M$249</f>
        <v>3.3445707809193932</v>
      </c>
      <c r="N291" s="952">
        <f>SUMPRODUCT('EE Measures'!HM$42:HM$86,'EE Measures'!$AJ$42:$AJ$86,'EE Measures'!$IL$42:$IL$86)+N$249</f>
        <v>3.3042810088163863</v>
      </c>
      <c r="O291" s="952">
        <f>SUMPRODUCT('EE Measures'!HN$42:HN$86,'EE Measures'!$AJ$42:$AJ$86,'EE Measures'!$IL$42:$IL$86)+O$249</f>
        <v>3.2648708205216059</v>
      </c>
      <c r="P291" s="952">
        <f>SUMPRODUCT('EE Measures'!HO$42:HO$86,'EE Measures'!$AJ$42:$AJ$86,'EE Measures'!$IL$42:$IL$86)+P$249</f>
        <v>3.2263242901044835</v>
      </c>
      <c r="Q291" s="952">
        <f>SUMPRODUCT('EE Measures'!HP$42:HP$86,'EE Measures'!$AJ$42:$AJ$86,'EE Measures'!$IL$42:$IL$86)+Q$249</f>
        <v>3.1886258226734427</v>
      </c>
      <c r="R291" s="952">
        <f>SUMPRODUCT('EE Measures'!HQ$42:HQ$86,'EE Measures'!$AJ$42:$AJ$86,'EE Measures'!$IL$42:$IL$86)+R$249</f>
        <v>3.1517601481545592</v>
      </c>
      <c r="S291" s="952">
        <f>SUMPRODUCT('EE Measures'!HR$42:HR$86,'EE Measures'!$AJ$42:$AJ$86,'EE Measures'!$IL$42:$IL$86)+S$249</f>
        <v>3.1157123151960606</v>
      </c>
      <c r="T291" s="952">
        <f>SUMPRODUCT('EE Measures'!HS$42:HS$86,'EE Measures'!$AJ$42:$AJ$86,'EE Measures'!$IL$42:$IL$86)+T$249</f>
        <v>3.0804676851962673</v>
      </c>
      <c r="U291" s="952">
        <f>SUMPRODUCT('EE Measures'!HT$42:HT$86,'EE Measures'!$AJ$42:$AJ$86,'EE Measures'!$IL$42:$IL$86)+U$249</f>
        <v>3.0372594344982651</v>
      </c>
      <c r="V291" s="1139">
        <f t="shared" si="566"/>
        <v>36.233450017830577</v>
      </c>
      <c r="W291" s="1234" t="s">
        <v>125</v>
      </c>
      <c r="X291" s="1260">
        <f>G291/G$235</f>
        <v>7.6294946050039685E-3</v>
      </c>
      <c r="Y291" s="1260">
        <f>H291/H$235</f>
        <v>7.6803595318662267E-3</v>
      </c>
      <c r="Z291" s="1260">
        <f t="shared" ref="Z291" si="1260">I291/I$235</f>
        <v>7.7353738056807324E-3</v>
      </c>
      <c r="AA291" s="1260">
        <f t="shared" ref="AA291" si="1261">J291/J$235</f>
        <v>6.7377546446663883E-3</v>
      </c>
      <c r="AB291" s="1260">
        <f t="shared" ref="AB291" si="1262">K291/K$235</f>
        <v>6.3642723260255774E-2</v>
      </c>
      <c r="AC291" s="1260">
        <f t="shared" ref="AC291" si="1263">L291/L$235</f>
        <v>6.2159652521893025E-2</v>
      </c>
      <c r="AD291" s="1260">
        <f t="shared" ref="AD291" si="1264">M291/M$235</f>
        <v>5.7856264592530508E-2</v>
      </c>
      <c r="AE291" s="1260">
        <f t="shared" ref="AE291" si="1265">N291/N$235</f>
        <v>5.6500947534394413E-2</v>
      </c>
      <c r="AF291" s="1260">
        <f t="shared" ref="AF291" si="1266">O291/O$235</f>
        <v>5.518184471535164E-2</v>
      </c>
      <c r="AG291" s="1260">
        <f t="shared" ref="AG291" si="1267">P291/P$235</f>
        <v>5.3897994753575817E-2</v>
      </c>
      <c r="AH291" s="1260">
        <f t="shared" ref="AH291" si="1268">Q291/Q$235</f>
        <v>5.2648459865657575E-2</v>
      </c>
      <c r="AI291" s="1260">
        <f t="shared" ref="AI291" si="1269">R291/R$235</f>
        <v>5.1432325389265669E-2</v>
      </c>
      <c r="AJ291" s="1260">
        <f t="shared" ref="AJ291" si="1270">S291/S$235</f>
        <v>5.0248699311111165E-2</v>
      </c>
      <c r="AK291" s="1260">
        <f t="shared" ref="AK291" si="1271">T291/T$235</f>
        <v>4.9096711800335639E-2</v>
      </c>
      <c r="AL291" s="1260">
        <f t="shared" ref="AL291" si="1272">U291/U$235</f>
        <v>4.7837660623102012E-2</v>
      </c>
      <c r="AM291" s="1275">
        <f t="shared" si="992"/>
        <v>3.7902240996521848E-2</v>
      </c>
      <c r="AN291" s="1275">
        <f t="shared" si="569"/>
        <v>5.0603419917678298E-2</v>
      </c>
    </row>
    <row r="292" spans="5:40" hidden="1" outlineLevel="1" x14ac:dyDescent="0.3">
      <c r="E292" s="1234" t="s">
        <v>414</v>
      </c>
      <c r="F292" s="1319">
        <f t="shared" si="565"/>
        <v>13.37839396370963</v>
      </c>
      <c r="G292" s="646">
        <f>SUMPRODUCT('EE Measures'!HF$42:HF$86,'EE Measures'!$P$42:$P$86,'EE Measures'!$IL$42:$IL$86)+G$250</f>
        <v>0.19070767</v>
      </c>
      <c r="H292" s="646">
        <f>SUMPRODUCT('EE Measures'!HG$42:HG$86,'EE Measures'!$P$42:$P$86,'EE Measures'!$IL$42:$IL$86)+H$250</f>
        <v>0.19930217</v>
      </c>
      <c r="I292" s="646">
        <f>SUMPRODUCT('EE Measures'!HH$42:HH$86,'EE Measures'!$P$42:$P$86,'EE Measures'!$IL$42:$IL$86)+I$250</f>
        <v>0.18538825359635636</v>
      </c>
      <c r="J292" s="646">
        <f>SUMPRODUCT('EE Measures'!HI$42:HI$86,'EE Measures'!$P$42:$P$86,'EE Measures'!$IL$42:$IL$86)+J$250</f>
        <v>0.17900527555512674</v>
      </c>
      <c r="K292" s="646">
        <f>SUMPRODUCT('EE Measures'!HJ$42:HJ$86,'EE Measures'!$P$42:$P$86,'EE Measures'!$IL$42:$IL$86)+K$250</f>
        <v>2.145033591508013</v>
      </c>
      <c r="L292" s="646">
        <f>SUMPRODUCT('EE Measures'!HK$42:HK$86,'EE Measures'!$P$42:$P$86,'EE Measures'!$IL$42:$IL$86)+L$250</f>
        <v>2.1316616259704251</v>
      </c>
      <c r="M292" s="646">
        <f>SUMPRODUCT('EE Measures'!HL$42:HL$86,'EE Measures'!$P$42:$P$86,'EE Measures'!$IL$42:$IL$86)+M$250</f>
        <v>2.1056988827964234</v>
      </c>
      <c r="N292" s="646">
        <f>SUMPRODUCT('EE Measures'!HM$42:HM$86,'EE Measures'!$P$42:$P$86,'EE Measures'!$IL$42:$IL$86)+N$250</f>
        <v>2.092886739605786</v>
      </c>
      <c r="O292" s="646">
        <f>SUMPRODUCT('EE Measures'!HN$42:HN$86,'EE Measures'!$P$42:$P$86,'EE Measures'!$IL$42:$IL$86)+O$250</f>
        <v>2.0804190038088506</v>
      </c>
      <c r="P292" s="646">
        <f>SUMPRODUCT('EE Measures'!HO$42:HO$86,'EE Measures'!$P$42:$P$86,'EE Measures'!$IL$42:$IL$86)+P$250</f>
        <v>2.0682907508686492</v>
      </c>
      <c r="Q292" s="646">
        <f>SUMPRODUCT('EE Measures'!HP$42:HP$86,'EE Measures'!$P$42:$P$86,'EE Measures'!$IL$42:$IL$86)+Q$250</f>
        <v>2.0564971872521061</v>
      </c>
      <c r="R292" s="646">
        <f>SUMPRODUCT('EE Measures'!HQ$42:HQ$86,'EE Measures'!$P$42:$P$86,'EE Measures'!$IL$42:$IL$86)+R$250</f>
        <v>2.0450336485366387</v>
      </c>
      <c r="S292" s="646">
        <f>SUMPRODUCT('EE Measures'!HR$42:HR$86,'EE Measures'!$P$42:$P$86,'EE Measures'!$IL$42:$IL$86)+S$250</f>
        <v>2.0338955975671036</v>
      </c>
      <c r="T292" s="646">
        <f>SUMPRODUCT('EE Measures'!HS$42:HS$86,'EE Measures'!$P$42:$P$86,'EE Measures'!$IL$42:$IL$86)+T$250</f>
        <v>2.0230786226623865</v>
      </c>
      <c r="U292" s="646">
        <f>SUMPRODUCT('EE Measures'!HT$42:HT$86,'EE Measures'!$P$42:$P$86,'EE Measures'!$IL$42:$IL$86)+U$250</f>
        <v>2.0257040086689093</v>
      </c>
      <c r="V292" s="1139">
        <f t="shared" si="566"/>
        <v>22.987204934800417</v>
      </c>
      <c r="W292" s="1234" t="s">
        <v>414</v>
      </c>
      <c r="X292" s="1260">
        <f>G292/G$236</f>
        <v>8.3625376014032013E-3</v>
      </c>
      <c r="Y292" s="1260">
        <f>H292/H$236</f>
        <v>8.7394067090550316E-3</v>
      </c>
      <c r="Z292" s="1260">
        <f t="shared" ref="Z292" si="1273">I292/I$236</f>
        <v>7.9357739350867634E-3</v>
      </c>
      <c r="AA292" s="1260">
        <f t="shared" ref="AA292" si="1274">J292/J$236</f>
        <v>7.5695009109408833E-3</v>
      </c>
      <c r="AB292" s="1260">
        <f t="shared" ref="AB292" si="1275">K292/K$236</f>
        <v>8.9594472301975259E-2</v>
      </c>
      <c r="AC292" s="1260">
        <f t="shared" ref="AC292" si="1276">L292/L$236</f>
        <v>8.793526773189124E-2</v>
      </c>
      <c r="AD292" s="1260">
        <f t="shared" ref="AD292" si="1277">M292/M$236</f>
        <v>8.5791354440461737E-2</v>
      </c>
      <c r="AE292" s="1260">
        <f t="shared" ref="AE292" si="1278">N292/N$236</f>
        <v>8.4208026367373651E-2</v>
      </c>
      <c r="AF292" s="1260">
        <f t="shared" ref="AF292" si="1279">O292/O$236</f>
        <v>8.265662695111084E-2</v>
      </c>
      <c r="AG292" s="1260">
        <f t="shared" ref="AG292" si="1280">P292/P$236</f>
        <v>8.113657814788762E-2</v>
      </c>
      <c r="AH292" s="1260">
        <f t="shared" ref="AH292" si="1281">Q292/Q$236</f>
        <v>7.9647308355833321E-2</v>
      </c>
      <c r="AI292" s="1260">
        <f t="shared" ref="AI292" si="1282">R292/R$236</f>
        <v>7.8188252529606747E-2</v>
      </c>
      <c r="AJ292" s="1260">
        <f t="shared" ref="AJ292" si="1283">S292/S$236</f>
        <v>7.6758852286350959E-2</v>
      </c>
      <c r="AK292" s="1260">
        <f t="shared" ref="AK292" si="1284">T292/T$236</f>
        <v>7.5358556003069968E-2</v>
      </c>
      <c r="AL292" s="1260">
        <f t="shared" ref="AL292" si="1285">U292/U$236</f>
        <v>7.4469343889560571E-2</v>
      </c>
      <c r="AM292" s="1275">
        <f t="shared" si="992"/>
        <v>5.4392954509718629E-2</v>
      </c>
      <c r="AN292" s="1275">
        <f t="shared" si="569"/>
        <v>7.527617832633858E-2</v>
      </c>
    </row>
    <row r="293" spans="5:40" hidden="1" outlineLevel="1" x14ac:dyDescent="0.3">
      <c r="E293" s="1234" t="s">
        <v>415</v>
      </c>
      <c r="F293" s="1319">
        <f t="shared" si="565"/>
        <v>4.3056759608385882</v>
      </c>
      <c r="G293" s="1237">
        <f>SUM(G294:G295)</f>
        <v>6.3193514091787042E-2</v>
      </c>
      <c r="H293" s="1237">
        <f>SUM(H294:H295)</f>
        <v>6.8780846015333963E-2</v>
      </c>
      <c r="I293" s="1237">
        <f t="shared" ref="I293" si="1286">SUM(I294:I295)</f>
        <v>6.3248788735812522E-2</v>
      </c>
      <c r="J293" s="1237">
        <f t="shared" ref="J293" si="1287">SUM(J294:J295)</f>
        <v>5.8314258403206337E-2</v>
      </c>
      <c r="K293" s="1237">
        <f t="shared" ref="K293" si="1288">SUM(K294:K295)</f>
        <v>0.69110136110899201</v>
      </c>
      <c r="L293" s="1237">
        <f t="shared" ref="L293" si="1289">SUM(L294:L295)</f>
        <v>0.68735339251934069</v>
      </c>
      <c r="M293" s="1237">
        <f t="shared" ref="M293" si="1290">SUM(M294:M295)</f>
        <v>0.67381729850298999</v>
      </c>
      <c r="N293" s="1237">
        <f t="shared" ref="N293" si="1291">SUM(N294:N295)</f>
        <v>0.67015586478666123</v>
      </c>
      <c r="O293" s="1237">
        <f t="shared" ref="O293" si="1292">SUM(O294:O295)</f>
        <v>0.66659058986665709</v>
      </c>
      <c r="P293" s="1237">
        <f t="shared" ref="P293:U293" si="1293">SUM(P294:P295)</f>
        <v>0.66312004680780801</v>
      </c>
      <c r="Q293" s="1237">
        <f t="shared" si="1293"/>
        <v>0.65974284481034584</v>
      </c>
      <c r="R293" s="1237">
        <f t="shared" si="1293"/>
        <v>0.65645762865389234</v>
      </c>
      <c r="S293" s="1237">
        <f t="shared" si="1293"/>
        <v>0.65326307815520401</v>
      </c>
      <c r="T293" s="1237">
        <f t="shared" si="1293"/>
        <v>0.65015790763946035</v>
      </c>
      <c r="U293" s="1237">
        <f t="shared" si="1293"/>
        <v>0.65085022880429844</v>
      </c>
      <c r="V293" s="1139">
        <f t="shared" si="566"/>
        <v>7.3809245000588559</v>
      </c>
      <c r="W293" s="1234" t="s">
        <v>415</v>
      </c>
      <c r="X293" s="1260">
        <f>G293/G$237</f>
        <v>9.9743061586640251E-3</v>
      </c>
      <c r="Y293" s="1260">
        <f>H293/H$237</f>
        <v>1.0856196650377906E-2</v>
      </c>
      <c r="Z293" s="1260">
        <f t="shared" ref="Z293" si="1294">I293/I$237</f>
        <v>9.8695753303797672E-3</v>
      </c>
      <c r="AA293" s="1260">
        <f t="shared" ref="AA293" si="1295">J293/J$237</f>
        <v>8.9949028964827083E-3</v>
      </c>
      <c r="AB293" s="1260">
        <f t="shared" ref="AB293" si="1296">K293/K$237</f>
        <v>0.1053608261811755</v>
      </c>
      <c r="AC293" s="1260">
        <f t="shared" ref="AC293" si="1297">L293/L$237</f>
        <v>0.10355575805345255</v>
      </c>
      <c r="AD293" s="1260">
        <f t="shared" ref="AD293" si="1298">M293/M$237</f>
        <v>0.10034144738176599</v>
      </c>
      <c r="AE293" s="1260">
        <f t="shared" ref="AE293" si="1299">N293/N$237</f>
        <v>9.8631208812278964E-2</v>
      </c>
      <c r="AF293" s="1260">
        <f t="shared" ref="AF293" si="1300">O293/O$237</f>
        <v>9.6951579217388811E-2</v>
      </c>
      <c r="AG293" s="1260">
        <f t="shared" ref="AG293" si="1301">P293/P$237</f>
        <v>9.5302093961169815E-2</v>
      </c>
      <c r="AH293" s="1260">
        <f t="shared" ref="AH293" si="1302">Q293/Q$237</f>
        <v>9.3682291384959634E-2</v>
      </c>
      <c r="AI293" s="1260">
        <f t="shared" ref="AI293" si="1303">R293/R$237</f>
        <v>9.2091712952767066E-2</v>
      </c>
      <c r="AJ293" s="1260">
        <f t="shared" ref="AJ293" si="1304">S293/S$237</f>
        <v>9.052990339144025E-2</v>
      </c>
      <c r="AK293" s="1260">
        <f t="shared" ref="AK293" si="1305">T293/T$237</f>
        <v>8.8996410825454592E-2</v>
      </c>
      <c r="AL293" s="1260">
        <f t="shared" ref="AL293" si="1306">U293/U$237</f>
        <v>8.7992277599070134E-2</v>
      </c>
      <c r="AM293" s="1275">
        <f t="shared" si="992"/>
        <v>6.3983789464313615E-2</v>
      </c>
      <c r="AN293" s="1275">
        <f t="shared" si="569"/>
        <v>8.8535867721450501E-2</v>
      </c>
    </row>
    <row r="294" spans="5:40" hidden="1" outlineLevel="1" x14ac:dyDescent="0.3">
      <c r="E294" s="1264" t="s">
        <v>416</v>
      </c>
      <c r="F294" s="1319">
        <f t="shared" si="565"/>
        <v>0.91570093855180934</v>
      </c>
      <c r="G294" s="646">
        <f>SUMPRODUCT('EE Measures'!HF$42:HF$86,'EE Measures'!$AL$42:$AL$86,'EE Measures'!$IL$42:$IL$86)+G$252</f>
        <v>1.192118852838411E-2</v>
      </c>
      <c r="H294" s="646">
        <f>SUMPRODUCT('EE Measures'!HG$42:HG$86,'EE Measures'!$AL$42:$AL$86,'EE Measures'!$IL$42:$IL$86)+H$252</f>
        <v>1.2603893378246578E-2</v>
      </c>
      <c r="I294" s="646">
        <f>SUMPRODUCT('EE Measures'!HH$42:HH$86,'EE Measures'!$AL$42:$AL$86,'EE Measures'!$IL$42:$IL$86)+I$252</f>
        <v>1.2201151090871521E-2</v>
      </c>
      <c r="J294" s="646">
        <f>SUMPRODUCT('EE Measures'!HI$42:HI$86,'EE Measures'!$AL$42:$AL$86,'EE Measures'!$IL$42:$IL$86)+J$252</f>
        <v>1.1660343397556297E-2</v>
      </c>
      <c r="K294" s="646">
        <f>SUMPRODUCT('EE Measures'!HJ$42:HJ$86,'EE Measures'!$AL$42:$AL$86,'EE Measures'!$IL$42:$IL$86)+K$252</f>
        <v>0.14741825370170647</v>
      </c>
      <c r="L294" s="646">
        <f>SUMPRODUCT('EE Measures'!HK$42:HK$86,'EE Measures'!$AL$42:$AL$86,'EE Measures'!$IL$42:$IL$86)+L$252</f>
        <v>0.14659013973387985</v>
      </c>
      <c r="M294" s="646">
        <f>SUMPRODUCT('EE Measures'!HL$42:HL$86,'EE Measures'!$AL$42:$AL$86,'EE Measures'!$IL$42:$IL$86)+M$252</f>
        <v>0.14450298621405883</v>
      </c>
      <c r="N294" s="646">
        <f>SUMPRODUCT('EE Measures'!HM$42:HM$86,'EE Measures'!$AL$42:$AL$86,'EE Measures'!$IL$42:$IL$86)+N$252</f>
        <v>0.14370441744840118</v>
      </c>
      <c r="O294" s="646">
        <f>SUMPRODUCT('EE Measures'!HN$42:HN$86,'EE Measures'!$AL$42:$AL$86,'EE Measures'!$IL$42:$IL$86)+O$252</f>
        <v>0.14292728451475722</v>
      </c>
      <c r="P294" s="646">
        <f>SUMPRODUCT('EE Measures'!HO$42:HO$86,'EE Measures'!$AL$42:$AL$86,'EE Measures'!$IL$42:$IL$86)+P$252</f>
        <v>0.14217128054394731</v>
      </c>
      <c r="Q294" s="646">
        <f>SUMPRODUCT('EE Measures'!HP$42:HP$86,'EE Measures'!$AL$42:$AL$86,'EE Measures'!$IL$42:$IL$86)+Q$252</f>
        <v>0.14143610681958887</v>
      </c>
      <c r="R294" s="646">
        <f>SUMPRODUCT('EE Measures'!HQ$42:HQ$86,'EE Measures'!$AL$42:$AL$86,'EE Measures'!$IL$42:$IL$86)+R$252</f>
        <v>0.14072147266017238</v>
      </c>
      <c r="S294" s="646">
        <f>SUMPRODUCT('EE Measures'!HR$42:HR$86,'EE Measures'!$AL$42:$AL$86,'EE Measures'!$IL$42:$IL$86)+S$252</f>
        <v>0.14002709530427465</v>
      </c>
      <c r="T294" s="646">
        <f>SUMPRODUCT('EE Measures'!HS$42:HS$86,'EE Measures'!$AL$42:$AL$86,'EE Measures'!$IL$42:$IL$86)+T$252</f>
        <v>0.13935269979886342</v>
      </c>
      <c r="U294" s="646">
        <f>SUMPRODUCT('EE Measures'!HT$42:HT$86,'EE Measures'!$AL$42:$AL$86,'EE Measures'!$IL$42:$IL$86)+U$252</f>
        <v>0.13951535971555049</v>
      </c>
      <c r="V294" s="1139">
        <f t="shared" si="566"/>
        <v>1.580027439852757</v>
      </c>
      <c r="W294" s="1264" t="s">
        <v>416</v>
      </c>
      <c r="X294" s="1260">
        <f>G294/G$238</f>
        <v>8.3100770480490586E-3</v>
      </c>
      <c r="Y294" s="1260">
        <f>H294/H$238</f>
        <v>8.7859800916026271E-3</v>
      </c>
      <c r="Z294" s="1260">
        <f t="shared" ref="Z294" si="1307">I294/I$238</f>
        <v>8.4030268896506735E-3</v>
      </c>
      <c r="AA294" s="1260">
        <f t="shared" ref="AA294" si="1308">J294/J$238</f>
        <v>7.9330770935264645E-3</v>
      </c>
      <c r="AB294" s="1260">
        <f t="shared" ref="AB294" si="1309">K294/K$238</f>
        <v>9.9065773678355895E-2</v>
      </c>
      <c r="AC294" s="1260">
        <f t="shared" ref="AC294" si="1310">L294/L$238</f>
        <v>9.7289628853154286E-2</v>
      </c>
      <c r="AD294" s="1260">
        <f t="shared" ref="AD294" si="1311">M294/M$238</f>
        <v>9.4723787986284169E-2</v>
      </c>
      <c r="AE294" s="1260">
        <f t="shared" ref="AE294" si="1312">N294/N$238</f>
        <v>9.3031334262309848E-2</v>
      </c>
      <c r="AF294" s="1260">
        <f t="shared" ref="AF294" si="1313">O294/O$238</f>
        <v>9.1370955763181383E-2</v>
      </c>
      <c r="AG294" s="1260">
        <f t="shared" ref="AG294" si="1314">P294/P$238</f>
        <v>8.9742123187376843E-2</v>
      </c>
      <c r="AH294" s="1260">
        <f t="shared" ref="AH294" si="1315">Q294/Q$238</f>
        <v>8.8144311833042777E-2</v>
      </c>
      <c r="AI294" s="1260">
        <f t="shared" ref="AI294" si="1316">R294/R$238</f>
        <v>8.6577001735708453E-2</v>
      </c>
      <c r="AJ294" s="1260">
        <f t="shared" ref="AJ294" si="1317">S294/S$238</f>
        <v>8.5039677798975713E-2</v>
      </c>
      <c r="AK294" s="1260">
        <f t="shared" ref="AK294" si="1318">T294/T$238</f>
        <v>8.3531829918137193E-2</v>
      </c>
      <c r="AL294" s="1260">
        <f t="shared" ref="AL294" si="1319">U294/U$238</f>
        <v>8.2536487244525877E-2</v>
      </c>
      <c r="AM294" s="1275">
        <f t="shared" si="992"/>
        <v>5.9865576485349126E-2</v>
      </c>
      <c r="AN294" s="1275">
        <f t="shared" si="569"/>
        <v>8.3248832446214921E-2</v>
      </c>
    </row>
    <row r="295" spans="5:40" hidden="1" outlineLevel="1" x14ac:dyDescent="0.3">
      <c r="E295" s="1264" t="s">
        <v>190</v>
      </c>
      <c r="F295" s="1319">
        <f t="shared" si="565"/>
        <v>3.3899750222867788</v>
      </c>
      <c r="G295" s="646">
        <f>SUMPRODUCT('EE Measures'!HF$42:HF$86,'EE Measures'!$AM$42:$AM$86,'EE Measures'!$IL$42:$IL$86)+G$253</f>
        <v>5.1272325563402936E-2</v>
      </c>
      <c r="H295" s="646">
        <f>SUMPRODUCT('EE Measures'!HG$42:HG$86,'EE Measures'!$AM$42:$AM$86,'EE Measures'!$IL$42:$IL$86)+H$253</f>
        <v>5.6176952637087378E-2</v>
      </c>
      <c r="I295" s="646">
        <f>SUMPRODUCT('EE Measures'!HH$42:HH$86,'EE Measures'!$AM$42:$AM$86,'EE Measures'!$IL$42:$IL$86)+I$253</f>
        <v>5.1047637644940996E-2</v>
      </c>
      <c r="J295" s="646">
        <f>SUMPRODUCT('EE Measures'!HI$42:HI$86,'EE Measures'!$AM$42:$AM$86,'EE Measures'!$IL$42:$IL$86)+J$253</f>
        <v>4.665391500565004E-2</v>
      </c>
      <c r="K295" s="646">
        <f>SUMPRODUCT('EE Measures'!HJ$42:HJ$86,'EE Measures'!$AM$42:$AM$86,'EE Measures'!$IL$42:$IL$86)+K$253</f>
        <v>0.54368310740728554</v>
      </c>
      <c r="L295" s="646">
        <f>SUMPRODUCT('EE Measures'!HK$42:HK$86,'EE Measures'!$AM$42:$AM$86,'EE Measures'!$IL$42:$IL$86)+L$253</f>
        <v>0.54076325278546078</v>
      </c>
      <c r="M295" s="646">
        <f>SUMPRODUCT('EE Measures'!HL$42:HL$86,'EE Measures'!$AM$42:$AM$86,'EE Measures'!$IL$42:$IL$86)+M$253</f>
        <v>0.52931431228893111</v>
      </c>
      <c r="N295" s="646">
        <f>SUMPRODUCT('EE Measures'!HM$42:HM$86,'EE Measures'!$AM$42:$AM$86,'EE Measures'!$IL$42:$IL$86)+N$253</f>
        <v>0.5264514473382601</v>
      </c>
      <c r="O295" s="646">
        <f>SUMPRODUCT('EE Measures'!HN$42:HN$86,'EE Measures'!$AM$42:$AM$86,'EE Measures'!$IL$42:$IL$86)+O$253</f>
        <v>0.52366330535189987</v>
      </c>
      <c r="P295" s="646">
        <f>SUMPRODUCT('EE Measures'!HO$42:HO$86,'EE Measures'!$AM$42:$AM$86,'EE Measures'!$IL$42:$IL$86)+P$253</f>
        <v>0.52094876626386066</v>
      </c>
      <c r="Q295" s="646">
        <f>SUMPRODUCT('EE Measures'!HP$42:HP$86,'EE Measures'!$AM$42:$AM$86,'EE Measures'!$IL$42:$IL$86)+Q$253</f>
        <v>0.51830673799075699</v>
      </c>
      <c r="R295" s="646">
        <f>SUMPRODUCT('EE Measures'!HQ$42:HQ$86,'EE Measures'!$AM$42:$AM$86,'EE Measures'!$IL$42:$IL$86)+R$253</f>
        <v>0.51573615599371991</v>
      </c>
      <c r="S295" s="646">
        <f>SUMPRODUCT('EE Measures'!HR$42:HR$86,'EE Measures'!$AM$42:$AM$86,'EE Measures'!$IL$42:$IL$86)+S$253</f>
        <v>0.51323598285092942</v>
      </c>
      <c r="T295" s="646">
        <f>SUMPRODUCT('EE Measures'!HS$42:HS$86,'EE Measures'!$AM$42:$AM$86,'EE Measures'!$IL$42:$IL$86)+T$253</f>
        <v>0.51080520784059691</v>
      </c>
      <c r="U295" s="646">
        <f>SUMPRODUCT('EE Measures'!HT$42:HT$86,'EE Measures'!$AM$42:$AM$86,'EE Measures'!$IL$42:$IL$86)+U$253</f>
        <v>0.51133486908874792</v>
      </c>
      <c r="V295" s="1139">
        <f t="shared" si="566"/>
        <v>5.8008970602060987</v>
      </c>
      <c r="W295" s="1264" t="s">
        <v>190</v>
      </c>
      <c r="X295" s="1260">
        <f>G295/G$239</f>
        <v>1.0461425613837255E-2</v>
      </c>
      <c r="Y295" s="1260">
        <f>H295/H$239</f>
        <v>1.1462148532705316E-2</v>
      </c>
      <c r="Z295" s="1260">
        <f t="shared" ref="Z295" si="1320">I295/I$239</f>
        <v>1.0299200099245683E-2</v>
      </c>
      <c r="AA295" s="1260">
        <f t="shared" ref="AA295" si="1321">J295/J$239</f>
        <v>9.3062238422433885E-3</v>
      </c>
      <c r="AB295" s="1260">
        <f t="shared" ref="AB295" si="1322">K295/K$239</f>
        <v>0.10720800248274809</v>
      </c>
      <c r="AC295" s="1260">
        <f t="shared" ref="AC295" si="1323">L295/L$239</f>
        <v>0.10539591197630059</v>
      </c>
      <c r="AD295" s="1260">
        <f t="shared" ref="AD295" si="1324">M295/M$239</f>
        <v>0.10199275836332068</v>
      </c>
      <c r="AE295" s="1260">
        <f t="shared" ref="AE295" si="1325">N295/N$239</f>
        <v>0.10027887911300976</v>
      </c>
      <c r="AF295" s="1260">
        <f t="shared" ref="AF295" si="1326">O295/O$239</f>
        <v>9.8595168057599242E-2</v>
      </c>
      <c r="AG295" s="1260">
        <f t="shared" ref="AG295" si="1327">P295/P$239</f>
        <v>9.6941178389414975E-2</v>
      </c>
      <c r="AH295" s="1260">
        <f t="shared" ref="AH295" si="1328">Q295/Q$239</f>
        <v>9.5316465873614489E-2</v>
      </c>
      <c r="AI295" s="1260">
        <f t="shared" ref="AI295" si="1329">R295/R$239</f>
        <v>9.3720588993472187E-2</v>
      </c>
      <c r="AJ295" s="1260">
        <f t="shared" ref="AJ295" si="1330">S295/S$239</f>
        <v>9.2153109090957822E-2</v>
      </c>
      <c r="AK295" s="1260">
        <f t="shared" ref="AK295" si="1331">T295/T$239</f>
        <v>9.0613590502444136E-2</v>
      </c>
      <c r="AL295" s="1260">
        <f t="shared" ref="AL295" si="1332">U295/U$239</f>
        <v>8.9608410531636359E-2</v>
      </c>
      <c r="AM295" s="1275">
        <f t="shared" si="992"/>
        <v>6.51940896470425E-2</v>
      </c>
      <c r="AN295" s="1275">
        <f t="shared" si="569"/>
        <v>9.0094190601396798E-2</v>
      </c>
    </row>
    <row r="296" spans="5:40" hidden="1" outlineLevel="1" x14ac:dyDescent="0.3">
      <c r="E296" s="1234" t="s">
        <v>417</v>
      </c>
      <c r="F296" s="1319">
        <f t="shared" si="565"/>
        <v>9.0727180028710421</v>
      </c>
      <c r="G296" s="1237">
        <f>G292-G293</f>
        <v>0.12751415590821297</v>
      </c>
      <c r="H296" s="1237">
        <f>H292-H293</f>
        <v>0.13052132398466604</v>
      </c>
      <c r="I296" s="1237">
        <f t="shared" ref="I296:P296" si="1333">I292-I293</f>
        <v>0.12213946486054383</v>
      </c>
      <c r="J296" s="1237">
        <f t="shared" si="1333"/>
        <v>0.1206910171519204</v>
      </c>
      <c r="K296" s="1237">
        <f t="shared" si="1333"/>
        <v>1.453932230399021</v>
      </c>
      <c r="L296" s="1237">
        <f t="shared" si="1333"/>
        <v>1.4443082334510844</v>
      </c>
      <c r="M296" s="1237">
        <f t="shared" si="1333"/>
        <v>1.4318815842934334</v>
      </c>
      <c r="N296" s="1237">
        <f t="shared" si="1333"/>
        <v>1.4227308748191247</v>
      </c>
      <c r="O296" s="1237">
        <f t="shared" si="1333"/>
        <v>1.4138284139421935</v>
      </c>
      <c r="P296" s="1237">
        <f t="shared" si="1333"/>
        <v>1.4051707040608412</v>
      </c>
      <c r="Q296" s="1237">
        <f t="shared" ref="Q296:U296" si="1334">Q292-Q293</f>
        <v>1.3967543424417603</v>
      </c>
      <c r="R296" s="1237">
        <f t="shared" si="1334"/>
        <v>1.3885760198827464</v>
      </c>
      <c r="S296" s="1237">
        <f t="shared" si="1334"/>
        <v>1.3806325194118996</v>
      </c>
      <c r="T296" s="1237">
        <f t="shared" si="1334"/>
        <v>1.3729207150229261</v>
      </c>
      <c r="U296" s="1237">
        <f t="shared" si="1334"/>
        <v>1.374853779864611</v>
      </c>
      <c r="V296" s="1139">
        <f t="shared" si="566"/>
        <v>15.606280434741564</v>
      </c>
      <c r="W296" s="1234" t="s">
        <v>417</v>
      </c>
      <c r="X296" s="1260">
        <f>G296/G$240</f>
        <v>7.742503599171423E-3</v>
      </c>
      <c r="Y296" s="1260">
        <f>H296/H$240</f>
        <v>7.9250951670598608E-3</v>
      </c>
      <c r="Z296" s="1260">
        <f t="shared" ref="Z296" si="1335">I296/I$240</f>
        <v>7.2047547038365453E-3</v>
      </c>
      <c r="AA296" s="1260">
        <f t="shared" ref="AA296" si="1336">J296/J$240</f>
        <v>7.031148157129785E-3</v>
      </c>
      <c r="AB296" s="1260">
        <f t="shared" ref="AB296" si="1337">K296/K$240</f>
        <v>8.3644856429655523E-2</v>
      </c>
      <c r="AC296" s="1260">
        <f t="shared" ref="AC296" si="1338">L296/L$240</f>
        <v>8.2045535414724521E-2</v>
      </c>
      <c r="AD296" s="1260">
        <f t="shared" ref="AD296" si="1339">M296/M$240</f>
        <v>8.0311155394804559E-2</v>
      </c>
      <c r="AE296" s="1260">
        <f t="shared" ref="AE296" si="1340">N296/N$240</f>
        <v>7.8781475035314658E-2</v>
      </c>
      <c r="AF296" s="1260">
        <f t="shared" ref="AF296" si="1341">O296/O$240</f>
        <v>7.728407864880224E-2</v>
      </c>
      <c r="AG296" s="1260">
        <f t="shared" ref="AG296" si="1342">P296/P$240</f>
        <v>7.5818345590600258E-2</v>
      </c>
      <c r="AH296" s="1260">
        <f t="shared" ref="AH296" si="1343">Q296/Q$240</f>
        <v>7.4383663152809573E-2</v>
      </c>
      <c r="AI296" s="1260">
        <f t="shared" ref="AI296" si="1344">R296/R$240</f>
        <v>7.2979426655420843E-2</v>
      </c>
      <c r="AJ296" s="1260">
        <f t="shared" ref="AJ296" si="1345">S296/S$240</f>
        <v>7.1605039527849731E-2</v>
      </c>
      <c r="AK296" s="1260">
        <f t="shared" ref="AK296" si="1346">T296/T$240</f>
        <v>7.0259913381057915E-2</v>
      </c>
      <c r="AL296" s="1260">
        <f t="shared" ref="AL296" si="1347">U296/U$240</f>
        <v>6.9418909897627668E-2</v>
      </c>
      <c r="AM296" s="1275">
        <f t="shared" si="992"/>
        <v>5.0778894814109944E-2</v>
      </c>
      <c r="AN296" s="1275">
        <f t="shared" si="569"/>
        <v>7.0296962273816432E-2</v>
      </c>
    </row>
    <row r="297" spans="5:40" hidden="1" outlineLevel="1" x14ac:dyDescent="0.3"/>
    <row r="298" spans="5:40" hidden="1" outlineLevel="1" x14ac:dyDescent="0.3">
      <c r="E298" s="625"/>
      <c r="F298" s="625" t="s">
        <v>370</v>
      </c>
      <c r="G298" s="625">
        <v>2021</v>
      </c>
      <c r="H298" s="625">
        <v>2022</v>
      </c>
      <c r="I298" s="625">
        <v>2023</v>
      </c>
      <c r="J298" s="625">
        <v>2024</v>
      </c>
      <c r="K298" s="625">
        <v>2025</v>
      </c>
      <c r="L298" s="625">
        <v>2026</v>
      </c>
      <c r="M298" s="625">
        <v>2027</v>
      </c>
      <c r="N298" s="625">
        <v>2028</v>
      </c>
      <c r="O298" s="625">
        <v>2029</v>
      </c>
      <c r="P298" s="625">
        <v>2030</v>
      </c>
      <c r="Q298" s="625">
        <v>2031</v>
      </c>
      <c r="R298" s="625">
        <v>2032</v>
      </c>
      <c r="S298" s="625">
        <v>2033</v>
      </c>
      <c r="T298" s="625">
        <v>2034</v>
      </c>
      <c r="U298" s="625">
        <v>2035</v>
      </c>
    </row>
    <row r="299" spans="5:40" hidden="1" outlineLevel="1" x14ac:dyDescent="0.3">
      <c r="E299" s="596" t="str">
        <f>'EE Measures'!$IF$6</f>
        <v>Baseline</v>
      </c>
      <c r="F299" s="1139">
        <f>SUM(J299:U299)</f>
        <v>5.3889464822278725</v>
      </c>
      <c r="G299" s="1418">
        <f>G248</f>
        <v>0.60079300501896338</v>
      </c>
      <c r="H299" s="1418">
        <f t="shared" ref="H299:U299" si="1348">H248</f>
        <v>0.61712743509515233</v>
      </c>
      <c r="I299" s="1418">
        <f t="shared" si="1348"/>
        <v>0.6113515444080484</v>
      </c>
      <c r="J299" s="1418">
        <f t="shared" si="1348"/>
        <v>0.55460582895470334</v>
      </c>
      <c r="K299" s="1418">
        <f t="shared" si="1348"/>
        <v>0.55919114178598606</v>
      </c>
      <c r="L299" s="1418">
        <f t="shared" si="1348"/>
        <v>0.56631275183529428</v>
      </c>
      <c r="M299" s="1418">
        <f t="shared" si="1348"/>
        <v>0.39191748435460194</v>
      </c>
      <c r="N299" s="1418">
        <f t="shared" si="1348"/>
        <v>0.39675094222199825</v>
      </c>
      <c r="O299" s="1418">
        <f t="shared" si="1348"/>
        <v>0.40167240358228379</v>
      </c>
      <c r="P299" s="1418">
        <f t="shared" si="1348"/>
        <v>0.40668329223672489</v>
      </c>
      <c r="Q299" s="1418">
        <f t="shared" si="1348"/>
        <v>0.41178505727910669</v>
      </c>
      <c r="R299" s="1418">
        <f t="shared" si="1348"/>
        <v>0.41697917354472258</v>
      </c>
      <c r="S299" s="1418">
        <f t="shared" si="1348"/>
        <v>0.42226714206763638</v>
      </c>
      <c r="T299" s="1418">
        <f t="shared" si="1348"/>
        <v>0.42765049054640814</v>
      </c>
      <c r="U299" s="1418">
        <f t="shared" si="1348"/>
        <v>0.43313077381840726</v>
      </c>
    </row>
    <row r="300" spans="5:40" hidden="1" outlineLevel="1" x14ac:dyDescent="0.3">
      <c r="E300" s="1234" t="s">
        <v>418</v>
      </c>
      <c r="F300" s="1139">
        <f t="shared" ref="F300:F347" si="1349">SUM(J300:U300)</f>
        <v>5.3889464822278725</v>
      </c>
      <c r="G300" s="1143">
        <f>G299</f>
        <v>0.60079300501896338</v>
      </c>
      <c r="H300" s="1143">
        <f t="shared" ref="H300:U300" si="1350">H299</f>
        <v>0.61712743509515233</v>
      </c>
      <c r="I300" s="1143">
        <f t="shared" si="1350"/>
        <v>0.6113515444080484</v>
      </c>
      <c r="J300" s="1143">
        <f t="shared" si="1350"/>
        <v>0.55460582895470334</v>
      </c>
      <c r="K300" s="1143">
        <f t="shared" si="1350"/>
        <v>0.55919114178598606</v>
      </c>
      <c r="L300" s="1143">
        <f t="shared" si="1350"/>
        <v>0.56631275183529428</v>
      </c>
      <c r="M300" s="1143">
        <f t="shared" si="1350"/>
        <v>0.39191748435460194</v>
      </c>
      <c r="N300" s="1143">
        <f t="shared" si="1350"/>
        <v>0.39675094222199825</v>
      </c>
      <c r="O300" s="1143">
        <f t="shared" si="1350"/>
        <v>0.40167240358228379</v>
      </c>
      <c r="P300" s="1143">
        <f t="shared" si="1350"/>
        <v>0.40668329223672489</v>
      </c>
      <c r="Q300" s="1143">
        <f t="shared" si="1350"/>
        <v>0.41178505727910669</v>
      </c>
      <c r="R300" s="1143">
        <f t="shared" si="1350"/>
        <v>0.41697917354472258</v>
      </c>
      <c r="S300" s="1143">
        <f t="shared" si="1350"/>
        <v>0.42226714206763638</v>
      </c>
      <c r="T300" s="1143">
        <f t="shared" si="1350"/>
        <v>0.42765049054640814</v>
      </c>
      <c r="U300" s="1143">
        <f t="shared" si="1350"/>
        <v>0.43313077381840726</v>
      </c>
    </row>
    <row r="301" spans="5:40" hidden="1" outlineLevel="1" x14ac:dyDescent="0.3">
      <c r="E301" s="1234" t="s">
        <v>419</v>
      </c>
      <c r="F301" s="1139">
        <f t="shared" si="1349"/>
        <v>0</v>
      </c>
      <c r="G301" s="966">
        <v>0</v>
      </c>
      <c r="H301" s="966">
        <v>0</v>
      </c>
      <c r="I301" s="966">
        <v>0</v>
      </c>
      <c r="J301" s="966">
        <v>0</v>
      </c>
      <c r="K301" s="966">
        <v>0</v>
      </c>
      <c r="L301" s="966">
        <v>0</v>
      </c>
      <c r="M301" s="966">
        <v>0</v>
      </c>
      <c r="N301" s="966">
        <v>0</v>
      </c>
      <c r="O301" s="966">
        <v>0</v>
      </c>
      <c r="P301" s="966">
        <v>0</v>
      </c>
      <c r="Q301" s="966">
        <v>0</v>
      </c>
      <c r="R301" s="966">
        <v>0</v>
      </c>
      <c r="S301" s="966">
        <v>0</v>
      </c>
      <c r="T301" s="966">
        <v>0</v>
      </c>
      <c r="U301" s="966">
        <v>0</v>
      </c>
    </row>
    <row r="302" spans="5:40" hidden="1" outlineLevel="1" x14ac:dyDescent="0.3">
      <c r="E302" s="1234" t="s">
        <v>420</v>
      </c>
      <c r="F302" s="1139">
        <f t="shared" si="1349"/>
        <v>3.2285647548488776</v>
      </c>
      <c r="G302" s="1143">
        <f>G249</f>
        <v>0.41008533501896333</v>
      </c>
      <c r="H302" s="1143">
        <f t="shared" ref="H302:U302" si="1351">H249</f>
        <v>0.41782526509515228</v>
      </c>
      <c r="I302" s="1143">
        <f t="shared" si="1351"/>
        <v>0.42596329081169204</v>
      </c>
      <c r="J302" s="1143">
        <f t="shared" si="1351"/>
        <v>0.3756005533995766</v>
      </c>
      <c r="K302" s="1143">
        <f t="shared" si="1351"/>
        <v>0.38030569842612094</v>
      </c>
      <c r="L302" s="1143">
        <f t="shared" si="1351"/>
        <v>0.38511299950321343</v>
      </c>
      <c r="M302" s="1143">
        <f t="shared" si="1351"/>
        <v>0.22130177469671516</v>
      </c>
      <c r="N302" s="1143">
        <f t="shared" si="1351"/>
        <v>0.22387021840199595</v>
      </c>
      <c r="O302" s="1143">
        <f t="shared" si="1351"/>
        <v>0.2264778887427929</v>
      </c>
      <c r="P302" s="1143">
        <f t="shared" si="1351"/>
        <v>0.22912533738015686</v>
      </c>
      <c r="Q302" s="1143">
        <f t="shared" si="1351"/>
        <v>0.23181312392410264</v>
      </c>
      <c r="R302" s="1143">
        <f t="shared" si="1351"/>
        <v>0.23454181604736299</v>
      </c>
      <c r="S302" s="1143">
        <f t="shared" si="1351"/>
        <v>0.23731198960077018</v>
      </c>
      <c r="T302" s="1143">
        <f t="shared" si="1351"/>
        <v>0.24012422873029671</v>
      </c>
      <c r="U302" s="1143">
        <f t="shared" si="1351"/>
        <v>0.2429791259957729</v>
      </c>
    </row>
    <row r="303" spans="5:40" hidden="1" outlineLevel="1" x14ac:dyDescent="0.3">
      <c r="E303" s="1234" t="s">
        <v>421</v>
      </c>
      <c r="F303" s="1139">
        <f t="shared" si="1349"/>
        <v>0</v>
      </c>
      <c r="G303" s="966">
        <v>0</v>
      </c>
      <c r="H303" s="966">
        <v>0</v>
      </c>
      <c r="I303" s="966">
        <v>0</v>
      </c>
      <c r="J303" s="966">
        <v>0</v>
      </c>
      <c r="K303" s="966">
        <v>0</v>
      </c>
      <c r="L303" s="966">
        <v>0</v>
      </c>
      <c r="M303" s="966">
        <v>0</v>
      </c>
      <c r="N303" s="966">
        <v>0</v>
      </c>
      <c r="O303" s="966">
        <v>0</v>
      </c>
      <c r="P303" s="966">
        <v>0</v>
      </c>
      <c r="Q303" s="966">
        <v>0</v>
      </c>
      <c r="R303" s="966">
        <v>0</v>
      </c>
      <c r="S303" s="966">
        <v>0</v>
      </c>
      <c r="T303" s="966">
        <v>0</v>
      </c>
      <c r="U303" s="966">
        <v>0</v>
      </c>
    </row>
    <row r="304" spans="5:40" hidden="1" outlineLevel="1" x14ac:dyDescent="0.3">
      <c r="E304" s="1234" t="s">
        <v>422</v>
      </c>
      <c r="F304" s="1139">
        <f t="shared" si="1349"/>
        <v>2.1603817273789963</v>
      </c>
      <c r="G304" s="1143">
        <f>G250</f>
        <v>0.19070767</v>
      </c>
      <c r="H304" s="1143">
        <f t="shared" ref="H304:U304" si="1352">H250</f>
        <v>0.19930217</v>
      </c>
      <c r="I304" s="1143">
        <f t="shared" si="1352"/>
        <v>0.18538825359635636</v>
      </c>
      <c r="J304" s="1143">
        <f t="shared" si="1352"/>
        <v>0.17900527555512674</v>
      </c>
      <c r="K304" s="1143">
        <f t="shared" si="1352"/>
        <v>0.17888544335986512</v>
      </c>
      <c r="L304" s="1143">
        <f t="shared" si="1352"/>
        <v>0.18119975233208085</v>
      </c>
      <c r="M304" s="1143">
        <f t="shared" si="1352"/>
        <v>0.17061570965788678</v>
      </c>
      <c r="N304" s="1143">
        <f t="shared" si="1352"/>
        <v>0.17288072382000227</v>
      </c>
      <c r="O304" s="1143">
        <f t="shared" si="1352"/>
        <v>0.17519451483949089</v>
      </c>
      <c r="P304" s="1143">
        <f t="shared" si="1352"/>
        <v>0.17755795485656803</v>
      </c>
      <c r="Q304" s="1143">
        <f t="shared" si="1352"/>
        <v>0.17997193335500405</v>
      </c>
      <c r="R304" s="1143">
        <f t="shared" si="1352"/>
        <v>0.18243735749735962</v>
      </c>
      <c r="S304" s="1143">
        <f t="shared" si="1352"/>
        <v>0.1849551524668662</v>
      </c>
      <c r="T304" s="1143">
        <f t="shared" si="1352"/>
        <v>0.1875262618161114</v>
      </c>
      <c r="U304" s="1143">
        <f t="shared" si="1352"/>
        <v>0.19015164782263433</v>
      </c>
    </row>
    <row r="305" spans="5:21" hidden="1" outlineLevel="1" x14ac:dyDescent="0.3">
      <c r="E305" s="1234" t="s">
        <v>423</v>
      </c>
      <c r="F305" s="1139">
        <f t="shared" si="1349"/>
        <v>0</v>
      </c>
      <c r="G305" s="966">
        <v>0</v>
      </c>
      <c r="H305" s="966">
        <v>0</v>
      </c>
      <c r="I305" s="966">
        <v>0</v>
      </c>
      <c r="J305" s="966">
        <v>0</v>
      </c>
      <c r="K305" s="966">
        <v>0</v>
      </c>
      <c r="L305" s="966">
        <v>0</v>
      </c>
      <c r="M305" s="966">
        <v>0</v>
      </c>
      <c r="N305" s="966">
        <v>0</v>
      </c>
      <c r="O305" s="966">
        <v>0</v>
      </c>
      <c r="P305" s="966">
        <v>0</v>
      </c>
      <c r="Q305" s="966">
        <v>0</v>
      </c>
      <c r="R305" s="966">
        <v>0</v>
      </c>
      <c r="S305" s="966">
        <v>0</v>
      </c>
      <c r="T305" s="966">
        <v>0</v>
      </c>
      <c r="U305" s="966">
        <v>0</v>
      </c>
    </row>
    <row r="306" spans="5:21" hidden="1" outlineLevel="1" x14ac:dyDescent="0.3">
      <c r="E306" s="596" t="str">
        <f>'EE Measures'!$IG$6</f>
        <v>EEO</v>
      </c>
      <c r="F306" s="1139">
        <f t="shared" si="1349"/>
        <v>59.505512504944399</v>
      </c>
      <c r="G306" s="1418">
        <f>G255</f>
        <v>0.60079300501896338</v>
      </c>
      <c r="H306" s="1418">
        <f t="shared" ref="H306:U306" si="1353">H255</f>
        <v>0.61712743509515233</v>
      </c>
      <c r="I306" s="1418">
        <f t="shared" si="1353"/>
        <v>0.6113515444080484</v>
      </c>
      <c r="J306" s="1418">
        <f t="shared" si="1353"/>
        <v>0.55460582895470334</v>
      </c>
      <c r="K306" s="1418">
        <f t="shared" si="1353"/>
        <v>5.5435864718987071</v>
      </c>
      <c r="L306" s="1418">
        <f t="shared" si="1353"/>
        <v>5.5369390187671872</v>
      </c>
      <c r="M306" s="1418">
        <f t="shared" si="1353"/>
        <v>5.3490446697366636</v>
      </c>
      <c r="N306" s="1418">
        <f t="shared" si="1353"/>
        <v>5.3406437339277542</v>
      </c>
      <c r="O306" s="1418">
        <f t="shared" si="1353"/>
        <v>5.3325902995269567</v>
      </c>
      <c r="P306" s="1418">
        <f t="shared" si="1353"/>
        <v>5.3248807021411206</v>
      </c>
      <c r="Q306" s="1418">
        <f t="shared" si="1353"/>
        <v>5.3175114024381323</v>
      </c>
      <c r="R306" s="1418">
        <f t="shared" si="1353"/>
        <v>5.3104789846396585</v>
      </c>
      <c r="S306" s="1418">
        <f t="shared" si="1353"/>
        <v>5.3037801550605241</v>
      </c>
      <c r="T306" s="1418">
        <f t="shared" si="1353"/>
        <v>5.2974117406941517</v>
      </c>
      <c r="U306" s="1418">
        <f t="shared" si="1353"/>
        <v>5.2940394971588374</v>
      </c>
    </row>
    <row r="307" spans="5:21" hidden="1" outlineLevel="1" x14ac:dyDescent="0.3">
      <c r="E307" s="1234" t="s">
        <v>418</v>
      </c>
      <c r="F307" s="1139">
        <f t="shared" si="1349"/>
        <v>14.07360831814891</v>
      </c>
      <c r="G307" s="1143">
        <f>SUMPRODUCT('EE Measures'!HF$42:HF$86,'EE Measures'!$AH$42:$AH$86,'EE Measures'!$IG$42:$IG$86)+G$300</f>
        <v>0.60079300501896338</v>
      </c>
      <c r="H307" s="1143">
        <f>SUMPRODUCT('EE Measures'!HG$42:HG$86,'EE Measures'!$AH$42:$AH$86,'EE Measures'!$IG$42:$IG$86)+H$300</f>
        <v>0.61712743509515233</v>
      </c>
      <c r="I307" s="1143">
        <f>SUMPRODUCT('EE Measures'!HH$42:HH$86,'EE Measures'!$AH$42:$AH$86,'EE Measures'!$IG$42:$IG$86)+I$300</f>
        <v>0.6113515444080484</v>
      </c>
      <c r="J307" s="1143">
        <f>SUMPRODUCT('EE Measures'!HI$42:HI$86,'EE Measures'!$AH$42:$AH$86,'EE Measures'!$IG$42:$IG$86)+J$300</f>
        <v>0.55460582895470334</v>
      </c>
      <c r="K307" s="1143">
        <f>SUMPRODUCT('EE Measures'!HJ$42:HJ$86,'EE Measures'!$AH$42:$AH$86,'EE Measures'!$IG$42:$IG$86)+K$300</f>
        <v>1.4134133640082083</v>
      </c>
      <c r="L307" s="1143">
        <f>SUMPRODUCT('EE Measures'!HK$42:HK$86,'EE Measures'!$AH$42:$AH$86,'EE Measures'!$IG$42:$IG$86)+L$300</f>
        <v>1.4067659108766888</v>
      </c>
      <c r="M307" s="1143">
        <f>SUMPRODUCT('EE Measures'!HL$42:HL$86,'EE Measures'!$AH$42:$AH$86,'EE Measures'!$IG$42:$IG$86)+M$300</f>
        <v>1.2188715618461647</v>
      </c>
      <c r="N307" s="1143">
        <f>SUMPRODUCT('EE Measures'!HM$42:HM$86,'EE Measures'!$AH$42:$AH$86,'EE Measures'!$IG$42:$IG$86)+N$300</f>
        <v>1.2104706260372562</v>
      </c>
      <c r="O307" s="1143">
        <f>SUMPRODUCT('EE Measures'!HN$42:HN$86,'EE Measures'!$AH$42:$AH$86,'EE Measures'!$IG$42:$IG$86)+O$300</f>
        <v>1.2024171916364583</v>
      </c>
      <c r="P307" s="1143">
        <f>SUMPRODUCT('EE Measures'!HO$42:HO$86,'EE Measures'!$AH$42:$AH$86,'EE Measures'!$IG$42:$IG$86)+P$300</f>
        <v>1.1947075942506213</v>
      </c>
      <c r="Q307" s="1143">
        <f>SUMPRODUCT('EE Measures'!HP$42:HP$86,'EE Measures'!$AH$42:$AH$86,'EE Measures'!$IG$42:$IG$86)+Q$300</f>
        <v>1.1873382945476327</v>
      </c>
      <c r="R307" s="1143">
        <f>SUMPRODUCT('EE Measures'!HQ$42:HQ$86,'EE Measures'!$AH$42:$AH$86,'EE Measures'!$IG$42:$IG$86)+R$300</f>
        <v>1.1803058767491597</v>
      </c>
      <c r="S307" s="1143">
        <f>SUMPRODUCT('EE Measures'!HR$42:HR$86,'EE Measures'!$AH$42:$AH$86,'EE Measures'!$IG$42:$IG$86)+S$300</f>
        <v>1.1736070471700257</v>
      </c>
      <c r="T307" s="1143">
        <f>SUMPRODUCT('EE Measures'!HS$42:HS$86,'EE Measures'!$AH$42:$AH$86,'EE Measures'!$IG$42:$IG$86)+T$300</f>
        <v>1.1672386328036526</v>
      </c>
      <c r="U307" s="1143">
        <f>SUMPRODUCT('EE Measures'!HT$42:HT$86,'EE Measures'!$AH$42:$AH$86,'EE Measures'!$IG$42:$IG$86)+U$300</f>
        <v>1.1638663892683383</v>
      </c>
    </row>
    <row r="308" spans="5:21" hidden="1" outlineLevel="1" x14ac:dyDescent="0.3">
      <c r="E308" s="1234" t="s">
        <v>419</v>
      </c>
      <c r="F308" s="1139">
        <f t="shared" si="1349"/>
        <v>45.431904186795485</v>
      </c>
      <c r="G308" s="1420">
        <f>SUMPRODUCT('EE Measures'!HF$42:HF$86,'EE Measures'!$AI$42:$AI$86,'EE Measures'!$IG$42:$IG$86)</f>
        <v>0</v>
      </c>
      <c r="H308" s="1420">
        <f>SUMPRODUCT('EE Measures'!HG$42:HG$86,'EE Measures'!$AI$42:$AI$86,'EE Measures'!$IG$42:$IG$86)</f>
        <v>0</v>
      </c>
      <c r="I308" s="1420">
        <f>SUMPRODUCT('EE Measures'!HH$42:HH$86,'EE Measures'!$AI$42:$AI$86,'EE Measures'!$IG$42:$IG$86)</f>
        <v>0</v>
      </c>
      <c r="J308" s="1420">
        <f>SUMPRODUCT('EE Measures'!HI$42:HI$86,'EE Measures'!$AI$42:$AI$86,'EE Measures'!$IG$42:$IG$86)</f>
        <v>0</v>
      </c>
      <c r="K308" s="1420">
        <f>SUMPRODUCT('EE Measures'!HJ$42:HJ$86,'EE Measures'!$AI$42:$AI$86,'EE Measures'!$IG$42:$IG$86)</f>
        <v>4.1301731078904984</v>
      </c>
      <c r="L308" s="1420">
        <f>SUMPRODUCT('EE Measures'!HK$42:HK$86,'EE Measures'!$AI$42:$AI$86,'EE Measures'!$IG$42:$IG$86)</f>
        <v>4.1301731078904984</v>
      </c>
      <c r="M308" s="1420">
        <f>SUMPRODUCT('EE Measures'!HL$42:HL$86,'EE Measures'!$AI$42:$AI$86,'EE Measures'!$IG$42:$IG$86)</f>
        <v>4.1301731078904984</v>
      </c>
      <c r="N308" s="1420">
        <f>SUMPRODUCT('EE Measures'!HM$42:HM$86,'EE Measures'!$AI$42:$AI$86,'EE Measures'!$IG$42:$IG$86)</f>
        <v>4.1301731078904984</v>
      </c>
      <c r="O308" s="1420">
        <f>SUMPRODUCT('EE Measures'!HN$42:HN$86,'EE Measures'!$AI$42:$AI$86,'EE Measures'!$IG$42:$IG$86)</f>
        <v>4.1301731078904984</v>
      </c>
      <c r="P308" s="1420">
        <f>SUMPRODUCT('EE Measures'!HO$42:HO$86,'EE Measures'!$AI$42:$AI$86,'EE Measures'!$IG$42:$IG$86)</f>
        <v>4.1301731078904984</v>
      </c>
      <c r="Q308" s="1420">
        <f>SUMPRODUCT('EE Measures'!HP$42:HP$86,'EE Measures'!$AI$42:$AI$86,'EE Measures'!$IG$42:$IG$86)</f>
        <v>4.1301731078904984</v>
      </c>
      <c r="R308" s="1420">
        <f>SUMPRODUCT('EE Measures'!HQ$42:HQ$86,'EE Measures'!$AI$42:$AI$86,'EE Measures'!$IG$42:$IG$86)</f>
        <v>4.1301731078904984</v>
      </c>
      <c r="S308" s="1420">
        <f>SUMPRODUCT('EE Measures'!HR$42:HR$86,'EE Measures'!$AI$42:$AI$86,'EE Measures'!$IG$42:$IG$86)</f>
        <v>4.1301731078904984</v>
      </c>
      <c r="T308" s="1420">
        <f>SUMPRODUCT('EE Measures'!HS$42:HS$86,'EE Measures'!$AI$42:$AI$86,'EE Measures'!$IG$42:$IG$86)</f>
        <v>4.1301731078904984</v>
      </c>
      <c r="U308" s="1420">
        <f>SUMPRODUCT('EE Measures'!HT$42:HT$86,'EE Measures'!$AI$42:$AI$86,'EE Measures'!$IG$42:$IG$86)</f>
        <v>4.1301731078904984</v>
      </c>
    </row>
    <row r="309" spans="5:21" hidden="1" outlineLevel="1" x14ac:dyDescent="0.3">
      <c r="E309" s="1234" t="s">
        <v>420</v>
      </c>
      <c r="F309" s="1139">
        <f t="shared" si="1349"/>
        <v>5.4460616860848736</v>
      </c>
      <c r="G309" s="1143">
        <f>SUMPRODUCT('EE Measures'!HF$42:HF$86,'EE Measures'!$AH$42:$AH$86,'EE Measures'!$AJ$42:$AJ$86,'EE Measures'!$IG$42:$IG$86)+G302</f>
        <v>0.41008533501896333</v>
      </c>
      <c r="H309" s="1143">
        <f>SUMPRODUCT('EE Measures'!HG$42:HG$86,'EE Measures'!$AH$42:$AH$86,'EE Measures'!$AJ$42:$AJ$86,'EE Measures'!$IG$42:$IG$86)+H302</f>
        <v>0.41782526509515228</v>
      </c>
      <c r="I309" s="1143">
        <f>SUMPRODUCT('EE Measures'!HH$42:HH$86,'EE Measures'!$AH$42:$AH$86,'EE Measures'!$AJ$42:$AJ$86,'EE Measures'!$IG$42:$IG$86)+I302</f>
        <v>0.42596329081169204</v>
      </c>
      <c r="J309" s="1143">
        <f>SUMPRODUCT('EE Measures'!HI$42:HI$86,'EE Measures'!$AH$42:$AH$86,'EE Measures'!$AJ$42:$AJ$86,'EE Measures'!$IG$42:$IG$86)+J302</f>
        <v>0.3756005533995766</v>
      </c>
      <c r="K309" s="1143">
        <f>SUMPRODUCT('EE Measures'!HJ$42:HJ$86,'EE Measures'!$AH$42:$AH$86,'EE Measures'!$AJ$42:$AJ$86,'EE Measures'!$IG$42:$IG$86)+K302</f>
        <v>0.60252792064834315</v>
      </c>
      <c r="L309" s="1143">
        <f>SUMPRODUCT('EE Measures'!HK$42:HK$86,'EE Measures'!$AH$42:$AH$86,'EE Measures'!$AJ$42:$AJ$86,'EE Measures'!$IG$42:$IG$86)+L302</f>
        <v>0.60297792325049016</v>
      </c>
      <c r="M309" s="1143">
        <f>SUMPRODUCT('EE Measures'!HL$42:HL$86,'EE Measures'!$AH$42:$AH$86,'EE Measures'!$AJ$42:$AJ$86,'EE Measures'!$IG$42:$IG$86)+M302</f>
        <v>0.4348948371940452</v>
      </c>
      <c r="N309" s="1143">
        <f>SUMPRODUCT('EE Measures'!HM$42:HM$86,'EE Measures'!$AH$42:$AH$86,'EE Measures'!$AJ$42:$AJ$86,'EE Measures'!$IG$42:$IG$86)+N302</f>
        <v>0.43327518163467249</v>
      </c>
      <c r="O309" s="1143">
        <f>SUMPRODUCT('EE Measures'!HN$42:HN$86,'EE Measures'!$AH$42:$AH$86,'EE Measures'!$AJ$42:$AJ$86,'EE Measures'!$IG$42:$IG$86)+O302</f>
        <v>0.43177687230424044</v>
      </c>
      <c r="P309" s="1143">
        <f>SUMPRODUCT('EE Measures'!HO$42:HO$86,'EE Measures'!$AH$42:$AH$86,'EE Measures'!$AJ$42:$AJ$86,'EE Measures'!$IG$42:$IG$86)+P302</f>
        <v>0.43039885067569367</v>
      </c>
      <c r="Q309" s="1143">
        <f>SUMPRODUCT('EE Measures'!HP$42:HP$86,'EE Measures'!$AH$42:$AH$86,'EE Measures'!$AJ$42:$AJ$86,'EE Measures'!$IG$42:$IG$86)+Q302</f>
        <v>0.42914009774325634</v>
      </c>
      <c r="R309" s="1143">
        <f>SUMPRODUCT('EE Measures'!HQ$42:HQ$86,'EE Measures'!$AH$42:$AH$86,'EE Measures'!$AJ$42:$AJ$86,'EE Measures'!$IG$42:$IG$86)+R302</f>
        <v>0.42799963351712156</v>
      </c>
      <c r="S309" s="1143">
        <f>SUMPRODUCT('EE Measures'!HR$42:HR$86,'EE Measures'!$AH$42:$AH$86,'EE Measures'!$AJ$42:$AJ$86,'EE Measures'!$IG$42:$IG$86)+S302</f>
        <v>0.42697651653190599</v>
      </c>
      <c r="T309" s="1143">
        <f>SUMPRODUCT('EE Measures'!HS$42:HS$86,'EE Measures'!$AH$42:$AH$86,'EE Measures'!$AJ$42:$AJ$86,'EE Measures'!$IG$42:$IG$86)+T302</f>
        <v>0.42606984336866516</v>
      </c>
      <c r="U309" s="1143">
        <f>SUMPRODUCT('EE Measures'!HT$42:HT$86,'EE Measures'!$AH$42:$AH$86,'EE Measures'!$AJ$42:$AJ$86,'EE Measures'!$IG$42:$IG$86)+U302</f>
        <v>0.42442345581686319</v>
      </c>
    </row>
    <row r="310" spans="5:21" hidden="1" outlineLevel="1" x14ac:dyDescent="0.3">
      <c r="E310" s="1234" t="s">
        <v>421</v>
      </c>
      <c r="F310" s="1139">
        <f t="shared" si="1349"/>
        <v>27.689311594202891</v>
      </c>
      <c r="G310" s="1419">
        <f>SUMPRODUCT('EE Measures'!HF$42:HF$86,'EE Measures'!$AI$42:$AI$86,'EE Measures'!$AJ$42:$AJ$86,'EE Measures'!$IG$42:$IG$86)+G303</f>
        <v>0</v>
      </c>
      <c r="H310" s="1419">
        <f>SUMPRODUCT('EE Measures'!HG$42:HG$86,'EE Measures'!$AI$42:$AI$86,'EE Measures'!$AJ$42:$AJ$86,'EE Measures'!$IG$42:$IG$86)+H303</f>
        <v>0</v>
      </c>
      <c r="I310" s="1419">
        <f>SUMPRODUCT('EE Measures'!HH$42:HH$86,'EE Measures'!$AI$42:$AI$86,'EE Measures'!$AJ$42:$AJ$86,'EE Measures'!$IG$42:$IG$86)+I303</f>
        <v>0</v>
      </c>
      <c r="J310" s="1419">
        <f>SUMPRODUCT('EE Measures'!HI$42:HI$86,'EE Measures'!$AI$42:$AI$86,'EE Measures'!$AJ$42:$AJ$86,'EE Measures'!$IG$42:$IG$86)+J303</f>
        <v>0</v>
      </c>
      <c r="K310" s="1419">
        <f>SUMPRODUCT('EE Measures'!HJ$42:HJ$86,'EE Measures'!$AI$42:$AI$86,'EE Measures'!$AJ$42:$AJ$86,'EE Measures'!$IG$42:$IG$86)+K303</f>
        <v>2.5172101449275361</v>
      </c>
      <c r="L310" s="1419">
        <f>SUMPRODUCT('EE Measures'!HK$42:HK$86,'EE Measures'!$AI$42:$AI$86,'EE Measures'!$AJ$42:$AJ$86,'EE Measures'!$IG$42:$IG$86)+L303</f>
        <v>2.5172101449275361</v>
      </c>
      <c r="M310" s="1419">
        <f>SUMPRODUCT('EE Measures'!HL$42:HL$86,'EE Measures'!$AI$42:$AI$86,'EE Measures'!$AJ$42:$AJ$86,'EE Measures'!$IG$42:$IG$86)+M303</f>
        <v>2.5172101449275361</v>
      </c>
      <c r="N310" s="1419">
        <f>SUMPRODUCT('EE Measures'!HM$42:HM$86,'EE Measures'!$AI$42:$AI$86,'EE Measures'!$AJ$42:$AJ$86,'EE Measures'!$IG$42:$IG$86)+N303</f>
        <v>2.5172101449275361</v>
      </c>
      <c r="O310" s="1419">
        <f>SUMPRODUCT('EE Measures'!HN$42:HN$86,'EE Measures'!$AI$42:$AI$86,'EE Measures'!$AJ$42:$AJ$86,'EE Measures'!$IG$42:$IG$86)+O303</f>
        <v>2.5172101449275361</v>
      </c>
      <c r="P310" s="1419">
        <f>SUMPRODUCT('EE Measures'!HO$42:HO$86,'EE Measures'!$AI$42:$AI$86,'EE Measures'!$AJ$42:$AJ$86,'EE Measures'!$IG$42:$IG$86)+P303</f>
        <v>2.5172101449275361</v>
      </c>
      <c r="Q310" s="1419">
        <f>SUMPRODUCT('EE Measures'!HP$42:HP$86,'EE Measures'!$AI$42:$AI$86,'EE Measures'!$AJ$42:$AJ$86,'EE Measures'!$IG$42:$IG$86)+Q303</f>
        <v>2.5172101449275361</v>
      </c>
      <c r="R310" s="1419">
        <f>SUMPRODUCT('EE Measures'!HQ$42:HQ$86,'EE Measures'!$AI$42:$AI$86,'EE Measures'!$AJ$42:$AJ$86,'EE Measures'!$IG$42:$IG$86)+R303</f>
        <v>2.5172101449275361</v>
      </c>
      <c r="S310" s="1419">
        <f>SUMPRODUCT('EE Measures'!HR$42:HR$86,'EE Measures'!$AI$42:$AI$86,'EE Measures'!$AJ$42:$AJ$86,'EE Measures'!$IG$42:$IG$86)+S303</f>
        <v>2.5172101449275361</v>
      </c>
      <c r="T310" s="1419">
        <f>SUMPRODUCT('EE Measures'!HS$42:HS$86,'EE Measures'!$AI$42:$AI$86,'EE Measures'!$AJ$42:$AJ$86,'EE Measures'!$IG$42:$IG$86)+T303</f>
        <v>2.5172101449275361</v>
      </c>
      <c r="U310" s="1419">
        <f>SUMPRODUCT('EE Measures'!HT$42:HT$86,'EE Measures'!$AI$42:$AI$86,'EE Measures'!$AJ$42:$AJ$86,'EE Measures'!$IG$42:$IG$86)+U303</f>
        <v>2.5172101449275361</v>
      </c>
    </row>
    <row r="311" spans="5:21" hidden="1" outlineLevel="1" x14ac:dyDescent="0.3">
      <c r="E311" s="1234" t="s">
        <v>422</v>
      </c>
      <c r="F311" s="1139">
        <f t="shared" si="1349"/>
        <v>8.6275466320640355</v>
      </c>
      <c r="G311" s="1420">
        <f>G307-G309</f>
        <v>0.19070767000000005</v>
      </c>
      <c r="H311" s="1420">
        <f t="shared" ref="H311:U311" si="1354">H307-H309</f>
        <v>0.19930217000000006</v>
      </c>
      <c r="I311" s="1420">
        <f t="shared" si="1354"/>
        <v>0.18538825359635636</v>
      </c>
      <c r="J311" s="1420">
        <f t="shared" si="1354"/>
        <v>0.17900527555512674</v>
      </c>
      <c r="K311" s="1420">
        <f t="shared" si="1354"/>
        <v>0.81088544335986512</v>
      </c>
      <c r="L311" s="1420">
        <f t="shared" si="1354"/>
        <v>0.80378798762619863</v>
      </c>
      <c r="M311" s="1420">
        <f t="shared" si="1354"/>
        <v>0.78397672465211954</v>
      </c>
      <c r="N311" s="1420">
        <f t="shared" si="1354"/>
        <v>0.7771954444025837</v>
      </c>
      <c r="O311" s="1420">
        <f t="shared" si="1354"/>
        <v>0.77064031933221788</v>
      </c>
      <c r="P311" s="1420">
        <f t="shared" si="1354"/>
        <v>0.76430874357492762</v>
      </c>
      <c r="Q311" s="1420">
        <f t="shared" si="1354"/>
        <v>0.75819819680437639</v>
      </c>
      <c r="R311" s="1420">
        <f t="shared" si="1354"/>
        <v>0.7523062432320381</v>
      </c>
      <c r="S311" s="1420">
        <f t="shared" si="1354"/>
        <v>0.74663053063811979</v>
      </c>
      <c r="T311" s="1420">
        <f t="shared" si="1354"/>
        <v>0.74116878943498743</v>
      </c>
      <c r="U311" s="1420">
        <f t="shared" si="1354"/>
        <v>0.73944293345147516</v>
      </c>
    </row>
    <row r="312" spans="5:21" hidden="1" outlineLevel="1" x14ac:dyDescent="0.3">
      <c r="E312" s="1234" t="s">
        <v>423</v>
      </c>
      <c r="F312" s="1139">
        <f t="shared" si="1349"/>
        <v>17.742592592592587</v>
      </c>
      <c r="G312" s="1419">
        <f>G308-G310</f>
        <v>0</v>
      </c>
      <c r="H312" s="1419">
        <f t="shared" ref="H312:U312" si="1355">H308-H310</f>
        <v>0</v>
      </c>
      <c r="I312" s="1419">
        <f t="shared" si="1355"/>
        <v>0</v>
      </c>
      <c r="J312" s="1419">
        <f t="shared" si="1355"/>
        <v>0</v>
      </c>
      <c r="K312" s="1419">
        <f t="shared" si="1355"/>
        <v>1.6129629629629623</v>
      </c>
      <c r="L312" s="1419">
        <f t="shared" si="1355"/>
        <v>1.6129629629629623</v>
      </c>
      <c r="M312" s="1419">
        <f t="shared" si="1355"/>
        <v>1.6129629629629623</v>
      </c>
      <c r="N312" s="1419">
        <f t="shared" si="1355"/>
        <v>1.6129629629629623</v>
      </c>
      <c r="O312" s="1419">
        <f t="shared" si="1355"/>
        <v>1.6129629629629623</v>
      </c>
      <c r="P312" s="1419">
        <f t="shared" si="1355"/>
        <v>1.6129629629629623</v>
      </c>
      <c r="Q312" s="1419">
        <f t="shared" si="1355"/>
        <v>1.6129629629629623</v>
      </c>
      <c r="R312" s="1419">
        <f t="shared" si="1355"/>
        <v>1.6129629629629623</v>
      </c>
      <c r="S312" s="1419">
        <f t="shared" si="1355"/>
        <v>1.6129629629629623</v>
      </c>
      <c r="T312" s="1419">
        <f t="shared" si="1355"/>
        <v>1.6129629629629623</v>
      </c>
      <c r="U312" s="1419">
        <f t="shared" si="1355"/>
        <v>1.6129629629629623</v>
      </c>
    </row>
    <row r="313" spans="5:21" hidden="1" outlineLevel="1" x14ac:dyDescent="0.3">
      <c r="E313" s="608" t="s">
        <v>36</v>
      </c>
      <c r="F313" s="1139">
        <f t="shared" si="1349"/>
        <v>36.709557787088492</v>
      </c>
      <c r="G313" s="1418">
        <f>G262</f>
        <v>0.60079300501896338</v>
      </c>
      <c r="H313" s="1418">
        <f t="shared" ref="H313:U313" si="1356">H262</f>
        <v>0.61712743509515233</v>
      </c>
      <c r="I313" s="1418">
        <f t="shared" si="1356"/>
        <v>0.6113515444080484</v>
      </c>
      <c r="J313" s="1418">
        <f t="shared" si="1356"/>
        <v>0.55460582895470334</v>
      </c>
      <c r="K313" s="1418">
        <f t="shared" si="1356"/>
        <v>3.5613578084526529</v>
      </c>
      <c r="L313" s="1418">
        <f t="shared" si="1356"/>
        <v>3.5355963393443721</v>
      </c>
      <c r="M313" s="1418">
        <f t="shared" si="1356"/>
        <v>3.3289627589640824</v>
      </c>
      <c r="N313" s="1418">
        <f t="shared" si="1356"/>
        <v>3.3021900277142269</v>
      </c>
      <c r="O313" s="1418">
        <f t="shared" si="1356"/>
        <v>3.2761250291556374</v>
      </c>
      <c r="P313" s="1418">
        <f t="shared" si="1356"/>
        <v>3.2507570355366724</v>
      </c>
      <c r="Q313" s="1418">
        <f t="shared" si="1356"/>
        <v>3.2260755826639498</v>
      </c>
      <c r="R313" s="1418">
        <f t="shared" si="1356"/>
        <v>3.2020704656794639</v>
      </c>
      <c r="S313" s="1418">
        <f t="shared" si="1356"/>
        <v>3.1787317349375712</v>
      </c>
      <c r="T313" s="1418">
        <f t="shared" si="1356"/>
        <v>3.1560496919802583</v>
      </c>
      <c r="U313" s="1418">
        <f t="shared" si="1356"/>
        <v>3.1370354837049037</v>
      </c>
    </row>
    <row r="314" spans="5:21" hidden="1" outlineLevel="1" x14ac:dyDescent="0.3">
      <c r="E314" s="1234" t="s">
        <v>418</v>
      </c>
      <c r="F314" s="1139">
        <f t="shared" si="1349"/>
        <v>23.321131861162574</v>
      </c>
      <c r="G314" s="1143">
        <f>SUMPRODUCT('EE Measures'!HF$42:HF$86,'EE Measures'!$AH$42:$AH$86,'EE Measures'!$IH$42:$IH$86)+G$300</f>
        <v>0.60079300501896338</v>
      </c>
      <c r="H314" s="1143">
        <f>SUMPRODUCT('EE Measures'!HG$42:HG$86,'EE Measures'!$AH$42:$AH$86,'EE Measures'!$IH$42:$IH$86)+H$300</f>
        <v>0.61712743509515233</v>
      </c>
      <c r="I314" s="1143">
        <f>SUMPRODUCT('EE Measures'!HH$42:HH$86,'EE Measures'!$AH$42:$AH$86,'EE Measures'!$IH$42:$IH$86)+I$300</f>
        <v>0.6113515444080484</v>
      </c>
      <c r="J314" s="1143">
        <f>SUMPRODUCT('EE Measures'!HI$42:HI$86,'EE Measures'!$AH$42:$AH$86,'EE Measures'!$IH$42:$IH$86)+J$300</f>
        <v>0.55460582895470334</v>
      </c>
      <c r="K314" s="1143">
        <f>SUMPRODUCT('EE Measures'!HJ$42:HJ$86,'EE Measures'!$AH$42:$AH$86,'EE Measures'!$IH$42:$IH$86)+K$300</f>
        <v>2.3442281788230233</v>
      </c>
      <c r="L314" s="1143">
        <f>SUMPRODUCT('EE Measures'!HK$42:HK$86,'EE Measures'!$AH$42:$AH$86,'EE Measures'!$IH$42:$IH$86)+L$300</f>
        <v>2.3184667097147429</v>
      </c>
      <c r="M314" s="1143">
        <f>SUMPRODUCT('EE Measures'!HL$42:HL$86,'EE Measures'!$AH$42:$AH$86,'EE Measures'!$IH$42:$IH$86)+M$300</f>
        <v>2.1118331293344532</v>
      </c>
      <c r="N314" s="1143">
        <f>SUMPRODUCT('EE Measures'!HM$42:HM$86,'EE Measures'!$AH$42:$AH$86,'EE Measures'!$IH$42:$IH$86)+N$300</f>
        <v>2.0850603980845972</v>
      </c>
      <c r="O314" s="1143">
        <f>SUMPRODUCT('EE Measures'!HN$42:HN$86,'EE Measures'!$AH$42:$AH$86,'EE Measures'!$IH$42:$IH$86)+O$300</f>
        <v>2.0589953995260082</v>
      </c>
      <c r="P314" s="1143">
        <f>SUMPRODUCT('EE Measures'!HO$42:HO$86,'EE Measures'!$AH$42:$AH$86,'EE Measures'!$IH$42:$IH$86)+P$300</f>
        <v>2.0336274059070427</v>
      </c>
      <c r="Q314" s="1143">
        <f>SUMPRODUCT('EE Measures'!HP$42:HP$86,'EE Measures'!$AH$42:$AH$86,'EE Measures'!$IH$42:$IH$86)+Q$300</f>
        <v>2.0089459530343206</v>
      </c>
      <c r="R314" s="1143">
        <f>SUMPRODUCT('EE Measures'!HQ$42:HQ$86,'EE Measures'!$AH$42:$AH$86,'EE Measures'!$IH$42:$IH$86)+R$300</f>
        <v>1.9849408360498344</v>
      </c>
      <c r="S314" s="1143">
        <f>SUMPRODUCT('EE Measures'!HR$42:HR$86,'EE Measures'!$AH$42:$AH$86,'EE Measures'!$IH$42:$IH$86)+S$300</f>
        <v>1.9616021053079415</v>
      </c>
      <c r="T314" s="1143">
        <f>SUMPRODUCT('EE Measures'!HS$42:HS$86,'EE Measures'!$AH$42:$AH$86,'EE Measures'!$IH$42:$IH$86)+T$300</f>
        <v>1.9389200623506291</v>
      </c>
      <c r="U314" s="1143">
        <f>SUMPRODUCT('EE Measures'!HT$42:HT$86,'EE Measures'!$AH$42:$AH$86,'EE Measures'!$IH$42:$IH$86)+U$300</f>
        <v>1.9199058540752736</v>
      </c>
    </row>
    <row r="315" spans="5:21" hidden="1" outlineLevel="1" x14ac:dyDescent="0.3">
      <c r="E315" s="1234" t="s">
        <v>419</v>
      </c>
      <c r="F315" s="1139">
        <f t="shared" si="1349"/>
        <v>13.38842592592593</v>
      </c>
      <c r="G315" s="1420">
        <f>SUMPRODUCT('EE Measures'!HF$42:HF$86,'EE Measures'!$AI$42:$AI$86,'EE Measures'!$IH$42:$IH$86)</f>
        <v>0</v>
      </c>
      <c r="H315" s="1420">
        <f>SUMPRODUCT('EE Measures'!HG$42:HG$86,'EE Measures'!$AI$42:$AI$86,'EE Measures'!$IH$42:$IH$86)</f>
        <v>0</v>
      </c>
      <c r="I315" s="1420">
        <f>SUMPRODUCT('EE Measures'!HH$42:HH$86,'EE Measures'!$AI$42:$AI$86,'EE Measures'!$IH$42:$IH$86)</f>
        <v>0</v>
      </c>
      <c r="J315" s="1420">
        <f>SUMPRODUCT('EE Measures'!HI$42:HI$86,'EE Measures'!$AI$42:$AI$86,'EE Measures'!$IH$42:$IH$86)</f>
        <v>0</v>
      </c>
      <c r="K315" s="1420">
        <f>SUMPRODUCT('EE Measures'!HJ$42:HJ$86,'EE Measures'!$AI$42:$AI$86,'EE Measures'!$IH$42:$IH$86)</f>
        <v>1.2171296296296297</v>
      </c>
      <c r="L315" s="1420">
        <f>SUMPRODUCT('EE Measures'!HK$42:HK$86,'EE Measures'!$AI$42:$AI$86,'EE Measures'!$IH$42:$IH$86)</f>
        <v>1.2171296296296297</v>
      </c>
      <c r="M315" s="1420">
        <f>SUMPRODUCT('EE Measures'!HL$42:HL$86,'EE Measures'!$AI$42:$AI$86,'EE Measures'!$IH$42:$IH$86)</f>
        <v>1.2171296296296297</v>
      </c>
      <c r="N315" s="1420">
        <f>SUMPRODUCT('EE Measures'!HM$42:HM$86,'EE Measures'!$AI$42:$AI$86,'EE Measures'!$IH$42:$IH$86)</f>
        <v>1.2171296296296297</v>
      </c>
      <c r="O315" s="1420">
        <f>SUMPRODUCT('EE Measures'!HN$42:HN$86,'EE Measures'!$AI$42:$AI$86,'EE Measures'!$IH$42:$IH$86)</f>
        <v>1.2171296296296297</v>
      </c>
      <c r="P315" s="1420">
        <f>SUMPRODUCT('EE Measures'!HO$42:HO$86,'EE Measures'!$AI$42:$AI$86,'EE Measures'!$IH$42:$IH$86)</f>
        <v>1.2171296296296297</v>
      </c>
      <c r="Q315" s="1420">
        <f>SUMPRODUCT('EE Measures'!HP$42:HP$86,'EE Measures'!$AI$42:$AI$86,'EE Measures'!$IH$42:$IH$86)</f>
        <v>1.2171296296296297</v>
      </c>
      <c r="R315" s="1420">
        <f>SUMPRODUCT('EE Measures'!HQ$42:HQ$86,'EE Measures'!$AI$42:$AI$86,'EE Measures'!$IH$42:$IH$86)</f>
        <v>1.2171296296296297</v>
      </c>
      <c r="S315" s="1420">
        <f>SUMPRODUCT('EE Measures'!HR$42:HR$86,'EE Measures'!$AI$42:$AI$86,'EE Measures'!$IH$42:$IH$86)</f>
        <v>1.2171296296296297</v>
      </c>
      <c r="T315" s="1420">
        <f>SUMPRODUCT('EE Measures'!HS$42:HS$86,'EE Measures'!$AI$42:$AI$86,'EE Measures'!$IH$42:$IH$86)</f>
        <v>1.2171296296296297</v>
      </c>
      <c r="U315" s="1420">
        <f>SUMPRODUCT('EE Measures'!HT$42:HT$86,'EE Measures'!$AI$42:$AI$86,'EE Measures'!$IH$42:$IH$86)</f>
        <v>1.2171296296296297</v>
      </c>
    </row>
    <row r="316" spans="5:21" hidden="1" outlineLevel="1" x14ac:dyDescent="0.3">
      <c r="E316" s="1234" t="s">
        <v>420</v>
      </c>
      <c r="F316" s="1139">
        <f t="shared" si="1349"/>
        <v>14.574757386339728</v>
      </c>
      <c r="G316" s="1143">
        <f>SUMPRODUCT('EE Measures'!HF$42:HF$86,'EE Measures'!$AH$42:$AH$86,'EE Measures'!$AJ$42:$AJ$86,'EE Measures'!$IH$42:$IH$86)+G302</f>
        <v>0.41008533501896333</v>
      </c>
      <c r="H316" s="1143">
        <f>SUMPRODUCT('EE Measures'!HG$42:HG$86,'EE Measures'!$AH$42:$AH$86,'EE Measures'!$AJ$42:$AJ$86,'EE Measures'!$IH$42:$IH$86)+H302</f>
        <v>0.41782526509515228</v>
      </c>
      <c r="I316" s="1143">
        <f>SUMPRODUCT('EE Measures'!HH$42:HH$86,'EE Measures'!$AH$42:$AH$86,'EE Measures'!$AJ$42:$AJ$86,'EE Measures'!$IH$42:$IH$86)+I302</f>
        <v>0.42596329081169204</v>
      </c>
      <c r="J316" s="1143">
        <f>SUMPRODUCT('EE Measures'!HI$42:HI$86,'EE Measures'!$AH$42:$AH$86,'EE Measures'!$AJ$42:$AJ$86,'EE Measures'!$IH$42:$IH$86)+J302</f>
        <v>0.3756005533995766</v>
      </c>
      <c r="K316" s="1143">
        <f>SUMPRODUCT('EE Measures'!HJ$42:HJ$86,'EE Measures'!$AH$42:$AH$86,'EE Measures'!$AJ$42:$AJ$86,'EE Measures'!$IH$42:$IH$86)+K302</f>
        <v>1.5173427354631581</v>
      </c>
      <c r="L316" s="1143">
        <f>SUMPRODUCT('EE Measures'!HK$42:HK$86,'EE Measures'!$AH$42:$AH$86,'EE Measures'!$AJ$42:$AJ$86,'EE Measures'!$IH$42:$IH$86)+L302</f>
        <v>1.4998551926767794</v>
      </c>
      <c r="M316" s="1143">
        <f>SUMPRODUCT('EE Measures'!HL$42:HL$86,'EE Measures'!$AH$42:$AH$86,'EE Measures'!$AJ$42:$AJ$86,'EE Measures'!$IH$42:$IH$86)+M302</f>
        <v>1.3141862778080542</v>
      </c>
      <c r="N316" s="1143">
        <f>SUMPRODUCT('EE Measures'!HM$42:HM$86,'EE Measures'!$AH$42:$AH$86,'EE Measures'!$AJ$42:$AJ$86,'EE Measures'!$IH$42:$IH$86)+N302</f>
        <v>1.2953256136091911</v>
      </c>
      <c r="O316" s="1143">
        <f>SUMPRODUCT('EE Measures'!HN$42:HN$86,'EE Measures'!$AH$42:$AH$86,'EE Measures'!$AJ$42:$AJ$86,'EE Measures'!$IH$42:$IH$86)+O302</f>
        <v>1.2769243546321996</v>
      </c>
      <c r="P316" s="1143">
        <f>SUMPRODUCT('EE Measures'!HO$42:HO$86,'EE Measures'!$AH$42:$AH$86,'EE Measures'!$AJ$42:$AJ$86,'EE Measures'!$IH$42:$IH$86)+P302</f>
        <v>1.2589748137423205</v>
      </c>
      <c r="Q316" s="1143">
        <f>SUMPRODUCT('EE Measures'!HP$42:HP$86,'EE Measures'!$AH$42:$AH$86,'EE Measures'!$AJ$42:$AJ$86,'EE Measures'!$IH$42:$IH$86)+Q302</f>
        <v>1.2414694732987726</v>
      </c>
      <c r="R316" s="1143">
        <f>SUMPRODUCT('EE Measures'!HQ$42:HQ$86,'EE Measures'!$AH$42:$AH$86,'EE Measures'!$AJ$42:$AJ$86,'EE Measures'!$IH$42:$IH$86)+R302</f>
        <v>1.2244009821009612</v>
      </c>
      <c r="S316" s="1143">
        <f>SUMPRODUCT('EE Measures'!HR$42:HR$86,'EE Measures'!$AH$42:$AH$86,'EE Measures'!$AJ$42:$AJ$86,'EE Measures'!$IH$42:$IH$86)+S302</f>
        <v>1.2077621523984152</v>
      </c>
      <c r="T316" s="1143">
        <f>SUMPRODUCT('EE Measures'!HS$42:HS$86,'EE Measures'!$AH$42:$AH$86,'EE Measures'!$AJ$42:$AJ$86,'EE Measures'!$IH$42:$IH$86)+T302</f>
        <v>1.1915459569632822</v>
      </c>
      <c r="U316" s="1143">
        <f>SUMPRODUCT('EE Measures'!HT$42:HT$86,'EE Measures'!$AH$42:$AH$86,'EE Measures'!$AJ$42:$AJ$86,'EE Measures'!$IH$42:$IH$86)+U302</f>
        <v>1.171369280247019</v>
      </c>
    </row>
    <row r="317" spans="5:21" hidden="1" outlineLevel="1" x14ac:dyDescent="0.3">
      <c r="E317" s="1234" t="s">
        <v>421</v>
      </c>
      <c r="F317" s="1139">
        <f t="shared" si="1349"/>
        <v>10.3125</v>
      </c>
      <c r="G317" s="1419">
        <f>SUMPRODUCT('EE Measures'!HF$42:HF$86,'EE Measures'!$AI$42:$AI$86,'EE Measures'!$AJ$42:$AJ$86,'EE Measures'!$IH$42:$IH$86)+G303</f>
        <v>0</v>
      </c>
      <c r="H317" s="1419">
        <f>SUMPRODUCT('EE Measures'!HG$42:HG$86,'EE Measures'!$AI$42:$AI$86,'EE Measures'!$AJ$42:$AJ$86,'EE Measures'!$IH$42:$IH$86)+H303</f>
        <v>0</v>
      </c>
      <c r="I317" s="1419">
        <f>SUMPRODUCT('EE Measures'!HH$42:HH$86,'EE Measures'!$AI$42:$AI$86,'EE Measures'!$AJ$42:$AJ$86,'EE Measures'!$IH$42:$IH$86)+I303</f>
        <v>0</v>
      </c>
      <c r="J317" s="1419">
        <f>SUMPRODUCT('EE Measures'!HI$42:HI$86,'EE Measures'!$AI$42:$AI$86,'EE Measures'!$AJ$42:$AJ$86,'EE Measures'!$IH$42:$IH$86)+J303</f>
        <v>0</v>
      </c>
      <c r="K317" s="1419">
        <f>SUMPRODUCT('EE Measures'!HJ$42:HJ$86,'EE Measures'!$AI$42:$AI$86,'EE Measures'!$AJ$42:$AJ$86,'EE Measures'!$IH$42:$IH$86)+K303</f>
        <v>0.9375</v>
      </c>
      <c r="L317" s="1419">
        <f>SUMPRODUCT('EE Measures'!HK$42:HK$86,'EE Measures'!$AI$42:$AI$86,'EE Measures'!$AJ$42:$AJ$86,'EE Measures'!$IH$42:$IH$86)+L303</f>
        <v>0.9375</v>
      </c>
      <c r="M317" s="1419">
        <f>SUMPRODUCT('EE Measures'!HL$42:HL$86,'EE Measures'!$AI$42:$AI$86,'EE Measures'!$AJ$42:$AJ$86,'EE Measures'!$IH$42:$IH$86)+M303</f>
        <v>0.9375</v>
      </c>
      <c r="N317" s="1419">
        <f>SUMPRODUCT('EE Measures'!HM$42:HM$86,'EE Measures'!$AI$42:$AI$86,'EE Measures'!$AJ$42:$AJ$86,'EE Measures'!$IH$42:$IH$86)+N303</f>
        <v>0.9375</v>
      </c>
      <c r="O317" s="1419">
        <f>SUMPRODUCT('EE Measures'!HN$42:HN$86,'EE Measures'!$AI$42:$AI$86,'EE Measures'!$AJ$42:$AJ$86,'EE Measures'!$IH$42:$IH$86)+O303</f>
        <v>0.9375</v>
      </c>
      <c r="P317" s="1419">
        <f>SUMPRODUCT('EE Measures'!HO$42:HO$86,'EE Measures'!$AI$42:$AI$86,'EE Measures'!$AJ$42:$AJ$86,'EE Measures'!$IH$42:$IH$86)+P303</f>
        <v>0.9375</v>
      </c>
      <c r="Q317" s="1419">
        <f>SUMPRODUCT('EE Measures'!HP$42:HP$86,'EE Measures'!$AI$42:$AI$86,'EE Measures'!$AJ$42:$AJ$86,'EE Measures'!$IH$42:$IH$86)+Q303</f>
        <v>0.9375</v>
      </c>
      <c r="R317" s="1419">
        <f>SUMPRODUCT('EE Measures'!HQ$42:HQ$86,'EE Measures'!$AI$42:$AI$86,'EE Measures'!$AJ$42:$AJ$86,'EE Measures'!$IH$42:$IH$86)+R303</f>
        <v>0.9375</v>
      </c>
      <c r="S317" s="1419">
        <f>SUMPRODUCT('EE Measures'!HR$42:HR$86,'EE Measures'!$AI$42:$AI$86,'EE Measures'!$AJ$42:$AJ$86,'EE Measures'!$IH$42:$IH$86)+S303</f>
        <v>0.9375</v>
      </c>
      <c r="T317" s="1419">
        <f>SUMPRODUCT('EE Measures'!HS$42:HS$86,'EE Measures'!$AI$42:$AI$86,'EE Measures'!$AJ$42:$AJ$86,'EE Measures'!$IH$42:$IH$86)+T303</f>
        <v>0.9375</v>
      </c>
      <c r="U317" s="1419">
        <f>SUMPRODUCT('EE Measures'!HT$42:HT$86,'EE Measures'!$AI$42:$AI$86,'EE Measures'!$AJ$42:$AJ$86,'EE Measures'!$IH$42:$IH$86)+U303</f>
        <v>0.9375</v>
      </c>
    </row>
    <row r="318" spans="5:21" hidden="1" outlineLevel="1" x14ac:dyDescent="0.3">
      <c r="E318" s="1234" t="s">
        <v>422</v>
      </c>
      <c r="F318" s="1139">
        <f t="shared" si="1349"/>
        <v>8.74637447482284</v>
      </c>
      <c r="G318" s="1420">
        <f>G314-G316</f>
        <v>0.19070767000000005</v>
      </c>
      <c r="H318" s="1420">
        <f t="shared" ref="H318:U318" si="1357">H314-H316</f>
        <v>0.19930217000000006</v>
      </c>
      <c r="I318" s="1420">
        <f t="shared" si="1357"/>
        <v>0.18538825359635636</v>
      </c>
      <c r="J318" s="1420">
        <f t="shared" si="1357"/>
        <v>0.17900527555512674</v>
      </c>
      <c r="K318" s="1420">
        <f t="shared" si="1357"/>
        <v>0.82688544335986514</v>
      </c>
      <c r="L318" s="1420">
        <f t="shared" si="1357"/>
        <v>0.81861151703796353</v>
      </c>
      <c r="M318" s="1420">
        <f t="shared" si="1357"/>
        <v>0.79764685152639903</v>
      </c>
      <c r="N318" s="1420">
        <f t="shared" si="1357"/>
        <v>0.78973478447540613</v>
      </c>
      <c r="O318" s="1420">
        <f t="shared" si="1357"/>
        <v>0.78207104489380863</v>
      </c>
      <c r="P318" s="1420">
        <f t="shared" si="1357"/>
        <v>0.77465259216472226</v>
      </c>
      <c r="Q318" s="1420">
        <f t="shared" si="1357"/>
        <v>0.767476479735548</v>
      </c>
      <c r="R318" s="1420">
        <f t="shared" si="1357"/>
        <v>0.76053985394887325</v>
      </c>
      <c r="S318" s="1420">
        <f t="shared" si="1357"/>
        <v>0.75383995290952632</v>
      </c>
      <c r="T318" s="1420">
        <f t="shared" si="1357"/>
        <v>0.74737410538734683</v>
      </c>
      <c r="U318" s="1420">
        <f t="shared" si="1357"/>
        <v>0.74853657382825456</v>
      </c>
    </row>
    <row r="319" spans="5:21" hidden="1" outlineLevel="1" x14ac:dyDescent="0.3">
      <c r="E319" s="1234" t="s">
        <v>423</v>
      </c>
      <c r="F319" s="1139">
        <f t="shared" si="1349"/>
        <v>3.0759259259259264</v>
      </c>
      <c r="G319" s="1419">
        <f>G315-G317</f>
        <v>0</v>
      </c>
      <c r="H319" s="1419">
        <f t="shared" ref="H319:U319" si="1358">H315-H317</f>
        <v>0</v>
      </c>
      <c r="I319" s="1419">
        <f t="shared" si="1358"/>
        <v>0</v>
      </c>
      <c r="J319" s="1419">
        <f t="shared" si="1358"/>
        <v>0</v>
      </c>
      <c r="K319" s="1419">
        <f t="shared" si="1358"/>
        <v>0.27962962962962967</v>
      </c>
      <c r="L319" s="1419">
        <f t="shared" si="1358"/>
        <v>0.27962962962962967</v>
      </c>
      <c r="M319" s="1419">
        <f t="shared" si="1358"/>
        <v>0.27962962962962967</v>
      </c>
      <c r="N319" s="1419">
        <f t="shared" si="1358"/>
        <v>0.27962962962962967</v>
      </c>
      <c r="O319" s="1419">
        <f t="shared" si="1358"/>
        <v>0.27962962962962967</v>
      </c>
      <c r="P319" s="1419">
        <f t="shared" si="1358"/>
        <v>0.27962962962962967</v>
      </c>
      <c r="Q319" s="1419">
        <f t="shared" si="1358"/>
        <v>0.27962962962962967</v>
      </c>
      <c r="R319" s="1419">
        <f t="shared" si="1358"/>
        <v>0.27962962962962967</v>
      </c>
      <c r="S319" s="1419">
        <f t="shared" si="1358"/>
        <v>0.27962962962962967</v>
      </c>
      <c r="T319" s="1419">
        <f t="shared" si="1358"/>
        <v>0.27962962962962967</v>
      </c>
      <c r="U319" s="1419">
        <f t="shared" si="1358"/>
        <v>0.27962962962962967</v>
      </c>
    </row>
    <row r="320" spans="5:21" hidden="1" outlineLevel="1" x14ac:dyDescent="0.3">
      <c r="E320" s="596" t="str">
        <f>'EE Measures'!$II$6</f>
        <v>Renowave</v>
      </c>
      <c r="F320" s="1139">
        <f t="shared" si="1349"/>
        <v>75.325420566001739</v>
      </c>
      <c r="G320" s="1418">
        <f>G269</f>
        <v>0.60079300501896338</v>
      </c>
      <c r="H320" s="1418">
        <f t="shared" ref="H320:U320" si="1359">H269</f>
        <v>0.61712743509515233</v>
      </c>
      <c r="I320" s="1418">
        <f t="shared" si="1359"/>
        <v>0.6113515444080484</v>
      </c>
      <c r="J320" s="1418">
        <f t="shared" si="1359"/>
        <v>0.55460582895470334</v>
      </c>
      <c r="K320" s="1418">
        <f t="shared" si="1359"/>
        <v>7.1814346603045047</v>
      </c>
      <c r="L320" s="1418">
        <f t="shared" si="1359"/>
        <v>7.132492363309515</v>
      </c>
      <c r="M320" s="1418">
        <f t="shared" si="1359"/>
        <v>6.9031324810795098</v>
      </c>
      <c r="N320" s="1418">
        <f t="shared" si="1359"/>
        <v>6.8540790617416949</v>
      </c>
      <c r="O320" s="1418">
        <f t="shared" si="1359"/>
        <v>6.8061702513321691</v>
      </c>
      <c r="P320" s="1418">
        <f t="shared" si="1359"/>
        <v>6.759386755898559</v>
      </c>
      <c r="Q320" s="1418">
        <f t="shared" si="1359"/>
        <v>6.7137097130114789</v>
      </c>
      <c r="R320" s="1418">
        <f t="shared" si="1359"/>
        <v>6.6691206842482096</v>
      </c>
      <c r="S320" s="1418">
        <f t="shared" si="1359"/>
        <v>6.6256016478408428</v>
      </c>
      <c r="T320" s="1418">
        <f t="shared" si="1359"/>
        <v>6.5831349914860082</v>
      </c>
      <c r="U320" s="1418">
        <f t="shared" si="1359"/>
        <v>6.5425521267945292</v>
      </c>
    </row>
    <row r="321" spans="5:21" hidden="1" outlineLevel="1" x14ac:dyDescent="0.3">
      <c r="E321" s="1234" t="s">
        <v>418</v>
      </c>
      <c r="F321" s="1139">
        <f t="shared" si="1349"/>
        <v>35.314193714149873</v>
      </c>
      <c r="G321" s="1143">
        <f>SUMPRODUCT('EE Measures'!HF$42:HF$86,'EE Measures'!$AH$42:$AH$86,'EE Measures'!$II$42:$II$86)+G$300</f>
        <v>0.60079300501896338</v>
      </c>
      <c r="H321" s="1143">
        <f>SUMPRODUCT('EE Measures'!HG$42:HG$86,'EE Measures'!$AH$42:$AH$86,'EE Measures'!$II$42:$II$86)+H$300</f>
        <v>0.61712743509515233</v>
      </c>
      <c r="I321" s="1143">
        <f>SUMPRODUCT('EE Measures'!HH$42:HH$86,'EE Measures'!$AH$42:$AH$86,'EE Measures'!$II$42:$II$86)+I$300</f>
        <v>0.6113515444080484</v>
      </c>
      <c r="J321" s="1143">
        <f>SUMPRODUCT('EE Measures'!HI$42:HI$86,'EE Measures'!$AH$42:$AH$86,'EE Measures'!$II$42:$II$86)+J$300</f>
        <v>0.55460582895470334</v>
      </c>
      <c r="K321" s="1143">
        <f>SUMPRODUCT('EE Measures'!HJ$42:HJ$86,'EE Measures'!$AH$42:$AH$86,'EE Measures'!$II$42:$II$86)+K$300</f>
        <v>3.5440504010452454</v>
      </c>
      <c r="L321" s="1143">
        <f>SUMPRODUCT('EE Measures'!HK$42:HK$86,'EE Measures'!$AH$42:$AH$86,'EE Measures'!$II$42:$II$86)+L$300</f>
        <v>3.4951081040502552</v>
      </c>
      <c r="M321" s="1143">
        <f>SUMPRODUCT('EE Measures'!HL$42:HL$86,'EE Measures'!$AH$42:$AH$86,'EE Measures'!$II$42:$II$86)+M$300</f>
        <v>3.2657482218202487</v>
      </c>
      <c r="N321" s="1143">
        <f>SUMPRODUCT('EE Measures'!HM$42:HM$86,'EE Measures'!$AH$42:$AH$86,'EE Measures'!$II$42:$II$86)+N$300</f>
        <v>3.216694802482436</v>
      </c>
      <c r="O321" s="1143">
        <f>SUMPRODUCT('EE Measures'!HN$42:HN$86,'EE Measures'!$AH$42:$AH$86,'EE Measures'!$II$42:$II$86)+O$300</f>
        <v>3.1687859920729093</v>
      </c>
      <c r="P321" s="1143">
        <f>SUMPRODUCT('EE Measures'!HO$42:HO$86,'EE Measures'!$AH$42:$AH$86,'EE Measures'!$II$42:$II$86)+P$300</f>
        <v>3.1220024966392987</v>
      </c>
      <c r="Q321" s="1143">
        <f>SUMPRODUCT('EE Measures'!HP$42:HP$86,'EE Measures'!$AH$42:$AH$86,'EE Measures'!$II$42:$II$86)+Q$300</f>
        <v>3.0763254537522187</v>
      </c>
      <c r="R321" s="1143">
        <f>SUMPRODUCT('EE Measures'!HQ$42:HQ$86,'EE Measures'!$AH$42:$AH$86,'EE Measures'!$II$42:$II$86)+R$300</f>
        <v>3.0317364249889498</v>
      </c>
      <c r="S321" s="1143">
        <f>SUMPRODUCT('EE Measures'!HR$42:HR$86,'EE Measures'!$AH$42:$AH$86,'EE Measures'!$II$42:$II$86)+S$300</f>
        <v>2.9882173885815844</v>
      </c>
      <c r="T321" s="1143">
        <f>SUMPRODUCT('EE Measures'!HS$42:HS$86,'EE Measures'!$AH$42:$AH$86,'EE Measures'!$II$42:$II$86)+T$300</f>
        <v>2.9457507322267493</v>
      </c>
      <c r="U321" s="1143">
        <f>SUMPRODUCT('EE Measures'!HT$42:HT$86,'EE Measures'!$AH$42:$AH$86,'EE Measures'!$II$42:$II$86)+U$300</f>
        <v>2.9051678675352695</v>
      </c>
    </row>
    <row r="322" spans="5:21" hidden="1" outlineLevel="1" x14ac:dyDescent="0.3">
      <c r="E322" s="1234" t="s">
        <v>419</v>
      </c>
      <c r="F322" s="1139">
        <f t="shared" si="1349"/>
        <v>40.011226851851852</v>
      </c>
      <c r="G322" s="1420">
        <f>SUMPRODUCT('EE Measures'!HF$42:HF$86,'EE Measures'!$AI$42:$AI$86,'EE Measures'!$II$42:$II$86)</f>
        <v>0</v>
      </c>
      <c r="H322" s="1420">
        <f>SUMPRODUCT('EE Measures'!HG$42:HG$86,'EE Measures'!$AI$42:$AI$86,'EE Measures'!$II$42:$II$86)</f>
        <v>0</v>
      </c>
      <c r="I322" s="1420">
        <f>SUMPRODUCT('EE Measures'!HH$42:HH$86,'EE Measures'!$AI$42:$AI$86,'EE Measures'!$II$42:$II$86)</f>
        <v>0</v>
      </c>
      <c r="J322" s="1420">
        <f>SUMPRODUCT('EE Measures'!HI$42:HI$86,'EE Measures'!$AI$42:$AI$86,'EE Measures'!$II$42:$II$86)</f>
        <v>0</v>
      </c>
      <c r="K322" s="1420">
        <f>SUMPRODUCT('EE Measures'!HJ$42:HJ$86,'EE Measures'!$AI$42:$AI$86,'EE Measures'!$II$42:$II$86)</f>
        <v>3.6373842592592593</v>
      </c>
      <c r="L322" s="1420">
        <f>SUMPRODUCT('EE Measures'!HK$42:HK$86,'EE Measures'!$AI$42:$AI$86,'EE Measures'!$II$42:$II$86)</f>
        <v>3.6373842592592593</v>
      </c>
      <c r="M322" s="1420">
        <f>SUMPRODUCT('EE Measures'!HL$42:HL$86,'EE Measures'!$AI$42:$AI$86,'EE Measures'!$II$42:$II$86)</f>
        <v>3.6373842592592593</v>
      </c>
      <c r="N322" s="1420">
        <f>SUMPRODUCT('EE Measures'!HM$42:HM$86,'EE Measures'!$AI$42:$AI$86,'EE Measures'!$II$42:$II$86)</f>
        <v>3.6373842592592593</v>
      </c>
      <c r="O322" s="1420">
        <f>SUMPRODUCT('EE Measures'!HN$42:HN$86,'EE Measures'!$AI$42:$AI$86,'EE Measures'!$II$42:$II$86)</f>
        <v>3.6373842592592593</v>
      </c>
      <c r="P322" s="1420">
        <f>SUMPRODUCT('EE Measures'!HO$42:HO$86,'EE Measures'!$AI$42:$AI$86,'EE Measures'!$II$42:$II$86)</f>
        <v>3.6373842592592593</v>
      </c>
      <c r="Q322" s="1420">
        <f>SUMPRODUCT('EE Measures'!HP$42:HP$86,'EE Measures'!$AI$42:$AI$86,'EE Measures'!$II$42:$II$86)</f>
        <v>3.6373842592592593</v>
      </c>
      <c r="R322" s="1420">
        <f>SUMPRODUCT('EE Measures'!HQ$42:HQ$86,'EE Measures'!$AI$42:$AI$86,'EE Measures'!$II$42:$II$86)</f>
        <v>3.6373842592592593</v>
      </c>
      <c r="S322" s="1420">
        <f>SUMPRODUCT('EE Measures'!HR$42:HR$86,'EE Measures'!$AI$42:$AI$86,'EE Measures'!$II$42:$II$86)</f>
        <v>3.6373842592592593</v>
      </c>
      <c r="T322" s="1420">
        <f>SUMPRODUCT('EE Measures'!HS$42:HS$86,'EE Measures'!$AI$42:$AI$86,'EE Measures'!$II$42:$II$86)</f>
        <v>3.6373842592592593</v>
      </c>
      <c r="U322" s="1420">
        <f>SUMPRODUCT('EE Measures'!HT$42:HT$86,'EE Measures'!$AI$42:$AI$86,'EE Measures'!$II$42:$II$86)</f>
        <v>3.6373842592592593</v>
      </c>
    </row>
    <row r="323" spans="5:21" hidden="1" outlineLevel="1" x14ac:dyDescent="0.3">
      <c r="E323" s="1234" t="s">
        <v>420</v>
      </c>
      <c r="F323" s="1139">
        <f t="shared" si="1349"/>
        <v>23.777369650969117</v>
      </c>
      <c r="G323" s="1143">
        <f>SUMPRODUCT('EE Measures'!HF$42:HF$86,'EE Measures'!$AH$42:$AH$86,'EE Measures'!$AJ$42:$AJ$86,'EE Measures'!$II$42:$II$86)+G302</f>
        <v>0.41008533501896333</v>
      </c>
      <c r="H323" s="1143">
        <f>SUMPRODUCT('EE Measures'!HG$42:HG$86,'EE Measures'!$AH$42:$AH$86,'EE Measures'!$AJ$42:$AJ$86,'EE Measures'!$II$42:$II$86)+H302</f>
        <v>0.41782526509515228</v>
      </c>
      <c r="I323" s="1143">
        <f>SUMPRODUCT('EE Measures'!HH$42:HH$86,'EE Measures'!$AH$42:$AH$86,'EE Measures'!$AJ$42:$AJ$86,'EE Measures'!$II$42:$II$86)+I302</f>
        <v>0.42596329081169204</v>
      </c>
      <c r="J323" s="1143">
        <f>SUMPRODUCT('EE Measures'!HI$42:HI$86,'EE Measures'!$AH$42:$AH$86,'EE Measures'!$AJ$42:$AJ$86,'EE Measures'!$II$42:$II$86)+J302</f>
        <v>0.3756005533995766</v>
      </c>
      <c r="K323" s="1143">
        <f>SUMPRODUCT('EE Measures'!HJ$42:HJ$86,'EE Measures'!$AH$42:$AH$86,'EE Measures'!$AJ$42:$AJ$86,'EE Measures'!$II$42:$II$86)+K302</f>
        <v>2.4395649576853802</v>
      </c>
      <c r="L323" s="1143">
        <f>SUMPRODUCT('EE Measures'!HK$42:HK$86,'EE Measures'!$AH$42:$AH$86,'EE Measures'!$AJ$42:$AJ$86,'EE Measures'!$II$42:$II$86)+L302</f>
        <v>2.4039946262279779</v>
      </c>
      <c r="M323" s="1143">
        <f>SUMPRODUCT('EE Measures'!HL$42:HL$86,'EE Measures'!$AH$42:$AH$86,'EE Measures'!$AJ$42:$AJ$86,'EE Measures'!$II$42:$II$86)+M302</f>
        <v>2.200597487171974</v>
      </c>
      <c r="N323" s="1143">
        <f>SUMPRODUCT('EE Measures'!HM$42:HM$86,'EE Measures'!$AH$42:$AH$86,'EE Measures'!$AJ$42:$AJ$86,'EE Measures'!$II$42:$II$86)+N302</f>
        <v>2.1643562110247987</v>
      </c>
      <c r="O323" s="1143">
        <f>SUMPRODUCT('EE Measures'!HN$42:HN$86,'EE Measures'!$AH$42:$AH$86,'EE Measures'!$AJ$42:$AJ$86,'EE Measures'!$II$42:$II$86)+O302</f>
        <v>2.128915136412207</v>
      </c>
      <c r="P323" s="1143">
        <f>SUMPRODUCT('EE Measures'!HO$42:HO$86,'EE Measures'!$AH$42:$AH$86,'EE Measures'!$AJ$42:$AJ$86,'EE Measures'!$II$42:$II$86)+P302</f>
        <v>2.0942598939187982</v>
      </c>
      <c r="Q323" s="1143">
        <f>SUMPRODUCT('EE Measures'!HP$42:HP$86,'EE Measures'!$AH$42:$AH$86,'EE Measures'!$AJ$42:$AJ$86,'EE Measures'!$II$42:$II$86)+Q302</f>
        <v>2.0603764146482608</v>
      </c>
      <c r="R323" s="1143">
        <f>SUMPRODUCT('EE Measures'!HQ$42:HQ$86,'EE Measures'!$AH$42:$AH$86,'EE Measures'!$AJ$42:$AJ$86,'EE Measures'!$II$42:$II$86)+R302</f>
        <v>2.0272509246004593</v>
      </c>
      <c r="S323" s="1143">
        <f>SUMPRODUCT('EE Measures'!HR$42:HR$86,'EE Measures'!$AH$42:$AH$86,'EE Measures'!$AJ$42:$AJ$86,'EE Measures'!$II$42:$II$86)+S302</f>
        <v>1.9948699391626292</v>
      </c>
      <c r="T323" s="1143">
        <f>SUMPRODUCT('EE Measures'!HS$42:HS$86,'EE Measures'!$AH$42:$AH$86,'EE Measures'!$AJ$42:$AJ$86,'EE Measures'!$II$42:$II$86)+T302</f>
        <v>1.9632202577125115</v>
      </c>
      <c r="U323" s="1143">
        <f>SUMPRODUCT('EE Measures'!HT$42:HT$86,'EE Measures'!$AH$42:$AH$86,'EE Measures'!$AJ$42:$AJ$86,'EE Measures'!$II$42:$II$86)+U302</f>
        <v>1.9243632490045441</v>
      </c>
    </row>
    <row r="324" spans="5:21" hidden="1" outlineLevel="1" x14ac:dyDescent="0.3">
      <c r="E324" s="1234" t="s">
        <v>421</v>
      </c>
      <c r="F324" s="1139">
        <f t="shared" si="1349"/>
        <v>33.859375</v>
      </c>
      <c r="G324" s="1419">
        <f>SUMPRODUCT('EE Measures'!HF$42:HF$86,'EE Measures'!$AI$42:$AI$86,'EE Measures'!$AJ$42:$AJ$86,'EE Measures'!$II$42:$II$86)+G303</f>
        <v>0</v>
      </c>
      <c r="H324" s="1419">
        <f>SUMPRODUCT('EE Measures'!HG$42:HG$86,'EE Measures'!$AI$42:$AI$86,'EE Measures'!$AJ$42:$AJ$86,'EE Measures'!$II$42:$II$86)+H303</f>
        <v>0</v>
      </c>
      <c r="I324" s="1419">
        <f>SUMPRODUCT('EE Measures'!HH$42:HH$86,'EE Measures'!$AI$42:$AI$86,'EE Measures'!$AJ$42:$AJ$86,'EE Measures'!$II$42:$II$86)+I303</f>
        <v>0</v>
      </c>
      <c r="J324" s="1419">
        <f>SUMPRODUCT('EE Measures'!HI$42:HI$86,'EE Measures'!$AI$42:$AI$86,'EE Measures'!$AJ$42:$AJ$86,'EE Measures'!$II$42:$II$86)+J303</f>
        <v>0</v>
      </c>
      <c r="K324" s="1419">
        <f>SUMPRODUCT('EE Measures'!HJ$42:HJ$86,'EE Measures'!$AI$42:$AI$86,'EE Measures'!$AJ$42:$AJ$86,'EE Measures'!$II$42:$II$86)+K303</f>
        <v>3.078125</v>
      </c>
      <c r="L324" s="1419">
        <f>SUMPRODUCT('EE Measures'!HK$42:HK$86,'EE Measures'!$AI$42:$AI$86,'EE Measures'!$AJ$42:$AJ$86,'EE Measures'!$II$42:$II$86)+L303</f>
        <v>3.078125</v>
      </c>
      <c r="M324" s="1419">
        <f>SUMPRODUCT('EE Measures'!HL$42:HL$86,'EE Measures'!$AI$42:$AI$86,'EE Measures'!$AJ$42:$AJ$86,'EE Measures'!$II$42:$II$86)+M303</f>
        <v>3.078125</v>
      </c>
      <c r="N324" s="1419">
        <f>SUMPRODUCT('EE Measures'!HM$42:HM$86,'EE Measures'!$AI$42:$AI$86,'EE Measures'!$AJ$42:$AJ$86,'EE Measures'!$II$42:$II$86)+N303</f>
        <v>3.078125</v>
      </c>
      <c r="O324" s="1419">
        <f>SUMPRODUCT('EE Measures'!HN$42:HN$86,'EE Measures'!$AI$42:$AI$86,'EE Measures'!$AJ$42:$AJ$86,'EE Measures'!$II$42:$II$86)+O303</f>
        <v>3.078125</v>
      </c>
      <c r="P324" s="1419">
        <f>SUMPRODUCT('EE Measures'!HO$42:HO$86,'EE Measures'!$AI$42:$AI$86,'EE Measures'!$AJ$42:$AJ$86,'EE Measures'!$II$42:$II$86)+P303</f>
        <v>3.078125</v>
      </c>
      <c r="Q324" s="1419">
        <f>SUMPRODUCT('EE Measures'!HP$42:HP$86,'EE Measures'!$AI$42:$AI$86,'EE Measures'!$AJ$42:$AJ$86,'EE Measures'!$II$42:$II$86)+Q303</f>
        <v>3.078125</v>
      </c>
      <c r="R324" s="1419">
        <f>SUMPRODUCT('EE Measures'!HQ$42:HQ$86,'EE Measures'!$AI$42:$AI$86,'EE Measures'!$AJ$42:$AJ$86,'EE Measures'!$II$42:$II$86)+R303</f>
        <v>3.078125</v>
      </c>
      <c r="S324" s="1419">
        <f>SUMPRODUCT('EE Measures'!HR$42:HR$86,'EE Measures'!$AI$42:$AI$86,'EE Measures'!$AJ$42:$AJ$86,'EE Measures'!$II$42:$II$86)+S303</f>
        <v>3.078125</v>
      </c>
      <c r="T324" s="1419">
        <f>SUMPRODUCT('EE Measures'!HS$42:HS$86,'EE Measures'!$AI$42:$AI$86,'EE Measures'!$AJ$42:$AJ$86,'EE Measures'!$II$42:$II$86)+T303</f>
        <v>3.078125</v>
      </c>
      <c r="U324" s="1419">
        <f>SUMPRODUCT('EE Measures'!HT$42:HT$86,'EE Measures'!$AI$42:$AI$86,'EE Measures'!$AJ$42:$AJ$86,'EE Measures'!$II$42:$II$86)+U303</f>
        <v>3.078125</v>
      </c>
    </row>
    <row r="325" spans="5:21" hidden="1" outlineLevel="1" x14ac:dyDescent="0.3">
      <c r="E325" s="1234" t="s">
        <v>422</v>
      </c>
      <c r="F325" s="1139">
        <f t="shared" si="1349"/>
        <v>11.536824063180752</v>
      </c>
      <c r="G325" s="1420">
        <f>G321-G323</f>
        <v>0.19070767000000005</v>
      </c>
      <c r="H325" s="1420">
        <f t="shared" ref="H325:U325" si="1360">H321-H323</f>
        <v>0.19930217000000006</v>
      </c>
      <c r="I325" s="1420">
        <f t="shared" si="1360"/>
        <v>0.18538825359635636</v>
      </c>
      <c r="J325" s="1420">
        <f t="shared" si="1360"/>
        <v>0.17900527555512674</v>
      </c>
      <c r="K325" s="1420">
        <f t="shared" si="1360"/>
        <v>1.1044854433598652</v>
      </c>
      <c r="L325" s="1420">
        <f t="shared" si="1360"/>
        <v>1.0911134778222773</v>
      </c>
      <c r="M325" s="1420">
        <f t="shared" si="1360"/>
        <v>1.0651507346482747</v>
      </c>
      <c r="N325" s="1420">
        <f t="shared" si="1360"/>
        <v>1.0523385914576373</v>
      </c>
      <c r="O325" s="1420">
        <f t="shared" si="1360"/>
        <v>1.0398708556607024</v>
      </c>
      <c r="P325" s="1420">
        <f t="shared" si="1360"/>
        <v>1.0277426027205006</v>
      </c>
      <c r="Q325" s="1420">
        <f t="shared" si="1360"/>
        <v>1.0159490391039578</v>
      </c>
      <c r="R325" s="1420">
        <f t="shared" si="1360"/>
        <v>1.0044855003884905</v>
      </c>
      <c r="S325" s="1420">
        <f t="shared" si="1360"/>
        <v>0.99334744941895514</v>
      </c>
      <c r="T325" s="1420">
        <f t="shared" si="1360"/>
        <v>0.98253047451423781</v>
      </c>
      <c r="U325" s="1420">
        <f t="shared" si="1360"/>
        <v>0.98080461853072531</v>
      </c>
    </row>
    <row r="326" spans="5:21" hidden="1" outlineLevel="1" x14ac:dyDescent="0.3">
      <c r="E326" s="1234" t="s">
        <v>423</v>
      </c>
      <c r="F326" s="1139">
        <f t="shared" si="1349"/>
        <v>6.1518518518518528</v>
      </c>
      <c r="G326" s="1419">
        <f>G322-G324</f>
        <v>0</v>
      </c>
      <c r="H326" s="1419">
        <f t="shared" ref="H326:U326" si="1361">H322-H324</f>
        <v>0</v>
      </c>
      <c r="I326" s="1419">
        <f t="shared" si="1361"/>
        <v>0</v>
      </c>
      <c r="J326" s="1419">
        <f t="shared" si="1361"/>
        <v>0</v>
      </c>
      <c r="K326" s="1419">
        <f t="shared" si="1361"/>
        <v>0.55925925925925934</v>
      </c>
      <c r="L326" s="1419">
        <f t="shared" si="1361"/>
        <v>0.55925925925925934</v>
      </c>
      <c r="M326" s="1419">
        <f t="shared" si="1361"/>
        <v>0.55925925925925934</v>
      </c>
      <c r="N326" s="1419">
        <f t="shared" si="1361"/>
        <v>0.55925925925925934</v>
      </c>
      <c r="O326" s="1419">
        <f t="shared" si="1361"/>
        <v>0.55925925925925934</v>
      </c>
      <c r="P326" s="1419">
        <f t="shared" si="1361"/>
        <v>0.55925925925925934</v>
      </c>
      <c r="Q326" s="1419">
        <f t="shared" si="1361"/>
        <v>0.55925925925925934</v>
      </c>
      <c r="R326" s="1419">
        <f t="shared" si="1361"/>
        <v>0.55925925925925934</v>
      </c>
      <c r="S326" s="1419">
        <f t="shared" si="1361"/>
        <v>0.55925925925925934</v>
      </c>
      <c r="T326" s="1419">
        <f t="shared" si="1361"/>
        <v>0.55925925925925934</v>
      </c>
      <c r="U326" s="1419">
        <f t="shared" si="1361"/>
        <v>0.55925925925925934</v>
      </c>
    </row>
    <row r="327" spans="5:21" hidden="1" outlineLevel="1" x14ac:dyDescent="0.3">
      <c r="E327" s="596" t="str">
        <f>'EE Measures'!$IJ$6</f>
        <v>EET</v>
      </c>
      <c r="F327" s="1139">
        <f t="shared" si="1349"/>
        <v>34.861643677725162</v>
      </c>
      <c r="G327" s="1418">
        <f>G276</f>
        <v>0.60079300501896338</v>
      </c>
      <c r="H327" s="1418">
        <f t="shared" ref="H327:U327" si="1362">H276</f>
        <v>0.61712743509515233</v>
      </c>
      <c r="I327" s="1418">
        <f t="shared" si="1362"/>
        <v>0.6113515444080484</v>
      </c>
      <c r="J327" s="1418">
        <f t="shared" si="1362"/>
        <v>0.55460582895470334</v>
      </c>
      <c r="K327" s="1418">
        <f t="shared" si="1362"/>
        <v>3.3761726232674678</v>
      </c>
      <c r="L327" s="1418">
        <f t="shared" si="1362"/>
        <v>3.3540422362216415</v>
      </c>
      <c r="M327" s="1418">
        <f t="shared" si="1362"/>
        <v>3.150968540216307</v>
      </c>
      <c r="N327" s="1418">
        <f t="shared" si="1362"/>
        <v>3.1276858916869963</v>
      </c>
      <c r="O327" s="1418">
        <f t="shared" si="1362"/>
        <v>3.1050425428544317</v>
      </c>
      <c r="P327" s="1418">
        <f t="shared" si="1362"/>
        <v>3.0830291077903915</v>
      </c>
      <c r="Q327" s="1418">
        <f t="shared" si="1362"/>
        <v>3.0616364378146557</v>
      </c>
      <c r="R327" s="1418">
        <f t="shared" si="1362"/>
        <v>3.0408556177879982</v>
      </c>
      <c r="S327" s="1418">
        <f t="shared" si="1362"/>
        <v>3.0206779624949585</v>
      </c>
      <c r="T327" s="1418">
        <f t="shared" si="1362"/>
        <v>3.0010950131149512</v>
      </c>
      <c r="U327" s="1418">
        <f t="shared" si="1362"/>
        <v>2.9858318755206614</v>
      </c>
    </row>
    <row r="328" spans="5:21" hidden="1" outlineLevel="1" x14ac:dyDescent="0.3">
      <c r="E328" s="1234" t="s">
        <v>418</v>
      </c>
      <c r="F328" s="1139">
        <f t="shared" si="1349"/>
        <v>21.47321775179924</v>
      </c>
      <c r="G328" s="1143">
        <f>SUMPRODUCT('EE Measures'!HF$42:HF$86,'EE Measures'!$AH$42:$AH$86,'EE Measures'!$IJ$42:$IJ$86)+G$300</f>
        <v>0.60079300501896338</v>
      </c>
      <c r="H328" s="1143">
        <f>SUMPRODUCT('EE Measures'!HG$42:HG$86,'EE Measures'!$AH$42:$AH$86,'EE Measures'!$IJ$42:$IJ$86)+H$300</f>
        <v>0.61712743509515233</v>
      </c>
      <c r="I328" s="1143">
        <f>SUMPRODUCT('EE Measures'!HH$42:HH$86,'EE Measures'!$AH$42:$AH$86,'EE Measures'!$IJ$42:$IJ$86)+I$300</f>
        <v>0.6113515444080484</v>
      </c>
      <c r="J328" s="1143">
        <f>SUMPRODUCT('EE Measures'!HI$42:HI$86,'EE Measures'!$AH$42:$AH$86,'EE Measures'!$IJ$42:$IJ$86)+J$300</f>
        <v>0.55460582895470334</v>
      </c>
      <c r="K328" s="1143">
        <f>SUMPRODUCT('EE Measures'!HJ$42:HJ$86,'EE Measures'!$AH$42:$AH$86,'EE Measures'!$IJ$42:$IJ$86)+K$300</f>
        <v>2.1590429936378381</v>
      </c>
      <c r="L328" s="1143">
        <f>SUMPRODUCT('EE Measures'!HK$42:HK$86,'EE Measures'!$AH$42:$AH$86,'EE Measures'!$IJ$42:$IJ$86)+L$300</f>
        <v>2.1369126065920123</v>
      </c>
      <c r="M328" s="1143">
        <f>SUMPRODUCT('EE Measures'!HL$42:HL$86,'EE Measures'!$AH$42:$AH$86,'EE Measures'!$IJ$42:$IJ$86)+M$300</f>
        <v>1.9338389105866778</v>
      </c>
      <c r="N328" s="1143">
        <f>SUMPRODUCT('EE Measures'!HM$42:HM$86,'EE Measures'!$AH$42:$AH$86,'EE Measures'!$IJ$42:$IJ$86)+N$300</f>
        <v>1.9105562620573666</v>
      </c>
      <c r="O328" s="1143">
        <f>SUMPRODUCT('EE Measures'!HN$42:HN$86,'EE Measures'!$AH$42:$AH$86,'EE Measures'!$IJ$42:$IJ$86)+O$300</f>
        <v>1.8879129132248018</v>
      </c>
      <c r="P328" s="1143">
        <f>SUMPRODUCT('EE Measures'!HO$42:HO$86,'EE Measures'!$AH$42:$AH$86,'EE Measures'!$IJ$42:$IJ$86)+P$300</f>
        <v>1.8658994781607621</v>
      </c>
      <c r="Q328" s="1143">
        <f>SUMPRODUCT('EE Measures'!HP$42:HP$86,'EE Measures'!$AH$42:$AH$86,'EE Measures'!$IJ$42:$IJ$86)+Q$300</f>
        <v>1.8445068081850258</v>
      </c>
      <c r="R328" s="1143">
        <f>SUMPRODUCT('EE Measures'!HQ$42:HQ$86,'EE Measures'!$AH$42:$AH$86,'EE Measures'!$IJ$42:$IJ$86)+R$300</f>
        <v>1.8237259881583687</v>
      </c>
      <c r="S328" s="1143">
        <f>SUMPRODUCT('EE Measures'!HR$42:HR$86,'EE Measures'!$AH$42:$AH$86,'EE Measures'!$IJ$42:$IJ$86)+S$300</f>
        <v>1.8035483328653283</v>
      </c>
      <c r="T328" s="1143">
        <f>SUMPRODUCT('EE Measures'!HS$42:HS$86,'EE Measures'!$AH$42:$AH$86,'EE Measures'!$IJ$42:$IJ$86)+T$300</f>
        <v>1.7839653834853224</v>
      </c>
      <c r="U328" s="1143">
        <f>SUMPRODUCT('EE Measures'!HT$42:HT$86,'EE Measures'!$AH$42:$AH$86,'EE Measures'!$IJ$42:$IJ$86)+U$300</f>
        <v>1.7687022458910318</v>
      </c>
    </row>
    <row r="329" spans="5:21" hidden="1" outlineLevel="1" x14ac:dyDescent="0.3">
      <c r="E329" s="1234" t="s">
        <v>419</v>
      </c>
      <c r="F329" s="1139">
        <f t="shared" si="1349"/>
        <v>13.38842592592593</v>
      </c>
      <c r="G329" s="1420">
        <f>SUMPRODUCT('EE Measures'!HF$42:HF$86,'EE Measures'!$AI$42:$AI$86,'EE Measures'!$IJ$42:$IJ$86)</f>
        <v>0</v>
      </c>
      <c r="H329" s="1420">
        <f>SUMPRODUCT('EE Measures'!HG$42:HG$86,'EE Measures'!$AI$42:$AI$86,'EE Measures'!$IJ$42:$IJ$86)</f>
        <v>0</v>
      </c>
      <c r="I329" s="1420">
        <f>SUMPRODUCT('EE Measures'!HH$42:HH$86,'EE Measures'!$AI$42:$AI$86,'EE Measures'!$IJ$42:$IJ$86)</f>
        <v>0</v>
      </c>
      <c r="J329" s="1420">
        <f>SUMPRODUCT('EE Measures'!HI$42:HI$86,'EE Measures'!$AI$42:$AI$86,'EE Measures'!$IJ$42:$IJ$86)</f>
        <v>0</v>
      </c>
      <c r="K329" s="1420">
        <f>SUMPRODUCT('EE Measures'!HJ$42:HJ$86,'EE Measures'!$AI$42:$AI$86,'EE Measures'!$IJ$42:$IJ$86)</f>
        <v>1.2171296296296297</v>
      </c>
      <c r="L329" s="1420">
        <f>SUMPRODUCT('EE Measures'!HK$42:HK$86,'EE Measures'!$AI$42:$AI$86,'EE Measures'!$IJ$42:$IJ$86)</f>
        <v>1.2171296296296297</v>
      </c>
      <c r="M329" s="1420">
        <f>SUMPRODUCT('EE Measures'!HL$42:HL$86,'EE Measures'!$AI$42:$AI$86,'EE Measures'!$IJ$42:$IJ$86)</f>
        <v>1.2171296296296297</v>
      </c>
      <c r="N329" s="1420">
        <f>SUMPRODUCT('EE Measures'!HM$42:HM$86,'EE Measures'!$AI$42:$AI$86,'EE Measures'!$IJ$42:$IJ$86)</f>
        <v>1.2171296296296297</v>
      </c>
      <c r="O329" s="1420">
        <f>SUMPRODUCT('EE Measures'!HN$42:HN$86,'EE Measures'!$AI$42:$AI$86,'EE Measures'!$IJ$42:$IJ$86)</f>
        <v>1.2171296296296297</v>
      </c>
      <c r="P329" s="1420">
        <f>SUMPRODUCT('EE Measures'!HO$42:HO$86,'EE Measures'!$AI$42:$AI$86,'EE Measures'!$IJ$42:$IJ$86)</f>
        <v>1.2171296296296297</v>
      </c>
      <c r="Q329" s="1420">
        <f>SUMPRODUCT('EE Measures'!HP$42:HP$86,'EE Measures'!$AI$42:$AI$86,'EE Measures'!$IJ$42:$IJ$86)</f>
        <v>1.2171296296296297</v>
      </c>
      <c r="R329" s="1420">
        <f>SUMPRODUCT('EE Measures'!HQ$42:HQ$86,'EE Measures'!$AI$42:$AI$86,'EE Measures'!$IJ$42:$IJ$86)</f>
        <v>1.2171296296296297</v>
      </c>
      <c r="S329" s="1420">
        <f>SUMPRODUCT('EE Measures'!HR$42:HR$86,'EE Measures'!$AI$42:$AI$86,'EE Measures'!$IJ$42:$IJ$86)</f>
        <v>1.2171296296296297</v>
      </c>
      <c r="T329" s="1420">
        <f>SUMPRODUCT('EE Measures'!HS$42:HS$86,'EE Measures'!$AI$42:$AI$86,'EE Measures'!$IJ$42:$IJ$86)</f>
        <v>1.2171296296296297</v>
      </c>
      <c r="U329" s="1420">
        <f>SUMPRODUCT('EE Measures'!HT$42:HT$86,'EE Measures'!$AI$42:$AI$86,'EE Measures'!$IJ$42:$IJ$86)</f>
        <v>1.2171296296296297</v>
      </c>
    </row>
    <row r="330" spans="5:21" hidden="1" outlineLevel="1" x14ac:dyDescent="0.3">
      <c r="E330" s="1234" t="s">
        <v>420</v>
      </c>
      <c r="F330" s="1139">
        <f t="shared" si="1349"/>
        <v>12.726843276976398</v>
      </c>
      <c r="G330" s="1143">
        <f>SUMPRODUCT('EE Measures'!HF$42:HF$86,'EE Measures'!$AH$42:$AH$86,'EE Measures'!$AJ$42:$AJ$86,'EE Measures'!$IJ$42:$IJ$86)+G302</f>
        <v>0.41008533501896333</v>
      </c>
      <c r="H330" s="1143">
        <f>SUMPRODUCT('EE Measures'!HG$42:HG$86,'EE Measures'!$AH$42:$AH$86,'EE Measures'!$AJ$42:$AJ$86,'EE Measures'!$IJ$42:$IJ$86)+H302</f>
        <v>0.41782526509515228</v>
      </c>
      <c r="I330" s="1143">
        <f>SUMPRODUCT('EE Measures'!HH$42:HH$86,'EE Measures'!$AH$42:$AH$86,'EE Measures'!$AJ$42:$AJ$86,'EE Measures'!$IJ$42:$IJ$86)+I302</f>
        <v>0.42596329081169204</v>
      </c>
      <c r="J330" s="1143">
        <f>SUMPRODUCT('EE Measures'!HI$42:HI$86,'EE Measures'!$AH$42:$AH$86,'EE Measures'!$AJ$42:$AJ$86,'EE Measures'!$IJ$42:$IJ$86)+J302</f>
        <v>0.3756005533995766</v>
      </c>
      <c r="K330" s="1143">
        <f>SUMPRODUCT('EE Measures'!HJ$42:HJ$86,'EE Measures'!$AH$42:$AH$86,'EE Measures'!$AJ$42:$AJ$86,'EE Measures'!$IJ$42:$IJ$86)+K302</f>
        <v>1.332157550277973</v>
      </c>
      <c r="L330" s="1143">
        <f>SUMPRODUCT('EE Measures'!HK$42:HK$86,'EE Measures'!$AH$42:$AH$86,'EE Measures'!$AJ$42:$AJ$86,'EE Measures'!$IJ$42:$IJ$86)+L302</f>
        <v>1.3183010895540488</v>
      </c>
      <c r="M330" s="1143">
        <f>SUMPRODUCT('EE Measures'!HL$42:HL$86,'EE Measures'!$AH$42:$AH$86,'EE Measures'!$AJ$42:$AJ$86,'EE Measures'!$IJ$42:$IJ$86)+M302</f>
        <v>1.136192059060279</v>
      </c>
      <c r="N330" s="1143">
        <f>SUMPRODUCT('EE Measures'!HM$42:HM$86,'EE Measures'!$AH$42:$AH$86,'EE Measures'!$AJ$42:$AJ$86,'EE Measures'!$IJ$42:$IJ$86)+N302</f>
        <v>1.1208214775819605</v>
      </c>
      <c r="O330" s="1143">
        <f>SUMPRODUCT('EE Measures'!HN$42:HN$86,'EE Measures'!$AH$42:$AH$86,'EE Measures'!$AJ$42:$AJ$86,'EE Measures'!$IJ$42:$IJ$86)+O302</f>
        <v>1.1058418683309932</v>
      </c>
      <c r="P330" s="1143">
        <f>SUMPRODUCT('EE Measures'!HO$42:HO$86,'EE Measures'!$AH$42:$AH$86,'EE Measures'!$AJ$42:$AJ$86,'EE Measures'!$IJ$42:$IJ$86)+P302</f>
        <v>1.0912468859960396</v>
      </c>
      <c r="Q330" s="1143">
        <f>SUMPRODUCT('EE Measures'!HP$42:HP$86,'EE Measures'!$AH$42:$AH$86,'EE Measures'!$AJ$42:$AJ$86,'EE Measures'!$IJ$42:$IJ$86)+Q302</f>
        <v>1.0770303284494778</v>
      </c>
      <c r="R330" s="1143">
        <f>SUMPRODUCT('EE Measures'!HQ$42:HQ$86,'EE Measures'!$AH$42:$AH$86,'EE Measures'!$AJ$42:$AJ$86,'EE Measures'!$IJ$42:$IJ$86)+R302</f>
        <v>1.0631861342094955</v>
      </c>
      <c r="S330" s="1143">
        <f>SUMPRODUCT('EE Measures'!HR$42:HR$86,'EE Measures'!$AH$42:$AH$86,'EE Measures'!$AJ$42:$AJ$86,'EE Measures'!$IJ$42:$IJ$86)+S302</f>
        <v>1.049708379955802</v>
      </c>
      <c r="T330" s="1143">
        <f>SUMPRODUCT('EE Measures'!HS$42:HS$86,'EE Measures'!$AH$42:$AH$86,'EE Measures'!$AJ$42:$AJ$86,'EE Measures'!$IJ$42:$IJ$86)+T302</f>
        <v>1.0365912780979751</v>
      </c>
      <c r="U330" s="1143">
        <f>SUMPRODUCT('EE Measures'!HT$42:HT$86,'EE Measures'!$AH$42:$AH$86,'EE Measures'!$AJ$42:$AJ$86,'EE Measures'!$IJ$42:$IJ$86)+U302</f>
        <v>1.020165672062777</v>
      </c>
    </row>
    <row r="331" spans="5:21" hidden="1" outlineLevel="1" x14ac:dyDescent="0.3">
      <c r="E331" s="1234" t="s">
        <v>421</v>
      </c>
      <c r="F331" s="1139">
        <f t="shared" si="1349"/>
        <v>10.3125</v>
      </c>
      <c r="G331" s="1419">
        <f>SUMPRODUCT('EE Measures'!HF$42:HF$86,'EE Measures'!$AI$42:$AI$86,'EE Measures'!$AJ$42:$AJ$86,'EE Measures'!$IJ$42:$IJ$86)+G303</f>
        <v>0</v>
      </c>
      <c r="H331" s="1419">
        <f>SUMPRODUCT('EE Measures'!HG$42:HG$86,'EE Measures'!$AI$42:$AI$86,'EE Measures'!$AJ$42:$AJ$86,'EE Measures'!$IJ$42:$IJ$86)+H303</f>
        <v>0</v>
      </c>
      <c r="I331" s="1419">
        <f>SUMPRODUCT('EE Measures'!HH$42:HH$86,'EE Measures'!$AI$42:$AI$86,'EE Measures'!$AJ$42:$AJ$86,'EE Measures'!$IJ$42:$IJ$86)+I303</f>
        <v>0</v>
      </c>
      <c r="J331" s="1419">
        <f>SUMPRODUCT('EE Measures'!HI$42:HI$86,'EE Measures'!$AI$42:$AI$86,'EE Measures'!$AJ$42:$AJ$86,'EE Measures'!$IJ$42:$IJ$86)+J303</f>
        <v>0</v>
      </c>
      <c r="K331" s="1419">
        <f>SUMPRODUCT('EE Measures'!HJ$42:HJ$86,'EE Measures'!$AI$42:$AI$86,'EE Measures'!$AJ$42:$AJ$86,'EE Measures'!$IJ$42:$IJ$86)+K303</f>
        <v>0.9375</v>
      </c>
      <c r="L331" s="1419">
        <f>SUMPRODUCT('EE Measures'!HK$42:HK$86,'EE Measures'!$AI$42:$AI$86,'EE Measures'!$AJ$42:$AJ$86,'EE Measures'!$IJ$42:$IJ$86)+L303</f>
        <v>0.9375</v>
      </c>
      <c r="M331" s="1419">
        <f>SUMPRODUCT('EE Measures'!HL$42:HL$86,'EE Measures'!$AI$42:$AI$86,'EE Measures'!$AJ$42:$AJ$86,'EE Measures'!$IJ$42:$IJ$86)+M303</f>
        <v>0.9375</v>
      </c>
      <c r="N331" s="1419">
        <f>SUMPRODUCT('EE Measures'!HM$42:HM$86,'EE Measures'!$AI$42:$AI$86,'EE Measures'!$AJ$42:$AJ$86,'EE Measures'!$IJ$42:$IJ$86)+N303</f>
        <v>0.9375</v>
      </c>
      <c r="O331" s="1419">
        <f>SUMPRODUCT('EE Measures'!HN$42:HN$86,'EE Measures'!$AI$42:$AI$86,'EE Measures'!$AJ$42:$AJ$86,'EE Measures'!$IJ$42:$IJ$86)+O303</f>
        <v>0.9375</v>
      </c>
      <c r="P331" s="1419">
        <f>SUMPRODUCT('EE Measures'!HO$42:HO$86,'EE Measures'!$AI$42:$AI$86,'EE Measures'!$AJ$42:$AJ$86,'EE Measures'!$IJ$42:$IJ$86)+P303</f>
        <v>0.9375</v>
      </c>
      <c r="Q331" s="1419">
        <f>SUMPRODUCT('EE Measures'!HP$42:HP$86,'EE Measures'!$AI$42:$AI$86,'EE Measures'!$AJ$42:$AJ$86,'EE Measures'!$IJ$42:$IJ$86)+Q303</f>
        <v>0.9375</v>
      </c>
      <c r="R331" s="1419">
        <f>SUMPRODUCT('EE Measures'!HQ$42:HQ$86,'EE Measures'!$AI$42:$AI$86,'EE Measures'!$AJ$42:$AJ$86,'EE Measures'!$IJ$42:$IJ$86)+R303</f>
        <v>0.9375</v>
      </c>
      <c r="S331" s="1419">
        <f>SUMPRODUCT('EE Measures'!HR$42:HR$86,'EE Measures'!$AI$42:$AI$86,'EE Measures'!$AJ$42:$AJ$86,'EE Measures'!$IJ$42:$IJ$86)+S303</f>
        <v>0.9375</v>
      </c>
      <c r="T331" s="1419">
        <f>SUMPRODUCT('EE Measures'!HS$42:HS$86,'EE Measures'!$AI$42:$AI$86,'EE Measures'!$AJ$42:$AJ$86,'EE Measures'!$IJ$42:$IJ$86)+T303</f>
        <v>0.9375</v>
      </c>
      <c r="U331" s="1419">
        <f>SUMPRODUCT('EE Measures'!HT$42:HT$86,'EE Measures'!$AI$42:$AI$86,'EE Measures'!$AJ$42:$AJ$86,'EE Measures'!$IJ$42:$IJ$86)+U303</f>
        <v>0.9375</v>
      </c>
    </row>
    <row r="332" spans="5:21" hidden="1" outlineLevel="1" x14ac:dyDescent="0.3">
      <c r="E332" s="1234" t="s">
        <v>422</v>
      </c>
      <c r="F332" s="1139">
        <f t="shared" si="1349"/>
        <v>8.7463744748228418</v>
      </c>
      <c r="G332" s="1420">
        <f>G328-G330</f>
        <v>0.19070767000000005</v>
      </c>
      <c r="H332" s="1420">
        <f t="shared" ref="H332:U332" si="1363">H328-H330</f>
        <v>0.19930217000000006</v>
      </c>
      <c r="I332" s="1420">
        <f t="shared" si="1363"/>
        <v>0.18538825359635636</v>
      </c>
      <c r="J332" s="1420">
        <f t="shared" si="1363"/>
        <v>0.17900527555512674</v>
      </c>
      <c r="K332" s="1420">
        <f t="shared" si="1363"/>
        <v>0.82688544335986514</v>
      </c>
      <c r="L332" s="1420">
        <f t="shared" si="1363"/>
        <v>0.81861151703796353</v>
      </c>
      <c r="M332" s="1420">
        <f t="shared" si="1363"/>
        <v>0.7976468515263988</v>
      </c>
      <c r="N332" s="1420">
        <f t="shared" si="1363"/>
        <v>0.78973478447540613</v>
      </c>
      <c r="O332" s="1420">
        <f t="shared" si="1363"/>
        <v>0.78207104489380863</v>
      </c>
      <c r="P332" s="1420">
        <f t="shared" si="1363"/>
        <v>0.77465259216472249</v>
      </c>
      <c r="Q332" s="1420">
        <f t="shared" si="1363"/>
        <v>0.767476479735548</v>
      </c>
      <c r="R332" s="1420">
        <f t="shared" si="1363"/>
        <v>0.76053985394887325</v>
      </c>
      <c r="S332" s="1420">
        <f t="shared" si="1363"/>
        <v>0.75383995290952632</v>
      </c>
      <c r="T332" s="1420">
        <f t="shared" si="1363"/>
        <v>0.74737410538734728</v>
      </c>
      <c r="U332" s="1420">
        <f t="shared" si="1363"/>
        <v>0.74853657382825478</v>
      </c>
    </row>
    <row r="333" spans="5:21" hidden="1" outlineLevel="1" x14ac:dyDescent="0.3">
      <c r="E333" s="1234" t="s">
        <v>423</v>
      </c>
      <c r="F333" s="1139">
        <f t="shared" si="1349"/>
        <v>3.0759259259259264</v>
      </c>
      <c r="G333" s="1419">
        <f>G329-G331</f>
        <v>0</v>
      </c>
      <c r="H333" s="1419">
        <f t="shared" ref="H333:U333" si="1364">H329-H331</f>
        <v>0</v>
      </c>
      <c r="I333" s="1419">
        <f t="shared" si="1364"/>
        <v>0</v>
      </c>
      <c r="J333" s="1419">
        <f t="shared" si="1364"/>
        <v>0</v>
      </c>
      <c r="K333" s="1419">
        <f t="shared" si="1364"/>
        <v>0.27962962962962967</v>
      </c>
      <c r="L333" s="1419">
        <f t="shared" si="1364"/>
        <v>0.27962962962962967</v>
      </c>
      <c r="M333" s="1419">
        <f t="shared" si="1364"/>
        <v>0.27962962962962967</v>
      </c>
      <c r="N333" s="1419">
        <f t="shared" si="1364"/>
        <v>0.27962962962962967</v>
      </c>
      <c r="O333" s="1419">
        <f t="shared" si="1364"/>
        <v>0.27962962962962967</v>
      </c>
      <c r="P333" s="1419">
        <f t="shared" si="1364"/>
        <v>0.27962962962962967</v>
      </c>
      <c r="Q333" s="1419">
        <f t="shared" si="1364"/>
        <v>0.27962962962962967</v>
      </c>
      <c r="R333" s="1419">
        <f t="shared" si="1364"/>
        <v>0.27962962962962967</v>
      </c>
      <c r="S333" s="1419">
        <f t="shared" si="1364"/>
        <v>0.27962962962962967</v>
      </c>
      <c r="T333" s="1419">
        <f t="shared" si="1364"/>
        <v>0.27962962962962967</v>
      </c>
      <c r="U333" s="1419">
        <f t="shared" si="1364"/>
        <v>0.27962962962962967</v>
      </c>
    </row>
    <row r="334" spans="5:21" hidden="1" outlineLevel="1" x14ac:dyDescent="0.3">
      <c r="E334" s="596" t="str">
        <f>'EE Measures'!$IK$6</f>
        <v>CEER1</v>
      </c>
      <c r="F334" s="1139">
        <f t="shared" si="1349"/>
        <v>42.156832537567666</v>
      </c>
      <c r="G334" s="1418">
        <f>G283</f>
        <v>0.60079300501896338</v>
      </c>
      <c r="H334" s="1418">
        <f t="shared" ref="H334:U334" si="1365">H283</f>
        <v>0.61712743509515233</v>
      </c>
      <c r="I334" s="1418">
        <f t="shared" si="1365"/>
        <v>0.6113515444080484</v>
      </c>
      <c r="J334" s="1418">
        <f t="shared" si="1365"/>
        <v>0.55460582895470334</v>
      </c>
      <c r="K334" s="1418">
        <f t="shared" si="1365"/>
        <v>4.0787652158600602</v>
      </c>
      <c r="L334" s="1418">
        <f t="shared" si="1365"/>
        <v>4.0483414373835878</v>
      </c>
      <c r="M334" s="1418">
        <f t="shared" si="1365"/>
        <v>3.8371369654658554</v>
      </c>
      <c r="N334" s="1418">
        <f t="shared" si="1365"/>
        <v>3.8058829680028206</v>
      </c>
      <c r="O334" s="1418">
        <f t="shared" si="1365"/>
        <v>3.7754245711960159</v>
      </c>
      <c r="P334" s="1418">
        <f t="shared" si="1365"/>
        <v>3.7457493243925262</v>
      </c>
      <c r="Q334" s="1418">
        <f t="shared" si="1365"/>
        <v>3.7168450742800747</v>
      </c>
      <c r="R334" s="1418">
        <f t="shared" si="1365"/>
        <v>3.6886999600017352</v>
      </c>
      <c r="S334" s="1418">
        <f t="shared" si="1365"/>
        <v>3.6613024083835164</v>
      </c>
      <c r="T334" s="1418">
        <f t="shared" si="1365"/>
        <v>3.6346411292729424</v>
      </c>
      <c r="U334" s="1418">
        <f t="shared" si="1365"/>
        <v>3.6094376543738296</v>
      </c>
    </row>
    <row r="335" spans="5:21" hidden="1" outlineLevel="1" x14ac:dyDescent="0.3">
      <c r="E335" s="1234" t="s">
        <v>418</v>
      </c>
      <c r="F335" s="1139">
        <f t="shared" si="1349"/>
        <v>25.692480685715815</v>
      </c>
      <c r="G335" s="1143">
        <f>SUMPRODUCT('EE Measures'!HF$42:HF$86,'EE Measures'!$AH$42:$AH$86,'EE Measures'!$IK$42:$IK$86)+G$300</f>
        <v>0.60079300501896338</v>
      </c>
      <c r="H335" s="1143">
        <f>SUMPRODUCT('EE Measures'!HG$42:HG$86,'EE Measures'!$AH$42:$AH$86,'EE Measures'!$IK$42:$IK$86)+H$300</f>
        <v>0.61712743509515233</v>
      </c>
      <c r="I335" s="1143">
        <f>SUMPRODUCT('EE Measures'!HH$42:HH$86,'EE Measures'!$AH$42:$AH$86,'EE Measures'!$IK$42:$IK$86)+I$300</f>
        <v>0.6113515444080484</v>
      </c>
      <c r="J335" s="1143">
        <f>SUMPRODUCT('EE Measures'!HI$42:HI$86,'EE Measures'!$AH$42:$AH$86,'EE Measures'!$IK$42:$IK$86)+J$300</f>
        <v>0.55460582895470334</v>
      </c>
      <c r="K335" s="1143">
        <f>SUMPRODUCT('EE Measures'!HJ$42:HJ$86,'EE Measures'!$AH$42:$AH$86,'EE Measures'!$IK$42:$IK$86)+K$300</f>
        <v>2.5820059566008009</v>
      </c>
      <c r="L335" s="1143">
        <f>SUMPRODUCT('EE Measures'!HK$42:HK$86,'EE Measures'!$AH$42:$AH$86,'EE Measures'!$IK$42:$IK$86)+L$300</f>
        <v>2.5515821781243289</v>
      </c>
      <c r="M335" s="1143">
        <f>SUMPRODUCT('EE Measures'!HL$42:HL$86,'EE Measures'!$AH$42:$AH$86,'EE Measures'!$IK$42:$IK$86)+M$300</f>
        <v>2.3403777062065965</v>
      </c>
      <c r="N335" s="1143">
        <f>SUMPRODUCT('EE Measures'!HM$42:HM$86,'EE Measures'!$AH$42:$AH$86,'EE Measures'!$IK$42:$IK$86)+N$300</f>
        <v>2.3091237087435612</v>
      </c>
      <c r="O335" s="1143">
        <f>SUMPRODUCT('EE Measures'!HN$42:HN$86,'EE Measures'!$AH$42:$AH$86,'EE Measures'!$IK$42:$IK$86)+O$300</f>
        <v>2.278665311936757</v>
      </c>
      <c r="P335" s="1143">
        <f>SUMPRODUCT('EE Measures'!HO$42:HO$86,'EE Measures'!$AH$42:$AH$86,'EE Measures'!$IK$42:$IK$86)+P$300</f>
        <v>2.2489900651332677</v>
      </c>
      <c r="Q335" s="1143">
        <f>SUMPRODUCT('EE Measures'!HP$42:HP$86,'EE Measures'!$AH$42:$AH$86,'EE Measures'!$IK$42:$IK$86)+Q$300</f>
        <v>2.2200858150208154</v>
      </c>
      <c r="R335" s="1143">
        <f>SUMPRODUCT('EE Measures'!HQ$42:HQ$86,'EE Measures'!$AH$42:$AH$86,'EE Measures'!$IK$42:$IK$86)+R$300</f>
        <v>2.1919407007424758</v>
      </c>
      <c r="S335" s="1143">
        <f>SUMPRODUCT('EE Measures'!HR$42:HR$86,'EE Measures'!$AH$42:$AH$86,'EE Measures'!$IK$42:$IK$86)+S$300</f>
        <v>2.164543149124257</v>
      </c>
      <c r="T335" s="1143">
        <f>SUMPRODUCT('EE Measures'!HS$42:HS$86,'EE Measures'!$AH$42:$AH$86,'EE Measures'!$IK$42:$IK$86)+T$300</f>
        <v>2.1378818700136835</v>
      </c>
      <c r="U335" s="1143">
        <f>SUMPRODUCT('EE Measures'!HT$42:HT$86,'EE Measures'!$AH$42:$AH$86,'EE Measures'!$IK$42:$IK$86)+U$300</f>
        <v>2.1126783951145707</v>
      </c>
    </row>
    <row r="336" spans="5:21" hidden="1" outlineLevel="1" x14ac:dyDescent="0.3">
      <c r="E336" s="1234" t="s">
        <v>419</v>
      </c>
      <c r="F336" s="1139">
        <f t="shared" si="1349"/>
        <v>16.464351851851855</v>
      </c>
      <c r="G336" s="1420">
        <f>SUMPRODUCT('EE Measures'!HF$42:HF$86,'EE Measures'!$AI$42:$AI$86,'EE Measures'!$IK$42:$IK$86)</f>
        <v>0</v>
      </c>
      <c r="H336" s="1420">
        <f>SUMPRODUCT('EE Measures'!HG$42:HG$86,'EE Measures'!$AI$42:$AI$86,'EE Measures'!$IK$42:$IK$86)</f>
        <v>0</v>
      </c>
      <c r="I336" s="1420">
        <f>SUMPRODUCT('EE Measures'!HH$42:HH$86,'EE Measures'!$AI$42:$AI$86,'EE Measures'!$IK$42:$IK$86)</f>
        <v>0</v>
      </c>
      <c r="J336" s="1420">
        <f>SUMPRODUCT('EE Measures'!HI$42:HI$86,'EE Measures'!$AI$42:$AI$86,'EE Measures'!$IK$42:$IK$86)</f>
        <v>0</v>
      </c>
      <c r="K336" s="1420">
        <f>SUMPRODUCT('EE Measures'!HJ$42:HJ$86,'EE Measures'!$AI$42:$AI$86,'EE Measures'!$IK$42:$IK$86)</f>
        <v>1.4967592592592593</v>
      </c>
      <c r="L336" s="1420">
        <f>SUMPRODUCT('EE Measures'!HK$42:HK$86,'EE Measures'!$AI$42:$AI$86,'EE Measures'!$IK$42:$IK$86)</f>
        <v>1.4967592592592593</v>
      </c>
      <c r="M336" s="1420">
        <f>SUMPRODUCT('EE Measures'!HL$42:HL$86,'EE Measures'!$AI$42:$AI$86,'EE Measures'!$IK$42:$IK$86)</f>
        <v>1.4967592592592593</v>
      </c>
      <c r="N336" s="1420">
        <f>SUMPRODUCT('EE Measures'!HM$42:HM$86,'EE Measures'!$AI$42:$AI$86,'EE Measures'!$IK$42:$IK$86)</f>
        <v>1.4967592592592593</v>
      </c>
      <c r="O336" s="1420">
        <f>SUMPRODUCT('EE Measures'!HN$42:HN$86,'EE Measures'!$AI$42:$AI$86,'EE Measures'!$IK$42:$IK$86)</f>
        <v>1.4967592592592593</v>
      </c>
      <c r="P336" s="1420">
        <f>SUMPRODUCT('EE Measures'!HO$42:HO$86,'EE Measures'!$AI$42:$AI$86,'EE Measures'!$IK$42:$IK$86)</f>
        <v>1.4967592592592593</v>
      </c>
      <c r="Q336" s="1420">
        <f>SUMPRODUCT('EE Measures'!HP$42:HP$86,'EE Measures'!$AI$42:$AI$86,'EE Measures'!$IK$42:$IK$86)</f>
        <v>1.4967592592592593</v>
      </c>
      <c r="R336" s="1420">
        <f>SUMPRODUCT('EE Measures'!HQ$42:HQ$86,'EE Measures'!$AI$42:$AI$86,'EE Measures'!$IK$42:$IK$86)</f>
        <v>1.4967592592592593</v>
      </c>
      <c r="S336" s="1420">
        <f>SUMPRODUCT('EE Measures'!HR$42:HR$86,'EE Measures'!$AI$42:$AI$86,'EE Measures'!$IK$42:$IK$86)</f>
        <v>1.4967592592592593</v>
      </c>
      <c r="T336" s="1420">
        <f>SUMPRODUCT('EE Measures'!HS$42:HS$86,'EE Measures'!$AI$42:$AI$86,'EE Measures'!$IK$42:$IK$86)</f>
        <v>1.4967592592592593</v>
      </c>
      <c r="U336" s="1420">
        <f>SUMPRODUCT('EE Measures'!HT$42:HT$86,'EE Measures'!$AI$42:$AI$86,'EE Measures'!$IK$42:$IK$86)</f>
        <v>1.4967592592592593</v>
      </c>
    </row>
    <row r="337" spans="2:60" hidden="1" outlineLevel="1" x14ac:dyDescent="0.3">
      <c r="E337" s="1234" t="s">
        <v>420</v>
      </c>
      <c r="F337" s="1139">
        <f t="shared" si="1349"/>
        <v>18.344502169440926</v>
      </c>
      <c r="G337" s="1143">
        <f>SUMPRODUCT('EE Measures'!HF$42:HF$86,'EE Measures'!$AH$42:$AH$86,'EE Measures'!$AJ$42:$AJ$86,'EE Measures'!$IK$42:$IK$86)+G302</f>
        <v>0.41008533501896333</v>
      </c>
      <c r="H337" s="1143">
        <f>SUMPRODUCT('EE Measures'!HG$42:HG$86,'EE Measures'!$AH$42:$AH$86,'EE Measures'!$AJ$42:$AJ$86,'EE Measures'!$IK$42:$IK$86)+H302</f>
        <v>0.41782526509515228</v>
      </c>
      <c r="I337" s="1143">
        <f>SUMPRODUCT('EE Measures'!HH$42:HH$86,'EE Measures'!$AH$42:$AH$86,'EE Measures'!$AJ$42:$AJ$86,'EE Measures'!$IK$42:$IK$86)+I302</f>
        <v>0.42596329081169204</v>
      </c>
      <c r="J337" s="1143">
        <f>SUMPRODUCT('EE Measures'!HI$42:HI$86,'EE Measures'!$AH$42:$AH$86,'EE Measures'!$AJ$42:$AJ$86,'EE Measures'!$IK$42:$IK$86)+J302</f>
        <v>0.3756005533995766</v>
      </c>
      <c r="K337" s="1143">
        <f>SUMPRODUCT('EE Measures'!HJ$42:HJ$86,'EE Measures'!$AH$42:$AH$86,'EE Measures'!$AJ$42:$AJ$86,'EE Measures'!$IK$42:$IK$86)+K302</f>
        <v>1.8951205132409359</v>
      </c>
      <c r="L337" s="1143">
        <f>SUMPRODUCT('EE Measures'!HK$42:HK$86,'EE Measures'!$AH$42:$AH$86,'EE Measures'!$AJ$42:$AJ$86,'EE Measures'!$IK$42:$IK$86)+L302</f>
        <v>1.8702255630471498</v>
      </c>
      <c r="M337" s="1143">
        <f>SUMPRODUCT('EE Measures'!HL$42:HL$86,'EE Measures'!$AH$42:$AH$86,'EE Measures'!$AJ$42:$AJ$86,'EE Measures'!$IK$42:$IK$86)+M302</f>
        <v>1.6772944840535156</v>
      </c>
      <c r="N337" s="1143">
        <f>SUMPRODUCT('EE Measures'!HM$42:HM$86,'EE Measures'!$AH$42:$AH$86,'EE Measures'!$AJ$42:$AJ$86,'EE Measures'!$IK$42:$IK$86)+N302</f>
        <v>1.6513140511047411</v>
      </c>
      <c r="O337" s="1143">
        <f>SUMPRODUCT('EE Measures'!HN$42:HN$86,'EE Measures'!$AH$42:$AH$86,'EE Measures'!$AJ$42:$AJ$86,'EE Measures'!$IK$42:$IK$86)+O302</f>
        <v>1.6259326266866605</v>
      </c>
      <c r="P337" s="1143">
        <f>SUMPRODUCT('EE Measures'!HO$42:HO$86,'EE Measures'!$AH$42:$AH$86,'EE Measures'!$AJ$42:$AJ$86,'EE Measures'!$IK$42:$IK$86)+P302</f>
        <v>1.6011397863447332</v>
      </c>
      <c r="Q337" s="1143">
        <f>SUMPRODUCT('EE Measures'!HP$42:HP$86,'EE Measures'!$AH$42:$AH$86,'EE Measures'!$AJ$42:$AJ$86,'EE Measures'!$IK$42:$IK$86)+Q302</f>
        <v>1.5769253287913341</v>
      </c>
      <c r="R337" s="1143">
        <f>SUMPRODUCT('EE Measures'!HQ$42:HQ$86,'EE Measures'!$AH$42:$AH$86,'EE Measures'!$AJ$42:$AJ$86,'EE Measures'!$IK$42:$IK$86)+R302</f>
        <v>1.5532792717995505</v>
      </c>
      <c r="S337" s="1143">
        <f>SUMPRODUCT('EE Measures'!HR$42:HR$86,'EE Measures'!$AH$42:$AH$86,'EE Measures'!$AJ$42:$AJ$86,'EE Measures'!$IK$42:$IK$86)+S302</f>
        <v>1.5301918481813461</v>
      </c>
      <c r="T337" s="1143">
        <f>SUMPRODUCT('EE Measures'!HS$42:HS$86,'EE Measures'!$AH$42:$AH$86,'EE Measures'!$AJ$42:$AJ$86,'EE Measures'!$IK$42:$IK$86)+T302</f>
        <v>1.5076535018485084</v>
      </c>
      <c r="U337" s="1143">
        <f>SUMPRODUCT('EE Measures'!HT$42:HT$86,'EE Measures'!$AH$42:$AH$86,'EE Measures'!$AJ$42:$AJ$86,'EE Measures'!$IK$42:$IK$86)+U302</f>
        <v>1.4798246409428728</v>
      </c>
    </row>
    <row r="338" spans="2:60" hidden="1" outlineLevel="1" x14ac:dyDescent="0.3">
      <c r="E338" s="1234" t="s">
        <v>421</v>
      </c>
      <c r="F338" s="1139">
        <f t="shared" si="1349"/>
        <v>10.3125</v>
      </c>
      <c r="G338" s="1419">
        <f>SUMPRODUCT('EE Measures'!HF$42:HF$86,'EE Measures'!$AI$42:$AI$86,'EE Measures'!$AJ$42:$AJ$86,'EE Measures'!$IK$42:$IK$86)+G303</f>
        <v>0</v>
      </c>
      <c r="H338" s="1419">
        <f>SUMPRODUCT('EE Measures'!HG$42:HG$86,'EE Measures'!$AI$42:$AI$86,'EE Measures'!$AJ$42:$AJ$86,'EE Measures'!$IK$42:$IK$86)+H303</f>
        <v>0</v>
      </c>
      <c r="I338" s="1419">
        <f>SUMPRODUCT('EE Measures'!HH$42:HH$86,'EE Measures'!$AI$42:$AI$86,'EE Measures'!$AJ$42:$AJ$86,'EE Measures'!$IK$42:$IK$86)+I303</f>
        <v>0</v>
      </c>
      <c r="J338" s="1419">
        <f>SUMPRODUCT('EE Measures'!HI$42:HI$86,'EE Measures'!$AI$42:$AI$86,'EE Measures'!$AJ$42:$AJ$86,'EE Measures'!$IK$42:$IK$86)+J303</f>
        <v>0</v>
      </c>
      <c r="K338" s="1419">
        <f>SUMPRODUCT('EE Measures'!HJ$42:HJ$86,'EE Measures'!$AI$42:$AI$86,'EE Measures'!$AJ$42:$AJ$86,'EE Measures'!$IK$42:$IK$86)+K303</f>
        <v>0.9375</v>
      </c>
      <c r="L338" s="1419">
        <f>SUMPRODUCT('EE Measures'!HK$42:HK$86,'EE Measures'!$AI$42:$AI$86,'EE Measures'!$AJ$42:$AJ$86,'EE Measures'!$IK$42:$IK$86)+L303</f>
        <v>0.9375</v>
      </c>
      <c r="M338" s="1419">
        <f>SUMPRODUCT('EE Measures'!HL$42:HL$86,'EE Measures'!$AI$42:$AI$86,'EE Measures'!$AJ$42:$AJ$86,'EE Measures'!$IK$42:$IK$86)+M303</f>
        <v>0.9375</v>
      </c>
      <c r="N338" s="1419">
        <f>SUMPRODUCT('EE Measures'!HM$42:HM$86,'EE Measures'!$AI$42:$AI$86,'EE Measures'!$AJ$42:$AJ$86,'EE Measures'!$IK$42:$IK$86)+N303</f>
        <v>0.9375</v>
      </c>
      <c r="O338" s="1419">
        <f>SUMPRODUCT('EE Measures'!HN$42:HN$86,'EE Measures'!$AI$42:$AI$86,'EE Measures'!$AJ$42:$AJ$86,'EE Measures'!$IK$42:$IK$86)+O303</f>
        <v>0.9375</v>
      </c>
      <c r="P338" s="1419">
        <f>SUMPRODUCT('EE Measures'!HO$42:HO$86,'EE Measures'!$AI$42:$AI$86,'EE Measures'!$AJ$42:$AJ$86,'EE Measures'!$IK$42:$IK$86)+P303</f>
        <v>0.9375</v>
      </c>
      <c r="Q338" s="1419">
        <f>SUMPRODUCT('EE Measures'!HP$42:HP$86,'EE Measures'!$AI$42:$AI$86,'EE Measures'!$AJ$42:$AJ$86,'EE Measures'!$IK$42:$IK$86)+Q303</f>
        <v>0.9375</v>
      </c>
      <c r="R338" s="1419">
        <f>SUMPRODUCT('EE Measures'!HQ$42:HQ$86,'EE Measures'!$AI$42:$AI$86,'EE Measures'!$AJ$42:$AJ$86,'EE Measures'!$IK$42:$IK$86)+R303</f>
        <v>0.9375</v>
      </c>
      <c r="S338" s="1419">
        <f>SUMPRODUCT('EE Measures'!HR$42:HR$86,'EE Measures'!$AI$42:$AI$86,'EE Measures'!$AJ$42:$AJ$86,'EE Measures'!$IK$42:$IK$86)+S303</f>
        <v>0.9375</v>
      </c>
      <c r="T338" s="1419">
        <f>SUMPRODUCT('EE Measures'!HS$42:HS$86,'EE Measures'!$AI$42:$AI$86,'EE Measures'!$AJ$42:$AJ$86,'EE Measures'!$IK$42:$IK$86)+T303</f>
        <v>0.9375</v>
      </c>
      <c r="U338" s="1419">
        <f>SUMPRODUCT('EE Measures'!HT$42:HT$86,'EE Measures'!$AI$42:$AI$86,'EE Measures'!$AJ$42:$AJ$86,'EE Measures'!$IK$42:$IK$86)+U303</f>
        <v>0.9375</v>
      </c>
    </row>
    <row r="339" spans="2:60" hidden="1" outlineLevel="1" x14ac:dyDescent="0.3">
      <c r="E339" s="1234" t="s">
        <v>422</v>
      </c>
      <c r="F339" s="1139">
        <f t="shared" si="1349"/>
        <v>7.3479785162748943</v>
      </c>
      <c r="G339" s="1420">
        <f>G335-G337</f>
        <v>0.19070767000000005</v>
      </c>
      <c r="H339" s="1420">
        <f t="shared" ref="H339:U339" si="1366">H335-H337</f>
        <v>0.19930217000000006</v>
      </c>
      <c r="I339" s="1420">
        <f t="shared" si="1366"/>
        <v>0.18538825359635636</v>
      </c>
      <c r="J339" s="1420">
        <f t="shared" si="1366"/>
        <v>0.17900527555512674</v>
      </c>
      <c r="K339" s="1420">
        <f t="shared" si="1366"/>
        <v>0.68688544335986501</v>
      </c>
      <c r="L339" s="1420">
        <f t="shared" si="1366"/>
        <v>0.68135661507717904</v>
      </c>
      <c r="M339" s="1420">
        <f t="shared" si="1366"/>
        <v>0.66308322215308091</v>
      </c>
      <c r="N339" s="1420">
        <f t="shared" si="1366"/>
        <v>0.65780965763882016</v>
      </c>
      <c r="O339" s="1420">
        <f t="shared" si="1366"/>
        <v>0.65273268525009653</v>
      </c>
      <c r="P339" s="1420">
        <f t="shared" si="1366"/>
        <v>0.64785027878853452</v>
      </c>
      <c r="Q339" s="1420">
        <f t="shared" si="1366"/>
        <v>0.6431604862294813</v>
      </c>
      <c r="R339" s="1420">
        <f t="shared" si="1366"/>
        <v>0.63866142894292532</v>
      </c>
      <c r="S339" s="1420">
        <f t="shared" si="1366"/>
        <v>0.63435130094291092</v>
      </c>
      <c r="T339" s="1420">
        <f t="shared" si="1366"/>
        <v>0.63022836816517502</v>
      </c>
      <c r="U339" s="1420">
        <f t="shared" si="1366"/>
        <v>0.63285375417169787</v>
      </c>
    </row>
    <row r="340" spans="2:60" hidden="1" outlineLevel="1" x14ac:dyDescent="0.3">
      <c r="E340" s="1234" t="s">
        <v>423</v>
      </c>
      <c r="F340" s="1139">
        <f t="shared" si="1349"/>
        <v>6.1518518518518528</v>
      </c>
      <c r="G340" s="1419">
        <f>G336-G338</f>
        <v>0</v>
      </c>
      <c r="H340" s="1419">
        <f t="shared" ref="H340:U340" si="1367">H336-H338</f>
        <v>0</v>
      </c>
      <c r="I340" s="1419">
        <f t="shared" si="1367"/>
        <v>0</v>
      </c>
      <c r="J340" s="1419">
        <f t="shared" si="1367"/>
        <v>0</v>
      </c>
      <c r="K340" s="1419">
        <f t="shared" si="1367"/>
        <v>0.55925925925925934</v>
      </c>
      <c r="L340" s="1419">
        <f t="shared" si="1367"/>
        <v>0.55925925925925934</v>
      </c>
      <c r="M340" s="1419">
        <f t="shared" si="1367"/>
        <v>0.55925925925925934</v>
      </c>
      <c r="N340" s="1419">
        <f t="shared" si="1367"/>
        <v>0.55925925925925934</v>
      </c>
      <c r="O340" s="1419">
        <f t="shared" si="1367"/>
        <v>0.55925925925925934</v>
      </c>
      <c r="P340" s="1419">
        <f t="shared" si="1367"/>
        <v>0.55925925925925934</v>
      </c>
      <c r="Q340" s="1419">
        <f t="shared" si="1367"/>
        <v>0.55925925925925934</v>
      </c>
      <c r="R340" s="1419">
        <f t="shared" si="1367"/>
        <v>0.55925925925925934</v>
      </c>
      <c r="S340" s="1419">
        <f t="shared" si="1367"/>
        <v>0.55925925925925934</v>
      </c>
      <c r="T340" s="1419">
        <f t="shared" si="1367"/>
        <v>0.55925925925925934</v>
      </c>
      <c r="U340" s="1419">
        <f t="shared" si="1367"/>
        <v>0.55925925925925934</v>
      </c>
    </row>
    <row r="341" spans="2:60" hidden="1" outlineLevel="1" x14ac:dyDescent="0.3">
      <c r="E341" s="596" t="str">
        <f>'EE Measures'!$IL$6</f>
        <v>CEER2</v>
      </c>
      <c r="F341" s="1139">
        <f t="shared" si="1349"/>
        <v>59.220654952631008</v>
      </c>
      <c r="G341" s="1418">
        <f>G290</f>
        <v>0.60079300501896338</v>
      </c>
      <c r="H341" s="1418">
        <f t="shared" ref="H341:U341" si="1368">H290</f>
        <v>0.61712743509515233</v>
      </c>
      <c r="I341" s="1418">
        <f t="shared" si="1368"/>
        <v>0.6113515444080484</v>
      </c>
      <c r="J341" s="1418">
        <f t="shared" si="1368"/>
        <v>0.55460582895470334</v>
      </c>
      <c r="K341" s="1418">
        <f t="shared" si="1368"/>
        <v>5.7369133640082079</v>
      </c>
      <c r="L341" s="1418">
        <f t="shared" si="1368"/>
        <v>5.6837590118207704</v>
      </c>
      <c r="M341" s="1418">
        <f t="shared" si="1368"/>
        <v>5.450269663715817</v>
      </c>
      <c r="N341" s="1418">
        <f t="shared" si="1368"/>
        <v>5.3971677484221718</v>
      </c>
      <c r="O341" s="1418">
        <f t="shared" si="1368"/>
        <v>5.3452898243304565</v>
      </c>
      <c r="P341" s="1418">
        <f t="shared" si="1368"/>
        <v>5.2946150409731327</v>
      </c>
      <c r="Q341" s="1418">
        <f t="shared" si="1368"/>
        <v>5.2451230099255488</v>
      </c>
      <c r="R341" s="1418">
        <f t="shared" si="1368"/>
        <v>5.1967937966911979</v>
      </c>
      <c r="S341" s="1418">
        <f t="shared" si="1368"/>
        <v>5.1496079127631642</v>
      </c>
      <c r="T341" s="1418">
        <f t="shared" si="1368"/>
        <v>5.1035463078586538</v>
      </c>
      <c r="U341" s="1418">
        <f t="shared" si="1368"/>
        <v>5.0629634431671739</v>
      </c>
    </row>
    <row r="342" spans="2:60" hidden="1" outlineLevel="1" x14ac:dyDescent="0.3">
      <c r="E342" s="1234" t="s">
        <v>418</v>
      </c>
      <c r="F342" s="1139">
        <f t="shared" si="1349"/>
        <v>37.26852532300137</v>
      </c>
      <c r="G342" s="1143">
        <f>SUMPRODUCT('EE Measures'!HF$42:HF$86,'EE Measures'!$AH$42:$AH$86,'EE Measures'!$IL$42:$IL$86)+G$300</f>
        <v>0.60079300501896338</v>
      </c>
      <c r="H342" s="1143">
        <f>SUMPRODUCT('EE Measures'!HG$42:HG$86,'EE Measures'!$AH$42:$AH$86,'EE Measures'!$IL$42:$IL$86)+H$300</f>
        <v>0.61712743509515233</v>
      </c>
      <c r="I342" s="1143">
        <f>SUMPRODUCT('EE Measures'!HH$42:HH$86,'EE Measures'!$AH$42:$AH$86,'EE Measures'!$IL$42:$IL$86)+I$300</f>
        <v>0.6113515444080484</v>
      </c>
      <c r="J342" s="1143">
        <f>SUMPRODUCT('EE Measures'!HI$42:HI$86,'EE Measures'!$AH$42:$AH$86,'EE Measures'!$IL$42:$IL$86)+J$300</f>
        <v>0.55460582895470334</v>
      </c>
      <c r="K342" s="1143">
        <f>SUMPRODUCT('EE Measures'!HJ$42:HJ$86,'EE Measures'!$AH$42:$AH$86,'EE Measures'!$IL$42:$IL$86)+K$300</f>
        <v>3.7412652158600599</v>
      </c>
      <c r="L342" s="1143">
        <f>SUMPRODUCT('EE Measures'!HK$42:HK$86,'EE Measures'!$AH$42:$AH$86,'EE Measures'!$IL$42:$IL$86)+L$300</f>
        <v>3.6881108636726223</v>
      </c>
      <c r="M342" s="1143">
        <f>SUMPRODUCT('EE Measures'!HL$42:HL$86,'EE Measures'!$AH$42:$AH$86,'EE Measures'!$IL$42:$IL$86)+M$300</f>
        <v>3.4546215155676685</v>
      </c>
      <c r="N342" s="1143">
        <f>SUMPRODUCT('EE Measures'!HM$42:HM$86,'EE Measures'!$AH$42:$AH$86,'EE Measures'!$IL$42:$IL$86)+N$300</f>
        <v>3.4015196002740238</v>
      </c>
      <c r="O342" s="1143">
        <f>SUMPRODUCT('EE Measures'!HN$42:HN$86,'EE Measures'!$AH$42:$AH$86,'EE Measures'!$IL$42:$IL$86)+O$300</f>
        <v>3.349641676182308</v>
      </c>
      <c r="P342" s="1143">
        <f>SUMPRODUCT('EE Measures'!HO$42:HO$86,'EE Measures'!$AH$42:$AH$86,'EE Measures'!$IL$42:$IL$86)+P$300</f>
        <v>3.2989668928249838</v>
      </c>
      <c r="Q342" s="1143">
        <f>SUMPRODUCT('EE Measures'!HP$42:HP$86,'EE Measures'!$AH$42:$AH$86,'EE Measures'!$IL$42:$IL$86)+Q$300</f>
        <v>3.2494748617774007</v>
      </c>
      <c r="R342" s="1143">
        <f>SUMPRODUCT('EE Measures'!HQ$42:HQ$86,'EE Measures'!$AH$42:$AH$86,'EE Measures'!$IL$42:$IL$86)+R$300</f>
        <v>3.2011456485430498</v>
      </c>
      <c r="S342" s="1143">
        <f>SUMPRODUCT('EE Measures'!HR$42:HR$86,'EE Measures'!$AH$42:$AH$86,'EE Measures'!$IL$42:$IL$86)+S$300</f>
        <v>3.1539597646150153</v>
      </c>
      <c r="T342" s="1143">
        <f>SUMPRODUCT('EE Measures'!HS$42:HS$86,'EE Measures'!$AH$42:$AH$86,'EE Measures'!$IL$42:$IL$86)+T$300</f>
        <v>3.1078981597105062</v>
      </c>
      <c r="U342" s="1143">
        <f>SUMPRODUCT('EE Measures'!HT$42:HT$86,'EE Measures'!$AH$42:$AH$86,'EE Measures'!$IL$42:$IL$86)+U$300</f>
        <v>3.0673152950190263</v>
      </c>
    </row>
    <row r="343" spans="2:60" hidden="1" outlineLevel="1" x14ac:dyDescent="0.3">
      <c r="E343" s="1234" t="s">
        <v>419</v>
      </c>
      <c r="F343" s="1139">
        <f t="shared" si="1349"/>
        <v>21.952129629629635</v>
      </c>
      <c r="G343" s="1420">
        <f>SUMPRODUCT('EE Measures'!HF$42:HF$86,'EE Measures'!$AI$42:$AI$86,'EE Measures'!$IL$42:$IL$86)</f>
        <v>0</v>
      </c>
      <c r="H343" s="1420">
        <f>SUMPRODUCT('EE Measures'!HG$42:HG$86,'EE Measures'!$AI$42:$AI$86,'EE Measures'!$IL$42:$IL$86)</f>
        <v>0</v>
      </c>
      <c r="I343" s="1420">
        <f>SUMPRODUCT('EE Measures'!HH$42:HH$86,'EE Measures'!$AI$42:$AI$86,'EE Measures'!$IL$42:$IL$86)</f>
        <v>0</v>
      </c>
      <c r="J343" s="1420">
        <f>SUMPRODUCT('EE Measures'!HI$42:HI$86,'EE Measures'!$AI$42:$AI$86,'EE Measures'!$IL$42:$IL$86)</f>
        <v>0</v>
      </c>
      <c r="K343" s="1420">
        <f>SUMPRODUCT('EE Measures'!HJ$42:HJ$86,'EE Measures'!$AI$42:$AI$86,'EE Measures'!$IL$42:$IL$86)</f>
        <v>1.9956481481481481</v>
      </c>
      <c r="L343" s="1420">
        <f>SUMPRODUCT('EE Measures'!HK$42:HK$86,'EE Measures'!$AI$42:$AI$86,'EE Measures'!$IL$42:$IL$86)</f>
        <v>1.9956481481481481</v>
      </c>
      <c r="M343" s="1420">
        <f>SUMPRODUCT('EE Measures'!HL$42:HL$86,'EE Measures'!$AI$42:$AI$86,'EE Measures'!$IL$42:$IL$86)</f>
        <v>1.9956481481481481</v>
      </c>
      <c r="N343" s="1420">
        <f>SUMPRODUCT('EE Measures'!HM$42:HM$86,'EE Measures'!$AI$42:$AI$86,'EE Measures'!$IL$42:$IL$86)</f>
        <v>1.9956481481481481</v>
      </c>
      <c r="O343" s="1420">
        <f>SUMPRODUCT('EE Measures'!HN$42:HN$86,'EE Measures'!$AI$42:$AI$86,'EE Measures'!$IL$42:$IL$86)</f>
        <v>1.9956481481481481</v>
      </c>
      <c r="P343" s="1420">
        <f>SUMPRODUCT('EE Measures'!HO$42:HO$86,'EE Measures'!$AI$42:$AI$86,'EE Measures'!$IL$42:$IL$86)</f>
        <v>1.9956481481481481</v>
      </c>
      <c r="Q343" s="1420">
        <f>SUMPRODUCT('EE Measures'!HP$42:HP$86,'EE Measures'!$AI$42:$AI$86,'EE Measures'!$IL$42:$IL$86)</f>
        <v>1.9956481481481481</v>
      </c>
      <c r="R343" s="1420">
        <f>SUMPRODUCT('EE Measures'!HQ$42:HQ$86,'EE Measures'!$AI$42:$AI$86,'EE Measures'!$IL$42:$IL$86)</f>
        <v>1.9956481481481481</v>
      </c>
      <c r="S343" s="1420">
        <f>SUMPRODUCT('EE Measures'!HR$42:HR$86,'EE Measures'!$AI$42:$AI$86,'EE Measures'!$IL$42:$IL$86)</f>
        <v>1.9956481481481481</v>
      </c>
      <c r="T343" s="1420">
        <f>SUMPRODUCT('EE Measures'!HS$42:HS$86,'EE Measures'!$AI$42:$AI$86,'EE Measures'!$IL$42:$IL$86)</f>
        <v>1.9956481481481481</v>
      </c>
      <c r="U343" s="1420">
        <f>SUMPRODUCT('EE Measures'!HT$42:HT$86,'EE Measures'!$AI$42:$AI$86,'EE Measures'!$IL$42:$IL$86)</f>
        <v>1.9956481481481481</v>
      </c>
    </row>
    <row r="344" spans="2:60" hidden="1" outlineLevel="1" x14ac:dyDescent="0.3">
      <c r="E344" s="1234" t="s">
        <v>420</v>
      </c>
      <c r="F344" s="1139">
        <f t="shared" si="1349"/>
        <v>25.920950017830581</v>
      </c>
      <c r="G344" s="1143">
        <f>SUMPRODUCT('EE Measures'!HF$42:HF$86,'EE Measures'!$AH$42:$AH$86,'EE Measures'!$AJ$42:$AJ$86,'EE Measures'!$IL$42:$IL$86)+G302</f>
        <v>0.41008533501896333</v>
      </c>
      <c r="H344" s="1143">
        <f>SUMPRODUCT('EE Measures'!HG$42:HG$86,'EE Measures'!$AH$42:$AH$86,'EE Measures'!$AJ$42:$AJ$86,'EE Measures'!$IL$42:$IL$86)+H302</f>
        <v>0.41782526509515228</v>
      </c>
      <c r="I344" s="1143">
        <f>SUMPRODUCT('EE Measures'!HH$42:HH$86,'EE Measures'!$AH$42:$AH$86,'EE Measures'!$AJ$42:$AJ$86,'EE Measures'!$IL$42:$IL$86)+I302</f>
        <v>0.42596329081169204</v>
      </c>
      <c r="J344" s="1143">
        <f>SUMPRODUCT('EE Measures'!HI$42:HI$86,'EE Measures'!$AH$42:$AH$86,'EE Measures'!$AJ$42:$AJ$86,'EE Measures'!$IL$42:$IL$86)+J302</f>
        <v>0.3756005533995766</v>
      </c>
      <c r="K344" s="1143">
        <f>SUMPRODUCT('EE Measures'!HJ$42:HJ$86,'EE Measures'!$AH$42:$AH$86,'EE Measures'!$AJ$42:$AJ$86,'EE Measures'!$IL$42:$IL$86)+K302</f>
        <v>2.654379772500195</v>
      </c>
      <c r="L344" s="1143">
        <f>SUMPRODUCT('EE Measures'!HK$42:HK$86,'EE Measures'!$AH$42:$AH$86,'EE Measures'!$AJ$42:$AJ$86,'EE Measures'!$IL$42:$IL$86)+L302</f>
        <v>2.6145973858503453</v>
      </c>
      <c r="M344" s="1143">
        <f>SUMPRODUCT('EE Measures'!HL$42:HL$86,'EE Measures'!$AH$42:$AH$86,'EE Measures'!$AJ$42:$AJ$86,'EE Measures'!$IL$42:$IL$86)+M302</f>
        <v>2.4070707809193932</v>
      </c>
      <c r="N344" s="1143">
        <f>SUMPRODUCT('EE Measures'!HM$42:HM$86,'EE Measures'!$AH$42:$AH$86,'EE Measures'!$AJ$42:$AJ$86,'EE Measures'!$IL$42:$IL$86)+N302</f>
        <v>2.3667810088163859</v>
      </c>
      <c r="O344" s="1143">
        <f>SUMPRODUCT('EE Measures'!HN$42:HN$86,'EE Measures'!$AH$42:$AH$86,'EE Measures'!$AJ$42:$AJ$86,'EE Measures'!$IL$42:$IL$86)+O302</f>
        <v>2.3273708205216059</v>
      </c>
      <c r="P344" s="1143">
        <f>SUMPRODUCT('EE Measures'!HO$42:HO$86,'EE Measures'!$AH$42:$AH$86,'EE Measures'!$AJ$42:$AJ$86,'EE Measures'!$IL$42:$IL$86)+P302</f>
        <v>2.2888242901044835</v>
      </c>
      <c r="Q344" s="1143">
        <f>SUMPRODUCT('EE Measures'!HP$42:HP$86,'EE Measures'!$AH$42:$AH$86,'EE Measures'!$AJ$42:$AJ$86,'EE Measures'!$IL$42:$IL$86)+Q302</f>
        <v>2.2511258226734427</v>
      </c>
      <c r="R344" s="1143">
        <f>SUMPRODUCT('EE Measures'!HQ$42:HQ$86,'EE Measures'!$AH$42:$AH$86,'EE Measures'!$AJ$42:$AJ$86,'EE Measures'!$IL$42:$IL$86)+R302</f>
        <v>2.2142601481545592</v>
      </c>
      <c r="S344" s="1143">
        <f>SUMPRODUCT('EE Measures'!HR$42:HR$86,'EE Measures'!$AH$42:$AH$86,'EE Measures'!$AJ$42:$AJ$86,'EE Measures'!$IL$42:$IL$86)+S302</f>
        <v>2.1782123151960602</v>
      </c>
      <c r="T344" s="1143">
        <f>SUMPRODUCT('EE Measures'!HS$42:HS$86,'EE Measures'!$AH$42:$AH$86,'EE Measures'!$AJ$42:$AJ$86,'EE Measures'!$IL$42:$IL$86)+T302</f>
        <v>2.1429676851962678</v>
      </c>
      <c r="U344" s="1143">
        <f>SUMPRODUCT('EE Measures'!HT$42:HT$86,'EE Measures'!$AH$42:$AH$86,'EE Measures'!$AJ$42:$AJ$86,'EE Measures'!$IL$42:$IL$86)+U302</f>
        <v>2.0997594344982651</v>
      </c>
    </row>
    <row r="345" spans="2:60" hidden="1" outlineLevel="1" x14ac:dyDescent="0.3">
      <c r="E345" s="1234" t="s">
        <v>421</v>
      </c>
      <c r="F345" s="1139">
        <f t="shared" si="1349"/>
        <v>10.3125</v>
      </c>
      <c r="G345" s="1419">
        <f>SUMPRODUCT('EE Measures'!HF$42:HF$86,'EE Measures'!$AI$42:$AI$86,'EE Measures'!$AJ$42:$AJ$86,'EE Measures'!$IL$42:$IL$86)+G303</f>
        <v>0</v>
      </c>
      <c r="H345" s="1419">
        <f>SUMPRODUCT('EE Measures'!HG$42:HG$86,'EE Measures'!$AI$42:$AI$86,'EE Measures'!$AJ$42:$AJ$86,'EE Measures'!$IL$42:$IL$86)+H303</f>
        <v>0</v>
      </c>
      <c r="I345" s="1419">
        <f>SUMPRODUCT('EE Measures'!HH$42:HH$86,'EE Measures'!$AI$42:$AI$86,'EE Measures'!$AJ$42:$AJ$86,'EE Measures'!$IL$42:$IL$86)+I303</f>
        <v>0</v>
      </c>
      <c r="J345" s="1419">
        <f>SUMPRODUCT('EE Measures'!HI$42:HI$86,'EE Measures'!$AI$42:$AI$86,'EE Measures'!$AJ$42:$AJ$86,'EE Measures'!$IL$42:$IL$86)+J303</f>
        <v>0</v>
      </c>
      <c r="K345" s="1419">
        <f>SUMPRODUCT('EE Measures'!HJ$42:HJ$86,'EE Measures'!$AI$42:$AI$86,'EE Measures'!$AJ$42:$AJ$86,'EE Measures'!$IL$42:$IL$86)+K303</f>
        <v>0.9375</v>
      </c>
      <c r="L345" s="1419">
        <f>SUMPRODUCT('EE Measures'!HK$42:HK$86,'EE Measures'!$AI$42:$AI$86,'EE Measures'!$AJ$42:$AJ$86,'EE Measures'!$IL$42:$IL$86)+L303</f>
        <v>0.9375</v>
      </c>
      <c r="M345" s="1419">
        <f>SUMPRODUCT('EE Measures'!HL$42:HL$86,'EE Measures'!$AI$42:$AI$86,'EE Measures'!$AJ$42:$AJ$86,'EE Measures'!$IL$42:$IL$86)+M303</f>
        <v>0.9375</v>
      </c>
      <c r="N345" s="1419">
        <f>SUMPRODUCT('EE Measures'!HM$42:HM$86,'EE Measures'!$AI$42:$AI$86,'EE Measures'!$AJ$42:$AJ$86,'EE Measures'!$IL$42:$IL$86)+N303</f>
        <v>0.9375</v>
      </c>
      <c r="O345" s="1419">
        <f>SUMPRODUCT('EE Measures'!HN$42:HN$86,'EE Measures'!$AI$42:$AI$86,'EE Measures'!$AJ$42:$AJ$86,'EE Measures'!$IL$42:$IL$86)+O303</f>
        <v>0.9375</v>
      </c>
      <c r="P345" s="1419">
        <f>SUMPRODUCT('EE Measures'!HO$42:HO$86,'EE Measures'!$AI$42:$AI$86,'EE Measures'!$AJ$42:$AJ$86,'EE Measures'!$IL$42:$IL$86)+P303</f>
        <v>0.9375</v>
      </c>
      <c r="Q345" s="1419">
        <f>SUMPRODUCT('EE Measures'!HP$42:HP$86,'EE Measures'!$AI$42:$AI$86,'EE Measures'!$AJ$42:$AJ$86,'EE Measures'!$IL$42:$IL$86)+Q303</f>
        <v>0.9375</v>
      </c>
      <c r="R345" s="1419">
        <f>SUMPRODUCT('EE Measures'!HQ$42:HQ$86,'EE Measures'!$AI$42:$AI$86,'EE Measures'!$AJ$42:$AJ$86,'EE Measures'!$IL$42:$IL$86)+R303</f>
        <v>0.9375</v>
      </c>
      <c r="S345" s="1419">
        <f>SUMPRODUCT('EE Measures'!HR$42:HR$86,'EE Measures'!$AI$42:$AI$86,'EE Measures'!$AJ$42:$AJ$86,'EE Measures'!$IL$42:$IL$86)+S303</f>
        <v>0.9375</v>
      </c>
      <c r="T345" s="1419">
        <f>SUMPRODUCT('EE Measures'!HS$42:HS$86,'EE Measures'!$AI$42:$AI$86,'EE Measures'!$AJ$42:$AJ$86,'EE Measures'!$IL$42:$IL$86)+T303</f>
        <v>0.9375</v>
      </c>
      <c r="U345" s="1419">
        <f>SUMPRODUCT('EE Measures'!HT$42:HT$86,'EE Measures'!$AI$42:$AI$86,'EE Measures'!$AJ$42:$AJ$86,'EE Measures'!$IL$42:$IL$86)+U303</f>
        <v>0.9375</v>
      </c>
    </row>
    <row r="346" spans="2:60" hidden="1" outlineLevel="1" x14ac:dyDescent="0.3">
      <c r="E346" s="1234" t="s">
        <v>422</v>
      </c>
      <c r="F346" s="1139">
        <f t="shared" si="1349"/>
        <v>11.347575305170787</v>
      </c>
      <c r="G346" s="1420">
        <f>G342-G344</f>
        <v>0.19070767000000005</v>
      </c>
      <c r="H346" s="1420">
        <f t="shared" ref="H346:U346" si="1369">H342-H344</f>
        <v>0.19930217000000006</v>
      </c>
      <c r="I346" s="1420">
        <f t="shared" si="1369"/>
        <v>0.18538825359635636</v>
      </c>
      <c r="J346" s="1420">
        <f t="shared" si="1369"/>
        <v>0.17900527555512674</v>
      </c>
      <c r="K346" s="1420">
        <f t="shared" si="1369"/>
        <v>1.0868854433598649</v>
      </c>
      <c r="L346" s="1420">
        <f t="shared" si="1369"/>
        <v>1.073513477822277</v>
      </c>
      <c r="M346" s="1420">
        <f t="shared" si="1369"/>
        <v>1.0475507346482753</v>
      </c>
      <c r="N346" s="1420">
        <f t="shared" si="1369"/>
        <v>1.0347385914576379</v>
      </c>
      <c r="O346" s="1420">
        <f t="shared" si="1369"/>
        <v>1.0222708556607021</v>
      </c>
      <c r="P346" s="1420">
        <f t="shared" si="1369"/>
        <v>1.0101426027205003</v>
      </c>
      <c r="Q346" s="1420">
        <f t="shared" si="1369"/>
        <v>0.998349039103958</v>
      </c>
      <c r="R346" s="1420">
        <f t="shared" si="1369"/>
        <v>0.98688550038849066</v>
      </c>
      <c r="S346" s="1420">
        <f t="shared" si="1369"/>
        <v>0.97574744941895508</v>
      </c>
      <c r="T346" s="1420">
        <f t="shared" si="1369"/>
        <v>0.96493047451423841</v>
      </c>
      <c r="U346" s="1420">
        <f t="shared" si="1369"/>
        <v>0.96755586052076126</v>
      </c>
    </row>
    <row r="347" spans="2:60" hidden="1" outlineLevel="1" x14ac:dyDescent="0.3">
      <c r="E347" s="1234" t="s">
        <v>423</v>
      </c>
      <c r="F347" s="1139">
        <f t="shared" si="1349"/>
        <v>11.639629629629631</v>
      </c>
      <c r="G347" s="1419">
        <f>G343-G345</f>
        <v>0</v>
      </c>
      <c r="H347" s="1419">
        <f t="shared" ref="H347:U347" si="1370">H343-H345</f>
        <v>0</v>
      </c>
      <c r="I347" s="1419">
        <f t="shared" si="1370"/>
        <v>0</v>
      </c>
      <c r="J347" s="1419">
        <f t="shared" si="1370"/>
        <v>0</v>
      </c>
      <c r="K347" s="1419">
        <f t="shared" si="1370"/>
        <v>1.0581481481481481</v>
      </c>
      <c r="L347" s="1419">
        <f t="shared" si="1370"/>
        <v>1.0581481481481481</v>
      </c>
      <c r="M347" s="1419">
        <f t="shared" si="1370"/>
        <v>1.0581481481481481</v>
      </c>
      <c r="N347" s="1419">
        <f t="shared" si="1370"/>
        <v>1.0581481481481481</v>
      </c>
      <c r="O347" s="1419">
        <f t="shared" si="1370"/>
        <v>1.0581481481481481</v>
      </c>
      <c r="P347" s="1419">
        <f t="shared" si="1370"/>
        <v>1.0581481481481481</v>
      </c>
      <c r="Q347" s="1419">
        <f t="shared" si="1370"/>
        <v>1.0581481481481481</v>
      </c>
      <c r="R347" s="1419">
        <f t="shared" si="1370"/>
        <v>1.0581481481481481</v>
      </c>
      <c r="S347" s="1419">
        <f t="shared" si="1370"/>
        <v>1.0581481481481481</v>
      </c>
      <c r="T347" s="1419">
        <f t="shared" si="1370"/>
        <v>1.0581481481481481</v>
      </c>
      <c r="U347" s="1419">
        <f t="shared" si="1370"/>
        <v>1.0581481481481481</v>
      </c>
    </row>
    <row r="348" spans="2:60" hidden="1" outlineLevel="1" x14ac:dyDescent="0.3"/>
    <row r="349" spans="2:60" hidden="1" outlineLevel="1" x14ac:dyDescent="0.3"/>
    <row r="350" spans="2:60" x14ac:dyDescent="0.3"/>
    <row r="351" spans="2:60" ht="19.5" collapsed="1" thickBot="1" x14ac:dyDescent="0.35">
      <c r="B351" s="1" t="s">
        <v>424</v>
      </c>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row>
    <row r="352" spans="2:60" ht="16.5" hidden="1" customHeight="1" outlineLevel="1" x14ac:dyDescent="0.3"/>
    <row r="353" spans="3:40" ht="15" hidden="1" outlineLevel="1" x14ac:dyDescent="0.3">
      <c r="C353" s="5" t="s">
        <v>425</v>
      </c>
      <c r="D353" s="5"/>
      <c r="E353" s="5"/>
      <c r="F353" s="5"/>
      <c r="G353" s="5"/>
      <c r="H353" s="5"/>
      <c r="I353" s="5"/>
      <c r="J353" s="5"/>
      <c r="K353" s="5"/>
      <c r="L353" s="5"/>
      <c r="M353" s="5"/>
      <c r="N353" s="5"/>
      <c r="O353" s="5"/>
      <c r="P353" s="5"/>
      <c r="Q353" s="5"/>
      <c r="R353" s="5"/>
      <c r="S353" s="5"/>
      <c r="T353" s="5"/>
      <c r="U353" s="5"/>
      <c r="W353" s="5" t="str">
        <f>C353&amp;" per region"</f>
        <v>Total investment costs (MEUR) (incl. tax) per region</v>
      </c>
      <c r="X353" s="5"/>
      <c r="Y353" s="5"/>
      <c r="Z353" s="5"/>
      <c r="AA353" s="5"/>
      <c r="AB353" s="5"/>
      <c r="AC353" s="5"/>
      <c r="AD353" s="5"/>
      <c r="AE353" s="5"/>
      <c r="AF353" s="5"/>
      <c r="AG353" s="5"/>
      <c r="AH353" s="5"/>
      <c r="AI353" s="5"/>
      <c r="AJ353" s="5"/>
      <c r="AK353" s="5"/>
      <c r="AL353" s="5"/>
      <c r="AM353" s="5"/>
      <c r="AN353" s="5"/>
    </row>
    <row r="354" spans="3:40" hidden="1" outlineLevel="1" x14ac:dyDescent="0.3">
      <c r="W354" s="587"/>
      <c r="AA354" s="587"/>
      <c r="AD354" s="587"/>
      <c r="AG354" s="587"/>
    </row>
    <row r="355" spans="3:40" ht="27" hidden="1" outlineLevel="1" x14ac:dyDescent="0.3">
      <c r="E355" s="625"/>
      <c r="F355" s="625" t="s">
        <v>386</v>
      </c>
      <c r="G355" s="625">
        <v>2021</v>
      </c>
      <c r="H355" s="625">
        <v>2022</v>
      </c>
      <c r="I355" s="625">
        <v>2023</v>
      </c>
      <c r="J355" s="625">
        <v>2024</v>
      </c>
      <c r="K355" s="625">
        <v>2025</v>
      </c>
      <c r="L355" s="625">
        <v>2026</v>
      </c>
      <c r="M355" s="625">
        <v>2027</v>
      </c>
      <c r="N355" s="625">
        <v>2028</v>
      </c>
      <c r="O355" s="625">
        <v>2029</v>
      </c>
      <c r="P355" s="625">
        <v>2030</v>
      </c>
      <c r="Q355" s="625">
        <v>2031</v>
      </c>
      <c r="R355" s="625">
        <v>2032</v>
      </c>
      <c r="S355" s="625">
        <v>2033</v>
      </c>
      <c r="T355" s="625">
        <v>2034</v>
      </c>
      <c r="U355" s="625">
        <v>2035</v>
      </c>
      <c r="V355" s="554" t="s">
        <v>426</v>
      </c>
      <c r="W355" s="625"/>
      <c r="X355" s="625" t="s">
        <v>386</v>
      </c>
      <c r="Y355" s="625">
        <v>2021</v>
      </c>
      <c r="Z355" s="625">
        <v>2022</v>
      </c>
      <c r="AA355" s="625">
        <v>2023</v>
      </c>
      <c r="AB355" s="625">
        <v>2024</v>
      </c>
      <c r="AC355" s="625">
        <v>2025</v>
      </c>
      <c r="AD355" s="625">
        <v>2026</v>
      </c>
      <c r="AE355" s="625">
        <v>2027</v>
      </c>
      <c r="AF355" s="625">
        <v>2028</v>
      </c>
      <c r="AG355" s="625">
        <v>2029</v>
      </c>
      <c r="AH355" s="625">
        <v>2030</v>
      </c>
      <c r="AI355" s="625">
        <v>2031</v>
      </c>
      <c r="AJ355" s="625">
        <v>2032</v>
      </c>
      <c r="AK355" s="625">
        <v>2033</v>
      </c>
      <c r="AL355" s="625">
        <v>2034</v>
      </c>
      <c r="AM355" s="625">
        <v>2035</v>
      </c>
    </row>
    <row r="356" spans="3:40" hidden="1" outlineLevel="1" x14ac:dyDescent="0.3">
      <c r="C356" s="587" t="str">
        <f>E356</f>
        <v>Baseline</v>
      </c>
      <c r="E356" s="555" t="str">
        <f>'EE Measures'!$IF$6</f>
        <v>Baseline</v>
      </c>
      <c r="F356" s="590">
        <f>SUM(G356:P356)</f>
        <v>1587.9187432474118</v>
      </c>
      <c r="G356" s="591">
        <f>SUM(G357:G361)</f>
        <v>166.73424608362066</v>
      </c>
      <c r="H356" s="591">
        <f>SUM(H357:H361)</f>
        <v>141.11435217805385</v>
      </c>
      <c r="I356" s="591">
        <f t="shared" ref="I356:P356" si="1371">SUM(I357:I361)</f>
        <v>120.8848866328765</v>
      </c>
      <c r="J356" s="591">
        <f t="shared" si="1371"/>
        <v>100.64309816325147</v>
      </c>
      <c r="K356" s="591">
        <f t="shared" si="1371"/>
        <v>182.57406027011979</v>
      </c>
      <c r="L356" s="591">
        <f t="shared" si="1371"/>
        <v>188.44514562045626</v>
      </c>
      <c r="M356" s="591">
        <f t="shared" si="1371"/>
        <v>188.6802376244481</v>
      </c>
      <c r="N356" s="591">
        <f t="shared" si="1371"/>
        <v>159.59158280022066</v>
      </c>
      <c r="O356" s="591">
        <f t="shared" si="1371"/>
        <v>166.1986831292846</v>
      </c>
      <c r="P356" s="591">
        <f t="shared" si="1371"/>
        <v>173.05245074507985</v>
      </c>
      <c r="Q356" s="591">
        <f t="shared" ref="Q356:U356" si="1372">SUM(Q357:Q361)</f>
        <v>180.16197132256724</v>
      </c>
      <c r="R356" s="591">
        <f t="shared" si="1372"/>
        <v>187.53670268333428</v>
      </c>
      <c r="S356" s="591">
        <f t="shared" si="1372"/>
        <v>195.18649009652935</v>
      </c>
      <c r="T356" s="591">
        <f t="shared" si="1372"/>
        <v>203.12158223634262</v>
      </c>
      <c r="U356" s="591">
        <f t="shared" si="1372"/>
        <v>211.35264782456454</v>
      </c>
      <c r="V356" s="898">
        <f>SUM(J356:U356)</f>
        <v>2136.5446525161988</v>
      </c>
      <c r="W356" s="555" t="str">
        <f>'EE Measures'!$IF$6</f>
        <v>Baseline</v>
      </c>
      <c r="X356" s="590">
        <f>SUM(Y356:AH356)</f>
        <v>1587.9187432474118</v>
      </c>
      <c r="Y356" s="591">
        <f t="shared" ref="Y356" si="1373">SUM(Y357:Y361)</f>
        <v>166.73424608362069</v>
      </c>
      <c r="Z356" s="591">
        <f t="shared" ref="Z356:AH356" si="1374">SUM(Z357:Z361)</f>
        <v>141.11435217805382</v>
      </c>
      <c r="AA356" s="591">
        <f t="shared" si="1374"/>
        <v>120.88488663287649</v>
      </c>
      <c r="AB356" s="591">
        <f t="shared" si="1374"/>
        <v>100.64309816325147</v>
      </c>
      <c r="AC356" s="591">
        <f t="shared" si="1374"/>
        <v>182.57406027011979</v>
      </c>
      <c r="AD356" s="591">
        <f t="shared" si="1374"/>
        <v>188.44514562045629</v>
      </c>
      <c r="AE356" s="591">
        <f t="shared" si="1374"/>
        <v>188.6802376244481</v>
      </c>
      <c r="AF356" s="591">
        <f t="shared" si="1374"/>
        <v>159.59158280022066</v>
      </c>
      <c r="AG356" s="591">
        <f t="shared" si="1374"/>
        <v>166.1986831292846</v>
      </c>
      <c r="AH356" s="591">
        <f t="shared" si="1374"/>
        <v>173.05245074507985</v>
      </c>
      <c r="AI356" s="591">
        <f t="shared" ref="AI356:AM356" si="1375">SUM(AI357:AI361)</f>
        <v>180.16197132256724</v>
      </c>
      <c r="AJ356" s="591">
        <f t="shared" si="1375"/>
        <v>187.53670268333428</v>
      </c>
      <c r="AK356" s="591">
        <f t="shared" si="1375"/>
        <v>195.18649009652938</v>
      </c>
      <c r="AL356" s="591">
        <f t="shared" si="1375"/>
        <v>203.12158223634265</v>
      </c>
      <c r="AM356" s="591">
        <f t="shared" si="1375"/>
        <v>211.35264782456451</v>
      </c>
    </row>
    <row r="357" spans="3:40" hidden="1" outlineLevel="1" x14ac:dyDescent="0.3">
      <c r="C357" s="587" t="str">
        <f>C356</f>
        <v>Baseline</v>
      </c>
      <c r="E357" s="563" t="s">
        <v>50</v>
      </c>
      <c r="F357" s="592">
        <f>SUM(G357:P357)</f>
        <v>324.69580333888013</v>
      </c>
      <c r="G357" s="593">
        <f>SUMPRODUCT('EE Measures'!BZ$8:BZ$86,'EE Measures'!$IF$8:$IF$86,'EE Measures'!$N$8:$N$86)+SUMPRODUCT('EE Measures'!EE$8:EE$86,'EE Measures'!$IF$8:$IF$86,'EE Measures'!$N$8:$N$86,'EE Measures'!$ED$8:$ED$86)</f>
        <v>50.705714717758653</v>
      </c>
      <c r="H357" s="593">
        <f>SUMPRODUCT('EE Measures'!CA$8:CA$86,'EE Measures'!$IF$8:$IF$86,'EE Measures'!$N$8:$N$86)+SUMPRODUCT('EE Measures'!EF$8:EF$86,'EE Measures'!$IF$8:$IF$86,'EE Measures'!$N$8:$N$86,'EE Measures'!$ED$8:$ED$86)</f>
        <v>4.4123408105379829</v>
      </c>
      <c r="I357" s="593">
        <f>SUMPRODUCT('EE Measures'!CB$8:CB$86,'EE Measures'!$IF$8:$IF$86,'EE Measures'!$N$8:$N$86)+SUMPRODUCT('EE Measures'!EG$8:EG$86,'EE Measures'!$IF$8:$IF$86,'EE Measures'!$N$8:$N$86,'EE Measures'!$ED$8:$ED$86)</f>
        <v>2.1307494384081855</v>
      </c>
      <c r="J357" s="593">
        <f>SUMPRODUCT('EE Measures'!CC$8:CC$86,'EE Measures'!$IF$8:$IF$86,'EE Measures'!$N$8:$N$86)+SUMPRODUCT('EE Measures'!EH$8:EH$86,'EE Measures'!$IF$8:$IF$86,'EE Measures'!$N$8:$N$86,'EE Measures'!$ED$8:$ED$86)</f>
        <v>14.187553570637442</v>
      </c>
      <c r="K357" s="593">
        <f>SUMPRODUCT('EE Measures'!CD$8:CD$86,'EE Measures'!$IF$8:$IF$86,'EE Measures'!$N$8:$N$86)+SUMPRODUCT('EE Measures'!EI$8:EI$86,'EE Measures'!$IF$8:$IF$86,'EE Measures'!$N$8:$N$86,'EE Measures'!$ED$8:$ED$86)</f>
        <v>61.803085132277396</v>
      </c>
      <c r="L357" s="593">
        <f>SUMPRODUCT('EE Measures'!CE$8:CE$86,'EE Measures'!$IF$8:$IF$86,'EE Measures'!$N$8:$N$86)+SUMPRODUCT('EE Measures'!EJ$8:EJ$86,'EE Measures'!$IF$8:$IF$86,'EE Measures'!$N$8:$N$86,'EE Measures'!$ED$8:$ED$86)</f>
        <v>62.540867843075766</v>
      </c>
      <c r="M357" s="593">
        <f>SUMPRODUCT('EE Measures'!CF$8:CF$86,'EE Measures'!$IF$8:$IF$86,'EE Measures'!$N$8:$N$86)+SUMPRODUCT('EE Measures'!EK$8:EK$86,'EE Measures'!$IF$8:$IF$86,'EE Measures'!$N$8:$N$86,'EE Measures'!$ED$8:$ED$86)</f>
        <v>57.433154281010253</v>
      </c>
      <c r="N357" s="593">
        <f>SUMPRODUCT('EE Measures'!CG$8:CG$86,'EE Measures'!$IF$8:$IF$86,'EE Measures'!$N$8:$N$86)+SUMPRODUCT('EE Measures'!EL$8:EL$86,'EE Measures'!$IF$8:$IF$86,'EE Measures'!$N$8:$N$86,'EE Measures'!$ED$8:$ED$86)</f>
        <v>22.991157035375856</v>
      </c>
      <c r="O357" s="593">
        <f>SUMPRODUCT('EE Measures'!CH$8:CH$86,'EE Measures'!$IF$8:$IF$86,'EE Measures'!$N$8:$N$86)+SUMPRODUCT('EE Measures'!EM$8:EM$86,'EE Measures'!$IF$8:$IF$86,'EE Measures'!$N$8:$N$86,'EE Measures'!$ED$8:$ED$86)</f>
        <v>23.817051586072932</v>
      </c>
      <c r="P357" s="593">
        <f>SUMPRODUCT('EE Measures'!CI$8:CI$86,'EE Measures'!$IF$8:$IF$86,'EE Measures'!$N$8:$N$86)+SUMPRODUCT('EE Measures'!EN$8:EN$86,'EE Measures'!$IF$8:$IF$86,'EE Measures'!$N$8:$N$86,'EE Measures'!$ED$8:$ED$86)</f>
        <v>24.674128923725664</v>
      </c>
      <c r="Q357" s="593">
        <f>SUMPRODUCT('EE Measures'!CJ$8:CJ$86,'EE Measures'!$IF$8:$IF$86,'EE Measures'!$N$8:$N$86)+SUMPRODUCT('EE Measures'!EO$8:EO$86,'EE Measures'!$IF$8:$IF$86,'EE Measures'!$N$8:$N$86,'EE Measures'!$ED$8:$ED$86)</f>
        <v>25.563539674332603</v>
      </c>
      <c r="R357" s="593">
        <f>SUMPRODUCT('EE Measures'!CK$8:CK$86,'EE Measures'!$IF$8:$IF$86,'EE Measures'!$N$8:$N$86)+SUMPRODUCT('EE Measures'!EP$8:EP$86,'EE Measures'!$IF$8:$IF$86,'EE Measures'!$N$8:$N$86,'EE Measures'!$ED$8:$ED$86)</f>
        <v>26.486479747987197</v>
      </c>
      <c r="S357" s="593">
        <f>SUMPRODUCT('EE Measures'!CL$8:CL$86,'EE Measures'!$IF$8:$IF$86,'EE Measures'!$N$8:$N$86)+SUMPRODUCT('EE Measures'!EQ$8:EQ$86,'EE Measures'!$IF$8:$IF$86,'EE Measures'!$N$8:$N$86,'EE Measures'!$ED$8:$ED$86)</f>
        <v>27.444192123737892</v>
      </c>
      <c r="T357" s="593">
        <f>SUMPRODUCT('EE Measures'!CM$8:CM$86,'EE Measures'!$IF$8:$IF$86,'EE Measures'!$N$8:$N$86)+SUMPRODUCT('EE Measures'!ER$8:ER$86,'EE Measures'!$IF$8:$IF$86,'EE Measures'!$N$8:$N$86,'EE Measures'!$ED$8:$ED$86)</f>
        <v>28.437968706837033</v>
      </c>
      <c r="U357" s="593">
        <f>SUMPRODUCT('EE Measures'!CN$8:CN$86,'EE Measures'!$IF$8:$IF$86,'EE Measures'!$N$8:$N$86)+SUMPRODUCT('EE Measures'!ES$8:ES$86,'EE Measures'!$IF$8:$IF$86,'EE Measures'!$N$8:$N$86,'EE Measures'!$ED$8:$ED$86)</f>
        <v>29.469152261350423</v>
      </c>
      <c r="V357" s="898">
        <f t="shared" ref="V357:V397" si="1376">SUM(J357:U357)</f>
        <v>404.8483308864204</v>
      </c>
      <c r="W357" s="563" t="str" cm="1">
        <f t="array" ref="W357:W361">_xlfn.ANCHORARRAY(Assumptions!C668)</f>
        <v xml:space="preserve">Põhja-Eesti </v>
      </c>
      <c r="X357" s="592">
        <f>SUM(Y357:AH357)</f>
        <v>739.44853600183149</v>
      </c>
      <c r="Y357" s="593">
        <f>SUMPRODUCT('EE Measures'!BZ$8:BZ$86,'EE Measures'!$IF$8:$IF$86,'EE Measures'!$Y$8:$Y$86)+SUMPRODUCT('EE Measures'!EE$8:EE$86,'EE Measures'!$IF$8:$IF$86,'EE Measures'!$Y$8:$Y$86,'EE Measures'!$ED$8:$ED$86)</f>
        <v>83.375468814588316</v>
      </c>
      <c r="Z357" s="593">
        <f>SUMPRODUCT('EE Measures'!CA$8:CA$86,'EE Measures'!$IF$8:$IF$86,'EE Measures'!$Y$8:$Y$86)+SUMPRODUCT('EE Measures'!EF$8:EF$86,'EE Measures'!$IF$8:$IF$86,'EE Measures'!$Y$8:$Y$86,'EE Measures'!$ED$8:$ED$86)</f>
        <v>63.662737150555131</v>
      </c>
      <c r="AA357" s="593">
        <f>SUMPRODUCT('EE Measures'!CB$8:CB$86,'EE Measures'!$IF$8:$IF$86,'EE Measures'!$Y$8:$Y$86)+SUMPRODUCT('EE Measures'!EG$8:EG$86,'EE Measures'!$IF$8:$IF$86,'EE Measures'!$Y$8:$Y$86,'EE Measures'!$ED$8:$ED$86)</f>
        <v>43.062866142628941</v>
      </c>
      <c r="AB357" s="593">
        <f>SUMPRODUCT('EE Measures'!CC$8:CC$86,'EE Measures'!$IF$8:$IF$86,'EE Measures'!$Y$8:$Y$86)+SUMPRODUCT('EE Measures'!EH$8:EH$86,'EE Measures'!$IF$8:$IF$86,'EE Measures'!$Y$8:$Y$86,'EE Measures'!$ED$8:$ED$86)</f>
        <v>47.64682449425672</v>
      </c>
      <c r="AC357" s="593">
        <f>SUMPRODUCT('EE Measures'!CD$8:CD$86,'EE Measures'!$IF$8:$IF$86,'EE Measures'!$Y$8:$Y$86)+SUMPRODUCT('EE Measures'!EI$8:EI$86,'EE Measures'!$IF$8:$IF$86,'EE Measures'!$Y$8:$Y$86,'EE Measures'!$ED$8:$ED$86)</f>
        <v>87.278931057434121</v>
      </c>
      <c r="AD357" s="593">
        <f>SUMPRODUCT('EE Measures'!CE$8:CE$86,'EE Measures'!$IF$8:$IF$86,'EE Measures'!$Y$8:$Y$86)+SUMPRODUCT('EE Measures'!EJ$8:EJ$86,'EE Measures'!$IF$8:$IF$86,'EE Measures'!$Y$8:$Y$86,'EE Measures'!$ED$8:$ED$86)</f>
        <v>90.07661255722789</v>
      </c>
      <c r="AE357" s="593">
        <f>SUMPRODUCT('EE Measures'!CF$8:CF$86,'EE Measures'!$IF$8:$IF$86,'EE Measures'!$Y$8:$Y$86)+SUMPRODUCT('EE Measures'!EK$8:EK$86,'EE Measures'!$IF$8:$IF$86,'EE Measures'!$Y$8:$Y$86,'EE Measures'!$ED$8:$ED$86)</f>
        <v>89.988727303699278</v>
      </c>
      <c r="AF357" s="593">
        <f>SUMPRODUCT('EE Measures'!CG$8:CG$86,'EE Measures'!$IF$8:$IF$86,'EE Measures'!$Y$8:$Y$86)+SUMPRODUCT('EE Measures'!EL$8:EL$86,'EE Measures'!$IF$8:$IF$86,'EE Measures'!$Y$8:$Y$86,'EE Measures'!$ED$8:$ED$86)</f>
        <v>74.931297625208671</v>
      </c>
      <c r="AG357" s="593">
        <f>SUMPRODUCT('EE Measures'!CH$8:CH$86,'EE Measures'!$IF$8:$IF$86,'EE Measures'!$Y$8:$Y$86)+SUMPRODUCT('EE Measures'!EM$8:EM$86,'EE Measures'!$IF$8:$IF$86,'EE Measures'!$Y$8:$Y$86,'EE Measures'!$ED$8:$ED$86)</f>
        <v>78.079386334176149</v>
      </c>
      <c r="AH357" s="593">
        <f>SUMPRODUCT('EE Measures'!CI$8:CI$86,'EE Measures'!$IF$8:$IF$86,'EE Measures'!$Y$8:$Y$86)+SUMPRODUCT('EE Measures'!EN$8:EN$86,'EE Measures'!$IF$8:$IF$86,'EE Measures'!$Y$8:$Y$86,'EE Measures'!$ED$8:$ED$86)</f>
        <v>81.345684522056345</v>
      </c>
      <c r="AI357" s="593">
        <f>SUMPRODUCT('EE Measures'!CJ$8:CJ$86,'EE Measures'!$IF$8:$IF$86,'EE Measures'!$Y$8:$Y$86)+SUMPRODUCT('EE Measures'!EO$8:EO$86,'EE Measures'!$IF$8:$IF$86,'EE Measures'!$Y$8:$Y$86,'EE Measures'!$ED$8:$ED$86)</f>
        <v>84.734562428151435</v>
      </c>
      <c r="AJ357" s="593">
        <f>SUMPRODUCT('EE Measures'!CK$8:CK$86,'EE Measures'!$IF$8:$IF$86,'EE Measures'!$Y$8:$Y$86)+SUMPRODUCT('EE Measures'!EP$8:EP$86,'EE Measures'!$IF$8:$IF$86,'EE Measures'!$Y$8:$Y$86,'EE Measures'!$ED$8:$ED$86)</f>
        <v>88.250568695181428</v>
      </c>
      <c r="AK357" s="593">
        <f>SUMPRODUCT('EE Measures'!CL$8:CL$86,'EE Measures'!$IF$8:$IF$86,'EE Measures'!$Y$8:$Y$86)+SUMPRODUCT('EE Measures'!EQ$8:EQ$86,'EE Measures'!$IF$8:$IF$86,'EE Measures'!$Y$8:$Y$86,'EE Measures'!$ED$8:$ED$86)</f>
        <v>91.898437680226991</v>
      </c>
      <c r="AL357" s="593">
        <f>SUMPRODUCT('EE Measures'!CM$8:CM$86,'EE Measures'!$IF$8:$IF$86,'EE Measures'!$Y$8:$Y$86)+SUMPRODUCT('EE Measures'!ER$8:ER$86,'EE Measures'!$IF$8:$IF$86,'EE Measures'!$Y$8:$Y$86,'EE Measures'!$ED$8:$ED$86)</f>
        <v>95.683097077802486</v>
      </c>
      <c r="AM357" s="593">
        <f>SUMPRODUCT('EE Measures'!CN$8:CN$86,'EE Measures'!$IF$8:$IF$86,'EE Measures'!$Y$8:$Y$86)+SUMPRODUCT('EE Measures'!ES$8:ES$86,'EE Measures'!$IF$8:$IF$86,'EE Measures'!$Y$8:$Y$86,'EE Measures'!$ED$8:$ED$86)</f>
        <v>99.609675868559791</v>
      </c>
      <c r="AN357" s="865">
        <f>X357/$X$356</f>
        <v>0.46567152075401808</v>
      </c>
    </row>
    <row r="358" spans="3:40" hidden="1" outlineLevel="1" x14ac:dyDescent="0.3">
      <c r="C358" s="587" t="str">
        <f t="shared" ref="C358:C361" si="1377">C357</f>
        <v>Baseline</v>
      </c>
      <c r="E358" s="563" t="s">
        <v>51</v>
      </c>
      <c r="F358" s="592">
        <f t="shared" ref="F358:F361" si="1378">SUM(G358:P358)</f>
        <v>428.24055631753447</v>
      </c>
      <c r="G358" s="593">
        <f>SUMPRODUCT('EE Measures'!BZ$8:BZ$86,'EE Measures'!$IF$8:$IF$86,'EE Measures'!$O$8:$O$86)+SUMPRODUCT('EE Measures'!EE$8:EE$86,'EE Measures'!$IF$8:$IF$86,'EE Measures'!$O$8:$O$86,'EE Measures'!$ED$8:$ED$86)</f>
        <v>51.031228234059256</v>
      </c>
      <c r="H358" s="593">
        <f>SUMPRODUCT('EE Measures'!CA$8:CA$86,'EE Measures'!$IF$8:$IF$86,'EE Measures'!$O$8:$O$86)+SUMPRODUCT('EE Measures'!EF$8:EF$86,'EE Measures'!$IF$8:$IF$86,'EE Measures'!$O$8:$O$86,'EE Measures'!$ED$8:$ED$86)</f>
        <v>64.756652418271301</v>
      </c>
      <c r="I358" s="593">
        <f>SUMPRODUCT('EE Measures'!CB$8:CB$86,'EE Measures'!$IF$8:$IF$86,'EE Measures'!$O$8:$O$86)+SUMPRODUCT('EE Measures'!EG$8:EG$86,'EE Measures'!$IF$8:$IF$86,'EE Measures'!$O$8:$O$86,'EE Measures'!$ED$8:$ED$86)</f>
        <v>79.671120340566887</v>
      </c>
      <c r="J358" s="593">
        <f>SUMPRODUCT('EE Measures'!CC$8:CC$86,'EE Measures'!$IF$8:$IF$86,'EE Measures'!$O$8:$O$86)+SUMPRODUCT('EE Measures'!EH$8:EH$86,'EE Measures'!$IF$8:$IF$86,'EE Measures'!$O$8:$O$86,'EE Measures'!$ED$8:$ED$86)</f>
        <v>18.81365754617449</v>
      </c>
      <c r="K358" s="593">
        <f>SUMPRODUCT('EE Measures'!CD$8:CD$86,'EE Measures'!$IF$8:$IF$86,'EE Measures'!$O$8:$O$86)+SUMPRODUCT('EE Measures'!EI$8:EI$86,'EE Measures'!$IF$8:$IF$86,'EE Measures'!$O$8:$O$86,'EE Measures'!$ED$8:$ED$86)</f>
        <v>27.273400995481875</v>
      </c>
      <c r="L358" s="593">
        <f>SUMPRODUCT('EE Measures'!CE$8:CE$86,'EE Measures'!$IF$8:$IF$86,'EE Measures'!$O$8:$O$86)+SUMPRODUCT('EE Measures'!EJ$8:EJ$86,'EE Measures'!$IF$8:$IF$86,'EE Measures'!$O$8:$O$86,'EE Measures'!$ED$8:$ED$86)</f>
        <v>30.459668628082593</v>
      </c>
      <c r="M358" s="593">
        <f>SUMPRODUCT('EE Measures'!CF$8:CF$86,'EE Measures'!$IF$8:$IF$86,'EE Measures'!$O$8:$O$86)+SUMPRODUCT('EE Measures'!EK$8:EK$86,'EE Measures'!$IF$8:$IF$86,'EE Measures'!$O$8:$O$86,'EE Measures'!$ED$8:$ED$86)</f>
        <v>33.773759003100949</v>
      </c>
      <c r="N358" s="593">
        <f>SUMPRODUCT('EE Measures'!CG$8:CG$86,'EE Measures'!$IF$8:$IF$86,'EE Measures'!$O$8:$O$86)+SUMPRODUCT('EE Measures'!EL$8:EL$86,'EE Measures'!$IF$8:$IF$86,'EE Measures'!$O$8:$O$86,'EE Measures'!$ED$8:$ED$86)</f>
        <v>37.210894373574085</v>
      </c>
      <c r="O358" s="593">
        <f>SUMPRODUCT('EE Measures'!CH$8:CH$86,'EE Measures'!$IF$8:$IF$86,'EE Measures'!$O$8:$O$86)+SUMPRODUCT('EE Measures'!EM$8:EM$86,'EE Measures'!$IF$8:$IF$86,'EE Measures'!$O$8:$O$86,'EE Measures'!$ED$8:$ED$86)</f>
        <v>40.775994333978161</v>
      </c>
      <c r="P358" s="593">
        <f>SUMPRODUCT('EE Measures'!CI$8:CI$86,'EE Measures'!$IF$8:$IF$86,'EE Measures'!$O$8:$O$86)+SUMPRODUCT('EE Measures'!EN$8:EN$86,'EE Measures'!$IF$8:$IF$86,'EE Measures'!$O$8:$O$86,'EE Measures'!$ED$8:$ED$86)</f>
        <v>44.474180444244865</v>
      </c>
      <c r="Q358" s="593">
        <f>SUMPRODUCT('EE Measures'!CJ$8:CJ$86,'EE Measures'!$IF$8:$IF$86,'EE Measures'!$O$8:$O$86)+SUMPRODUCT('EE Measures'!EO$8:EO$86,'EE Measures'!$IF$8:$IF$86,'EE Measures'!$O$8:$O$86,'EE Measures'!$ED$8:$ED$86)</f>
        <v>48.310784780436997</v>
      </c>
      <c r="R358" s="593">
        <f>SUMPRODUCT('EE Measures'!CK$8:CK$86,'EE Measures'!$IF$8:$IF$86,'EE Measures'!$O$8:$O$86)+SUMPRODUCT('EE Measures'!EP$8:EP$86,'EE Measures'!$IF$8:$IF$86,'EE Measures'!$O$8:$O$86,'EE Measures'!$ED$8:$ED$86)</f>
        <v>52.291358856881217</v>
      </c>
      <c r="S358" s="593">
        <f>SUMPRODUCT('EE Measures'!CL$8:CL$86,'EE Measures'!$IF$8:$IF$86,'EE Measures'!$O$8:$O$86)+SUMPRODUCT('EE Measures'!EQ$8:EQ$86,'EE Measures'!$IF$8:$IF$86,'EE Measures'!$O$8:$O$86,'EE Measures'!$ED$8:$ED$86)</f>
        <v>56.421682936203403</v>
      </c>
      <c r="T358" s="593">
        <f>SUMPRODUCT('EE Measures'!CM$8:CM$86,'EE Measures'!$IF$8:$IF$86,'EE Measures'!$O$8:$O$86)+SUMPRODUCT('EE Measures'!ER$8:ER$86,'EE Measures'!$IF$8:$IF$86,'EE Measures'!$O$8:$O$86,'EE Measures'!$ED$8:$ED$86)</f>
        <v>60.70777574444994</v>
      </c>
      <c r="U358" s="593">
        <f>SUMPRODUCT('EE Measures'!CN$8:CN$86,'EE Measures'!$IF$8:$IF$86,'EE Measures'!$O$8:$O$86)+SUMPRODUCT('EE Measures'!ES$8:ES$86,'EE Measures'!$IF$8:$IF$86,'EE Measures'!$O$8:$O$86,'EE Measures'!$ED$8:$ED$86)</f>
        <v>65.155904609252147</v>
      </c>
      <c r="V358" s="898">
        <f t="shared" si="1376"/>
        <v>515.66906225186074</v>
      </c>
      <c r="W358" s="563" t="str">
        <v>Lääne-Eesti</v>
      </c>
      <c r="X358" s="592">
        <f t="shared" ref="X358:X361" si="1379">SUM(Y358:AH358)</f>
        <v>166.26901301956923</v>
      </c>
      <c r="Y358" s="593">
        <f>SUMPRODUCT('EE Measures'!BZ$8:BZ$86,'EE Measures'!$IF$8:$IF$86,'EE Measures'!$Z$8:$Z$86)+SUMPRODUCT('EE Measures'!EE$8:EE$86,'EE Measures'!$IF$8:$IF$86,'EE Measures'!$Z$8:$Z$86,'EE Measures'!$ED$8:$ED$86)</f>
        <v>15.123018848308439</v>
      </c>
      <c r="Z358" s="593">
        <f>SUMPRODUCT('EE Measures'!CA$8:CA$86,'EE Measures'!$IF$8:$IF$86,'EE Measures'!$Z$8:$Z$86)+SUMPRODUCT('EE Measures'!EF$8:EF$86,'EE Measures'!$IF$8:$IF$86,'EE Measures'!$Z$8:$Z$86,'EE Measures'!$ED$8:$ED$86)</f>
        <v>15.843120350989276</v>
      </c>
      <c r="AA358" s="593">
        <f>SUMPRODUCT('EE Measures'!CB$8:CB$86,'EE Measures'!$IF$8:$IF$86,'EE Measures'!$Z$8:$Z$86)+SUMPRODUCT('EE Measures'!EG$8:EG$86,'EE Measures'!$IF$8:$IF$86,'EE Measures'!$Z$8:$Z$86,'EE Measures'!$ED$8:$ED$86)</f>
        <v>17.462822361110717</v>
      </c>
      <c r="AB358" s="593">
        <f>SUMPRODUCT('EE Measures'!CC$8:CC$86,'EE Measures'!$IF$8:$IF$86,'EE Measures'!$Z$8:$Z$86)+SUMPRODUCT('EE Measures'!EH$8:EH$86,'EE Measures'!$IF$8:$IF$86,'EE Measures'!$Z$8:$Z$86,'EE Measures'!$ED$8:$ED$86)</f>
        <v>10.380742211969292</v>
      </c>
      <c r="AC358" s="593">
        <f>SUMPRODUCT('EE Measures'!CD$8:CD$86,'EE Measures'!$IF$8:$IF$86,'EE Measures'!$Z$8:$Z$86)+SUMPRODUCT('EE Measures'!EI$8:EI$86,'EE Measures'!$IF$8:$IF$86,'EE Measures'!$Z$8:$Z$86,'EE Measures'!$ED$8:$ED$86)</f>
        <v>18.165339896337247</v>
      </c>
      <c r="AD358" s="593">
        <f>SUMPRODUCT('EE Measures'!CE$8:CE$86,'EE Measures'!$IF$8:$IF$86,'EE Measures'!$Z$8:$Z$86)+SUMPRODUCT('EE Measures'!EJ$8:EJ$86,'EE Measures'!$IF$8:$IF$86,'EE Measures'!$Z$8:$Z$86,'EE Measures'!$ED$8:$ED$86)</f>
        <v>18.75096240934954</v>
      </c>
      <c r="AE358" s="593">
        <f>SUMPRODUCT('EE Measures'!CF$8:CF$86,'EE Measures'!$IF$8:$IF$86,'EE Measures'!$Z$8:$Z$86)+SUMPRODUCT('EE Measures'!EK$8:EK$86,'EE Measures'!$IF$8:$IF$86,'EE Measures'!$Z$8:$Z$86,'EE Measures'!$ED$8:$ED$86)</f>
        <v>18.872351287010972</v>
      </c>
      <c r="AF358" s="593">
        <f>SUMPRODUCT('EE Measures'!CG$8:CG$86,'EE Measures'!$IF$8:$IF$86,'EE Measures'!$Z$8:$Z$86)+SUMPRODUCT('EE Measures'!EL$8:EL$86,'EE Measures'!$IF$8:$IF$86,'EE Measures'!$Z$8:$Z$86,'EE Measures'!$ED$8:$ED$86)</f>
        <v>16.556102186403773</v>
      </c>
      <c r="AG358" s="593">
        <f>SUMPRODUCT('EE Measures'!CH$8:CH$86,'EE Measures'!$IF$8:$IF$86,'EE Measures'!$Z$8:$Z$86)+SUMPRODUCT('EE Measures'!EM$8:EM$86,'EE Measures'!$IF$8:$IF$86,'EE Measures'!$Z$8:$Z$86,'EE Measures'!$ED$8:$ED$86)</f>
        <v>17.215420027269346</v>
      </c>
      <c r="AH358" s="593">
        <f>SUMPRODUCT('EE Measures'!CI$8:CI$86,'EE Measures'!$IF$8:$IF$86,'EE Measures'!$Z$8:$Z$86)+SUMPRODUCT('EE Measures'!EN$8:EN$86,'EE Measures'!$IF$8:$IF$86,'EE Measures'!$Z$8:$Z$86,'EE Measures'!$ED$8:$ED$86)</f>
        <v>17.899133440820624</v>
      </c>
      <c r="AI358" s="593">
        <f>SUMPRODUCT('EE Measures'!CJ$8:CJ$86,'EE Measures'!$IF$8:$IF$86,'EE Measures'!$Z$8:$Z$86)+SUMPRODUCT('EE Measures'!EO$8:EO$86,'EE Measures'!$IF$8:$IF$86,'EE Measures'!$Z$8:$Z$86,'EE Measures'!$ED$8:$ED$86)</f>
        <v>18.608133122280378</v>
      </c>
      <c r="AJ358" s="593">
        <f>SUMPRODUCT('EE Measures'!CK$8:CK$86,'EE Measures'!$IF$8:$IF$86,'EE Measures'!$Z$8:$Z$86)+SUMPRODUCT('EE Measures'!EP$8:EP$86,'EE Measures'!$IF$8:$IF$86,'EE Measures'!$Z$8:$Z$86,'EE Measures'!$ED$8:$ED$86)</f>
        <v>19.343346453296988</v>
      </c>
      <c r="AK358" s="593">
        <f>SUMPRODUCT('EE Measures'!CL$8:CL$86,'EE Measures'!$IF$8:$IF$86,'EE Measures'!$Z$8:$Z$86)+SUMPRODUCT('EE Measures'!EQ$8:EQ$86,'EE Measures'!$IF$8:$IF$86,'EE Measures'!$Z$8:$Z$86,'EE Measures'!$ED$8:$ED$86)</f>
        <v>20.105739016985172</v>
      </c>
      <c r="AL358" s="593">
        <f>SUMPRODUCT('EE Measures'!CM$8:CM$86,'EE Measures'!$IF$8:$IF$86,'EE Measures'!$Z$8:$Z$86)+SUMPRODUCT('EE Measures'!ER$8:ER$86,'EE Measures'!$IF$8:$IF$86,'EE Measures'!$Z$8:$Z$86,'EE Measures'!$ED$8:$ED$86)</f>
        <v>20.896316178484586</v>
      </c>
      <c r="AM358" s="593">
        <f>SUMPRODUCT('EE Measures'!CN$8:CN$86,'EE Measures'!$IF$8:$IF$86,'EE Measures'!$Z$8:$Z$86)+SUMPRODUCT('EE Measures'!ES$8:ES$86,'EE Measures'!$IF$8:$IF$86,'EE Measures'!$Z$8:$Z$86,'EE Measures'!$ED$8:$ED$86)</f>
        <v>21.716124733903378</v>
      </c>
      <c r="AN358" s="865">
        <f>X358/$X$356</f>
        <v>0.10470876657047119</v>
      </c>
    </row>
    <row r="359" spans="3:40" hidden="1" outlineLevel="1" x14ac:dyDescent="0.3">
      <c r="C359" s="587" t="str">
        <f t="shared" si="1377"/>
        <v>Baseline</v>
      </c>
      <c r="E359" s="563" t="s">
        <v>52</v>
      </c>
      <c r="F359" s="592">
        <f t="shared" si="1378"/>
        <v>299.5727533087346</v>
      </c>
      <c r="G359" s="593">
        <f>SUMPRODUCT('EE Measures'!BZ$8:BZ$86,'EE Measures'!$IF$8:$IF$86,'EE Measures'!$P$8:$P$86)+SUMPRODUCT('EE Measures'!EE$8:EE$86,'EE Measures'!$IF$8:$IF$86,'EE Measures'!$P$8:$P$86,'EE Measures'!$ED$8:$ED$86)</f>
        <v>61.751940894257316</v>
      </c>
      <c r="H359" s="593">
        <f>SUMPRODUCT('EE Measures'!CA$8:CA$86,'EE Measures'!$IF$8:$IF$86,'EE Measures'!$P$8:$P$86)+SUMPRODUCT('EE Measures'!EF$8:EF$86,'EE Measures'!$IF$8:$IF$86,'EE Measures'!$P$8:$P$86,'EE Measures'!$ED$8:$ED$86)</f>
        <v>69.4064763057047</v>
      </c>
      <c r="I359" s="593">
        <f>SUMPRODUCT('EE Measures'!CB$8:CB$86,'EE Measures'!$IF$8:$IF$86,'EE Measures'!$P$8:$P$86)+SUMPRODUCT('EE Measures'!EG$8:EG$86,'EE Measures'!$IF$8:$IF$86,'EE Measures'!$P$8:$P$86,'EE Measures'!$ED$8:$ED$86)</f>
        <v>28.498132624761407</v>
      </c>
      <c r="J359" s="593">
        <f>SUMPRODUCT('EE Measures'!CC$8:CC$86,'EE Measures'!$IF$8:$IF$86,'EE Measures'!$P$8:$P$86)+SUMPRODUCT('EE Measures'!EH$8:EH$86,'EE Measures'!$IF$8:$IF$86,'EE Measures'!$P$8:$P$86,'EE Measures'!$ED$8:$ED$86)</f>
        <v>15.868670692219206</v>
      </c>
      <c r="K359" s="593">
        <f>SUMPRODUCT('EE Measures'!CD$8:CD$86,'EE Measures'!$IF$8:$IF$86,'EE Measures'!$P$8:$P$86)+SUMPRODUCT('EE Measures'!EI$8:EI$86,'EE Measures'!$IF$8:$IF$86,'EE Measures'!$P$8:$P$86,'EE Measures'!$ED$8:$ED$86)</f>
        <v>16.96897700016066</v>
      </c>
      <c r="L359" s="593">
        <f>SUMPRODUCT('EE Measures'!CE$8:CE$86,'EE Measures'!$IF$8:$IF$86,'EE Measures'!$P$8:$P$86)+SUMPRODUCT('EE Measures'!EJ$8:EJ$86,'EE Measures'!$IF$8:$IF$86,'EE Measures'!$P$8:$P$86,'EE Measures'!$ED$8:$ED$86)</f>
        <v>18.375587544804944</v>
      </c>
      <c r="M359" s="593">
        <f>SUMPRODUCT('EE Measures'!CF$8:CF$86,'EE Measures'!$IF$8:$IF$86,'EE Measures'!$P$8:$P$86)+SUMPRODUCT('EE Measures'!EK$8:EK$86,'EE Measures'!$IF$8:$IF$86,'EE Measures'!$P$8:$P$86,'EE Measures'!$ED$8:$ED$86)</f>
        <v>19.838114472388611</v>
      </c>
      <c r="N359" s="593">
        <f>SUMPRODUCT('EE Measures'!CG$8:CG$86,'EE Measures'!$IF$8:$IF$86,'EE Measures'!$P$8:$P$86)+SUMPRODUCT('EE Measures'!EL$8:EL$86,'EE Measures'!$IF$8:$IF$86,'EE Measures'!$P$8:$P$86,'EE Measures'!$ED$8:$ED$86)</f>
        <v>21.357055869775394</v>
      </c>
      <c r="O359" s="593">
        <f>SUMPRODUCT('EE Measures'!CH$8:CH$86,'EE Measures'!$IF$8:$IF$86,'EE Measures'!$P$8:$P$86)+SUMPRODUCT('EE Measures'!EM$8:EM$86,'EE Measures'!$IF$8:$IF$86,'EE Measures'!$P$8:$P$86,'EE Measures'!$ED$8:$ED$86)</f>
        <v>22.934634598726291</v>
      </c>
      <c r="P359" s="593">
        <f>SUMPRODUCT('EE Measures'!CI$8:CI$86,'EE Measures'!$IF$8:$IF$86,'EE Measures'!$P$8:$P$86)+SUMPRODUCT('EE Measures'!EN$8:EN$86,'EE Measures'!$IF$8:$IF$86,'EE Measures'!$P$8:$P$86,'EE Measures'!$ED$8:$ED$86)</f>
        <v>24.573163305936049</v>
      </c>
      <c r="Q359" s="593">
        <f>SUMPRODUCT('EE Measures'!CJ$8:CJ$86,'EE Measures'!$IF$8:$IF$86,'EE Measures'!$P$8:$P$86)+SUMPRODUCT('EE Measures'!EO$8:EO$86,'EE Measures'!$IF$8:$IF$86,'EE Measures'!$P$8:$P$86,'EE Measures'!$ED$8:$ED$86)</f>
        <v>26.275048121272238</v>
      </c>
      <c r="R359" s="593">
        <f>SUMPRODUCT('EE Measures'!CK$8:CK$86,'EE Measures'!$IF$8:$IF$86,'EE Measures'!$P$8:$P$86)+SUMPRODUCT('EE Measures'!EP$8:EP$86,'EE Measures'!$IF$8:$IF$86,'EE Measures'!$P$8:$P$86,'EE Measures'!$ED$8:$ED$86)</f>
        <v>28.042792512090095</v>
      </c>
      <c r="S359" s="593">
        <f>SUMPRODUCT('EE Measures'!CL$8:CL$86,'EE Measures'!$IF$8:$IF$86,'EE Measures'!$P$8:$P$86)+SUMPRODUCT('EE Measures'!EQ$8:EQ$86,'EE Measures'!$IF$8:$IF$86,'EE Measures'!$P$8:$P$86,'EE Measures'!$ED$8:$ED$86)</f>
        <v>29.879001300329843</v>
      </c>
      <c r="T359" s="593">
        <f>SUMPRODUCT('EE Measures'!CM$8:CM$86,'EE Measures'!$IF$8:$IF$86,'EE Measures'!$P$8:$P$86)+SUMPRODUCT('EE Measures'!ER$8:ER$86,'EE Measures'!$IF$8:$IF$86,'EE Measures'!$P$8:$P$86,'EE Measures'!$ED$8:$ED$86)</f>
        <v>31.786384849396661</v>
      </c>
      <c r="U359" s="593">
        <f>SUMPRODUCT('EE Measures'!CN$8:CN$86,'EE Measures'!$IF$8:$IF$86,'EE Measures'!$P$8:$P$86)+SUMPRODUCT('EE Measures'!ES$8:ES$86,'EE Measures'!$IF$8:$IF$86,'EE Measures'!$P$8:$P$86,'EE Measures'!$ED$8:$ED$86)</f>
        <v>33.767763428130074</v>
      </c>
      <c r="V359" s="898">
        <f t="shared" si="1376"/>
        <v>289.66719369523008</v>
      </c>
      <c r="W359" s="563" t="str">
        <v>Kirde-Eesti</v>
      </c>
      <c r="X359" s="592">
        <f t="shared" si="1379"/>
        <v>150.5776291570667</v>
      </c>
      <c r="Y359" s="593">
        <f>SUMPRODUCT('EE Measures'!BZ$8:BZ$86,'EE Measures'!$IF$8:$IF$86,'EE Measures'!$AA$8:$AA$86)+SUMPRODUCT('EE Measures'!EE$8:EE$86,'EE Measures'!$IF$8:$IF$86,'EE Measures'!$AA$8:$AA$86,'EE Measures'!$ED$8:$ED$86)</f>
        <v>18.58273775673165</v>
      </c>
      <c r="Z359" s="593">
        <f>SUMPRODUCT('EE Measures'!CA$8:CA$86,'EE Measures'!$IF$8:$IF$86,'EE Measures'!$AA$8:$AA$86)+SUMPRODUCT('EE Measures'!EF$8:EF$86,'EE Measures'!$IF$8:$IF$86,'EE Measures'!$AA$8:$AA$86,'EE Measures'!$ED$8:$ED$86)</f>
        <v>13.240966099879669</v>
      </c>
      <c r="AA359" s="593">
        <f>SUMPRODUCT('EE Measures'!CB$8:CB$86,'EE Measures'!$IF$8:$IF$86,'EE Measures'!$AA$8:$AA$86)+SUMPRODUCT('EE Measures'!EG$8:EG$86,'EE Measures'!$IF$8:$IF$86,'EE Measures'!$AA$8:$AA$86,'EE Measures'!$ED$8:$ED$86)</f>
        <v>9.9425443947429599</v>
      </c>
      <c r="AB359" s="593">
        <f>SUMPRODUCT('EE Measures'!CC$8:CC$86,'EE Measures'!$IF$8:$IF$86,'EE Measures'!$AA$8:$AA$86)+SUMPRODUCT('EE Measures'!EH$8:EH$86,'EE Measures'!$IF$8:$IF$86,'EE Measures'!$AA$8:$AA$86,'EE Measures'!$ED$8:$ED$86)</f>
        <v>8.9786384953400127</v>
      </c>
      <c r="AC359" s="593">
        <f>SUMPRODUCT('EE Measures'!CD$8:CD$86,'EE Measures'!$IF$8:$IF$86,'EE Measures'!$AA$8:$AA$86)+SUMPRODUCT('EE Measures'!EI$8:EI$86,'EE Measures'!$IF$8:$IF$86,'EE Measures'!$AA$8:$AA$86,'EE Measures'!$ED$8:$ED$86)</f>
        <v>18.046890142184939</v>
      </c>
      <c r="AD359" s="593">
        <f>SUMPRODUCT('EE Measures'!CE$8:CE$86,'EE Measures'!$IF$8:$IF$86,'EE Measures'!$AA$8:$AA$86)+SUMPRODUCT('EE Measures'!EJ$8:EJ$86,'EE Measures'!$IF$8:$IF$86,'EE Measures'!$AA$8:$AA$86,'EE Measures'!$ED$8:$ED$86)</f>
        <v>18.549474897565471</v>
      </c>
      <c r="AE359" s="593">
        <f>SUMPRODUCT('EE Measures'!CF$8:CF$86,'EE Measures'!$IF$8:$IF$86,'EE Measures'!$AA$8:$AA$86)+SUMPRODUCT('EE Measures'!EK$8:EK$86,'EE Measures'!$IF$8:$IF$86,'EE Measures'!$AA$8:$AA$86,'EE Measures'!$ED$8:$ED$86)</f>
        <v>18.329497466762856</v>
      </c>
      <c r="AF359" s="593">
        <f>SUMPRODUCT('EE Measures'!CG$8:CG$86,'EE Measures'!$IF$8:$IF$86,'EE Measures'!$AA$8:$AA$86)+SUMPRODUCT('EE Measures'!EL$8:EL$86,'EE Measures'!$IF$8:$IF$86,'EE Measures'!$AA$8:$AA$86,'EE Measures'!$ED$8:$ED$86)</f>
        <v>14.396392310849073</v>
      </c>
      <c r="AG359" s="593">
        <f>SUMPRODUCT('EE Measures'!CH$8:CH$86,'EE Measures'!$IF$8:$IF$86,'EE Measures'!$AA$8:$AA$86)+SUMPRODUCT('EE Measures'!EM$8:EM$86,'EE Measures'!$IF$8:$IF$86,'EE Measures'!$AA$8:$AA$86,'EE Measures'!$ED$8:$ED$86)</f>
        <v>14.96197222557376</v>
      </c>
      <c r="AH359" s="593">
        <f>SUMPRODUCT('EE Measures'!CI$8:CI$86,'EE Measures'!$IF$8:$IF$86,'EE Measures'!$AA$8:$AA$86)+SUMPRODUCT('EE Measures'!EN$8:EN$86,'EE Measures'!$IF$8:$IF$86,'EE Measures'!$AA$8:$AA$86,'EE Measures'!$ED$8:$ED$86)</f>
        <v>15.548515367436289</v>
      </c>
      <c r="AI359" s="593">
        <f>SUMPRODUCT('EE Measures'!CJ$8:CJ$86,'EE Measures'!$IF$8:$IF$86,'EE Measures'!$AA$8:$AA$86)+SUMPRODUCT('EE Measures'!EO$8:EO$86,'EE Measures'!$IF$8:$IF$86,'EE Measures'!$AA$8:$AA$86,'EE Measures'!$ED$8:$ED$86)</f>
        <v>16.156787270440812</v>
      </c>
      <c r="AJ359" s="593">
        <f>SUMPRODUCT('EE Measures'!CK$8:CK$86,'EE Measures'!$IF$8:$IF$86,'EE Measures'!$AA$8:$AA$86)+SUMPRODUCT('EE Measures'!EP$8:EP$86,'EE Measures'!$IF$8:$IF$86,'EE Measures'!$AA$8:$AA$86,'EE Measures'!$ED$8:$ED$86)</f>
        <v>16.787584875631381</v>
      </c>
      <c r="AK359" s="593">
        <f>SUMPRODUCT('EE Measures'!CL$8:CL$86,'EE Measures'!$IF$8:$IF$86,'EE Measures'!$AA$8:$AA$86)+SUMPRODUCT('EE Measures'!EQ$8:EQ$86,'EE Measures'!$IF$8:$IF$86,'EE Measures'!$AA$8:$AA$86,'EE Measures'!$ED$8:$ED$86)</f>
        <v>17.441737822777977</v>
      </c>
      <c r="AL359" s="593">
        <f>SUMPRODUCT('EE Measures'!CM$8:CM$86,'EE Measures'!$IF$8:$IF$86,'EE Measures'!$AA$8:$AA$86)+SUMPRODUCT('EE Measures'!ER$8:ER$86,'EE Measures'!$IF$8:$IF$86,'EE Measures'!$AA$8:$AA$86,'EE Measures'!$ED$8:$ED$86)</f>
        <v>18.120109797635095</v>
      </c>
      <c r="AM359" s="593">
        <f>SUMPRODUCT('EE Measures'!CN$8:CN$86,'EE Measures'!$IF$8:$IF$86,'EE Measures'!$AA$8:$AA$86)+SUMPRODUCT('EE Measures'!ES$8:ES$86,'EE Measures'!$IF$8:$IF$86,'EE Measures'!$AA$8:$AA$86,'EE Measures'!$ED$8:$ED$86)</f>
        <v>18.823599937192867</v>
      </c>
      <c r="AN359" s="865">
        <f>X359/$X$356</f>
        <v>9.482703683509916E-2</v>
      </c>
    </row>
    <row r="360" spans="3:40" hidden="1" outlineLevel="1" x14ac:dyDescent="0.3">
      <c r="C360" s="587" t="str">
        <f t="shared" si="1377"/>
        <v>Baseline</v>
      </c>
      <c r="E360" s="563" t="s">
        <v>53</v>
      </c>
      <c r="F360" s="592">
        <f t="shared" si="1378"/>
        <v>489.38706582745692</v>
      </c>
      <c r="G360" s="593">
        <f>SUMPRODUCT('EE Measures'!BZ$8:BZ$86,'EE Measures'!$IF$8:$IF$86,'EE Measures'!$Q$8:$Q$86)+SUMPRODUCT('EE Measures'!EE$8:EE$86,'EE Measures'!$IF$8:$IF$86,'EE Measures'!$Q$8:$Q$86,'EE Measures'!$ED$8:$ED$86)</f>
        <v>3.0471168661638646</v>
      </c>
      <c r="H360" s="593">
        <f>SUMPRODUCT('EE Measures'!CA$8:CA$86,'EE Measures'!$IF$8:$IF$86,'EE Measures'!$Q$8:$Q$86)+SUMPRODUCT('EE Measures'!EF$8:EF$86,'EE Measures'!$IF$8:$IF$86,'EE Measures'!$Q$8:$Q$86,'EE Measures'!$ED$8:$ED$86)</f>
        <v>2.316714196121739</v>
      </c>
      <c r="I360" s="593">
        <f>SUMPRODUCT('EE Measures'!CB$8:CB$86,'EE Measures'!$IF$8:$IF$86,'EE Measures'!$Q$8:$Q$86)+SUMPRODUCT('EE Measures'!EG$8:EG$86,'EE Measures'!$IF$8:$IF$86,'EE Measures'!$Q$8:$Q$86,'EE Measures'!$ED$8:$ED$86)</f>
        <v>10.33749199717462</v>
      </c>
      <c r="J360" s="593">
        <f>SUMPRODUCT('EE Measures'!CC$8:CC$86,'EE Measures'!$IF$8:$IF$86,'EE Measures'!$Q$8:$Q$86)+SUMPRODUCT('EE Measures'!EH$8:EH$86,'EE Measures'!$IF$8:$IF$86,'EE Measures'!$Q$8:$Q$86,'EE Measures'!$ED$8:$ED$86)</f>
        <v>47.304375359300238</v>
      </c>
      <c r="K360" s="593">
        <f>SUMPRODUCT('EE Measures'!CD$8:CD$86,'EE Measures'!$IF$8:$IF$86,'EE Measures'!$Q$8:$Q$86)+SUMPRODUCT('EE Measures'!EI$8:EI$86,'EE Measures'!$IF$8:$IF$86,'EE Measures'!$Q$8:$Q$86,'EE Measures'!$ED$8:$ED$86)</f>
        <v>69.915450783631783</v>
      </c>
      <c r="L360" s="593">
        <f>SUMPRODUCT('EE Measures'!CE$8:CE$86,'EE Measures'!$IF$8:$IF$86,'EE Measures'!$Q$8:$Q$86)+SUMPRODUCT('EE Measures'!EJ$8:EJ$86,'EE Measures'!$IF$8:$IF$86,'EE Measures'!$Q$8:$Q$86,'EE Measures'!$ED$8:$ED$86)</f>
        <v>70.380571364320204</v>
      </c>
      <c r="M360" s="593">
        <f>SUMPRODUCT('EE Measures'!CF$8:CF$86,'EE Measures'!$IF$8:$IF$86,'EE Measures'!$Q$8:$Q$86)+SUMPRODUCT('EE Measures'!EK$8:EK$86,'EE Measures'!$IF$8:$IF$86,'EE Measures'!$Q$8:$Q$86,'EE Measures'!$ED$8:$ED$86)</f>
        <v>70.868169582129198</v>
      </c>
      <c r="N360" s="593">
        <f>SUMPRODUCT('EE Measures'!CG$8:CG$86,'EE Measures'!$IF$8:$IF$86,'EE Measures'!$Q$8:$Q$86)+SUMPRODUCT('EE Measures'!EL$8:EL$86,'EE Measures'!$IF$8:$IF$86,'EE Measures'!$Q$8:$Q$86,'EE Measures'!$ED$8:$ED$86)</f>
        <v>71.181477789047747</v>
      </c>
      <c r="O360" s="593">
        <f>SUMPRODUCT('EE Measures'!CH$8:CH$86,'EE Measures'!$IF$8:$IF$86,'EE Measures'!$Q$8:$Q$86)+SUMPRODUCT('EE Measures'!EM$8:EM$86,'EE Measures'!$IF$8:$IF$86,'EE Measures'!$Q$8:$Q$86,'EE Measures'!$ED$8:$ED$86)</f>
        <v>71.73296099619823</v>
      </c>
      <c r="P360" s="593">
        <f>SUMPRODUCT('EE Measures'!CI$8:CI$86,'EE Measures'!$IF$8:$IF$86,'EE Measures'!$Q$8:$Q$86)+SUMPRODUCT('EE Measures'!EN$8:EN$86,'EE Measures'!$IF$8:$IF$86,'EE Measures'!$Q$8:$Q$86,'EE Measures'!$ED$8:$ED$86)</f>
        <v>72.3027368933693</v>
      </c>
      <c r="Q360" s="593">
        <f>SUMPRODUCT('EE Measures'!CJ$8:CJ$86,'EE Measures'!$IF$8:$IF$86,'EE Measures'!$Q$8:$Q$86)+SUMPRODUCT('EE Measures'!EO$8:EO$86,'EE Measures'!$IF$8:$IF$86,'EE Measures'!$Q$8:$Q$86,'EE Measures'!$ED$8:$ED$86)</f>
        <v>72.890930151982886</v>
      </c>
      <c r="R360" s="593">
        <f>SUMPRODUCT('EE Measures'!CK$8:CK$86,'EE Measures'!$IF$8:$IF$86,'EE Measures'!$Q$8:$Q$86)+SUMPRODUCT('EE Measures'!EP$8:EP$86,'EE Measures'!$IF$8:$IF$86,'EE Measures'!$Q$8:$Q$86,'EE Measures'!$ED$8:$ED$86)</f>
        <v>73.497672506031435</v>
      </c>
      <c r="S360" s="593">
        <f>SUMPRODUCT('EE Measures'!CL$8:CL$86,'EE Measures'!$IF$8:$IF$86,'EE Measures'!$Q$8:$Q$86)+SUMPRODUCT('EE Measures'!EQ$8:EQ$86,'EE Measures'!$IF$8:$IF$86,'EE Measures'!$Q$8:$Q$86,'EE Measures'!$ED$8:$ED$86)</f>
        <v>74.123102837895487</v>
      </c>
      <c r="T360" s="593">
        <f>SUMPRODUCT('EE Measures'!CM$8:CM$86,'EE Measures'!$IF$8:$IF$86,'EE Measures'!$Q$8:$Q$86)+SUMPRODUCT('EE Measures'!ER$8:ER$86,'EE Measures'!$IF$8:$IF$86,'EE Measures'!$Q$8:$Q$86,'EE Measures'!$ED$8:$ED$86)</f>
        <v>74.767367269164737</v>
      </c>
      <c r="U360" s="593">
        <f>SUMPRODUCT('EE Measures'!CN$8:CN$86,'EE Measures'!$IF$8:$IF$86,'EE Measures'!$Q$8:$Q$86)+SUMPRODUCT('EE Measures'!ES$8:ES$86,'EE Measures'!$IF$8:$IF$86,'EE Measures'!$Q$8:$Q$86,'EE Measures'!$ED$8:$ED$86)</f>
        <v>75.430619256590589</v>
      </c>
      <c r="V360" s="898">
        <f t="shared" si="1376"/>
        <v>844.39543478966198</v>
      </c>
      <c r="W360" s="563" t="str">
        <v>Lõuna-Eesti </v>
      </c>
      <c r="X360" s="592">
        <f t="shared" si="1379"/>
        <v>373.82658511240567</v>
      </c>
      <c r="Y360" s="593">
        <f>SUMPRODUCT('EE Measures'!BZ$8:BZ$86,'EE Measures'!$IF$8:$IF$86,'EE Measures'!$AB$8:$AB$86)+SUMPRODUCT('EE Measures'!EE$8:EE$86,'EE Measures'!$IF$8:$IF$86,'EE Measures'!$AB$8:$AB$86,'EE Measures'!$ED$8:$ED$86)</f>
        <v>34.858443547976044</v>
      </c>
      <c r="Z360" s="593">
        <f>SUMPRODUCT('EE Measures'!CA$8:CA$86,'EE Measures'!$IF$8:$IF$86,'EE Measures'!$AB$8:$AB$86)+SUMPRODUCT('EE Measures'!EF$8:EF$86,'EE Measures'!$IF$8:$IF$86,'EE Measures'!$AB$8:$AB$86,'EE Measures'!$ED$8:$ED$86)</f>
        <v>33.937332397251936</v>
      </c>
      <c r="AA360" s="593">
        <f>SUMPRODUCT('EE Measures'!CB$8:CB$86,'EE Measures'!$IF$8:$IF$86,'EE Measures'!$AB$8:$AB$86)+SUMPRODUCT('EE Measures'!EG$8:EG$86,'EE Measures'!$IF$8:$IF$86,'EE Measures'!$AB$8:$AB$86,'EE Measures'!$ED$8:$ED$86)</f>
        <v>34.924355380657438</v>
      </c>
      <c r="AB360" s="593">
        <f>SUMPRODUCT('EE Measures'!CC$8:CC$86,'EE Measures'!$IF$8:$IF$86,'EE Measures'!$AB$8:$AB$86)+SUMPRODUCT('EE Measures'!EH$8:EH$86,'EE Measures'!$IF$8:$IF$86,'EE Measures'!$AB$8:$AB$86,'EE Measures'!$ED$8:$ED$86)</f>
        <v>23.777643563368411</v>
      </c>
      <c r="AC360" s="593">
        <f>SUMPRODUCT('EE Measures'!CD$8:CD$86,'EE Measures'!$IF$8:$IF$86,'EE Measures'!$AB$8:$AB$86)+SUMPRODUCT('EE Measures'!EI$8:EI$86,'EE Measures'!$IF$8:$IF$86,'EE Measures'!$AB$8:$AB$86,'EE Measures'!$ED$8:$ED$86)</f>
        <v>41.574290632133113</v>
      </c>
      <c r="AD360" s="593">
        <f>SUMPRODUCT('EE Measures'!CE$8:CE$86,'EE Measures'!$IF$8:$IF$86,'EE Measures'!$AB$8:$AB$86)+SUMPRODUCT('EE Measures'!EJ$8:EJ$86,'EE Measures'!$IF$8:$IF$86,'EE Measures'!$AB$8:$AB$86,'EE Measures'!$ED$8:$ED$86)</f>
        <v>42.974364593996619</v>
      </c>
      <c r="AE360" s="593">
        <f>SUMPRODUCT('EE Measures'!CF$8:CF$86,'EE Measures'!$IF$8:$IF$86,'EE Measures'!$AB$8:$AB$86)+SUMPRODUCT('EE Measures'!EK$8:EK$86,'EE Measures'!$IF$8:$IF$86,'EE Measures'!$AB$8:$AB$86,'EE Measures'!$ED$8:$ED$86)</f>
        <v>43.288771606517074</v>
      </c>
      <c r="AF360" s="593">
        <f>SUMPRODUCT('EE Measures'!CG$8:CG$86,'EE Measures'!$IF$8:$IF$86,'EE Measures'!$AB$8:$AB$86)+SUMPRODUCT('EE Measures'!EL$8:EL$86,'EE Measures'!$IF$8:$IF$86,'EE Measures'!$AB$8:$AB$86,'EE Measures'!$ED$8:$ED$86)</f>
        <v>37.901898949902652</v>
      </c>
      <c r="AG360" s="593">
        <f>SUMPRODUCT('EE Measures'!CH$8:CH$86,'EE Measures'!$IF$8:$IF$86,'EE Measures'!$AB$8:$AB$86)+SUMPRODUCT('EE Measures'!EM$8:EM$86,'EE Measures'!$IF$8:$IF$86,'EE Measures'!$AB$8:$AB$86,'EE Measures'!$ED$8:$ED$86)</f>
        <v>39.477581647465477</v>
      </c>
      <c r="AH360" s="593">
        <f>SUMPRODUCT('EE Measures'!CI$8:CI$86,'EE Measures'!$IF$8:$IF$86,'EE Measures'!$AB$8:$AB$86)+SUMPRODUCT('EE Measures'!EN$8:EN$86,'EE Measures'!$IF$8:$IF$86,'EE Measures'!$AB$8:$AB$86,'EE Measures'!$ED$8:$ED$86)</f>
        <v>41.111902793136899</v>
      </c>
      <c r="AI360" s="593">
        <f>SUMPRODUCT('EE Measures'!CJ$8:CJ$86,'EE Measures'!$IF$8:$IF$86,'EE Measures'!$AB$8:$AB$86)+SUMPRODUCT('EE Measures'!EO$8:EO$86,'EE Measures'!$IF$8:$IF$86,'EE Measures'!$AB$8:$AB$86,'EE Measures'!$ED$8:$ED$86)</f>
        <v>42.807020999689414</v>
      </c>
      <c r="AJ360" s="593">
        <f>SUMPRODUCT('EE Measures'!CK$8:CK$86,'EE Measures'!$IF$8:$IF$86,'EE Measures'!$AB$8:$AB$86)+SUMPRODUCT('EE Measures'!EP$8:EP$86,'EE Measures'!$IF$8:$IF$86,'EE Measures'!$AB$8:$AB$86,'EE Measures'!$ED$8:$ED$86)</f>
        <v>44.565183522287306</v>
      </c>
      <c r="AK360" s="593">
        <f>SUMPRODUCT('EE Measures'!CL$8:CL$86,'EE Measures'!$IF$8:$IF$86,'EE Measures'!$AB$8:$AB$86)+SUMPRODUCT('EE Measures'!EQ$8:EQ$86,'EE Measures'!$IF$8:$IF$86,'EE Measures'!$AB$8:$AB$86,'EE Measures'!$ED$8:$ED$86)</f>
        <v>46.388729913954741</v>
      </c>
      <c r="AL360" s="593">
        <f>SUMPRODUCT('EE Measures'!CM$8:CM$86,'EE Measures'!$IF$8:$IF$86,'EE Measures'!$AB$8:$AB$86)+SUMPRODUCT('EE Measures'!ER$8:ER$86,'EE Measures'!$IF$8:$IF$86,'EE Measures'!$AB$8:$AB$86,'EE Measures'!$ED$8:$ED$86)</f>
        <v>48.280095838486908</v>
      </c>
      <c r="AM360" s="593">
        <f>SUMPRODUCT('EE Measures'!CN$8:CN$86,'EE Measures'!$IF$8:$IF$86,'EE Measures'!$AB$8:$AB$86)+SUMPRODUCT('EE Measures'!ES$8:ES$86,'EE Measures'!$IF$8:$IF$86,'EE Measures'!$AB$8:$AB$86,'EE Measures'!$ED$8:$ED$86)</f>
        <v>50.241817047671283</v>
      </c>
      <c r="AN360" s="865">
        <f>X360/$X$356</f>
        <v>0.23541921568851976</v>
      </c>
    </row>
    <row r="361" spans="3:40" hidden="1" outlineLevel="1" x14ac:dyDescent="0.3">
      <c r="C361" s="587" t="str">
        <f t="shared" si="1377"/>
        <v>Baseline</v>
      </c>
      <c r="E361" s="563" t="s">
        <v>54</v>
      </c>
      <c r="F361" s="592">
        <f t="shared" si="1378"/>
        <v>46.022564454805654</v>
      </c>
      <c r="G361" s="593">
        <f>SUMPRODUCT('EE Measures'!BZ$8:BZ$86,'EE Measures'!$IF$8:$IF$86,'EE Measures'!$R$8:$R$86)+SUMPRODUCT('EE Measures'!EE$8:EE$86,'EE Measures'!$IF$8:$IF$86,'EE Measures'!$R$8:$R$86,'EE Measures'!$ED$8:$ED$86)</f>
        <v>0.19824537138156786</v>
      </c>
      <c r="H361" s="593">
        <f>SUMPRODUCT('EE Measures'!CA$8:CA$86,'EE Measures'!$IF$8:$IF$86,'EE Measures'!$R$8:$R$86)+SUMPRODUCT('EE Measures'!EF$8:EF$86,'EE Measures'!$IF$8:$IF$86,'EE Measures'!$R$8:$R$86,'EE Measures'!$ED$8:$ED$86)</f>
        <v>0.22216844741811145</v>
      </c>
      <c r="I361" s="593">
        <f>SUMPRODUCT('EE Measures'!CB$8:CB$86,'EE Measures'!$IF$8:$IF$86,'EE Measures'!$R$8:$R$86)+SUMPRODUCT('EE Measures'!EG$8:EG$86,'EE Measures'!$IF$8:$IF$86,'EE Measures'!$R$8:$R$86,'EE Measures'!$ED$8:$ED$86)</f>
        <v>0.24739223196539509</v>
      </c>
      <c r="J361" s="593">
        <f>SUMPRODUCT('EE Measures'!CC$8:CC$86,'EE Measures'!$IF$8:$IF$86,'EE Measures'!$R$8:$R$86)+SUMPRODUCT('EE Measures'!EH$8:EH$86,'EE Measures'!$IF$8:$IF$86,'EE Measures'!$R$8:$R$86,'EE Measures'!$ED$8:$ED$86)</f>
        <v>4.4688409949200949</v>
      </c>
      <c r="K361" s="593">
        <f>SUMPRODUCT('EE Measures'!CD$8:CD$86,'EE Measures'!$IF$8:$IF$86,'EE Measures'!$R$8:$R$86)+SUMPRODUCT('EE Measures'!EI$8:EI$86,'EE Measures'!$IF$8:$IF$86,'EE Measures'!$R$8:$R$86,'EE Measures'!$ED$8:$ED$86)</f>
        <v>6.613146358568093</v>
      </c>
      <c r="L361" s="593">
        <f>SUMPRODUCT('EE Measures'!CE$8:CE$86,'EE Measures'!$IF$8:$IF$86,'EE Measures'!$R$8:$R$86)+SUMPRODUCT('EE Measures'!EJ$8:EJ$86,'EE Measures'!$IF$8:$IF$86,'EE Measures'!$R$8:$R$86,'EE Measures'!$ED$8:$ED$86)</f>
        <v>6.6884502401727692</v>
      </c>
      <c r="M361" s="593">
        <f>SUMPRODUCT('EE Measures'!CF$8:CF$86,'EE Measures'!$IF$8:$IF$86,'EE Measures'!$R$8:$R$86)+SUMPRODUCT('EE Measures'!EK$8:EK$86,'EE Measures'!$IF$8:$IF$86,'EE Measures'!$R$8:$R$86,'EE Measures'!$ED$8:$ED$86)</f>
        <v>6.7670402858190855</v>
      </c>
      <c r="N361" s="593">
        <f>SUMPRODUCT('EE Measures'!CG$8:CG$86,'EE Measures'!$IF$8:$IF$86,'EE Measures'!$R$8:$R$86)+SUMPRODUCT('EE Measures'!EL$8:EL$86,'EE Measures'!$IF$8:$IF$86,'EE Measures'!$R$8:$R$86,'EE Measures'!$ED$8:$ED$86)</f>
        <v>6.850997732447583</v>
      </c>
      <c r="O361" s="593">
        <f>SUMPRODUCT('EE Measures'!CH$8:CH$86,'EE Measures'!$IF$8:$IF$86,'EE Measures'!$R$8:$R$86)+SUMPRODUCT('EE Measures'!EM$8:EM$86,'EE Measures'!$IF$8:$IF$86,'EE Measures'!$R$8:$R$86,'EE Measures'!$ED$8:$ED$86)</f>
        <v>6.9380416143089834</v>
      </c>
      <c r="P361" s="593">
        <f>SUMPRODUCT('EE Measures'!CI$8:CI$86,'EE Measures'!$IF$8:$IF$86,'EE Measures'!$R$8:$R$86)+SUMPRODUCT('EE Measures'!EN$8:EN$86,'EE Measures'!$IF$8:$IF$86,'EE Measures'!$R$8:$R$86,'EE Measures'!$ED$8:$ED$86)</f>
        <v>7.028241177803972</v>
      </c>
      <c r="Q361" s="593">
        <f>SUMPRODUCT('EE Measures'!CJ$8:CJ$86,'EE Measures'!$IF$8:$IF$86,'EE Measures'!$R$8:$R$86)+SUMPRODUCT('EE Measures'!EO$8:EO$86,'EE Measures'!$IF$8:$IF$86,'EE Measures'!$R$8:$R$86,'EE Measures'!$ED$8:$ED$86)</f>
        <v>7.1216685945425162</v>
      </c>
      <c r="R361" s="593">
        <f>SUMPRODUCT('EE Measures'!CK$8:CK$86,'EE Measures'!$IF$8:$IF$86,'EE Measures'!$R$8:$R$86)+SUMPRODUCT('EE Measures'!EP$8:EP$86,'EE Measures'!$IF$8:$IF$86,'EE Measures'!$R$8:$R$86,'EE Measures'!$ED$8:$ED$86)</f>
        <v>7.2183990603443124</v>
      </c>
      <c r="S361" s="593">
        <f>SUMPRODUCT('EE Measures'!CL$8:CL$86,'EE Measures'!$IF$8:$IF$86,'EE Measures'!$R$8:$R$86)+SUMPRODUCT('EE Measures'!EQ$8:EQ$86,'EE Measures'!$IF$8:$IF$86,'EE Measures'!$R$8:$R$86,'EE Measures'!$ED$8:$ED$86)</f>
        <v>7.3185108983627574</v>
      </c>
      <c r="T361" s="593">
        <f>SUMPRODUCT('EE Measures'!CM$8:CM$86,'EE Measures'!$IF$8:$IF$86,'EE Measures'!$R$8:$R$86)+SUMPRODUCT('EE Measures'!ER$8:ER$86,'EE Measures'!$IF$8:$IF$86,'EE Measures'!$R$8:$R$86,'EE Measures'!$ED$8:$ED$86)</f>
        <v>7.4220856664942518</v>
      </c>
      <c r="U361" s="593">
        <f>SUMPRODUCT('EE Measures'!CN$8:CN$86,'EE Measures'!$IF$8:$IF$86,'EE Measures'!$R$8:$R$86)+SUMPRODUCT('EE Measures'!ES$8:ES$86,'EE Measures'!$IF$8:$IF$86,'EE Measures'!$R$8:$R$86,'EE Measures'!$ED$8:$ED$86)</f>
        <v>7.5292082692412787</v>
      </c>
      <c r="V361" s="898">
        <f t="shared" si="1376"/>
        <v>81.964630893025699</v>
      </c>
      <c r="W361" s="563" t="str">
        <v>Kesk-Eesti</v>
      </c>
      <c r="X361" s="592">
        <f t="shared" si="1379"/>
        <v>157.79697995653868</v>
      </c>
      <c r="Y361" s="593">
        <f>SUMPRODUCT('EE Measures'!BZ$8:BZ$86,'EE Measures'!$IF$8:$IF$86,'EE Measures'!$AC$8:$AC$86)+SUMPRODUCT('EE Measures'!EE$8:EE$86,'EE Measures'!$IF$8:$IF$86,'EE Measures'!$AC$8:$AC$86,'EE Measures'!$ED$8:$ED$86)</f>
        <v>14.794577116016256</v>
      </c>
      <c r="Z361" s="593">
        <f>SUMPRODUCT('EE Measures'!CA$8:CA$86,'EE Measures'!$IF$8:$IF$86,'EE Measures'!$AC$8:$AC$86)+SUMPRODUCT('EE Measures'!EF$8:EF$86,'EE Measures'!$IF$8:$IF$86,'EE Measures'!$AC$8:$AC$86,'EE Measures'!$ED$8:$ED$86)</f>
        <v>14.430196179377814</v>
      </c>
      <c r="AA361" s="593">
        <f>SUMPRODUCT('EE Measures'!CB$8:CB$86,'EE Measures'!$IF$8:$IF$86,'EE Measures'!$AC$8:$AC$86)+SUMPRODUCT('EE Measures'!EG$8:EG$86,'EE Measures'!$IF$8:$IF$86,'EE Measures'!$AC$8:$AC$86,'EE Measures'!$ED$8:$ED$86)</f>
        <v>15.492298353736437</v>
      </c>
      <c r="AB361" s="593">
        <f>SUMPRODUCT('EE Measures'!CC$8:CC$86,'EE Measures'!$IF$8:$IF$86,'EE Measures'!$AC$8:$AC$86)+SUMPRODUCT('EE Measures'!EH$8:EH$86,'EE Measures'!$IF$8:$IF$86,'EE Measures'!$AC$8:$AC$86,'EE Measures'!$ED$8:$ED$86)</f>
        <v>9.8592493983170382</v>
      </c>
      <c r="AC361" s="593">
        <f>SUMPRODUCT('EE Measures'!CD$8:CD$86,'EE Measures'!$IF$8:$IF$86,'EE Measures'!$AC$8:$AC$86)+SUMPRODUCT('EE Measures'!EI$8:EI$86,'EE Measures'!$IF$8:$IF$86,'EE Measures'!$AC$8:$AC$86,'EE Measures'!$ED$8:$ED$86)</f>
        <v>17.508608542030387</v>
      </c>
      <c r="AD361" s="593">
        <f>SUMPRODUCT('EE Measures'!CE$8:CE$86,'EE Measures'!$IF$8:$IF$86,'EE Measures'!$AC$8:$AC$86)+SUMPRODUCT('EE Measures'!EJ$8:EJ$86,'EE Measures'!$IF$8:$IF$86,'EE Measures'!$AC$8:$AC$86,'EE Measures'!$ED$8:$ED$86)</f>
        <v>18.093731162316757</v>
      </c>
      <c r="AE361" s="593">
        <f>SUMPRODUCT('EE Measures'!CF$8:CF$86,'EE Measures'!$IF$8:$IF$86,'EE Measures'!$AC$8:$AC$86)+SUMPRODUCT('EE Measures'!EK$8:EK$86,'EE Measures'!$IF$8:$IF$86,'EE Measures'!$AC$8:$AC$86,'EE Measures'!$ED$8:$ED$86)</f>
        <v>18.200889960457907</v>
      </c>
      <c r="AF361" s="593">
        <f>SUMPRODUCT('EE Measures'!CG$8:CG$86,'EE Measures'!$IF$8:$IF$86,'EE Measures'!$AC$8:$AC$86)+SUMPRODUCT('EE Measures'!EL$8:EL$86,'EE Measures'!$IF$8:$IF$86,'EE Measures'!$AC$8:$AC$86,'EE Measures'!$ED$8:$ED$86)</f>
        <v>15.805891727856485</v>
      </c>
      <c r="AG361" s="593">
        <f>SUMPRODUCT('EE Measures'!CH$8:CH$86,'EE Measures'!$IF$8:$IF$86,'EE Measures'!$AC$8:$AC$86)+SUMPRODUCT('EE Measures'!EM$8:EM$86,'EE Measures'!$IF$8:$IF$86,'EE Measures'!$AC$8:$AC$86,'EE Measures'!$ED$8:$ED$86)</f>
        <v>16.464322894799871</v>
      </c>
      <c r="AH361" s="593">
        <f>SUMPRODUCT('EE Measures'!CI$8:CI$86,'EE Measures'!$IF$8:$IF$86,'EE Measures'!$AC$8:$AC$86)+SUMPRODUCT('EE Measures'!EN$8:EN$86,'EE Measures'!$IF$8:$IF$86,'EE Measures'!$AC$8:$AC$86,'EE Measures'!$ED$8:$ED$86)</f>
        <v>17.147214621629693</v>
      </c>
      <c r="AI361" s="593">
        <f>SUMPRODUCT('EE Measures'!CJ$8:CJ$86,'EE Measures'!$IF$8:$IF$86,'EE Measures'!$AC$8:$AC$86)+SUMPRODUCT('EE Measures'!EO$8:EO$86,'EE Measures'!$IF$8:$IF$86,'EE Measures'!$AC$8:$AC$86,'EE Measures'!$ED$8:$ED$86)</f>
        <v>17.855467502005194</v>
      </c>
      <c r="AJ361" s="593">
        <f>SUMPRODUCT('EE Measures'!CK$8:CK$86,'EE Measures'!$IF$8:$IF$86,'EE Measures'!$AC$8:$AC$86)+SUMPRODUCT('EE Measures'!EP$8:EP$86,'EE Measures'!$IF$8:$IF$86,'EE Measures'!$AC$8:$AC$86,'EE Measures'!$ED$8:$ED$86)</f>
        <v>18.590019136937169</v>
      </c>
      <c r="AK361" s="593">
        <f>SUMPRODUCT('EE Measures'!CL$8:CL$86,'EE Measures'!$IF$8:$IF$86,'EE Measures'!$AC$8:$AC$86)+SUMPRODUCT('EE Measures'!EQ$8:EQ$86,'EE Measures'!$IF$8:$IF$86,'EE Measures'!$AC$8:$AC$86,'EE Measures'!$ED$8:$ED$86)</f>
        <v>19.351845662584516</v>
      </c>
      <c r="AL361" s="593">
        <f>SUMPRODUCT('EE Measures'!CM$8:CM$86,'EE Measures'!$IF$8:$IF$86,'EE Measures'!$AC$8:$AC$86)+SUMPRODUCT('EE Measures'!ER$8:ER$86,'EE Measures'!$IF$8:$IF$86,'EE Measures'!$AC$8:$AC$86,'EE Measures'!$ED$8:$ED$86)</f>
        <v>20.141963343933558</v>
      </c>
      <c r="AM361" s="593">
        <f>SUMPRODUCT('EE Measures'!CN$8:CN$86,'EE Measures'!$IF$8:$IF$86,'EE Measures'!$AC$8:$AC$86)+SUMPRODUCT('EE Measures'!ES$8:ES$86,'EE Measures'!$IF$8:$IF$86,'EE Measures'!$AC$8:$AC$86,'EE Measures'!$ED$8:$ED$86)</f>
        <v>20.96143023723722</v>
      </c>
      <c r="AN361" s="865">
        <f>X361/$X$356</f>
        <v>9.9373460151891732E-2</v>
      </c>
    </row>
    <row r="362" spans="3:40" hidden="1" outlineLevel="1" x14ac:dyDescent="0.3">
      <c r="C362" s="587" t="str">
        <f>E362</f>
        <v>EEO</v>
      </c>
      <c r="E362" s="555" t="str">
        <f>'EE Measures'!$IG$6</f>
        <v>EEO</v>
      </c>
      <c r="F362" s="590">
        <f>SUM(G362:P362)</f>
        <v>10041.937573894313</v>
      </c>
      <c r="G362" s="591">
        <f>SUM(G363:G367)</f>
        <v>280.06666720746978</v>
      </c>
      <c r="H362" s="591">
        <f>SUM(H363:H367)</f>
        <v>210.06394151473643</v>
      </c>
      <c r="I362" s="591">
        <f t="shared" ref="I362:P362" si="1380">SUM(I363:I367)</f>
        <v>173.89861988837592</v>
      </c>
      <c r="J362" s="591">
        <f t="shared" si="1380"/>
        <v>325.22114029600851</v>
      </c>
      <c r="K362" s="591">
        <f t="shared" si="1380"/>
        <v>1614.2952768808439</v>
      </c>
      <c r="L362" s="591">
        <f t="shared" si="1380"/>
        <v>1515.3170264485473</v>
      </c>
      <c r="M362" s="591">
        <f t="shared" si="1380"/>
        <v>1468.8893161308283</v>
      </c>
      <c r="N362" s="591">
        <f t="shared" si="1380"/>
        <v>1453.1126851976962</v>
      </c>
      <c r="O362" s="591">
        <f t="shared" si="1380"/>
        <v>1485.8542146242232</v>
      </c>
      <c r="P362" s="591">
        <f t="shared" si="1380"/>
        <v>1515.2186857055833</v>
      </c>
      <c r="Q362" s="591">
        <f t="shared" ref="Q362:U362" si="1381">SUM(Q363:Q367)</f>
        <v>1537.2960615487175</v>
      </c>
      <c r="R362" s="591">
        <f t="shared" si="1381"/>
        <v>1571.1049882644795</v>
      </c>
      <c r="S362" s="591">
        <f t="shared" si="1381"/>
        <v>1605.7176549397693</v>
      </c>
      <c r="T362" s="591">
        <f t="shared" si="1381"/>
        <v>1641.1548839269196</v>
      </c>
      <c r="U362" s="591">
        <f t="shared" si="1381"/>
        <v>1677.4381290994252</v>
      </c>
      <c r="V362" s="898">
        <f t="shared" si="1376"/>
        <v>17410.620063063045</v>
      </c>
      <c r="W362" s="555" t="str">
        <f>'EE Measures'!$IG$6</f>
        <v>EEO</v>
      </c>
      <c r="X362" s="590">
        <f>SUM(Y362:AH362)</f>
        <v>10041.530173894313</v>
      </c>
      <c r="Y362" s="591">
        <f t="shared" ref="Y362:Z362" si="1382">SUM(Y363:Y367)</f>
        <v>280.06666720746983</v>
      </c>
      <c r="Z362" s="591">
        <f t="shared" si="1382"/>
        <v>210.0639415147364</v>
      </c>
      <c r="AA362" s="591">
        <f t="shared" ref="AA362" si="1383">SUM(AA363:AA367)</f>
        <v>173.89861988837595</v>
      </c>
      <c r="AB362" s="591">
        <f t="shared" ref="AB362" si="1384">SUM(AB363:AB367)</f>
        <v>325.22114029600851</v>
      </c>
      <c r="AC362" s="591">
        <f t="shared" ref="AC362" si="1385">SUM(AC363:AC367)</f>
        <v>1614.2273768808436</v>
      </c>
      <c r="AD362" s="591">
        <f t="shared" ref="AD362" si="1386">SUM(AD363:AD367)</f>
        <v>1515.249126448547</v>
      </c>
      <c r="AE362" s="591">
        <f t="shared" ref="AE362" si="1387">SUM(AE363:AE367)</f>
        <v>1468.8214161308281</v>
      </c>
      <c r="AF362" s="591">
        <f t="shared" ref="AF362" si="1388">SUM(AF363:AF367)</f>
        <v>1453.0447851976965</v>
      </c>
      <c r="AG362" s="591">
        <f t="shared" ref="AG362" si="1389">SUM(AG363:AG367)</f>
        <v>1485.7863146242235</v>
      </c>
      <c r="AH362" s="591">
        <f t="shared" ref="AH362:AM362" si="1390">SUM(AH363:AH367)</f>
        <v>1515.1507857055831</v>
      </c>
      <c r="AI362" s="591">
        <f t="shared" si="1390"/>
        <v>1537.2281615487173</v>
      </c>
      <c r="AJ362" s="591">
        <f t="shared" si="1390"/>
        <v>1571.0370882644793</v>
      </c>
      <c r="AK362" s="591">
        <f t="shared" si="1390"/>
        <v>1605.6497549397695</v>
      </c>
      <c r="AL362" s="591">
        <f t="shared" si="1390"/>
        <v>1641.0869839269196</v>
      </c>
      <c r="AM362" s="591">
        <f t="shared" si="1390"/>
        <v>1677.3702290994254</v>
      </c>
    </row>
    <row r="363" spans="3:40" hidden="1" outlineLevel="1" x14ac:dyDescent="0.3">
      <c r="C363" s="587" t="str">
        <f>C362</f>
        <v>EEO</v>
      </c>
      <c r="E363" s="563" t="s">
        <v>50</v>
      </c>
      <c r="F363" s="592">
        <f>SUM(G363:P363)</f>
        <v>480.74348406393051</v>
      </c>
      <c r="G363" s="593">
        <f>SUMPRODUCT('EE Measures'!BZ$8:BZ$86,'EE Measures'!$IG$8:$IG$86,'EE Measures'!$N$8:$N$86)+SUMPRODUCT('EE Measures'!EE$8:EE$86,'EE Measures'!$IG$8:$IG$86,'EE Measures'!$N$8:$N$86,'EE Measures'!$ED$8:$ED$86)</f>
        <v>50.705714717758653</v>
      </c>
      <c r="H363" s="593">
        <f>SUMPRODUCT('EE Measures'!CA$8:CA$86,'EE Measures'!$IG$8:$IG$86,'EE Measures'!$N$8:$N$86)+SUMPRODUCT('EE Measures'!EF$8:EF$86,'EE Measures'!$IG$8:$IG$86,'EE Measures'!$N$8:$N$86,'EE Measures'!$ED$8:$ED$86)</f>
        <v>4.4123408105379829</v>
      </c>
      <c r="I363" s="593">
        <f>SUMPRODUCT('EE Measures'!CB$8:CB$86,'EE Measures'!$IG$8:$IG$86,'EE Measures'!$N$8:$N$86)+SUMPRODUCT('EE Measures'!EG$8:EG$86,'EE Measures'!$IG$8:$IG$86,'EE Measures'!$N$8:$N$86,'EE Measures'!$ED$8:$ED$86)</f>
        <v>2.1307494384081855</v>
      </c>
      <c r="J363" s="593">
        <f>SUMPRODUCT('EE Measures'!CC$8:CC$86,'EE Measures'!$IG$8:$IG$86,'EE Measures'!$N$8:$N$86)+SUMPRODUCT('EE Measures'!EH$8:EH$86,'EE Measures'!$IG$8:$IG$86,'EE Measures'!$N$8:$N$86,'EE Measures'!$ED$8:$ED$86)</f>
        <v>60.854220237304112</v>
      </c>
      <c r="K363" s="593">
        <f>SUMPRODUCT('EE Measures'!CD$8:CD$86,'EE Measures'!$IG$8:$IG$86,'EE Measures'!$N$8:$N$86)+SUMPRODUCT('EE Measures'!EI$8:EI$86,'EE Measures'!$IG$8:$IG$86,'EE Measures'!$N$8:$N$86,'EE Measures'!$ED$8:$ED$86)</f>
        <v>92.634920808674678</v>
      </c>
      <c r="L363" s="593">
        <f>SUMPRODUCT('EE Measures'!CE$8:CE$86,'EE Measures'!$IG$8:$IG$86,'EE Measures'!$N$8:$N$86)+SUMPRODUCT('EE Measures'!EJ$8:EJ$86,'EE Measures'!$IG$8:$IG$86,'EE Measures'!$N$8:$N$86,'EE Measures'!$ED$8:$ED$86)</f>
        <v>83.92270351947306</v>
      </c>
      <c r="M363" s="593">
        <f>SUMPRODUCT('EE Measures'!CF$8:CF$86,'EE Measures'!$IG$8:$IG$86,'EE Measures'!$N$8:$N$86)+SUMPRODUCT('EE Measures'!EK$8:EK$86,'EE Measures'!$IG$8:$IG$86,'EE Measures'!$N$8:$N$86,'EE Measures'!$ED$8:$ED$86)</f>
        <v>71.724989957407544</v>
      </c>
      <c r="N363" s="593">
        <f>SUMPRODUCT('EE Measures'!CG$8:CG$86,'EE Measures'!$IG$8:$IG$86,'EE Measures'!$N$8:$N$86)+SUMPRODUCT('EE Measures'!EL$8:EL$86,'EE Measures'!$IG$8:$IG$86,'EE Measures'!$N$8:$N$86,'EE Measures'!$ED$8:$ED$86)</f>
        <v>37.282992711773147</v>
      </c>
      <c r="O363" s="593">
        <f>SUMPRODUCT('EE Measures'!CH$8:CH$86,'EE Measures'!$IG$8:$IG$86,'EE Measures'!$N$8:$N$86)+SUMPRODUCT('EE Measures'!EM$8:EM$86,'EE Measures'!$IG$8:$IG$86,'EE Measures'!$N$8:$N$86,'EE Measures'!$ED$8:$ED$86)</f>
        <v>38.108887262470219</v>
      </c>
      <c r="P363" s="593">
        <f>SUMPRODUCT('EE Measures'!CI$8:CI$86,'EE Measures'!$IG$8:$IG$86,'EE Measures'!$N$8:$N$86)+SUMPRODUCT('EE Measures'!EN$8:EN$86,'EE Measures'!$IG$8:$IG$86,'EE Measures'!$N$8:$N$86,'EE Measures'!$ED$8:$ED$86)</f>
        <v>38.965964600122959</v>
      </c>
      <c r="Q363" s="593">
        <f>SUMPRODUCT('EE Measures'!CJ$8:CJ$86,'EE Measures'!$IG$8:$IG$86,'EE Measures'!$N$8:$N$86)+SUMPRODUCT('EE Measures'!EO$8:EO$86,'EE Measures'!$IG$8:$IG$86,'EE Measures'!$N$8:$N$86,'EE Measures'!$ED$8:$ED$86)</f>
        <v>39.855375350729894</v>
      </c>
      <c r="R363" s="593">
        <f>SUMPRODUCT('EE Measures'!CK$8:CK$86,'EE Measures'!$IG$8:$IG$86,'EE Measures'!$N$8:$N$86)+SUMPRODUCT('EE Measures'!EP$8:EP$86,'EE Measures'!$IG$8:$IG$86,'EE Measures'!$N$8:$N$86,'EE Measures'!$ED$8:$ED$86)</f>
        <v>40.778315424384488</v>
      </c>
      <c r="S363" s="593">
        <f>SUMPRODUCT('EE Measures'!CL$8:CL$86,'EE Measures'!$IG$8:$IG$86,'EE Measures'!$N$8:$N$86)+SUMPRODUCT('EE Measures'!EQ$8:EQ$86,'EE Measures'!$IG$8:$IG$86,'EE Measures'!$N$8:$N$86,'EE Measures'!$ED$8:$ED$86)</f>
        <v>41.736027800135183</v>
      </c>
      <c r="T363" s="593">
        <f>SUMPRODUCT('EE Measures'!CM$8:CM$86,'EE Measures'!$IG$8:$IG$86,'EE Measures'!$N$8:$N$86)+SUMPRODUCT('EE Measures'!ER$8:ER$86,'EE Measures'!$IG$8:$IG$86,'EE Measures'!$N$8:$N$86,'EE Measures'!$ED$8:$ED$86)</f>
        <v>42.729804383234324</v>
      </c>
      <c r="U363" s="593">
        <f>SUMPRODUCT('EE Measures'!CN$8:CN$86,'EE Measures'!$IG$8:$IG$86,'EE Measures'!$N$8:$N$86)+SUMPRODUCT('EE Measures'!ES$8:ES$86,'EE Measures'!$IG$8:$IG$86,'EE Measures'!$N$8:$N$86,'EE Measures'!$ED$8:$ED$86)</f>
        <v>43.760987937747714</v>
      </c>
      <c r="V363" s="898">
        <f t="shared" si="1376"/>
        <v>632.3551899934572</v>
      </c>
      <c r="W363" s="563" t="str" cm="1">
        <f t="array" ref="W363:W367">_xlfn.ANCHORARRAY($W$357)</f>
        <v xml:space="preserve">Põhja-Eesti </v>
      </c>
      <c r="X363" s="592">
        <f>SUM(Y363:AH363)</f>
        <v>3757.9655580676954</v>
      </c>
      <c r="Y363" s="593">
        <f>SUMPRODUCT('EE Measures'!BZ$8:BZ$86,'EE Measures'!$IG$8:$IG$86,'EE Measures'!$Y$8:$Y$86)+SUMPRODUCT('EE Measures'!EE$8:EE$86,'EE Measures'!$IG$8:$IG$86,'EE Measures'!$Y$8:$Y$86,'EE Measures'!$ED$8:$ED$86)</f>
        <v>137.40952232207587</v>
      </c>
      <c r="Z363" s="593">
        <f>SUMPRODUCT('EE Measures'!CA$8:CA$86,'EE Measures'!$IG$8:$IG$86,'EE Measures'!$Y$8:$Y$86)+SUMPRODUCT('EE Measures'!EF$8:EF$86,'EE Measures'!$IG$8:$IG$86,'EE Measures'!$Y$8:$Y$86,'EE Measures'!$ED$8:$ED$86)</f>
        <v>97.725308031825477</v>
      </c>
      <c r="AA363" s="593">
        <f>SUMPRODUCT('EE Measures'!CB$8:CB$86,'EE Measures'!$IG$8:$IG$86,'EE Measures'!$Y$8:$Y$86)+SUMPRODUCT('EE Measures'!EG$8:EG$86,'EE Measures'!$IG$8:$IG$86,'EE Measures'!$Y$8:$Y$86,'EE Measures'!$ED$8:$ED$86)</f>
        <v>69.14226297335253</v>
      </c>
      <c r="AB363" s="593">
        <f>SUMPRODUCT('EE Measures'!CC$8:CC$86,'EE Measures'!$IG$8:$IG$86,'EE Measures'!$Y$8:$Y$86)+SUMPRODUCT('EE Measures'!EH$8:EH$86,'EE Measures'!$IG$8:$IG$86,'EE Measures'!$Y$8:$Y$86,'EE Measures'!$ED$8:$ED$86)</f>
        <v>160.10005444914981</v>
      </c>
      <c r="AC363" s="593">
        <f>SUMPRODUCT('EE Measures'!CD$8:CD$86,'EE Measures'!$IG$8:$IG$86,'EE Measures'!$Y$8:$Y$86)+SUMPRODUCT('EE Measures'!EI$8:EI$86,'EE Measures'!$IG$8:$IG$86,'EE Measures'!$Y$8:$Y$86,'EE Measures'!$ED$8:$ED$86)</f>
        <v>621.40428279660853</v>
      </c>
      <c r="AD363" s="593">
        <f>SUMPRODUCT('EE Measures'!CE$8:CE$86,'EE Measures'!$IG$8:$IG$86,'EE Measures'!$Y$8:$Y$86)+SUMPRODUCT('EE Measures'!EJ$8:EJ$86,'EE Measures'!$IG$8:$IG$86,'EE Measures'!$Y$8:$Y$86,'EE Measures'!$ED$8:$ED$86)</f>
        <v>557.25025413336323</v>
      </c>
      <c r="AE363" s="593">
        <f>SUMPRODUCT('EE Measures'!CF$8:CF$86,'EE Measures'!$IG$8:$IG$86,'EE Measures'!$Y$8:$Y$86)+SUMPRODUCT('EE Measures'!EK$8:EK$86,'EE Measures'!$IG$8:$IG$86,'EE Measures'!$Y$8:$Y$86,'EE Measures'!$ED$8:$ED$86)</f>
        <v>528.65336164047892</v>
      </c>
      <c r="AF363" s="593">
        <f>SUMPRODUCT('EE Measures'!CG$8:CG$86,'EE Measures'!$IG$8:$IG$86,'EE Measures'!$Y$8:$Y$86)+SUMPRODUCT('EE Measures'!EL$8:EL$86,'EE Measures'!$IG$8:$IG$86,'EE Measures'!$Y$8:$Y$86,'EE Measures'!$ED$8:$ED$86)</f>
        <v>516.9138320157233</v>
      </c>
      <c r="AG363" s="593">
        <f>SUMPRODUCT('EE Measures'!CH$8:CH$86,'EE Measures'!$IG$8:$IG$86,'EE Measures'!$Y$8:$Y$86)+SUMPRODUCT('EE Measures'!EM$8:EM$86,'EE Measures'!$IG$8:$IG$86,'EE Measures'!$Y$8:$Y$86,'EE Measures'!$ED$8:$ED$86)</f>
        <v>529.30655955546467</v>
      </c>
      <c r="AH363" s="593">
        <f>SUMPRODUCT('EE Measures'!CI$8:CI$86,'EE Measures'!$IG$8:$IG$86,'EE Measures'!$Y$8:$Y$86)+SUMPRODUCT('EE Measures'!EN$8:EN$86,'EE Measures'!$IG$8:$IG$86,'EE Measures'!$Y$8:$Y$86,'EE Measures'!$ED$8:$ED$86)</f>
        <v>540.06012014965313</v>
      </c>
      <c r="AI363" s="593">
        <f>SUMPRODUCT('EE Measures'!CJ$8:CJ$86,'EE Measures'!$IG$8:$IG$86,'EE Measures'!$Y$8:$Y$86)+SUMPRODUCT('EE Measures'!EO$8:EO$86,'EE Measures'!$IG$8:$IG$86,'EE Measures'!$Y$8:$Y$86,'EE Measures'!$ED$8:$ED$86)</f>
        <v>546.34877468689251</v>
      </c>
      <c r="AJ363" s="593">
        <f>SUMPRODUCT('EE Measures'!CK$8:CK$86,'EE Measures'!$IG$8:$IG$86,'EE Measures'!$Y$8:$Y$86)+SUMPRODUCT('EE Measures'!EP$8:EP$86,'EE Measures'!$IG$8:$IG$86,'EE Measures'!$Y$8:$Y$86,'EE Measures'!$ED$8:$ED$86)</f>
        <v>558.78883426149935</v>
      </c>
      <c r="AK363" s="593">
        <f>SUMPRODUCT('EE Measures'!CL$8:CL$86,'EE Measures'!$IG$8:$IG$86,'EE Measures'!$Y$8:$Y$86)+SUMPRODUCT('EE Measures'!EQ$8:EQ$86,'EE Measures'!$IG$8:$IG$86,'EE Measures'!$Y$8:$Y$86,'EE Measures'!$ED$8:$ED$86)</f>
        <v>571.53923762027307</v>
      </c>
      <c r="AL363" s="593">
        <f>SUMPRODUCT('EE Measures'!CM$8:CM$86,'EE Measures'!$IG$8:$IG$86,'EE Measures'!$Y$8:$Y$86)+SUMPRODUCT('EE Measures'!ER$8:ER$86,'EE Measures'!$IG$8:$IG$86,'EE Measures'!$Y$8:$Y$86,'EE Measures'!$ED$8:$ED$86)</f>
        <v>584.60848207905133</v>
      </c>
      <c r="AM363" s="593">
        <f>SUMPRODUCT('EE Measures'!CN$8:CN$86,'EE Measures'!$IG$8:$IG$86,'EE Measures'!$Y$8:$Y$86)+SUMPRODUCT('EE Measures'!ES$8:ES$86,'EE Measures'!$IG$8:$IG$86,'EE Measures'!$Y$8:$Y$86,'EE Measures'!$ED$8:$ED$86)</f>
        <v>598.00533763223541</v>
      </c>
      <c r="AN363" s="865">
        <f>X363/$X$362</f>
        <v>0.37424232094004439</v>
      </c>
    </row>
    <row r="364" spans="3:40" hidden="1" outlineLevel="1" x14ac:dyDescent="0.3">
      <c r="C364" s="587" t="str">
        <f t="shared" ref="C364:C367" si="1391">C363</f>
        <v>EEO</v>
      </c>
      <c r="E364" s="563" t="s">
        <v>51</v>
      </c>
      <c r="F364" s="592">
        <f t="shared" ref="F364:F367" si="1392">SUM(G364:P364)</f>
        <v>5162.6167583858678</v>
      </c>
      <c r="G364" s="593">
        <f>SUMPRODUCT('EE Measures'!BZ$8:BZ$86,'EE Measures'!$IG$8:$IG$86,'EE Measures'!$O$8:$O$86)+SUMPRODUCT('EE Measures'!EE$8:EE$86,'EE Measures'!$IG$8:$IG$86,'EE Measures'!$O$8:$O$86,'EE Measures'!$ED$8:$ED$86)</f>
        <v>51.031228234059256</v>
      </c>
      <c r="H364" s="593">
        <f>SUMPRODUCT('EE Measures'!CA$8:CA$86,'EE Measures'!$IG$8:$IG$86,'EE Measures'!$O$8:$O$86)+SUMPRODUCT('EE Measures'!EF$8:EF$86,'EE Measures'!$IG$8:$IG$86,'EE Measures'!$O$8:$O$86,'EE Measures'!$ED$8:$ED$86)</f>
        <v>64.756652418271301</v>
      </c>
      <c r="I364" s="593">
        <f>SUMPRODUCT('EE Measures'!CB$8:CB$86,'EE Measures'!$IG$8:$IG$86,'EE Measures'!$O$8:$O$86)+SUMPRODUCT('EE Measures'!EG$8:EG$86,'EE Measures'!$IG$8:$IG$86,'EE Measures'!$O$8:$O$86,'EE Measures'!$ED$8:$ED$86)</f>
        <v>79.671120340566887</v>
      </c>
      <c r="J364" s="593">
        <f>SUMPRODUCT('EE Measures'!CC$8:CC$86,'EE Measures'!$IG$8:$IG$86,'EE Measures'!$O$8:$O$86)+SUMPRODUCT('EE Measures'!EH$8:EH$86,'EE Measures'!$IG$8:$IG$86,'EE Measures'!$O$8:$O$86,'EE Measures'!$ED$8:$ED$86)</f>
        <v>18.81365754617449</v>
      </c>
      <c r="K364" s="593">
        <f>SUMPRODUCT('EE Measures'!CD$8:CD$86,'EE Measures'!$IG$8:$IG$86,'EE Measures'!$O$8:$O$86)+SUMPRODUCT('EE Measures'!EI$8:EI$86,'EE Measures'!$IG$8:$IG$86,'EE Measures'!$O$8:$O$86,'EE Measures'!$ED$8:$ED$86)</f>
        <v>777.79423432881526</v>
      </c>
      <c r="L364" s="593">
        <f>SUMPRODUCT('EE Measures'!CE$8:CE$86,'EE Measures'!$IG$8:$IG$86,'EE Measures'!$O$8:$O$86)+SUMPRODUCT('EE Measures'!EJ$8:EJ$86,'EE Measures'!$IG$8:$IG$86,'EE Measures'!$O$8:$O$86,'EE Measures'!$ED$8:$ED$86)</f>
        <v>795.99091862808257</v>
      </c>
      <c r="M364" s="593">
        <f>SUMPRODUCT('EE Measures'!CF$8:CF$86,'EE Measures'!$IG$8:$IG$86,'EE Measures'!$O$8:$O$86)+SUMPRODUCT('EE Measures'!EK$8:EK$86,'EE Measures'!$IG$8:$IG$86,'EE Measures'!$O$8:$O$86,'EE Measures'!$ED$8:$ED$86)</f>
        <v>814.61563400310092</v>
      </c>
      <c r="N364" s="593">
        <f>SUMPRODUCT('EE Measures'!CG$8:CG$86,'EE Measures'!$IG$8:$IG$86,'EE Measures'!$O$8:$O$86)+SUMPRODUCT('EE Measures'!EL$8:EL$86,'EE Measures'!$IG$8:$IG$86,'EE Measures'!$O$8:$O$86,'EE Measures'!$ED$8:$ED$86)</f>
        <v>833.66960687357403</v>
      </c>
      <c r="O364" s="593">
        <f>SUMPRODUCT('EE Measures'!CH$8:CH$86,'EE Measures'!$IG$8:$IG$86,'EE Measures'!$O$8:$O$86)+SUMPRODUCT('EE Measures'!EM$8:EM$86,'EE Measures'!$IG$8:$IG$86,'EE Measures'!$O$8:$O$86,'EE Measures'!$ED$8:$ED$86)</f>
        <v>853.16388108397814</v>
      </c>
      <c r="P364" s="593">
        <f>SUMPRODUCT('EE Measures'!CI$8:CI$86,'EE Measures'!$IG$8:$IG$86,'EE Measures'!$O$8:$O$86)+SUMPRODUCT('EE Measures'!EN$8:EN$86,'EE Measures'!$IG$8:$IG$86,'EE Measures'!$O$8:$O$86,'EE Measures'!$ED$8:$ED$86)</f>
        <v>873.10982492924495</v>
      </c>
      <c r="Q364" s="593">
        <f>SUMPRODUCT('EE Measures'!CJ$8:CJ$86,'EE Measures'!$IG$8:$IG$86,'EE Measures'!$O$8:$O$86)+SUMPRODUCT('EE Measures'!EO$8:EO$86,'EE Measures'!$IG$8:$IG$86,'EE Measures'!$O$8:$O$86,'EE Measures'!$ED$8:$ED$86)</f>
        <v>893.51914215513705</v>
      </c>
      <c r="R364" s="593">
        <f>SUMPRODUCT('EE Measures'!CK$8:CK$86,'EE Measures'!$IG$8:$IG$86,'EE Measures'!$O$8:$O$86)+SUMPRODUCT('EE Measures'!EP$8:EP$86,'EE Measures'!$IG$8:$IG$86,'EE Measures'!$O$8:$O$86,'EE Measures'!$ED$8:$ED$86)</f>
        <v>914.40388337907518</v>
      </c>
      <c r="S364" s="593">
        <f>SUMPRODUCT('EE Measures'!CL$8:CL$86,'EE Measures'!$IG$8:$IG$86,'EE Measures'!$O$8:$O$86)+SUMPRODUCT('EE Measures'!EQ$8:EQ$86,'EE Measures'!$IG$8:$IG$86,'EE Measures'!$O$8:$O$86,'EE Measures'!$ED$8:$ED$86)</f>
        <v>935.77645794884131</v>
      </c>
      <c r="T364" s="593">
        <f>SUMPRODUCT('EE Measures'!CM$8:CM$86,'EE Measures'!$IG$8:$IG$86,'EE Measures'!$O$8:$O$86)+SUMPRODUCT('EE Measures'!ER$8:ER$86,'EE Measures'!$IG$8:$IG$86,'EE Measures'!$O$8:$O$86,'EE Measures'!$ED$8:$ED$86)</f>
        <v>957.64964625734069</v>
      </c>
      <c r="U364" s="593">
        <f>SUMPRODUCT('EE Measures'!CN$8:CN$86,'EE Measures'!$IG$8:$IG$86,'EE Measures'!$O$8:$O$86)+SUMPRODUCT('EE Measures'!ES$8:ES$86,'EE Measures'!$IG$8:$IG$86,'EE Measures'!$O$8:$O$86,'EE Measures'!$ED$8:$ED$86)</f>
        <v>980.03661253240068</v>
      </c>
      <c r="V364" s="898">
        <f t="shared" si="1376"/>
        <v>9648.5434996657641</v>
      </c>
      <c r="W364" s="563" t="str">
        <v>Lääne-Eesti</v>
      </c>
      <c r="X364" s="592">
        <f t="shared" ref="X364:X367" si="1393">SUM(Y364:AH364)</f>
        <v>1663.4051929325094</v>
      </c>
      <c r="Y364" s="593">
        <f>SUMPRODUCT('EE Measures'!BZ$8:BZ$86,'EE Measures'!$IG$8:$IG$86,'EE Measures'!$Z$8:$Z$86)+SUMPRODUCT('EE Measures'!EE$8:EE$86,'EE Measures'!$IG$8:$IG$86,'EE Measures'!$Z$8:$Z$86,'EE Measures'!$ED$8:$ED$86)</f>
        <v>40.435021042104161</v>
      </c>
      <c r="Z364" s="593">
        <f>SUMPRODUCT('EE Measures'!CA$8:CA$86,'EE Measures'!$IG$8:$IG$86,'EE Measures'!$Z$8:$Z$86)+SUMPRODUCT('EE Measures'!EF$8:EF$86,'EE Measures'!$IG$8:$IG$86,'EE Measures'!$Z$8:$Z$86,'EE Measures'!$ED$8:$ED$86)</f>
        <v>45.407512544548929</v>
      </c>
      <c r="AA364" s="593">
        <f>SUMPRODUCT('EE Measures'!CB$8:CB$86,'EE Measures'!$IG$8:$IG$86,'EE Measures'!$Z$8:$Z$86)+SUMPRODUCT('EE Measures'!EG$8:EG$86,'EE Measures'!$IG$8:$IG$86,'EE Measures'!$Z$8:$Z$86,'EE Measures'!$ED$8:$ED$86)</f>
        <v>38.877676312623741</v>
      </c>
      <c r="AB364" s="593">
        <f>SUMPRODUCT('EE Measures'!CC$8:CC$86,'EE Measures'!$IG$8:$IG$86,'EE Measures'!$Z$8:$Z$86)+SUMPRODUCT('EE Measures'!EH$8:EH$86,'EE Measures'!$IG$8:$IG$86,'EE Measures'!$Z$8:$Z$86,'EE Measures'!$ED$8:$ED$86)</f>
        <v>99.336103536719918</v>
      </c>
      <c r="AC364" s="593">
        <f>SUMPRODUCT('EE Measures'!CD$8:CD$86,'EE Measures'!$IG$8:$IG$86,'EE Measures'!$Z$8:$Z$86)+SUMPRODUCT('EE Measures'!EI$8:EI$86,'EE Measures'!$IG$8:$IG$86,'EE Measures'!$Z$8:$Z$86,'EE Measures'!$ED$8:$ED$86)</f>
        <v>295.47338398850161</v>
      </c>
      <c r="AD364" s="593">
        <f>SUMPRODUCT('EE Measures'!CE$8:CE$86,'EE Measures'!$IG$8:$IG$86,'EE Measures'!$Z$8:$Z$86)+SUMPRODUCT('EE Measures'!EJ$8:EJ$86,'EE Measures'!$IG$8:$IG$86,'EE Measures'!$Z$8:$Z$86,'EE Measures'!$ED$8:$ED$86)</f>
        <v>251.94301918315017</v>
      </c>
      <c r="AE364" s="593">
        <f>SUMPRODUCT('EE Measures'!CF$8:CF$86,'EE Measures'!$IG$8:$IG$86,'EE Measures'!$Z$8:$Z$86)+SUMPRODUCT('EE Measures'!EK$8:EK$86,'EE Measures'!$IG$8:$IG$86,'EE Measures'!$Z$8:$Z$86,'EE Measures'!$ED$8:$ED$86)</f>
        <v>219.34160498442375</v>
      </c>
      <c r="AF364" s="593">
        <f>SUMPRODUCT('EE Measures'!CG$8:CG$86,'EE Measures'!$IG$8:$IG$86,'EE Measures'!$Z$8:$Z$86)+SUMPRODUCT('EE Measures'!EL$8:EL$86,'EE Measures'!$IG$8:$IG$86,'EE Measures'!$Z$8:$Z$86,'EE Measures'!$ED$8:$ED$86)</f>
        <v>219.62986576769779</v>
      </c>
      <c r="AG364" s="593">
        <f>SUMPRODUCT('EE Measures'!CH$8:CH$86,'EE Measures'!$IG$8:$IG$86,'EE Measures'!$Z$8:$Z$86)+SUMPRODUCT('EE Measures'!EM$8:EM$86,'EE Measures'!$IG$8:$IG$86,'EE Measures'!$Z$8:$Z$86,'EE Measures'!$ED$8:$ED$86)</f>
        <v>224.31192752034954</v>
      </c>
      <c r="AH364" s="593">
        <f>SUMPRODUCT('EE Measures'!CI$8:CI$86,'EE Measures'!$IG$8:$IG$86,'EE Measures'!$Z$8:$Z$86)+SUMPRODUCT('EE Measures'!EN$8:EN$86,'EE Measures'!$IG$8:$IG$86,'EE Measures'!$Z$8:$Z$86,'EE Measures'!$ED$8:$ED$86)</f>
        <v>228.64907805238963</v>
      </c>
      <c r="AI364" s="593">
        <f>SUMPRODUCT('EE Measures'!CJ$8:CJ$86,'EE Measures'!$IG$8:$IG$86,'EE Measures'!$Z$8:$Z$86)+SUMPRODUCT('EE Measures'!EO$8:EO$86,'EE Measures'!$IG$8:$IG$86,'EE Measures'!$Z$8:$Z$86,'EE Measures'!$ED$8:$ED$86)</f>
        <v>232.322134455738</v>
      </c>
      <c r="AJ364" s="593">
        <f>SUMPRODUCT('EE Measures'!CK$8:CK$86,'EE Measures'!$IG$8:$IG$86,'EE Measures'!$Z$8:$Z$86)+SUMPRODUCT('EE Measures'!EP$8:EP$86,'EE Measures'!$IG$8:$IG$86,'EE Measures'!$Z$8:$Z$86,'EE Measures'!$ED$8:$ED$86)</f>
        <v>237.24000474792501</v>
      </c>
      <c r="AK364" s="593">
        <f>SUMPRODUCT('EE Measures'!CL$8:CL$86,'EE Measures'!$IG$8:$IG$86,'EE Measures'!$Z$8:$Z$86)+SUMPRODUCT('EE Measures'!EQ$8:EQ$86,'EE Measures'!$IG$8:$IG$86,'EE Measures'!$Z$8:$Z$86,'EE Measures'!$ED$8:$ED$86)</f>
        <v>242.26870741200696</v>
      </c>
      <c r="AL364" s="593">
        <f>SUMPRODUCT('EE Measures'!CM$8:CM$86,'EE Measures'!$IG$8:$IG$86,'EE Measures'!$Z$8:$Z$86)+SUMPRODUCT('EE Measures'!ER$8:ER$86,'EE Measures'!$IG$8:$IG$86,'EE Measures'!$Z$8:$Z$86,'EE Measures'!$ED$8:$ED$86)</f>
        <v>247.41092087590809</v>
      </c>
      <c r="AM364" s="593">
        <f>SUMPRODUCT('EE Measures'!CN$8:CN$86,'EE Measures'!$IG$8:$IG$86,'EE Measures'!$Z$8:$Z$86)+SUMPRODUCT('EE Measures'!ES$8:ES$86,'EE Measures'!$IG$8:$IG$86,'EE Measures'!$Z$8:$Z$86,'EE Measures'!$ED$8:$ED$86)</f>
        <v>252.66939845977657</v>
      </c>
      <c r="AN364" s="865">
        <f>X364/$X$362</f>
        <v>0.16565256132546247</v>
      </c>
    </row>
    <row r="365" spans="3:40" hidden="1" outlineLevel="1" x14ac:dyDescent="0.3">
      <c r="C365" s="587" t="str">
        <f t="shared" si="1391"/>
        <v>EEO</v>
      </c>
      <c r="E365" s="563" t="s">
        <v>52</v>
      </c>
      <c r="F365" s="592">
        <f t="shared" si="1392"/>
        <v>2807.8719310081337</v>
      </c>
      <c r="G365" s="593">
        <f>SUMPRODUCT('EE Measures'!BZ$8:BZ$86,'EE Measures'!$IG$8:$IG$86,'EE Measures'!$P$8:$P$86)+SUMPRODUCT('EE Measures'!EE$8:EE$86,'EE Measures'!$IG$8:$IG$86,'EE Measures'!$P$8:$P$86,'EE Measures'!$ED$8:$ED$86)</f>
        <v>61.751940894257316</v>
      </c>
      <c r="H365" s="593">
        <f>SUMPRODUCT('EE Measures'!CA$8:CA$86,'EE Measures'!$IG$8:$IG$86,'EE Measures'!$P$8:$P$86)+SUMPRODUCT('EE Measures'!EF$8:EF$86,'EE Measures'!$IG$8:$IG$86,'EE Measures'!$P$8:$P$86,'EE Measures'!$ED$8:$ED$86)</f>
        <v>69.4064763057047</v>
      </c>
      <c r="I365" s="593">
        <f>SUMPRODUCT('EE Measures'!CB$8:CB$86,'EE Measures'!$IG$8:$IG$86,'EE Measures'!$P$8:$P$86)+SUMPRODUCT('EE Measures'!EG$8:EG$86,'EE Measures'!$IG$8:$IG$86,'EE Measures'!$P$8:$P$86,'EE Measures'!$ED$8:$ED$86)</f>
        <v>28.498132624761407</v>
      </c>
      <c r="J365" s="593">
        <f>SUMPRODUCT('EE Measures'!CC$8:CC$86,'EE Measures'!$IG$8:$IG$86,'EE Measures'!$P$8:$P$86)+SUMPRODUCT('EE Measures'!EH$8:EH$86,'EE Measures'!$IG$8:$IG$86,'EE Measures'!$P$8:$P$86,'EE Measures'!$ED$8:$ED$86)</f>
        <v>15.868670692219206</v>
      </c>
      <c r="K365" s="593">
        <f>SUMPRODUCT('EE Measures'!CD$8:CD$86,'EE Measures'!$IG$8:$IG$86,'EE Measures'!$P$8:$P$86)+SUMPRODUCT('EE Measures'!EI$8:EI$86,'EE Measures'!$IG$8:$IG$86,'EE Measures'!$P$8:$P$86,'EE Measures'!$ED$8:$ED$86)</f>
        <v>415.08759298456613</v>
      </c>
      <c r="L365" s="593">
        <f>SUMPRODUCT('EE Measures'!CE$8:CE$86,'EE Measures'!$IG$8:$IG$86,'EE Measures'!$P$8:$P$86)+SUMPRODUCT('EE Measures'!EJ$8:EJ$86,'EE Measures'!$IG$8:$IG$86,'EE Measures'!$P$8:$P$86,'EE Measures'!$ED$8:$ED$86)</f>
        <v>424.25657584889854</v>
      </c>
      <c r="M365" s="593">
        <f>SUMPRODUCT('EE Measures'!CF$8:CF$86,'EE Measures'!$IG$8:$IG$86,'EE Measures'!$P$8:$P$86)+SUMPRODUCT('EE Measures'!EK$8:EK$86,'EE Measures'!$IG$8:$IG$86,'EE Measures'!$P$8:$P$86,'EE Measures'!$ED$8:$ED$86)</f>
        <v>433.63672254256414</v>
      </c>
      <c r="N365" s="593">
        <f>SUMPRODUCT('EE Measures'!CG$8:CG$86,'EE Measures'!$IG$8:$IG$86,'EE Measures'!$P$8:$P$86)+SUMPRODUCT('EE Measures'!EL$8:EL$86,'EE Measures'!$IG$8:$IG$86,'EE Measures'!$P$8:$P$86,'EE Measures'!$ED$8:$ED$86)</f>
        <v>443.23163610135441</v>
      </c>
      <c r="O365" s="593">
        <f>SUMPRODUCT('EE Measures'!CH$8:CH$86,'EE Measures'!$IG$8:$IG$86,'EE Measures'!$P$8:$P$86)+SUMPRODUCT('EE Measures'!EM$8:EM$86,'EE Measures'!$IG$8:$IG$86,'EE Measures'!$P$8:$P$86,'EE Measures'!$ED$8:$ED$86)</f>
        <v>453.04670643493688</v>
      </c>
      <c r="P365" s="593">
        <f>SUMPRODUCT('EE Measures'!CI$8:CI$86,'EE Measures'!$IG$8:$IG$86,'EE Measures'!$P$8:$P$86)+SUMPRODUCT('EE Measures'!EN$8:EN$86,'EE Measures'!$IG$8:$IG$86,'EE Measures'!$P$8:$P$86,'EE Measures'!$ED$8:$ED$86)</f>
        <v>463.08747657887091</v>
      </c>
      <c r="Q365" s="593">
        <f>SUMPRODUCT('EE Measures'!CJ$8:CJ$86,'EE Measures'!$IG$8:$IG$86,'EE Measures'!$P$8:$P$86)+SUMPRODUCT('EE Measures'!EO$8:EO$86,'EE Measures'!$IG$8:$IG$86,'EE Measures'!$P$8:$P$86,'EE Measures'!$ED$8:$ED$86)</f>
        <v>473.35964765966571</v>
      </c>
      <c r="R365" s="593">
        <f>SUMPRODUCT('EE Measures'!CK$8:CK$86,'EE Measures'!$IG$8:$IG$86,'EE Measures'!$P$8:$P$86)+SUMPRODUCT('EE Measures'!EP$8:EP$86,'EE Measures'!$IG$8:$IG$86,'EE Measures'!$P$8:$P$86,'EE Measures'!$ED$8:$ED$86)</f>
        <v>483.86908404125154</v>
      </c>
      <c r="S365" s="593">
        <f>SUMPRODUCT('EE Measures'!CL$8:CL$86,'EE Measures'!$IG$8:$IG$86,'EE Measures'!$P$8:$P$86)+SUMPRODUCT('EE Measures'!EQ$8:EQ$86,'EE Measures'!$IG$8:$IG$86,'EE Measures'!$P$8:$P$86,'EE Measures'!$ED$8:$ED$86)</f>
        <v>494.6218186600745</v>
      </c>
      <c r="T365" s="593">
        <f>SUMPRODUCT('EE Measures'!CM$8:CM$86,'EE Measures'!$IG$8:$IG$86,'EE Measures'!$P$8:$P$86)+SUMPRODUCT('EE Measures'!ER$8:ER$86,'EE Measures'!$IG$8:$IG$86,'EE Measures'!$P$8:$P$86,'EE Measures'!$ED$8:$ED$86)</f>
        <v>505.62405855633631</v>
      </c>
      <c r="U365" s="593">
        <f>SUMPRODUCT('EE Measures'!CN$8:CN$86,'EE Measures'!$IG$8:$IG$86,'EE Measures'!$P$8:$P$86)+SUMPRODUCT('EE Measures'!ES$8:ES$86,'EE Measures'!$IG$8:$IG$86,'EE Measures'!$P$8:$P$86,'EE Measures'!$ED$8:$ED$86)</f>
        <v>516.88219060920846</v>
      </c>
      <c r="V365" s="898">
        <f t="shared" si="1376"/>
        <v>5122.5721807099471</v>
      </c>
      <c r="W365" s="563" t="str">
        <v>Kirde-Eesti</v>
      </c>
      <c r="X365" s="592">
        <f t="shared" si="1393"/>
        <v>873.27021678014728</v>
      </c>
      <c r="Y365" s="593">
        <f>SUMPRODUCT('EE Measures'!BZ$8:BZ$86,'EE Measures'!$IG$8:$IG$86,'EE Measures'!$AA$8:$AA$86)+SUMPRODUCT('EE Measures'!EE$8:EE$86,'EE Measures'!$IG$8:$IG$86,'EE Measures'!$AA$8:$AA$86,'EE Measures'!$ED$8:$ED$86)</f>
        <v>26.406461745177428</v>
      </c>
      <c r="Z365" s="593">
        <f>SUMPRODUCT('EE Measures'!CA$8:CA$86,'EE Measures'!$IG$8:$IG$86,'EE Measures'!$AA$8:$AA$86)+SUMPRODUCT('EE Measures'!EF$8:EF$86,'EE Measures'!$IG$8:$IG$86,'EE Measures'!$AA$8:$AA$86,'EE Measures'!$ED$8:$ED$86)</f>
        <v>14.466244479860192</v>
      </c>
      <c r="AA365" s="593">
        <f>SUMPRODUCT('EE Measures'!CB$8:CB$86,'EE Measures'!$IG$8:$IG$86,'EE Measures'!$AA$8:$AA$86)+SUMPRODUCT('EE Measures'!EG$8:EG$86,'EE Measures'!$IG$8:$IG$86,'EE Measures'!$AA$8:$AA$86,'EE Measures'!$ED$8:$ED$86)</f>
        <v>11.213139437577412</v>
      </c>
      <c r="AB365" s="593">
        <f>SUMPRODUCT('EE Measures'!CC$8:CC$86,'EE Measures'!$IG$8:$IG$86,'EE Measures'!$AA$8:$AA$86)+SUMPRODUCT('EE Measures'!EH$8:EH$86,'EE Measures'!$IG$8:$IG$86,'EE Measures'!$AA$8:$AA$86,'EE Measures'!$ED$8:$ED$86)</f>
        <v>15.848865535365304</v>
      </c>
      <c r="AC365" s="593">
        <f>SUMPRODUCT('EE Measures'!CD$8:CD$86,'EE Measures'!$IG$8:$IG$86,'EE Measures'!$AA$8:$AA$86)+SUMPRODUCT('EE Measures'!EI$8:EI$86,'EE Measures'!$IG$8:$IG$86,'EE Measures'!$AA$8:$AA$86,'EE Measures'!$ED$8:$ED$86)</f>
        <v>132.08596416964775</v>
      </c>
      <c r="AD365" s="593">
        <f>SUMPRODUCT('EE Measures'!CE$8:CE$86,'EE Measures'!$IG$8:$IG$86,'EE Measures'!$AA$8:$AA$86)+SUMPRODUCT('EE Measures'!EJ$8:EJ$86,'EE Measures'!$IG$8:$IG$86,'EE Measures'!$AA$8:$AA$86,'EE Measures'!$ED$8:$ED$86)</f>
        <v>133.12225049085714</v>
      </c>
      <c r="AE365" s="593">
        <f>SUMPRODUCT('EE Measures'!CF$8:CF$86,'EE Measures'!$IG$8:$IG$86,'EE Measures'!$AA$8:$AA$86)+SUMPRODUCT('EE Measures'!EK$8:EK$86,'EE Measures'!$IG$8:$IG$86,'EE Measures'!$AA$8:$AA$86,'EE Measures'!$ED$8:$ED$86)</f>
        <v>135.06839589204748</v>
      </c>
      <c r="AF365" s="593">
        <f>SUMPRODUCT('EE Measures'!CG$8:CG$86,'EE Measures'!$IG$8:$IG$86,'EE Measures'!$AA$8:$AA$86)+SUMPRODUCT('EE Measures'!EL$8:EL$86,'EE Measures'!$IG$8:$IG$86,'EE Measures'!$AA$8:$AA$86,'EE Measures'!$ED$8:$ED$86)</f>
        <v>132.22626815213746</v>
      </c>
      <c r="AG365" s="593">
        <f>SUMPRODUCT('EE Measures'!CH$8:CH$86,'EE Measures'!$IG$8:$IG$86,'EE Measures'!$AA$8:$AA$86)+SUMPRODUCT('EE Measures'!EM$8:EM$86,'EE Measures'!$IG$8:$IG$86,'EE Measures'!$AA$8:$AA$86,'EE Measures'!$ED$8:$ED$86)</f>
        <v>135.13163409420324</v>
      </c>
      <c r="AH365" s="593">
        <f>SUMPRODUCT('EE Measures'!CI$8:CI$86,'EE Measures'!$IG$8:$IG$86,'EE Measures'!$AA$8:$AA$86)+SUMPRODUCT('EE Measures'!EN$8:EN$86,'EE Measures'!$IG$8:$IG$86,'EE Measures'!$AA$8:$AA$86,'EE Measures'!$ED$8:$ED$86)</f>
        <v>137.70099278327385</v>
      </c>
      <c r="AI365" s="593">
        <f>SUMPRODUCT('EE Measures'!CJ$8:CJ$86,'EE Measures'!$IG$8:$IG$86,'EE Measures'!$AA$8:$AA$86)+SUMPRODUCT('EE Measures'!EO$8:EO$86,'EE Measures'!$IG$8:$IG$86,'EE Measures'!$AA$8:$AA$86,'EE Measures'!$ED$8:$ED$86)</f>
        <v>140.15226670099409</v>
      </c>
      <c r="AJ365" s="593">
        <f>SUMPRODUCT('EE Measures'!CK$8:CK$86,'EE Measures'!$IG$8:$IG$86,'EE Measures'!$AA$8:$AA$86)+SUMPRODUCT('EE Measures'!EP$8:EP$86,'EE Measures'!$IG$8:$IG$86,'EE Measures'!$AA$8:$AA$86,'EE Measures'!$ED$8:$ED$86)</f>
        <v>143.19585662861596</v>
      </c>
      <c r="AK365" s="593">
        <f>SUMPRODUCT('EE Measures'!CL$8:CL$86,'EE Measures'!$IG$8:$IG$86,'EE Measures'!$AA$8:$AA$86)+SUMPRODUCT('EE Measures'!EQ$8:EQ$86,'EE Measures'!$IG$8:$IG$86,'EE Measures'!$AA$8:$AA$86,'EE Measures'!$ED$8:$ED$86)</f>
        <v>146.31105774464243</v>
      </c>
      <c r="AL365" s="593">
        <f>SUMPRODUCT('EE Measures'!CM$8:CM$86,'EE Measures'!$IG$8:$IG$86,'EE Measures'!$AA$8:$AA$86)+SUMPRODUCT('EE Measures'!ER$8:ER$86,'EE Measures'!$IG$8:$IG$86,'EE Measures'!$AA$8:$AA$86,'EE Measures'!$ED$8:$ED$86)</f>
        <v>149.49969885175705</v>
      </c>
      <c r="AM365" s="593">
        <f>SUMPRODUCT('EE Measures'!CN$8:CN$86,'EE Measures'!$IG$8:$IG$86,'EE Measures'!$AA$8:$AA$86)+SUMPRODUCT('EE Measures'!ES$8:ES$86,'EE Measures'!$IG$8:$IG$86,'EE Measures'!$AA$8:$AA$86,'EE Measures'!$ED$8:$ED$86)</f>
        <v>152.76366350621751</v>
      </c>
      <c r="AN365" s="865">
        <f>X365/$X$362</f>
        <v>8.6965850986580773E-2</v>
      </c>
    </row>
    <row r="366" spans="3:40" hidden="1" outlineLevel="1" x14ac:dyDescent="0.3">
      <c r="C366" s="587" t="str">
        <f t="shared" si="1391"/>
        <v>EEO</v>
      </c>
      <c r="E366" s="563" t="s">
        <v>53</v>
      </c>
      <c r="F366" s="592">
        <f t="shared" si="1392"/>
        <v>1533.6205284604202</v>
      </c>
      <c r="G366" s="593">
        <f>SUMPRODUCT('EE Measures'!BZ$8:BZ$86,'EE Measures'!$IG$8:$IG$86,'EE Measures'!$Q$8:$Q$86)+SUMPRODUCT('EE Measures'!EE$8:EE$86,'EE Measures'!$IG$8:$IG$86,'EE Measures'!$Q$8:$Q$86,'EE Measures'!$ED$8:$ED$86)</f>
        <v>116.37953799001299</v>
      </c>
      <c r="H366" s="593">
        <f>SUMPRODUCT('EE Measures'!CA$8:CA$86,'EE Measures'!$IG$8:$IG$86,'EE Measures'!$Q$8:$Q$86)+SUMPRODUCT('EE Measures'!EF$8:EF$86,'EE Measures'!$IG$8:$IG$86,'EE Measures'!$Q$8:$Q$86,'EE Measures'!$ED$8:$ED$86)</f>
        <v>71.266303532804329</v>
      </c>
      <c r="I366" s="593">
        <f>SUMPRODUCT('EE Measures'!CB$8:CB$86,'EE Measures'!$IG$8:$IG$86,'EE Measures'!$Q$8:$Q$86)+SUMPRODUCT('EE Measures'!EG$8:EG$86,'EE Measures'!$IG$8:$IG$86,'EE Measures'!$Q$8:$Q$86,'EE Measures'!$ED$8:$ED$86)</f>
        <v>63.351225252674048</v>
      </c>
      <c r="J366" s="593">
        <f>SUMPRODUCT('EE Measures'!CC$8:CC$86,'EE Measures'!$IG$8:$IG$86,'EE Measures'!$Q$8:$Q$86)+SUMPRODUCT('EE Measures'!EH$8:EH$86,'EE Measures'!$IG$8:$IG$86,'EE Measures'!$Q$8:$Q$86,'EE Measures'!$ED$8:$ED$86)</f>
        <v>225.21575082539061</v>
      </c>
      <c r="K366" s="593">
        <f>SUMPRODUCT('EE Measures'!CD$8:CD$86,'EE Measures'!$IG$8:$IG$86,'EE Measures'!$Q$8:$Q$86)+SUMPRODUCT('EE Measures'!EI$8:EI$86,'EE Measures'!$IG$8:$IG$86,'EE Measures'!$Q$8:$Q$86,'EE Measures'!$ED$8:$ED$86)</f>
        <v>322.1653824002197</v>
      </c>
      <c r="L366" s="593">
        <f>SUMPRODUCT('EE Measures'!CE$8:CE$86,'EE Measures'!$IG$8:$IG$86,'EE Measures'!$Q$8:$Q$86)+SUMPRODUCT('EE Measures'!EJ$8:EJ$86,'EE Measures'!$IG$8:$IG$86,'EE Measures'!$Q$8:$Q$86,'EE Measures'!$ED$8:$ED$86)</f>
        <v>204.45837821192021</v>
      </c>
      <c r="M366" s="593">
        <f>SUMPRODUCT('EE Measures'!CF$8:CF$86,'EE Measures'!$IG$8:$IG$86,'EE Measures'!$Q$8:$Q$86)+SUMPRODUCT('EE Measures'!EK$8:EK$86,'EE Measures'!$IG$8:$IG$86,'EE Measures'!$Q$8:$Q$86,'EE Measures'!$ED$8:$ED$86)</f>
        <v>139.37935246164784</v>
      </c>
      <c r="N366" s="593">
        <f>SUMPRODUCT('EE Measures'!CG$8:CG$86,'EE Measures'!$IG$8:$IG$86,'EE Measures'!$Q$8:$Q$86)+SUMPRODUCT('EE Measures'!EL$8:EL$86,'EE Measures'!$IG$8:$IG$86,'EE Measures'!$Q$8:$Q$86,'EE Measures'!$ED$8:$ED$86)</f>
        <v>129.31187489825854</v>
      </c>
      <c r="O366" s="593">
        <f>SUMPRODUCT('EE Measures'!CH$8:CH$86,'EE Measures'!$IG$8:$IG$86,'EE Measures'!$Q$8:$Q$86)+SUMPRODUCT('EE Measures'!EM$8:EM$86,'EE Measures'!$IG$8:$IG$86,'EE Measures'!$Q$8:$Q$86,'EE Measures'!$ED$8:$ED$86)</f>
        <v>131.8311213482402</v>
      </c>
      <c r="P366" s="593">
        <f>SUMPRODUCT('EE Measures'!CI$8:CI$86,'EE Measures'!$IG$8:$IG$86,'EE Measures'!$Q$8:$Q$86)+SUMPRODUCT('EE Measures'!EN$8:EN$86,'EE Measures'!$IG$8:$IG$86,'EE Measures'!$Q$8:$Q$86,'EE Measures'!$ED$8:$ED$86)</f>
        <v>130.26160153925161</v>
      </c>
      <c r="Q366" s="593">
        <f>SUMPRODUCT('EE Measures'!CJ$8:CJ$86,'EE Measures'!$IG$8:$IG$86,'EE Measures'!$Q$8:$Q$86)+SUMPRODUCT('EE Measures'!EO$8:EO$86,'EE Measures'!$IG$8:$IG$86,'EE Measures'!$Q$8:$Q$86,'EE Measures'!$ED$8:$ED$86)</f>
        <v>123.44022778864215</v>
      </c>
      <c r="R366" s="593">
        <f>SUMPRODUCT('EE Measures'!CK$8:CK$86,'EE Measures'!$IG$8:$IG$86,'EE Measures'!$Q$8:$Q$86)+SUMPRODUCT('EE Measures'!EP$8:EP$86,'EE Measures'!$IG$8:$IG$86,'EE Measures'!$Q$8:$Q$86,'EE Measures'!$ED$8:$ED$86)</f>
        <v>124.8353063594239</v>
      </c>
      <c r="S366" s="593">
        <f>SUMPRODUCT('EE Measures'!CL$8:CL$86,'EE Measures'!$IG$8:$IG$86,'EE Measures'!$Q$8:$Q$86)+SUMPRODUCT('EE Measures'!EQ$8:EQ$86,'EE Measures'!$IG$8:$IG$86,'EE Measures'!$Q$8:$Q$86,'EE Measures'!$ED$8:$ED$86)</f>
        <v>126.2648396323558</v>
      </c>
      <c r="T366" s="593">
        <f>SUMPRODUCT('EE Measures'!CM$8:CM$86,'EE Measures'!$IG$8:$IG$86,'EE Measures'!$Q$8:$Q$86)+SUMPRODUCT('EE Measures'!ER$8:ER$86,'EE Measures'!$IG$8:$IG$86,'EE Measures'!$Q$8:$Q$86,'EE Measures'!$ED$8:$ED$86)</f>
        <v>127.72928906351424</v>
      </c>
      <c r="U366" s="593">
        <f>SUMPRODUCT('EE Measures'!CN$8:CN$86,'EE Measures'!$IG$8:$IG$86,'EE Measures'!$Q$8:$Q$86)+SUMPRODUCT('EE Measures'!ES$8:ES$86,'EE Measures'!$IG$8:$IG$86,'EE Measures'!$Q$8:$Q$86,'EE Measures'!$ED$8:$ED$86)</f>
        <v>129.2291297508271</v>
      </c>
      <c r="V366" s="898">
        <f t="shared" si="1376"/>
        <v>1914.1222542796918</v>
      </c>
      <c r="W366" s="563" t="str">
        <v>Lõuna-Eesti </v>
      </c>
      <c r="X366" s="592">
        <f t="shared" si="1393"/>
        <v>2583.4557539915832</v>
      </c>
      <c r="Y366" s="593">
        <f>SUMPRODUCT('EE Measures'!BZ$8:BZ$86,'EE Measures'!$IG$8:$IG$86,'EE Measures'!$AB$8:$AB$86)+SUMPRODUCT('EE Measures'!EE$8:EE$86,'EE Measures'!$IG$8:$IG$86,'EE Measures'!$AB$8:$AB$86,'EE Measures'!$ED$8:$ED$86)</f>
        <v>53.762911611150713</v>
      </c>
      <c r="Z366" s="593">
        <f>SUMPRODUCT('EE Measures'!CA$8:CA$86,'EE Measures'!$IG$8:$IG$86,'EE Measures'!$AB$8:$AB$86)+SUMPRODUCT('EE Measures'!EF$8:EF$86,'EE Measures'!$IG$8:$IG$86,'EE Measures'!$AB$8:$AB$86,'EE Measures'!$ED$8:$ED$86)</f>
        <v>36.89797314033644</v>
      </c>
      <c r="AA366" s="593">
        <f>SUMPRODUCT('EE Measures'!CB$8:CB$86,'EE Measures'!$IG$8:$IG$86,'EE Measures'!$AB$8:$AB$86)+SUMPRODUCT('EE Measures'!EG$8:EG$86,'EE Measures'!$IG$8:$IG$86,'EE Measures'!$AB$8:$AB$86,'EE Measures'!$ED$8:$ED$86)</f>
        <v>37.994494798147755</v>
      </c>
      <c r="AB366" s="593">
        <f>SUMPRODUCT('EE Measures'!CC$8:CC$86,'EE Measures'!$IG$8:$IG$86,'EE Measures'!$AB$8:$AB$86)+SUMPRODUCT('EE Measures'!EH$8:EH$86,'EE Measures'!$IG$8:$IG$86,'EE Measures'!$AB$8:$AB$86,'EE Measures'!$ED$8:$ED$86)</f>
        <v>35.192997863856782</v>
      </c>
      <c r="AC366" s="593">
        <f>SUMPRODUCT('EE Measures'!CD$8:CD$86,'EE Measures'!$IG$8:$IG$86,'EE Measures'!$AB$8:$AB$86)+SUMPRODUCT('EE Measures'!EI$8:EI$86,'EE Measures'!$IG$8:$IG$86,'EE Measures'!$AB$8:$AB$86,'EE Measures'!$ED$8:$ED$86)</f>
        <v>389.35890085911507</v>
      </c>
      <c r="AD366" s="593">
        <f>SUMPRODUCT('EE Measures'!CE$8:CE$86,'EE Measures'!$IG$8:$IG$86,'EE Measures'!$AB$8:$AB$86)+SUMPRODUCT('EE Measures'!EJ$8:EJ$86,'EE Measures'!$IG$8:$IG$86,'EE Measures'!$AB$8:$AB$86,'EE Measures'!$ED$8:$ED$86)</f>
        <v>394.60353642784412</v>
      </c>
      <c r="AE366" s="593">
        <f>SUMPRODUCT('EE Measures'!CF$8:CF$86,'EE Measures'!$IG$8:$IG$86,'EE Measures'!$AB$8:$AB$86)+SUMPRODUCT('EE Measures'!EK$8:EK$86,'EE Measures'!$IG$8:$IG$86,'EE Measures'!$AB$8:$AB$86,'EE Measures'!$ED$8:$ED$86)</f>
        <v>403.37551666466612</v>
      </c>
      <c r="AF366" s="593">
        <f>SUMPRODUCT('EE Measures'!CG$8:CG$86,'EE Measures'!$IG$8:$IG$86,'EE Measures'!$AB$8:$AB$86)+SUMPRODUCT('EE Measures'!EL$8:EL$86,'EE Measures'!$IG$8:$IG$86,'EE Measures'!$AB$8:$AB$86,'EE Measures'!$ED$8:$ED$86)</f>
        <v>402.18937845632485</v>
      </c>
      <c r="AG366" s="593">
        <f>SUMPRODUCT('EE Measures'!CH$8:CH$86,'EE Measures'!$IG$8:$IG$86,'EE Measures'!$AB$8:$AB$86)+SUMPRODUCT('EE Measures'!EM$8:EM$86,'EE Measures'!$IG$8:$IG$86,'EE Measures'!$AB$8:$AB$86,'EE Measures'!$ED$8:$ED$86)</f>
        <v>411.01400259357911</v>
      </c>
      <c r="AH366" s="593">
        <f>SUMPRODUCT('EE Measures'!CI$8:CI$86,'EE Measures'!$IG$8:$IG$86,'EE Measures'!$AB$8:$AB$86)+SUMPRODUCT('EE Measures'!EN$8:EN$86,'EE Measures'!$IG$8:$IG$86,'EE Measures'!$AB$8:$AB$86,'EE Measures'!$ED$8:$ED$86)</f>
        <v>419.0660415765625</v>
      </c>
      <c r="AI366" s="593">
        <f>SUMPRODUCT('EE Measures'!CJ$8:CJ$86,'EE Measures'!$IG$8:$IG$86,'EE Measures'!$AB$8:$AB$86)+SUMPRODUCT('EE Measures'!EO$8:EO$86,'EE Measures'!$IG$8:$IG$86,'EE Measures'!$AB$8:$AB$86,'EE Measures'!$ED$8:$ED$86)</f>
        <v>425.73891540495737</v>
      </c>
      <c r="AJ366" s="593">
        <f>SUMPRODUCT('EE Measures'!CK$8:CK$86,'EE Measures'!$IG$8:$IG$86,'EE Measures'!$AB$8:$AB$86)+SUMPRODUCT('EE Measures'!EP$8:EP$86,'EE Measures'!$IG$8:$IG$86,'EE Measures'!$AB$8:$AB$86,'EE Measures'!$ED$8:$ED$86)</f>
        <v>434.98919128463262</v>
      </c>
      <c r="AK366" s="593">
        <f>SUMPRODUCT('EE Measures'!CL$8:CL$86,'EE Measures'!$IG$8:$IG$86,'EE Measures'!$AB$8:$AB$86)+SUMPRODUCT('EE Measures'!EQ$8:EQ$86,'EE Measures'!$IG$8:$IG$86,'EE Measures'!$AB$8:$AB$86,'EE Measures'!$ED$8:$ED$86)</f>
        <v>444.45469330051907</v>
      </c>
      <c r="AL366" s="593">
        <f>SUMPRODUCT('EE Measures'!CM$8:CM$86,'EE Measures'!$IG$8:$IG$86,'EE Measures'!$AB$8:$AB$86)+SUMPRODUCT('EE Measures'!ER$8:ER$86,'EE Measures'!$IG$8:$IG$86,'EE Measures'!$AB$8:$AB$86,'EE Measures'!$ED$8:$ED$86)</f>
        <v>454.14085396175466</v>
      </c>
      <c r="AM366" s="593">
        <f>SUMPRODUCT('EE Measures'!CN$8:CN$86,'EE Measures'!$IG$8:$IG$86,'EE Measures'!$AB$8:$AB$86)+SUMPRODUCT('EE Measures'!ES$8:ES$86,'EE Measures'!$IG$8:$IG$86,'EE Measures'!$AB$8:$AB$86,'EE Measures'!$ED$8:$ED$86)</f>
        <v>464.05326580237647</v>
      </c>
      <c r="AN366" s="865">
        <f>X366/$X$362</f>
        <v>0.25727709913255836</v>
      </c>
    </row>
    <row r="367" spans="3:40" hidden="1" outlineLevel="1" x14ac:dyDescent="0.3">
      <c r="C367" s="587" t="str">
        <f t="shared" si="1391"/>
        <v>EEO</v>
      </c>
      <c r="E367" s="563" t="s">
        <v>54</v>
      </c>
      <c r="F367" s="592">
        <f t="shared" si="1392"/>
        <v>57.084871975960553</v>
      </c>
      <c r="G367" s="593">
        <f>SUMPRODUCT('EE Measures'!BZ$8:BZ$86,'EE Measures'!$IG$8:$IG$86,'EE Measures'!$R$8:$R$86)+SUMPRODUCT('EE Measures'!EE$8:EE$86,'EE Measures'!$IG$8:$IG$86,'EE Measures'!$R$8:$R$86,'EE Measures'!$ED$8:$ED$86)</f>
        <v>0.19824537138156786</v>
      </c>
      <c r="H367" s="593">
        <f>SUMPRODUCT('EE Measures'!CA$8:CA$86,'EE Measures'!$IG$8:$IG$86,'EE Measures'!$R$8:$R$86)+SUMPRODUCT('EE Measures'!EF$8:EF$86,'EE Measures'!$IG$8:$IG$86,'EE Measures'!$R$8:$R$86,'EE Measures'!$ED$8:$ED$86)</f>
        <v>0.22216844741811145</v>
      </c>
      <c r="I367" s="593">
        <f>SUMPRODUCT('EE Measures'!CB$8:CB$86,'EE Measures'!$IG$8:$IG$86,'EE Measures'!$R$8:$R$86)+SUMPRODUCT('EE Measures'!EG$8:EG$86,'EE Measures'!$IG$8:$IG$86,'EE Measures'!$R$8:$R$86,'EE Measures'!$ED$8:$ED$86)</f>
        <v>0.24739223196539509</v>
      </c>
      <c r="J367" s="593">
        <f>SUMPRODUCT('EE Measures'!CC$8:CC$86,'EE Measures'!$IG$8:$IG$86,'EE Measures'!$R$8:$R$86)+SUMPRODUCT('EE Measures'!EH$8:EH$86,'EE Measures'!$IG$8:$IG$86,'EE Measures'!$R$8:$R$86,'EE Measures'!$ED$8:$ED$86)</f>
        <v>4.4688409949200949</v>
      </c>
      <c r="K367" s="593">
        <f>SUMPRODUCT('EE Measures'!CD$8:CD$86,'EE Measures'!$IG$8:$IG$86,'EE Measures'!$R$8:$R$86)+SUMPRODUCT('EE Measures'!EI$8:EI$86,'EE Measures'!$IG$8:$IG$86,'EE Measures'!$R$8:$R$86,'EE Measures'!$ED$8:$ED$86)</f>
        <v>6.613146358568093</v>
      </c>
      <c r="L367" s="593">
        <f>SUMPRODUCT('EE Measures'!CE$8:CE$86,'EE Measures'!$IG$8:$IG$86,'EE Measures'!$R$8:$R$86)+SUMPRODUCT('EE Measures'!EJ$8:EJ$86,'EE Measures'!$IG$8:$IG$86,'EE Measures'!$R$8:$R$86,'EE Measures'!$ED$8:$ED$86)</f>
        <v>6.6884502401727692</v>
      </c>
      <c r="M367" s="593">
        <f>SUMPRODUCT('EE Measures'!CF$8:CF$86,'EE Measures'!$IG$8:$IG$86,'EE Measures'!$R$8:$R$86)+SUMPRODUCT('EE Measures'!EK$8:EK$86,'EE Measures'!$IG$8:$IG$86,'EE Measures'!$R$8:$R$86,'EE Measures'!$ED$8:$ED$86)</f>
        <v>9.5326171661078121</v>
      </c>
      <c r="N367" s="593">
        <f>SUMPRODUCT('EE Measures'!CG$8:CG$86,'EE Measures'!$IG$8:$IG$86,'EE Measures'!$R$8:$R$86)+SUMPRODUCT('EE Measures'!EL$8:EL$86,'EE Measures'!$IG$8:$IG$86,'EE Measures'!$R$8:$R$86,'EE Measures'!$ED$8:$ED$86)</f>
        <v>9.6165746127363079</v>
      </c>
      <c r="O367" s="593">
        <f>SUMPRODUCT('EE Measures'!CH$8:CH$86,'EE Measures'!$IG$8:$IG$86,'EE Measures'!$R$8:$R$86)+SUMPRODUCT('EE Measures'!EM$8:EM$86,'EE Measures'!$IG$8:$IG$86,'EE Measures'!$R$8:$R$86,'EE Measures'!$ED$8:$ED$86)</f>
        <v>9.7036184945977091</v>
      </c>
      <c r="P367" s="593">
        <f>SUMPRODUCT('EE Measures'!CI$8:CI$86,'EE Measures'!$IG$8:$IG$86,'EE Measures'!$R$8:$R$86)+SUMPRODUCT('EE Measures'!EN$8:EN$86,'EE Measures'!$IG$8:$IG$86,'EE Measures'!$R$8:$R$86,'EE Measures'!$ED$8:$ED$86)</f>
        <v>9.7938180580926968</v>
      </c>
      <c r="Q367" s="593">
        <f>SUMPRODUCT('EE Measures'!CJ$8:CJ$86,'EE Measures'!$IG$8:$IG$86,'EE Measures'!$R$8:$R$86)+SUMPRODUCT('EE Measures'!EO$8:EO$86,'EE Measures'!$IG$8:$IG$86,'EE Measures'!$R$8:$R$86,'EE Measures'!$ED$8:$ED$86)</f>
        <v>7.1216685945425162</v>
      </c>
      <c r="R367" s="593">
        <f>SUMPRODUCT('EE Measures'!CK$8:CK$86,'EE Measures'!$IG$8:$IG$86,'EE Measures'!$R$8:$R$86)+SUMPRODUCT('EE Measures'!EP$8:EP$86,'EE Measures'!$IG$8:$IG$86,'EE Measures'!$R$8:$R$86,'EE Measures'!$ED$8:$ED$86)</f>
        <v>7.2183990603443124</v>
      </c>
      <c r="S367" s="593">
        <f>SUMPRODUCT('EE Measures'!CL$8:CL$86,'EE Measures'!$IG$8:$IG$86,'EE Measures'!$R$8:$R$86)+SUMPRODUCT('EE Measures'!EQ$8:EQ$86,'EE Measures'!$IG$8:$IG$86,'EE Measures'!$R$8:$R$86,'EE Measures'!$ED$8:$ED$86)</f>
        <v>7.3185108983627574</v>
      </c>
      <c r="T367" s="593">
        <f>SUMPRODUCT('EE Measures'!CM$8:CM$86,'EE Measures'!$IG$8:$IG$86,'EE Measures'!$R$8:$R$86)+SUMPRODUCT('EE Measures'!ER$8:ER$86,'EE Measures'!$IG$8:$IG$86,'EE Measures'!$R$8:$R$86,'EE Measures'!$ED$8:$ED$86)</f>
        <v>7.4220856664942518</v>
      </c>
      <c r="U367" s="593">
        <f>SUMPRODUCT('EE Measures'!CN$8:CN$86,'EE Measures'!$IG$8:$IG$86,'EE Measures'!$R$8:$R$86)+SUMPRODUCT('EE Measures'!ES$8:ES$86,'EE Measures'!$IG$8:$IG$86,'EE Measures'!$R$8:$R$86,'EE Measures'!$ED$8:$ED$86)</f>
        <v>7.5292082692412787</v>
      </c>
      <c r="V367" s="898">
        <f t="shared" si="1376"/>
        <v>93.026938414180606</v>
      </c>
      <c r="W367" s="563" t="str">
        <v>Kesk-Eesti</v>
      </c>
      <c r="X367" s="592">
        <f t="shared" si="1393"/>
        <v>1163.4334521223773</v>
      </c>
      <c r="Y367" s="593">
        <f>SUMPRODUCT('EE Measures'!BZ$8:BZ$86,'EE Measures'!$IG$8:$IG$86,'EE Measures'!$AC$8:$AC$86)+SUMPRODUCT('EE Measures'!EE$8:EE$86,'EE Measures'!$IG$8:$IG$86,'EE Measures'!$AC$8:$AC$86,'EE Measures'!$ED$8:$ED$86)</f>
        <v>22.052750486961642</v>
      </c>
      <c r="Z367" s="593">
        <f>SUMPRODUCT('EE Measures'!CA$8:CA$86,'EE Measures'!$IG$8:$IG$86,'EE Measures'!$AC$8:$AC$86)+SUMPRODUCT('EE Measures'!EF$8:EF$86,'EE Measures'!$IG$8:$IG$86,'EE Measures'!$AC$8:$AC$86,'EE Measures'!$ED$8:$ED$86)</f>
        <v>15.566903318165366</v>
      </c>
      <c r="AA367" s="593">
        <f>SUMPRODUCT('EE Measures'!CB$8:CB$86,'EE Measures'!$IG$8:$IG$86,'EE Measures'!$AC$8:$AC$86)+SUMPRODUCT('EE Measures'!EG$8:EG$86,'EE Measures'!$IG$8:$IG$86,'EE Measures'!$AC$8:$AC$86,'EE Measures'!$ED$8:$ED$86)</f>
        <v>16.671046366674489</v>
      </c>
      <c r="AB367" s="593">
        <f>SUMPRODUCT('EE Measures'!CC$8:CC$86,'EE Measures'!$IG$8:$IG$86,'EE Measures'!$AC$8:$AC$86)+SUMPRODUCT('EE Measures'!EH$8:EH$86,'EE Measures'!$IG$8:$IG$86,'EE Measures'!$AC$8:$AC$86,'EE Measures'!$ED$8:$ED$86)</f>
        <v>14.743118910916724</v>
      </c>
      <c r="AC367" s="593">
        <f>SUMPRODUCT('EE Measures'!CD$8:CD$86,'EE Measures'!$IG$8:$IG$86,'EE Measures'!$AC$8:$AC$86)+SUMPRODUCT('EE Measures'!EI$8:EI$86,'EE Measures'!$IG$8:$IG$86,'EE Measures'!$AC$8:$AC$86,'EE Measures'!$ED$8:$ED$86)</f>
        <v>175.90484506697069</v>
      </c>
      <c r="AD367" s="593">
        <f>SUMPRODUCT('EE Measures'!CE$8:CE$86,'EE Measures'!$IG$8:$IG$86,'EE Measures'!$AC$8:$AC$86)+SUMPRODUCT('EE Measures'!EJ$8:EJ$86,'EE Measures'!$IG$8:$IG$86,'EE Measures'!$AC$8:$AC$86,'EE Measures'!$ED$8:$ED$86)</f>
        <v>178.33006621333246</v>
      </c>
      <c r="AE367" s="593">
        <f>SUMPRODUCT('EE Measures'!CF$8:CF$86,'EE Measures'!$IG$8:$IG$86,'EE Measures'!$AC$8:$AC$86)+SUMPRODUCT('EE Measures'!EK$8:EK$86,'EE Measures'!$IG$8:$IG$86,'EE Measures'!$AC$8:$AC$86,'EE Measures'!$ED$8:$ED$86)</f>
        <v>182.38253694921204</v>
      </c>
      <c r="AF367" s="593">
        <f>SUMPRODUCT('EE Measures'!CG$8:CG$86,'EE Measures'!$IG$8:$IG$86,'EE Measures'!$AC$8:$AC$86)+SUMPRODUCT('EE Measures'!EL$8:EL$86,'EE Measures'!$IG$8:$IG$86,'EE Measures'!$AC$8:$AC$86,'EE Measures'!$ED$8:$ED$86)</f>
        <v>182.08544080581305</v>
      </c>
      <c r="AG367" s="593">
        <f>SUMPRODUCT('EE Measures'!CH$8:CH$86,'EE Measures'!$IG$8:$IG$86,'EE Measures'!$AC$8:$AC$86)+SUMPRODUCT('EE Measures'!EM$8:EM$86,'EE Measures'!$IG$8:$IG$86,'EE Measures'!$AC$8:$AC$86,'EE Measures'!$ED$8:$ED$86)</f>
        <v>186.02219086062681</v>
      </c>
      <c r="AH367" s="593">
        <f>SUMPRODUCT('EE Measures'!CI$8:CI$86,'EE Measures'!$IG$8:$IG$86,'EE Measures'!$AC$8:$AC$86)+SUMPRODUCT('EE Measures'!EN$8:EN$86,'EE Measures'!$IG$8:$IG$86,'EE Measures'!$AC$8:$AC$86,'EE Measures'!$ED$8:$ED$86)</f>
        <v>189.67455314370397</v>
      </c>
      <c r="AI367" s="593">
        <f>SUMPRODUCT('EE Measures'!CJ$8:CJ$86,'EE Measures'!$IG$8:$IG$86,'EE Measures'!$AC$8:$AC$86)+SUMPRODUCT('EE Measures'!EO$8:EO$86,'EE Measures'!$IG$8:$IG$86,'EE Measures'!$AC$8:$AC$86,'EE Measures'!$ED$8:$ED$86)</f>
        <v>192.66607030013523</v>
      </c>
      <c r="AJ367" s="593">
        <f>SUMPRODUCT('EE Measures'!CK$8:CK$86,'EE Measures'!$IG$8:$IG$86,'EE Measures'!$AC$8:$AC$86)+SUMPRODUCT('EE Measures'!EP$8:EP$86,'EE Measures'!$IG$8:$IG$86,'EE Measures'!$AC$8:$AC$86,'EE Measures'!$ED$8:$ED$86)</f>
        <v>196.82320134180651</v>
      </c>
      <c r="AK367" s="593">
        <f>SUMPRODUCT('EE Measures'!CL$8:CL$86,'EE Measures'!$IG$8:$IG$86,'EE Measures'!$AC$8:$AC$86)+SUMPRODUCT('EE Measures'!EQ$8:EQ$86,'EE Measures'!$IG$8:$IG$86,'EE Measures'!$AC$8:$AC$86,'EE Measures'!$ED$8:$ED$86)</f>
        <v>201.07605886232798</v>
      </c>
      <c r="AL367" s="593">
        <f>SUMPRODUCT('EE Measures'!CM$8:CM$86,'EE Measures'!$IG$8:$IG$86,'EE Measures'!$AC$8:$AC$86)+SUMPRODUCT('EE Measures'!ER$8:ER$86,'EE Measures'!$IG$8:$IG$86,'EE Measures'!$AC$8:$AC$86,'EE Measures'!$ED$8:$ED$86)</f>
        <v>205.42702815844865</v>
      </c>
      <c r="AM367" s="593">
        <f>SUMPRODUCT('EE Measures'!CN$8:CN$86,'EE Measures'!$IG$8:$IG$86,'EE Measures'!$AC$8:$AC$86)+SUMPRODUCT('EE Measures'!ES$8:ES$86,'EE Measures'!$IG$8:$IG$86,'EE Measures'!$AC$8:$AC$86,'EE Measures'!$ED$8:$ED$86)</f>
        <v>209.87856369881928</v>
      </c>
      <c r="AN367" s="865">
        <f>X367/$X$362</f>
        <v>0.11586216761535396</v>
      </c>
    </row>
    <row r="368" spans="3:40" hidden="1" outlineLevel="1" x14ac:dyDescent="0.3">
      <c r="C368" s="587" t="str">
        <f>E368</f>
        <v>VA</v>
      </c>
      <c r="E368" s="555" t="str">
        <f>'EE Measures'!$IH$6</f>
        <v>VA</v>
      </c>
      <c r="F368" s="590">
        <f>SUM(G368:P368)</f>
        <v>10564.909274288977</v>
      </c>
      <c r="G368" s="591">
        <f>SUM(G369:G373)</f>
        <v>280.06666720746978</v>
      </c>
      <c r="H368" s="591">
        <f>SUM(H369:H373)</f>
        <v>210.06394151473643</v>
      </c>
      <c r="I368" s="591">
        <f t="shared" ref="I368:P368" si="1394">SUM(I369:I373)</f>
        <v>173.89861988837592</v>
      </c>
      <c r="J368" s="591">
        <f t="shared" si="1394"/>
        <v>325.22114029600851</v>
      </c>
      <c r="K368" s="591">
        <f t="shared" si="1394"/>
        <v>1680.1498368674411</v>
      </c>
      <c r="L368" s="591">
        <f t="shared" si="1394"/>
        <v>1586.965169004485</v>
      </c>
      <c r="M368" s="591">
        <f t="shared" si="1394"/>
        <v>1548.4575860775326</v>
      </c>
      <c r="N368" s="591">
        <f t="shared" si="1394"/>
        <v>1543.1383803187362</v>
      </c>
      <c r="O368" s="591">
        <f t="shared" si="1394"/>
        <v>1588.9834152081128</v>
      </c>
      <c r="P368" s="591">
        <f t="shared" si="1394"/>
        <v>1627.9645179060783</v>
      </c>
      <c r="Q368" s="591">
        <f t="shared" ref="Q368:U368" si="1395">SUM(Q369:Q373)</f>
        <v>1650.3385862015625</v>
      </c>
      <c r="R368" s="591">
        <f t="shared" si="1395"/>
        <v>1684.441973691911</v>
      </c>
      <c r="S368" s="591">
        <f t="shared" si="1395"/>
        <v>1719.3490557546568</v>
      </c>
      <c r="T368" s="591">
        <f t="shared" si="1395"/>
        <v>1755.0804683780564</v>
      </c>
      <c r="U368" s="591">
        <f t="shared" si="1395"/>
        <v>1791.6667481608476</v>
      </c>
      <c r="V368" s="898">
        <f t="shared" si="1376"/>
        <v>18501.756877865431</v>
      </c>
      <c r="W368" s="555" t="str">
        <f>'EE Measures'!$IH$6</f>
        <v>VA</v>
      </c>
      <c r="X368" s="590">
        <f>SUM(Y368:AH368)</f>
        <v>10564.501874288977</v>
      </c>
      <c r="Y368" s="591">
        <f t="shared" ref="Y368:Z368" si="1396">SUM(Y369:Y373)</f>
        <v>280.06666720746983</v>
      </c>
      <c r="Z368" s="591">
        <f t="shared" si="1396"/>
        <v>210.0639415147364</v>
      </c>
      <c r="AA368" s="591">
        <f t="shared" ref="AA368" si="1397">SUM(AA369:AA373)</f>
        <v>173.89861988837595</v>
      </c>
      <c r="AB368" s="591">
        <f t="shared" ref="AB368" si="1398">SUM(AB369:AB373)</f>
        <v>325.22114029600851</v>
      </c>
      <c r="AC368" s="591">
        <f t="shared" ref="AC368" si="1399">SUM(AC369:AC373)</f>
        <v>1680.0819368674406</v>
      </c>
      <c r="AD368" s="591">
        <f t="shared" ref="AD368" si="1400">SUM(AD369:AD373)</f>
        <v>1586.8972690044848</v>
      </c>
      <c r="AE368" s="591">
        <f t="shared" ref="AE368" si="1401">SUM(AE369:AE373)</f>
        <v>1548.3896860775326</v>
      </c>
      <c r="AF368" s="591">
        <f t="shared" ref="AF368" si="1402">SUM(AF369:AF373)</f>
        <v>1543.0704803187361</v>
      </c>
      <c r="AG368" s="591">
        <f t="shared" ref="AG368" si="1403">SUM(AG369:AG373)</f>
        <v>1588.915515208113</v>
      </c>
      <c r="AH368" s="591">
        <f t="shared" ref="AH368:AM368" si="1404">SUM(AH369:AH373)</f>
        <v>1627.8966179060783</v>
      </c>
      <c r="AI368" s="591">
        <f t="shared" si="1404"/>
        <v>1650.2706862015621</v>
      </c>
      <c r="AJ368" s="591">
        <f t="shared" si="1404"/>
        <v>1684.3740736919112</v>
      </c>
      <c r="AK368" s="591">
        <f t="shared" si="1404"/>
        <v>1719.2811557546565</v>
      </c>
      <c r="AL368" s="591">
        <f t="shared" si="1404"/>
        <v>1755.0125683780561</v>
      </c>
      <c r="AM368" s="591">
        <f t="shared" si="1404"/>
        <v>1791.5988481608479</v>
      </c>
    </row>
    <row r="369" spans="3:40" hidden="1" outlineLevel="1" x14ac:dyDescent="0.3">
      <c r="C369" s="587" t="str">
        <f>C368</f>
        <v>VA</v>
      </c>
      <c r="E369" s="563" t="s">
        <v>50</v>
      </c>
      <c r="F369" s="592">
        <f>SUM(G369:P369)</f>
        <v>603.20337000591064</v>
      </c>
      <c r="G369" s="593">
        <f>SUMPRODUCT('EE Measures'!BZ$8:BZ$86,'EE Measures'!$IH$8:$IH$86,'EE Measures'!$N$8:$N$86)+SUMPRODUCT('EE Measures'!EE$8:EE$86,'EE Measures'!$IH$8:$IH$86,'EE Measures'!$N$8:$N$86,'EE Measures'!$ED$8:$ED$86)</f>
        <v>50.705714717758653</v>
      </c>
      <c r="H369" s="593">
        <f>SUMPRODUCT('EE Measures'!CA$8:CA$86,'EE Measures'!$IH$8:$IH$86,'EE Measures'!$N$8:$N$86)+SUMPRODUCT('EE Measures'!EF$8:EF$86,'EE Measures'!$IH$8:$IH$86,'EE Measures'!$N$8:$N$86,'EE Measures'!$ED$8:$ED$86)</f>
        <v>4.4123408105379829</v>
      </c>
      <c r="I369" s="593">
        <f>SUMPRODUCT('EE Measures'!CB$8:CB$86,'EE Measures'!$IH$8:$IH$86,'EE Measures'!$N$8:$N$86)+SUMPRODUCT('EE Measures'!EG$8:EG$86,'EE Measures'!$IH$8:$IH$86,'EE Measures'!$N$8:$N$86,'EE Measures'!$ED$8:$ED$86)</f>
        <v>2.1307494384081855</v>
      </c>
      <c r="J369" s="593">
        <f>SUMPRODUCT('EE Measures'!CC$8:CC$86,'EE Measures'!$IH$8:$IH$86,'EE Measures'!$N$8:$N$86)+SUMPRODUCT('EE Measures'!EH$8:EH$86,'EE Measures'!$IH$8:$IH$86,'EE Measures'!$N$8:$N$86,'EE Measures'!$ED$8:$ED$86)</f>
        <v>60.854220237304112</v>
      </c>
      <c r="K369" s="593">
        <f>SUMPRODUCT('EE Measures'!CD$8:CD$86,'EE Measures'!$IH$8:$IH$86,'EE Measures'!$N$8:$N$86)+SUMPRODUCT('EE Measures'!EI$8:EI$86,'EE Measures'!$IH$8:$IH$86,'EE Measures'!$N$8:$N$86,'EE Measures'!$ED$8:$ED$86)</f>
        <v>90.67522640930693</v>
      </c>
      <c r="L369" s="593">
        <f>SUMPRODUCT('EE Measures'!CE$8:CE$86,'EE Measures'!$IH$8:$IH$86,'EE Measures'!$N$8:$N$86)+SUMPRODUCT('EE Measures'!EJ$8:EJ$86,'EE Measures'!$IH$8:$IH$86,'EE Measures'!$N$8:$N$86,'EE Measures'!$ED$8:$ED$86)</f>
        <v>88.170306601726338</v>
      </c>
      <c r="M369" s="593">
        <f>SUMPRODUCT('EE Measures'!CF$8:CF$86,'EE Measures'!$IH$8:$IH$86,'EE Measures'!$N$8:$N$86)+SUMPRODUCT('EE Measures'!EK$8:EK$86,'EE Measures'!$IH$8:$IH$86,'EE Measures'!$N$8:$N$86,'EE Measures'!$ED$8:$ED$86)</f>
        <v>84.314709640953836</v>
      </c>
      <c r="N369" s="593">
        <f>SUMPRODUCT('EE Measures'!CG$8:CG$86,'EE Measures'!$IH$8:$IH$86,'EE Measures'!$N$8:$N$86)+SUMPRODUCT('EE Measures'!EL$8:EL$86,'EE Measures'!$IH$8:$IH$86,'EE Measures'!$N$8:$N$86,'EE Measures'!$ED$8:$ED$86)</f>
        <v>60.760566564391802</v>
      </c>
      <c r="O369" s="593">
        <f>SUMPRODUCT('EE Measures'!CH$8:CH$86,'EE Measures'!$IH$8:$IH$86,'EE Measures'!$N$8:$N$86)+SUMPRODUCT('EE Measures'!EM$8:EM$86,'EE Measures'!$IH$8:$IH$86,'EE Measures'!$N$8:$N$86,'EE Measures'!$ED$8:$ED$86)</f>
        <v>75.129004152570189</v>
      </c>
      <c r="P369" s="593">
        <f>SUMPRODUCT('EE Measures'!CI$8:CI$86,'EE Measures'!$IH$8:$IH$86,'EE Measures'!$N$8:$N$86)+SUMPRODUCT('EE Measures'!EN$8:EN$86,'EE Measures'!$IH$8:$IH$86,'EE Measures'!$N$8:$N$86,'EE Measures'!$ED$8:$ED$86)</f>
        <v>86.050531432952667</v>
      </c>
      <c r="Q369" s="593">
        <f>SUMPRODUCT('EE Measures'!CJ$8:CJ$86,'EE Measures'!$IH$8:$IH$86,'EE Measures'!$N$8:$N$86)+SUMPRODUCT('EE Measures'!EO$8:EO$86,'EE Measures'!$IH$8:$IH$86,'EE Measures'!$N$8:$N$86,'EE Measures'!$ED$8:$ED$86)</f>
        <v>87.6934093285561</v>
      </c>
      <c r="R369" s="593">
        <f>SUMPRODUCT('EE Measures'!CK$8:CK$86,'EE Measures'!$IH$8:$IH$86,'EE Measures'!$N$8:$N$86)+SUMPRODUCT('EE Measures'!EP$8:EP$86,'EE Measures'!$IH$8:$IH$86,'EE Measures'!$N$8:$N$86,'EE Measures'!$ED$8:$ED$86)</f>
        <v>89.376720363297125</v>
      </c>
      <c r="S369" s="593">
        <f>SUMPRODUCT('EE Measures'!CL$8:CL$86,'EE Measures'!$IH$8:$IH$86,'EE Measures'!$N$8:$N$86)+SUMPRODUCT('EE Measures'!EQ$8:EQ$86,'EE Measures'!$IH$8:$IH$86,'EE Measures'!$N$8:$N$86,'EE Measures'!$ED$8:$ED$86)</f>
        <v>91.104076516732874</v>
      </c>
      <c r="T369" s="593">
        <f>SUMPRODUCT('EE Measures'!CM$8:CM$86,'EE Measures'!$IH$8:$IH$86,'EE Measures'!$N$8:$N$86)+SUMPRODUCT('EE Measures'!ER$8:ER$86,'EE Measures'!$IH$8:$IH$86,'EE Measures'!$N$8:$N$86,'EE Measures'!$ED$8:$ED$86)</f>
        <v>92.876769694115694</v>
      </c>
      <c r="U369" s="593">
        <f>SUMPRODUCT('EE Measures'!CN$8:CN$86,'EE Measures'!$IH$8:$IH$86,'EE Measures'!$N$8:$N$86)+SUMPRODUCT('EE Measures'!ES$8:ES$86,'EE Measures'!$IH$8:$IH$86,'EE Measures'!$N$8:$N$86,'EE Measures'!$ED$8:$ED$86)</f>
        <v>94.705415476109977</v>
      </c>
      <c r="V369" s="898">
        <f t="shared" si="1376"/>
        <v>1001.7109564180175</v>
      </c>
      <c r="W369" s="563" t="str" cm="1">
        <f t="array" ref="W369:W373">_xlfn.ANCHORARRAY($W$357)</f>
        <v xml:space="preserve">Põhja-Eesti </v>
      </c>
      <c r="X369" s="592">
        <f>SUM(Y369:AH369)</f>
        <v>4112.0654343016668</v>
      </c>
      <c r="Y369" s="593">
        <f>SUMPRODUCT('EE Measures'!BZ$8:BZ$86,'EE Measures'!$IH$8:$IH$86,'EE Measures'!$Y$8:$Y$86)+SUMPRODUCT('EE Measures'!EE$8:EE$86,'EE Measures'!$IH$8:$IH$86,'EE Measures'!$Y$8:$Y$86,'EE Measures'!$ED$8:$ED$86)</f>
        <v>137.40952232207587</v>
      </c>
      <c r="Z369" s="593">
        <f>SUMPRODUCT('EE Measures'!CA$8:CA$86,'EE Measures'!$IH$8:$IH$86,'EE Measures'!$Y$8:$Y$86)+SUMPRODUCT('EE Measures'!EF$8:EF$86,'EE Measures'!$IH$8:$IH$86,'EE Measures'!$Y$8:$Y$86,'EE Measures'!$ED$8:$ED$86)</f>
        <v>97.725308031825477</v>
      </c>
      <c r="AA369" s="593">
        <f>SUMPRODUCT('EE Measures'!CB$8:CB$86,'EE Measures'!$IH$8:$IH$86,'EE Measures'!$Y$8:$Y$86)+SUMPRODUCT('EE Measures'!EG$8:EG$86,'EE Measures'!$IH$8:$IH$86,'EE Measures'!$Y$8:$Y$86,'EE Measures'!$ED$8:$ED$86)</f>
        <v>69.14226297335253</v>
      </c>
      <c r="AB369" s="593">
        <f>SUMPRODUCT('EE Measures'!CC$8:CC$86,'EE Measures'!$IH$8:$IH$86,'EE Measures'!$Y$8:$Y$86)+SUMPRODUCT('EE Measures'!EH$8:EH$86,'EE Measures'!$IH$8:$IH$86,'EE Measures'!$Y$8:$Y$86,'EE Measures'!$ED$8:$ED$86)</f>
        <v>160.10005444914981</v>
      </c>
      <c r="AC369" s="593">
        <f>SUMPRODUCT('EE Measures'!CD$8:CD$86,'EE Measures'!$IH$8:$IH$86,'EE Measures'!$Y$8:$Y$86)+SUMPRODUCT('EE Measures'!EI$8:EI$86,'EE Measures'!$IH$8:$IH$86,'EE Measures'!$Y$8:$Y$86,'EE Measures'!$ED$8:$ED$86)</f>
        <v>668.0212660853033</v>
      </c>
      <c r="AD369" s="593">
        <f>SUMPRODUCT('EE Measures'!CE$8:CE$86,'EE Measures'!$IH$8:$IH$86,'EE Measures'!$Y$8:$Y$86)+SUMPRODUCT('EE Measures'!EJ$8:EJ$86,'EE Measures'!$IH$8:$IH$86,'EE Measures'!$Y$8:$Y$86,'EE Measures'!$ED$8:$ED$86)</f>
        <v>607.41772120032317</v>
      </c>
      <c r="AE369" s="593">
        <f>SUMPRODUCT('EE Measures'!CF$8:CF$86,'EE Measures'!$IH$8:$IH$86,'EE Measures'!$Y$8:$Y$86)+SUMPRODUCT('EE Measures'!EK$8:EK$86,'EE Measures'!$IH$8:$IH$86,'EE Measures'!$Y$8:$Y$86,'EE Measures'!$ED$8:$ED$86)</f>
        <v>583.4687610643939</v>
      </c>
      <c r="AF369" s="593">
        <f>SUMPRODUCT('EE Measures'!CG$8:CG$86,'EE Measures'!$IH$8:$IH$86,'EE Measures'!$Y$8:$Y$86)+SUMPRODUCT('EE Measures'!EL$8:EL$86,'EE Measures'!$IH$8:$IH$86,'EE Measures'!$Y$8:$Y$86,'EE Measures'!$ED$8:$ED$86)</f>
        <v>577.68453692581704</v>
      </c>
      <c r="AG369" s="593">
        <f>SUMPRODUCT('EE Measures'!CH$8:CH$86,'EE Measures'!$IH$8:$IH$86,'EE Measures'!$Y$8:$Y$86)+SUMPRODUCT('EE Measures'!EM$8:EM$86,'EE Measures'!$IH$8:$IH$86,'EE Measures'!$Y$8:$Y$86,'EE Measures'!$ED$8:$ED$86)</f>
        <v>597.39571792051822</v>
      </c>
      <c r="AH369" s="593">
        <f>SUMPRODUCT('EE Measures'!CI$8:CI$86,'EE Measures'!$IH$8:$IH$86,'EE Measures'!$Y$8:$Y$86)+SUMPRODUCT('EE Measures'!EN$8:EN$86,'EE Measures'!$IH$8:$IH$86,'EE Measures'!$Y$8:$Y$86,'EE Measures'!$ED$8:$ED$86)</f>
        <v>613.70028332890672</v>
      </c>
      <c r="AI369" s="593">
        <f>SUMPRODUCT('EE Measures'!CJ$8:CJ$86,'EE Measures'!$IH$8:$IH$86,'EE Measures'!$Y$8:$Y$86)+SUMPRODUCT('EE Measures'!EO$8:EO$86,'EE Measures'!$IH$8:$IH$86,'EE Measures'!$Y$8:$Y$86,'EE Measures'!$ED$8:$ED$86)</f>
        <v>620.79499415149598</v>
      </c>
      <c r="AJ369" s="593">
        <f>SUMPRODUCT('EE Measures'!CK$8:CK$86,'EE Measures'!$IH$8:$IH$86,'EE Measures'!$Y$8:$Y$86)+SUMPRODUCT('EE Measures'!EP$8:EP$86,'EE Measures'!$IH$8:$IH$86,'EE Measures'!$Y$8:$Y$86,'EE Measures'!$ED$8:$ED$86)</f>
        <v>634.05306267531898</v>
      </c>
      <c r="AK369" s="593">
        <f>SUMPRODUCT('EE Measures'!CL$8:CL$86,'EE Measures'!$IH$8:$IH$86,'EE Measures'!$Y$8:$Y$86)+SUMPRODUCT('EE Measures'!EQ$8:EQ$86,'EE Measures'!$IH$8:$IH$86,'EE Measures'!$Y$8:$Y$86,'EE Measures'!$ED$8:$ED$86)</f>
        <v>647.63480557643265</v>
      </c>
      <c r="AL369" s="593">
        <f>SUMPRODUCT('EE Measures'!CM$8:CM$86,'EE Measures'!$IH$8:$IH$86,'EE Measures'!$Y$8:$Y$86)+SUMPRODUCT('EE Measures'!ER$8:ER$86,'EE Measures'!$IH$8:$IH$86,'EE Measures'!$Y$8:$Y$86,'EE Measures'!$ED$8:$ED$86)</f>
        <v>661.54889210797876</v>
      </c>
      <c r="AM369" s="593">
        <f>SUMPRODUCT('EE Measures'!CN$8:CN$86,'EE Measures'!$IH$8:$IH$86,'EE Measures'!$Y$8:$Y$86)+SUMPRODUCT('EE Measures'!ES$8:ES$86,'EE Measures'!$IH$8:$IH$86,'EE Measures'!$Y$8:$Y$86,'EE Measures'!$ED$8:$ED$86)</f>
        <v>675.80900136831622</v>
      </c>
      <c r="AN369" s="865">
        <f>X369/$X$368</f>
        <v>0.38923419989249813</v>
      </c>
    </row>
    <row r="370" spans="3:40" hidden="1" outlineLevel="1" x14ac:dyDescent="0.3">
      <c r="C370" s="587" t="str">
        <f t="shared" ref="C370:C373" si="1405">C369</f>
        <v>VA</v>
      </c>
      <c r="E370" s="563" t="s">
        <v>51</v>
      </c>
      <c r="F370" s="592">
        <f t="shared" ref="F370:F373" si="1406">SUM(G370:P370)</f>
        <v>5777.3022153100692</v>
      </c>
      <c r="G370" s="593">
        <f>SUMPRODUCT('EE Measures'!BZ$8:BZ$86,'EE Measures'!$IH$8:$IH$86,'EE Measures'!$O$8:$O$86)+SUMPRODUCT('EE Measures'!EE$8:EE$86,'EE Measures'!$IH$8:$IH$86,'EE Measures'!$O$8:$O$86,'EE Measures'!$ED$8:$ED$86)</f>
        <v>51.031228234059256</v>
      </c>
      <c r="H370" s="593">
        <f>SUMPRODUCT('EE Measures'!CA$8:CA$86,'EE Measures'!$IH$8:$IH$86,'EE Measures'!$O$8:$O$86)+SUMPRODUCT('EE Measures'!EF$8:EF$86,'EE Measures'!$IH$8:$IH$86,'EE Measures'!$O$8:$O$86,'EE Measures'!$ED$8:$ED$86)</f>
        <v>64.756652418271301</v>
      </c>
      <c r="I370" s="593">
        <f>SUMPRODUCT('EE Measures'!CB$8:CB$86,'EE Measures'!$IH$8:$IH$86,'EE Measures'!$O$8:$O$86)+SUMPRODUCT('EE Measures'!EG$8:EG$86,'EE Measures'!$IH$8:$IH$86,'EE Measures'!$O$8:$O$86,'EE Measures'!$ED$8:$ED$86)</f>
        <v>79.671120340566887</v>
      </c>
      <c r="J370" s="593">
        <f>SUMPRODUCT('EE Measures'!CC$8:CC$86,'EE Measures'!$IH$8:$IH$86,'EE Measures'!$O$8:$O$86)+SUMPRODUCT('EE Measures'!EH$8:EH$86,'EE Measures'!$IH$8:$IH$86,'EE Measures'!$O$8:$O$86,'EE Measures'!$ED$8:$ED$86)</f>
        <v>18.81365754617449</v>
      </c>
      <c r="K370" s="593">
        <f>SUMPRODUCT('EE Measures'!CD$8:CD$86,'EE Measures'!$IH$8:$IH$86,'EE Measures'!$O$8:$O$86)+SUMPRODUCT('EE Measures'!EI$8:EI$86,'EE Measures'!$IH$8:$IH$86,'EE Measures'!$O$8:$O$86,'EE Measures'!$ED$8:$ED$86)</f>
        <v>877.60673432881538</v>
      </c>
      <c r="L370" s="593">
        <f>SUMPRODUCT('EE Measures'!CE$8:CE$86,'EE Measures'!$IH$8:$IH$86,'EE Measures'!$O$8:$O$86)+SUMPRODUCT('EE Measures'!EJ$8:EJ$86,'EE Measures'!$IH$8:$IH$86,'EE Measures'!$O$8:$O$86,'EE Measures'!$ED$8:$ED$86)</f>
        <v>896.82966862808269</v>
      </c>
      <c r="M370" s="593">
        <f>SUMPRODUCT('EE Measures'!CF$8:CF$86,'EE Measures'!$IH$8:$IH$86,'EE Measures'!$O$8:$O$86)+SUMPRODUCT('EE Measures'!EK$8:EK$86,'EE Measures'!$IH$8:$IH$86,'EE Measures'!$O$8:$O$86,'EE Measures'!$ED$8:$ED$86)</f>
        <v>916.50115900310107</v>
      </c>
      <c r="N370" s="593">
        <f>SUMPRODUCT('EE Measures'!CG$8:CG$86,'EE Measures'!$IH$8:$IH$86,'EE Measures'!$O$8:$O$86)+SUMPRODUCT('EE Measures'!EL$8:EL$86,'EE Measures'!$IH$8:$IH$86,'EE Measures'!$O$8:$O$86,'EE Measures'!$ED$8:$ED$86)</f>
        <v>936.62284237357414</v>
      </c>
      <c r="O370" s="593">
        <f>SUMPRODUCT('EE Measures'!CH$8:CH$86,'EE Measures'!$IH$8:$IH$86,'EE Measures'!$O$8:$O$86)+SUMPRODUCT('EE Measures'!EM$8:EM$86,'EE Measures'!$IH$8:$IH$86,'EE Measures'!$O$8:$O$86,'EE Measures'!$ED$8:$ED$86)</f>
        <v>957.20618129397826</v>
      </c>
      <c r="P370" s="593">
        <f>SUMPRODUCT('EE Measures'!CI$8:CI$86,'EE Measures'!$IH$8:$IH$86,'EE Measures'!$O$8:$O$86)+SUMPRODUCT('EE Measures'!EN$8:EN$86,'EE Measures'!$IH$8:$IH$86,'EE Measures'!$O$8:$O$86,'EE Measures'!$ED$8:$ED$86)</f>
        <v>978.26297114344493</v>
      </c>
      <c r="Q370" s="593">
        <f>SUMPRODUCT('EE Measures'!CJ$8:CJ$86,'EE Measures'!$IH$8:$IH$86,'EE Measures'!$O$8:$O$86)+SUMPRODUCT('EE Measures'!EO$8:EO$86,'EE Measures'!$IH$8:$IH$86,'EE Measures'!$O$8:$O$86,'EE Measures'!$ED$8:$ED$86)</f>
        <v>999.80535129362113</v>
      </c>
      <c r="R370" s="593">
        <f>SUMPRODUCT('EE Measures'!CK$8:CK$86,'EE Measures'!$IH$8:$IH$86,'EE Measures'!$O$8:$O$86)+SUMPRODUCT('EE Measures'!EP$8:EP$86,'EE Measures'!$IH$8:$IH$86,'EE Measures'!$O$8:$O$86,'EE Measures'!$ED$8:$ED$86)</f>
        <v>1021.8458167003289</v>
      </c>
      <c r="S370" s="593">
        <f>SUMPRODUCT('EE Measures'!CL$8:CL$86,'EE Measures'!$IH$8:$IH$86,'EE Measures'!$O$8:$O$86)+SUMPRODUCT('EE Measures'!EQ$8:EQ$86,'EE Measures'!$IH$8:$IH$86,'EE Measures'!$O$8:$O$86,'EE Measures'!$ED$8:$ED$86)</f>
        <v>1044.3972299365203</v>
      </c>
      <c r="T370" s="593">
        <f>SUMPRODUCT('EE Measures'!CM$8:CM$86,'EE Measures'!$IH$8:$IH$86,'EE Measures'!$O$8:$O$86)+SUMPRODUCT('EE Measures'!ER$8:ER$86,'EE Measures'!$IH$8:$IH$86,'EE Measures'!$O$8:$O$86,'EE Measures'!$ED$8:$ED$86)</f>
        <v>1067.4728336847731</v>
      </c>
      <c r="U370" s="593">
        <f>SUMPRODUCT('EE Measures'!CN$8:CN$86,'EE Measures'!$IH$8:$IH$86,'EE Measures'!$O$8:$O$86)+SUMPRODUCT('EE Measures'!ES$8:ES$86,'EE Measures'!$IH$8:$IH$86,'EE Measures'!$O$8:$O$86,'EE Measures'!$ED$8:$ED$86)</f>
        <v>1091.0862637083817</v>
      </c>
      <c r="V370" s="898">
        <f t="shared" si="1376"/>
        <v>10806.450709640796</v>
      </c>
      <c r="W370" s="563" t="str">
        <v>Lääne-Eesti</v>
      </c>
      <c r="X370" s="592">
        <f t="shared" ref="X370:X373" si="1407">SUM(Y370:AH370)</f>
        <v>1661.4582838522456</v>
      </c>
      <c r="Y370" s="593">
        <f>SUMPRODUCT('EE Measures'!BZ$8:BZ$86,'EE Measures'!$IH$8:$IH$86,'EE Measures'!$Z$8:$Z$86)+SUMPRODUCT('EE Measures'!EE$8:EE$86,'EE Measures'!$IH$8:$IH$86,'EE Measures'!$Z$8:$Z$86,'EE Measures'!$ED$8:$ED$86)</f>
        <v>40.435021042104161</v>
      </c>
      <c r="Z370" s="593">
        <f>SUMPRODUCT('EE Measures'!CA$8:CA$86,'EE Measures'!$IH$8:$IH$86,'EE Measures'!$Z$8:$Z$86)+SUMPRODUCT('EE Measures'!EF$8:EF$86,'EE Measures'!$IH$8:$IH$86,'EE Measures'!$Z$8:$Z$86,'EE Measures'!$ED$8:$ED$86)</f>
        <v>45.407512544548929</v>
      </c>
      <c r="AA370" s="593">
        <f>SUMPRODUCT('EE Measures'!CB$8:CB$86,'EE Measures'!$IH$8:$IH$86,'EE Measures'!$Z$8:$Z$86)+SUMPRODUCT('EE Measures'!EG$8:EG$86,'EE Measures'!$IH$8:$IH$86,'EE Measures'!$Z$8:$Z$86,'EE Measures'!$ED$8:$ED$86)</f>
        <v>38.877676312623741</v>
      </c>
      <c r="AB370" s="593">
        <f>SUMPRODUCT('EE Measures'!CC$8:CC$86,'EE Measures'!$IH$8:$IH$86,'EE Measures'!$Z$8:$Z$86)+SUMPRODUCT('EE Measures'!EH$8:EH$86,'EE Measures'!$IH$8:$IH$86,'EE Measures'!$Z$8:$Z$86,'EE Measures'!$ED$8:$ED$86)</f>
        <v>99.336103536719918</v>
      </c>
      <c r="AC370" s="593">
        <f>SUMPRODUCT('EE Measures'!CD$8:CD$86,'EE Measures'!$IH$8:$IH$86,'EE Measures'!$Z$8:$Z$86)+SUMPRODUCT('EE Measures'!EI$8:EI$86,'EE Measures'!$IH$8:$IH$86,'EE Measures'!$Z$8:$Z$86,'EE Measures'!$ED$8:$ED$86)</f>
        <v>294.14438472873013</v>
      </c>
      <c r="AD370" s="593">
        <f>SUMPRODUCT('EE Measures'!CE$8:CE$86,'EE Measures'!$IH$8:$IH$86,'EE Measures'!$Z$8:$Z$86)+SUMPRODUCT('EE Measures'!EJ$8:EJ$86,'EE Measures'!$IH$8:$IH$86,'EE Measures'!$Z$8:$Z$86,'EE Measures'!$ED$8:$ED$86)</f>
        <v>250.79710267964717</v>
      </c>
      <c r="AE370" s="593">
        <f>SUMPRODUCT('EE Measures'!CF$8:CF$86,'EE Measures'!$IH$8:$IH$86,'EE Measures'!$Z$8:$Z$86)+SUMPRODUCT('EE Measures'!EK$8:EK$86,'EE Measures'!$IH$8:$IH$86,'EE Measures'!$Z$8:$Z$86,'EE Measures'!$ED$8:$ED$86)</f>
        <v>218.5495110397826</v>
      </c>
      <c r="AF370" s="593">
        <f>SUMPRODUCT('EE Measures'!CG$8:CG$86,'EE Measures'!$IH$8:$IH$86,'EE Measures'!$Z$8:$Z$86)+SUMPRODUCT('EE Measures'!EL$8:EL$86,'EE Measures'!$IH$8:$IH$86,'EE Measures'!$Z$8:$Z$86,'EE Measures'!$ED$8:$ED$86)</f>
        <v>219.39634662393678</v>
      </c>
      <c r="AG370" s="593">
        <f>SUMPRODUCT('EE Measures'!CH$8:CH$86,'EE Measures'!$IH$8:$IH$86,'EE Measures'!$Z$8:$Z$86)+SUMPRODUCT('EE Measures'!EM$8:EM$86,'EE Measures'!$IH$8:$IH$86,'EE Measures'!$Z$8:$Z$86,'EE Measures'!$ED$8:$ED$86)</f>
        <v>224.85065304776981</v>
      </c>
      <c r="AH370" s="593">
        <f>SUMPRODUCT('EE Measures'!CI$8:CI$86,'EE Measures'!$IH$8:$IH$86,'EE Measures'!$Z$8:$Z$86)+SUMPRODUCT('EE Measures'!EN$8:EN$86,'EE Measures'!$IH$8:$IH$86,'EE Measures'!$Z$8:$Z$86,'EE Measures'!$ED$8:$ED$86)</f>
        <v>229.66397229638224</v>
      </c>
      <c r="AI370" s="593">
        <f>SUMPRODUCT('EE Measures'!CJ$8:CJ$86,'EE Measures'!$IH$8:$IH$86,'EE Measures'!$Z$8:$Z$86)+SUMPRODUCT('EE Measures'!EO$8:EO$86,'EE Measures'!$IH$8:$IH$86,'EE Measures'!$Z$8:$Z$86,'EE Measures'!$ED$8:$ED$86)</f>
        <v>233.03229260286696</v>
      </c>
      <c r="AJ370" s="593">
        <f>SUMPRODUCT('EE Measures'!CK$8:CK$86,'EE Measures'!$IH$8:$IH$86,'EE Measures'!$Z$8:$Z$86)+SUMPRODUCT('EE Measures'!EP$8:EP$86,'EE Measures'!$IH$8:$IH$86,'EE Measures'!$Z$8:$Z$86,'EE Measures'!$ED$8:$ED$86)</f>
        <v>237.63865355668412</v>
      </c>
      <c r="AK370" s="593">
        <f>SUMPRODUCT('EE Measures'!CL$8:CL$86,'EE Measures'!$IH$8:$IH$86,'EE Measures'!$Z$8:$Z$86)+SUMPRODUCT('EE Measures'!EQ$8:EQ$86,'EE Measures'!$IH$8:$IH$86,'EE Measures'!$Z$8:$Z$86,'EE Measures'!$ED$8:$ED$86)</f>
        <v>242.34912355610379</v>
      </c>
      <c r="AL370" s="593">
        <f>SUMPRODUCT('EE Measures'!CM$8:CM$86,'EE Measures'!$IH$8:$IH$86,'EE Measures'!$Z$8:$Z$86)+SUMPRODUCT('EE Measures'!ER$8:ER$86,'EE Measures'!$IH$8:$IH$86,'EE Measures'!$Z$8:$Z$86,'EE Measures'!$ED$8:$ED$86)</f>
        <v>247.16623115191393</v>
      </c>
      <c r="AM370" s="593">
        <f>SUMPRODUCT('EE Measures'!CN$8:CN$86,'EE Measures'!$IH$8:$IH$86,'EE Measures'!$Z$8:$Z$86)+SUMPRODUCT('EE Measures'!ES$8:ES$86,'EE Measures'!$IH$8:$IH$86,'EE Measures'!$Z$8:$Z$86,'EE Measures'!$ED$8:$ED$86)</f>
        <v>252.09334732009236</v>
      </c>
      <c r="AN370" s="865">
        <f>X370/$X$368</f>
        <v>0.15726801922348721</v>
      </c>
    </row>
    <row r="371" spans="3:40" hidden="1" outlineLevel="1" x14ac:dyDescent="0.3">
      <c r="C371" s="587" t="str">
        <f t="shared" si="1405"/>
        <v>VA</v>
      </c>
      <c r="E371" s="563" t="s">
        <v>52</v>
      </c>
      <c r="F371" s="592">
        <f t="shared" si="1406"/>
        <v>2593.6982885366165</v>
      </c>
      <c r="G371" s="593">
        <f>SUMPRODUCT('EE Measures'!BZ$8:BZ$86,'EE Measures'!$IH$8:$IH$86,'EE Measures'!$P$8:$P$86)+SUMPRODUCT('EE Measures'!EE$8:EE$86,'EE Measures'!$IH$8:$IH$86,'EE Measures'!$P$8:$P$86,'EE Measures'!$ED$8:$ED$86)</f>
        <v>61.751940894257316</v>
      </c>
      <c r="H371" s="593">
        <f>SUMPRODUCT('EE Measures'!CA$8:CA$86,'EE Measures'!$IH$8:$IH$86,'EE Measures'!$P$8:$P$86)+SUMPRODUCT('EE Measures'!EF$8:EF$86,'EE Measures'!$IH$8:$IH$86,'EE Measures'!$P$8:$P$86,'EE Measures'!$ED$8:$ED$86)</f>
        <v>69.4064763057047</v>
      </c>
      <c r="I371" s="593">
        <f>SUMPRODUCT('EE Measures'!CB$8:CB$86,'EE Measures'!$IH$8:$IH$86,'EE Measures'!$P$8:$P$86)+SUMPRODUCT('EE Measures'!EG$8:EG$86,'EE Measures'!$IH$8:$IH$86,'EE Measures'!$P$8:$P$86,'EE Measures'!$ED$8:$ED$86)</f>
        <v>28.498132624761407</v>
      </c>
      <c r="J371" s="593">
        <f>SUMPRODUCT('EE Measures'!CC$8:CC$86,'EE Measures'!$IH$8:$IH$86,'EE Measures'!$P$8:$P$86)+SUMPRODUCT('EE Measures'!EH$8:EH$86,'EE Measures'!$IH$8:$IH$86,'EE Measures'!$P$8:$P$86,'EE Measures'!$ED$8:$ED$86)</f>
        <v>15.868670692219206</v>
      </c>
      <c r="K371" s="593">
        <f>SUMPRODUCT('EE Measures'!CD$8:CD$86,'EE Measures'!$IH$8:$IH$86,'EE Measures'!$P$8:$P$86)+SUMPRODUCT('EE Measures'!EI$8:EI$86,'EE Measures'!$IH$8:$IH$86,'EE Measures'!$P$8:$P$86,'EE Measures'!$ED$8:$ED$86)</f>
        <v>383.08934737053096</v>
      </c>
      <c r="L371" s="593">
        <f>SUMPRODUCT('EE Measures'!CE$8:CE$86,'EE Measures'!$IH$8:$IH$86,'EE Measures'!$P$8:$P$86)+SUMPRODUCT('EE Measures'!EJ$8:EJ$86,'EE Measures'!$IH$8:$IH$86,'EE Measures'!$P$8:$P$86,'EE Measures'!$ED$8:$ED$86)</f>
        <v>390.81836532258274</v>
      </c>
      <c r="M371" s="593">
        <f>SUMPRODUCT('EE Measures'!CF$8:CF$86,'EE Measures'!$IH$8:$IH$86,'EE Measures'!$P$8:$P$86)+SUMPRODUCT('EE Measures'!EK$8:EK$86,'EE Measures'!$IH$8:$IH$86,'EE Measures'!$P$8:$P$86,'EE Measures'!$ED$8:$ED$86)</f>
        <v>398.72974780572201</v>
      </c>
      <c r="N371" s="593">
        <f>SUMPRODUCT('EE Measures'!CG$8:CG$86,'EE Measures'!$IH$8:$IH$86,'EE Measures'!$P$8:$P$86)+SUMPRODUCT('EE Measures'!EL$8:EL$86,'EE Measures'!$IH$8:$IH$86,'EE Measures'!$P$8:$P$86,'EE Measures'!$ED$8:$ED$86)</f>
        <v>406.82652186977543</v>
      </c>
      <c r="O371" s="593">
        <f>SUMPRODUCT('EE Measures'!CH$8:CH$86,'EE Measures'!$IH$8:$IH$86,'EE Measures'!$P$8:$P$86)+SUMPRODUCT('EE Measures'!EM$8:EM$86,'EE Measures'!$IH$8:$IH$86,'EE Measures'!$P$8:$P$86,'EE Measures'!$ED$8:$ED$86)</f>
        <v>415.11348991872637</v>
      </c>
      <c r="P371" s="593">
        <f>SUMPRODUCT('EE Measures'!CI$8:CI$86,'EE Measures'!$IH$8:$IH$86,'EE Measures'!$P$8:$P$86)+SUMPRODUCT('EE Measures'!EN$8:EN$86,'EE Measures'!$IH$8:$IH$86,'EE Measures'!$P$8:$P$86,'EE Measures'!$ED$8:$ED$86)</f>
        <v>423.59559573233616</v>
      </c>
      <c r="Q371" s="593">
        <f>SUMPRODUCT('EE Measures'!CJ$8:CJ$86,'EE Measures'!$IH$8:$IH$86,'EE Measures'!$P$8:$P$86)+SUMPRODUCT('EE Measures'!EO$8:EO$86,'EE Measures'!$IH$8:$IH$86,'EE Measures'!$P$8:$P$86,'EE Measures'!$ED$8:$ED$86)</f>
        <v>432.27792919620032</v>
      </c>
      <c r="R371" s="593">
        <f>SUMPRODUCT('EE Measures'!CK$8:CK$86,'EE Measures'!$IH$8:$IH$86,'EE Measures'!$P$8:$P$86)+SUMPRODUCT('EE Measures'!EP$8:EP$86,'EE Measures'!$IH$8:$IH$86,'EE Measures'!$P$8:$P$86,'EE Measures'!$ED$8:$ED$86)</f>
        <v>441.16573120851672</v>
      </c>
      <c r="S371" s="593">
        <f>SUMPRODUCT('EE Measures'!CL$8:CL$86,'EE Measures'!$IH$8:$IH$86,'EE Measures'!$P$8:$P$86)+SUMPRODUCT('EE Measures'!EQ$8:EQ$86,'EE Measures'!$IH$8:$IH$86,'EE Measures'!$P$8:$P$86,'EE Measures'!$ED$8:$ED$86)</f>
        <v>450.26439877068503</v>
      </c>
      <c r="T371" s="593">
        <f>SUMPRODUCT('EE Measures'!CM$8:CM$86,'EE Measures'!$IH$8:$IH$86,'EE Measures'!$P$8:$P$86)+SUMPRODUCT('EE Measures'!ER$8:ER$86,'EE Measures'!$IH$8:$IH$86,'EE Measures'!$P$8:$P$86,'EE Measures'!$ED$8:$ED$86)</f>
        <v>459.57949026915901</v>
      </c>
      <c r="U371" s="593">
        <f>SUMPRODUCT('EE Measures'!CN$8:CN$86,'EE Measures'!$IH$8:$IH$86,'EE Measures'!$P$8:$P$86)+SUMPRODUCT('EE Measures'!ES$8:ES$86,'EE Measures'!$IH$8:$IH$86,'EE Measures'!$P$8:$P$86,'EE Measures'!$ED$8:$ED$86)</f>
        <v>469.11673095628765</v>
      </c>
      <c r="V371" s="898">
        <f t="shared" si="1376"/>
        <v>4686.4460191127419</v>
      </c>
      <c r="W371" s="563" t="str">
        <v>Kirde-Eesti</v>
      </c>
      <c r="X371" s="592">
        <f t="shared" si="1407"/>
        <v>1002.7140255026154</v>
      </c>
      <c r="Y371" s="593">
        <f>SUMPRODUCT('EE Measures'!BZ$8:BZ$86,'EE Measures'!$IH$8:$IH$86,'EE Measures'!$AA$8:$AA$86)+SUMPRODUCT('EE Measures'!EE$8:EE$86,'EE Measures'!$IH$8:$IH$86,'EE Measures'!$AA$8:$AA$86,'EE Measures'!$ED$8:$ED$86)</f>
        <v>26.406461745177428</v>
      </c>
      <c r="Z371" s="593">
        <f>SUMPRODUCT('EE Measures'!CA$8:CA$86,'EE Measures'!$IH$8:$IH$86,'EE Measures'!$AA$8:$AA$86)+SUMPRODUCT('EE Measures'!EF$8:EF$86,'EE Measures'!$IH$8:$IH$86,'EE Measures'!$AA$8:$AA$86,'EE Measures'!$ED$8:$ED$86)</f>
        <v>14.466244479860192</v>
      </c>
      <c r="AA371" s="593">
        <f>SUMPRODUCT('EE Measures'!CB$8:CB$86,'EE Measures'!$IH$8:$IH$86,'EE Measures'!$AA$8:$AA$86)+SUMPRODUCT('EE Measures'!EG$8:EG$86,'EE Measures'!$IH$8:$IH$86,'EE Measures'!$AA$8:$AA$86,'EE Measures'!$ED$8:$ED$86)</f>
        <v>11.213139437577412</v>
      </c>
      <c r="AB371" s="593">
        <f>SUMPRODUCT('EE Measures'!CC$8:CC$86,'EE Measures'!$IH$8:$IH$86,'EE Measures'!$AA$8:$AA$86)+SUMPRODUCT('EE Measures'!EH$8:EH$86,'EE Measures'!$IH$8:$IH$86,'EE Measures'!$AA$8:$AA$86,'EE Measures'!$ED$8:$ED$86)</f>
        <v>15.848865535365304</v>
      </c>
      <c r="AC371" s="593">
        <f>SUMPRODUCT('EE Measures'!CD$8:CD$86,'EE Measures'!$IH$8:$IH$86,'EE Measures'!$AA$8:$AA$86)+SUMPRODUCT('EE Measures'!EI$8:EI$86,'EE Measures'!$IH$8:$IH$86,'EE Measures'!$AA$8:$AA$86,'EE Measures'!$ED$8:$ED$86)</f>
        <v>150.25423487795555</v>
      </c>
      <c r="AD371" s="593">
        <f>SUMPRODUCT('EE Measures'!CE$8:CE$86,'EE Measures'!$IH$8:$IH$86,'EE Measures'!$AA$8:$AA$86)+SUMPRODUCT('EE Measures'!EJ$8:EJ$86,'EE Measures'!$IH$8:$IH$86,'EE Measures'!$AA$8:$AA$86,'EE Measures'!$ED$8:$ED$86)</f>
        <v>152.30008899462226</v>
      </c>
      <c r="AE371" s="593">
        <f>SUMPRODUCT('EE Measures'!CF$8:CF$86,'EE Measures'!$IH$8:$IH$86,'EE Measures'!$AA$8:$AA$86)+SUMPRODUCT('EE Measures'!EK$8:EK$86,'EE Measures'!$IH$8:$IH$86,'EE Measures'!$AA$8:$AA$86,'EE Measures'!$ED$8:$ED$86)</f>
        <v>155.53030911279146</v>
      </c>
      <c r="AF371" s="593">
        <f>SUMPRODUCT('EE Measures'!CG$8:CG$86,'EE Measures'!$IH$8:$IH$86,'EE Measures'!$AA$8:$AA$86)+SUMPRODUCT('EE Measures'!EL$8:EL$86,'EE Measures'!$IH$8:$IH$86,'EE Measures'!$AA$8:$AA$86,'EE Measures'!$ED$8:$ED$86)</f>
        <v>154.29882690645655</v>
      </c>
      <c r="AG371" s="593">
        <f>SUMPRODUCT('EE Measures'!CH$8:CH$86,'EE Measures'!$IH$8:$IH$86,'EE Measures'!$AA$8:$AA$86)+SUMPRODUCT('EE Measures'!EM$8:EM$86,'EE Measures'!$IH$8:$IH$86,'EE Measures'!$AA$8:$AA$86,'EE Measures'!$ED$8:$ED$86)</f>
        <v>159.15528124008335</v>
      </c>
      <c r="AH371" s="593">
        <f>SUMPRODUCT('EE Measures'!CI$8:CI$86,'EE Measures'!$IH$8:$IH$86,'EE Measures'!$AA$8:$AA$86)+SUMPRODUCT('EE Measures'!EN$8:EN$86,'EE Measures'!$IH$8:$IH$86,'EE Measures'!$AA$8:$AA$86,'EE Measures'!$ED$8:$ED$86)</f>
        <v>163.2405731727259</v>
      </c>
      <c r="AI371" s="593">
        <f>SUMPRODUCT('EE Measures'!CJ$8:CJ$86,'EE Measures'!$IH$8:$IH$86,'EE Measures'!$AA$8:$AA$86)+SUMPRODUCT('EE Measures'!EO$8:EO$86,'EE Measures'!$IH$8:$IH$86,'EE Measures'!$AA$8:$AA$86,'EE Measures'!$ED$8:$ED$86)</f>
        <v>166.03496025995693</v>
      </c>
      <c r="AJ371" s="593">
        <f>SUMPRODUCT('EE Measures'!CK$8:CK$86,'EE Measures'!$IH$8:$IH$86,'EE Measures'!$AA$8:$AA$86)+SUMPRODUCT('EE Measures'!EP$8:EP$86,'EE Measures'!$IH$8:$IH$86,'EE Measures'!$AA$8:$AA$86,'EE Measures'!$ED$8:$ED$86)</f>
        <v>169.42749282181308</v>
      </c>
      <c r="AK371" s="593">
        <f>SUMPRODUCT('EE Measures'!CL$8:CL$86,'EE Measures'!$IH$8:$IH$86,'EE Measures'!$AA$8:$AA$86)+SUMPRODUCT('EE Measures'!EQ$8:EQ$86,'EE Measures'!$IH$8:$IH$86,'EE Measures'!$AA$8:$AA$86,'EE Measures'!$ED$8:$ED$86)</f>
        <v>172.89786479962203</v>
      </c>
      <c r="AL371" s="593">
        <f>SUMPRODUCT('EE Measures'!CM$8:CM$86,'EE Measures'!$IH$8:$IH$86,'EE Measures'!$AA$8:$AA$86)+SUMPRODUCT('EE Measures'!ER$8:ER$86,'EE Measures'!$IH$8:$IH$86,'EE Measures'!$AA$8:$AA$86,'EE Measures'!$ED$8:$ED$86)</f>
        <v>176.44800610358263</v>
      </c>
      <c r="AM371" s="593">
        <f>SUMPRODUCT('EE Measures'!CN$8:CN$86,'EE Measures'!$IH$8:$IH$86,'EE Measures'!$AA$8:$AA$86)+SUMPRODUCT('EE Measures'!ES$8:ES$86,'EE Measures'!$IH$8:$IH$86,'EE Measures'!$AA$8:$AA$86,'EE Measures'!$ED$8:$ED$86)</f>
        <v>180.08107627139429</v>
      </c>
      <c r="AN371" s="865">
        <f>X371/$X$368</f>
        <v>9.4913516740712495E-2</v>
      </c>
    </row>
    <row r="372" spans="3:40" hidden="1" outlineLevel="1" x14ac:dyDescent="0.3">
      <c r="C372" s="587" t="str">
        <f t="shared" si="1405"/>
        <v>VA</v>
      </c>
      <c r="E372" s="563" t="s">
        <v>53</v>
      </c>
      <c r="F372" s="592">
        <f t="shared" si="1406"/>
        <v>1533.6205284604202</v>
      </c>
      <c r="G372" s="593">
        <f>SUMPRODUCT('EE Measures'!BZ$8:BZ$86,'EE Measures'!$IH$8:$IH$86,'EE Measures'!$Q$8:$Q$86)+SUMPRODUCT('EE Measures'!EE$8:EE$86,'EE Measures'!$IH$8:$IH$86,'EE Measures'!$Q$8:$Q$86,'EE Measures'!$ED$8:$ED$86)</f>
        <v>116.37953799001299</v>
      </c>
      <c r="H372" s="593">
        <f>SUMPRODUCT('EE Measures'!CA$8:CA$86,'EE Measures'!$IH$8:$IH$86,'EE Measures'!$Q$8:$Q$86)+SUMPRODUCT('EE Measures'!EF$8:EF$86,'EE Measures'!$IH$8:$IH$86,'EE Measures'!$Q$8:$Q$86,'EE Measures'!$ED$8:$ED$86)</f>
        <v>71.266303532804329</v>
      </c>
      <c r="I372" s="593">
        <f>SUMPRODUCT('EE Measures'!CB$8:CB$86,'EE Measures'!$IH$8:$IH$86,'EE Measures'!$Q$8:$Q$86)+SUMPRODUCT('EE Measures'!EG$8:EG$86,'EE Measures'!$IH$8:$IH$86,'EE Measures'!$Q$8:$Q$86,'EE Measures'!$ED$8:$ED$86)</f>
        <v>63.351225252674048</v>
      </c>
      <c r="J372" s="593">
        <f>SUMPRODUCT('EE Measures'!CC$8:CC$86,'EE Measures'!$IH$8:$IH$86,'EE Measures'!$Q$8:$Q$86)+SUMPRODUCT('EE Measures'!EH$8:EH$86,'EE Measures'!$IH$8:$IH$86,'EE Measures'!$Q$8:$Q$86,'EE Measures'!$ED$8:$ED$86)</f>
        <v>225.21575082539061</v>
      </c>
      <c r="K372" s="593">
        <f>SUMPRODUCT('EE Measures'!CD$8:CD$86,'EE Measures'!$IH$8:$IH$86,'EE Measures'!$Q$8:$Q$86)+SUMPRODUCT('EE Measures'!EI$8:EI$86,'EE Measures'!$IH$8:$IH$86,'EE Measures'!$Q$8:$Q$86,'EE Measures'!$ED$8:$ED$86)</f>
        <v>322.1653824002197</v>
      </c>
      <c r="L372" s="593">
        <f>SUMPRODUCT('EE Measures'!CE$8:CE$86,'EE Measures'!$IH$8:$IH$86,'EE Measures'!$Q$8:$Q$86)+SUMPRODUCT('EE Measures'!EJ$8:EJ$86,'EE Measures'!$IH$8:$IH$86,'EE Measures'!$Q$8:$Q$86,'EE Measures'!$ED$8:$ED$86)</f>
        <v>204.45837821192021</v>
      </c>
      <c r="M372" s="593">
        <f>SUMPRODUCT('EE Measures'!CF$8:CF$86,'EE Measures'!$IH$8:$IH$86,'EE Measures'!$Q$8:$Q$86)+SUMPRODUCT('EE Measures'!EK$8:EK$86,'EE Measures'!$IH$8:$IH$86,'EE Measures'!$Q$8:$Q$86,'EE Measures'!$ED$8:$ED$86)</f>
        <v>139.37935246164784</v>
      </c>
      <c r="N372" s="593">
        <f>SUMPRODUCT('EE Measures'!CG$8:CG$86,'EE Measures'!$IH$8:$IH$86,'EE Measures'!$Q$8:$Q$86)+SUMPRODUCT('EE Measures'!EL$8:EL$86,'EE Measures'!$IH$8:$IH$86,'EE Measures'!$Q$8:$Q$86,'EE Measures'!$ED$8:$ED$86)</f>
        <v>129.31187489825854</v>
      </c>
      <c r="O372" s="593">
        <f>SUMPRODUCT('EE Measures'!CH$8:CH$86,'EE Measures'!$IH$8:$IH$86,'EE Measures'!$Q$8:$Q$86)+SUMPRODUCT('EE Measures'!EM$8:EM$86,'EE Measures'!$IH$8:$IH$86,'EE Measures'!$Q$8:$Q$86,'EE Measures'!$ED$8:$ED$86)</f>
        <v>131.8311213482402</v>
      </c>
      <c r="P372" s="593">
        <f>SUMPRODUCT('EE Measures'!CI$8:CI$86,'EE Measures'!$IH$8:$IH$86,'EE Measures'!$Q$8:$Q$86)+SUMPRODUCT('EE Measures'!EN$8:EN$86,'EE Measures'!$IH$8:$IH$86,'EE Measures'!$Q$8:$Q$86,'EE Measures'!$ED$8:$ED$86)</f>
        <v>130.26160153925161</v>
      </c>
      <c r="Q372" s="593">
        <f>SUMPRODUCT('EE Measures'!CJ$8:CJ$86,'EE Measures'!$IH$8:$IH$86,'EE Measures'!$Q$8:$Q$86)+SUMPRODUCT('EE Measures'!EO$8:EO$86,'EE Measures'!$IH$8:$IH$86,'EE Measures'!$Q$8:$Q$86,'EE Measures'!$ED$8:$ED$86)</f>
        <v>123.44022778864215</v>
      </c>
      <c r="R372" s="593">
        <f>SUMPRODUCT('EE Measures'!CK$8:CK$86,'EE Measures'!$IH$8:$IH$86,'EE Measures'!$Q$8:$Q$86)+SUMPRODUCT('EE Measures'!EP$8:EP$86,'EE Measures'!$IH$8:$IH$86,'EE Measures'!$Q$8:$Q$86,'EE Measures'!$ED$8:$ED$86)</f>
        <v>124.8353063594239</v>
      </c>
      <c r="S372" s="593">
        <f>SUMPRODUCT('EE Measures'!CL$8:CL$86,'EE Measures'!$IH$8:$IH$86,'EE Measures'!$Q$8:$Q$86)+SUMPRODUCT('EE Measures'!EQ$8:EQ$86,'EE Measures'!$IH$8:$IH$86,'EE Measures'!$Q$8:$Q$86,'EE Measures'!$ED$8:$ED$86)</f>
        <v>126.2648396323558</v>
      </c>
      <c r="T372" s="593">
        <f>SUMPRODUCT('EE Measures'!CM$8:CM$86,'EE Measures'!$IH$8:$IH$86,'EE Measures'!$Q$8:$Q$86)+SUMPRODUCT('EE Measures'!ER$8:ER$86,'EE Measures'!$IH$8:$IH$86,'EE Measures'!$Q$8:$Q$86,'EE Measures'!$ED$8:$ED$86)</f>
        <v>127.72928906351424</v>
      </c>
      <c r="U372" s="593">
        <f>SUMPRODUCT('EE Measures'!CN$8:CN$86,'EE Measures'!$IH$8:$IH$86,'EE Measures'!$Q$8:$Q$86)+SUMPRODUCT('EE Measures'!ES$8:ES$86,'EE Measures'!$IH$8:$IH$86,'EE Measures'!$Q$8:$Q$86,'EE Measures'!$ED$8:$ED$86)</f>
        <v>129.2291297508271</v>
      </c>
      <c r="V372" s="898">
        <f t="shared" si="1376"/>
        <v>1914.1222542796918</v>
      </c>
      <c r="W372" s="563" t="str">
        <v>Lõuna-Eesti </v>
      </c>
      <c r="X372" s="592">
        <f t="shared" si="1407"/>
        <v>2613.8435558770143</v>
      </c>
      <c r="Y372" s="593">
        <f>SUMPRODUCT('EE Measures'!BZ$8:BZ$86,'EE Measures'!$IH$8:$IH$86,'EE Measures'!$AB$8:$AB$86)+SUMPRODUCT('EE Measures'!EE$8:EE$86,'EE Measures'!$IH$8:$IH$86,'EE Measures'!$AB$8:$AB$86,'EE Measures'!$ED$8:$ED$86)</f>
        <v>53.762911611150713</v>
      </c>
      <c r="Z372" s="593">
        <f>SUMPRODUCT('EE Measures'!CA$8:CA$86,'EE Measures'!$IH$8:$IH$86,'EE Measures'!$AB$8:$AB$86)+SUMPRODUCT('EE Measures'!EF$8:EF$86,'EE Measures'!$IH$8:$IH$86,'EE Measures'!$AB$8:$AB$86,'EE Measures'!$ED$8:$ED$86)</f>
        <v>36.89797314033644</v>
      </c>
      <c r="AA372" s="593">
        <f>SUMPRODUCT('EE Measures'!CB$8:CB$86,'EE Measures'!$IH$8:$IH$86,'EE Measures'!$AB$8:$AB$86)+SUMPRODUCT('EE Measures'!EG$8:EG$86,'EE Measures'!$IH$8:$IH$86,'EE Measures'!$AB$8:$AB$86,'EE Measures'!$ED$8:$ED$86)</f>
        <v>37.994494798147755</v>
      </c>
      <c r="AB372" s="593">
        <f>SUMPRODUCT('EE Measures'!CC$8:CC$86,'EE Measures'!$IH$8:$IH$86,'EE Measures'!$AB$8:$AB$86)+SUMPRODUCT('EE Measures'!EH$8:EH$86,'EE Measures'!$IH$8:$IH$86,'EE Measures'!$AB$8:$AB$86,'EE Measures'!$ED$8:$ED$86)</f>
        <v>35.192997863856782</v>
      </c>
      <c r="AC372" s="593">
        <f>SUMPRODUCT('EE Measures'!CD$8:CD$86,'EE Measures'!$IH$8:$IH$86,'EE Measures'!$AB$8:$AB$86)+SUMPRODUCT('EE Measures'!EI$8:EI$86,'EE Measures'!$IH$8:$IH$86,'EE Measures'!$AB$8:$AB$86,'EE Measures'!$ED$8:$ED$86)</f>
        <v>391.25619922550601</v>
      </c>
      <c r="AD372" s="593">
        <f>SUMPRODUCT('EE Measures'!CE$8:CE$86,'EE Measures'!$IH$8:$IH$86,'EE Measures'!$AB$8:$AB$86)+SUMPRODUCT('EE Measures'!EJ$8:EJ$86,'EE Measures'!$IH$8:$IH$86,'EE Measures'!$AB$8:$AB$86,'EE Measures'!$ED$8:$ED$86)</f>
        <v>397.24718162380765</v>
      </c>
      <c r="AE372" s="593">
        <f>SUMPRODUCT('EE Measures'!CF$8:CF$86,'EE Measures'!$IH$8:$IH$86,'EE Measures'!$AB$8:$AB$86)+SUMPRODUCT('EE Measures'!EK$8:EK$86,'EE Measures'!$IH$8:$IH$86,'EE Measures'!$AB$8:$AB$86,'EE Measures'!$ED$8:$ED$86)</f>
        <v>407.17153060385129</v>
      </c>
      <c r="AF372" s="593">
        <f>SUMPRODUCT('EE Measures'!CG$8:CG$86,'EE Measures'!$IH$8:$IH$86,'EE Measures'!$AB$8:$AB$86)+SUMPRODUCT('EE Measures'!EL$8:EL$86,'EE Measures'!$IH$8:$IH$86,'EE Measures'!$AB$8:$AB$86,'EE Measures'!$ED$8:$ED$86)</f>
        <v>407.62352617030558</v>
      </c>
      <c r="AG372" s="593">
        <f>SUMPRODUCT('EE Measures'!CH$8:CH$86,'EE Measures'!$IH$8:$IH$86,'EE Measures'!$AB$8:$AB$86)+SUMPRODUCT('EE Measures'!EM$8:EM$86,'EE Measures'!$IH$8:$IH$86,'EE Measures'!$AB$8:$AB$86,'EE Measures'!$ED$8:$ED$86)</f>
        <v>418.59305307312798</v>
      </c>
      <c r="AH372" s="593">
        <f>SUMPRODUCT('EE Measures'!CI$8:CI$86,'EE Measures'!$IH$8:$IH$86,'EE Measures'!$AB$8:$AB$86)+SUMPRODUCT('EE Measures'!EN$8:EN$86,'EE Measures'!$IH$8:$IH$86,'EE Measures'!$AB$8:$AB$86,'EE Measures'!$ED$8:$ED$86)</f>
        <v>428.10368776692417</v>
      </c>
      <c r="AI372" s="593">
        <f>SUMPRODUCT('EE Measures'!CJ$8:CJ$86,'EE Measures'!$IH$8:$IH$86,'EE Measures'!$AB$8:$AB$86)+SUMPRODUCT('EE Measures'!EO$8:EO$86,'EE Measures'!$IH$8:$IH$86,'EE Measures'!$AB$8:$AB$86,'EE Measures'!$ED$8:$ED$86)</f>
        <v>434.41410225383493</v>
      </c>
      <c r="AJ372" s="593">
        <f>SUMPRODUCT('EE Measures'!CK$8:CK$86,'EE Measures'!$IH$8:$IH$86,'EE Measures'!$AB$8:$AB$86)+SUMPRODUCT('EE Measures'!EP$8:EP$86,'EE Measures'!$IH$8:$IH$86,'EE Measures'!$AB$8:$AB$86,'EE Measures'!$ED$8:$ED$86)</f>
        <v>443.29308133288657</v>
      </c>
      <c r="AK372" s="593">
        <f>SUMPRODUCT('EE Measures'!CL$8:CL$86,'EE Measures'!$IH$8:$IH$86,'EE Measures'!$AB$8:$AB$86)+SUMPRODUCT('EE Measures'!EQ$8:EQ$86,'EE Measures'!$IH$8:$IH$86,'EE Measures'!$AB$8:$AB$86,'EE Measures'!$ED$8:$ED$86)</f>
        <v>452.37870627571294</v>
      </c>
      <c r="AL372" s="593">
        <f>SUMPRODUCT('EE Measures'!CM$8:CM$86,'EE Measures'!$IH$8:$IH$86,'EE Measures'!$AB$8:$AB$86)+SUMPRODUCT('EE Measures'!ER$8:ER$86,'EE Measures'!$IH$8:$IH$86,'EE Measures'!$AB$8:$AB$86,'EE Measures'!$ED$8:$ED$86)</f>
        <v>461.67620191298988</v>
      </c>
      <c r="AM372" s="593">
        <f>SUMPRODUCT('EE Measures'!CN$8:CN$86,'EE Measures'!$IH$8:$IH$86,'EE Measures'!$AB$8:$AB$86)+SUMPRODUCT('EE Measures'!ES$8:ES$86,'EE Measures'!$IH$8:$IH$86,'EE Measures'!$AB$8:$AB$86,'EE Measures'!$ED$8:$ED$86)</f>
        <v>471.19275259738606</v>
      </c>
      <c r="AN372" s="865">
        <f>X372/$X$368</f>
        <v>0.2474175864588915</v>
      </c>
    </row>
    <row r="373" spans="3:40" hidden="1" outlineLevel="1" x14ac:dyDescent="0.3">
      <c r="C373" s="587" t="str">
        <f t="shared" si="1405"/>
        <v>VA</v>
      </c>
      <c r="E373" s="563" t="s">
        <v>54</v>
      </c>
      <c r="F373" s="592">
        <f t="shared" si="1406"/>
        <v>57.084871975960553</v>
      </c>
      <c r="G373" s="593">
        <f>SUMPRODUCT('EE Measures'!BZ$8:BZ$86,'EE Measures'!$IH$8:$IH$86,'EE Measures'!$R$8:$R$86)+SUMPRODUCT('EE Measures'!EE$8:EE$86,'EE Measures'!$IH$8:$IH$86,'EE Measures'!$R$8:$R$86,'EE Measures'!$ED$8:$ED$86)</f>
        <v>0.19824537138156786</v>
      </c>
      <c r="H373" s="593">
        <f>SUMPRODUCT('EE Measures'!CA$8:CA$86,'EE Measures'!$IH$8:$IH$86,'EE Measures'!$R$8:$R$86)+SUMPRODUCT('EE Measures'!EF$8:EF$86,'EE Measures'!$IH$8:$IH$86,'EE Measures'!$R$8:$R$86,'EE Measures'!$ED$8:$ED$86)</f>
        <v>0.22216844741811145</v>
      </c>
      <c r="I373" s="593">
        <f>SUMPRODUCT('EE Measures'!CB$8:CB$86,'EE Measures'!$IH$8:$IH$86,'EE Measures'!$R$8:$R$86)+SUMPRODUCT('EE Measures'!EG$8:EG$86,'EE Measures'!$IH$8:$IH$86,'EE Measures'!$R$8:$R$86,'EE Measures'!$ED$8:$ED$86)</f>
        <v>0.24739223196539509</v>
      </c>
      <c r="J373" s="593">
        <f>SUMPRODUCT('EE Measures'!CC$8:CC$86,'EE Measures'!$IH$8:$IH$86,'EE Measures'!$R$8:$R$86)+SUMPRODUCT('EE Measures'!EH$8:EH$86,'EE Measures'!$IH$8:$IH$86,'EE Measures'!$R$8:$R$86,'EE Measures'!$ED$8:$ED$86)</f>
        <v>4.4688409949200949</v>
      </c>
      <c r="K373" s="593">
        <f>SUMPRODUCT('EE Measures'!CD$8:CD$86,'EE Measures'!$IH$8:$IH$86,'EE Measures'!$R$8:$R$86)+SUMPRODUCT('EE Measures'!EI$8:EI$86,'EE Measures'!$IH$8:$IH$86,'EE Measures'!$R$8:$R$86,'EE Measures'!$ED$8:$ED$86)</f>
        <v>6.613146358568093</v>
      </c>
      <c r="L373" s="593">
        <f>SUMPRODUCT('EE Measures'!CE$8:CE$86,'EE Measures'!$IH$8:$IH$86,'EE Measures'!$R$8:$R$86)+SUMPRODUCT('EE Measures'!EJ$8:EJ$86,'EE Measures'!$IH$8:$IH$86,'EE Measures'!$R$8:$R$86,'EE Measures'!$ED$8:$ED$86)</f>
        <v>6.6884502401727692</v>
      </c>
      <c r="M373" s="593">
        <f>SUMPRODUCT('EE Measures'!CF$8:CF$86,'EE Measures'!$IH$8:$IH$86,'EE Measures'!$R$8:$R$86)+SUMPRODUCT('EE Measures'!EK$8:EK$86,'EE Measures'!$IH$8:$IH$86,'EE Measures'!$R$8:$R$86,'EE Measures'!$ED$8:$ED$86)</f>
        <v>9.5326171661078121</v>
      </c>
      <c r="N373" s="593">
        <f>SUMPRODUCT('EE Measures'!CG$8:CG$86,'EE Measures'!$IH$8:$IH$86,'EE Measures'!$R$8:$R$86)+SUMPRODUCT('EE Measures'!EL$8:EL$86,'EE Measures'!$IH$8:$IH$86,'EE Measures'!$R$8:$R$86,'EE Measures'!$ED$8:$ED$86)</f>
        <v>9.6165746127363079</v>
      </c>
      <c r="O373" s="593">
        <f>SUMPRODUCT('EE Measures'!CH$8:CH$86,'EE Measures'!$IH$8:$IH$86,'EE Measures'!$R$8:$R$86)+SUMPRODUCT('EE Measures'!EM$8:EM$86,'EE Measures'!$IH$8:$IH$86,'EE Measures'!$R$8:$R$86,'EE Measures'!$ED$8:$ED$86)</f>
        <v>9.7036184945977091</v>
      </c>
      <c r="P373" s="593">
        <f>SUMPRODUCT('EE Measures'!CI$8:CI$86,'EE Measures'!$IH$8:$IH$86,'EE Measures'!$R$8:$R$86)+SUMPRODUCT('EE Measures'!EN$8:EN$86,'EE Measures'!$IH$8:$IH$86,'EE Measures'!$R$8:$R$86,'EE Measures'!$ED$8:$ED$86)</f>
        <v>9.7938180580926968</v>
      </c>
      <c r="Q373" s="593">
        <f>SUMPRODUCT('EE Measures'!CJ$8:CJ$86,'EE Measures'!$IH$8:$IH$86,'EE Measures'!$R$8:$R$86)+SUMPRODUCT('EE Measures'!EO$8:EO$86,'EE Measures'!$IH$8:$IH$86,'EE Measures'!$R$8:$R$86,'EE Measures'!$ED$8:$ED$86)</f>
        <v>7.1216685945425162</v>
      </c>
      <c r="R373" s="593">
        <f>SUMPRODUCT('EE Measures'!CK$8:CK$86,'EE Measures'!$IH$8:$IH$86,'EE Measures'!$R$8:$R$86)+SUMPRODUCT('EE Measures'!EP$8:EP$86,'EE Measures'!$IH$8:$IH$86,'EE Measures'!$R$8:$R$86,'EE Measures'!$ED$8:$ED$86)</f>
        <v>7.2183990603443124</v>
      </c>
      <c r="S373" s="593">
        <f>SUMPRODUCT('EE Measures'!CL$8:CL$86,'EE Measures'!$IH$8:$IH$86,'EE Measures'!$R$8:$R$86)+SUMPRODUCT('EE Measures'!EQ$8:EQ$86,'EE Measures'!$IH$8:$IH$86,'EE Measures'!$R$8:$R$86,'EE Measures'!$ED$8:$ED$86)</f>
        <v>7.3185108983627574</v>
      </c>
      <c r="T373" s="593">
        <f>SUMPRODUCT('EE Measures'!CM$8:CM$86,'EE Measures'!$IH$8:$IH$86,'EE Measures'!$R$8:$R$86)+SUMPRODUCT('EE Measures'!ER$8:ER$86,'EE Measures'!$IH$8:$IH$86,'EE Measures'!$R$8:$R$86,'EE Measures'!$ED$8:$ED$86)</f>
        <v>7.4220856664942518</v>
      </c>
      <c r="U373" s="593">
        <f>SUMPRODUCT('EE Measures'!CN$8:CN$86,'EE Measures'!$IH$8:$IH$86,'EE Measures'!$R$8:$R$86)+SUMPRODUCT('EE Measures'!ES$8:ES$86,'EE Measures'!$IH$8:$IH$86,'EE Measures'!$R$8:$R$86,'EE Measures'!$ED$8:$ED$86)</f>
        <v>7.5292082692412787</v>
      </c>
      <c r="V373" s="898">
        <f t="shared" si="1376"/>
        <v>93.026938414180606</v>
      </c>
      <c r="W373" s="563" t="str">
        <v>Kesk-Eesti</v>
      </c>
      <c r="X373" s="592">
        <f t="shared" si="1407"/>
        <v>1174.4205747554347</v>
      </c>
      <c r="Y373" s="593">
        <f>SUMPRODUCT('EE Measures'!BZ$8:BZ$86,'EE Measures'!$IH$8:$IH$86,'EE Measures'!$AC$8:$AC$86)+SUMPRODUCT('EE Measures'!EE$8:EE$86,'EE Measures'!$IH$8:$IH$86,'EE Measures'!$AC$8:$AC$86,'EE Measures'!$ED$8:$ED$86)</f>
        <v>22.052750486961642</v>
      </c>
      <c r="Z373" s="593">
        <f>SUMPRODUCT('EE Measures'!CA$8:CA$86,'EE Measures'!$IH$8:$IH$86,'EE Measures'!$AC$8:$AC$86)+SUMPRODUCT('EE Measures'!EF$8:EF$86,'EE Measures'!$IH$8:$IH$86,'EE Measures'!$AC$8:$AC$86,'EE Measures'!$ED$8:$ED$86)</f>
        <v>15.566903318165366</v>
      </c>
      <c r="AA373" s="593">
        <f>SUMPRODUCT('EE Measures'!CB$8:CB$86,'EE Measures'!$IH$8:$IH$86,'EE Measures'!$AC$8:$AC$86)+SUMPRODUCT('EE Measures'!EG$8:EG$86,'EE Measures'!$IH$8:$IH$86,'EE Measures'!$AC$8:$AC$86,'EE Measures'!$ED$8:$ED$86)</f>
        <v>16.671046366674489</v>
      </c>
      <c r="AB373" s="593">
        <f>SUMPRODUCT('EE Measures'!CC$8:CC$86,'EE Measures'!$IH$8:$IH$86,'EE Measures'!$AC$8:$AC$86)+SUMPRODUCT('EE Measures'!EH$8:EH$86,'EE Measures'!$IH$8:$IH$86,'EE Measures'!$AC$8:$AC$86,'EE Measures'!$ED$8:$ED$86)</f>
        <v>14.743118910916724</v>
      </c>
      <c r="AC373" s="593">
        <f>SUMPRODUCT('EE Measures'!CD$8:CD$86,'EE Measures'!$IH$8:$IH$86,'EE Measures'!$AC$8:$AC$86)+SUMPRODUCT('EE Measures'!EI$8:EI$86,'EE Measures'!$IH$8:$IH$86,'EE Measures'!$AC$8:$AC$86,'EE Measures'!$ED$8:$ED$86)</f>
        <v>176.40585194994591</v>
      </c>
      <c r="AD373" s="593">
        <f>SUMPRODUCT('EE Measures'!CE$8:CE$86,'EE Measures'!$IH$8:$IH$86,'EE Measures'!$AC$8:$AC$86)+SUMPRODUCT('EE Measures'!EJ$8:EJ$86,'EE Measures'!$IH$8:$IH$86,'EE Measures'!$AC$8:$AC$86,'EE Measures'!$ED$8:$ED$86)</f>
        <v>179.13517450608441</v>
      </c>
      <c r="AE373" s="593">
        <f>SUMPRODUCT('EE Measures'!CF$8:CF$86,'EE Measures'!$IH$8:$IH$86,'EE Measures'!$AC$8:$AC$86)+SUMPRODUCT('EE Measures'!EK$8:EK$86,'EE Measures'!$IH$8:$IH$86,'EE Measures'!$AC$8:$AC$86,'EE Measures'!$ED$8:$ED$86)</f>
        <v>183.66957425671319</v>
      </c>
      <c r="AF373" s="593">
        <f>SUMPRODUCT('EE Measures'!CG$8:CG$86,'EE Measures'!$IH$8:$IH$86,'EE Measures'!$AC$8:$AC$86)+SUMPRODUCT('EE Measures'!EL$8:EL$86,'EE Measures'!$IH$8:$IH$86,'EE Measures'!$AC$8:$AC$86,'EE Measures'!$ED$8:$ED$86)</f>
        <v>184.06724369222025</v>
      </c>
      <c r="AG373" s="593">
        <f>SUMPRODUCT('EE Measures'!CH$8:CH$86,'EE Measures'!$IH$8:$IH$86,'EE Measures'!$AC$8:$AC$86)+SUMPRODUCT('EE Measures'!EM$8:EM$86,'EE Measures'!$IH$8:$IH$86,'EE Measures'!$AC$8:$AC$86,'EE Measures'!$ED$8:$ED$86)</f>
        <v>188.92080992661357</v>
      </c>
      <c r="AH373" s="593">
        <f>SUMPRODUCT('EE Measures'!CI$8:CI$86,'EE Measures'!$IH$8:$IH$86,'EE Measures'!$AC$8:$AC$86)+SUMPRODUCT('EE Measures'!EN$8:EN$86,'EE Measures'!$IH$8:$IH$86,'EE Measures'!$AC$8:$AC$86,'EE Measures'!$ED$8:$ED$86)</f>
        <v>193.18810134113909</v>
      </c>
      <c r="AI373" s="593">
        <f>SUMPRODUCT('EE Measures'!CJ$8:CJ$86,'EE Measures'!$IH$8:$IH$86,'EE Measures'!$AC$8:$AC$86)+SUMPRODUCT('EE Measures'!EO$8:EO$86,'EE Measures'!$IH$8:$IH$86,'EE Measures'!$AC$8:$AC$86,'EE Measures'!$ED$8:$ED$86)</f>
        <v>195.99433693340745</v>
      </c>
      <c r="AJ373" s="593">
        <f>SUMPRODUCT('EE Measures'!CK$8:CK$86,'EE Measures'!$IH$8:$IH$86,'EE Measures'!$AC$8:$AC$86)+SUMPRODUCT('EE Measures'!EP$8:EP$86,'EE Measures'!$IH$8:$IH$86,'EE Measures'!$AC$8:$AC$86,'EE Measures'!$ED$8:$ED$86)</f>
        <v>199.96178330520831</v>
      </c>
      <c r="AK373" s="593">
        <f>SUMPRODUCT('EE Measures'!CL$8:CL$86,'EE Measures'!$IH$8:$IH$86,'EE Measures'!$AC$8:$AC$86)+SUMPRODUCT('EE Measures'!EQ$8:EQ$86,'EE Measures'!$IH$8:$IH$86,'EE Measures'!$AC$8:$AC$86,'EE Measures'!$ED$8:$ED$86)</f>
        <v>204.02065554678532</v>
      </c>
      <c r="AL373" s="593">
        <f>SUMPRODUCT('EE Measures'!CM$8:CM$86,'EE Measures'!$IH$8:$IH$86,'EE Measures'!$AC$8:$AC$86)+SUMPRODUCT('EE Measures'!ER$8:ER$86,'EE Measures'!$IH$8:$IH$86,'EE Measures'!$AC$8:$AC$86,'EE Measures'!$ED$8:$ED$86)</f>
        <v>208.17323710159104</v>
      </c>
      <c r="AM373" s="593">
        <f>SUMPRODUCT('EE Measures'!CN$8:CN$86,'EE Measures'!$IH$8:$IH$86,'EE Measures'!$AC$8:$AC$86)+SUMPRODUCT('EE Measures'!ES$8:ES$86,'EE Measures'!$IH$8:$IH$86,'EE Measures'!$AC$8:$AC$86,'EE Measures'!$ED$8:$ED$86)</f>
        <v>212.4226706036589</v>
      </c>
      <c r="AN373" s="865">
        <f>X373/$X$368</f>
        <v>0.11116667768441063</v>
      </c>
    </row>
    <row r="374" spans="3:40" hidden="1" outlineLevel="1" x14ac:dyDescent="0.3">
      <c r="C374" s="587" t="str">
        <f>E374</f>
        <v>Renowave</v>
      </c>
      <c r="E374" s="555" t="str">
        <f>'EE Measures'!$II$6</f>
        <v>Renowave</v>
      </c>
      <c r="F374" s="590">
        <f>SUM(G374:P374)</f>
        <v>17851.017176892856</v>
      </c>
      <c r="G374" s="591">
        <f>SUM(G375:G379)</f>
        <v>280.06666720746978</v>
      </c>
      <c r="H374" s="591">
        <f>SUM(H375:H379)</f>
        <v>210.06394151473643</v>
      </c>
      <c r="I374" s="591">
        <f t="shared" ref="I374:P374" si="1408">SUM(I375:I379)</f>
        <v>173.89861988837592</v>
      </c>
      <c r="J374" s="591">
        <f t="shared" si="1408"/>
        <v>301.88780696267514</v>
      </c>
      <c r="K374" s="591">
        <f t="shared" si="1408"/>
        <v>2853.3681504656465</v>
      </c>
      <c r="L374" s="591">
        <f t="shared" si="1408"/>
        <v>2782.49342586181</v>
      </c>
      <c r="M374" s="591">
        <f t="shared" si="1408"/>
        <v>2763.4568118891207</v>
      </c>
      <c r="N374" s="591">
        <f t="shared" si="1408"/>
        <v>2772.0031992279187</v>
      </c>
      <c r="O374" s="591">
        <f t="shared" si="1408"/>
        <v>2829.5542072918147</v>
      </c>
      <c r="P374" s="591">
        <f t="shared" si="1408"/>
        <v>2884.2243465832894</v>
      </c>
      <c r="Q374" s="591">
        <f t="shared" ref="Q374:U374" si="1409">SUM(Q375:Q379)</f>
        <v>2932.1135040007407</v>
      </c>
      <c r="R374" s="591">
        <f t="shared" si="1409"/>
        <v>2992.2504479223085</v>
      </c>
      <c r="S374" s="591">
        <f t="shared" si="1409"/>
        <v>3053.7176921475188</v>
      </c>
      <c r="T374" s="591">
        <f t="shared" si="1409"/>
        <v>3116.5465902355882</v>
      </c>
      <c r="U374" s="591">
        <f t="shared" si="1409"/>
        <v>3180.7693378910317</v>
      </c>
      <c r="V374" s="898">
        <f t="shared" si="1376"/>
        <v>32462.385520479467</v>
      </c>
      <c r="W374" s="555" t="str">
        <f>'EE Measures'!$II$6</f>
        <v>Renowave</v>
      </c>
      <c r="X374" s="590">
        <f>SUM(Y374:AH374)</f>
        <v>17850.609776892856</v>
      </c>
      <c r="Y374" s="591">
        <f t="shared" ref="Y374:Z374" si="1410">SUM(Y375:Y379)</f>
        <v>280.06666720746983</v>
      </c>
      <c r="Z374" s="591">
        <f t="shared" si="1410"/>
        <v>210.0639415147364</v>
      </c>
      <c r="AA374" s="591">
        <f t="shared" ref="AA374" si="1411">SUM(AA375:AA379)</f>
        <v>173.89861988837595</v>
      </c>
      <c r="AB374" s="591">
        <f t="shared" ref="AB374" si="1412">SUM(AB375:AB379)</f>
        <v>301.88780696267514</v>
      </c>
      <c r="AC374" s="591">
        <f t="shared" ref="AC374" si="1413">SUM(AC375:AC379)</f>
        <v>2853.3002504656465</v>
      </c>
      <c r="AD374" s="591">
        <f t="shared" ref="AD374" si="1414">SUM(AD375:AD379)</f>
        <v>2782.4255258618109</v>
      </c>
      <c r="AE374" s="591">
        <f t="shared" ref="AE374" si="1415">SUM(AE375:AE379)</f>
        <v>2763.3889118891207</v>
      </c>
      <c r="AF374" s="591">
        <f t="shared" ref="AF374" si="1416">SUM(AF375:AF379)</f>
        <v>2771.9352992279187</v>
      </c>
      <c r="AG374" s="591">
        <f t="shared" ref="AG374" si="1417">SUM(AG375:AG379)</f>
        <v>2829.4863072918138</v>
      </c>
      <c r="AH374" s="591">
        <f t="shared" ref="AH374:AM374" si="1418">SUM(AH375:AH379)</f>
        <v>2884.1564465832894</v>
      </c>
      <c r="AI374" s="591">
        <f t="shared" si="1418"/>
        <v>2932.0456040007416</v>
      </c>
      <c r="AJ374" s="591">
        <f t="shared" si="1418"/>
        <v>2992.1825479223085</v>
      </c>
      <c r="AK374" s="591">
        <f t="shared" si="1418"/>
        <v>3053.6497921475193</v>
      </c>
      <c r="AL374" s="591">
        <f t="shared" si="1418"/>
        <v>3116.4786902355881</v>
      </c>
      <c r="AM374" s="591">
        <f t="shared" si="1418"/>
        <v>3180.7014378910317</v>
      </c>
    </row>
    <row r="375" spans="3:40" hidden="1" outlineLevel="1" x14ac:dyDescent="0.3">
      <c r="C375" s="587" t="str">
        <f>C374</f>
        <v>Renowave</v>
      </c>
      <c r="E375" s="563" t="s">
        <v>50</v>
      </c>
      <c r="F375" s="592">
        <f>SUM(G375:P375)</f>
        <v>394.09464370140529</v>
      </c>
      <c r="G375" s="593">
        <f>SUMPRODUCT('EE Measures'!BZ$8:BZ$86,'EE Measures'!$II$8:$II$86,'EE Measures'!$N$8:$N$86)+SUMPRODUCT('EE Measures'!EE$8:EE$86,'EE Measures'!$II$8:$II$86,'EE Measures'!$N$8:$N$86,'EE Measures'!$ED$8:$ED$86)</f>
        <v>50.705714717758653</v>
      </c>
      <c r="H375" s="593">
        <f>SUMPRODUCT('EE Measures'!CA$8:CA$86,'EE Measures'!$II$8:$II$86,'EE Measures'!$N$8:$N$86)+SUMPRODUCT('EE Measures'!EF$8:EF$86,'EE Measures'!$II$8:$II$86,'EE Measures'!$N$8:$N$86,'EE Measures'!$ED$8:$ED$86)</f>
        <v>4.4123408105379829</v>
      </c>
      <c r="I375" s="593">
        <f>SUMPRODUCT('EE Measures'!CB$8:CB$86,'EE Measures'!$II$8:$II$86,'EE Measures'!$N$8:$N$86)+SUMPRODUCT('EE Measures'!EG$8:EG$86,'EE Measures'!$II$8:$II$86,'EE Measures'!$N$8:$N$86,'EE Measures'!$ED$8:$ED$86)</f>
        <v>2.1307494384081855</v>
      </c>
      <c r="J375" s="593">
        <f>SUMPRODUCT('EE Measures'!CC$8:CC$86,'EE Measures'!$II$8:$II$86,'EE Measures'!$N$8:$N$86)+SUMPRODUCT('EE Measures'!EH$8:EH$86,'EE Measures'!$II$8:$II$86,'EE Measures'!$N$8:$N$86,'EE Measures'!$ED$8:$ED$86)</f>
        <v>37.520886903970776</v>
      </c>
      <c r="K375" s="593">
        <f>SUMPRODUCT('EE Measures'!CD$8:CD$86,'EE Measures'!$II$8:$II$86,'EE Measures'!$N$8:$N$86)+SUMPRODUCT('EE Measures'!EI$8:EI$86,'EE Measures'!$II$8:$II$86,'EE Measures'!$N$8:$N$86,'EE Measures'!$ED$8:$ED$86)</f>
        <v>75.781502970476041</v>
      </c>
      <c r="L375" s="593">
        <f>SUMPRODUCT('EE Measures'!CE$8:CE$86,'EE Measures'!$II$8:$II$86,'EE Measures'!$N$8:$N$86)+SUMPRODUCT('EE Measures'!EJ$8:EJ$86,'EE Measures'!$II$8:$II$86,'EE Measures'!$N$8:$N$86,'EE Measures'!$ED$8:$ED$86)</f>
        <v>71.794285681274417</v>
      </c>
      <c r="M375" s="593">
        <f>SUMPRODUCT('EE Measures'!CF$8:CF$86,'EE Measures'!$II$8:$II$86,'EE Measures'!$N$8:$N$86)+SUMPRODUCT('EE Measures'!EK$8:EK$86,'EE Measures'!$II$8:$II$86,'EE Measures'!$N$8:$N$86,'EE Measures'!$ED$8:$ED$86)</f>
        <v>63.141572119208902</v>
      </c>
      <c r="N375" s="593">
        <f>SUMPRODUCT('EE Measures'!CG$8:CG$86,'EE Measures'!$II$8:$II$86,'EE Measures'!$N$8:$N$86)+SUMPRODUCT('EE Measures'!EL$8:EL$86,'EE Measures'!$II$8:$II$86,'EE Measures'!$N$8:$N$86,'EE Measures'!$ED$8:$ED$86)</f>
        <v>28.699574873574502</v>
      </c>
      <c r="O375" s="593">
        <f>SUMPRODUCT('EE Measures'!CH$8:CH$86,'EE Measures'!$II$8:$II$86,'EE Measures'!$N$8:$N$86)+SUMPRODUCT('EE Measures'!EM$8:EM$86,'EE Measures'!$II$8:$II$86,'EE Measures'!$N$8:$N$86,'EE Measures'!$ED$8:$ED$86)</f>
        <v>29.525469424271577</v>
      </c>
      <c r="P375" s="593">
        <f>SUMPRODUCT('EE Measures'!CI$8:CI$86,'EE Measures'!$II$8:$II$86,'EE Measures'!$N$8:$N$86)+SUMPRODUCT('EE Measures'!EN$8:EN$86,'EE Measures'!$II$8:$II$86,'EE Measures'!$N$8:$N$86,'EE Measures'!$ED$8:$ED$86)</f>
        <v>30.38254676192431</v>
      </c>
      <c r="Q375" s="593">
        <f>SUMPRODUCT('EE Measures'!CJ$8:CJ$86,'EE Measures'!$II$8:$II$86,'EE Measures'!$N$8:$N$86)+SUMPRODUCT('EE Measures'!EO$8:EO$86,'EE Measures'!$II$8:$II$86,'EE Measures'!$N$8:$N$86,'EE Measures'!$ED$8:$ED$86)</f>
        <v>31.271957512531248</v>
      </c>
      <c r="R375" s="593">
        <f>SUMPRODUCT('EE Measures'!CK$8:CK$86,'EE Measures'!$II$8:$II$86,'EE Measures'!$N$8:$N$86)+SUMPRODUCT('EE Measures'!EP$8:EP$86,'EE Measures'!$II$8:$II$86,'EE Measures'!$N$8:$N$86,'EE Measures'!$ED$8:$ED$86)</f>
        <v>32.194897586185846</v>
      </c>
      <c r="S375" s="593">
        <f>SUMPRODUCT('EE Measures'!CL$8:CL$86,'EE Measures'!$II$8:$II$86,'EE Measures'!$N$8:$N$86)+SUMPRODUCT('EE Measures'!EQ$8:EQ$86,'EE Measures'!$II$8:$II$86,'EE Measures'!$N$8:$N$86,'EE Measures'!$ED$8:$ED$86)</f>
        <v>33.152609961936534</v>
      </c>
      <c r="T375" s="593">
        <f>SUMPRODUCT('EE Measures'!CM$8:CM$86,'EE Measures'!$II$8:$II$86,'EE Measures'!$N$8:$N$86)+SUMPRODUCT('EE Measures'!ER$8:ER$86,'EE Measures'!$II$8:$II$86,'EE Measures'!$N$8:$N$86,'EE Measures'!$ED$8:$ED$86)</f>
        <v>34.146386545035682</v>
      </c>
      <c r="U375" s="593">
        <f>SUMPRODUCT('EE Measures'!CN$8:CN$86,'EE Measures'!$II$8:$II$86,'EE Measures'!$N$8:$N$86)+SUMPRODUCT('EE Measures'!ES$8:ES$86,'EE Measures'!$II$8:$II$86,'EE Measures'!$N$8:$N$86,'EE Measures'!$ED$8:$ED$86)</f>
        <v>35.177570099549072</v>
      </c>
      <c r="V375" s="898">
        <f t="shared" si="1376"/>
        <v>502.78926043993886</v>
      </c>
      <c r="W375" s="563" t="str" cm="1">
        <f t="array" ref="W375:W379">_xlfn.ANCHORARRAY($W$357)</f>
        <v xml:space="preserve">Põhja-Eesti </v>
      </c>
      <c r="X375" s="592">
        <f>SUM(Y375:AH375)</f>
        <v>6757.1422536204782</v>
      </c>
      <c r="Y375" s="593">
        <f>SUMPRODUCT('EE Measures'!BZ$8:BZ$86,'EE Measures'!$II$8:$II$86,'EE Measures'!$Y$8:$Y$86)+SUMPRODUCT('EE Measures'!EE$8:EE$86,'EE Measures'!$II$8:$II$86,'EE Measures'!$Y$8:$Y$86,'EE Measures'!$ED$8:$ED$86)</f>
        <v>137.40952232207587</v>
      </c>
      <c r="Z375" s="593">
        <f>SUMPRODUCT('EE Measures'!CA$8:CA$86,'EE Measures'!$II$8:$II$86,'EE Measures'!$Y$8:$Y$86)+SUMPRODUCT('EE Measures'!EF$8:EF$86,'EE Measures'!$II$8:$II$86,'EE Measures'!$Y$8:$Y$86,'EE Measures'!$ED$8:$ED$86)</f>
        <v>97.725308031825477</v>
      </c>
      <c r="AA375" s="593">
        <f>SUMPRODUCT('EE Measures'!CB$8:CB$86,'EE Measures'!$II$8:$II$86,'EE Measures'!$Y$8:$Y$86)+SUMPRODUCT('EE Measures'!EG$8:EG$86,'EE Measures'!$II$8:$II$86,'EE Measures'!$Y$8:$Y$86,'EE Measures'!$ED$8:$ED$86)</f>
        <v>69.14226297335253</v>
      </c>
      <c r="AB375" s="593">
        <f>SUMPRODUCT('EE Measures'!CC$8:CC$86,'EE Measures'!$II$8:$II$86,'EE Measures'!$Y$8:$Y$86)+SUMPRODUCT('EE Measures'!EH$8:EH$86,'EE Measures'!$II$8:$II$86,'EE Measures'!$Y$8:$Y$86,'EE Measures'!$ED$8:$ED$86)</f>
        <v>148.18850093076605</v>
      </c>
      <c r="AC375" s="593">
        <f>SUMPRODUCT('EE Measures'!CD$8:CD$86,'EE Measures'!$II$8:$II$86,'EE Measures'!$Y$8:$Y$86)+SUMPRODUCT('EE Measures'!EI$8:EI$86,'EE Measures'!$II$8:$II$86,'EE Measures'!$Y$8:$Y$86,'EE Measures'!$ED$8:$ED$86)</f>
        <v>1096.6375059669576</v>
      </c>
      <c r="AD375" s="593">
        <f>SUMPRODUCT('EE Measures'!CE$8:CE$86,'EE Measures'!$II$8:$II$86,'EE Measures'!$Y$8:$Y$86)+SUMPRODUCT('EE Measures'!EJ$8:EJ$86,'EE Measures'!$II$8:$II$86,'EE Measures'!$Y$8:$Y$86,'EE Measures'!$ED$8:$ED$86)</f>
        <v>1044.0081984638969</v>
      </c>
      <c r="AE375" s="593">
        <f>SUMPRODUCT('EE Measures'!CF$8:CF$86,'EE Measures'!$II$8:$II$86,'EE Measures'!$Y$8:$Y$86)+SUMPRODUCT('EE Measures'!EK$8:EK$86,'EE Measures'!$II$8:$II$86,'EE Measures'!$Y$8:$Y$86,'EE Measures'!$ED$8:$ED$86)</f>
        <v>1026.5158954847216</v>
      </c>
      <c r="AF375" s="593">
        <f>SUMPRODUCT('EE Measures'!CG$8:CG$86,'EE Measures'!$II$8:$II$86,'EE Measures'!$Y$8:$Y$86)+SUMPRODUCT('EE Measures'!EL$8:EL$86,'EE Measures'!$II$8:$II$86,'EE Measures'!$Y$8:$Y$86,'EE Measures'!$ED$8:$ED$86)</f>
        <v>1024.2571477482156</v>
      </c>
      <c r="AG375" s="593">
        <f>SUMPRODUCT('EE Measures'!CH$8:CH$86,'EE Measures'!$II$8:$II$86,'EE Measures'!$Y$8:$Y$86)+SUMPRODUCT('EE Measures'!EM$8:EM$86,'EE Measures'!$II$8:$II$86,'EE Measures'!$Y$8:$Y$86,'EE Measures'!$ED$8:$ED$86)</f>
        <v>1046.3202728139715</v>
      </c>
      <c r="AH375" s="593">
        <f>SUMPRODUCT('EE Measures'!CI$8:CI$86,'EE Measures'!$II$8:$II$86,'EE Measures'!$Y$8:$Y$86)+SUMPRODUCT('EE Measures'!EN$8:EN$86,'EE Measures'!$II$8:$II$86,'EE Measures'!$Y$8:$Y$86,'EE Measures'!$ED$8:$ED$86)</f>
        <v>1066.9376388846949</v>
      </c>
      <c r="AI375" s="593">
        <f>SUMPRODUCT('EE Measures'!CJ$8:CJ$86,'EE Measures'!$II$8:$II$86,'EE Measures'!$Y$8:$Y$86)+SUMPRODUCT('EE Measures'!EO$8:EO$86,'EE Measures'!$II$8:$II$86,'EE Measures'!$Y$8:$Y$86,'EE Measures'!$ED$8:$ED$86)</f>
        <v>1083.2873750079998</v>
      </c>
      <c r="AJ375" s="593">
        <f>SUMPRODUCT('EE Measures'!CK$8:CK$86,'EE Measures'!$II$8:$II$86,'EE Measures'!$Y$8:$Y$86)+SUMPRODUCT('EE Measures'!EP$8:EP$86,'EE Measures'!$II$8:$II$86,'EE Measures'!$Y$8:$Y$86,'EE Measures'!$ED$8:$ED$86)</f>
        <v>1105.9897378003934</v>
      </c>
      <c r="AK375" s="593">
        <f>SUMPRODUCT('EE Measures'!CL$8:CL$86,'EE Measures'!$II$8:$II$86,'EE Measures'!$Y$8:$Y$86)+SUMPRODUCT('EE Measures'!EQ$8:EQ$86,'EE Measures'!$II$8:$II$86,'EE Measures'!$Y$8:$Y$86,'EE Measures'!$ED$8:$ED$86)</f>
        <v>1129.20769044131</v>
      </c>
      <c r="AL375" s="593">
        <f>SUMPRODUCT('EE Measures'!CM$8:CM$86,'EE Measures'!$II$8:$II$86,'EE Measures'!$Y$8:$Y$86)+SUMPRODUCT('EE Measures'!ER$8:ER$86,'EE Measures'!$II$8:$II$86,'EE Measures'!$Y$8:$Y$86,'EE Measures'!$ED$8:$ED$86)</f>
        <v>1152.9538351678736</v>
      </c>
      <c r="AM375" s="593">
        <f>SUMPRODUCT('EE Measures'!CN$8:CN$86,'EE Measures'!$II$8:$II$86,'EE Measures'!$Y$8:$Y$86)+SUMPRODUCT('EE Measures'!ES$8:ES$86,'EE Measures'!$II$8:$II$86,'EE Measures'!$Y$8:$Y$86,'EE Measures'!$ED$8:$ED$86)</f>
        <v>1177.2411289941988</v>
      </c>
      <c r="AN375" s="865">
        <f>X375/$X$374</f>
        <v>0.37853845544074471</v>
      </c>
    </row>
    <row r="376" spans="3:40" hidden="1" outlineLevel="1" x14ac:dyDescent="0.3">
      <c r="C376" s="587" t="str">
        <f t="shared" ref="C376:C379" si="1419">C375</f>
        <v>Renowave</v>
      </c>
      <c r="E376" s="563" t="s">
        <v>51</v>
      </c>
      <c r="F376" s="592">
        <f t="shared" ref="F376:F379" si="1420">SUM(G376:P376)</f>
        <v>12763.745525125401</v>
      </c>
      <c r="G376" s="593">
        <f>SUMPRODUCT('EE Measures'!BZ$8:BZ$86,'EE Measures'!$II$8:$II$86,'EE Measures'!$O$8:$O$86)+SUMPRODUCT('EE Measures'!EE$8:EE$86,'EE Measures'!$II$8:$II$86,'EE Measures'!$O$8:$O$86,'EE Measures'!$ED$8:$ED$86)</f>
        <v>51.031228234059256</v>
      </c>
      <c r="H376" s="593">
        <f>SUMPRODUCT('EE Measures'!CA$8:CA$86,'EE Measures'!$II$8:$II$86,'EE Measures'!$O$8:$O$86)+SUMPRODUCT('EE Measures'!EF$8:EF$86,'EE Measures'!$II$8:$II$86,'EE Measures'!$O$8:$O$86,'EE Measures'!$ED$8:$ED$86)</f>
        <v>64.756652418271301</v>
      </c>
      <c r="I376" s="593">
        <f>SUMPRODUCT('EE Measures'!CB$8:CB$86,'EE Measures'!$II$8:$II$86,'EE Measures'!$O$8:$O$86)+SUMPRODUCT('EE Measures'!EG$8:EG$86,'EE Measures'!$II$8:$II$86,'EE Measures'!$O$8:$O$86,'EE Measures'!$ED$8:$ED$86)</f>
        <v>79.671120340566887</v>
      </c>
      <c r="J376" s="593">
        <f>SUMPRODUCT('EE Measures'!CC$8:CC$86,'EE Measures'!$II$8:$II$86,'EE Measures'!$O$8:$O$86)+SUMPRODUCT('EE Measures'!EH$8:EH$86,'EE Measures'!$II$8:$II$86,'EE Measures'!$O$8:$O$86,'EE Measures'!$ED$8:$ED$86)</f>
        <v>18.81365754617449</v>
      </c>
      <c r="K376" s="593">
        <f>SUMPRODUCT('EE Measures'!CD$8:CD$86,'EE Measures'!$II$8:$II$86,'EE Measures'!$O$8:$O$86)+SUMPRODUCT('EE Measures'!EI$8:EI$86,'EE Measures'!$II$8:$II$86,'EE Measures'!$O$8:$O$86,'EE Measures'!$ED$8:$ED$86)</f>
        <v>1985.0650676621483</v>
      </c>
      <c r="L376" s="593">
        <f>SUMPRODUCT('EE Measures'!CE$8:CE$86,'EE Measures'!$II$8:$II$86,'EE Measures'!$O$8:$O$86)+SUMPRODUCT('EE Measures'!EJ$8:EJ$86,'EE Measures'!$II$8:$II$86,'EE Measures'!$O$8:$O$86,'EE Measures'!$ED$8:$ED$86)</f>
        <v>2026.4671686280826</v>
      </c>
      <c r="M376" s="593">
        <f>SUMPRODUCT('EE Measures'!CF$8:CF$86,'EE Measures'!$II$8:$II$86,'EE Measures'!$O$8:$O$86)+SUMPRODUCT('EE Measures'!EK$8:EK$86,'EE Measures'!$II$8:$II$86,'EE Measures'!$O$8:$O$86,'EE Measures'!$ED$8:$ED$86)</f>
        <v>2068.7614090031007</v>
      </c>
      <c r="N376" s="593">
        <f>SUMPRODUCT('EE Measures'!CG$8:CG$86,'EE Measures'!$II$8:$II$86,'EE Measures'!$O$8:$O$86)+SUMPRODUCT('EE Measures'!EL$8:EL$86,'EE Measures'!$II$8:$II$86,'EE Measures'!$O$8:$O$86,'EE Measures'!$ED$8:$ED$86)</f>
        <v>2111.9582973735742</v>
      </c>
      <c r="O376" s="593">
        <f>SUMPRODUCT('EE Measures'!CH$8:CH$86,'EE Measures'!$II$8:$II$86,'EE Measures'!$O$8:$O$86)+SUMPRODUCT('EE Measures'!EM$8:EM$86,'EE Measures'!$II$8:$II$86,'EE Measures'!$O$8:$O$86,'EE Measures'!$ED$8:$ED$86)</f>
        <v>2156.0783453939785</v>
      </c>
      <c r="P376" s="593">
        <f>SUMPRODUCT('EE Measures'!CI$8:CI$86,'EE Measures'!$II$8:$II$86,'EE Measures'!$O$8:$O$86)+SUMPRODUCT('EE Measures'!EN$8:EN$86,'EE Measures'!$II$8:$II$86,'EE Measures'!$O$8:$O$86,'EE Measures'!$ED$8:$ED$86)</f>
        <v>2201.1425785254446</v>
      </c>
      <c r="Q376" s="593">
        <f>SUMPRODUCT('EE Measures'!CJ$8:CJ$86,'EE Measures'!$II$8:$II$86,'EE Measures'!$O$8:$O$86)+SUMPRODUCT('EE Measures'!EO$8:EO$86,'EE Measures'!$II$8:$II$86,'EE Measures'!$O$8:$O$86,'EE Measures'!$ED$8:$ED$86)</f>
        <v>2247.1725508232603</v>
      </c>
      <c r="R376" s="593">
        <f>SUMPRODUCT('EE Measures'!CK$8:CK$86,'EE Measures'!$II$8:$II$86,'EE Measures'!$O$8:$O$86)+SUMPRODUCT('EE Measures'!EP$8:EP$86,'EE Measures'!$II$8:$II$86,'EE Measures'!$O$8:$O$86,'EE Measures'!$ED$8:$ED$86)</f>
        <v>2294.1903602205612</v>
      </c>
      <c r="S376" s="593">
        <f>SUMPRODUCT('EE Measures'!CL$8:CL$86,'EE Measures'!$II$8:$II$86,'EE Measures'!$O$8:$O$86)+SUMPRODUCT('EE Measures'!EQ$8:EQ$86,'EE Measures'!$II$8:$II$86,'EE Measures'!$O$8:$O$86,'EE Measures'!$ED$8:$ED$86)</f>
        <v>2342.2186643271575</v>
      </c>
      <c r="T376" s="593">
        <f>SUMPRODUCT('EE Measures'!CM$8:CM$86,'EE Measures'!$II$8:$II$86,'EE Measures'!$O$8:$O$86)+SUMPRODUCT('EE Measures'!ER$8:ER$86,'EE Measures'!$II$8:$II$86,'EE Measures'!$O$8:$O$86,'EE Measures'!$ED$8:$ED$86)</f>
        <v>2391.2806967632232</v>
      </c>
      <c r="U376" s="593">
        <f>SUMPRODUCT('EE Measures'!CN$8:CN$86,'EE Measures'!$II$8:$II$86,'EE Measures'!$O$8:$O$86)+SUMPRODUCT('EE Measures'!ES$8:ES$86,'EE Measures'!$II$8:$II$86,'EE Measures'!$O$8:$O$86,'EE Measures'!$ED$8:$ED$86)</f>
        <v>2441.4002840484013</v>
      </c>
      <c r="V376" s="898">
        <f t="shared" si="1376"/>
        <v>24284.549080315108</v>
      </c>
      <c r="W376" s="563" t="str">
        <v>Lääne-Eesti</v>
      </c>
      <c r="X376" s="592">
        <f t="shared" ref="X376:X379" si="1421">SUM(Y376:AH376)</f>
        <v>2651.7569532960088</v>
      </c>
      <c r="Y376" s="593">
        <f>SUMPRODUCT('EE Measures'!BZ$8:BZ$86,'EE Measures'!$II$8:$II$86,'EE Measures'!$Z$8:$Z$86)+SUMPRODUCT('EE Measures'!EE$8:EE$86,'EE Measures'!$II$8:$II$86,'EE Measures'!$Z$8:$Z$86,'EE Measures'!$ED$8:$ED$86)</f>
        <v>40.435021042104161</v>
      </c>
      <c r="Z376" s="593">
        <f>SUMPRODUCT('EE Measures'!CA$8:CA$86,'EE Measures'!$II$8:$II$86,'EE Measures'!$Z$8:$Z$86)+SUMPRODUCT('EE Measures'!EF$8:EF$86,'EE Measures'!$II$8:$II$86,'EE Measures'!$Z$8:$Z$86,'EE Measures'!$ED$8:$ED$86)</f>
        <v>45.407512544548929</v>
      </c>
      <c r="AA376" s="593">
        <f>SUMPRODUCT('EE Measures'!CB$8:CB$86,'EE Measures'!$II$8:$II$86,'EE Measures'!$Z$8:$Z$86)+SUMPRODUCT('EE Measures'!EG$8:EG$86,'EE Measures'!$II$8:$II$86,'EE Measures'!$Z$8:$Z$86,'EE Measures'!$ED$8:$ED$86)</f>
        <v>38.877676312623741</v>
      </c>
      <c r="AB376" s="593">
        <f>SUMPRODUCT('EE Measures'!CC$8:CC$86,'EE Measures'!$II$8:$II$86,'EE Measures'!$Z$8:$Z$86)+SUMPRODUCT('EE Measures'!EH$8:EH$86,'EE Measures'!$II$8:$II$86,'EE Measures'!$Z$8:$Z$86,'EE Measures'!$ED$8:$ED$86)</f>
        <v>97.397205576733299</v>
      </c>
      <c r="AC376" s="593">
        <f>SUMPRODUCT('EE Measures'!CD$8:CD$86,'EE Measures'!$II$8:$II$86,'EE Measures'!$Z$8:$Z$86)+SUMPRODUCT('EE Measures'!EI$8:EI$86,'EE Measures'!$II$8:$II$86,'EE Measures'!$Z$8:$Z$86,'EE Measures'!$ED$8:$ED$86)</f>
        <v>452.63514691022652</v>
      </c>
      <c r="AD376" s="593">
        <f>SUMPRODUCT('EE Measures'!CE$8:CE$86,'EE Measures'!$II$8:$II$86,'EE Measures'!$Z$8:$Z$86)+SUMPRODUCT('EE Measures'!EJ$8:EJ$86,'EE Measures'!$II$8:$II$86,'EE Measures'!$Z$8:$Z$86,'EE Measures'!$ED$8:$ED$86)</f>
        <v>412.36502626718942</v>
      </c>
      <c r="AE376" s="593">
        <f>SUMPRODUCT('EE Measures'!CF$8:CF$86,'EE Measures'!$II$8:$II$86,'EE Measures'!$Z$8:$Z$86)+SUMPRODUCT('EE Measures'!EK$8:EK$86,'EE Measures'!$II$8:$II$86,'EE Measures'!$Z$8:$Z$86,'EE Measures'!$ED$8:$ED$86)</f>
        <v>382.98315573759476</v>
      </c>
      <c r="AF376" s="593">
        <f>SUMPRODUCT('EE Measures'!CG$8:CG$86,'EE Measures'!$II$8:$II$86,'EE Measures'!$Z$8:$Z$86)+SUMPRODUCT('EE Measures'!EL$8:EL$86,'EE Measures'!$II$8:$II$86,'EE Measures'!$Z$8:$Z$86,'EE Measures'!$ED$8:$ED$86)</f>
        <v>386.25488558623272</v>
      </c>
      <c r="AG376" s="593">
        <f>SUMPRODUCT('EE Measures'!CH$8:CH$86,'EE Measures'!$II$8:$II$86,'EE Measures'!$Z$8:$Z$86)+SUMPRODUCT('EE Measures'!EM$8:EM$86,'EE Measures'!$II$8:$II$86,'EE Measures'!$Z$8:$Z$86,'EE Measures'!$ED$8:$ED$86)</f>
        <v>393.98008578555522</v>
      </c>
      <c r="AH376" s="593">
        <f>SUMPRODUCT('EE Measures'!CI$8:CI$86,'EE Measures'!$II$8:$II$86,'EE Measures'!$Z$8:$Z$86)+SUMPRODUCT('EE Measures'!EN$8:EN$86,'EE Measures'!$II$8:$II$86,'EE Measures'!$Z$8:$Z$86,'EE Measures'!$ED$8:$ED$86)</f>
        <v>401.42123753319981</v>
      </c>
      <c r="AI376" s="593">
        <f>SUMPRODUCT('EE Measures'!CJ$8:CJ$86,'EE Measures'!$II$8:$II$86,'EE Measures'!$Z$8:$Z$86)+SUMPRODUCT('EE Measures'!EO$8:EO$86,'EE Measures'!$II$8:$II$86,'EE Measures'!$Z$8:$Z$86,'EE Measures'!$ED$8:$ED$86)</f>
        <v>408.26037517646466</v>
      </c>
      <c r="AJ376" s="593">
        <f>SUMPRODUCT('EE Measures'!CK$8:CK$86,'EE Measures'!$II$8:$II$86,'EE Measures'!$Z$8:$Z$86)+SUMPRODUCT('EE Measures'!EP$8:EP$86,'EE Measures'!$II$8:$II$86,'EE Measures'!$Z$8:$Z$86,'EE Measures'!$ED$8:$ED$86)</f>
        <v>416.40764833336652</v>
      </c>
      <c r="AK376" s="593">
        <f>SUMPRODUCT('EE Measures'!CL$8:CL$86,'EE Measures'!$II$8:$II$86,'EE Measures'!$Z$8:$Z$86)+SUMPRODUCT('EE Measures'!EQ$8:EQ$86,'EE Measures'!$II$8:$II$86,'EE Measures'!$Z$8:$Z$86,'EE Measures'!$ED$8:$ED$86)</f>
        <v>424.73034191945766</v>
      </c>
      <c r="AL376" s="593">
        <f>SUMPRODUCT('EE Measures'!CM$8:CM$86,'EE Measures'!$II$8:$II$86,'EE Measures'!$Z$8:$Z$86)+SUMPRODUCT('EE Measures'!ER$8:ER$86,'EE Measures'!$II$8:$II$86,'EE Measures'!$Z$8:$Z$86,'EE Measures'!$ED$8:$ED$86)</f>
        <v>433.23242612380818</v>
      </c>
      <c r="AM376" s="593">
        <f>SUMPRODUCT('EE Measures'!CN$8:CN$86,'EE Measures'!$II$8:$II$86,'EE Measures'!$Z$8:$Z$86)+SUMPRODUCT('EE Measures'!ES$8:ES$86,'EE Measures'!$II$8:$II$86,'EE Measures'!$Z$8:$Z$86,'EE Measures'!$ED$8:$ED$86)</f>
        <v>441.91797186293513</v>
      </c>
      <c r="AN376" s="865">
        <f>X376/$X$374</f>
        <v>0.14855273777418171</v>
      </c>
    </row>
    <row r="377" spans="3:40" hidden="1" outlineLevel="1" x14ac:dyDescent="0.3">
      <c r="C377" s="587" t="str">
        <f t="shared" si="1419"/>
        <v>Renowave</v>
      </c>
      <c r="E377" s="563" t="s">
        <v>52</v>
      </c>
      <c r="F377" s="592">
        <f t="shared" si="1420"/>
        <v>3102.4716076296713</v>
      </c>
      <c r="G377" s="593">
        <f>SUMPRODUCT('EE Measures'!BZ$8:BZ$86,'EE Measures'!$II$8:$II$86,'EE Measures'!$P$8:$P$86)+SUMPRODUCT('EE Measures'!EE$8:EE$86,'EE Measures'!$II$8:$II$86,'EE Measures'!$P$8:$P$86,'EE Measures'!$ED$8:$ED$86)</f>
        <v>61.751940894257316</v>
      </c>
      <c r="H377" s="593">
        <f>SUMPRODUCT('EE Measures'!CA$8:CA$86,'EE Measures'!$II$8:$II$86,'EE Measures'!$P$8:$P$86)+SUMPRODUCT('EE Measures'!EF$8:EF$86,'EE Measures'!$II$8:$II$86,'EE Measures'!$P$8:$P$86,'EE Measures'!$ED$8:$ED$86)</f>
        <v>69.4064763057047</v>
      </c>
      <c r="I377" s="593">
        <f>SUMPRODUCT('EE Measures'!CB$8:CB$86,'EE Measures'!$II$8:$II$86,'EE Measures'!$P$8:$P$86)+SUMPRODUCT('EE Measures'!EG$8:EG$86,'EE Measures'!$II$8:$II$86,'EE Measures'!$P$8:$P$86,'EE Measures'!$ED$8:$ED$86)</f>
        <v>28.498132624761407</v>
      </c>
      <c r="J377" s="593">
        <f>SUMPRODUCT('EE Measures'!CC$8:CC$86,'EE Measures'!$II$8:$II$86,'EE Measures'!$P$8:$P$86)+SUMPRODUCT('EE Measures'!EH$8:EH$86,'EE Measures'!$II$8:$II$86,'EE Measures'!$P$8:$P$86,'EE Measures'!$ED$8:$ED$86)</f>
        <v>15.868670692219206</v>
      </c>
      <c r="K377" s="593">
        <f>SUMPRODUCT('EE Measures'!CD$8:CD$86,'EE Measures'!$II$8:$II$86,'EE Measures'!$P$8:$P$86)+SUMPRODUCT('EE Measures'!EI$8:EI$86,'EE Measures'!$II$8:$II$86,'EE Measures'!$P$8:$P$86,'EE Measures'!$ED$8:$ED$86)</f>
        <v>463.7430510742347</v>
      </c>
      <c r="L377" s="593">
        <f>SUMPRODUCT('EE Measures'!CE$8:CE$86,'EE Measures'!$II$8:$II$86,'EE Measures'!$P$8:$P$86)+SUMPRODUCT('EE Measures'!EJ$8:EJ$86,'EE Measures'!$II$8:$II$86,'EE Measures'!$P$8:$P$86,'EE Measures'!$ED$8:$ED$86)</f>
        <v>473.08514310036048</v>
      </c>
      <c r="M377" s="593">
        <f>SUMPRODUCT('EE Measures'!CF$8:CF$86,'EE Measures'!$II$8:$II$86,'EE Measures'!$P$8:$P$86)+SUMPRODUCT('EE Measures'!EK$8:EK$86,'EE Measures'!$II$8:$II$86,'EE Measures'!$P$8:$P$86,'EE Measures'!$ED$8:$ED$86)</f>
        <v>482.64186113905532</v>
      </c>
      <c r="N377" s="593">
        <f>SUMPRODUCT('EE Measures'!CG$8:CG$86,'EE Measures'!$II$8:$II$86,'EE Measures'!$P$8:$P$86)+SUMPRODUCT('EE Measures'!EL$8:EL$86,'EE Measures'!$II$8:$II$86,'EE Measures'!$P$8:$P$86,'EE Measures'!$ED$8:$ED$86)</f>
        <v>492.4168774697755</v>
      </c>
      <c r="O377" s="593">
        <f>SUMPRODUCT('EE Measures'!CH$8:CH$86,'EE Measures'!$II$8:$II$86,'EE Measures'!$P$8:$P$86)+SUMPRODUCT('EE Measures'!EM$8:EM$86,'EE Measures'!$II$8:$II$86,'EE Measures'!$P$8:$P$86,'EE Measures'!$ED$8:$ED$86)</f>
        <v>502.41565263072641</v>
      </c>
      <c r="P377" s="593">
        <f>SUMPRODUCT('EE Measures'!CI$8:CI$86,'EE Measures'!$II$8:$II$86,'EE Measures'!$P$8:$P$86)+SUMPRODUCT('EE Measures'!EN$8:EN$86,'EE Measures'!$II$8:$II$86,'EE Measures'!$P$8:$P$86,'EE Measures'!$ED$8:$ED$86)</f>
        <v>512.64380169857623</v>
      </c>
      <c r="Q377" s="593">
        <f>SUMPRODUCT('EE Measures'!CJ$8:CJ$86,'EE Measures'!$II$8:$II$86,'EE Measures'!$P$8:$P$86)+SUMPRODUCT('EE Measures'!EO$8:EO$86,'EE Measures'!$II$8:$II$86,'EE Measures'!$P$8:$P$86,'EE Measures'!$ED$8:$ED$86)</f>
        <v>523.10709928176516</v>
      </c>
      <c r="R377" s="593">
        <f>SUMPRODUCT('EE Measures'!CK$8:CK$86,'EE Measures'!$II$8:$II$86,'EE Measures'!$P$8:$P$86)+SUMPRODUCT('EE Measures'!EP$8:EP$86,'EE Measures'!$II$8:$II$86,'EE Measures'!$P$8:$P$86,'EE Measures'!$ED$8:$ED$86)</f>
        <v>533.81148469579284</v>
      </c>
      <c r="S377" s="593">
        <f>SUMPRODUCT('EE Measures'!CL$8:CL$86,'EE Measures'!$II$8:$II$86,'EE Measures'!$P$8:$P$86)+SUMPRODUCT('EE Measures'!EQ$8:EQ$86,'EE Measures'!$II$8:$II$86,'EE Measures'!$P$8:$P$86,'EE Measures'!$ED$8:$ED$86)</f>
        <v>544.76306732770672</v>
      </c>
      <c r="T377" s="593">
        <f>SUMPRODUCT('EE Measures'!CM$8:CM$86,'EE Measures'!$II$8:$II$86,'EE Measures'!$P$8:$P$86)+SUMPRODUCT('EE Measures'!ER$8:ER$86,'EE Measures'!$II$8:$II$86,'EE Measures'!$P$8:$P$86,'EE Measures'!$ED$8:$ED$86)</f>
        <v>555.96813219732098</v>
      </c>
      <c r="U377" s="593">
        <f>SUMPRODUCT('EE Measures'!CN$8:CN$86,'EE Measures'!$II$8:$II$86,'EE Measures'!$P$8:$P$86)+SUMPRODUCT('EE Measures'!ES$8:ES$86,'EE Measures'!$II$8:$II$86,'EE Measures'!$P$8:$P$86,'EE Measures'!$ED$8:$ED$86)</f>
        <v>567.43314572301301</v>
      </c>
      <c r="V377" s="898">
        <f t="shared" si="1376"/>
        <v>5667.8979870305466</v>
      </c>
      <c r="W377" s="563" t="str">
        <v>Kirde-Eesti</v>
      </c>
      <c r="X377" s="592">
        <f t="shared" si="1421"/>
        <v>1819.7574069287537</v>
      </c>
      <c r="Y377" s="593">
        <f>SUMPRODUCT('EE Measures'!BZ$8:BZ$86,'EE Measures'!$II$8:$II$86,'EE Measures'!$AA$8:$AA$86)+SUMPRODUCT('EE Measures'!EE$8:EE$86,'EE Measures'!$II$8:$II$86,'EE Measures'!$AA$8:$AA$86,'EE Measures'!$ED$8:$ED$86)</f>
        <v>26.406461745177428</v>
      </c>
      <c r="Z377" s="593">
        <f>SUMPRODUCT('EE Measures'!CA$8:CA$86,'EE Measures'!$II$8:$II$86,'EE Measures'!$AA$8:$AA$86)+SUMPRODUCT('EE Measures'!EF$8:EF$86,'EE Measures'!$II$8:$II$86,'EE Measures'!$AA$8:$AA$86,'EE Measures'!$ED$8:$ED$86)</f>
        <v>14.466244479860192</v>
      </c>
      <c r="AA377" s="593">
        <f>SUMPRODUCT('EE Measures'!CB$8:CB$86,'EE Measures'!$II$8:$II$86,'EE Measures'!$AA$8:$AA$86)+SUMPRODUCT('EE Measures'!EG$8:EG$86,'EE Measures'!$II$8:$II$86,'EE Measures'!$AA$8:$AA$86,'EE Measures'!$ED$8:$ED$86)</f>
        <v>11.213139437577412</v>
      </c>
      <c r="AB377" s="593">
        <f>SUMPRODUCT('EE Measures'!CC$8:CC$86,'EE Measures'!$II$8:$II$86,'EE Measures'!$AA$8:$AA$86)+SUMPRODUCT('EE Measures'!EH$8:EH$86,'EE Measures'!$II$8:$II$86,'EE Measures'!$AA$8:$AA$86,'EE Measures'!$ED$8:$ED$86)</f>
        <v>12.897600281166916</v>
      </c>
      <c r="AC377" s="593">
        <f>SUMPRODUCT('EE Measures'!CD$8:CD$86,'EE Measures'!$II$8:$II$86,'EE Measures'!$AA$8:$AA$86)+SUMPRODUCT('EE Measures'!EI$8:EI$86,'EE Measures'!$II$8:$II$86,'EE Measures'!$AA$8:$AA$86,'EE Measures'!$ED$8:$ED$86)</f>
        <v>282.08220718138568</v>
      </c>
      <c r="AD377" s="593">
        <f>SUMPRODUCT('EE Measures'!CE$8:CE$86,'EE Measures'!$II$8:$II$86,'EE Measures'!$AA$8:$AA$86)+SUMPRODUCT('EE Measures'!EJ$8:EJ$86,'EE Measures'!$II$8:$II$86,'EE Measures'!$AA$8:$AA$86,'EE Measures'!$ED$8:$ED$86)</f>
        <v>286.616239966281</v>
      </c>
      <c r="AE377" s="593">
        <f>SUMPRODUCT('EE Measures'!CF$8:CF$86,'EE Measures'!$II$8:$II$86,'EE Measures'!$AA$8:$AA$86)+SUMPRODUCT('EE Measures'!EK$8:EK$86,'EE Measures'!$II$8:$II$86,'EE Measures'!$AA$8:$AA$86,'EE Measures'!$ED$8:$ED$86)</f>
        <v>291.96888443615336</v>
      </c>
      <c r="AF377" s="593">
        <f>SUMPRODUCT('EE Measures'!CG$8:CG$86,'EE Measures'!$II$8:$II$86,'EE Measures'!$AA$8:$AA$86)+SUMPRODUCT('EE Measures'!EL$8:EL$86,'EE Measures'!$II$8:$II$86,'EE Measures'!$AA$8:$AA$86,'EE Measures'!$ED$8:$ED$86)</f>
        <v>292.14403660204221</v>
      </c>
      <c r="AG377" s="593">
        <f>SUMPRODUCT('EE Measures'!CH$8:CH$86,'EE Measures'!$II$8:$II$86,'EE Measures'!$AA$8:$AA$86)+SUMPRODUCT('EE Measures'!EM$8:EM$86,'EE Measures'!$II$8:$II$86,'EE Measures'!$AA$8:$AA$86,'EE Measures'!$ED$8:$ED$86)</f>
        <v>298.12702804802279</v>
      </c>
      <c r="AH377" s="593">
        <f>SUMPRODUCT('EE Measures'!CI$8:CI$86,'EE Measures'!$II$8:$II$86,'EE Measures'!$AA$8:$AA$86)+SUMPRODUCT('EE Measures'!EN$8:EN$86,'EE Measures'!$II$8:$II$86,'EE Measures'!$AA$8:$AA$86,'EE Measures'!$ED$8:$ED$86)</f>
        <v>303.83556475108662</v>
      </c>
      <c r="AI377" s="593">
        <f>SUMPRODUCT('EE Measures'!CJ$8:CJ$86,'EE Measures'!$II$8:$II$86,'EE Measures'!$AA$8:$AA$86)+SUMPRODUCT('EE Measures'!EO$8:EO$86,'EE Measures'!$II$8:$II$86,'EE Measures'!$AA$8:$AA$86,'EE Measures'!$ED$8:$ED$86)</f>
        <v>309.48880024307994</v>
      </c>
      <c r="AJ377" s="593">
        <f>SUMPRODUCT('EE Measures'!CK$8:CK$86,'EE Measures'!$II$8:$II$86,'EE Measures'!$AA$8:$AA$86)+SUMPRODUCT('EE Measures'!EP$8:EP$86,'EE Measures'!$II$8:$II$86,'EE Measures'!$AA$8:$AA$86,'EE Measures'!$ED$8:$ED$86)</f>
        <v>315.79839097646033</v>
      </c>
      <c r="AK377" s="593">
        <f>SUMPRODUCT('EE Measures'!CL$8:CL$86,'EE Measures'!$II$8:$II$86,'EE Measures'!$AA$8:$AA$86)+SUMPRODUCT('EE Measures'!EQ$8:EQ$86,'EE Measures'!$II$8:$II$86,'EE Measures'!$AA$8:$AA$86,'EE Measures'!$ED$8:$ED$86)</f>
        <v>322.2449129143605</v>
      </c>
      <c r="AL377" s="593">
        <f>SUMPRODUCT('EE Measures'!CM$8:CM$86,'EE Measures'!$II$8:$II$86,'EE Measures'!$AA$8:$AA$86)+SUMPRODUCT('EE Measures'!ER$8:ER$86,'EE Measures'!$II$8:$II$86,'EE Measures'!$AA$8:$AA$86,'EE Measures'!$ED$8:$ED$86)</f>
        <v>328.83150125978619</v>
      </c>
      <c r="AM377" s="593">
        <f>SUMPRODUCT('EE Measures'!CN$8:CN$86,'EE Measures'!$II$8:$II$86,'EE Measures'!$AA$8:$AA$86)+SUMPRODUCT('EE Measures'!ES$8:ES$86,'EE Measures'!$II$8:$II$86,'EE Measures'!$AA$8:$AA$86,'EE Measures'!$ED$8:$ED$86)</f>
        <v>335.56137209732412</v>
      </c>
      <c r="AN377" s="865">
        <f>X377/$X$374</f>
        <v>0.10194371114898168</v>
      </c>
    </row>
    <row r="378" spans="3:40" hidden="1" outlineLevel="1" x14ac:dyDescent="0.3">
      <c r="C378" s="587" t="str">
        <f t="shared" si="1419"/>
        <v>Renowave</v>
      </c>
      <c r="E378" s="563" t="s">
        <v>53</v>
      </c>
      <c r="F378" s="592">
        <f t="shared" si="1420"/>
        <v>1533.6205284604202</v>
      </c>
      <c r="G378" s="593">
        <f>SUMPRODUCT('EE Measures'!BZ$8:BZ$86,'EE Measures'!$II$8:$II$86,'EE Measures'!$Q$8:$Q$86)+SUMPRODUCT('EE Measures'!EE$8:EE$86,'EE Measures'!$II$8:$II$86,'EE Measures'!$Q$8:$Q$86,'EE Measures'!$ED$8:$ED$86)</f>
        <v>116.37953799001299</v>
      </c>
      <c r="H378" s="593">
        <f>SUMPRODUCT('EE Measures'!CA$8:CA$86,'EE Measures'!$II$8:$II$86,'EE Measures'!$Q$8:$Q$86)+SUMPRODUCT('EE Measures'!EF$8:EF$86,'EE Measures'!$II$8:$II$86,'EE Measures'!$Q$8:$Q$86,'EE Measures'!$ED$8:$ED$86)</f>
        <v>71.266303532804329</v>
      </c>
      <c r="I378" s="593">
        <f>SUMPRODUCT('EE Measures'!CB$8:CB$86,'EE Measures'!$II$8:$II$86,'EE Measures'!$Q$8:$Q$86)+SUMPRODUCT('EE Measures'!EG$8:EG$86,'EE Measures'!$II$8:$II$86,'EE Measures'!$Q$8:$Q$86,'EE Measures'!$ED$8:$ED$86)</f>
        <v>63.351225252674048</v>
      </c>
      <c r="J378" s="593">
        <f>SUMPRODUCT('EE Measures'!CC$8:CC$86,'EE Measures'!$II$8:$II$86,'EE Measures'!$Q$8:$Q$86)+SUMPRODUCT('EE Measures'!EH$8:EH$86,'EE Measures'!$II$8:$II$86,'EE Measures'!$Q$8:$Q$86,'EE Measures'!$ED$8:$ED$86)</f>
        <v>225.21575082539061</v>
      </c>
      <c r="K378" s="593">
        <f>SUMPRODUCT('EE Measures'!CD$8:CD$86,'EE Measures'!$II$8:$II$86,'EE Measures'!$Q$8:$Q$86)+SUMPRODUCT('EE Measures'!EI$8:EI$86,'EE Measures'!$II$8:$II$86,'EE Measures'!$Q$8:$Q$86,'EE Measures'!$ED$8:$ED$86)</f>
        <v>322.1653824002197</v>
      </c>
      <c r="L378" s="593">
        <f>SUMPRODUCT('EE Measures'!CE$8:CE$86,'EE Measures'!$II$8:$II$86,'EE Measures'!$Q$8:$Q$86)+SUMPRODUCT('EE Measures'!EJ$8:EJ$86,'EE Measures'!$II$8:$II$86,'EE Measures'!$Q$8:$Q$86,'EE Measures'!$ED$8:$ED$86)</f>
        <v>204.45837821192021</v>
      </c>
      <c r="M378" s="593">
        <f>SUMPRODUCT('EE Measures'!CF$8:CF$86,'EE Measures'!$II$8:$II$86,'EE Measures'!$Q$8:$Q$86)+SUMPRODUCT('EE Measures'!EK$8:EK$86,'EE Measures'!$II$8:$II$86,'EE Measures'!$Q$8:$Q$86,'EE Measures'!$ED$8:$ED$86)</f>
        <v>139.37935246164784</v>
      </c>
      <c r="N378" s="593">
        <f>SUMPRODUCT('EE Measures'!CG$8:CG$86,'EE Measures'!$II$8:$II$86,'EE Measures'!$Q$8:$Q$86)+SUMPRODUCT('EE Measures'!EL$8:EL$86,'EE Measures'!$II$8:$II$86,'EE Measures'!$Q$8:$Q$86,'EE Measures'!$ED$8:$ED$86)</f>
        <v>129.31187489825854</v>
      </c>
      <c r="O378" s="593">
        <f>SUMPRODUCT('EE Measures'!CH$8:CH$86,'EE Measures'!$II$8:$II$86,'EE Measures'!$Q$8:$Q$86)+SUMPRODUCT('EE Measures'!EM$8:EM$86,'EE Measures'!$II$8:$II$86,'EE Measures'!$Q$8:$Q$86,'EE Measures'!$ED$8:$ED$86)</f>
        <v>131.8311213482402</v>
      </c>
      <c r="P378" s="593">
        <f>SUMPRODUCT('EE Measures'!CI$8:CI$86,'EE Measures'!$II$8:$II$86,'EE Measures'!$Q$8:$Q$86)+SUMPRODUCT('EE Measures'!EN$8:EN$86,'EE Measures'!$II$8:$II$86,'EE Measures'!$Q$8:$Q$86,'EE Measures'!$ED$8:$ED$86)</f>
        <v>130.26160153925161</v>
      </c>
      <c r="Q378" s="593">
        <f>SUMPRODUCT('EE Measures'!CJ$8:CJ$86,'EE Measures'!$II$8:$II$86,'EE Measures'!$Q$8:$Q$86)+SUMPRODUCT('EE Measures'!EO$8:EO$86,'EE Measures'!$II$8:$II$86,'EE Measures'!$Q$8:$Q$86,'EE Measures'!$ED$8:$ED$86)</f>
        <v>123.44022778864215</v>
      </c>
      <c r="R378" s="593">
        <f>SUMPRODUCT('EE Measures'!CK$8:CK$86,'EE Measures'!$II$8:$II$86,'EE Measures'!$Q$8:$Q$86)+SUMPRODUCT('EE Measures'!EP$8:EP$86,'EE Measures'!$II$8:$II$86,'EE Measures'!$Q$8:$Q$86,'EE Measures'!$ED$8:$ED$86)</f>
        <v>124.8353063594239</v>
      </c>
      <c r="S378" s="593">
        <f>SUMPRODUCT('EE Measures'!CL$8:CL$86,'EE Measures'!$II$8:$II$86,'EE Measures'!$Q$8:$Q$86)+SUMPRODUCT('EE Measures'!EQ$8:EQ$86,'EE Measures'!$II$8:$II$86,'EE Measures'!$Q$8:$Q$86,'EE Measures'!$ED$8:$ED$86)</f>
        <v>126.2648396323558</v>
      </c>
      <c r="T378" s="593">
        <f>SUMPRODUCT('EE Measures'!CM$8:CM$86,'EE Measures'!$II$8:$II$86,'EE Measures'!$Q$8:$Q$86)+SUMPRODUCT('EE Measures'!ER$8:ER$86,'EE Measures'!$II$8:$II$86,'EE Measures'!$Q$8:$Q$86,'EE Measures'!$ED$8:$ED$86)</f>
        <v>127.72928906351424</v>
      </c>
      <c r="U378" s="593">
        <f>SUMPRODUCT('EE Measures'!CN$8:CN$86,'EE Measures'!$II$8:$II$86,'EE Measures'!$Q$8:$Q$86)+SUMPRODUCT('EE Measures'!ES$8:ES$86,'EE Measures'!$II$8:$II$86,'EE Measures'!$Q$8:$Q$86,'EE Measures'!$ED$8:$ED$86)</f>
        <v>129.2291297508271</v>
      </c>
      <c r="V378" s="898">
        <f t="shared" si="1376"/>
        <v>1914.1222542796918</v>
      </c>
      <c r="W378" s="563" t="str">
        <v>Lõuna-Eesti </v>
      </c>
      <c r="X378" s="592">
        <f t="shared" si="1421"/>
        <v>4567.1147282730826</v>
      </c>
      <c r="Y378" s="593">
        <f>SUMPRODUCT('EE Measures'!BZ$8:BZ$86,'EE Measures'!$II$8:$II$86,'EE Measures'!$AB$8:$AB$86)+SUMPRODUCT('EE Measures'!EE$8:EE$86,'EE Measures'!$II$8:$II$86,'EE Measures'!$AB$8:$AB$86,'EE Measures'!$ED$8:$ED$86)</f>
        <v>53.762911611150713</v>
      </c>
      <c r="Z378" s="593">
        <f>SUMPRODUCT('EE Measures'!CA$8:CA$86,'EE Measures'!$II$8:$II$86,'EE Measures'!$AB$8:$AB$86)+SUMPRODUCT('EE Measures'!EF$8:EF$86,'EE Measures'!$II$8:$II$86,'EE Measures'!$AB$8:$AB$86,'EE Measures'!$ED$8:$ED$86)</f>
        <v>36.89797314033644</v>
      </c>
      <c r="AA378" s="593">
        <f>SUMPRODUCT('EE Measures'!CB$8:CB$86,'EE Measures'!$II$8:$II$86,'EE Measures'!$AB$8:$AB$86)+SUMPRODUCT('EE Measures'!EG$8:EG$86,'EE Measures'!$II$8:$II$86,'EE Measures'!$AB$8:$AB$86,'EE Measures'!$ED$8:$ED$86)</f>
        <v>37.994494798147755</v>
      </c>
      <c r="AB378" s="593">
        <f>SUMPRODUCT('EE Measures'!CC$8:CC$86,'EE Measures'!$II$8:$II$86,'EE Measures'!$AB$8:$AB$86)+SUMPRODUCT('EE Measures'!EH$8:EH$86,'EE Measures'!$II$8:$II$86,'EE Measures'!$AB$8:$AB$86,'EE Measures'!$ED$8:$ED$86)</f>
        <v>30.654443512680707</v>
      </c>
      <c r="AC378" s="593">
        <f>SUMPRODUCT('EE Measures'!CD$8:CD$86,'EE Measures'!$II$8:$II$86,'EE Measures'!$AB$8:$AB$86)+SUMPRODUCT('EE Measures'!EI$8:EI$86,'EE Measures'!$II$8:$II$86,'EE Measures'!$AB$8:$AB$86,'EE Measures'!$ED$8:$ED$86)</f>
        <v>704.42389671724709</v>
      </c>
      <c r="AD378" s="593">
        <f>SUMPRODUCT('EE Measures'!CE$8:CE$86,'EE Measures'!$II$8:$II$86,'EE Measures'!$AB$8:$AB$86)+SUMPRODUCT('EE Measures'!EJ$8:EJ$86,'EE Measures'!$II$8:$II$86,'EE Measures'!$AB$8:$AB$86,'EE Measures'!$ED$8:$ED$86)</f>
        <v>716.45892798970465</v>
      </c>
      <c r="AE378" s="593">
        <f>SUMPRODUCT('EE Measures'!CF$8:CF$86,'EE Measures'!$II$8:$II$86,'EE Measures'!$AB$8:$AB$86)+SUMPRODUCT('EE Measures'!EK$8:EK$86,'EE Measures'!$II$8:$II$86,'EE Measures'!$AB$8:$AB$86,'EE Measures'!$ED$8:$ED$86)</f>
        <v>731.90920952201873</v>
      </c>
      <c r="AF378" s="593">
        <f>SUMPRODUCT('EE Measures'!CG$8:CG$86,'EE Measures'!$II$8:$II$86,'EE Measures'!$AB$8:$AB$86)+SUMPRODUCT('EE Measures'!EL$8:EL$86,'EE Measures'!$II$8:$II$86,'EE Measures'!$AB$8:$AB$86,'EE Measures'!$ED$8:$ED$86)</f>
        <v>736.83161183457594</v>
      </c>
      <c r="AG378" s="593">
        <f>SUMPRODUCT('EE Measures'!CH$8:CH$86,'EE Measures'!$II$8:$II$86,'EE Measures'!$AB$8:$AB$86)+SUMPRODUCT('EE Measures'!EM$8:EM$86,'EE Measures'!$II$8:$II$86,'EE Measures'!$AB$8:$AB$86,'EE Measures'!$ED$8:$ED$86)</f>
        <v>751.88694730314683</v>
      </c>
      <c r="AH378" s="593">
        <f>SUMPRODUCT('EE Measures'!CI$8:CI$86,'EE Measures'!$II$8:$II$86,'EE Measures'!$AB$8:$AB$86)+SUMPRODUCT('EE Measures'!EN$8:EN$86,'EE Measures'!$II$8:$II$86,'EE Measures'!$AB$8:$AB$86,'EE Measures'!$ED$8:$ED$86)</f>
        <v>766.29431184407326</v>
      </c>
      <c r="AI378" s="593">
        <f>SUMPRODUCT('EE Measures'!CJ$8:CJ$86,'EE Measures'!$II$8:$II$86,'EE Measures'!$AB$8:$AB$86)+SUMPRODUCT('EE Measures'!EO$8:EO$86,'EE Measures'!$II$8:$II$86,'EE Measures'!$AB$8:$AB$86,'EE Measures'!$ED$8:$ED$86)</f>
        <v>779.4496177415698</v>
      </c>
      <c r="AJ378" s="593">
        <f>SUMPRODUCT('EE Measures'!CK$8:CK$86,'EE Measures'!$II$8:$II$86,'EE Measures'!$AB$8:$AB$86)+SUMPRODUCT('EE Measures'!EP$8:EP$86,'EE Measures'!$II$8:$II$86,'EE Measures'!$AB$8:$AB$86,'EE Measures'!$ED$8:$ED$86)</f>
        <v>795.31197433172917</v>
      </c>
      <c r="AK378" s="593">
        <f>SUMPRODUCT('EE Measures'!CL$8:CL$86,'EE Measures'!$II$8:$II$86,'EE Measures'!$AB$8:$AB$86)+SUMPRODUCT('EE Measures'!EQ$8:EQ$86,'EE Measures'!$II$8:$II$86,'EE Measures'!$AB$8:$AB$86,'EE Measures'!$ED$8:$ED$86)</f>
        <v>811.52179867230893</v>
      </c>
      <c r="AL378" s="593">
        <f>SUMPRODUCT('EE Measures'!CM$8:CM$86,'EE Measures'!$II$8:$II$86,'EE Measures'!$AB$8:$AB$86)+SUMPRODUCT('EE Measures'!ER$8:ER$86,'EE Measures'!$II$8:$II$86,'EE Measures'!$AB$8:$AB$86,'EE Measures'!$ED$8:$ED$86)</f>
        <v>828.08716810473163</v>
      </c>
      <c r="AM378" s="593">
        <f>SUMPRODUCT('EE Measures'!CN$8:CN$86,'EE Measures'!$II$8:$II$86,'EE Measures'!$AB$8:$AB$86)+SUMPRODUCT('EE Measures'!ES$8:ES$86,'EE Measures'!$II$8:$II$86,'EE Measures'!$AB$8:$AB$86,'EE Measures'!$ED$8:$ED$86)</f>
        <v>845.01637289196481</v>
      </c>
      <c r="AN378" s="865">
        <f>X378/$X$374</f>
        <v>0.2558520288861556</v>
      </c>
    </row>
    <row r="379" spans="3:40" hidden="1" outlineLevel="1" x14ac:dyDescent="0.3">
      <c r="C379" s="587" t="str">
        <f t="shared" si="1419"/>
        <v>Renowave</v>
      </c>
      <c r="E379" s="563" t="s">
        <v>54</v>
      </c>
      <c r="F379" s="592">
        <f t="shared" si="1420"/>
        <v>57.084871975960553</v>
      </c>
      <c r="G379" s="593">
        <f>SUMPRODUCT('EE Measures'!BZ$8:BZ$86,'EE Measures'!$II$8:$II$86,'EE Measures'!$R$8:$R$86)+SUMPRODUCT('EE Measures'!EE$8:EE$86,'EE Measures'!$II$8:$II$86,'EE Measures'!$R$8:$R$86,'EE Measures'!$ED$8:$ED$86)</f>
        <v>0.19824537138156786</v>
      </c>
      <c r="H379" s="593">
        <f>SUMPRODUCT('EE Measures'!CA$8:CA$86,'EE Measures'!$II$8:$II$86,'EE Measures'!$R$8:$R$86)+SUMPRODUCT('EE Measures'!EF$8:EF$86,'EE Measures'!$II$8:$II$86,'EE Measures'!$R$8:$R$86,'EE Measures'!$ED$8:$ED$86)</f>
        <v>0.22216844741811145</v>
      </c>
      <c r="I379" s="593">
        <f>SUMPRODUCT('EE Measures'!CB$8:CB$86,'EE Measures'!$II$8:$II$86,'EE Measures'!$R$8:$R$86)+SUMPRODUCT('EE Measures'!EG$8:EG$86,'EE Measures'!$II$8:$II$86,'EE Measures'!$R$8:$R$86,'EE Measures'!$ED$8:$ED$86)</f>
        <v>0.24739223196539509</v>
      </c>
      <c r="J379" s="593">
        <f>SUMPRODUCT('EE Measures'!CC$8:CC$86,'EE Measures'!$II$8:$II$86,'EE Measures'!$R$8:$R$86)+SUMPRODUCT('EE Measures'!EH$8:EH$86,'EE Measures'!$II$8:$II$86,'EE Measures'!$R$8:$R$86,'EE Measures'!$ED$8:$ED$86)</f>
        <v>4.4688409949200949</v>
      </c>
      <c r="K379" s="593">
        <f>SUMPRODUCT('EE Measures'!CD$8:CD$86,'EE Measures'!$II$8:$II$86,'EE Measures'!$R$8:$R$86)+SUMPRODUCT('EE Measures'!EI$8:EI$86,'EE Measures'!$II$8:$II$86,'EE Measures'!$R$8:$R$86,'EE Measures'!$ED$8:$ED$86)</f>
        <v>6.613146358568093</v>
      </c>
      <c r="L379" s="593">
        <f>SUMPRODUCT('EE Measures'!CE$8:CE$86,'EE Measures'!$II$8:$II$86,'EE Measures'!$R$8:$R$86)+SUMPRODUCT('EE Measures'!EJ$8:EJ$86,'EE Measures'!$II$8:$II$86,'EE Measures'!$R$8:$R$86,'EE Measures'!$ED$8:$ED$86)</f>
        <v>6.6884502401727692</v>
      </c>
      <c r="M379" s="593">
        <f>SUMPRODUCT('EE Measures'!CF$8:CF$86,'EE Measures'!$II$8:$II$86,'EE Measures'!$R$8:$R$86)+SUMPRODUCT('EE Measures'!EK$8:EK$86,'EE Measures'!$II$8:$II$86,'EE Measures'!$R$8:$R$86,'EE Measures'!$ED$8:$ED$86)</f>
        <v>9.5326171661078121</v>
      </c>
      <c r="N379" s="593">
        <f>SUMPRODUCT('EE Measures'!CG$8:CG$86,'EE Measures'!$II$8:$II$86,'EE Measures'!$R$8:$R$86)+SUMPRODUCT('EE Measures'!EL$8:EL$86,'EE Measures'!$II$8:$II$86,'EE Measures'!$R$8:$R$86,'EE Measures'!$ED$8:$ED$86)</f>
        <v>9.6165746127363079</v>
      </c>
      <c r="O379" s="593">
        <f>SUMPRODUCT('EE Measures'!CH$8:CH$86,'EE Measures'!$II$8:$II$86,'EE Measures'!$R$8:$R$86)+SUMPRODUCT('EE Measures'!EM$8:EM$86,'EE Measures'!$II$8:$II$86,'EE Measures'!$R$8:$R$86,'EE Measures'!$ED$8:$ED$86)</f>
        <v>9.7036184945977091</v>
      </c>
      <c r="P379" s="593">
        <f>SUMPRODUCT('EE Measures'!CI$8:CI$86,'EE Measures'!$II$8:$II$86,'EE Measures'!$R$8:$R$86)+SUMPRODUCT('EE Measures'!EN$8:EN$86,'EE Measures'!$II$8:$II$86,'EE Measures'!$R$8:$R$86,'EE Measures'!$ED$8:$ED$86)</f>
        <v>9.7938180580926968</v>
      </c>
      <c r="Q379" s="593">
        <f>SUMPRODUCT('EE Measures'!CJ$8:CJ$86,'EE Measures'!$II$8:$II$86,'EE Measures'!$R$8:$R$86)+SUMPRODUCT('EE Measures'!EO$8:EO$86,'EE Measures'!$II$8:$II$86,'EE Measures'!$R$8:$R$86,'EE Measures'!$ED$8:$ED$86)</f>
        <v>7.1216685945425162</v>
      </c>
      <c r="R379" s="593">
        <f>SUMPRODUCT('EE Measures'!CK$8:CK$86,'EE Measures'!$II$8:$II$86,'EE Measures'!$R$8:$R$86)+SUMPRODUCT('EE Measures'!EP$8:EP$86,'EE Measures'!$II$8:$II$86,'EE Measures'!$R$8:$R$86,'EE Measures'!$ED$8:$ED$86)</f>
        <v>7.2183990603443124</v>
      </c>
      <c r="S379" s="593">
        <f>SUMPRODUCT('EE Measures'!CL$8:CL$86,'EE Measures'!$II$8:$II$86,'EE Measures'!$R$8:$R$86)+SUMPRODUCT('EE Measures'!EQ$8:EQ$86,'EE Measures'!$II$8:$II$86,'EE Measures'!$R$8:$R$86,'EE Measures'!$ED$8:$ED$86)</f>
        <v>7.3185108983627574</v>
      </c>
      <c r="T379" s="593">
        <f>SUMPRODUCT('EE Measures'!CM$8:CM$86,'EE Measures'!$II$8:$II$86,'EE Measures'!$R$8:$R$86)+SUMPRODUCT('EE Measures'!ER$8:ER$86,'EE Measures'!$II$8:$II$86,'EE Measures'!$R$8:$R$86,'EE Measures'!$ED$8:$ED$86)</f>
        <v>7.4220856664942518</v>
      </c>
      <c r="U379" s="593">
        <f>SUMPRODUCT('EE Measures'!CN$8:CN$86,'EE Measures'!$II$8:$II$86,'EE Measures'!$R$8:$R$86)+SUMPRODUCT('EE Measures'!ES$8:ES$86,'EE Measures'!$II$8:$II$86,'EE Measures'!$R$8:$R$86,'EE Measures'!$ED$8:$ED$86)</f>
        <v>7.5292082692412787</v>
      </c>
      <c r="V379" s="898">
        <f t="shared" si="1376"/>
        <v>93.026938414180606</v>
      </c>
      <c r="W379" s="563" t="str">
        <v>Kesk-Eesti</v>
      </c>
      <c r="X379" s="592">
        <f t="shared" si="1421"/>
        <v>2054.838434774535</v>
      </c>
      <c r="Y379" s="593">
        <f>SUMPRODUCT('EE Measures'!BZ$8:BZ$86,'EE Measures'!$II$8:$II$86,'EE Measures'!$AC$8:$AC$86)+SUMPRODUCT('EE Measures'!EE$8:EE$86,'EE Measures'!$II$8:$II$86,'EE Measures'!$AC$8:$AC$86,'EE Measures'!$ED$8:$ED$86)</f>
        <v>22.052750486961642</v>
      </c>
      <c r="Z379" s="593">
        <f>SUMPRODUCT('EE Measures'!CA$8:CA$86,'EE Measures'!$II$8:$II$86,'EE Measures'!$AC$8:$AC$86)+SUMPRODUCT('EE Measures'!EF$8:EF$86,'EE Measures'!$II$8:$II$86,'EE Measures'!$AC$8:$AC$86,'EE Measures'!$ED$8:$ED$86)</f>
        <v>15.566903318165366</v>
      </c>
      <c r="AA379" s="593">
        <f>SUMPRODUCT('EE Measures'!CB$8:CB$86,'EE Measures'!$II$8:$II$86,'EE Measures'!$AC$8:$AC$86)+SUMPRODUCT('EE Measures'!EG$8:EG$86,'EE Measures'!$II$8:$II$86,'EE Measures'!$AC$8:$AC$86,'EE Measures'!$ED$8:$ED$86)</f>
        <v>16.671046366674489</v>
      </c>
      <c r="AB379" s="593">
        <f>SUMPRODUCT('EE Measures'!CC$8:CC$86,'EE Measures'!$II$8:$II$86,'EE Measures'!$AC$8:$AC$86)+SUMPRODUCT('EE Measures'!EH$8:EH$86,'EE Measures'!$II$8:$II$86,'EE Measures'!$AC$8:$AC$86,'EE Measures'!$ED$8:$ED$86)</f>
        <v>12.750056661328202</v>
      </c>
      <c r="AC379" s="593">
        <f>SUMPRODUCT('EE Measures'!CD$8:CD$86,'EE Measures'!$II$8:$II$86,'EE Measures'!$AC$8:$AC$86)+SUMPRODUCT('EE Measures'!EI$8:EI$86,'EE Measures'!$II$8:$II$86,'EE Measures'!$AC$8:$AC$86,'EE Measures'!$ED$8:$ED$86)</f>
        <v>317.52149368982975</v>
      </c>
      <c r="AD379" s="593">
        <f>SUMPRODUCT('EE Measures'!CE$8:CE$86,'EE Measures'!$II$8:$II$86,'EE Measures'!$AC$8:$AC$86)+SUMPRODUCT('EE Measures'!EJ$8:EJ$86,'EE Measures'!$II$8:$II$86,'EE Measures'!$AC$8:$AC$86,'EE Measures'!$ED$8:$ED$86)</f>
        <v>322.97713317473875</v>
      </c>
      <c r="AE379" s="593">
        <f>SUMPRODUCT('EE Measures'!CF$8:CF$86,'EE Measures'!$II$8:$II$86,'EE Measures'!$AC$8:$AC$86)+SUMPRODUCT('EE Measures'!EK$8:EK$86,'EE Measures'!$II$8:$II$86,'EE Measures'!$AC$8:$AC$86,'EE Measures'!$ED$8:$ED$86)</f>
        <v>330.01176670863225</v>
      </c>
      <c r="AF379" s="593">
        <f>SUMPRODUCT('EE Measures'!CG$8:CG$86,'EE Measures'!$II$8:$II$86,'EE Measures'!$AC$8:$AC$86)+SUMPRODUCT('EE Measures'!EL$8:EL$86,'EE Measures'!$II$8:$II$86,'EE Measures'!$AC$8:$AC$86,'EE Measures'!$ED$8:$ED$86)</f>
        <v>332.4476174568523</v>
      </c>
      <c r="AG379" s="593">
        <f>SUMPRODUCT('EE Measures'!CH$8:CH$86,'EE Measures'!$II$8:$II$86,'EE Measures'!$AC$8:$AC$86)+SUMPRODUCT('EE Measures'!EM$8:EM$86,'EE Measures'!$II$8:$II$86,'EE Measures'!$AC$8:$AC$86,'EE Measures'!$ED$8:$ED$86)</f>
        <v>339.17197334111734</v>
      </c>
      <c r="AH379" s="593">
        <f>SUMPRODUCT('EE Measures'!CI$8:CI$86,'EE Measures'!$II$8:$II$86,'EE Measures'!$AC$8:$AC$86)+SUMPRODUCT('EE Measures'!EN$8:EN$86,'EE Measures'!$II$8:$II$86,'EE Measures'!$AC$8:$AC$86,'EE Measures'!$ED$8:$ED$86)</f>
        <v>345.66769357023492</v>
      </c>
      <c r="AI379" s="593">
        <f>SUMPRODUCT('EE Measures'!CJ$8:CJ$86,'EE Measures'!$II$8:$II$86,'EE Measures'!$AC$8:$AC$86)+SUMPRODUCT('EE Measures'!EO$8:EO$86,'EE Measures'!$II$8:$II$86,'EE Measures'!$AC$8:$AC$86,'EE Measures'!$ED$8:$ED$86)</f>
        <v>351.55943583162752</v>
      </c>
      <c r="AJ379" s="593">
        <f>SUMPRODUCT('EE Measures'!CK$8:CK$86,'EE Measures'!$II$8:$II$86,'EE Measures'!$AC$8:$AC$86)+SUMPRODUCT('EE Measures'!EP$8:EP$86,'EE Measures'!$II$8:$II$86,'EE Measures'!$AC$8:$AC$86,'EE Measures'!$ED$8:$ED$86)</f>
        <v>358.67479648035908</v>
      </c>
      <c r="AK379" s="593">
        <f>SUMPRODUCT('EE Measures'!CL$8:CL$86,'EE Measures'!$II$8:$II$86,'EE Measures'!$AC$8:$AC$86)+SUMPRODUCT('EE Measures'!EQ$8:EQ$86,'EE Measures'!$II$8:$II$86,'EE Measures'!$AC$8:$AC$86,'EE Measures'!$ED$8:$ED$86)</f>
        <v>365.94504820008217</v>
      </c>
      <c r="AL379" s="593">
        <f>SUMPRODUCT('EE Measures'!CM$8:CM$86,'EE Measures'!$II$8:$II$86,'EE Measures'!$AC$8:$AC$86)+SUMPRODUCT('EE Measures'!ER$8:ER$86,'EE Measures'!$II$8:$II$86,'EE Measures'!$AC$8:$AC$86,'EE Measures'!$ED$8:$ED$86)</f>
        <v>373.37375957938855</v>
      </c>
      <c r="AM379" s="593">
        <f>SUMPRODUCT('EE Measures'!CN$8:CN$86,'EE Measures'!$II$8:$II$86,'EE Measures'!$AC$8:$AC$86)+SUMPRODUCT('EE Measures'!ES$8:ES$86,'EE Measures'!$II$8:$II$86,'EE Measures'!$AC$8:$AC$86,'EE Measures'!$ED$8:$ED$86)</f>
        <v>380.96459204460859</v>
      </c>
      <c r="AN379" s="865">
        <f>X379/$X$374</f>
        <v>0.11511306674993642</v>
      </c>
    </row>
    <row r="380" spans="3:40" hidden="1" outlineLevel="1" x14ac:dyDescent="0.3">
      <c r="C380" s="587" t="str">
        <f>E380</f>
        <v>EET</v>
      </c>
      <c r="E380" s="555" t="str">
        <f>'EE Measures'!$IJ$6</f>
        <v>EET</v>
      </c>
      <c r="F380" s="590">
        <f>SUM(G380:P380)</f>
        <v>12593.644178294981</v>
      </c>
      <c r="G380" s="591">
        <f>SUM(G381:G385)</f>
        <v>533.06529889324338</v>
      </c>
      <c r="H380" s="591">
        <f>SUM(H381:H385)</f>
        <v>454.48832551976034</v>
      </c>
      <c r="I380" s="591">
        <f t="shared" ref="I380:P380" si="1422">SUM(I381:I385)</f>
        <v>353.41921977162508</v>
      </c>
      <c r="J380" s="591">
        <f t="shared" si="1422"/>
        <v>988.7548701618108</v>
      </c>
      <c r="K380" s="591">
        <f t="shared" si="1422"/>
        <v>2350.9635360201587</v>
      </c>
      <c r="L380" s="591">
        <f t="shared" si="1422"/>
        <v>1845.8917168554328</v>
      </c>
      <c r="M380" s="591">
        <f t="shared" si="1422"/>
        <v>1516.9738813750657</v>
      </c>
      <c r="N380" s="591">
        <f t="shared" si="1422"/>
        <v>1484.9351787917349</v>
      </c>
      <c r="O380" s="591">
        <f t="shared" si="1422"/>
        <v>1519.8908422278769</v>
      </c>
      <c r="P380" s="591">
        <f t="shared" si="1422"/>
        <v>1545.2613086782733</v>
      </c>
      <c r="Q380" s="591">
        <f t="shared" ref="Q380:U380" si="1423">SUM(Q381:Q385)</f>
        <v>1542.2707717144144</v>
      </c>
      <c r="R380" s="591">
        <f t="shared" si="1423"/>
        <v>1574.7391692162541</v>
      </c>
      <c r="S380" s="591">
        <f t="shared" si="1423"/>
        <v>1607.9844960933438</v>
      </c>
      <c r="T380" s="591">
        <f t="shared" si="1423"/>
        <v>1642.0270384863293</v>
      </c>
      <c r="U380" s="591">
        <f t="shared" si="1423"/>
        <v>1676.8877033327869</v>
      </c>
      <c r="V380" s="898">
        <f t="shared" si="1376"/>
        <v>19296.580512953486</v>
      </c>
      <c r="W380" s="555" t="str">
        <f>'EE Measures'!$IJ$6</f>
        <v>EET</v>
      </c>
      <c r="X380" s="590">
        <f>SUM(Y380:AH380)</f>
        <v>12592.625678294982</v>
      </c>
      <c r="Y380" s="591">
        <f t="shared" ref="Y380:Z380" si="1424">SUM(Y381:Y385)</f>
        <v>533.06529889324349</v>
      </c>
      <c r="Z380" s="591">
        <f t="shared" si="1424"/>
        <v>454.48832551976022</v>
      </c>
      <c r="AA380" s="591">
        <f t="shared" ref="AA380" si="1425">SUM(AA381:AA385)</f>
        <v>353.41921977162508</v>
      </c>
      <c r="AB380" s="591">
        <f t="shared" ref="AB380" si="1426">SUM(AB381:AB385)</f>
        <v>988.75487016181069</v>
      </c>
      <c r="AC380" s="591">
        <f t="shared" ref="AC380" si="1427">SUM(AC381:AC385)</f>
        <v>2350.7937860201591</v>
      </c>
      <c r="AD380" s="591">
        <f t="shared" ref="AD380" si="1428">SUM(AD381:AD385)</f>
        <v>1845.7219668554326</v>
      </c>
      <c r="AE380" s="591">
        <f t="shared" ref="AE380" si="1429">SUM(AE381:AE385)</f>
        <v>1516.8041313750655</v>
      </c>
      <c r="AF380" s="591">
        <f t="shared" ref="AF380" si="1430">SUM(AF381:AF385)</f>
        <v>1484.7654287917353</v>
      </c>
      <c r="AG380" s="591">
        <f t="shared" ref="AG380" si="1431">SUM(AG381:AG385)</f>
        <v>1519.7210922278771</v>
      </c>
      <c r="AH380" s="591">
        <f t="shared" ref="AH380:AM380" si="1432">SUM(AH381:AH385)</f>
        <v>1545.091558678273</v>
      </c>
      <c r="AI380" s="591">
        <f t="shared" si="1432"/>
        <v>1542.1010217144142</v>
      </c>
      <c r="AJ380" s="591">
        <f t="shared" si="1432"/>
        <v>1574.5694192162541</v>
      </c>
      <c r="AK380" s="591">
        <f t="shared" si="1432"/>
        <v>1607.814746093344</v>
      </c>
      <c r="AL380" s="591">
        <f t="shared" si="1432"/>
        <v>1641.8572884863295</v>
      </c>
      <c r="AM380" s="591">
        <f t="shared" si="1432"/>
        <v>1676.7179533327869</v>
      </c>
    </row>
    <row r="381" spans="3:40" hidden="1" outlineLevel="1" x14ac:dyDescent="0.3">
      <c r="C381" s="587" t="str">
        <f>C380</f>
        <v>EET</v>
      </c>
      <c r="E381" s="563" t="s">
        <v>50</v>
      </c>
      <c r="F381" s="592">
        <f>SUM(G381:P381)</f>
        <v>394.09464370140529</v>
      </c>
      <c r="G381" s="593">
        <f>SUMPRODUCT('EE Measures'!BZ$8:BZ$86,'EE Measures'!$IJ$8:$IJ$86,'EE Measures'!$N$8:$N$86)+SUMPRODUCT('EE Measures'!EE$8:EE$86,'EE Measures'!$IJ$8:$IJ$86,'EE Measures'!$N$8:$N$86,'EE Measures'!$ED$8:$ED$86)</f>
        <v>50.705714717758653</v>
      </c>
      <c r="H381" s="593">
        <f>SUMPRODUCT('EE Measures'!CA$8:CA$86,'EE Measures'!$IJ$8:$IJ$86,'EE Measures'!$N$8:$N$86)+SUMPRODUCT('EE Measures'!EF$8:EF$86,'EE Measures'!$IJ$8:$IJ$86,'EE Measures'!$N$8:$N$86,'EE Measures'!$ED$8:$ED$86)</f>
        <v>4.4123408105379829</v>
      </c>
      <c r="I381" s="593">
        <f>SUMPRODUCT('EE Measures'!CB$8:CB$86,'EE Measures'!$IJ$8:$IJ$86,'EE Measures'!$N$8:$N$86)+SUMPRODUCT('EE Measures'!EG$8:EG$86,'EE Measures'!$IJ$8:$IJ$86,'EE Measures'!$N$8:$N$86,'EE Measures'!$ED$8:$ED$86)</f>
        <v>2.1307494384081855</v>
      </c>
      <c r="J381" s="593">
        <f>SUMPRODUCT('EE Measures'!CC$8:CC$86,'EE Measures'!$IJ$8:$IJ$86,'EE Measures'!$N$8:$N$86)+SUMPRODUCT('EE Measures'!EH$8:EH$86,'EE Measures'!$IJ$8:$IJ$86,'EE Measures'!$N$8:$N$86,'EE Measures'!$ED$8:$ED$86)</f>
        <v>37.520886903970776</v>
      </c>
      <c r="K381" s="593">
        <f>SUMPRODUCT('EE Measures'!CD$8:CD$86,'EE Measures'!$IJ$8:$IJ$86,'EE Measures'!$N$8:$N$86)+SUMPRODUCT('EE Measures'!EI$8:EI$86,'EE Measures'!$IJ$8:$IJ$86,'EE Measures'!$N$8:$N$86,'EE Measures'!$ED$8:$ED$86)</f>
        <v>75.781502970476041</v>
      </c>
      <c r="L381" s="593">
        <f>SUMPRODUCT('EE Measures'!CE$8:CE$86,'EE Measures'!$IJ$8:$IJ$86,'EE Measures'!$N$8:$N$86)+SUMPRODUCT('EE Measures'!EJ$8:EJ$86,'EE Measures'!$IJ$8:$IJ$86,'EE Measures'!$N$8:$N$86,'EE Measures'!$ED$8:$ED$86)</f>
        <v>71.794285681274417</v>
      </c>
      <c r="M381" s="593">
        <f>SUMPRODUCT('EE Measures'!CF$8:CF$86,'EE Measures'!$IJ$8:$IJ$86,'EE Measures'!$N$8:$N$86)+SUMPRODUCT('EE Measures'!EK$8:EK$86,'EE Measures'!$IJ$8:$IJ$86,'EE Measures'!$N$8:$N$86,'EE Measures'!$ED$8:$ED$86)</f>
        <v>63.141572119208902</v>
      </c>
      <c r="N381" s="593">
        <f>SUMPRODUCT('EE Measures'!CG$8:CG$86,'EE Measures'!$IJ$8:$IJ$86,'EE Measures'!$N$8:$N$86)+SUMPRODUCT('EE Measures'!EL$8:EL$86,'EE Measures'!$IJ$8:$IJ$86,'EE Measures'!$N$8:$N$86,'EE Measures'!$ED$8:$ED$86)</f>
        <v>28.699574873574502</v>
      </c>
      <c r="O381" s="593">
        <f>SUMPRODUCT('EE Measures'!CH$8:CH$86,'EE Measures'!$IJ$8:$IJ$86,'EE Measures'!$N$8:$N$86)+SUMPRODUCT('EE Measures'!EM$8:EM$86,'EE Measures'!$IJ$8:$IJ$86,'EE Measures'!$N$8:$N$86,'EE Measures'!$ED$8:$ED$86)</f>
        <v>29.525469424271577</v>
      </c>
      <c r="P381" s="593">
        <f>SUMPRODUCT('EE Measures'!CI$8:CI$86,'EE Measures'!$IJ$8:$IJ$86,'EE Measures'!$N$8:$N$86)+SUMPRODUCT('EE Measures'!EN$8:EN$86,'EE Measures'!$IJ$8:$IJ$86,'EE Measures'!$N$8:$N$86,'EE Measures'!$ED$8:$ED$86)</f>
        <v>30.38254676192431</v>
      </c>
      <c r="Q381" s="593">
        <f>SUMPRODUCT('EE Measures'!CJ$8:CJ$86,'EE Measures'!$IJ$8:$IJ$86,'EE Measures'!$N$8:$N$86)+SUMPRODUCT('EE Measures'!EO$8:EO$86,'EE Measures'!$IJ$8:$IJ$86,'EE Measures'!$N$8:$N$86,'EE Measures'!$ED$8:$ED$86)</f>
        <v>31.271957512531248</v>
      </c>
      <c r="R381" s="593">
        <f>SUMPRODUCT('EE Measures'!CK$8:CK$86,'EE Measures'!$IJ$8:$IJ$86,'EE Measures'!$N$8:$N$86)+SUMPRODUCT('EE Measures'!EP$8:EP$86,'EE Measures'!$IJ$8:$IJ$86,'EE Measures'!$N$8:$N$86,'EE Measures'!$ED$8:$ED$86)</f>
        <v>32.194897586185846</v>
      </c>
      <c r="S381" s="593">
        <f>SUMPRODUCT('EE Measures'!CL$8:CL$86,'EE Measures'!$IJ$8:$IJ$86,'EE Measures'!$N$8:$N$86)+SUMPRODUCT('EE Measures'!EQ$8:EQ$86,'EE Measures'!$IJ$8:$IJ$86,'EE Measures'!$N$8:$N$86,'EE Measures'!$ED$8:$ED$86)</f>
        <v>33.152609961936534</v>
      </c>
      <c r="T381" s="593">
        <f>SUMPRODUCT('EE Measures'!CM$8:CM$86,'EE Measures'!$IJ$8:$IJ$86,'EE Measures'!$N$8:$N$86)+SUMPRODUCT('EE Measures'!ER$8:ER$86,'EE Measures'!$IJ$8:$IJ$86,'EE Measures'!$N$8:$N$86,'EE Measures'!$ED$8:$ED$86)</f>
        <v>34.146386545035682</v>
      </c>
      <c r="U381" s="593">
        <f>SUMPRODUCT('EE Measures'!CN$8:CN$86,'EE Measures'!$IJ$8:$IJ$86,'EE Measures'!$N$8:$N$86)+SUMPRODUCT('EE Measures'!ES$8:ES$86,'EE Measures'!$IJ$8:$IJ$86,'EE Measures'!$N$8:$N$86,'EE Measures'!$ED$8:$ED$86)</f>
        <v>35.177570099549072</v>
      </c>
      <c r="V381" s="898">
        <f t="shared" si="1376"/>
        <v>502.78926043993886</v>
      </c>
      <c r="W381" s="563" t="str" cm="1">
        <f t="array" ref="W381:W385">_xlfn.ANCHORARRAY($W$357)</f>
        <v xml:space="preserve">Põhja-Eesti </v>
      </c>
      <c r="X381" s="592">
        <f>SUM(Y381:AH381)</f>
        <v>5254.8240885625582</v>
      </c>
      <c r="Y381" s="593">
        <f>SUMPRODUCT('EE Measures'!BZ$8:BZ$86,'EE Measures'!$IJ$8:$IJ$86,'EE Measures'!$Y$8:$Y$86)+SUMPRODUCT('EE Measures'!EE$8:EE$86,'EE Measures'!$IJ$8:$IJ$86,'EE Measures'!$Y$8:$Y$86,'EE Measures'!$ED$8:$ED$86)</f>
        <v>259.96060258330726</v>
      </c>
      <c r="Z381" s="593">
        <f>SUMPRODUCT('EE Measures'!CA$8:CA$86,'EE Measures'!$IJ$8:$IJ$86,'EE Measures'!$Y$8:$Y$86)+SUMPRODUCT('EE Measures'!EF$8:EF$86,'EE Measures'!$IJ$8:$IJ$86,'EE Measures'!$Y$8:$Y$86,'EE Measures'!$ED$8:$ED$86)</f>
        <v>219.319164353731</v>
      </c>
      <c r="AA381" s="593">
        <f>SUMPRODUCT('EE Measures'!CB$8:CB$86,'EE Measures'!$IJ$8:$IJ$86,'EE Measures'!$Y$8:$Y$86)+SUMPRODUCT('EE Measures'!EG$8:EG$86,'EE Measures'!$IJ$8:$IJ$86,'EE Measures'!$Y$8:$Y$86,'EE Measures'!$ED$8:$ED$86)</f>
        <v>158.26135821943788</v>
      </c>
      <c r="AB381" s="593">
        <f>SUMPRODUCT('EE Measures'!CC$8:CC$86,'EE Measures'!$IJ$8:$IJ$86,'EE Measures'!$Y$8:$Y$86)+SUMPRODUCT('EE Measures'!EH$8:EH$86,'EE Measures'!$IJ$8:$IJ$86,'EE Measures'!$Y$8:$Y$86,'EE Measures'!$ED$8:$ED$86)</f>
        <v>491.13368530795452</v>
      </c>
      <c r="AC381" s="593">
        <f>SUMPRODUCT('EE Measures'!CD$8:CD$86,'EE Measures'!$IJ$8:$IJ$86,'EE Measures'!$Y$8:$Y$86)+SUMPRODUCT('EE Measures'!EI$8:EI$86,'EE Measures'!$IJ$8:$IJ$86,'EE Measures'!$Y$8:$Y$86,'EE Measures'!$ED$8:$ED$86)</f>
        <v>1036.4726288722256</v>
      </c>
      <c r="AD381" s="593">
        <f>SUMPRODUCT('EE Measures'!CE$8:CE$86,'EE Measures'!$IJ$8:$IJ$86,'EE Measures'!$Y$8:$Y$86)+SUMPRODUCT('EE Measures'!EJ$8:EJ$86,'EE Measures'!$IJ$8:$IJ$86,'EE Measures'!$Y$8:$Y$86,'EE Measures'!$ED$8:$ED$86)</f>
        <v>754.83091965933318</v>
      </c>
      <c r="AE381" s="593">
        <f>SUMPRODUCT('EE Measures'!CF$8:CF$86,'EE Measures'!$IJ$8:$IJ$86,'EE Measures'!$Y$8:$Y$86)+SUMPRODUCT('EE Measures'!EK$8:EK$86,'EE Measures'!$IJ$8:$IJ$86,'EE Measures'!$Y$8:$Y$86,'EE Measures'!$ED$8:$ED$86)</f>
        <v>586.45000132108817</v>
      </c>
      <c r="AF381" s="593">
        <f>SUMPRODUCT('EE Measures'!CG$8:CG$86,'EE Measures'!$IJ$8:$IJ$86,'EE Measures'!$Y$8:$Y$86)+SUMPRODUCT('EE Measures'!EL$8:EL$86,'EE Measures'!$IJ$8:$IJ$86,'EE Measures'!$Y$8:$Y$86,'EE Measures'!$ED$8:$ED$86)</f>
        <v>568.98809396831041</v>
      </c>
      <c r="AG381" s="593">
        <f>SUMPRODUCT('EE Measures'!CH$8:CH$86,'EE Measures'!$IJ$8:$IJ$86,'EE Measures'!$Y$8:$Y$86)+SUMPRODUCT('EE Measures'!EM$8:EM$86,'EE Measures'!$IJ$8:$IJ$86,'EE Measures'!$Y$8:$Y$86,'EE Measures'!$ED$8:$ED$86)</f>
        <v>584.30609025179876</v>
      </c>
      <c r="AH381" s="593">
        <f>SUMPRODUCT('EE Measures'!CI$8:CI$86,'EE Measures'!$IJ$8:$IJ$86,'EE Measures'!$Y$8:$Y$86)+SUMPRODUCT('EE Measures'!EN$8:EN$86,'EE Measures'!$IJ$8:$IJ$86,'EE Measures'!$Y$8:$Y$86,'EE Measures'!$ED$8:$ED$86)</f>
        <v>595.10154402537182</v>
      </c>
      <c r="AI381" s="593">
        <f>SUMPRODUCT('EE Measures'!CJ$8:CJ$86,'EE Measures'!$IJ$8:$IJ$86,'EE Measures'!$Y$8:$Y$86)+SUMPRODUCT('EE Measures'!EO$8:EO$86,'EE Measures'!$IJ$8:$IJ$86,'EE Measures'!$Y$8:$Y$86,'EE Measures'!$ED$8:$ED$86)</f>
        <v>583.18556684534087</v>
      </c>
      <c r="AJ381" s="593">
        <f>SUMPRODUCT('EE Measures'!CK$8:CK$86,'EE Measures'!$IJ$8:$IJ$86,'EE Measures'!$Y$8:$Y$86)+SUMPRODUCT('EE Measures'!EP$8:EP$86,'EE Measures'!$IJ$8:$IJ$86,'EE Measures'!$Y$8:$Y$86,'EE Measures'!$ED$8:$ED$86)</f>
        <v>595.88928963506237</v>
      </c>
      <c r="AK381" s="593">
        <f>SUMPRODUCT('EE Measures'!CL$8:CL$86,'EE Measures'!$IJ$8:$IJ$86,'EE Measures'!$Y$8:$Y$86)+SUMPRODUCT('EE Measures'!EQ$8:EQ$86,'EE Measures'!$IJ$8:$IJ$86,'EE Measures'!$Y$8:$Y$86,'EE Measures'!$ED$8:$ED$86)</f>
        <v>608.90862947325354</v>
      </c>
      <c r="AL381" s="593">
        <f>SUMPRODUCT('EE Measures'!CM$8:CM$86,'EE Measures'!$IJ$8:$IJ$86,'EE Measures'!$Y$8:$Y$86)+SUMPRODUCT('EE Measures'!ER$8:ER$86,'EE Measures'!$IJ$8:$IJ$86,'EE Measures'!$Y$8:$Y$86,'EE Measures'!$ED$8:$ED$86)</f>
        <v>622.25218914103743</v>
      </c>
      <c r="AM381" s="593">
        <f>SUMPRODUCT('EE Measures'!CN$8:CN$86,'EE Measures'!$IJ$8:$IJ$86,'EE Measures'!$Y$8:$Y$86)+SUMPRODUCT('EE Measures'!ES$8:ES$86,'EE Measures'!$IJ$8:$IJ$86,'EE Measures'!$Y$8:$Y$86,'EE Measures'!$ED$8:$ED$86)</f>
        <v>635.92884620740733</v>
      </c>
      <c r="AN381" s="865">
        <f>X381/$X$380</f>
        <v>0.41729375769661181</v>
      </c>
    </row>
    <row r="382" spans="3:40" hidden="1" outlineLevel="1" x14ac:dyDescent="0.3">
      <c r="C382" s="587" t="str">
        <f t="shared" ref="C382:C385" si="1433">C381</f>
        <v>EET</v>
      </c>
      <c r="E382" s="563" t="s">
        <v>51</v>
      </c>
      <c r="F382" s="592">
        <f t="shared" ref="F382:F385" si="1434">SUM(G382:P382)</f>
        <v>5051.1605006711343</v>
      </c>
      <c r="G382" s="593">
        <f>SUMPRODUCT('EE Measures'!BZ$8:BZ$86,'EE Measures'!$IJ$8:$IJ$86,'EE Measures'!$O$8:$O$86)+SUMPRODUCT('EE Measures'!EE$8:EE$86,'EE Measures'!$IJ$8:$IJ$86,'EE Measures'!$O$8:$O$86,'EE Measures'!$ED$8:$ED$86)</f>
        <v>51.031228234059256</v>
      </c>
      <c r="H382" s="593">
        <f>SUMPRODUCT('EE Measures'!CA$8:CA$86,'EE Measures'!$IJ$8:$IJ$86,'EE Measures'!$O$8:$O$86)+SUMPRODUCT('EE Measures'!EF$8:EF$86,'EE Measures'!$IJ$8:$IJ$86,'EE Measures'!$O$8:$O$86,'EE Measures'!$ED$8:$ED$86)</f>
        <v>64.756652418271301</v>
      </c>
      <c r="I382" s="593">
        <f>SUMPRODUCT('EE Measures'!CB$8:CB$86,'EE Measures'!$IJ$8:$IJ$86,'EE Measures'!$O$8:$O$86)+SUMPRODUCT('EE Measures'!EG$8:EG$86,'EE Measures'!$IJ$8:$IJ$86,'EE Measures'!$O$8:$O$86,'EE Measures'!$ED$8:$ED$86)</f>
        <v>79.671120340566887</v>
      </c>
      <c r="J382" s="593">
        <f>SUMPRODUCT('EE Measures'!CC$8:CC$86,'EE Measures'!$IJ$8:$IJ$86,'EE Measures'!$O$8:$O$86)+SUMPRODUCT('EE Measures'!EH$8:EH$86,'EE Measures'!$IJ$8:$IJ$86,'EE Measures'!$O$8:$O$86,'EE Measures'!$ED$8:$ED$86)</f>
        <v>18.81365754617449</v>
      </c>
      <c r="K382" s="593">
        <f>SUMPRODUCT('EE Measures'!CD$8:CD$86,'EE Measures'!$IJ$8:$IJ$86,'EE Measures'!$O$8:$O$86)+SUMPRODUCT('EE Measures'!EI$8:EI$86,'EE Measures'!$IJ$8:$IJ$86,'EE Measures'!$O$8:$O$86,'EE Measures'!$ED$8:$ED$86)</f>
        <v>761.27340099548201</v>
      </c>
      <c r="L382" s="593">
        <f>SUMPRODUCT('EE Measures'!CE$8:CE$86,'EE Measures'!$IJ$8:$IJ$86,'EE Measures'!$O$8:$O$86)+SUMPRODUCT('EE Measures'!EJ$8:EJ$86,'EE Measures'!$IJ$8:$IJ$86,'EE Measures'!$O$8:$O$86,'EE Measures'!$ED$8:$ED$86)</f>
        <v>778.6696686280826</v>
      </c>
      <c r="M382" s="593">
        <f>SUMPRODUCT('EE Measures'!CF$8:CF$86,'EE Measures'!$IJ$8:$IJ$86,'EE Measures'!$O$8:$O$86)+SUMPRODUCT('EE Measures'!EK$8:EK$86,'EE Measures'!$IJ$8:$IJ$86,'EE Measures'!$O$8:$O$86,'EE Measures'!$ED$8:$ED$86)</f>
        <v>796.47795900310098</v>
      </c>
      <c r="N382" s="593">
        <f>SUMPRODUCT('EE Measures'!CG$8:CG$86,'EE Measures'!$IJ$8:$IJ$86,'EE Measures'!$O$8:$O$86)+SUMPRODUCT('EE Measures'!EL$8:EL$86,'EE Measures'!$IJ$8:$IJ$86,'EE Measures'!$O$8:$O$86,'EE Measures'!$ED$8:$ED$86)</f>
        <v>814.69917837357411</v>
      </c>
      <c r="O382" s="593">
        <f>SUMPRODUCT('EE Measures'!CH$8:CH$86,'EE Measures'!$IJ$8:$IJ$86,'EE Measures'!$O$8:$O$86)+SUMPRODUCT('EE Measures'!EM$8:EM$86,'EE Measures'!$IJ$8:$IJ$86,'EE Measures'!$O$8:$O$86,'EE Measures'!$ED$8:$ED$86)</f>
        <v>833.34404401397808</v>
      </c>
      <c r="P382" s="593">
        <f>SUMPRODUCT('EE Measures'!CI$8:CI$86,'EE Measures'!$IJ$8:$IJ$86,'EE Measures'!$O$8:$O$86)+SUMPRODUCT('EE Measures'!EN$8:EN$86,'EE Measures'!$IJ$8:$IJ$86,'EE Measures'!$O$8:$O$86,'EE Measures'!$ED$8:$ED$86)</f>
        <v>852.42359111784492</v>
      </c>
      <c r="Q382" s="593">
        <f>SUMPRODUCT('EE Measures'!CJ$8:CJ$86,'EE Measures'!$IJ$8:$IJ$86,'EE Measures'!$O$8:$O$86)+SUMPRODUCT('EE Measures'!EO$8:EO$86,'EE Measures'!$IJ$8:$IJ$86,'EE Measures'!$O$8:$O$86,'EE Measures'!$ED$8:$ED$86)</f>
        <v>871.94918366750915</v>
      </c>
      <c r="R382" s="593">
        <f>SUMPRODUCT('EE Measures'!CK$8:CK$86,'EE Measures'!$IJ$8:$IJ$86,'EE Measures'!$O$8:$O$86)+SUMPRODUCT('EE Measures'!EP$8:EP$86,'EE Measures'!$IJ$8:$IJ$86,'EE Measures'!$O$8:$O$86,'EE Measures'!$ED$8:$ED$86)</f>
        <v>891.93252572169467</v>
      </c>
      <c r="S382" s="593">
        <f>SUMPRODUCT('EE Measures'!CL$8:CL$86,'EE Measures'!$IJ$8:$IJ$86,'EE Measures'!$O$8:$O$86)+SUMPRODUCT('EE Measures'!EQ$8:EQ$86,'EE Measures'!$IJ$8:$IJ$86,'EE Measures'!$O$8:$O$86,'EE Measures'!$ED$8:$ED$86)</f>
        <v>912.38567313831322</v>
      </c>
      <c r="T382" s="593">
        <f>SUMPRODUCT('EE Measures'!CM$8:CM$86,'EE Measures'!$IJ$8:$IJ$86,'EE Measures'!$O$8:$O$86)+SUMPRODUCT('EE Measures'!ER$8:ER$86,'EE Measures'!$IJ$8:$IJ$86,'EE Measures'!$O$8:$O$86,'EE Measures'!$ED$8:$ED$86)</f>
        <v>933.32104575060202</v>
      </c>
      <c r="U382" s="593">
        <f>SUMPRODUCT('EE Measures'!CN$8:CN$86,'EE Measures'!$IJ$8:$IJ$86,'EE Measures'!$O$8:$O$86)+SUMPRODUCT('EE Measures'!ES$8:ES$86,'EE Measures'!$IJ$8:$IJ$86,'EE Measures'!$O$8:$O$86,'EE Measures'!$ED$8:$ED$86)</f>
        <v>954.75144001552724</v>
      </c>
      <c r="V382" s="898">
        <f t="shared" si="1376"/>
        <v>9420.041367971884</v>
      </c>
      <c r="W382" s="563" t="str">
        <v>Lääne-Eesti</v>
      </c>
      <c r="X382" s="592">
        <f t="shared" ref="X382:X385" si="1435">SUM(Y382:AH382)</f>
        <v>2702.0735610131087</v>
      </c>
      <c r="Y382" s="593">
        <f>SUMPRODUCT('EE Measures'!BZ$8:BZ$86,'EE Measures'!$IJ$8:$IJ$86,'EE Measures'!$Z$8:$Z$86)+SUMPRODUCT('EE Measures'!EE$8:EE$86,'EE Measures'!$IJ$8:$IJ$86,'EE Measures'!$Z$8:$Z$86,'EE Measures'!$ED$8:$ED$86)</f>
        <v>119.90302433279773</v>
      </c>
      <c r="Z382" s="593">
        <f>SUMPRODUCT('EE Measures'!CA$8:CA$86,'EE Measures'!$IJ$8:$IJ$86,'EE Measures'!$Z$8:$Z$86)+SUMPRODUCT('EE Measures'!EF$8:EF$86,'EE Measures'!$IJ$8:$IJ$86,'EE Measures'!$Z$8:$Z$86,'EE Measures'!$ED$8:$ED$86)</f>
        <v>160.25410083488839</v>
      </c>
      <c r="AA382" s="593">
        <f>SUMPRODUCT('EE Measures'!CB$8:CB$86,'EE Measures'!$IJ$8:$IJ$86,'EE Measures'!$Z$8:$Z$86)+SUMPRODUCT('EE Measures'!EG$8:EG$86,'EE Measures'!$IJ$8:$IJ$86,'EE Measures'!$Z$8:$Z$86,'EE Measures'!$ED$8:$ED$86)</f>
        <v>120.99995723989328</v>
      </c>
      <c r="AB382" s="593">
        <f>SUMPRODUCT('EE Measures'!CC$8:CC$86,'EE Measures'!$IJ$8:$IJ$86,'EE Measures'!$Z$8:$Z$86)+SUMPRODUCT('EE Measures'!EH$8:EH$86,'EE Measures'!$IJ$8:$IJ$86,'EE Measures'!$Z$8:$Z$86,'EE Measures'!$ED$8:$ED$86)</f>
        <v>435.01355368389932</v>
      </c>
      <c r="AC382" s="593">
        <f>SUMPRODUCT('EE Measures'!CD$8:CD$86,'EE Measures'!$IJ$8:$IJ$86,'EE Measures'!$Z$8:$Z$86)+SUMPRODUCT('EE Measures'!EI$8:EI$86,'EE Measures'!$IJ$8:$IJ$86,'EE Measures'!$Z$8:$Z$86,'EE Measures'!$ED$8:$ED$86)</f>
        <v>622.87741611404306</v>
      </c>
      <c r="AD382" s="593">
        <f>SUMPRODUCT('EE Measures'!CE$8:CE$86,'EE Measures'!$IJ$8:$IJ$86,'EE Measures'!$Z$8:$Z$86)+SUMPRODUCT('EE Measures'!EJ$8:EJ$86,'EE Measures'!$IJ$8:$IJ$86,'EE Measures'!$Z$8:$Z$86,'EE Measures'!$ED$8:$ED$86)</f>
        <v>392.26989873363664</v>
      </c>
      <c r="AE382" s="593">
        <f>SUMPRODUCT('EE Measures'!CF$8:CF$86,'EE Measures'!$IJ$8:$IJ$86,'EE Measures'!$Z$8:$Z$86)+SUMPRODUCT('EE Measures'!EK$8:EK$86,'EE Measures'!$IJ$8:$IJ$86,'EE Measures'!$Z$8:$Z$86,'EE Measures'!$ED$8:$ED$86)</f>
        <v>211.21326348653395</v>
      </c>
      <c r="AF382" s="593">
        <f>SUMPRODUCT('EE Measures'!CG$8:CG$86,'EE Measures'!$IJ$8:$IJ$86,'EE Measures'!$Z$8:$Z$86)+SUMPRODUCT('EE Measures'!EL$8:EL$86,'EE Measures'!$IJ$8:$IJ$86,'EE Measures'!$Z$8:$Z$86,'EE Measures'!$ED$8:$ED$86)</f>
        <v>209.17049780048958</v>
      </c>
      <c r="AG382" s="593">
        <f>SUMPRODUCT('EE Measures'!CH$8:CH$86,'EE Measures'!$IJ$8:$IJ$86,'EE Measures'!$Z$8:$Z$86)+SUMPRODUCT('EE Measures'!EM$8:EM$86,'EE Measures'!$IJ$8:$IJ$86,'EE Measures'!$Z$8:$Z$86,'EE Measures'!$ED$8:$ED$86)</f>
        <v>213.52315418063881</v>
      </c>
      <c r="AH382" s="593">
        <f>SUMPRODUCT('EE Measures'!CI$8:CI$86,'EE Measures'!$IJ$8:$IJ$86,'EE Measures'!$Z$8:$Z$86)+SUMPRODUCT('EE Measures'!EN$8:EN$86,'EE Measures'!$IJ$8:$IJ$86,'EE Measures'!$Z$8:$Z$86,'EE Measures'!$ED$8:$ED$86)</f>
        <v>216.84869460628815</v>
      </c>
      <c r="AI382" s="593">
        <f>SUMPRODUCT('EE Measures'!CJ$8:CJ$86,'EE Measures'!$IJ$8:$IJ$86,'EE Measures'!$Z$8:$Z$86)+SUMPRODUCT('EE Measures'!EO$8:EO$86,'EE Measures'!$IJ$8:$IJ$86,'EE Measures'!$Z$8:$Z$86,'EE Measures'!$ED$8:$ED$86)</f>
        <v>218.87039899760308</v>
      </c>
      <c r="AJ382" s="593">
        <f>SUMPRODUCT('EE Measures'!CK$8:CK$86,'EE Measures'!$IJ$8:$IJ$86,'EE Measures'!$Z$8:$Z$86)+SUMPRODUCT('EE Measures'!EP$8:EP$86,'EE Measures'!$IJ$8:$IJ$86,'EE Measures'!$Z$8:$Z$86,'EE Measures'!$ED$8:$ED$86)</f>
        <v>223.25754793215808</v>
      </c>
      <c r="AK382" s="593">
        <f>SUMPRODUCT('EE Measures'!CL$8:CL$86,'EE Measures'!$IJ$8:$IJ$86,'EE Measures'!$Z$8:$Z$86)+SUMPRODUCT('EE Measures'!EQ$8:EQ$86,'EE Measures'!$IJ$8:$IJ$86,'EE Measures'!$Z$8:$Z$86,'EE Measures'!$ED$8:$ED$86)</f>
        <v>227.74491481145543</v>
      </c>
      <c r="AL382" s="593">
        <f>SUMPRODUCT('EE Measures'!CM$8:CM$86,'EE Measures'!$IJ$8:$IJ$86,'EE Measures'!$Z$8:$Z$86)+SUMPRODUCT('EE Measures'!ER$8:ER$86,'EE Measures'!$IJ$8:$IJ$86,'EE Measures'!$Z$8:$Z$86,'EE Measures'!$ED$8:$ED$86)</f>
        <v>232.33496577487617</v>
      </c>
      <c r="AM382" s="593">
        <f>SUMPRODUCT('EE Measures'!CN$8:CN$86,'EE Measures'!$IJ$8:$IJ$86,'EE Measures'!$Z$8:$Z$86)+SUMPRODUCT('EE Measures'!ES$8:ES$86,'EE Measures'!$IJ$8:$IJ$86,'EE Measures'!$Z$8:$Z$86,'EE Measures'!$ED$8:$ED$86)</f>
        <v>237.03023760825479</v>
      </c>
      <c r="AN382" s="865">
        <f>X382/$X$380</f>
        <v>0.21457586606981272</v>
      </c>
    </row>
    <row r="383" spans="3:40" hidden="1" outlineLevel="1" x14ac:dyDescent="0.3">
      <c r="C383" s="587" t="str">
        <f t="shared" si="1433"/>
        <v>EET</v>
      </c>
      <c r="E383" s="563" t="s">
        <v>52</v>
      </c>
      <c r="F383" s="592">
        <f t="shared" si="1434"/>
        <v>2593.6982885366165</v>
      </c>
      <c r="G383" s="593">
        <f>SUMPRODUCT('EE Measures'!BZ$8:BZ$86,'EE Measures'!$IJ$8:$IJ$86,'EE Measures'!$P$8:$P$86)+SUMPRODUCT('EE Measures'!EE$8:EE$86,'EE Measures'!$IJ$8:$IJ$86,'EE Measures'!$P$8:$P$86,'EE Measures'!$ED$8:$ED$86)</f>
        <v>61.751940894257316</v>
      </c>
      <c r="H383" s="593">
        <f>SUMPRODUCT('EE Measures'!CA$8:CA$86,'EE Measures'!$IJ$8:$IJ$86,'EE Measures'!$P$8:$P$86)+SUMPRODUCT('EE Measures'!EF$8:EF$86,'EE Measures'!$IJ$8:$IJ$86,'EE Measures'!$P$8:$P$86,'EE Measures'!$ED$8:$ED$86)</f>
        <v>69.4064763057047</v>
      </c>
      <c r="I383" s="593">
        <f>SUMPRODUCT('EE Measures'!CB$8:CB$86,'EE Measures'!$IJ$8:$IJ$86,'EE Measures'!$P$8:$P$86)+SUMPRODUCT('EE Measures'!EG$8:EG$86,'EE Measures'!$IJ$8:$IJ$86,'EE Measures'!$P$8:$P$86,'EE Measures'!$ED$8:$ED$86)</f>
        <v>28.498132624761407</v>
      </c>
      <c r="J383" s="593">
        <f>SUMPRODUCT('EE Measures'!CC$8:CC$86,'EE Measures'!$IJ$8:$IJ$86,'EE Measures'!$P$8:$P$86)+SUMPRODUCT('EE Measures'!EH$8:EH$86,'EE Measures'!$IJ$8:$IJ$86,'EE Measures'!$P$8:$P$86,'EE Measures'!$ED$8:$ED$86)</f>
        <v>15.868670692219206</v>
      </c>
      <c r="K383" s="593">
        <f>SUMPRODUCT('EE Measures'!CD$8:CD$86,'EE Measures'!$IJ$8:$IJ$86,'EE Measures'!$P$8:$P$86)+SUMPRODUCT('EE Measures'!EI$8:EI$86,'EE Measures'!$IJ$8:$IJ$86,'EE Measures'!$P$8:$P$86,'EE Measures'!$ED$8:$ED$86)</f>
        <v>383.08934737053096</v>
      </c>
      <c r="L383" s="593">
        <f>SUMPRODUCT('EE Measures'!CE$8:CE$86,'EE Measures'!$IJ$8:$IJ$86,'EE Measures'!$P$8:$P$86)+SUMPRODUCT('EE Measures'!EJ$8:EJ$86,'EE Measures'!$IJ$8:$IJ$86,'EE Measures'!$P$8:$P$86,'EE Measures'!$ED$8:$ED$86)</f>
        <v>390.81836532258274</v>
      </c>
      <c r="M383" s="593">
        <f>SUMPRODUCT('EE Measures'!CF$8:CF$86,'EE Measures'!$IJ$8:$IJ$86,'EE Measures'!$P$8:$P$86)+SUMPRODUCT('EE Measures'!EK$8:EK$86,'EE Measures'!$IJ$8:$IJ$86,'EE Measures'!$P$8:$P$86,'EE Measures'!$ED$8:$ED$86)</f>
        <v>398.72974780572201</v>
      </c>
      <c r="N383" s="593">
        <f>SUMPRODUCT('EE Measures'!CG$8:CG$86,'EE Measures'!$IJ$8:$IJ$86,'EE Measures'!$P$8:$P$86)+SUMPRODUCT('EE Measures'!EL$8:EL$86,'EE Measures'!$IJ$8:$IJ$86,'EE Measures'!$P$8:$P$86,'EE Measures'!$ED$8:$ED$86)</f>
        <v>406.82652186977543</v>
      </c>
      <c r="O383" s="593">
        <f>SUMPRODUCT('EE Measures'!CH$8:CH$86,'EE Measures'!$IJ$8:$IJ$86,'EE Measures'!$P$8:$P$86)+SUMPRODUCT('EE Measures'!EM$8:EM$86,'EE Measures'!$IJ$8:$IJ$86,'EE Measures'!$P$8:$P$86,'EE Measures'!$ED$8:$ED$86)</f>
        <v>415.11348991872637</v>
      </c>
      <c r="P383" s="593">
        <f>SUMPRODUCT('EE Measures'!CI$8:CI$86,'EE Measures'!$IJ$8:$IJ$86,'EE Measures'!$P$8:$P$86)+SUMPRODUCT('EE Measures'!EN$8:EN$86,'EE Measures'!$IJ$8:$IJ$86,'EE Measures'!$P$8:$P$86,'EE Measures'!$ED$8:$ED$86)</f>
        <v>423.59559573233616</v>
      </c>
      <c r="Q383" s="593">
        <f>SUMPRODUCT('EE Measures'!CJ$8:CJ$86,'EE Measures'!$IJ$8:$IJ$86,'EE Measures'!$P$8:$P$86)+SUMPRODUCT('EE Measures'!EO$8:EO$86,'EE Measures'!$IJ$8:$IJ$86,'EE Measures'!$P$8:$P$86,'EE Measures'!$ED$8:$ED$86)</f>
        <v>432.27792919620032</v>
      </c>
      <c r="R383" s="593">
        <f>SUMPRODUCT('EE Measures'!CK$8:CK$86,'EE Measures'!$IJ$8:$IJ$86,'EE Measures'!$P$8:$P$86)+SUMPRODUCT('EE Measures'!EP$8:EP$86,'EE Measures'!$IJ$8:$IJ$86,'EE Measures'!$P$8:$P$86,'EE Measures'!$ED$8:$ED$86)</f>
        <v>441.16573120851672</v>
      </c>
      <c r="S383" s="593">
        <f>SUMPRODUCT('EE Measures'!CL$8:CL$86,'EE Measures'!$IJ$8:$IJ$86,'EE Measures'!$P$8:$P$86)+SUMPRODUCT('EE Measures'!EQ$8:EQ$86,'EE Measures'!$IJ$8:$IJ$86,'EE Measures'!$P$8:$P$86,'EE Measures'!$ED$8:$ED$86)</f>
        <v>450.26439877068503</v>
      </c>
      <c r="T383" s="593">
        <f>SUMPRODUCT('EE Measures'!CM$8:CM$86,'EE Measures'!$IJ$8:$IJ$86,'EE Measures'!$P$8:$P$86)+SUMPRODUCT('EE Measures'!ER$8:ER$86,'EE Measures'!$IJ$8:$IJ$86,'EE Measures'!$P$8:$P$86,'EE Measures'!$ED$8:$ED$86)</f>
        <v>459.57949026915901</v>
      </c>
      <c r="U383" s="593">
        <f>SUMPRODUCT('EE Measures'!CN$8:CN$86,'EE Measures'!$IJ$8:$IJ$86,'EE Measures'!$P$8:$P$86)+SUMPRODUCT('EE Measures'!ES$8:ES$86,'EE Measures'!$IJ$8:$IJ$86,'EE Measures'!$P$8:$P$86,'EE Measures'!$ED$8:$ED$86)</f>
        <v>469.11673095628765</v>
      </c>
      <c r="V383" s="898">
        <f t="shared" si="1376"/>
        <v>4686.4460191127419</v>
      </c>
      <c r="W383" s="563" t="str">
        <v>Kirde-Eesti</v>
      </c>
      <c r="X383" s="592">
        <f t="shared" si="1435"/>
        <v>967.97432197017474</v>
      </c>
      <c r="Y383" s="593">
        <f>SUMPRODUCT('EE Measures'!BZ$8:BZ$86,'EE Measures'!$IJ$8:$IJ$86,'EE Measures'!$AA$8:$AA$86)+SUMPRODUCT('EE Measures'!EE$8:EE$86,'EE Measures'!$IJ$8:$IJ$86,'EE Measures'!$AA$8:$AA$86,'EE Measures'!$ED$8:$ED$86)</f>
        <v>38.142047727846091</v>
      </c>
      <c r="Z383" s="593">
        <f>SUMPRODUCT('EE Measures'!CA$8:CA$86,'EE Measures'!$IJ$8:$IJ$86,'EE Measures'!$AA$8:$AA$86)+SUMPRODUCT('EE Measures'!EF$8:EF$86,'EE Measures'!$IJ$8:$IJ$86,'EE Measures'!$AA$8:$AA$86,'EE Measures'!$ED$8:$ED$86)</f>
        <v>16.304162049830975</v>
      </c>
      <c r="AA383" s="593">
        <f>SUMPRODUCT('EE Measures'!CB$8:CB$86,'EE Measures'!$IJ$8:$IJ$86,'EE Measures'!$AA$8:$AA$86)+SUMPRODUCT('EE Measures'!EG$8:EG$86,'EE Measures'!$IJ$8:$IJ$86,'EE Measures'!$AA$8:$AA$86,'EE Measures'!$ED$8:$ED$86)</f>
        <v>13.119032001829092</v>
      </c>
      <c r="AB383" s="593">
        <f>SUMPRODUCT('EE Measures'!CC$8:CC$86,'EE Measures'!$IJ$8:$IJ$86,'EE Measures'!$AA$8:$AA$86)+SUMPRODUCT('EE Measures'!EH$8:EH$86,'EE Measures'!$IJ$8:$IJ$86,'EE Measures'!$AA$8:$AA$86,'EE Measures'!$ED$8:$ED$86)</f>
        <v>14.349145078609688</v>
      </c>
      <c r="AC383" s="593">
        <f>SUMPRODUCT('EE Measures'!CD$8:CD$86,'EE Measures'!$IJ$8:$IJ$86,'EE Measures'!$AA$8:$AA$86)+SUMPRODUCT('EE Measures'!EI$8:EI$86,'EE Measures'!$IJ$8:$IJ$86,'EE Measures'!$AA$8:$AA$86,'EE Measures'!$ED$8:$ED$86)</f>
        <v>144.97746070800798</v>
      </c>
      <c r="AD383" s="593">
        <f>SUMPRODUCT('EE Measures'!CE$8:CE$86,'EE Measures'!$IJ$8:$IJ$86,'EE Measures'!$AA$8:$AA$86)+SUMPRODUCT('EE Measures'!EJ$8:EJ$86,'EE Measures'!$IJ$8:$IJ$86,'EE Measures'!$AA$8:$AA$86,'EE Measures'!$ED$8:$ED$86)</f>
        <v>146.15036186411675</v>
      </c>
      <c r="AE383" s="593">
        <f>SUMPRODUCT('EE Measures'!CF$8:CF$86,'EE Measures'!$IJ$8:$IJ$86,'EE Measures'!$AA$8:$AA$86)+SUMPRODUCT('EE Measures'!EK$8:EK$86,'EE Measures'!$IJ$8:$IJ$86,'EE Measures'!$AA$8:$AA$86,'EE Measures'!$ED$8:$ED$86)</f>
        <v>149.87668824079569</v>
      </c>
      <c r="AF383" s="593">
        <f>SUMPRODUCT('EE Measures'!CG$8:CG$86,'EE Measures'!$IJ$8:$IJ$86,'EE Measures'!$AA$8:$AA$86)+SUMPRODUCT('EE Measures'!EL$8:EL$86,'EE Measures'!$IJ$8:$IJ$86,'EE Measures'!$AA$8:$AA$86,'EE Measures'!$ED$8:$ED$86)</f>
        <v>145.4920919849844</v>
      </c>
      <c r="AG383" s="593">
        <f>SUMPRODUCT('EE Measures'!CH$8:CH$86,'EE Measures'!$IJ$8:$IJ$86,'EE Measures'!$AA$8:$AA$86)+SUMPRODUCT('EE Measures'!EM$8:EM$86,'EE Measures'!$IJ$8:$IJ$86,'EE Measures'!$AA$8:$AA$86,'EE Measures'!$ED$8:$ED$86)</f>
        <v>148.66409294702765</v>
      </c>
      <c r="AH383" s="593">
        <f>SUMPRODUCT('EE Measures'!CI$8:CI$86,'EE Measures'!$IJ$8:$IJ$86,'EE Measures'!$AA$8:$AA$86)+SUMPRODUCT('EE Measures'!EN$8:EN$86,'EE Measures'!$IJ$8:$IJ$86,'EE Measures'!$AA$8:$AA$86,'EE Measures'!$ED$8:$ED$86)</f>
        <v>150.89923936712643</v>
      </c>
      <c r="AI383" s="593">
        <f>SUMPRODUCT('EE Measures'!CJ$8:CJ$86,'EE Measures'!$IJ$8:$IJ$86,'EE Measures'!$AA$8:$AA$86)+SUMPRODUCT('EE Measures'!EO$8:EO$86,'EE Measures'!$IJ$8:$IJ$86,'EE Measures'!$AA$8:$AA$86,'EE Measures'!$ED$8:$ED$86)</f>
        <v>152.67405300832377</v>
      </c>
      <c r="AJ383" s="593">
        <f>SUMPRODUCT('EE Measures'!CK$8:CK$86,'EE Measures'!$IJ$8:$IJ$86,'EE Measures'!$AA$8:$AA$86)+SUMPRODUCT('EE Measures'!EP$8:EP$86,'EE Measures'!$IJ$8:$IJ$86,'EE Measures'!$AA$8:$AA$86,'EE Measures'!$ED$8:$ED$86)</f>
        <v>155.86712862510308</v>
      </c>
      <c r="AK383" s="593">
        <f>SUMPRODUCT('EE Measures'!CL$8:CL$86,'EE Measures'!$IJ$8:$IJ$86,'EE Measures'!$AA$8:$AA$86)+SUMPRODUCT('EE Measures'!EQ$8:EQ$86,'EE Measures'!$IJ$8:$IJ$86,'EE Measures'!$AA$8:$AA$86,'EE Measures'!$ED$8:$ED$86)</f>
        <v>159.13480514407019</v>
      </c>
      <c r="AL383" s="593">
        <f>SUMPRODUCT('EE Measures'!CM$8:CM$86,'EE Measures'!$IJ$8:$IJ$86,'EE Measures'!$AA$8:$AA$86)+SUMPRODUCT('EE Measures'!ER$8:ER$86,'EE Measures'!$IJ$8:$IJ$86,'EE Measures'!$AA$8:$AA$86,'EE Measures'!$ED$8:$ED$86)</f>
        <v>162.47897116218419</v>
      </c>
      <c r="AM383" s="593">
        <f>SUMPRODUCT('EE Measures'!CN$8:CN$86,'EE Measures'!$IJ$8:$IJ$86,'EE Measures'!$AA$8:$AA$86)+SUMPRODUCT('EE Measures'!ES$8:ES$86,'EE Measures'!$IJ$8:$IJ$86,'EE Measures'!$AA$8:$AA$86,'EE Measures'!$ED$8:$ED$86)</f>
        <v>165.90157122586402</v>
      </c>
      <c r="AN383" s="865">
        <f>X383/$X$380</f>
        <v>7.6868347134196449E-2</v>
      </c>
    </row>
    <row r="384" spans="3:40" hidden="1" outlineLevel="1" x14ac:dyDescent="0.3">
      <c r="C384" s="587" t="str">
        <f t="shared" si="1433"/>
        <v>EET</v>
      </c>
      <c r="E384" s="563" t="s">
        <v>53</v>
      </c>
      <c r="F384" s="592">
        <f t="shared" si="1434"/>
        <v>4497.6058734098651</v>
      </c>
      <c r="G384" s="593">
        <f>SUMPRODUCT('EE Measures'!BZ$8:BZ$86,'EE Measures'!$IJ$8:$IJ$86,'EE Measures'!$Q$8:$Q$86)+SUMPRODUCT('EE Measures'!EE$8:EE$86,'EE Measures'!$IJ$8:$IJ$86,'EE Measures'!$Q$8:$Q$86,'EE Measures'!$ED$8:$ED$86)</f>
        <v>369.37816967578669</v>
      </c>
      <c r="H384" s="593">
        <f>SUMPRODUCT('EE Measures'!CA$8:CA$86,'EE Measures'!$IJ$8:$IJ$86,'EE Measures'!$Q$8:$Q$86)+SUMPRODUCT('EE Measures'!EF$8:EF$86,'EE Measures'!$IJ$8:$IJ$86,'EE Measures'!$Q$8:$Q$86,'EE Measures'!$ED$8:$ED$86)</f>
        <v>315.69068753782824</v>
      </c>
      <c r="I384" s="593">
        <f>SUMPRODUCT('EE Measures'!CB$8:CB$86,'EE Measures'!$IJ$8:$IJ$86,'EE Measures'!$Q$8:$Q$86)+SUMPRODUCT('EE Measures'!EG$8:EG$86,'EE Measures'!$IJ$8:$IJ$86,'EE Measures'!$Q$8:$Q$86,'EE Measures'!$ED$8:$ED$86)</f>
        <v>242.87182513592319</v>
      </c>
      <c r="J384" s="593">
        <f>SUMPRODUCT('EE Measures'!CC$8:CC$86,'EE Measures'!$IJ$8:$IJ$86,'EE Measures'!$Q$8:$Q$86)+SUMPRODUCT('EE Measures'!EH$8:EH$86,'EE Measures'!$IJ$8:$IJ$86,'EE Measures'!$Q$8:$Q$86,'EE Measures'!$ED$8:$ED$86)</f>
        <v>912.08281402452621</v>
      </c>
      <c r="K384" s="593">
        <f>SUMPRODUCT('EE Measures'!CD$8:CD$86,'EE Measures'!$IJ$8:$IJ$86,'EE Measures'!$Q$8:$Q$86)+SUMPRODUCT('EE Measures'!EI$8:EI$86,'EE Measures'!$IJ$8:$IJ$86,'EE Measures'!$Q$8:$Q$86,'EE Measures'!$ED$8:$ED$86)</f>
        <v>1124.2061383251016</v>
      </c>
      <c r="L384" s="593">
        <f>SUMPRODUCT('EE Measures'!CE$8:CE$86,'EE Measures'!$IJ$8:$IJ$86,'EE Measures'!$Q$8:$Q$86)+SUMPRODUCT('EE Measures'!EJ$8:EJ$86,'EE Measures'!$IJ$8:$IJ$86,'EE Measures'!$Q$8:$Q$86,'EE Measures'!$ED$8:$ED$86)</f>
        <v>597.92094698332028</v>
      </c>
      <c r="M384" s="593">
        <f>SUMPRODUCT('EE Measures'!CF$8:CF$86,'EE Measures'!$IJ$8:$IJ$86,'EE Measures'!$Q$8:$Q$86)+SUMPRODUCT('EE Measures'!EK$8:EK$86,'EE Measures'!$IJ$8:$IJ$86,'EE Measures'!$Q$8:$Q$86,'EE Measures'!$ED$8:$ED$86)</f>
        <v>249.09198528092577</v>
      </c>
      <c r="N384" s="593">
        <f>SUMPRODUCT('EE Measures'!CG$8:CG$86,'EE Measures'!$IJ$8:$IJ$86,'EE Measures'!$Q$8:$Q$86)+SUMPRODUCT('EE Measures'!EL$8:EL$86,'EE Measures'!$IJ$8:$IJ$86,'EE Measures'!$Q$8:$Q$86,'EE Measures'!$ED$8:$ED$86)</f>
        <v>225.0933290620747</v>
      </c>
      <c r="O384" s="593">
        <f>SUMPRODUCT('EE Measures'!CH$8:CH$86,'EE Measures'!$IJ$8:$IJ$86,'EE Measures'!$Q$8:$Q$86)+SUMPRODUCT('EE Measures'!EM$8:EM$86,'EE Measures'!$IJ$8:$IJ$86,'EE Measures'!$Q$8:$Q$86,'EE Measures'!$ED$8:$ED$86)</f>
        <v>232.20422037630311</v>
      </c>
      <c r="P384" s="593">
        <f>SUMPRODUCT('EE Measures'!CI$8:CI$86,'EE Measures'!$IJ$8:$IJ$86,'EE Measures'!$Q$8:$Q$86)+SUMPRODUCT('EE Measures'!EN$8:EN$86,'EE Measures'!$IJ$8:$IJ$86,'EE Measures'!$Q$8:$Q$86,'EE Measures'!$ED$8:$ED$86)</f>
        <v>229.06575700807508</v>
      </c>
      <c r="Q384" s="593">
        <f>SUMPRODUCT('EE Measures'!CJ$8:CJ$86,'EE Measures'!$IJ$8:$IJ$86,'EE Measures'!$Q$8:$Q$86)+SUMPRODUCT('EE Measures'!EO$8:EO$86,'EE Measures'!$IJ$8:$IJ$86,'EE Measures'!$Q$8:$Q$86,'EE Measures'!$ED$8:$ED$86)</f>
        <v>199.65003274363102</v>
      </c>
      <c r="R384" s="593">
        <f>SUMPRODUCT('EE Measures'!CK$8:CK$86,'EE Measures'!$IJ$8:$IJ$86,'EE Measures'!$Q$8:$Q$86)+SUMPRODUCT('EE Measures'!EP$8:EP$86,'EE Measures'!$IJ$8:$IJ$86,'EE Measures'!$Q$8:$Q$86,'EE Measures'!$ED$8:$ED$86)</f>
        <v>202.22761563951258</v>
      </c>
      <c r="S384" s="593">
        <f>SUMPRODUCT('EE Measures'!CL$8:CL$86,'EE Measures'!$IJ$8:$IJ$86,'EE Measures'!$Q$8:$Q$86)+SUMPRODUCT('EE Measures'!EQ$8:EQ$86,'EE Measures'!$IJ$8:$IJ$86,'EE Measures'!$Q$8:$Q$86,'EE Measures'!$ED$8:$ED$86)</f>
        <v>204.86330332404623</v>
      </c>
      <c r="T384" s="593">
        <f>SUMPRODUCT('EE Measures'!CM$8:CM$86,'EE Measures'!$IJ$8:$IJ$86,'EE Measures'!$Q$8:$Q$86)+SUMPRODUCT('EE Measures'!ER$8:ER$86,'EE Measures'!$IJ$8:$IJ$86,'EE Measures'!$Q$8:$Q$86,'EE Measures'!$ED$8:$ED$86)</f>
        <v>207.55803025503849</v>
      </c>
      <c r="U384" s="593">
        <f>SUMPRODUCT('EE Measures'!CN$8:CN$86,'EE Measures'!$IJ$8:$IJ$86,'EE Measures'!$Q$8:$Q$86)+SUMPRODUCT('EE Measures'!ES$8:ES$86,'EE Measures'!$IJ$8:$IJ$86,'EE Measures'!$Q$8:$Q$86,'EE Measures'!$ED$8:$ED$86)</f>
        <v>210.3127539921818</v>
      </c>
      <c r="V384" s="898">
        <f t="shared" si="1376"/>
        <v>4594.2769270147373</v>
      </c>
      <c r="W384" s="563" t="str">
        <v>Lõuna-Eesti </v>
      </c>
      <c r="X384" s="592">
        <f t="shared" si="1435"/>
        <v>2539.957771579403</v>
      </c>
      <c r="Y384" s="593">
        <f>SUMPRODUCT('EE Measures'!BZ$8:BZ$86,'EE Measures'!$IJ$8:$IJ$86,'EE Measures'!$AB$8:$AB$86)+SUMPRODUCT('EE Measures'!EE$8:EE$86,'EE Measures'!$IJ$8:$IJ$86,'EE Measures'!$AB$8:$AB$86,'EE Measures'!$ED$8:$ED$86)</f>
        <v>82.119613705912727</v>
      </c>
      <c r="Z384" s="593">
        <f>SUMPRODUCT('EE Measures'!CA$8:CA$86,'EE Measures'!$IJ$8:$IJ$86,'EE Measures'!$AB$8:$AB$86)+SUMPRODUCT('EE Measures'!EF$8:EF$86,'EE Measures'!$IJ$8:$IJ$86,'EE Measures'!$AB$8:$AB$86,'EE Measures'!$ED$8:$ED$86)</f>
        <v>41.338934254963206</v>
      </c>
      <c r="AA384" s="593">
        <f>SUMPRODUCT('EE Measures'!CB$8:CB$86,'EE Measures'!$IJ$8:$IJ$86,'EE Measures'!$AB$8:$AB$86)+SUMPRODUCT('EE Measures'!EG$8:EG$86,'EE Measures'!$IJ$8:$IJ$86,'EE Measures'!$AB$8:$AB$86,'EE Measures'!$ED$8:$ED$86)</f>
        <v>42.599703924383235</v>
      </c>
      <c r="AB384" s="593">
        <f>SUMPRODUCT('EE Measures'!CC$8:CC$86,'EE Measures'!$IJ$8:$IJ$86,'EE Measures'!$AB$8:$AB$86)+SUMPRODUCT('EE Measures'!EH$8:EH$86,'EE Measures'!$IJ$8:$IJ$86,'EE Measures'!$AB$8:$AB$86,'EE Measures'!$ED$8:$ED$86)</f>
        <v>34.161811909885046</v>
      </c>
      <c r="AC384" s="593">
        <f>SUMPRODUCT('EE Measures'!CD$8:CD$86,'EE Measures'!$IJ$8:$IJ$86,'EE Measures'!$AB$8:$AB$86)+SUMPRODUCT('EE Measures'!EI$8:EI$86,'EE Measures'!$IJ$8:$IJ$86,'EE Measures'!$AB$8:$AB$86,'EE Measures'!$ED$8:$ED$86)</f>
        <v>377.77986736946855</v>
      </c>
      <c r="AD384" s="593">
        <f>SUMPRODUCT('EE Measures'!CE$8:CE$86,'EE Measures'!$IJ$8:$IJ$86,'EE Measures'!$AB$8:$AB$86)+SUMPRODUCT('EE Measures'!EJ$8:EJ$86,'EE Measures'!$IJ$8:$IJ$86,'EE Measures'!$AB$8:$AB$86,'EE Measures'!$ED$8:$ED$86)</f>
        <v>381.90115523471752</v>
      </c>
      <c r="AE384" s="593">
        <f>SUMPRODUCT('EE Measures'!CF$8:CF$86,'EE Measures'!$IJ$8:$IJ$86,'EE Measures'!$AB$8:$AB$86)+SUMPRODUCT('EE Measures'!EK$8:EK$86,'EE Measures'!$IJ$8:$IJ$86,'EE Measures'!$AB$8:$AB$86,'EE Measures'!$ED$8:$ED$86)</f>
        <v>393.63135149822233</v>
      </c>
      <c r="AF384" s="593">
        <f>SUMPRODUCT('EE Measures'!CG$8:CG$86,'EE Measures'!$IJ$8:$IJ$86,'EE Measures'!$AB$8:$AB$86)+SUMPRODUCT('EE Measures'!EL$8:EL$86,'EE Measures'!$IJ$8:$IJ$86,'EE Measures'!$AB$8:$AB$86,'EE Measures'!$ED$8:$ED$86)</f>
        <v>387.74748331723856</v>
      </c>
      <c r="AG384" s="593">
        <f>SUMPRODUCT('EE Measures'!CH$8:CH$86,'EE Measures'!$IJ$8:$IJ$86,'EE Measures'!$AB$8:$AB$86)+SUMPRODUCT('EE Measures'!EM$8:EM$86,'EE Measures'!$IJ$8:$IJ$86,'EE Measures'!$AB$8:$AB$86,'EE Measures'!$ED$8:$ED$86)</f>
        <v>396.22397412140481</v>
      </c>
      <c r="AH384" s="593">
        <f>SUMPRODUCT('EE Measures'!CI$8:CI$86,'EE Measures'!$IJ$8:$IJ$86,'EE Measures'!$AB$8:$AB$86)+SUMPRODUCT('EE Measures'!EN$8:EN$86,'EE Measures'!$IJ$8:$IJ$86,'EE Measures'!$AB$8:$AB$86,'EE Measures'!$ED$8:$ED$86)</f>
        <v>402.45387624320711</v>
      </c>
      <c r="AI384" s="593">
        <f>SUMPRODUCT('EE Measures'!CJ$8:CJ$86,'EE Measures'!$IJ$8:$IJ$86,'EE Measures'!$AB$8:$AB$86)+SUMPRODUCT('EE Measures'!EO$8:EO$86,'EE Measures'!$IJ$8:$IJ$86,'EE Measures'!$AB$8:$AB$86,'EE Measures'!$ED$8:$ED$86)</f>
        <v>405.52387592132413</v>
      </c>
      <c r="AJ384" s="593">
        <f>SUMPRODUCT('EE Measures'!CK$8:CK$86,'EE Measures'!$IJ$8:$IJ$86,'EE Measures'!$AB$8:$AB$86)+SUMPRODUCT('EE Measures'!EP$8:EP$86,'EE Measures'!$IJ$8:$IJ$86,'EE Measures'!$AB$8:$AB$86,'EE Measures'!$ED$8:$ED$86)</f>
        <v>413.95869028211172</v>
      </c>
      <c r="AK384" s="593">
        <f>SUMPRODUCT('EE Measures'!CL$8:CL$86,'EE Measures'!$IJ$8:$IJ$86,'EE Measures'!$AB$8:$AB$86)+SUMPRODUCT('EE Measures'!EQ$8:EQ$86,'EE Measures'!$IJ$8:$IJ$86,'EE Measures'!$AB$8:$AB$86,'EE Measures'!$ED$8:$ED$86)</f>
        <v>422.59242154873272</v>
      </c>
      <c r="AL384" s="593">
        <f>SUMPRODUCT('EE Measures'!CM$8:CM$86,'EE Measures'!$IJ$8:$IJ$86,'EE Measures'!$AB$8:$AB$86)+SUMPRODUCT('EE Measures'!ER$8:ER$86,'EE Measures'!$IJ$8:$IJ$86,'EE Measures'!$AB$8:$AB$86,'EE Measures'!$ED$8:$ED$86)</f>
        <v>431.43017604571736</v>
      </c>
      <c r="AM384" s="593">
        <f>SUMPRODUCT('EE Measures'!CN$8:CN$86,'EE Measures'!$IJ$8:$IJ$86,'EE Measures'!$AB$8:$AB$86)+SUMPRODUCT('EE Measures'!ES$8:ES$86,'EE Measures'!$IJ$8:$IJ$86,'EE Measures'!$AB$8:$AB$86,'EE Measures'!$ED$8:$ED$86)</f>
        <v>440.47721359880336</v>
      </c>
      <c r="AN384" s="865">
        <f>X384/$X$380</f>
        <v>0.20170199896891627</v>
      </c>
    </row>
    <row r="385" spans="3:40" hidden="1" outlineLevel="1" x14ac:dyDescent="0.3">
      <c r="C385" s="587" t="str">
        <f t="shared" si="1433"/>
        <v>EET</v>
      </c>
      <c r="E385" s="563" t="s">
        <v>54</v>
      </c>
      <c r="F385" s="592">
        <f t="shared" si="1434"/>
        <v>57.084871975960553</v>
      </c>
      <c r="G385" s="593">
        <f>SUMPRODUCT('EE Measures'!BZ$8:BZ$86,'EE Measures'!$IJ$8:$IJ$86,'EE Measures'!$R$8:$R$86)+SUMPRODUCT('EE Measures'!EE$8:EE$86,'EE Measures'!$IJ$8:$IJ$86,'EE Measures'!$R$8:$R$86,'EE Measures'!$ED$8:$ED$86)</f>
        <v>0.19824537138156786</v>
      </c>
      <c r="H385" s="593">
        <f>SUMPRODUCT('EE Measures'!CA$8:CA$86,'EE Measures'!$IJ$8:$IJ$86,'EE Measures'!$R$8:$R$86)+SUMPRODUCT('EE Measures'!EF$8:EF$86,'EE Measures'!$IJ$8:$IJ$86,'EE Measures'!$R$8:$R$86,'EE Measures'!$ED$8:$ED$86)</f>
        <v>0.22216844741811145</v>
      </c>
      <c r="I385" s="593">
        <f>SUMPRODUCT('EE Measures'!CB$8:CB$86,'EE Measures'!$IJ$8:$IJ$86,'EE Measures'!$R$8:$R$86)+SUMPRODUCT('EE Measures'!EG$8:EG$86,'EE Measures'!$IJ$8:$IJ$86,'EE Measures'!$R$8:$R$86,'EE Measures'!$ED$8:$ED$86)</f>
        <v>0.24739223196539509</v>
      </c>
      <c r="J385" s="593">
        <f>SUMPRODUCT('EE Measures'!CC$8:CC$86,'EE Measures'!$IJ$8:$IJ$86,'EE Measures'!$R$8:$R$86)+SUMPRODUCT('EE Measures'!EH$8:EH$86,'EE Measures'!$IJ$8:$IJ$86,'EE Measures'!$R$8:$R$86,'EE Measures'!$ED$8:$ED$86)</f>
        <v>4.4688409949200949</v>
      </c>
      <c r="K385" s="593">
        <f>SUMPRODUCT('EE Measures'!CD$8:CD$86,'EE Measures'!$IJ$8:$IJ$86,'EE Measures'!$R$8:$R$86)+SUMPRODUCT('EE Measures'!EI$8:EI$86,'EE Measures'!$IJ$8:$IJ$86,'EE Measures'!$R$8:$R$86,'EE Measures'!$ED$8:$ED$86)</f>
        <v>6.613146358568093</v>
      </c>
      <c r="L385" s="593">
        <f>SUMPRODUCT('EE Measures'!CE$8:CE$86,'EE Measures'!$IJ$8:$IJ$86,'EE Measures'!$R$8:$R$86)+SUMPRODUCT('EE Measures'!EJ$8:EJ$86,'EE Measures'!$IJ$8:$IJ$86,'EE Measures'!$R$8:$R$86,'EE Measures'!$ED$8:$ED$86)</f>
        <v>6.6884502401727692</v>
      </c>
      <c r="M385" s="593">
        <f>SUMPRODUCT('EE Measures'!CF$8:CF$86,'EE Measures'!$IJ$8:$IJ$86,'EE Measures'!$R$8:$R$86)+SUMPRODUCT('EE Measures'!EK$8:EK$86,'EE Measures'!$IJ$8:$IJ$86,'EE Measures'!$R$8:$R$86,'EE Measures'!$ED$8:$ED$86)</f>
        <v>9.5326171661078121</v>
      </c>
      <c r="N385" s="593">
        <f>SUMPRODUCT('EE Measures'!CG$8:CG$86,'EE Measures'!$IJ$8:$IJ$86,'EE Measures'!$R$8:$R$86)+SUMPRODUCT('EE Measures'!EL$8:EL$86,'EE Measures'!$IJ$8:$IJ$86,'EE Measures'!$R$8:$R$86,'EE Measures'!$ED$8:$ED$86)</f>
        <v>9.6165746127363079</v>
      </c>
      <c r="O385" s="593">
        <f>SUMPRODUCT('EE Measures'!CH$8:CH$86,'EE Measures'!$IJ$8:$IJ$86,'EE Measures'!$R$8:$R$86)+SUMPRODUCT('EE Measures'!EM$8:EM$86,'EE Measures'!$IJ$8:$IJ$86,'EE Measures'!$R$8:$R$86,'EE Measures'!$ED$8:$ED$86)</f>
        <v>9.7036184945977091</v>
      </c>
      <c r="P385" s="593">
        <f>SUMPRODUCT('EE Measures'!CI$8:CI$86,'EE Measures'!$IJ$8:$IJ$86,'EE Measures'!$R$8:$R$86)+SUMPRODUCT('EE Measures'!EN$8:EN$86,'EE Measures'!$IJ$8:$IJ$86,'EE Measures'!$R$8:$R$86,'EE Measures'!$ED$8:$ED$86)</f>
        <v>9.7938180580926968</v>
      </c>
      <c r="Q385" s="593">
        <f>SUMPRODUCT('EE Measures'!CJ$8:CJ$86,'EE Measures'!$IJ$8:$IJ$86,'EE Measures'!$R$8:$R$86)+SUMPRODUCT('EE Measures'!EO$8:EO$86,'EE Measures'!$IJ$8:$IJ$86,'EE Measures'!$R$8:$R$86,'EE Measures'!$ED$8:$ED$86)</f>
        <v>7.1216685945425162</v>
      </c>
      <c r="R385" s="593">
        <f>SUMPRODUCT('EE Measures'!CK$8:CK$86,'EE Measures'!$IJ$8:$IJ$86,'EE Measures'!$R$8:$R$86)+SUMPRODUCT('EE Measures'!EP$8:EP$86,'EE Measures'!$IJ$8:$IJ$86,'EE Measures'!$R$8:$R$86,'EE Measures'!$ED$8:$ED$86)</f>
        <v>7.2183990603443124</v>
      </c>
      <c r="S385" s="593">
        <f>SUMPRODUCT('EE Measures'!CL$8:CL$86,'EE Measures'!$IJ$8:$IJ$86,'EE Measures'!$R$8:$R$86)+SUMPRODUCT('EE Measures'!EQ$8:EQ$86,'EE Measures'!$IJ$8:$IJ$86,'EE Measures'!$R$8:$R$86,'EE Measures'!$ED$8:$ED$86)</f>
        <v>7.3185108983627574</v>
      </c>
      <c r="T385" s="593">
        <f>SUMPRODUCT('EE Measures'!CM$8:CM$86,'EE Measures'!$IJ$8:$IJ$86,'EE Measures'!$R$8:$R$86)+SUMPRODUCT('EE Measures'!ER$8:ER$86,'EE Measures'!$IJ$8:$IJ$86,'EE Measures'!$R$8:$R$86,'EE Measures'!$ED$8:$ED$86)</f>
        <v>7.4220856664942518</v>
      </c>
      <c r="U385" s="593">
        <f>SUMPRODUCT('EE Measures'!CN$8:CN$86,'EE Measures'!$IJ$8:$IJ$86,'EE Measures'!$R$8:$R$86)+SUMPRODUCT('EE Measures'!ES$8:ES$86,'EE Measures'!$IJ$8:$IJ$86,'EE Measures'!$R$8:$R$86,'EE Measures'!$ED$8:$ED$86)</f>
        <v>7.5292082692412787</v>
      </c>
      <c r="V385" s="898">
        <f t="shared" si="1376"/>
        <v>93.026938414180606</v>
      </c>
      <c r="W385" s="563" t="str">
        <v>Kesk-Eesti</v>
      </c>
      <c r="X385" s="592">
        <f t="shared" si="1435"/>
        <v>1127.7959351697366</v>
      </c>
      <c r="Y385" s="593">
        <f>SUMPRODUCT('EE Measures'!BZ$8:BZ$86,'EE Measures'!$IJ$8:$IJ$86,'EE Measures'!$AC$8:$AC$86)+SUMPRODUCT('EE Measures'!EE$8:EE$86,'EE Measures'!$IJ$8:$IJ$86,'EE Measures'!$AC$8:$AC$86,'EE Measures'!$ED$8:$ED$86)</f>
        <v>32.940010543379714</v>
      </c>
      <c r="Z385" s="593">
        <f>SUMPRODUCT('EE Measures'!CA$8:CA$86,'EE Measures'!$IJ$8:$IJ$86,'EE Measures'!$AC$8:$AC$86)+SUMPRODUCT('EE Measures'!EF$8:EF$86,'EE Measures'!$IJ$8:$IJ$86,'EE Measures'!$AC$8:$AC$86,'EE Measures'!$ED$8:$ED$86)</f>
        <v>17.271964026346691</v>
      </c>
      <c r="AA385" s="593">
        <f>SUMPRODUCT('EE Measures'!CB$8:CB$86,'EE Measures'!$IJ$8:$IJ$86,'EE Measures'!$AC$8:$AC$86)+SUMPRODUCT('EE Measures'!EG$8:EG$86,'EE Measures'!$IJ$8:$IJ$86,'EE Measures'!$AC$8:$AC$86,'EE Measures'!$ED$8:$ED$86)</f>
        <v>18.439168386081569</v>
      </c>
      <c r="AB385" s="593">
        <f>SUMPRODUCT('EE Measures'!CC$8:CC$86,'EE Measures'!$IJ$8:$IJ$86,'EE Measures'!$AC$8:$AC$86)+SUMPRODUCT('EE Measures'!EH$8:EH$86,'EE Measures'!$IJ$8:$IJ$86,'EE Measures'!$AC$8:$AC$86,'EE Measures'!$ED$8:$ED$86)</f>
        <v>14.096674181462163</v>
      </c>
      <c r="AC385" s="593">
        <f>SUMPRODUCT('EE Measures'!CD$8:CD$86,'EE Measures'!$IJ$8:$IJ$86,'EE Measures'!$AC$8:$AC$86)+SUMPRODUCT('EE Measures'!EI$8:EI$86,'EE Measures'!$IJ$8:$IJ$86,'EE Measures'!$AC$8:$AC$86,'EE Measures'!$ED$8:$ED$86)</f>
        <v>168.68641295641356</v>
      </c>
      <c r="AD385" s="593">
        <f>SUMPRODUCT('EE Measures'!CE$8:CE$86,'EE Measures'!$IJ$8:$IJ$86,'EE Measures'!$AC$8:$AC$86)+SUMPRODUCT('EE Measures'!EJ$8:EJ$86,'EE Measures'!$IJ$8:$IJ$86,'EE Measures'!$AC$8:$AC$86,'EE Measures'!$ED$8:$ED$86)</f>
        <v>170.56963136362867</v>
      </c>
      <c r="AE385" s="593">
        <f>SUMPRODUCT('EE Measures'!CF$8:CF$86,'EE Measures'!$IJ$8:$IJ$86,'EE Measures'!$AC$8:$AC$86)+SUMPRODUCT('EE Measures'!EK$8:EK$86,'EE Measures'!$IJ$8:$IJ$86,'EE Measures'!$AC$8:$AC$86,'EE Measures'!$ED$8:$ED$86)</f>
        <v>175.63282682842524</v>
      </c>
      <c r="AF385" s="593">
        <f>SUMPRODUCT('EE Measures'!CG$8:CG$86,'EE Measures'!$IJ$8:$IJ$86,'EE Measures'!$AC$8:$AC$86)+SUMPRODUCT('EE Measures'!EL$8:EL$86,'EE Measures'!$IJ$8:$IJ$86,'EE Measures'!$AC$8:$AC$86,'EE Measures'!$ED$8:$ED$86)</f>
        <v>173.36726172071229</v>
      </c>
      <c r="AG385" s="593">
        <f>SUMPRODUCT('EE Measures'!CH$8:CH$86,'EE Measures'!$IJ$8:$IJ$86,'EE Measures'!$AC$8:$AC$86)+SUMPRODUCT('EE Measures'!EM$8:EM$86,'EE Measures'!$IJ$8:$IJ$86,'EE Measures'!$AC$8:$AC$86,'EE Measures'!$ED$8:$ED$86)</f>
        <v>177.00378072700701</v>
      </c>
      <c r="AH385" s="593">
        <f>SUMPRODUCT('EE Measures'!CI$8:CI$86,'EE Measures'!$IJ$8:$IJ$86,'EE Measures'!$AC$8:$AC$86)+SUMPRODUCT('EE Measures'!EN$8:EN$86,'EE Measures'!$IJ$8:$IJ$86,'EE Measures'!$AC$8:$AC$86,'EE Measures'!$ED$8:$ED$86)</f>
        <v>179.78820443627967</v>
      </c>
      <c r="AI385" s="593">
        <f>SUMPRODUCT('EE Measures'!CJ$8:CJ$86,'EE Measures'!$IJ$8:$IJ$86,'EE Measures'!$AC$8:$AC$86)+SUMPRODUCT('EE Measures'!EO$8:EO$86,'EE Measures'!$IJ$8:$IJ$86,'EE Measures'!$AC$8:$AC$86,'EE Measures'!$ED$8:$ED$86)</f>
        <v>181.84712694182232</v>
      </c>
      <c r="AJ385" s="593">
        <f>SUMPRODUCT('EE Measures'!CK$8:CK$86,'EE Measures'!$IJ$8:$IJ$86,'EE Measures'!$AC$8:$AC$86)+SUMPRODUCT('EE Measures'!EP$8:EP$86,'EE Measures'!$IJ$8:$IJ$86,'EE Measures'!$AC$8:$AC$86,'EE Measures'!$ED$8:$ED$86)</f>
        <v>185.59676274181879</v>
      </c>
      <c r="AK385" s="593">
        <f>SUMPRODUCT('EE Measures'!CL$8:CL$86,'EE Measures'!$IJ$8:$IJ$86,'EE Measures'!$AC$8:$AC$86)+SUMPRODUCT('EE Measures'!EQ$8:EQ$86,'EE Measures'!$IJ$8:$IJ$86,'EE Measures'!$AC$8:$AC$86,'EE Measures'!$ED$8:$ED$86)</f>
        <v>189.433975115832</v>
      </c>
      <c r="AL385" s="593">
        <f>SUMPRODUCT('EE Measures'!CM$8:CM$86,'EE Measures'!$IJ$8:$IJ$86,'EE Measures'!$AC$8:$AC$86)+SUMPRODUCT('EE Measures'!ER$8:ER$86,'EE Measures'!$IJ$8:$IJ$86,'EE Measures'!$AC$8:$AC$86,'EE Measures'!$ED$8:$ED$86)</f>
        <v>193.36098636251421</v>
      </c>
      <c r="AM385" s="593">
        <f>SUMPRODUCT('EE Measures'!CN$8:CN$86,'EE Measures'!$IJ$8:$IJ$86,'EE Measures'!$AC$8:$AC$86)+SUMPRODUCT('EE Measures'!ES$8:ES$86,'EE Measures'!$IJ$8:$IJ$86,'EE Measures'!$AC$8:$AC$86,'EE Measures'!$ED$8:$ED$86)</f>
        <v>197.38008469245764</v>
      </c>
      <c r="AN385" s="865">
        <f>X385/$X$380</f>
        <v>8.9560030130462681E-2</v>
      </c>
    </row>
    <row r="386" spans="3:40" hidden="1" outlineLevel="1" x14ac:dyDescent="0.3">
      <c r="C386" s="587" t="str">
        <f>E386</f>
        <v>CEER1</v>
      </c>
      <c r="E386" s="555" t="str">
        <f>'EE Measures'!$IK$6</f>
        <v>CEER1</v>
      </c>
      <c r="F386" s="590">
        <f>SUM(G386:P386)</f>
        <v>12458.071163439272</v>
      </c>
      <c r="G386" s="591">
        <f>SUM(G387:G391)</f>
        <v>450.06529889324349</v>
      </c>
      <c r="H386" s="591">
        <f>SUM(H387:H391)</f>
        <v>313.48832551976022</v>
      </c>
      <c r="I386" s="591">
        <f t="shared" ref="I386:P386" si="1436">SUM(I387:I391)</f>
        <v>253.41921977162505</v>
      </c>
      <c r="J386" s="591">
        <f t="shared" si="1436"/>
        <v>568.7548701618108</v>
      </c>
      <c r="K386" s="591">
        <f t="shared" si="1436"/>
        <v>2114.3600849576173</v>
      </c>
      <c r="L386" s="591">
        <f t="shared" si="1436"/>
        <v>1848.0055081880462</v>
      </c>
      <c r="M386" s="591">
        <f t="shared" si="1436"/>
        <v>1713.373308730763</v>
      </c>
      <c r="N386" s="591">
        <f t="shared" si="1436"/>
        <v>1690.3438850481475</v>
      </c>
      <c r="O386" s="591">
        <f t="shared" si="1436"/>
        <v>1736.146434153037</v>
      </c>
      <c r="P386" s="591">
        <f t="shared" si="1436"/>
        <v>1770.1142280152217</v>
      </c>
      <c r="Q386" s="591">
        <f t="shared" ref="Q386:U386" si="1437">SUM(Q387:Q391)</f>
        <v>1782.7042504803285</v>
      </c>
      <c r="R386" s="591">
        <f t="shared" si="1437"/>
        <v>1819.3497749151729</v>
      </c>
      <c r="S386" s="591">
        <f t="shared" si="1437"/>
        <v>1856.851814862179</v>
      </c>
      <c r="T386" s="591">
        <f t="shared" si="1437"/>
        <v>1895.2321245471753</v>
      </c>
      <c r="U386" s="591">
        <f t="shared" si="1437"/>
        <v>1934.519290232359</v>
      </c>
      <c r="V386" s="898">
        <f t="shared" si="1376"/>
        <v>20729.755574291859</v>
      </c>
      <c r="W386" s="555" t="str">
        <f>'EE Measures'!$IK$6</f>
        <v>CEER1</v>
      </c>
      <c r="X386" s="590">
        <f>SUM(Y386:AH386)</f>
        <v>12457.05266343927</v>
      </c>
      <c r="Y386" s="591">
        <f t="shared" ref="Y386:Z386" si="1438">SUM(Y387:Y391)</f>
        <v>450.06529889324349</v>
      </c>
      <c r="Z386" s="591">
        <f t="shared" si="1438"/>
        <v>313.48832551976022</v>
      </c>
      <c r="AA386" s="591">
        <f t="shared" ref="AA386" si="1439">SUM(AA387:AA391)</f>
        <v>253.41921977162508</v>
      </c>
      <c r="AB386" s="591">
        <f t="shared" ref="AB386" si="1440">SUM(AB387:AB391)</f>
        <v>568.7548701618108</v>
      </c>
      <c r="AC386" s="591">
        <f t="shared" ref="AC386" si="1441">SUM(AC387:AC391)</f>
        <v>2114.1903349576173</v>
      </c>
      <c r="AD386" s="591">
        <f t="shared" ref="AD386" si="1442">SUM(AD387:AD391)</f>
        <v>1847.8357581880459</v>
      </c>
      <c r="AE386" s="591">
        <f t="shared" ref="AE386" si="1443">SUM(AE387:AE391)</f>
        <v>1713.2035587307628</v>
      </c>
      <c r="AF386" s="591">
        <f t="shared" ref="AF386" si="1444">SUM(AF387:AF391)</f>
        <v>1690.1741350481473</v>
      </c>
      <c r="AG386" s="591">
        <f t="shared" ref="AG386" si="1445">SUM(AG387:AG391)</f>
        <v>1735.9766841530368</v>
      </c>
      <c r="AH386" s="591">
        <f t="shared" ref="AH386:AM386" si="1446">SUM(AH387:AH391)</f>
        <v>1769.9444780152216</v>
      </c>
      <c r="AI386" s="591">
        <f t="shared" si="1446"/>
        <v>1782.5345004803278</v>
      </c>
      <c r="AJ386" s="591">
        <f t="shared" si="1446"/>
        <v>1819.1800249151729</v>
      </c>
      <c r="AK386" s="591">
        <f t="shared" si="1446"/>
        <v>1856.6820648621785</v>
      </c>
      <c r="AL386" s="591">
        <f t="shared" si="1446"/>
        <v>1895.0623745471755</v>
      </c>
      <c r="AM386" s="591">
        <f t="shared" si="1446"/>
        <v>1934.349540232359</v>
      </c>
      <c r="AN386" s="865"/>
    </row>
    <row r="387" spans="3:40" hidden="1" outlineLevel="1" x14ac:dyDescent="0.3">
      <c r="C387" s="587" t="str">
        <f>C386</f>
        <v>CEER1</v>
      </c>
      <c r="E387" s="563" t="s">
        <v>50</v>
      </c>
      <c r="F387" s="592">
        <f>SUM(G387:P387)</f>
        <v>487.23456766272545</v>
      </c>
      <c r="G387" s="593">
        <f>SUMPRODUCT('EE Measures'!BZ$8:BZ$86,'EE Measures'!$IK$8:$IK$86,'EE Measures'!$N$8:$N$86)+SUMPRODUCT('EE Measures'!EE$8:EE$86,'EE Measures'!$IK$8:$IK$86,'EE Measures'!$N$8:$N$86,'EE Measures'!$ED$8:$ED$86)</f>
        <v>50.705714717758653</v>
      </c>
      <c r="H387" s="593">
        <f>SUMPRODUCT('EE Measures'!CA$8:CA$86,'EE Measures'!$IK$8:$IK$86,'EE Measures'!$N$8:$N$86)+SUMPRODUCT('EE Measures'!EF$8:EF$86,'EE Measures'!$IK$8:$IK$86,'EE Measures'!$N$8:$N$86,'EE Measures'!$ED$8:$ED$86)</f>
        <v>4.4123408105379829</v>
      </c>
      <c r="I387" s="593">
        <f>SUMPRODUCT('EE Measures'!CB$8:CB$86,'EE Measures'!$IK$8:$IK$86,'EE Measures'!$N$8:$N$86)+SUMPRODUCT('EE Measures'!EG$8:EG$86,'EE Measures'!$IK$8:$IK$86,'EE Measures'!$N$8:$N$86,'EE Measures'!$ED$8:$ED$86)</f>
        <v>2.1307494384081855</v>
      </c>
      <c r="J387" s="593">
        <f>SUMPRODUCT('EE Measures'!CC$8:CC$86,'EE Measures'!$IK$8:$IK$86,'EE Measures'!$N$8:$N$86)+SUMPRODUCT('EE Measures'!EH$8:EH$86,'EE Measures'!$IK$8:$IK$86,'EE Measures'!$N$8:$N$86,'EE Measures'!$ED$8:$ED$86)</f>
        <v>37.520886903970776</v>
      </c>
      <c r="K387" s="593">
        <f>SUMPRODUCT('EE Measures'!CD$8:CD$86,'EE Measures'!$IK$8:$IK$86,'EE Measures'!$N$8:$N$86)+SUMPRODUCT('EE Measures'!EI$8:EI$86,'EE Measures'!$IK$8:$IK$86,'EE Measures'!$N$8:$N$86,'EE Measures'!$ED$8:$ED$86)</f>
        <v>76.391706704230884</v>
      </c>
      <c r="L387" s="593">
        <f>SUMPRODUCT('EE Measures'!CE$8:CE$86,'EE Measures'!$IK$8:$IK$86,'EE Measures'!$N$8:$N$86)+SUMPRODUCT('EE Measures'!EJ$8:EJ$86,'EE Measures'!$IK$8:$IK$86,'EE Measures'!$N$8:$N$86,'EE Measures'!$ED$8:$ED$86)</f>
        <v>76.54268773610994</v>
      </c>
      <c r="M387" s="593">
        <f>SUMPRODUCT('EE Measures'!CF$8:CF$86,'EE Measures'!$IK$8:$IK$86,'EE Measures'!$N$8:$N$86)+SUMPRODUCT('EE Measures'!EK$8:EK$86,'EE Measures'!$IK$8:$IK$86,'EE Measures'!$N$8:$N$86,'EE Measures'!$ED$8:$ED$86)</f>
        <v>73.451385241573092</v>
      </c>
      <c r="N387" s="593">
        <f>SUMPRODUCT('EE Measures'!CG$8:CG$86,'EE Measures'!$IK$8:$IK$86,'EE Measures'!$N$8:$N$86)+SUMPRODUCT('EE Measures'!EL$8:EL$86,'EE Measures'!$IK$8:$IK$86,'EE Measures'!$N$8:$N$86,'EE Measures'!$ED$8:$ED$86)</f>
        <v>46.267957441986937</v>
      </c>
      <c r="O387" s="593">
        <f>SUMPRODUCT('EE Measures'!CH$8:CH$86,'EE Measures'!$IK$8:$IK$86,'EE Measures'!$N$8:$N$86)+SUMPRODUCT('EE Measures'!EM$8:EM$86,'EE Measures'!$IK$8:$IK$86,'EE Measures'!$N$8:$N$86,'EE Measures'!$ED$8:$ED$86)</f>
        <v>56.122214017671553</v>
      </c>
      <c r="P387" s="593">
        <f>SUMPRODUCT('EE Measures'!CI$8:CI$86,'EE Measures'!$IK$8:$IK$86,'EE Measures'!$N$8:$N$86)+SUMPRODUCT('EE Measures'!EN$8:EN$86,'EE Measures'!$IK$8:$IK$86,'EE Measures'!$N$8:$N$86,'EE Measures'!$ED$8:$ED$86)</f>
        <v>63.68892465047746</v>
      </c>
      <c r="Q387" s="593">
        <f>SUMPRODUCT('EE Measures'!CJ$8:CJ$86,'EE Measures'!$IK$8:$IK$86,'EE Measures'!$N$8:$N$86)+SUMPRODUCT('EE Measures'!EO$8:EO$86,'EE Measures'!$IK$8:$IK$86,'EE Measures'!$N$8:$N$86,'EE Measures'!$ED$8:$ED$86)</f>
        <v>65.080646831082049</v>
      </c>
      <c r="R387" s="593">
        <f>SUMPRODUCT('EE Measures'!CK$8:CK$86,'EE Measures'!$IK$8:$IK$86,'EE Measures'!$N$8:$N$86)+SUMPRODUCT('EE Measures'!EP$8:EP$86,'EE Measures'!$IK$8:$IK$86,'EE Measures'!$N$8:$N$86,'EE Measures'!$ED$8:$ED$86)</f>
        <v>66.510500878794261</v>
      </c>
      <c r="S387" s="593">
        <f>SUMPRODUCT('EE Measures'!CL$8:CL$86,'EE Measures'!$IK$8:$IK$86,'EE Measures'!$N$8:$N$86)+SUMPRODUCT('EE Measures'!EQ$8:EQ$86,'EE Measures'!$IK$8:$IK$86,'EE Measures'!$N$8:$N$86,'EE Measures'!$ED$8:$ED$86)</f>
        <v>67.981309106335004</v>
      </c>
      <c r="T387" s="593">
        <f>SUMPRODUCT('EE Measures'!CM$8:CM$86,'EE Measures'!$IK$8:$IK$86,'EE Measures'!$N$8:$N$86)+SUMPRODUCT('EE Measures'!ER$8:ER$86,'EE Measures'!$IK$8:$IK$86,'EE Measures'!$N$8:$N$86,'EE Measures'!$ED$8:$ED$86)</f>
        <v>69.494363418956596</v>
      </c>
      <c r="U387" s="593">
        <f>SUMPRODUCT('EE Measures'!CN$8:CN$86,'EE Measures'!$IK$8:$IK$86,'EE Measures'!$N$8:$N$86)+SUMPRODUCT('EE Measures'!ES$8:ES$86,'EE Measures'!$IK$8:$IK$86,'EE Measures'!$N$8:$N$86,'EE Measures'!$ED$8:$ED$86)</f>
        <v>71.057188458457247</v>
      </c>
      <c r="V387" s="898">
        <f t="shared" si="1376"/>
        <v>770.10977138964586</v>
      </c>
      <c r="W387" s="563" t="str" cm="1">
        <f t="array" ref="W387:W391">_xlfn.ANCHORARRAY($W$357)</f>
        <v xml:space="preserve">Põhja-Eesti </v>
      </c>
      <c r="X387" s="592">
        <f>SUM(Y387:AH387)</f>
        <v>4970.7066035234729</v>
      </c>
      <c r="Y387" s="593">
        <f>SUMPRODUCT('EE Measures'!BZ$8:BZ$86,'EE Measures'!$IK$8:$IK$86,'EE Measures'!$Y$8:$Y$86)+SUMPRODUCT('EE Measures'!EE$8:EE$86,'EE Measures'!$IK$8:$IK$86,'EE Measures'!$Y$8:$Y$86,'EE Measures'!$ED$8:$ED$86)</f>
        <v>218.46060258330724</v>
      </c>
      <c r="Z387" s="593">
        <f>SUMPRODUCT('EE Measures'!CA$8:CA$86,'EE Measures'!$IK$8:$IK$86,'EE Measures'!$Y$8:$Y$86)+SUMPRODUCT('EE Measures'!EF$8:EF$86,'EE Measures'!$IK$8:$IK$86,'EE Measures'!$Y$8:$Y$86,'EE Measures'!$ED$8:$ED$86)</f>
        <v>148.819164353731</v>
      </c>
      <c r="AA387" s="593">
        <f>SUMPRODUCT('EE Measures'!CB$8:CB$86,'EE Measures'!$IK$8:$IK$86,'EE Measures'!$Y$8:$Y$86)+SUMPRODUCT('EE Measures'!EG$8:EG$86,'EE Measures'!$IK$8:$IK$86,'EE Measures'!$Y$8:$Y$86,'EE Measures'!$ED$8:$ED$86)</f>
        <v>108.26135821943791</v>
      </c>
      <c r="AB387" s="593">
        <f>SUMPRODUCT('EE Measures'!CC$8:CC$86,'EE Measures'!$IK$8:$IK$86,'EE Measures'!$Y$8:$Y$86)+SUMPRODUCT('EE Measures'!EH$8:EH$86,'EE Measures'!$IK$8:$IK$86,'EE Measures'!$Y$8:$Y$86,'EE Measures'!$ED$8:$ED$86)</f>
        <v>281.13368530795447</v>
      </c>
      <c r="AC387" s="593">
        <f>SUMPRODUCT('EE Measures'!CD$8:CD$86,'EE Measures'!$IK$8:$IK$86,'EE Measures'!$Y$8:$Y$86)+SUMPRODUCT('EE Measures'!EI$8:EI$86,'EE Measures'!$IK$8:$IK$86,'EE Measures'!$Y$8:$Y$86,'EE Measures'!$ED$8:$ED$86)</f>
        <v>884.93489781132473</v>
      </c>
      <c r="AD387" s="593">
        <f>SUMPRODUCT('EE Measures'!CE$8:CE$86,'EE Measures'!$IK$8:$IK$86,'EE Measures'!$Y$8:$Y$86)+SUMPRODUCT('EE Measures'!EJ$8:EJ$86,'EE Measures'!$IK$8:$IK$86,'EE Measures'!$Y$8:$Y$86,'EE Measures'!$ED$8:$ED$86)</f>
        <v>721.52042740783838</v>
      </c>
      <c r="AE387" s="593">
        <f>SUMPRODUCT('EE Measures'!CF$8:CF$86,'EE Measures'!$IK$8:$IK$86,'EE Measures'!$Y$8:$Y$86)+SUMPRODUCT('EE Measures'!EK$8:EK$86,'EE Measures'!$IK$8:$IK$86,'EE Measures'!$Y$8:$Y$86,'EE Measures'!$ED$8:$ED$86)</f>
        <v>649.15446239488642</v>
      </c>
      <c r="AF387" s="593">
        <f>SUMPRODUCT('EE Measures'!CG$8:CG$86,'EE Measures'!$IK$8:$IK$86,'EE Measures'!$Y$8:$Y$86)+SUMPRODUCT('EE Measures'!EL$8:EL$86,'EE Measures'!$IK$8:$IK$86,'EE Measures'!$Y$8:$Y$86,'EE Measures'!$ED$8:$ED$86)</f>
        <v>635.07549422624732</v>
      </c>
      <c r="AG387" s="593">
        <f>SUMPRODUCT('EE Measures'!CH$8:CH$86,'EE Measures'!$IK$8:$IK$86,'EE Measures'!$Y$8:$Y$86)+SUMPRODUCT('EE Measures'!EM$8:EM$86,'EE Measures'!$IK$8:$IK$86,'EE Measures'!$Y$8:$Y$86,'EE Measures'!$ED$8:$ED$86)</f>
        <v>654.70192685454481</v>
      </c>
      <c r="AH387" s="593">
        <f>SUMPRODUCT('EE Measures'!CI$8:CI$86,'EE Measures'!$IK$8:$IK$86,'EE Measures'!$Y$8:$Y$86)+SUMPRODUCT('EE Measures'!EN$8:EN$86,'EE Measures'!$IK$8:$IK$86,'EE Measures'!$Y$8:$Y$86,'EE Measures'!$ED$8:$ED$86)</f>
        <v>668.64458436420011</v>
      </c>
      <c r="AI387" s="593">
        <f>SUMPRODUCT('EE Measures'!CJ$8:CJ$86,'EE Measures'!$IK$8:$IK$86,'EE Measures'!$Y$8:$Y$86)+SUMPRODUCT('EE Measures'!EO$8:EO$86,'EE Measures'!$IK$8:$IK$86,'EE Measures'!$Y$8:$Y$86,'EE Measures'!$ED$8:$ED$86)</f>
        <v>668.12077476232844</v>
      </c>
      <c r="AJ387" s="593">
        <f>SUMPRODUCT('EE Measures'!CK$8:CK$86,'EE Measures'!$IK$8:$IK$86,'EE Measures'!$Y$8:$Y$86)+SUMPRODUCT('EE Measures'!EP$8:EP$86,'EE Measures'!$IK$8:$IK$86,'EE Measures'!$Y$8:$Y$86,'EE Measures'!$ED$8:$ED$86)</f>
        <v>682.2753913782152</v>
      </c>
      <c r="AK387" s="593">
        <f>SUMPRODUCT('EE Measures'!CL$8:CL$86,'EE Measures'!$IK$8:$IK$86,'EE Measures'!$Y$8:$Y$86)+SUMPRODUCT('EE Measures'!EQ$8:EQ$86,'EE Measures'!$IK$8:$IK$86,'EE Measures'!$Y$8:$Y$86,'EE Measures'!$ED$8:$ED$86)</f>
        <v>696.77262319518741</v>
      </c>
      <c r="AL387" s="593">
        <f>SUMPRODUCT('EE Measures'!CM$8:CM$86,'EE Measures'!$IK$8:$IK$86,'EE Measures'!$Y$8:$Y$86)+SUMPRODUCT('EE Measures'!ER$8:ER$86,'EE Measures'!$IK$8:$IK$86,'EE Measures'!$Y$8:$Y$86,'EE Measures'!$ED$8:$ED$86)</f>
        <v>711.62154984104893</v>
      </c>
      <c r="AM387" s="593">
        <f>SUMPRODUCT('EE Measures'!CN$8:CN$86,'EE Measures'!$IK$8:$IK$86,'EE Measures'!$Y$8:$Y$86)+SUMPRODUCT('EE Measures'!ES$8:ES$86,'EE Measures'!$IK$8:$IK$86,'EE Measures'!$Y$8:$Y$86,'EE Measures'!$ED$8:$ED$86)</f>
        <v>726.83469108701138</v>
      </c>
      <c r="AN387" s="865">
        <f>X387/$X$386</f>
        <v>0.39902750175506679</v>
      </c>
    </row>
    <row r="388" spans="3:40" hidden="1" outlineLevel="1" x14ac:dyDescent="0.3">
      <c r="C388" s="587" t="str">
        <f t="shared" ref="C388:C391" si="1447">C387</f>
        <v>CEER1</v>
      </c>
      <c r="E388" s="563" t="s">
        <v>51</v>
      </c>
      <c r="F388" s="592">
        <f t="shared" ref="F388:F391" si="1448">SUM(G388:P388)</f>
        <v>6441.1684513847358</v>
      </c>
      <c r="G388" s="593">
        <f>SUMPRODUCT('EE Measures'!BZ$8:BZ$86,'EE Measures'!$IK$8:$IK$86,'EE Measures'!$O$8:$O$86)+SUMPRODUCT('EE Measures'!EE$8:EE$86,'EE Measures'!$IK$8:$IK$86,'EE Measures'!$O$8:$O$86,'EE Measures'!$ED$8:$ED$86)</f>
        <v>51.031228234059256</v>
      </c>
      <c r="H388" s="593">
        <f>SUMPRODUCT('EE Measures'!CA$8:CA$86,'EE Measures'!$IK$8:$IK$86,'EE Measures'!$O$8:$O$86)+SUMPRODUCT('EE Measures'!EF$8:EF$86,'EE Measures'!$IK$8:$IK$86,'EE Measures'!$O$8:$O$86,'EE Measures'!$ED$8:$ED$86)</f>
        <v>64.756652418271301</v>
      </c>
      <c r="I388" s="593">
        <f>SUMPRODUCT('EE Measures'!CB$8:CB$86,'EE Measures'!$IK$8:$IK$86,'EE Measures'!$O$8:$O$86)+SUMPRODUCT('EE Measures'!EG$8:EG$86,'EE Measures'!$IK$8:$IK$86,'EE Measures'!$O$8:$O$86,'EE Measures'!$ED$8:$ED$86)</f>
        <v>79.671120340566887</v>
      </c>
      <c r="J388" s="593">
        <f>SUMPRODUCT('EE Measures'!CC$8:CC$86,'EE Measures'!$IK$8:$IK$86,'EE Measures'!$O$8:$O$86)+SUMPRODUCT('EE Measures'!EH$8:EH$86,'EE Measures'!$IK$8:$IK$86,'EE Measures'!$O$8:$O$86,'EE Measures'!$ED$8:$ED$86)</f>
        <v>18.81365754617449</v>
      </c>
      <c r="K388" s="593">
        <f>SUMPRODUCT('EE Measures'!CD$8:CD$86,'EE Measures'!$IK$8:$IK$86,'EE Measures'!$O$8:$O$86)+SUMPRODUCT('EE Measures'!EI$8:EI$86,'EE Measures'!$IK$8:$IK$86,'EE Measures'!$O$8:$O$86,'EE Measures'!$ED$8:$ED$86)</f>
        <v>982.77340099548189</v>
      </c>
      <c r="L388" s="593">
        <f>SUMPRODUCT('EE Measures'!CE$8:CE$86,'EE Measures'!$IK$8:$IK$86,'EE Measures'!$O$8:$O$86)+SUMPRODUCT('EE Measures'!EJ$8:EJ$86,'EE Measures'!$IK$8:$IK$86,'EE Measures'!$O$8:$O$86,'EE Measures'!$ED$8:$ED$86)</f>
        <v>1004.1296686280828</v>
      </c>
      <c r="M388" s="593">
        <f>SUMPRODUCT('EE Measures'!CF$8:CF$86,'EE Measures'!$IK$8:$IK$86,'EE Measures'!$O$8:$O$86)+SUMPRODUCT('EE Measures'!EK$8:EK$86,'EE Measures'!$IK$8:$IK$86,'EE Measures'!$O$8:$O$86,'EE Measures'!$ED$8:$ED$86)</f>
        <v>1025.977159003101</v>
      </c>
      <c r="N388" s="593">
        <f>SUMPRODUCT('EE Measures'!CG$8:CG$86,'EE Measures'!$IK$8:$IK$86,'EE Measures'!$O$8:$O$86)+SUMPRODUCT('EE Measures'!EL$8:EL$86,'EE Measures'!$IK$8:$IK$86,'EE Measures'!$O$8:$O$86,'EE Measures'!$ED$8:$ED$86)</f>
        <v>1048.3183623735742</v>
      </c>
      <c r="O388" s="593">
        <f>SUMPRODUCT('EE Measures'!CH$8:CH$86,'EE Measures'!$IK$8:$IK$86,'EE Measures'!$O$8:$O$86)+SUMPRODUCT('EE Measures'!EM$8:EM$86,'EE Measures'!$IK$8:$IK$86,'EE Measures'!$O$8:$O$86,'EE Measures'!$ED$8:$ED$86)</f>
        <v>1071.1656116939782</v>
      </c>
      <c r="P388" s="593">
        <f>SUMPRODUCT('EE Measures'!CI$8:CI$86,'EE Measures'!$IK$8:$IK$86,'EE Measures'!$O$8:$O$86)+SUMPRODUCT('EE Measures'!EN$8:EN$86,'EE Measures'!$IK$8:$IK$86,'EE Measures'!$O$8:$O$86,'EE Measures'!$ED$8:$ED$86)</f>
        <v>1094.531590151445</v>
      </c>
      <c r="Q388" s="593">
        <f>SUMPRODUCT('EE Measures'!CJ$8:CJ$86,'EE Measures'!$IK$8:$IK$86,'EE Measures'!$O$8:$O$86)+SUMPRODUCT('EE Measures'!EO$8:EO$86,'EE Measures'!$IK$8:$IK$86,'EE Measures'!$O$8:$O$86,'EE Measures'!$ED$8:$ED$86)</f>
        <v>1118.4293426817812</v>
      </c>
      <c r="R388" s="593">
        <f>SUMPRODUCT('EE Measures'!CK$8:CK$86,'EE Measures'!$IK$8:$IK$86,'EE Measures'!$O$8:$O$86)+SUMPRODUCT('EE Measures'!EP$8:EP$86,'EE Measures'!$IK$8:$IK$86,'EE Measures'!$O$8:$O$86,'EE Measures'!$ED$8:$ED$86)</f>
        <v>1142.8722879162522</v>
      </c>
      <c r="S388" s="593">
        <f>SUMPRODUCT('EE Measures'!CL$8:CL$86,'EE Measures'!$IK$8:$IK$86,'EE Measures'!$O$8:$O$86)+SUMPRODUCT('EE Measures'!EQ$8:EQ$86,'EE Measures'!$IK$8:$IK$86,'EE Measures'!$O$8:$O$86,'EE Measures'!$ED$8:$ED$86)</f>
        <v>1167.8742305767619</v>
      </c>
      <c r="T388" s="593">
        <f>SUMPRODUCT('EE Measures'!CM$8:CM$86,'EE Measures'!$IK$8:$IK$86,'EE Measures'!$O$8:$O$86)+SUMPRODUCT('EE Measures'!ER$8:ER$86,'EE Measures'!$IK$8:$IK$86,'EE Measures'!$O$8:$O$86,'EE Measures'!$ED$8:$ED$86)</f>
        <v>1193.4493743378196</v>
      </c>
      <c r="U388" s="593">
        <f>SUMPRODUCT('EE Measures'!CN$8:CN$86,'EE Measures'!$IK$8:$IK$86,'EE Measures'!$O$8:$O$86)+SUMPRODUCT('EE Measures'!ES$8:ES$86,'EE Measures'!$IK$8:$IK$86,'EE Measures'!$O$8:$O$86,'EE Measures'!$ED$8:$ED$86)</f>
        <v>1219.6123351744893</v>
      </c>
      <c r="V388" s="898">
        <f t="shared" si="1376"/>
        <v>12087.94702107894</v>
      </c>
      <c r="W388" s="563" t="str">
        <v>Lääne-Eesti</v>
      </c>
      <c r="X388" s="592">
        <f t="shared" ref="X388:X391" si="1449">SUM(Y388:AH388)</f>
        <v>2204.4334109715264</v>
      </c>
      <c r="Y388" s="593">
        <f>SUMPRODUCT('EE Measures'!BZ$8:BZ$86,'EE Measures'!$IK$8:$IK$86,'EE Measures'!$Z$8:$Z$86)+SUMPRODUCT('EE Measures'!EE$8:EE$86,'EE Measures'!$IK$8:$IK$86,'EE Measures'!$Z$8:$Z$86,'EE Measures'!$ED$8:$ED$86)</f>
        <v>78.403024332797742</v>
      </c>
      <c r="Z388" s="593">
        <f>SUMPRODUCT('EE Measures'!CA$8:CA$86,'EE Measures'!$IK$8:$IK$86,'EE Measures'!$Z$8:$Z$86)+SUMPRODUCT('EE Measures'!EF$8:EF$86,'EE Measures'!$IK$8:$IK$86,'EE Measures'!$Z$8:$Z$86,'EE Measures'!$ED$8:$ED$86)</f>
        <v>89.754100834888391</v>
      </c>
      <c r="AA388" s="593">
        <f>SUMPRODUCT('EE Measures'!CB$8:CB$86,'EE Measures'!$IK$8:$IK$86,'EE Measures'!$Z$8:$Z$86)+SUMPRODUCT('EE Measures'!EG$8:EG$86,'EE Measures'!$IK$8:$IK$86,'EE Measures'!$Z$8:$Z$86,'EE Measures'!$ED$8:$ED$86)</f>
        <v>70.999957239893277</v>
      </c>
      <c r="AB388" s="593">
        <f>SUMPRODUCT('EE Measures'!CC$8:CC$86,'EE Measures'!$IK$8:$IK$86,'EE Measures'!$Z$8:$Z$86)+SUMPRODUCT('EE Measures'!EH$8:EH$86,'EE Measures'!$IK$8:$IK$86,'EE Measures'!$Z$8:$Z$86,'EE Measures'!$ED$8:$ED$86)</f>
        <v>225.01355368389943</v>
      </c>
      <c r="AC388" s="593">
        <f>SUMPRODUCT('EE Measures'!CD$8:CD$86,'EE Measures'!$IK$8:$IK$86,'EE Measures'!$Z$8:$Z$86)+SUMPRODUCT('EE Measures'!EI$8:EI$86,'EE Measures'!$IK$8:$IK$86,'EE Measures'!$Z$8:$Z$86,'EE Measures'!$ED$8:$ED$86)</f>
        <v>440.16510704104115</v>
      </c>
      <c r="AD388" s="593">
        <f>SUMPRODUCT('EE Measures'!CE$8:CE$86,'EE Measures'!$IK$8:$IK$86,'EE Measures'!$Z$8:$Z$86)+SUMPRODUCT('EE Measures'!EJ$8:EJ$86,'EE Measures'!$IK$8:$IK$86,'EE Measures'!$Z$8:$Z$86,'EE Measures'!$ED$8:$ED$86)</f>
        <v>326.81626161437867</v>
      </c>
      <c r="AE388" s="593">
        <f>SUMPRODUCT('EE Measures'!CF$8:CF$86,'EE Measures'!$IK$8:$IK$86,'EE Measures'!$Z$8:$Z$86)+SUMPRODUCT('EE Measures'!EK$8:EK$86,'EE Measures'!$IK$8:$IK$86,'EE Measures'!$Z$8:$Z$86,'EE Measures'!$ED$8:$ED$86)</f>
        <v>240.18623131087861</v>
      </c>
      <c r="AF388" s="593">
        <f>SUMPRODUCT('EE Measures'!CG$8:CG$86,'EE Measures'!$IK$8:$IK$86,'EE Measures'!$Z$8:$Z$86)+SUMPRODUCT('EE Measures'!EL$8:EL$86,'EE Measures'!$IK$8:$IK$86,'EE Measures'!$Z$8:$Z$86,'EE Measures'!$ED$8:$ED$86)</f>
        <v>239.20096064700817</v>
      </c>
      <c r="AG388" s="593">
        <f>SUMPRODUCT('EE Measures'!CH$8:CH$86,'EE Measures'!$IK$8:$IK$86,'EE Measures'!$Z$8:$Z$86)+SUMPRODUCT('EE Measures'!EM$8:EM$86,'EE Measures'!$IK$8:$IK$86,'EE Measures'!$Z$8:$Z$86,'EE Measures'!$ED$8:$ED$86)</f>
        <v>244.76823498510231</v>
      </c>
      <c r="AH388" s="593">
        <f>SUMPRODUCT('EE Measures'!CI$8:CI$86,'EE Measures'!$IK$8:$IK$86,'EE Measures'!$Z$8:$Z$86)+SUMPRODUCT('EE Measures'!EN$8:EN$86,'EE Measures'!$IK$8:$IK$86,'EE Measures'!$Z$8:$Z$86,'EE Measures'!$ED$8:$ED$86)</f>
        <v>249.12597928163899</v>
      </c>
      <c r="AI388" s="593">
        <f>SUMPRODUCT('EE Measures'!CJ$8:CJ$86,'EE Measures'!$IK$8:$IK$86,'EE Measures'!$Z$8:$Z$86)+SUMPRODUCT('EE Measures'!EO$8:EO$86,'EE Measures'!$IK$8:$IK$86,'EE Measures'!$Z$8:$Z$86,'EE Measures'!$ED$8:$ED$86)</f>
        <v>252.06420127062262</v>
      </c>
      <c r="AJ388" s="593">
        <f>SUMPRODUCT('EE Measures'!CK$8:CK$86,'EE Measures'!$IK$8:$IK$86,'EE Measures'!$Z$8:$Z$86)+SUMPRODUCT('EE Measures'!EP$8:EP$86,'EE Measures'!$IK$8:$IK$86,'EE Measures'!$Z$8:$Z$86,'EE Measures'!$ED$8:$ED$86)</f>
        <v>257.0379852759728</v>
      </c>
      <c r="AK388" s="593">
        <f>SUMPRODUCT('EE Measures'!CL$8:CL$86,'EE Measures'!$IK$8:$IK$86,'EE Measures'!$Z$8:$Z$86)+SUMPRODUCT('EE Measures'!EQ$8:EQ$86,'EE Measures'!$IK$8:$IK$86,'EE Measures'!$Z$8:$Z$86,'EE Measures'!$ED$8:$ED$86)</f>
        <v>262.12339116779793</v>
      </c>
      <c r="AL388" s="593">
        <f>SUMPRODUCT('EE Measures'!CM$8:CM$86,'EE Measures'!$IK$8:$IK$86,'EE Measures'!$Z$8:$Z$86)+SUMPRODUCT('EE Measures'!ER$8:ER$86,'EE Measures'!$IK$8:$IK$86,'EE Measures'!$Z$8:$Z$86,'EE Measures'!$ED$8:$ED$86)</f>
        <v>267.32310289057347</v>
      </c>
      <c r="AM388" s="593">
        <f>SUMPRODUCT('EE Measures'!CN$8:CN$86,'EE Measures'!$IK$8:$IK$86,'EE Measures'!$Z$8:$Z$86)+SUMPRODUCT('EE Measures'!ES$8:ES$86,'EE Measures'!$IK$8:$IK$86,'EE Measures'!$Z$8:$Z$86,'EE Measures'!$ED$8:$ED$86)</f>
        <v>272.64039307833553</v>
      </c>
      <c r="AN388" s="865">
        <f>X388/$X$386</f>
        <v>0.17696267893619902</v>
      </c>
    </row>
    <row r="389" spans="3:40" hidden="1" outlineLevel="1" x14ac:dyDescent="0.3">
      <c r="C389" s="587" t="str">
        <f t="shared" si="1447"/>
        <v>CEER1</v>
      </c>
      <c r="E389" s="563" t="s">
        <v>52</v>
      </c>
      <c r="F389" s="592">
        <f t="shared" si="1448"/>
        <v>2703.7983627554313</v>
      </c>
      <c r="G389" s="593">
        <f>SUMPRODUCT('EE Measures'!BZ$8:BZ$86,'EE Measures'!$IK$8:$IK$86,'EE Measures'!$P$8:$P$86)+SUMPRODUCT('EE Measures'!EE$8:EE$86,'EE Measures'!$IK$8:$IK$86,'EE Measures'!$P$8:$P$86,'EE Measures'!$ED$8:$ED$86)</f>
        <v>61.751940894257316</v>
      </c>
      <c r="H389" s="593">
        <f>SUMPRODUCT('EE Measures'!CA$8:CA$86,'EE Measures'!$IK$8:$IK$86,'EE Measures'!$P$8:$P$86)+SUMPRODUCT('EE Measures'!EF$8:EF$86,'EE Measures'!$IK$8:$IK$86,'EE Measures'!$P$8:$P$86,'EE Measures'!$ED$8:$ED$86)</f>
        <v>69.4064763057047</v>
      </c>
      <c r="I389" s="593">
        <f>SUMPRODUCT('EE Measures'!CB$8:CB$86,'EE Measures'!$IK$8:$IK$86,'EE Measures'!$P$8:$P$86)+SUMPRODUCT('EE Measures'!EG$8:EG$86,'EE Measures'!$IK$8:$IK$86,'EE Measures'!$P$8:$P$86,'EE Measures'!$ED$8:$ED$86)</f>
        <v>28.498132624761407</v>
      </c>
      <c r="J389" s="593">
        <f>SUMPRODUCT('EE Measures'!CC$8:CC$86,'EE Measures'!$IK$8:$IK$86,'EE Measures'!$P$8:$P$86)+SUMPRODUCT('EE Measures'!EH$8:EH$86,'EE Measures'!$IK$8:$IK$86,'EE Measures'!$P$8:$P$86,'EE Measures'!$ED$8:$ED$86)</f>
        <v>15.868670692219206</v>
      </c>
      <c r="K389" s="593">
        <f>SUMPRODUCT('EE Measures'!CD$8:CD$86,'EE Measures'!$IK$8:$IK$86,'EE Measures'!$P$8:$P$86)+SUMPRODUCT('EE Measures'!EI$8:EI$86,'EE Measures'!$IK$8:$IK$86,'EE Measures'!$P$8:$P$86,'EE Measures'!$ED$8:$ED$86)</f>
        <v>400.54305107423477</v>
      </c>
      <c r="L389" s="593">
        <f>SUMPRODUCT('EE Measures'!CE$8:CE$86,'EE Measures'!$IK$8:$IK$86,'EE Measures'!$P$8:$P$86)+SUMPRODUCT('EE Measures'!EJ$8:EJ$86,'EE Measures'!$IK$8:$IK$86,'EE Measures'!$P$8:$P$86,'EE Measures'!$ED$8:$ED$86)</f>
        <v>408.62114310036054</v>
      </c>
      <c r="M389" s="593">
        <f>SUMPRODUCT('EE Measures'!CF$8:CF$86,'EE Measures'!$IK$8:$IK$86,'EE Measures'!$P$8:$P$86)+SUMPRODUCT('EE Measures'!EK$8:EK$86,'EE Measures'!$IK$8:$IK$86,'EE Measures'!$P$8:$P$86,'EE Measures'!$ED$8:$ED$86)</f>
        <v>416.8885811390553</v>
      </c>
      <c r="N389" s="593">
        <f>SUMPRODUCT('EE Measures'!CG$8:CG$86,'EE Measures'!$IK$8:$IK$86,'EE Measures'!$P$8:$P$86)+SUMPRODUCT('EE Measures'!EL$8:EL$86,'EE Measures'!$IK$8:$IK$86,'EE Measures'!$P$8:$P$86,'EE Measures'!$ED$8:$ED$86)</f>
        <v>425.34853186977546</v>
      </c>
      <c r="O389" s="593">
        <f>SUMPRODUCT('EE Measures'!CH$8:CH$86,'EE Measures'!$IK$8:$IK$86,'EE Measures'!$P$8:$P$86)+SUMPRODUCT('EE Measures'!EM$8:EM$86,'EE Measures'!$IK$8:$IK$86,'EE Measures'!$P$8:$P$86,'EE Measures'!$ED$8:$ED$86)</f>
        <v>434.00594011872636</v>
      </c>
      <c r="P389" s="593">
        <f>SUMPRODUCT('EE Measures'!CI$8:CI$86,'EE Measures'!$IK$8:$IK$86,'EE Measures'!$P$8:$P$86)+SUMPRODUCT('EE Measures'!EN$8:EN$86,'EE Measures'!$IK$8:$IK$86,'EE Measures'!$P$8:$P$86,'EE Measures'!$ED$8:$ED$86)</f>
        <v>442.86589493633619</v>
      </c>
      <c r="Q389" s="593">
        <f>SUMPRODUCT('EE Measures'!CJ$8:CJ$86,'EE Measures'!$IK$8:$IK$86,'EE Measures'!$P$8:$P$86)+SUMPRODUCT('EE Measures'!EO$8:EO$86,'EE Measures'!$IK$8:$IK$86,'EE Measures'!$P$8:$P$86,'EE Measures'!$ED$8:$ED$86)</f>
        <v>451.93363438428037</v>
      </c>
      <c r="R389" s="593">
        <f>SUMPRODUCT('EE Measures'!CK$8:CK$86,'EE Measures'!$IK$8:$IK$86,'EE Measures'!$P$8:$P$86)+SUMPRODUCT('EE Measures'!EP$8:EP$86,'EE Measures'!$IK$8:$IK$86,'EE Measures'!$P$8:$P$86,'EE Measures'!$ED$8:$ED$86)</f>
        <v>461.21455050035831</v>
      </c>
      <c r="S389" s="593">
        <f>SUMPRODUCT('EE Measures'!CL$8:CL$86,'EE Measures'!$IK$8:$IK$86,'EE Measures'!$P$8:$P$86)+SUMPRODUCT('EE Measures'!EQ$8:EQ$86,'EE Measures'!$IK$8:$IK$86,'EE Measures'!$P$8:$P$86,'EE Measures'!$ED$8:$ED$86)</f>
        <v>470.71419444836351</v>
      </c>
      <c r="T389" s="593">
        <f>SUMPRODUCT('EE Measures'!CM$8:CM$86,'EE Measures'!$IK$8:$IK$86,'EE Measures'!$P$8:$P$86)+SUMPRODUCT('EE Measures'!ER$8:ER$86,'EE Measures'!$IK$8:$IK$86,'EE Measures'!$P$8:$P$86,'EE Measures'!$ED$8:$ED$86)</f>
        <v>480.43828186039093</v>
      </c>
      <c r="U389" s="593">
        <f>SUMPRODUCT('EE Measures'!CN$8:CN$86,'EE Measures'!$IK$8:$IK$86,'EE Measures'!$P$8:$P$86)+SUMPRODUCT('EE Measures'!ES$8:ES$86,'EE Measures'!$IK$8:$IK$86,'EE Measures'!$P$8:$P$86,'EE Measures'!$ED$8:$ED$86)</f>
        <v>490.39269837934427</v>
      </c>
      <c r="V389" s="898">
        <f t="shared" si="1376"/>
        <v>4898.8351725034454</v>
      </c>
      <c r="W389" s="563" t="str">
        <v>Kirde-Eesti</v>
      </c>
      <c r="X389" s="592">
        <f t="shared" si="1449"/>
        <v>1109.7517239276913</v>
      </c>
      <c r="Y389" s="593">
        <f>SUMPRODUCT('EE Measures'!BZ$8:BZ$86,'EE Measures'!$IK$8:$IK$86,'EE Measures'!$AA$8:$AA$86)+SUMPRODUCT('EE Measures'!EE$8:EE$86,'EE Measures'!$IK$8:$IK$86,'EE Measures'!$AA$8:$AA$86,'EE Measures'!$ED$8:$ED$86)</f>
        <v>38.142047727846091</v>
      </c>
      <c r="Z389" s="593">
        <f>SUMPRODUCT('EE Measures'!CA$8:CA$86,'EE Measures'!$IK$8:$IK$86,'EE Measures'!$AA$8:$AA$86)+SUMPRODUCT('EE Measures'!EF$8:EF$86,'EE Measures'!$IK$8:$IK$86,'EE Measures'!$AA$8:$AA$86,'EE Measures'!$ED$8:$ED$86)</f>
        <v>16.304162049830975</v>
      </c>
      <c r="AA389" s="593">
        <f>SUMPRODUCT('EE Measures'!CB$8:CB$86,'EE Measures'!$IK$8:$IK$86,'EE Measures'!$AA$8:$AA$86)+SUMPRODUCT('EE Measures'!EG$8:EG$86,'EE Measures'!$IK$8:$IK$86,'EE Measures'!$AA$8:$AA$86,'EE Measures'!$ED$8:$ED$86)</f>
        <v>13.119032001829092</v>
      </c>
      <c r="AB389" s="593">
        <f>SUMPRODUCT('EE Measures'!CC$8:CC$86,'EE Measures'!$IK$8:$IK$86,'EE Measures'!$AA$8:$AA$86)+SUMPRODUCT('EE Measures'!EH$8:EH$86,'EE Measures'!$IK$8:$IK$86,'EE Measures'!$AA$8:$AA$86,'EE Measures'!$ED$8:$ED$86)</f>
        <v>14.349145078609688</v>
      </c>
      <c r="AC389" s="593">
        <f>SUMPRODUCT('EE Measures'!CD$8:CD$86,'EE Measures'!$IK$8:$IK$86,'EE Measures'!$AA$8:$AA$86)+SUMPRODUCT('EE Measures'!EI$8:EI$86,'EE Measures'!$IK$8:$IK$86,'EE Measures'!$AA$8:$AA$86,'EE Measures'!$ED$8:$ED$86)</f>
        <v>165.84904454571816</v>
      </c>
      <c r="AD389" s="593">
        <f>SUMPRODUCT('EE Measures'!CE$8:CE$86,'EE Measures'!$IK$8:$IK$86,'EE Measures'!$AA$8:$AA$86)+SUMPRODUCT('EE Measures'!EJ$8:EJ$86,'EE Measures'!$IK$8:$IK$86,'EE Measures'!$AA$8:$AA$86,'EE Measures'!$ED$8:$ED$86)</f>
        <v>167.88415913984232</v>
      </c>
      <c r="AE389" s="593">
        <f>SUMPRODUCT('EE Measures'!CF$8:CF$86,'EE Measures'!$IK$8:$IK$86,'EE Measures'!$AA$8:$AA$86)+SUMPRODUCT('EE Measures'!EK$8:EK$86,'EE Measures'!$IK$8:$IK$86,'EE Measures'!$AA$8:$AA$86,'EE Measures'!$ED$8:$ED$86)</f>
        <v>172.66001762203427</v>
      </c>
      <c r="AF389" s="593">
        <f>SUMPRODUCT('EE Measures'!CG$8:CG$86,'EE Measures'!$IK$8:$IK$86,'EE Measures'!$AA$8:$AA$86)+SUMPRODUCT('EE Measures'!EL$8:EL$86,'EE Measures'!$IK$8:$IK$86,'EE Measures'!$AA$8:$AA$86,'EE Measures'!$ED$8:$ED$86)</f>
        <v>169.5470676836797</v>
      </c>
      <c r="AG389" s="593">
        <f>SUMPRODUCT('EE Measures'!CH$8:CH$86,'EE Measures'!$IK$8:$IK$86,'EE Measures'!$AA$8:$AA$86)+SUMPRODUCT('EE Measures'!EM$8:EM$86,'EE Measures'!$IK$8:$IK$86,'EE Measures'!$AA$8:$AA$86,'EE Measures'!$ED$8:$ED$86)</f>
        <v>174.22216520940086</v>
      </c>
      <c r="AH389" s="593">
        <f>SUMPRODUCT('EE Measures'!CI$8:CI$86,'EE Measures'!$IK$8:$IK$86,'EE Measures'!$AA$8:$AA$86)+SUMPRODUCT('EE Measures'!EN$8:EN$86,'EE Measures'!$IK$8:$IK$86,'EE Measures'!$AA$8:$AA$86,'EE Measures'!$ED$8:$ED$86)</f>
        <v>177.67488286890014</v>
      </c>
      <c r="AI389" s="593">
        <f>SUMPRODUCT('EE Measures'!CJ$8:CJ$86,'EE Measures'!$IK$8:$IK$86,'EE Measures'!$AA$8:$AA$86)+SUMPRODUCT('EE Measures'!EO$8:EO$86,'EE Measures'!$IK$8:$IK$86,'EE Measures'!$AA$8:$AA$86,'EE Measures'!$ED$8:$ED$86)</f>
        <v>180.102332701622</v>
      </c>
      <c r="AJ389" s="593">
        <f>SUMPRODUCT('EE Measures'!CK$8:CK$86,'EE Measures'!$IK$8:$IK$86,'EE Measures'!$AA$8:$AA$86)+SUMPRODUCT('EE Measures'!EP$8:EP$86,'EE Measures'!$IK$8:$IK$86,'EE Measures'!$AA$8:$AA$86,'EE Measures'!$ED$8:$ED$86)</f>
        <v>183.77095296783318</v>
      </c>
      <c r="AK389" s="593">
        <f>SUMPRODUCT('EE Measures'!CL$8:CL$86,'EE Measures'!$IK$8:$IK$86,'EE Measures'!$AA$8:$AA$86)+SUMPRODUCT('EE Measures'!EQ$8:EQ$86,'EE Measures'!$IK$8:$IK$86,'EE Measures'!$AA$8:$AA$86,'EE Measures'!$ED$8:$ED$86)</f>
        <v>187.52318461246301</v>
      </c>
      <c r="AL389" s="593">
        <f>SUMPRODUCT('EE Measures'!CM$8:CM$86,'EE Measures'!$IK$8:$IK$86,'EE Measures'!$AA$8:$AA$86)+SUMPRODUCT('EE Measures'!ER$8:ER$86,'EE Measures'!$IK$8:$IK$86,'EE Measures'!$AA$8:$AA$86,'EE Measures'!$ED$8:$ED$86)</f>
        <v>191.36108080397173</v>
      </c>
      <c r="AM389" s="593">
        <f>SUMPRODUCT('EE Measures'!CN$8:CN$86,'EE Measures'!$IK$8:$IK$86,'EE Measures'!$AA$8:$AA$86)+SUMPRODUCT('EE Measures'!ES$8:ES$86,'EE Measures'!$IK$8:$IK$86,'EE Measures'!$AA$8:$AA$86,'EE Measures'!$ED$8:$ED$86)</f>
        <v>195.28753585289294</v>
      </c>
      <c r="AN389" s="865">
        <f>X389/$X$386</f>
        <v>8.908621918126336E-2</v>
      </c>
    </row>
    <row r="390" spans="3:40" hidden="1" outlineLevel="1" x14ac:dyDescent="0.3">
      <c r="C390" s="587" t="str">
        <f t="shared" si="1447"/>
        <v>CEER1</v>
      </c>
      <c r="E390" s="563" t="s">
        <v>53</v>
      </c>
      <c r="F390" s="592">
        <f t="shared" si="1448"/>
        <v>2768.78490966042</v>
      </c>
      <c r="G390" s="593">
        <f>SUMPRODUCT('EE Measures'!BZ$8:BZ$86,'EE Measures'!$IK$8:$IK$86,'EE Measures'!$Q$8:$Q$86)+SUMPRODUCT('EE Measures'!EE$8:EE$86,'EE Measures'!$IK$8:$IK$86,'EE Measures'!$Q$8:$Q$86,'EE Measures'!$ED$8:$ED$86)</f>
        <v>286.37816967578669</v>
      </c>
      <c r="H390" s="593">
        <f>SUMPRODUCT('EE Measures'!CA$8:CA$86,'EE Measures'!$IK$8:$IK$86,'EE Measures'!$Q$8:$Q$86)+SUMPRODUCT('EE Measures'!EF$8:EF$86,'EE Measures'!$IK$8:$IK$86,'EE Measures'!$Q$8:$Q$86,'EE Measures'!$ED$8:$ED$86)</f>
        <v>174.69068753782818</v>
      </c>
      <c r="I390" s="593">
        <f>SUMPRODUCT('EE Measures'!CB$8:CB$86,'EE Measures'!$IK$8:$IK$86,'EE Measures'!$Q$8:$Q$86)+SUMPRODUCT('EE Measures'!EG$8:EG$86,'EE Measures'!$IK$8:$IK$86,'EE Measures'!$Q$8:$Q$86,'EE Measures'!$ED$8:$ED$86)</f>
        <v>142.87182513592319</v>
      </c>
      <c r="J390" s="593">
        <f>SUMPRODUCT('EE Measures'!CC$8:CC$86,'EE Measures'!$IK$8:$IK$86,'EE Measures'!$Q$8:$Q$86)+SUMPRODUCT('EE Measures'!EH$8:EH$86,'EE Measures'!$IK$8:$IK$86,'EE Measures'!$Q$8:$Q$86,'EE Measures'!$ED$8:$ED$86)</f>
        <v>492.08281402452621</v>
      </c>
      <c r="K390" s="593">
        <f>SUMPRODUCT('EE Measures'!CD$8:CD$86,'EE Measures'!$IK$8:$IK$86,'EE Measures'!$Q$8:$Q$86)+SUMPRODUCT('EE Measures'!EI$8:EI$86,'EE Measures'!$IK$8:$IK$86,'EE Measures'!$Q$8:$Q$86,'EE Measures'!$ED$8:$ED$86)</f>
        <v>648.03877982510176</v>
      </c>
      <c r="L390" s="593">
        <f>SUMPRODUCT('EE Measures'!CE$8:CE$86,'EE Measures'!$IK$8:$IK$86,'EE Measures'!$Q$8:$Q$86)+SUMPRODUCT('EE Measures'!EJ$8:EJ$86,'EE Measures'!$IK$8:$IK$86,'EE Measures'!$Q$8:$Q$86,'EE Measures'!$ED$8:$ED$86)</f>
        <v>352.02355848332024</v>
      </c>
      <c r="M390" s="593">
        <f>SUMPRODUCT('EE Measures'!CF$8:CF$86,'EE Measures'!$IK$8:$IK$86,'EE Measures'!$Q$8:$Q$86)+SUMPRODUCT('EE Measures'!EK$8:EK$86,'EE Measures'!$IK$8:$IK$86,'EE Measures'!$Q$8:$Q$86,'EE Measures'!$ED$8:$ED$86)</f>
        <v>187.52356618092574</v>
      </c>
      <c r="N390" s="593">
        <f>SUMPRODUCT('EE Measures'!CG$8:CG$86,'EE Measures'!$IK$8:$IK$86,'EE Measures'!$Q$8:$Q$86)+SUMPRODUCT('EE Measures'!EL$8:EL$86,'EE Measures'!$IK$8:$IK$86,'EE Measures'!$Q$8:$Q$86,'EE Measures'!$ED$8:$ED$86)</f>
        <v>160.79245875007473</v>
      </c>
      <c r="O390" s="593">
        <f>SUMPRODUCT('EE Measures'!CH$8:CH$86,'EE Measures'!$IK$8:$IK$86,'EE Measures'!$Q$8:$Q$86)+SUMPRODUCT('EE Measures'!EM$8:EM$86,'EE Measures'!$IK$8:$IK$86,'EE Measures'!$Q$8:$Q$86,'EE Measures'!$ED$8:$ED$86)</f>
        <v>165.14904982806314</v>
      </c>
      <c r="P390" s="593">
        <f>SUMPRODUCT('EE Measures'!CI$8:CI$86,'EE Measures'!$IK$8:$IK$86,'EE Measures'!$Q$8:$Q$86)+SUMPRODUCT('EE Measures'!EN$8:EN$86,'EE Measures'!$IK$8:$IK$86,'EE Measures'!$Q$8:$Q$86,'EE Measures'!$ED$8:$ED$86)</f>
        <v>159.23400021887034</v>
      </c>
      <c r="Q390" s="593">
        <f>SUMPRODUCT('EE Measures'!CJ$8:CJ$86,'EE Measures'!$IK$8:$IK$86,'EE Measures'!$Q$8:$Q$86)+SUMPRODUCT('EE Measures'!EO$8:EO$86,'EE Measures'!$IK$8:$IK$86,'EE Measures'!$Q$8:$Q$86,'EE Measures'!$ED$8:$ED$86)</f>
        <v>140.13895798864215</v>
      </c>
      <c r="R390" s="593">
        <f>SUMPRODUCT('EE Measures'!CK$8:CK$86,'EE Measures'!$IK$8:$IK$86,'EE Measures'!$Q$8:$Q$86)+SUMPRODUCT('EE Measures'!EP$8:EP$86,'EE Measures'!$IK$8:$IK$86,'EE Measures'!$Q$8:$Q$86,'EE Measures'!$ED$8:$ED$86)</f>
        <v>141.5340365594239</v>
      </c>
      <c r="S390" s="593">
        <f>SUMPRODUCT('EE Measures'!CL$8:CL$86,'EE Measures'!$IK$8:$IK$86,'EE Measures'!$Q$8:$Q$86)+SUMPRODUCT('EE Measures'!EQ$8:EQ$86,'EE Measures'!$IK$8:$IK$86,'EE Measures'!$Q$8:$Q$86,'EE Measures'!$ED$8:$ED$86)</f>
        <v>142.9635698323558</v>
      </c>
      <c r="T390" s="593">
        <f>SUMPRODUCT('EE Measures'!CM$8:CM$86,'EE Measures'!$IK$8:$IK$86,'EE Measures'!$Q$8:$Q$86)+SUMPRODUCT('EE Measures'!ER$8:ER$86,'EE Measures'!$IK$8:$IK$86,'EE Measures'!$Q$8:$Q$86,'EE Measures'!$ED$8:$ED$86)</f>
        <v>144.42801926351424</v>
      </c>
      <c r="U390" s="593">
        <f>SUMPRODUCT('EE Measures'!CN$8:CN$86,'EE Measures'!$IK$8:$IK$86,'EE Measures'!$Q$8:$Q$86)+SUMPRODUCT('EE Measures'!ES$8:ES$86,'EE Measures'!$IK$8:$IK$86,'EE Measures'!$Q$8:$Q$86,'EE Measures'!$ED$8:$ED$86)</f>
        <v>145.9278599508271</v>
      </c>
      <c r="V390" s="898">
        <f t="shared" si="1376"/>
        <v>2879.8366709056454</v>
      </c>
      <c r="W390" s="563" t="str">
        <v>Lõuna-Eesti </v>
      </c>
      <c r="X390" s="592">
        <f t="shared" si="1449"/>
        <v>2882.3688483959245</v>
      </c>
      <c r="Y390" s="593">
        <f>SUMPRODUCT('EE Measures'!BZ$8:BZ$86,'EE Measures'!$IK$8:$IK$86,'EE Measures'!$AB$8:$AB$86)+SUMPRODUCT('EE Measures'!EE$8:EE$86,'EE Measures'!$IK$8:$IK$86,'EE Measures'!$AB$8:$AB$86,'EE Measures'!$ED$8:$ED$86)</f>
        <v>82.119613705912727</v>
      </c>
      <c r="Z390" s="593">
        <f>SUMPRODUCT('EE Measures'!CA$8:CA$86,'EE Measures'!$IK$8:$IK$86,'EE Measures'!$AB$8:$AB$86)+SUMPRODUCT('EE Measures'!EF$8:EF$86,'EE Measures'!$IK$8:$IK$86,'EE Measures'!$AB$8:$AB$86,'EE Measures'!$ED$8:$ED$86)</f>
        <v>41.338934254963206</v>
      </c>
      <c r="AA390" s="593">
        <f>SUMPRODUCT('EE Measures'!CB$8:CB$86,'EE Measures'!$IK$8:$IK$86,'EE Measures'!$AB$8:$AB$86)+SUMPRODUCT('EE Measures'!EG$8:EG$86,'EE Measures'!$IK$8:$IK$86,'EE Measures'!$AB$8:$AB$86,'EE Measures'!$ED$8:$ED$86)</f>
        <v>42.599703924383235</v>
      </c>
      <c r="AB390" s="593">
        <f>SUMPRODUCT('EE Measures'!CC$8:CC$86,'EE Measures'!$IK$8:$IK$86,'EE Measures'!$AB$8:$AB$86)+SUMPRODUCT('EE Measures'!EH$8:EH$86,'EE Measures'!$IK$8:$IK$86,'EE Measures'!$AB$8:$AB$86,'EE Measures'!$ED$8:$ED$86)</f>
        <v>34.161811909885046</v>
      </c>
      <c r="AC390" s="593">
        <f>SUMPRODUCT('EE Measures'!CD$8:CD$86,'EE Measures'!$IK$8:$IK$86,'EE Measures'!$AB$8:$AB$86)+SUMPRODUCT('EE Measures'!EI$8:EI$86,'EE Measures'!$IK$8:$IK$86,'EE Measures'!$AB$8:$AB$86,'EE Measures'!$ED$8:$ED$86)</f>
        <v>429.93251445847284</v>
      </c>
      <c r="AD390" s="593">
        <f>SUMPRODUCT('EE Measures'!CE$8:CE$86,'EE Measures'!$IK$8:$IK$86,'EE Measures'!$AB$8:$AB$86)+SUMPRODUCT('EE Measures'!EJ$8:EJ$86,'EE Measures'!$IK$8:$IK$86,'EE Measures'!$AB$8:$AB$86,'EE Measures'!$ED$8:$ED$86)</f>
        <v>435.63991865426391</v>
      </c>
      <c r="AE390" s="593">
        <f>SUMPRODUCT('EE Measures'!CF$8:CF$86,'EE Measures'!$IK$8:$IK$86,'EE Measures'!$AB$8:$AB$86)+SUMPRODUCT('EE Measures'!EK$8:EK$86,'EE Measures'!$IK$8:$IK$86,'EE Measures'!$AB$8:$AB$86,'EE Measures'!$ED$8:$ED$86)</f>
        <v>449.25142077429871</v>
      </c>
      <c r="AF390" s="593">
        <f>SUMPRODUCT('EE Measures'!CG$8:CG$86,'EE Measures'!$IK$8:$IK$86,'EE Measures'!$AB$8:$AB$86)+SUMPRODUCT('EE Measures'!EL$8:EL$86,'EE Measures'!$IK$8:$IK$86,'EE Measures'!$AB$8:$AB$86,'EE Measures'!$ED$8:$ED$86)</f>
        <v>445.59770021945326</v>
      </c>
      <c r="AG390" s="593">
        <f>SUMPRODUCT('EE Measures'!CH$8:CH$86,'EE Measures'!$IK$8:$IK$86,'EE Measures'!$AB$8:$AB$86)+SUMPRODUCT('EE Measures'!EM$8:EM$86,'EE Measures'!$IK$8:$IK$86,'EE Measures'!$AB$8:$AB$86,'EE Measures'!$ED$8:$ED$86)</f>
        <v>456.667683027137</v>
      </c>
      <c r="AH390" s="593">
        <f>SUMPRODUCT('EE Measures'!CI$8:CI$86,'EE Measures'!$IK$8:$IK$86,'EE Measures'!$AB$8:$AB$86)+SUMPRODUCT('EE Measures'!EN$8:EN$86,'EE Measures'!$IK$8:$IK$86,'EE Measures'!$AB$8:$AB$86,'EE Measures'!$ED$8:$ED$86)</f>
        <v>465.0595474671544</v>
      </c>
      <c r="AI390" s="593">
        <f>SUMPRODUCT('EE Measures'!CJ$8:CJ$86,'EE Measures'!$IK$8:$IK$86,'EE Measures'!$AB$8:$AB$86)+SUMPRODUCT('EE Measures'!EO$8:EO$86,'EE Measures'!$IK$8:$IK$86,'EE Measures'!$AB$8:$AB$86,'EE Measures'!$ED$8:$ED$86)</f>
        <v>470.19888714886014</v>
      </c>
      <c r="AJ390" s="593">
        <f>SUMPRODUCT('EE Measures'!CK$8:CK$86,'EE Measures'!$IK$8:$IK$86,'EE Measures'!$AB$8:$AB$86)+SUMPRODUCT('EE Measures'!EP$8:EP$86,'EE Measures'!$IK$8:$IK$86,'EE Measures'!$AB$8:$AB$86,'EE Measures'!$ED$8:$ED$86)</f>
        <v>479.76618382730487</v>
      </c>
      <c r="AK390" s="593">
        <f>SUMPRODUCT('EE Measures'!CL$8:CL$86,'EE Measures'!$IK$8:$IK$86,'EE Measures'!$AB$8:$AB$86)+SUMPRODUCT('EE Measures'!EQ$8:EQ$86,'EE Measures'!$IK$8:$IK$86,'EE Measures'!$AB$8:$AB$86,'EE Measures'!$ED$8:$ED$86)</f>
        <v>489.55427750032004</v>
      </c>
      <c r="AL390" s="593">
        <f>SUMPRODUCT('EE Measures'!CM$8:CM$86,'EE Measures'!$IK$8:$IK$86,'EE Measures'!$AB$8:$AB$86)+SUMPRODUCT('EE Measures'!ER$8:ER$86,'EE Measures'!$IK$8:$IK$86,'EE Measures'!$AB$8:$AB$86,'EE Measures'!$ED$8:$ED$86)</f>
        <v>499.56868804553562</v>
      </c>
      <c r="AM390" s="593">
        <f>SUMPRODUCT('EE Measures'!CN$8:CN$86,'EE Measures'!$IK$8:$IK$86,'EE Measures'!$AB$8:$AB$86)+SUMPRODUCT('EE Measures'!ES$8:ES$86,'EE Measures'!$IK$8:$IK$86,'EE Measures'!$AB$8:$AB$86,'EE Measures'!$ED$8:$ED$86)</f>
        <v>509.81629954662492</v>
      </c>
      <c r="AN390" s="865">
        <f>X390/$X$386</f>
        <v>0.2313844956966033</v>
      </c>
    </row>
    <row r="391" spans="3:40" hidden="1" outlineLevel="1" x14ac:dyDescent="0.3">
      <c r="C391" s="587" t="str">
        <f t="shared" si="1447"/>
        <v>CEER1</v>
      </c>
      <c r="E391" s="563" t="s">
        <v>54</v>
      </c>
      <c r="F391" s="592">
        <f t="shared" si="1448"/>
        <v>57.084871975960553</v>
      </c>
      <c r="G391" s="593">
        <f>SUMPRODUCT('EE Measures'!BZ$8:BZ$86,'EE Measures'!$IK$8:$IK$86,'EE Measures'!$R$8:$R$86)+SUMPRODUCT('EE Measures'!EE$8:EE$86,'EE Measures'!$IK$8:$IK$86,'EE Measures'!$R$8:$R$86,'EE Measures'!$ED$8:$ED$86)</f>
        <v>0.19824537138156786</v>
      </c>
      <c r="H391" s="593">
        <f>SUMPRODUCT('EE Measures'!CA$8:CA$86,'EE Measures'!$IK$8:$IK$86,'EE Measures'!$R$8:$R$86)+SUMPRODUCT('EE Measures'!EF$8:EF$86,'EE Measures'!$IK$8:$IK$86,'EE Measures'!$R$8:$R$86,'EE Measures'!$ED$8:$ED$86)</f>
        <v>0.22216844741811145</v>
      </c>
      <c r="I391" s="593">
        <f>SUMPRODUCT('EE Measures'!CB$8:CB$86,'EE Measures'!$IK$8:$IK$86,'EE Measures'!$R$8:$R$86)+SUMPRODUCT('EE Measures'!EG$8:EG$86,'EE Measures'!$IK$8:$IK$86,'EE Measures'!$R$8:$R$86,'EE Measures'!$ED$8:$ED$86)</f>
        <v>0.24739223196539509</v>
      </c>
      <c r="J391" s="593">
        <f>SUMPRODUCT('EE Measures'!CC$8:CC$86,'EE Measures'!$IK$8:$IK$86,'EE Measures'!$R$8:$R$86)+SUMPRODUCT('EE Measures'!EH$8:EH$86,'EE Measures'!$IK$8:$IK$86,'EE Measures'!$R$8:$R$86,'EE Measures'!$ED$8:$ED$86)</f>
        <v>4.4688409949200949</v>
      </c>
      <c r="K391" s="593">
        <f>SUMPRODUCT('EE Measures'!CD$8:CD$86,'EE Measures'!$IK$8:$IK$86,'EE Measures'!$R$8:$R$86)+SUMPRODUCT('EE Measures'!EI$8:EI$86,'EE Measures'!$IK$8:$IK$86,'EE Measures'!$R$8:$R$86,'EE Measures'!$ED$8:$ED$86)</f>
        <v>6.613146358568093</v>
      </c>
      <c r="L391" s="593">
        <f>SUMPRODUCT('EE Measures'!CE$8:CE$86,'EE Measures'!$IK$8:$IK$86,'EE Measures'!$R$8:$R$86)+SUMPRODUCT('EE Measures'!EJ$8:EJ$86,'EE Measures'!$IK$8:$IK$86,'EE Measures'!$R$8:$R$86,'EE Measures'!$ED$8:$ED$86)</f>
        <v>6.6884502401727692</v>
      </c>
      <c r="M391" s="593">
        <f>SUMPRODUCT('EE Measures'!CF$8:CF$86,'EE Measures'!$IK$8:$IK$86,'EE Measures'!$R$8:$R$86)+SUMPRODUCT('EE Measures'!EK$8:EK$86,'EE Measures'!$IK$8:$IK$86,'EE Measures'!$R$8:$R$86,'EE Measures'!$ED$8:$ED$86)</f>
        <v>9.5326171661078121</v>
      </c>
      <c r="N391" s="593">
        <f>SUMPRODUCT('EE Measures'!CG$8:CG$86,'EE Measures'!$IK$8:$IK$86,'EE Measures'!$R$8:$R$86)+SUMPRODUCT('EE Measures'!EL$8:EL$86,'EE Measures'!$IK$8:$IK$86,'EE Measures'!$R$8:$R$86,'EE Measures'!$ED$8:$ED$86)</f>
        <v>9.6165746127363079</v>
      </c>
      <c r="O391" s="593">
        <f>SUMPRODUCT('EE Measures'!CH$8:CH$86,'EE Measures'!$IK$8:$IK$86,'EE Measures'!$R$8:$R$86)+SUMPRODUCT('EE Measures'!EM$8:EM$86,'EE Measures'!$IK$8:$IK$86,'EE Measures'!$R$8:$R$86,'EE Measures'!$ED$8:$ED$86)</f>
        <v>9.7036184945977091</v>
      </c>
      <c r="P391" s="593">
        <f>SUMPRODUCT('EE Measures'!CI$8:CI$86,'EE Measures'!$IK$8:$IK$86,'EE Measures'!$R$8:$R$86)+SUMPRODUCT('EE Measures'!EN$8:EN$86,'EE Measures'!$IK$8:$IK$86,'EE Measures'!$R$8:$R$86,'EE Measures'!$ED$8:$ED$86)</f>
        <v>9.7938180580926968</v>
      </c>
      <c r="Q391" s="593">
        <f>SUMPRODUCT('EE Measures'!CJ$8:CJ$86,'EE Measures'!$IK$8:$IK$86,'EE Measures'!$R$8:$R$86)+SUMPRODUCT('EE Measures'!EO$8:EO$86,'EE Measures'!$IK$8:$IK$86,'EE Measures'!$R$8:$R$86,'EE Measures'!$ED$8:$ED$86)</f>
        <v>7.1216685945425162</v>
      </c>
      <c r="R391" s="593">
        <f>SUMPRODUCT('EE Measures'!CK$8:CK$86,'EE Measures'!$IK$8:$IK$86,'EE Measures'!$R$8:$R$86)+SUMPRODUCT('EE Measures'!EP$8:EP$86,'EE Measures'!$IK$8:$IK$86,'EE Measures'!$R$8:$R$86,'EE Measures'!$ED$8:$ED$86)</f>
        <v>7.2183990603443124</v>
      </c>
      <c r="S391" s="593">
        <f>SUMPRODUCT('EE Measures'!CL$8:CL$86,'EE Measures'!$IK$8:$IK$86,'EE Measures'!$R$8:$R$86)+SUMPRODUCT('EE Measures'!EQ$8:EQ$86,'EE Measures'!$IK$8:$IK$86,'EE Measures'!$R$8:$R$86,'EE Measures'!$ED$8:$ED$86)</f>
        <v>7.3185108983627574</v>
      </c>
      <c r="T391" s="593">
        <f>SUMPRODUCT('EE Measures'!CM$8:CM$86,'EE Measures'!$IK$8:$IK$86,'EE Measures'!$R$8:$R$86)+SUMPRODUCT('EE Measures'!ER$8:ER$86,'EE Measures'!$IK$8:$IK$86,'EE Measures'!$R$8:$R$86,'EE Measures'!$ED$8:$ED$86)</f>
        <v>7.4220856664942518</v>
      </c>
      <c r="U391" s="593">
        <f>SUMPRODUCT('EE Measures'!CN$8:CN$86,'EE Measures'!$IK$8:$IK$86,'EE Measures'!$R$8:$R$86)+SUMPRODUCT('EE Measures'!ES$8:ES$86,'EE Measures'!$IK$8:$IK$86,'EE Measures'!$R$8:$R$86,'EE Measures'!$ED$8:$ED$86)</f>
        <v>7.5292082692412787</v>
      </c>
      <c r="V391" s="898">
        <f t="shared" si="1376"/>
        <v>93.026938414180606</v>
      </c>
      <c r="W391" s="563" t="str">
        <v>Kesk-Eesti</v>
      </c>
      <c r="X391" s="592">
        <f t="shared" si="1449"/>
        <v>1289.7920766206562</v>
      </c>
      <c r="Y391" s="593">
        <f>SUMPRODUCT('EE Measures'!BZ$8:BZ$86,'EE Measures'!$IK$8:$IK$86,'EE Measures'!$AC$8:$AC$86)+SUMPRODUCT('EE Measures'!EE$8:EE$86,'EE Measures'!$IK$8:$IK$86,'EE Measures'!$AC$8:$AC$86,'EE Measures'!$ED$8:$ED$86)</f>
        <v>32.940010543379714</v>
      </c>
      <c r="Z391" s="593">
        <f>SUMPRODUCT('EE Measures'!CA$8:CA$86,'EE Measures'!$IK$8:$IK$86,'EE Measures'!$AC$8:$AC$86)+SUMPRODUCT('EE Measures'!EF$8:EF$86,'EE Measures'!$IK$8:$IK$86,'EE Measures'!$AC$8:$AC$86,'EE Measures'!$ED$8:$ED$86)</f>
        <v>17.271964026346691</v>
      </c>
      <c r="AA391" s="593">
        <f>SUMPRODUCT('EE Measures'!CB$8:CB$86,'EE Measures'!$IK$8:$IK$86,'EE Measures'!$AC$8:$AC$86)+SUMPRODUCT('EE Measures'!EG$8:EG$86,'EE Measures'!$IK$8:$IK$86,'EE Measures'!$AC$8:$AC$86,'EE Measures'!$ED$8:$ED$86)</f>
        <v>18.439168386081569</v>
      </c>
      <c r="AB391" s="593">
        <f>SUMPRODUCT('EE Measures'!CC$8:CC$86,'EE Measures'!$IK$8:$IK$86,'EE Measures'!$AC$8:$AC$86)+SUMPRODUCT('EE Measures'!EH$8:EH$86,'EE Measures'!$IK$8:$IK$86,'EE Measures'!$AC$8:$AC$86,'EE Measures'!$ED$8:$ED$86)</f>
        <v>14.096674181462163</v>
      </c>
      <c r="AC391" s="593">
        <f>SUMPRODUCT('EE Measures'!CD$8:CD$86,'EE Measures'!$IK$8:$IK$86,'EE Measures'!$AC$8:$AC$86)+SUMPRODUCT('EE Measures'!EI$8:EI$86,'EE Measures'!$IK$8:$IK$86,'EE Measures'!$AC$8:$AC$86,'EE Measures'!$ED$8:$ED$86)</f>
        <v>193.30877110106039</v>
      </c>
      <c r="AD391" s="593">
        <f>SUMPRODUCT('EE Measures'!CE$8:CE$86,'EE Measures'!$IK$8:$IK$86,'EE Measures'!$AC$8:$AC$86)+SUMPRODUCT('EE Measures'!EJ$8:EJ$86,'EE Measures'!$IK$8:$IK$86,'EE Measures'!$AC$8:$AC$86,'EE Measures'!$ED$8:$ED$86)</f>
        <v>195.97499137172261</v>
      </c>
      <c r="AE391" s="593">
        <f>SUMPRODUCT('EE Measures'!CF$8:CF$86,'EE Measures'!$IK$8:$IK$86,'EE Measures'!$AC$8:$AC$86)+SUMPRODUCT('EE Measures'!EK$8:EK$86,'EE Measures'!$IK$8:$IK$86,'EE Measures'!$AC$8:$AC$86,'EE Measures'!$ED$8:$ED$86)</f>
        <v>201.95142662866468</v>
      </c>
      <c r="AF391" s="593">
        <f>SUMPRODUCT('EE Measures'!CG$8:CG$86,'EE Measures'!$IK$8:$IK$86,'EE Measures'!$AC$8:$AC$86)+SUMPRODUCT('EE Measures'!EL$8:EL$86,'EE Measures'!$IK$8:$IK$86,'EE Measures'!$AC$8:$AC$86,'EE Measures'!$ED$8:$ED$86)</f>
        <v>200.7529122717589</v>
      </c>
      <c r="AG391" s="593">
        <f>SUMPRODUCT('EE Measures'!CH$8:CH$86,'EE Measures'!$IK$8:$IK$86,'EE Measures'!$AC$8:$AC$86)+SUMPRODUCT('EE Measures'!EM$8:EM$86,'EE Measures'!$IK$8:$IK$86,'EE Measures'!$AC$8:$AC$86,'EE Measures'!$ED$8:$ED$86)</f>
        <v>205.61667407685184</v>
      </c>
      <c r="AH391" s="593">
        <f>SUMPRODUCT('EE Measures'!CI$8:CI$86,'EE Measures'!$IK$8:$IK$86,'EE Measures'!$AC$8:$AC$86)+SUMPRODUCT('EE Measures'!EN$8:EN$86,'EE Measures'!$IK$8:$IK$86,'EE Measures'!$AC$8:$AC$86,'EE Measures'!$ED$8:$ED$86)</f>
        <v>209.43948403332786</v>
      </c>
      <c r="AI391" s="593">
        <f>SUMPRODUCT('EE Measures'!CJ$8:CJ$86,'EE Measures'!$IK$8:$IK$86,'EE Measures'!$AC$8:$AC$86)+SUMPRODUCT('EE Measures'!EO$8:EO$86,'EE Measures'!$IK$8:$IK$86,'EE Measures'!$AC$8:$AC$86,'EE Measures'!$ED$8:$ED$86)</f>
        <v>212.04830459689475</v>
      </c>
      <c r="AJ391" s="593">
        <f>SUMPRODUCT('EE Measures'!CK$8:CK$86,'EE Measures'!$IK$8:$IK$86,'EE Measures'!$AC$8:$AC$86)+SUMPRODUCT('EE Measures'!EP$8:EP$86,'EE Measures'!$IK$8:$IK$86,'EE Measures'!$AC$8:$AC$86,'EE Measures'!$ED$8:$ED$86)</f>
        <v>216.32951146584674</v>
      </c>
      <c r="AK391" s="593">
        <f>SUMPRODUCT('EE Measures'!CL$8:CL$86,'EE Measures'!$IK$8:$IK$86,'EE Measures'!$AC$8:$AC$86)+SUMPRODUCT('EE Measures'!EQ$8:EQ$86,'EE Measures'!$IK$8:$IK$86,'EE Measures'!$AC$8:$AC$86,'EE Measures'!$ED$8:$ED$86)</f>
        <v>220.7085883864101</v>
      </c>
      <c r="AL391" s="593">
        <f>SUMPRODUCT('EE Measures'!CM$8:CM$86,'EE Measures'!$IK$8:$IK$86,'EE Measures'!$AC$8:$AC$86)+SUMPRODUCT('EE Measures'!ER$8:ER$86,'EE Measures'!$IK$8:$IK$86,'EE Measures'!$AC$8:$AC$86,'EE Measures'!$ED$8:$ED$86)</f>
        <v>225.18795296604577</v>
      </c>
      <c r="AM391" s="593">
        <f>SUMPRODUCT('EE Measures'!CN$8:CN$86,'EE Measures'!$IK$8:$IK$86,'EE Measures'!$AC$8:$AC$86)+SUMPRODUCT('EE Measures'!ES$8:ES$86,'EE Measures'!$IK$8:$IK$86,'EE Measures'!$AC$8:$AC$86,'EE Measures'!$ED$8:$ED$86)</f>
        <v>229.770620667494</v>
      </c>
      <c r="AN391" s="865">
        <f>X391/$X$386</f>
        <v>0.10353910443086761</v>
      </c>
    </row>
    <row r="392" spans="3:40" hidden="1" outlineLevel="1" x14ac:dyDescent="0.3">
      <c r="C392" s="587" t="str">
        <f>E392</f>
        <v>CEER2</v>
      </c>
      <c r="E392" s="555" t="str">
        <f>'EE Measures'!$IL$6</f>
        <v>CEER2</v>
      </c>
      <c r="F392" s="590">
        <f>SUM(G392:P392)</f>
        <v>17281.089033042328</v>
      </c>
      <c r="G392" s="591">
        <f>SUM(G393:G397)</f>
        <v>450.06529889324349</v>
      </c>
      <c r="H392" s="591">
        <f>SUM(H393:H397)</f>
        <v>313.48832551976022</v>
      </c>
      <c r="I392" s="591">
        <f t="shared" ref="I392:P392" si="1450">SUM(I393:I397)</f>
        <v>253.41921977162505</v>
      </c>
      <c r="J392" s="591">
        <f t="shared" si="1450"/>
        <v>568.7548701618108</v>
      </c>
      <c r="K392" s="591">
        <f t="shared" si="1450"/>
        <v>2879.6544459092902</v>
      </c>
      <c r="L392" s="591">
        <f t="shared" si="1450"/>
        <v>2625.2475363119552</v>
      </c>
      <c r="M392" s="591">
        <f t="shared" si="1450"/>
        <v>2504.7138817603659</v>
      </c>
      <c r="N392" s="591">
        <f t="shared" si="1450"/>
        <v>2500.441038960143</v>
      </c>
      <c r="O392" s="591">
        <f t="shared" si="1450"/>
        <v>2566.1548111600828</v>
      </c>
      <c r="P392" s="591">
        <f t="shared" si="1450"/>
        <v>2619.1496045940503</v>
      </c>
      <c r="Q392" s="591">
        <f t="shared" ref="Q392:U392" si="1451">SUM(Q393:Q397)</f>
        <v>2634.8236093568471</v>
      </c>
      <c r="R392" s="591">
        <f t="shared" si="1451"/>
        <v>2686.3216738930651</v>
      </c>
      <c r="S392" s="591">
        <f t="shared" si="1451"/>
        <v>2738.971326542598</v>
      </c>
      <c r="T392" s="591">
        <f t="shared" si="1451"/>
        <v>2792.8001611645204</v>
      </c>
      <c r="U392" s="591">
        <f t="shared" si="1451"/>
        <v>2847.8458113858051</v>
      </c>
      <c r="V392" s="898">
        <f t="shared" si="1376"/>
        <v>29964.878771200529</v>
      </c>
      <c r="W392" s="555" t="str">
        <f>'EE Measures'!$IL$6</f>
        <v>CEER2</v>
      </c>
      <c r="X392" s="590">
        <f>SUM(Y392:AH392)</f>
        <v>17280.070533042326</v>
      </c>
      <c r="Y392" s="591">
        <f t="shared" ref="Y392:Z392" si="1452">SUM(Y393:Y397)</f>
        <v>450.06529889324349</v>
      </c>
      <c r="Z392" s="591">
        <f t="shared" si="1452"/>
        <v>313.48832551976022</v>
      </c>
      <c r="AA392" s="591">
        <f t="shared" ref="AA392" si="1453">SUM(AA393:AA397)</f>
        <v>253.41921977162508</v>
      </c>
      <c r="AB392" s="591">
        <f t="shared" ref="AB392" si="1454">SUM(AB393:AB397)</f>
        <v>568.7548701618108</v>
      </c>
      <c r="AC392" s="591">
        <f t="shared" ref="AC392" si="1455">SUM(AC393:AC397)</f>
        <v>2879.4846959092902</v>
      </c>
      <c r="AD392" s="591">
        <f t="shared" ref="AD392" si="1456">SUM(AD393:AD397)</f>
        <v>2625.0777863119552</v>
      </c>
      <c r="AE392" s="591">
        <f t="shared" ref="AE392" si="1457">SUM(AE393:AE397)</f>
        <v>2504.5441317603659</v>
      </c>
      <c r="AF392" s="591">
        <f t="shared" ref="AF392" si="1458">SUM(AF393:AF397)</f>
        <v>2500.271288960143</v>
      </c>
      <c r="AG392" s="591">
        <f t="shared" ref="AG392" si="1459">SUM(AG393:AG397)</f>
        <v>2565.9850611600823</v>
      </c>
      <c r="AH392" s="591">
        <f t="shared" ref="AH392:AM392" si="1460">SUM(AH393:AH397)</f>
        <v>2618.9798545940503</v>
      </c>
      <c r="AI392" s="591">
        <f t="shared" si="1460"/>
        <v>2634.6538593568466</v>
      </c>
      <c r="AJ392" s="591">
        <f t="shared" si="1460"/>
        <v>2686.151923893065</v>
      </c>
      <c r="AK392" s="591">
        <f t="shared" si="1460"/>
        <v>2738.8015765425976</v>
      </c>
      <c r="AL392" s="591">
        <f t="shared" si="1460"/>
        <v>2792.63041116452</v>
      </c>
      <c r="AM392" s="591">
        <f t="shared" si="1460"/>
        <v>2847.6760613858055</v>
      </c>
    </row>
    <row r="393" spans="3:40" hidden="1" outlineLevel="1" x14ac:dyDescent="0.3">
      <c r="C393" s="587" t="str">
        <f>C392</f>
        <v>CEER2</v>
      </c>
      <c r="E393" s="563" t="s">
        <v>50</v>
      </c>
      <c r="F393" s="592">
        <f>SUM(G393:P393)</f>
        <v>574.86952964338548</v>
      </c>
      <c r="G393" s="593">
        <f>SUMPRODUCT('EE Measures'!BZ$8:BZ$86,'EE Measures'!$IL$8:$IL$86,'EE Measures'!$N$8:$N$86)+SUMPRODUCT('EE Measures'!EE$8:EE$86,'EE Measures'!$IL$8:$IL$86,'EE Measures'!$N$8:$N$86,'EE Measures'!$ED$8:$ED$86)</f>
        <v>50.705714717758653</v>
      </c>
      <c r="H393" s="593">
        <f>SUMPRODUCT('EE Measures'!CA$8:CA$86,'EE Measures'!$IL$8:$IL$86,'EE Measures'!$N$8:$N$86)+SUMPRODUCT('EE Measures'!EF$8:EF$86,'EE Measures'!$IL$8:$IL$86,'EE Measures'!$N$8:$N$86,'EE Measures'!$ED$8:$ED$86)</f>
        <v>4.4123408105379829</v>
      </c>
      <c r="I393" s="593">
        <f>SUMPRODUCT('EE Measures'!CB$8:CB$86,'EE Measures'!$IL$8:$IL$86,'EE Measures'!$N$8:$N$86)+SUMPRODUCT('EE Measures'!EG$8:EG$86,'EE Measures'!$IL$8:$IL$86,'EE Measures'!$N$8:$N$86,'EE Measures'!$ED$8:$ED$86)</f>
        <v>2.1307494384081855</v>
      </c>
      <c r="J393" s="593">
        <f>SUMPRODUCT('EE Measures'!CC$8:CC$86,'EE Measures'!$IL$8:$IL$86,'EE Measures'!$N$8:$N$86)+SUMPRODUCT('EE Measures'!EH$8:EH$86,'EE Measures'!$IL$8:$IL$86,'EE Measures'!$N$8:$N$86,'EE Measures'!$ED$8:$ED$86)</f>
        <v>37.520886903970776</v>
      </c>
      <c r="K393" s="593">
        <f>SUMPRODUCT('EE Measures'!CD$8:CD$86,'EE Measures'!$IL$8:$IL$86,'EE Measures'!$N$8:$N$86)+SUMPRODUCT('EE Measures'!EI$8:EI$86,'EE Measures'!$IL$8:$IL$86,'EE Measures'!$N$8:$N$86,'EE Measures'!$ED$8:$ED$86)</f>
        <v>89.841808571108288</v>
      </c>
      <c r="L393" s="593">
        <f>SUMPRODUCT('EE Measures'!CE$8:CE$86,'EE Measures'!$IL$8:$IL$86,'EE Measures'!$N$8:$N$86)+SUMPRODUCT('EE Measures'!EJ$8:EJ$86,'EE Measures'!$IL$8:$IL$86,'EE Measures'!$N$8:$N$86,'EE Measures'!$ED$8:$ED$86)</f>
        <v>87.336888763527696</v>
      </c>
      <c r="M393" s="593">
        <f>SUMPRODUCT('EE Measures'!CF$8:CF$86,'EE Measures'!$IL$8:$IL$86,'EE Measures'!$N$8:$N$86)+SUMPRODUCT('EE Measures'!EK$8:EK$86,'EE Measures'!$IL$8:$IL$86,'EE Measures'!$N$8:$N$86,'EE Measures'!$ED$8:$ED$86)</f>
        <v>83.481291802755194</v>
      </c>
      <c r="N393" s="593">
        <f>SUMPRODUCT('EE Measures'!CG$8:CG$86,'EE Measures'!$IL$8:$IL$86,'EE Measures'!$N$8:$N$86)+SUMPRODUCT('EE Measures'!EL$8:EL$86,'EE Measures'!$IL$8:$IL$86,'EE Measures'!$N$8:$N$86,'EE Measures'!$ED$8:$ED$86)</f>
        <v>59.927148726193153</v>
      </c>
      <c r="O393" s="593">
        <f>SUMPRODUCT('EE Measures'!CH$8:CH$86,'EE Measures'!$IL$8:$IL$86,'EE Measures'!$N$8:$N$86)+SUMPRODUCT('EE Measures'!EM$8:EM$86,'EE Measures'!$IL$8:$IL$86,'EE Measures'!$N$8:$N$86,'EE Measures'!$ED$8:$ED$86)</f>
        <v>74.295586314371548</v>
      </c>
      <c r="P393" s="593">
        <f>SUMPRODUCT('EE Measures'!CI$8:CI$86,'EE Measures'!$IL$8:$IL$86,'EE Measures'!$N$8:$N$86)+SUMPRODUCT('EE Measures'!EN$8:EN$86,'EE Measures'!$IL$8:$IL$86,'EE Measures'!$N$8:$N$86,'EE Measures'!$ED$8:$ED$86)</f>
        <v>85.217113594754025</v>
      </c>
      <c r="Q393" s="593">
        <f>SUMPRODUCT('EE Measures'!CJ$8:CJ$86,'EE Measures'!$IL$8:$IL$86,'EE Measures'!$N$8:$N$86)+SUMPRODUCT('EE Measures'!EO$8:EO$86,'EE Measures'!$IL$8:$IL$86,'EE Measures'!$N$8:$N$86,'EE Measures'!$ED$8:$ED$86)</f>
        <v>86.859991490357459</v>
      </c>
      <c r="R393" s="593">
        <f>SUMPRODUCT('EE Measures'!CK$8:CK$86,'EE Measures'!$IL$8:$IL$86,'EE Measures'!$N$8:$N$86)+SUMPRODUCT('EE Measures'!EP$8:EP$86,'EE Measures'!$IL$8:$IL$86,'EE Measures'!$N$8:$N$86,'EE Measures'!$ED$8:$ED$86)</f>
        <v>88.543302525098483</v>
      </c>
      <c r="S393" s="593">
        <f>SUMPRODUCT('EE Measures'!CL$8:CL$86,'EE Measures'!$IL$8:$IL$86,'EE Measures'!$N$8:$N$86)+SUMPRODUCT('EE Measures'!EQ$8:EQ$86,'EE Measures'!$IL$8:$IL$86,'EE Measures'!$N$8:$N$86,'EE Measures'!$ED$8:$ED$86)</f>
        <v>90.270658678534232</v>
      </c>
      <c r="T393" s="593">
        <f>SUMPRODUCT('EE Measures'!CM$8:CM$86,'EE Measures'!$IL$8:$IL$86,'EE Measures'!$N$8:$N$86)+SUMPRODUCT('EE Measures'!ER$8:ER$86,'EE Measures'!$IL$8:$IL$86,'EE Measures'!$N$8:$N$86,'EE Measures'!$ED$8:$ED$86)</f>
        <v>92.043351855917052</v>
      </c>
      <c r="U393" s="593">
        <f>SUMPRODUCT('EE Measures'!CN$8:CN$86,'EE Measures'!$IL$8:$IL$86,'EE Measures'!$N$8:$N$86)+SUMPRODUCT('EE Measures'!ES$8:ES$86,'EE Measures'!$IL$8:$IL$86,'EE Measures'!$N$8:$N$86,'EE Measures'!$ED$8:$ED$86)</f>
        <v>93.871997637911335</v>
      </c>
      <c r="V393" s="898">
        <f t="shared" si="1376"/>
        <v>969.21002686449924</v>
      </c>
      <c r="W393" s="563" t="str" cm="1">
        <f t="array" ref="W393:W397">_xlfn.ANCHORARRAY($W$357)</f>
        <v xml:space="preserve">Põhja-Eesti </v>
      </c>
      <c r="X393" s="592">
        <f>SUM(Y393:AH393)</f>
        <v>6726.5127365759454</v>
      </c>
      <c r="Y393" s="593">
        <f>SUMPRODUCT('EE Measures'!BZ$8:BZ$86,'EE Measures'!$IL$8:$IL$86,'EE Measures'!$Y$8:$Y$86)+SUMPRODUCT('EE Measures'!EE$8:EE$86,'EE Measures'!$IL$8:$IL$86,'EE Measures'!$Y$8:$Y$86,'EE Measures'!$ED$8:$ED$86)</f>
        <v>218.46060258330724</v>
      </c>
      <c r="Z393" s="593">
        <f>SUMPRODUCT('EE Measures'!CA$8:CA$86,'EE Measures'!$IL$8:$IL$86,'EE Measures'!$Y$8:$Y$86)+SUMPRODUCT('EE Measures'!EF$8:EF$86,'EE Measures'!$IL$8:$IL$86,'EE Measures'!$Y$8:$Y$86,'EE Measures'!$ED$8:$ED$86)</f>
        <v>148.819164353731</v>
      </c>
      <c r="AA393" s="593">
        <f>SUMPRODUCT('EE Measures'!CB$8:CB$86,'EE Measures'!$IL$8:$IL$86,'EE Measures'!$Y$8:$Y$86)+SUMPRODUCT('EE Measures'!EG$8:EG$86,'EE Measures'!$IL$8:$IL$86,'EE Measures'!$Y$8:$Y$86,'EE Measures'!$ED$8:$ED$86)</f>
        <v>108.26135821943791</v>
      </c>
      <c r="AB393" s="593">
        <f>SUMPRODUCT('EE Measures'!CC$8:CC$86,'EE Measures'!$IL$8:$IL$86,'EE Measures'!$Y$8:$Y$86)+SUMPRODUCT('EE Measures'!EH$8:EH$86,'EE Measures'!$IL$8:$IL$86,'EE Measures'!$Y$8:$Y$86,'EE Measures'!$ED$8:$ED$86)</f>
        <v>281.13368530795447</v>
      </c>
      <c r="AC393" s="593">
        <f>SUMPRODUCT('EE Measures'!CD$8:CD$86,'EE Measures'!$IL$8:$IL$86,'EE Measures'!$Y$8:$Y$86)+SUMPRODUCT('EE Measures'!EI$8:EI$86,'EE Measures'!$IL$8:$IL$86,'EE Measures'!$Y$8:$Y$86,'EE Measures'!$ED$8:$ED$86)</f>
        <v>1161.3682382067368</v>
      </c>
      <c r="AD393" s="593">
        <f>SUMPRODUCT('EE Measures'!CE$8:CE$86,'EE Measures'!$IL$8:$IL$86,'EE Measures'!$Y$8:$Y$86)+SUMPRODUCT('EE Measures'!EJ$8:EJ$86,'EE Measures'!$IL$8:$IL$86,'EE Measures'!$Y$8:$Y$86,'EE Measures'!$ED$8:$ED$86)</f>
        <v>1002.7153000535651</v>
      </c>
      <c r="AE393" s="593">
        <f>SUMPRODUCT('EE Measures'!CF$8:CF$86,'EE Measures'!$IL$8:$IL$86,'EE Measures'!$Y$8:$Y$86)+SUMPRODUCT('EE Measures'!EK$8:EK$86,'EE Measures'!$IL$8:$IL$86,'EE Measures'!$Y$8:$Y$86,'EE Measures'!$ED$8:$ED$86)</f>
        <v>936.17039316903833</v>
      </c>
      <c r="AF393" s="593">
        <f>SUMPRODUCT('EE Measures'!CG$8:CG$86,'EE Measures'!$IL$8:$IL$86,'EE Measures'!$Y$8:$Y$86)+SUMPRODUCT('EE Measures'!EL$8:EL$86,'EE Measures'!$IL$8:$IL$86,'EE Measures'!$Y$8:$Y$86,'EE Measures'!$ED$8:$ED$86)</f>
        <v>930.25113139687164</v>
      </c>
      <c r="AG393" s="593">
        <f>SUMPRODUCT('EE Measures'!CH$8:CH$86,'EE Measures'!$IL$8:$IL$86,'EE Measures'!$Y$8:$Y$86)+SUMPRODUCT('EE Measures'!EM$8:EM$86,'EE Measures'!$IL$8:$IL$86,'EE Measures'!$Y$8:$Y$86,'EE Measures'!$ED$8:$ED$86)</f>
        <v>958.58666803164124</v>
      </c>
      <c r="AH393" s="593">
        <f>SUMPRODUCT('EE Measures'!CI$8:CI$86,'EE Measures'!$IL$8:$IL$86,'EE Measures'!$Y$8:$Y$86)+SUMPRODUCT('EE Measures'!EN$8:EN$86,'EE Measures'!$IL$8:$IL$86,'EE Measures'!$Y$8:$Y$86,'EE Measures'!$ED$8:$ED$86)</f>
        <v>980.74619525366165</v>
      </c>
      <c r="AI393" s="593">
        <f>SUMPRODUCT('EE Measures'!CJ$8:CJ$86,'EE Measures'!$IL$8:$IL$86,'EE Measures'!$Y$8:$Y$86)+SUMPRODUCT('EE Measures'!EO$8:EO$86,'EE Measures'!$IL$8:$IL$86,'EE Measures'!$Y$8:$Y$86,'EE Measures'!$ED$8:$ED$86)</f>
        <v>975.56560436591326</v>
      </c>
      <c r="AJ393" s="593">
        <f>SUMPRODUCT('EE Measures'!CK$8:CK$86,'EE Measures'!$IL$8:$IL$86,'EE Measures'!$Y$8:$Y$86)+SUMPRODUCT('EE Measures'!EP$8:EP$86,'EE Measures'!$IL$8:$IL$86,'EE Measures'!$Y$8:$Y$86,'EE Measures'!$ED$8:$ED$86)</f>
        <v>995.13525271192259</v>
      </c>
      <c r="AK393" s="593">
        <f>SUMPRODUCT('EE Measures'!CL$8:CL$86,'EE Measures'!$IL$8:$IL$86,'EE Measures'!$Y$8:$Y$86)+SUMPRODUCT('EE Measures'!EQ$8:EQ$86,'EE Measures'!$IL$8:$IL$86,'EE Measures'!$Y$8:$Y$86,'EE Measures'!$ED$8:$ED$86)</f>
        <v>1015.1548070316661</v>
      </c>
      <c r="AL393" s="593">
        <f>SUMPRODUCT('EE Measures'!CM$8:CM$86,'EE Measures'!$IL$8:$IL$86,'EE Measures'!$Y$8:$Y$86)+SUMPRODUCT('EE Measures'!ER$8:ER$86,'EE Measures'!$IL$8:$IL$86,'EE Measures'!$Y$8:$Y$86,'EE Measures'!$ED$8:$ED$86)</f>
        <v>1035.6354612102143</v>
      </c>
      <c r="AM393" s="593">
        <f>SUMPRODUCT('EE Measures'!CN$8:CN$86,'EE Measures'!$IL$8:$IL$86,'EE Measures'!$Y$8:$Y$86)+SUMPRODUCT('EE Measures'!ES$8:ES$86,'EE Measures'!$IL$8:$IL$86,'EE Measures'!$Y$8:$Y$86,'EE Measures'!$ED$8:$ED$86)</f>
        <v>1056.5934694704949</v>
      </c>
      <c r="AN393" s="865">
        <f>X393/$X$392</f>
        <v>0.38926419447847455</v>
      </c>
    </row>
    <row r="394" spans="3:40" hidden="1" outlineLevel="1" x14ac:dyDescent="0.3">
      <c r="C394" s="587" t="str">
        <f t="shared" ref="C394:C397" si="1461">C393</f>
        <v>CEER2</v>
      </c>
      <c r="E394" s="563" t="s">
        <v>51</v>
      </c>
      <c r="F394" s="592">
        <f t="shared" ref="F394:F397" si="1462">SUM(G394:P394)</f>
        <v>8997.3730492226005</v>
      </c>
      <c r="G394" s="593">
        <f>SUMPRODUCT('EE Measures'!BZ$8:BZ$86,'EE Measures'!$IL$8:$IL$86,'EE Measures'!$O$8:$O$86)+SUMPRODUCT('EE Measures'!EE$8:EE$86,'EE Measures'!$IL$8:$IL$86,'EE Measures'!$O$8:$O$86,'EE Measures'!$ED$8:$ED$86)</f>
        <v>51.031228234059256</v>
      </c>
      <c r="H394" s="593">
        <f>SUMPRODUCT('EE Measures'!CA$8:CA$86,'EE Measures'!$IL$8:$IL$86,'EE Measures'!$O$8:$O$86)+SUMPRODUCT('EE Measures'!EF$8:EF$86,'EE Measures'!$IL$8:$IL$86,'EE Measures'!$O$8:$O$86,'EE Measures'!$ED$8:$ED$86)</f>
        <v>64.756652418271301</v>
      </c>
      <c r="I394" s="593">
        <f>SUMPRODUCT('EE Measures'!CB$8:CB$86,'EE Measures'!$IL$8:$IL$86,'EE Measures'!$O$8:$O$86)+SUMPRODUCT('EE Measures'!EG$8:EG$86,'EE Measures'!$IL$8:$IL$86,'EE Measures'!$O$8:$O$86,'EE Measures'!$ED$8:$ED$86)</f>
        <v>79.671120340566887</v>
      </c>
      <c r="J394" s="593">
        <f>SUMPRODUCT('EE Measures'!CC$8:CC$86,'EE Measures'!$IL$8:$IL$86,'EE Measures'!$O$8:$O$86)+SUMPRODUCT('EE Measures'!EH$8:EH$86,'EE Measures'!$IL$8:$IL$86,'EE Measures'!$O$8:$O$86,'EE Measures'!$ED$8:$ED$86)</f>
        <v>18.81365754617449</v>
      </c>
      <c r="K394" s="593">
        <f>SUMPRODUCT('EE Measures'!CD$8:CD$86,'EE Measures'!$IL$8:$IL$86,'EE Measures'!$O$8:$O$86)+SUMPRODUCT('EE Measures'!EI$8:EI$86,'EE Measures'!$IL$8:$IL$86,'EE Measures'!$O$8:$O$86,'EE Measures'!$ED$8:$ED$86)</f>
        <v>1390.4400676621485</v>
      </c>
      <c r="L394" s="593">
        <f>SUMPRODUCT('EE Measures'!CE$8:CE$86,'EE Measures'!$IL$8:$IL$86,'EE Measures'!$O$8:$O$86)+SUMPRODUCT('EE Measures'!EJ$8:EJ$86,'EE Measures'!$IL$8:$IL$86,'EE Measures'!$O$8:$O$86,'EE Measures'!$ED$8:$ED$86)</f>
        <v>1418.9496686280827</v>
      </c>
      <c r="M394" s="593">
        <f>SUMPRODUCT('EE Measures'!CF$8:CF$86,'EE Measures'!$IL$8:$IL$86,'EE Measures'!$O$8:$O$86)+SUMPRODUCT('EE Measures'!EK$8:EK$86,'EE Measures'!$IL$8:$IL$86,'EE Measures'!$O$8:$O$86,'EE Measures'!$ED$8:$ED$86)</f>
        <v>1448.0935590031013</v>
      </c>
      <c r="N394" s="593">
        <f>SUMPRODUCT('EE Measures'!CG$8:CG$86,'EE Measures'!$IL$8:$IL$86,'EE Measures'!$O$8:$O$86)+SUMPRODUCT('EE Measures'!EL$8:EL$86,'EE Measures'!$IL$8:$IL$86,'EE Measures'!$O$8:$O$86,'EE Measures'!$ED$8:$ED$86)</f>
        <v>1477.877090373574</v>
      </c>
      <c r="O394" s="593">
        <f>SUMPRODUCT('EE Measures'!CH$8:CH$86,'EE Measures'!$IL$8:$IL$86,'EE Measures'!$O$8:$O$86)+SUMPRODUCT('EE Measures'!EM$8:EM$86,'EE Measures'!$IL$8:$IL$86,'EE Measures'!$O$8:$O$86,'EE Measures'!$ED$8:$ED$86)</f>
        <v>1508.3155142539783</v>
      </c>
      <c r="P394" s="593">
        <f>SUMPRODUCT('EE Measures'!CI$8:CI$86,'EE Measures'!$IL$8:$IL$86,'EE Measures'!$O$8:$O$86)+SUMPRODUCT('EE Measures'!EN$8:EN$86,'EE Measures'!$IL$8:$IL$86,'EE Measures'!$O$8:$O$86,'EE Measures'!$ED$8:$ED$86)</f>
        <v>1539.4244907626451</v>
      </c>
      <c r="Q394" s="593">
        <f>SUMPRODUCT('EE Measures'!CJ$8:CJ$86,'EE Measures'!$IL$8:$IL$86,'EE Measures'!$O$8:$O$86)+SUMPRODUCT('EE Measures'!EO$8:EO$86,'EE Measures'!$IL$8:$IL$86,'EE Measures'!$O$8:$O$86,'EE Measures'!$ED$8:$ED$86)</f>
        <v>1571.2201013052052</v>
      </c>
      <c r="R394" s="593">
        <f>SUMPRODUCT('EE Measures'!CK$8:CK$86,'EE Measures'!$IL$8:$IL$86,'EE Measures'!$O$8:$O$86)+SUMPRODUCT('EE Measures'!EP$8:EP$86,'EE Measures'!$IL$8:$IL$86,'EE Measures'!$O$8:$O$86,'EE Measures'!$ED$8:$ED$86)</f>
        <v>1603.7188617121446</v>
      </c>
      <c r="S394" s="593">
        <f>SUMPRODUCT('EE Measures'!CL$8:CL$86,'EE Measures'!$IL$8:$IL$86,'EE Measures'!$O$8:$O$86)+SUMPRODUCT('EE Measures'!EQ$8:EQ$86,'EE Measures'!$IL$8:$IL$86,'EE Measures'!$O$8:$O$86,'EE Measures'!$ED$8:$ED$86)</f>
        <v>1636.9377358485724</v>
      </c>
      <c r="T394" s="593">
        <f>SUMPRODUCT('EE Measures'!CM$8:CM$86,'EE Measures'!$IL$8:$IL$86,'EE Measures'!$O$8:$O$86)+SUMPRODUCT('EE Measures'!ER$8:ER$86,'EE Measures'!$IL$8:$IL$86,'EE Measures'!$O$8:$O$86,'EE Measures'!$ED$8:$ED$86)</f>
        <v>1670.8941497150663</v>
      </c>
      <c r="U394" s="593">
        <f>SUMPRODUCT('EE Measures'!CN$8:CN$86,'EE Measures'!$IL$8:$IL$86,'EE Measures'!$O$8:$O$86)+SUMPRODUCT('EE Measures'!ES$8:ES$86,'EE Measures'!$IL$8:$IL$86,'EE Measures'!$O$8:$O$86,'EE Measures'!$ED$8:$ED$86)</f>
        <v>1705.6060060592808</v>
      </c>
      <c r="V394" s="898">
        <f t="shared" si="1376"/>
        <v>16990.290902869972</v>
      </c>
      <c r="W394" s="563" t="str">
        <v>Lääne-Eesti</v>
      </c>
      <c r="X394" s="592">
        <f t="shared" ref="X394:X397" si="1463">SUM(Y394:AH394)</f>
        <v>2955.6669906783195</v>
      </c>
      <c r="Y394" s="593">
        <f>SUMPRODUCT('EE Measures'!BZ$8:BZ$86,'EE Measures'!$IL$8:$IL$86,'EE Measures'!$Z$8:$Z$86)+SUMPRODUCT('EE Measures'!EE$8:EE$86,'EE Measures'!$IL$8:$IL$86,'EE Measures'!$Z$8:$Z$86,'EE Measures'!$ED$8:$ED$86)</f>
        <v>78.403024332797742</v>
      </c>
      <c r="Z394" s="593">
        <f>SUMPRODUCT('EE Measures'!CA$8:CA$86,'EE Measures'!$IL$8:$IL$86,'EE Measures'!$Z$8:$Z$86)+SUMPRODUCT('EE Measures'!EF$8:EF$86,'EE Measures'!$IL$8:$IL$86,'EE Measures'!$Z$8:$Z$86,'EE Measures'!$ED$8:$ED$86)</f>
        <v>89.754100834888391</v>
      </c>
      <c r="AA394" s="593">
        <f>SUMPRODUCT('EE Measures'!CB$8:CB$86,'EE Measures'!$IL$8:$IL$86,'EE Measures'!$Z$8:$Z$86)+SUMPRODUCT('EE Measures'!EG$8:EG$86,'EE Measures'!$IL$8:$IL$86,'EE Measures'!$Z$8:$Z$86,'EE Measures'!$ED$8:$ED$86)</f>
        <v>70.999957239893277</v>
      </c>
      <c r="AB394" s="593">
        <f>SUMPRODUCT('EE Measures'!CC$8:CC$86,'EE Measures'!$IL$8:$IL$86,'EE Measures'!$Z$8:$Z$86)+SUMPRODUCT('EE Measures'!EH$8:EH$86,'EE Measures'!$IL$8:$IL$86,'EE Measures'!$Z$8:$Z$86,'EE Measures'!$ED$8:$ED$86)</f>
        <v>225.01355368389943</v>
      </c>
      <c r="AC394" s="593">
        <f>SUMPRODUCT('EE Measures'!CD$8:CD$86,'EE Measures'!$IL$8:$IL$86,'EE Measures'!$Z$8:$Z$86)+SUMPRODUCT('EE Measures'!EI$8:EI$86,'EE Measures'!$IL$8:$IL$86,'EE Measures'!$Z$8:$Z$86,'EE Measures'!$ED$8:$ED$86)</f>
        <v>559.98542652915171</v>
      </c>
      <c r="AD394" s="593">
        <f>SUMPRODUCT('EE Measures'!CE$8:CE$86,'EE Measures'!$IL$8:$IL$86,'EE Measures'!$Z$8:$Z$86)+SUMPRODUCT('EE Measures'!EJ$8:EJ$86,'EE Measures'!$IL$8:$IL$86,'EE Measures'!$Z$8:$Z$86,'EE Measures'!$ED$8:$ED$86)</f>
        <v>448.47710547038616</v>
      </c>
      <c r="AE394" s="593">
        <f>SUMPRODUCT('EE Measures'!CF$8:CF$86,'EE Measures'!$IL$8:$IL$86,'EE Measures'!$Z$8:$Z$86)+SUMPRODUCT('EE Measures'!EK$8:EK$86,'EE Measures'!$IL$8:$IL$86,'EE Measures'!$Z$8:$Z$86,'EE Measures'!$ED$8:$ED$86)</f>
        <v>363.88503399525399</v>
      </c>
      <c r="AF394" s="593">
        <f>SUMPRODUCT('EE Measures'!CG$8:CG$86,'EE Measures'!$IL$8:$IL$86,'EE Measures'!$Z$8:$Z$86)+SUMPRODUCT('EE Measures'!EL$8:EL$86,'EE Measures'!$IL$8:$IL$86,'EE Measures'!$Z$8:$Z$86,'EE Measures'!$ED$8:$ED$86)</f>
        <v>365.34386462461134</v>
      </c>
      <c r="AG394" s="593">
        <f>SUMPRODUCT('EE Measures'!CH$8:CH$86,'EE Measures'!$IL$8:$IL$86,'EE Measures'!$Z$8:$Z$86)+SUMPRODUCT('EE Measures'!EM$8:EM$86,'EE Measures'!$IL$8:$IL$86,'EE Measures'!$Z$8:$Z$86,'EE Measures'!$ED$8:$ED$86)</f>
        <v>373.47064762075382</v>
      </c>
      <c r="AH394" s="593">
        <f>SUMPRODUCT('EE Measures'!CI$8:CI$86,'EE Measures'!$IL$8:$IL$86,'EE Measures'!$Z$8:$Z$86)+SUMPRODUCT('EE Measures'!EN$8:EN$86,'EE Measures'!$IL$8:$IL$86,'EE Measures'!$Z$8:$Z$86,'EE Measures'!$ED$8:$ED$86)</f>
        <v>380.33427634668379</v>
      </c>
      <c r="AI394" s="593">
        <f>SUMPRODUCT('EE Measures'!CJ$8:CJ$86,'EE Measures'!$IL$8:$IL$86,'EE Measures'!$Z$8:$Z$86)+SUMPRODUCT('EE Measures'!EO$8:EO$86,'EE Measures'!$IL$8:$IL$86,'EE Measures'!$Z$8:$Z$86,'EE Measures'!$ED$8:$ED$86)</f>
        <v>385.17440261651745</v>
      </c>
      <c r="AJ394" s="593">
        <f>SUMPRODUCT('EE Measures'!CK$8:CK$86,'EE Measures'!$IL$8:$IL$86,'EE Measures'!$Z$8:$Z$86)+SUMPRODUCT('EE Measures'!EP$8:EP$86,'EE Measures'!$IL$8:$IL$86,'EE Measures'!$Z$8:$Z$86,'EE Measures'!$ED$8:$ED$86)</f>
        <v>392.43566334759259</v>
      </c>
      <c r="AK394" s="593">
        <f>SUMPRODUCT('EE Measures'!CL$8:CL$86,'EE Measures'!$IL$8:$IL$86,'EE Measures'!$Z$8:$Z$86)+SUMPRODUCT('EE Measures'!EQ$8:EQ$86,'EE Measures'!$IL$8:$IL$86,'EE Measures'!$Z$8:$Z$86,'EE Measures'!$ED$8:$ED$86)</f>
        <v>399.85413111981546</v>
      </c>
      <c r="AL394" s="593">
        <f>SUMPRODUCT('EE Measures'!CM$8:CM$86,'EE Measures'!$IL$8:$IL$86,'EE Measures'!$Z$8:$Z$86)+SUMPRODUCT('EE Measures'!ER$8:ER$86,'EE Measures'!$IL$8:$IL$86,'EE Measures'!$Z$8:$Z$86,'EE Measures'!$ED$8:$ED$86)</f>
        <v>407.43339644388487</v>
      </c>
      <c r="AM394" s="593">
        <f>SUMPRODUCT('EE Measures'!CN$8:CN$86,'EE Measures'!$IL$8:$IL$86,'EE Measures'!$Z$8:$Z$86)+SUMPRODUCT('EE Measures'!ES$8:ES$86,'EE Measures'!$IL$8:$IL$86,'EE Measures'!$Z$8:$Z$86,'EE Measures'!$ED$8:$ED$86)</f>
        <v>415.17791349488766</v>
      </c>
      <c r="AN394" s="865">
        <f>X394/$X$392</f>
        <v>0.17104484527575278</v>
      </c>
    </row>
    <row r="395" spans="3:40" hidden="1" outlineLevel="1" x14ac:dyDescent="0.3">
      <c r="C395" s="587" t="str">
        <f t="shared" si="1461"/>
        <v>CEER2</v>
      </c>
      <c r="E395" s="563" t="s">
        <v>52</v>
      </c>
      <c r="F395" s="592">
        <f t="shared" si="1462"/>
        <v>4505.1957087905148</v>
      </c>
      <c r="G395" s="593">
        <f>SUMPRODUCT('EE Measures'!BZ$8:BZ$86,'EE Measures'!$IL$8:$IL$86,'EE Measures'!$P$8:$P$86)+SUMPRODUCT('EE Measures'!EE$8:EE$86,'EE Measures'!$IL$8:$IL$86,'EE Measures'!$P$8:$P$86,'EE Measures'!$ED$8:$ED$86)</f>
        <v>61.751940894257316</v>
      </c>
      <c r="H395" s="593">
        <f>SUMPRODUCT('EE Measures'!CA$8:CA$86,'EE Measures'!$IL$8:$IL$86,'EE Measures'!$P$8:$P$86)+SUMPRODUCT('EE Measures'!EF$8:EF$86,'EE Measures'!$IL$8:$IL$86,'EE Measures'!$P$8:$P$86,'EE Measures'!$ED$8:$ED$86)</f>
        <v>69.4064763057047</v>
      </c>
      <c r="I395" s="593">
        <f>SUMPRODUCT('EE Measures'!CB$8:CB$86,'EE Measures'!$IL$8:$IL$86,'EE Measures'!$P$8:$P$86)+SUMPRODUCT('EE Measures'!EG$8:EG$86,'EE Measures'!$IL$8:$IL$86,'EE Measures'!$P$8:$P$86,'EE Measures'!$ED$8:$ED$86)</f>
        <v>28.498132624761407</v>
      </c>
      <c r="J395" s="593">
        <f>SUMPRODUCT('EE Measures'!CC$8:CC$86,'EE Measures'!$IL$8:$IL$86,'EE Measures'!$P$8:$P$86)+SUMPRODUCT('EE Measures'!EH$8:EH$86,'EE Measures'!$IL$8:$IL$86,'EE Measures'!$P$8:$P$86,'EE Measures'!$ED$8:$ED$86)</f>
        <v>15.868670692219206</v>
      </c>
      <c r="K395" s="593">
        <f>SUMPRODUCT('EE Measures'!CD$8:CD$86,'EE Measures'!$IL$8:$IL$86,'EE Measures'!$P$8:$P$86)+SUMPRODUCT('EE Measures'!EI$8:EI$86,'EE Measures'!$IL$8:$IL$86,'EE Measures'!$P$8:$P$86,'EE Measures'!$ED$8:$ED$86)</f>
        <v>688.55328499236339</v>
      </c>
      <c r="L395" s="593">
        <f>SUMPRODUCT('EE Measures'!CE$8:CE$86,'EE Measures'!$IL$8:$IL$86,'EE Measures'!$P$8:$P$86)+SUMPRODUCT('EE Measures'!EJ$8:EJ$86,'EE Measures'!$IL$8:$IL$86,'EE Measures'!$P$8:$P$86,'EE Measures'!$ED$8:$ED$86)</f>
        <v>701.39158169685174</v>
      </c>
      <c r="M395" s="593">
        <f>SUMPRODUCT('EE Measures'!CF$8:CF$86,'EE Measures'!$IL$8:$IL$86,'EE Measures'!$P$8:$P$86)+SUMPRODUCT('EE Measures'!EK$8:EK$86,'EE Measures'!$IL$8:$IL$86,'EE Measures'!$P$8:$P$86,'EE Measures'!$ED$8:$ED$86)</f>
        <v>714.5144285074764</v>
      </c>
      <c r="N395" s="593">
        <f>SUMPRODUCT('EE Measures'!CG$8:CG$86,'EE Measures'!$IL$8:$IL$86,'EE Measures'!$P$8:$P$86)+SUMPRODUCT('EE Measures'!EL$8:EL$86,'EE Measures'!$IL$8:$IL$86,'EE Measures'!$P$8:$P$86,'EE Measures'!$ED$8:$ED$86)</f>
        <v>727.92689618556506</v>
      </c>
      <c r="O395" s="593">
        <f>SUMPRODUCT('EE Measures'!CH$8:CH$86,'EE Measures'!$IL$8:$IL$86,'EE Measures'!$P$8:$P$86)+SUMPRODUCT('EE Measures'!EM$8:EM$86,'EE Measures'!$IL$8:$IL$86,'EE Measures'!$P$8:$P$86,'EE Measures'!$ED$8:$ED$86)</f>
        <v>741.6358717208318</v>
      </c>
      <c r="P395" s="593">
        <f>SUMPRODUCT('EE Measures'!CI$8:CI$86,'EE Measures'!$IL$8:$IL$86,'EE Measures'!$P$8:$P$86)+SUMPRODUCT('EE Measures'!EN$8:EN$86,'EE Measures'!$IL$8:$IL$86,'EE Measures'!$P$8:$P$86,'EE Measures'!$ED$8:$ED$86)</f>
        <v>755.64842517048351</v>
      </c>
      <c r="Q395" s="593">
        <f>SUMPRODUCT('EE Measures'!CJ$8:CJ$86,'EE Measures'!$IL$8:$IL$86,'EE Measures'!$P$8:$P$86)+SUMPRODUCT('EE Measures'!EO$8:EO$86,'EE Measures'!$IL$8:$IL$86,'EE Measures'!$P$8:$P$86,'EE Measures'!$ED$8:$ED$86)</f>
        <v>769.97181522311087</v>
      </c>
      <c r="R395" s="593">
        <f>SUMPRODUCT('EE Measures'!CK$8:CK$86,'EE Measures'!$IL$8:$IL$86,'EE Measures'!$P$8:$P$86)+SUMPRODUCT('EE Measures'!EP$8:EP$86,'EE Measures'!$IL$8:$IL$86,'EE Measures'!$P$8:$P$86,'EE Measures'!$ED$8:$ED$86)</f>
        <v>784.61349495596539</v>
      </c>
      <c r="S395" s="593">
        <f>SUMPRODUCT('EE Measures'!CL$8:CL$86,'EE Measures'!$IL$8:$IL$86,'EE Measures'!$P$8:$P$86)+SUMPRODUCT('EE Measures'!EQ$8:EQ$86,'EE Measures'!$IL$8:$IL$86,'EE Measures'!$P$8:$P$86,'EE Measures'!$ED$8:$ED$86)</f>
        <v>799.58111779308274</v>
      </c>
      <c r="T395" s="593">
        <f>SUMPRODUCT('EE Measures'!CM$8:CM$86,'EE Measures'!$IL$8:$IL$86,'EE Measures'!$P$8:$P$86)+SUMPRODUCT('EE Measures'!ER$8:ER$86,'EE Measures'!$IL$8:$IL$86,'EE Measures'!$P$8:$P$86,'EE Measures'!$ED$8:$ED$86)</f>
        <v>814.88254367200443</v>
      </c>
      <c r="U395" s="593">
        <f>SUMPRODUCT('EE Measures'!CN$8:CN$86,'EE Measures'!$IL$8:$IL$86,'EE Measures'!$P$8:$P$86)+SUMPRODUCT('EE Measures'!ES$8:ES$86,'EE Measures'!$IL$8:$IL$86,'EE Measures'!$P$8:$P$86,'EE Measures'!$ED$8:$ED$86)</f>
        <v>830.52584542719001</v>
      </c>
      <c r="V395" s="898">
        <f t="shared" si="1376"/>
        <v>8345.1139760371443</v>
      </c>
      <c r="W395" s="563" t="str">
        <v>Kirde-Eesti</v>
      </c>
      <c r="X395" s="592">
        <f t="shared" si="1463"/>
        <v>1562.7628964842615</v>
      </c>
      <c r="Y395" s="593">
        <f>SUMPRODUCT('EE Measures'!BZ$8:BZ$86,'EE Measures'!$IL$8:$IL$86,'EE Measures'!$AA$8:$AA$86)+SUMPRODUCT('EE Measures'!EE$8:EE$86,'EE Measures'!$IL$8:$IL$86,'EE Measures'!$AA$8:$AA$86,'EE Measures'!$ED$8:$ED$86)</f>
        <v>38.142047727846091</v>
      </c>
      <c r="Z395" s="593">
        <f>SUMPRODUCT('EE Measures'!CA$8:CA$86,'EE Measures'!$IL$8:$IL$86,'EE Measures'!$AA$8:$AA$86)+SUMPRODUCT('EE Measures'!EF$8:EF$86,'EE Measures'!$IL$8:$IL$86,'EE Measures'!$AA$8:$AA$86,'EE Measures'!$ED$8:$ED$86)</f>
        <v>16.304162049830975</v>
      </c>
      <c r="AA395" s="593">
        <f>SUMPRODUCT('EE Measures'!CB$8:CB$86,'EE Measures'!$IL$8:$IL$86,'EE Measures'!$AA$8:$AA$86)+SUMPRODUCT('EE Measures'!EG$8:EG$86,'EE Measures'!$IL$8:$IL$86,'EE Measures'!$AA$8:$AA$86,'EE Measures'!$ED$8:$ED$86)</f>
        <v>13.119032001829092</v>
      </c>
      <c r="AB395" s="593">
        <f>SUMPRODUCT('EE Measures'!CC$8:CC$86,'EE Measures'!$IL$8:$IL$86,'EE Measures'!$AA$8:$AA$86)+SUMPRODUCT('EE Measures'!EH$8:EH$86,'EE Measures'!$IL$8:$IL$86,'EE Measures'!$AA$8:$AA$86,'EE Measures'!$ED$8:$ED$86)</f>
        <v>14.349145078609688</v>
      </c>
      <c r="AC395" s="593">
        <f>SUMPRODUCT('EE Measures'!CD$8:CD$86,'EE Measures'!$IL$8:$IL$86,'EE Measures'!$AA$8:$AA$86)+SUMPRODUCT('EE Measures'!EI$8:EI$86,'EE Measures'!$IL$8:$IL$86,'EE Measures'!$AA$8:$AA$86,'EE Measures'!$ED$8:$ED$86)</f>
        <v>237.92551802666418</v>
      </c>
      <c r="AD395" s="593">
        <f>SUMPRODUCT('EE Measures'!CE$8:CE$86,'EE Measures'!$IL$8:$IL$86,'EE Measures'!$AA$8:$AA$86)+SUMPRODUCT('EE Measures'!EJ$8:EJ$86,'EE Measures'!$IL$8:$IL$86,'EE Measures'!$AA$8:$AA$86,'EE Measures'!$ED$8:$ED$86)</f>
        <v>240.90251863643149</v>
      </c>
      <c r="AE395" s="593">
        <f>SUMPRODUCT('EE Measures'!CF$8:CF$86,'EE Measures'!$IL$8:$IL$86,'EE Measures'!$AA$8:$AA$86)+SUMPRODUCT('EE Measures'!EK$8:EK$86,'EE Measures'!$IL$8:$IL$86,'EE Measures'!$AA$8:$AA$86,'EE Measures'!$ED$8:$ED$86)</f>
        <v>246.88454434573197</v>
      </c>
      <c r="AF395" s="593">
        <f>SUMPRODUCT('EE Measures'!CG$8:CG$86,'EE Measures'!$IL$8:$IL$86,'EE Measures'!$AA$8:$AA$86)+SUMPRODUCT('EE Measures'!EL$8:EL$86,'EE Measures'!$IL$8:$IL$86,'EE Measures'!$AA$8:$AA$86,'EE Measures'!$ED$8:$ED$86)</f>
        <v>245.55899987570808</v>
      </c>
      <c r="AG395" s="593">
        <f>SUMPRODUCT('EE Measures'!CH$8:CH$86,'EE Measures'!$IL$8:$IL$86,'EE Measures'!$AA$8:$AA$86)+SUMPRODUCT('EE Measures'!EM$8:EM$86,'EE Measures'!$IL$8:$IL$86,'EE Measures'!$AA$8:$AA$86,'EE Measures'!$ED$8:$ED$86)</f>
        <v>252.15946360656892</v>
      </c>
      <c r="AH395" s="593">
        <f>SUMPRODUCT('EE Measures'!CI$8:CI$86,'EE Measures'!$IL$8:$IL$86,'EE Measures'!$AA$8:$AA$86)+SUMPRODUCT('EE Measures'!EN$8:EN$86,'EE Measures'!$IL$8:$IL$86,'EE Measures'!$AA$8:$AA$86,'EE Measures'!$ED$8:$ED$86)</f>
        <v>257.41746513504137</v>
      </c>
      <c r="AI395" s="593">
        <f>SUMPRODUCT('EE Measures'!CJ$8:CJ$86,'EE Measures'!$IL$8:$IL$86,'EE Measures'!$AA$8:$AA$86)+SUMPRODUCT('EE Measures'!EO$8:EO$86,'EE Measures'!$IL$8:$IL$86,'EE Measures'!$AA$8:$AA$86,'EE Measures'!$ED$8:$ED$86)</f>
        <v>261.0724522478472</v>
      </c>
      <c r="AJ395" s="593">
        <f>SUMPRODUCT('EE Measures'!CK$8:CK$86,'EE Measures'!$IL$8:$IL$86,'EE Measures'!$AA$8:$AA$86)+SUMPRODUCT('EE Measures'!EP$8:EP$86,'EE Measures'!$IL$8:$IL$86,'EE Measures'!$AA$8:$AA$86,'EE Measures'!$ED$8:$ED$86)</f>
        <v>266.18227200700045</v>
      </c>
      <c r="AK395" s="593">
        <f>SUMPRODUCT('EE Measures'!CL$8:CL$86,'EE Measures'!$IL$8:$IL$86,'EE Measures'!$AA$8:$AA$86)+SUMPRODUCT('EE Measures'!EQ$8:EQ$86,'EE Measures'!$IL$8:$IL$86,'EE Measures'!$AA$8:$AA$86,'EE Measures'!$ED$8:$ED$86)</f>
        <v>271.40427692605238</v>
      </c>
      <c r="AL395" s="593">
        <f>SUMPRODUCT('EE Measures'!CM$8:CM$86,'EE Measures'!$IL$8:$IL$86,'EE Measures'!$AA$8:$AA$86)+SUMPRODUCT('EE Measures'!ER$8:ER$86,'EE Measures'!$IL$8:$IL$86,'EE Measures'!$AA$8:$AA$86,'EE Measures'!$ED$8:$ED$86)</f>
        <v>276.74108383008092</v>
      </c>
      <c r="AM395" s="593">
        <f>SUMPRODUCT('EE Measures'!CN$8:CN$86,'EE Measures'!$IL$8:$IL$86,'EE Measures'!$AA$8:$AA$86)+SUMPRODUCT('EE Measures'!ES$8:ES$86,'EE Measures'!$IL$8:$IL$86,'EE Measures'!$AA$8:$AA$86,'EE Measures'!$ED$8:$ED$86)</f>
        <v>282.19655290996184</v>
      </c>
      <c r="AN395" s="865">
        <f>X395/$X$392</f>
        <v>9.0437298476068309E-2</v>
      </c>
    </row>
    <row r="396" spans="3:40" hidden="1" outlineLevel="1" x14ac:dyDescent="0.3">
      <c r="C396" s="587" t="str">
        <f t="shared" si="1461"/>
        <v>CEER2</v>
      </c>
      <c r="E396" s="563" t="s">
        <v>53</v>
      </c>
      <c r="F396" s="592">
        <f t="shared" si="1462"/>
        <v>3146.5658734098652</v>
      </c>
      <c r="G396" s="593">
        <f>SUMPRODUCT('EE Measures'!BZ$8:BZ$86,'EE Measures'!$IL$8:$IL$86,'EE Measures'!$Q$8:$Q$86)+SUMPRODUCT('EE Measures'!EE$8:EE$86,'EE Measures'!$IL$8:$IL$86,'EE Measures'!$Q$8:$Q$86,'EE Measures'!$ED$8:$ED$86)</f>
        <v>286.37816967578669</v>
      </c>
      <c r="H396" s="593">
        <f>SUMPRODUCT('EE Measures'!CA$8:CA$86,'EE Measures'!$IL$8:$IL$86,'EE Measures'!$Q$8:$Q$86)+SUMPRODUCT('EE Measures'!EF$8:EF$86,'EE Measures'!$IL$8:$IL$86,'EE Measures'!$Q$8:$Q$86,'EE Measures'!$ED$8:$ED$86)</f>
        <v>174.69068753782818</v>
      </c>
      <c r="I396" s="593">
        <f>SUMPRODUCT('EE Measures'!CB$8:CB$86,'EE Measures'!$IL$8:$IL$86,'EE Measures'!$Q$8:$Q$86)+SUMPRODUCT('EE Measures'!EG$8:EG$86,'EE Measures'!$IL$8:$IL$86,'EE Measures'!$Q$8:$Q$86,'EE Measures'!$ED$8:$ED$86)</f>
        <v>142.87182513592319</v>
      </c>
      <c r="J396" s="593">
        <f>SUMPRODUCT('EE Measures'!CC$8:CC$86,'EE Measures'!$IL$8:$IL$86,'EE Measures'!$Q$8:$Q$86)+SUMPRODUCT('EE Measures'!EH$8:EH$86,'EE Measures'!$IL$8:$IL$86,'EE Measures'!$Q$8:$Q$86,'EE Measures'!$ED$8:$ED$86)</f>
        <v>492.08281402452621</v>
      </c>
      <c r="K396" s="593">
        <f>SUMPRODUCT('EE Measures'!CD$8:CD$86,'EE Measures'!$IL$8:$IL$86,'EE Measures'!$Q$8:$Q$86)+SUMPRODUCT('EE Measures'!EI$8:EI$86,'EE Measures'!$IL$8:$IL$86,'EE Measures'!$Q$8:$Q$86,'EE Measures'!$ED$8:$ED$86)</f>
        <v>704.20613832510185</v>
      </c>
      <c r="L396" s="593">
        <f>SUMPRODUCT('EE Measures'!CE$8:CE$86,'EE Measures'!$IL$8:$IL$86,'EE Measures'!$Q$8:$Q$86)+SUMPRODUCT('EE Measures'!EJ$8:EJ$86,'EE Measures'!$IL$8:$IL$86,'EE Measures'!$Q$8:$Q$86,'EE Measures'!$ED$8:$ED$86)</f>
        <v>410.88094698332026</v>
      </c>
      <c r="M396" s="593">
        <f>SUMPRODUCT('EE Measures'!CF$8:CF$86,'EE Measures'!$IL$8:$IL$86,'EE Measures'!$Q$8:$Q$86)+SUMPRODUCT('EE Measures'!EK$8:EK$86,'EE Measures'!$IL$8:$IL$86,'EE Measures'!$Q$8:$Q$86,'EE Measures'!$ED$8:$ED$86)</f>
        <v>249.09198528092577</v>
      </c>
      <c r="N396" s="593">
        <f>SUMPRODUCT('EE Measures'!CG$8:CG$86,'EE Measures'!$IL$8:$IL$86,'EE Measures'!$Q$8:$Q$86)+SUMPRODUCT('EE Measures'!EL$8:EL$86,'EE Measures'!$IL$8:$IL$86,'EE Measures'!$Q$8:$Q$86,'EE Measures'!$ED$8:$ED$86)</f>
        <v>225.0933290620747</v>
      </c>
      <c r="O396" s="593">
        <f>SUMPRODUCT('EE Measures'!CH$8:CH$86,'EE Measures'!$IL$8:$IL$86,'EE Measures'!$Q$8:$Q$86)+SUMPRODUCT('EE Measures'!EM$8:EM$86,'EE Measures'!$IL$8:$IL$86,'EE Measures'!$Q$8:$Q$86,'EE Measures'!$ED$8:$ED$86)</f>
        <v>232.20422037630311</v>
      </c>
      <c r="P396" s="593">
        <f>SUMPRODUCT('EE Measures'!CI$8:CI$86,'EE Measures'!$IL$8:$IL$86,'EE Measures'!$Q$8:$Q$86)+SUMPRODUCT('EE Measures'!EN$8:EN$86,'EE Measures'!$IL$8:$IL$86,'EE Measures'!$Q$8:$Q$86,'EE Measures'!$ED$8:$ED$86)</f>
        <v>229.06575700807508</v>
      </c>
      <c r="Q396" s="593">
        <f>SUMPRODUCT('EE Measures'!CJ$8:CJ$86,'EE Measures'!$IL$8:$IL$86,'EE Measures'!$Q$8:$Q$86)+SUMPRODUCT('EE Measures'!EO$8:EO$86,'EE Measures'!$IL$8:$IL$86,'EE Measures'!$Q$8:$Q$86,'EE Measures'!$ED$8:$ED$86)</f>
        <v>199.65003274363102</v>
      </c>
      <c r="R396" s="593">
        <f>SUMPRODUCT('EE Measures'!CK$8:CK$86,'EE Measures'!$IL$8:$IL$86,'EE Measures'!$Q$8:$Q$86)+SUMPRODUCT('EE Measures'!EP$8:EP$86,'EE Measures'!$IL$8:$IL$86,'EE Measures'!$Q$8:$Q$86,'EE Measures'!$ED$8:$ED$86)</f>
        <v>202.22761563951258</v>
      </c>
      <c r="S396" s="593">
        <f>SUMPRODUCT('EE Measures'!CL$8:CL$86,'EE Measures'!$IL$8:$IL$86,'EE Measures'!$Q$8:$Q$86)+SUMPRODUCT('EE Measures'!EQ$8:EQ$86,'EE Measures'!$IL$8:$IL$86,'EE Measures'!$Q$8:$Q$86,'EE Measures'!$ED$8:$ED$86)</f>
        <v>204.86330332404623</v>
      </c>
      <c r="T396" s="593">
        <f>SUMPRODUCT('EE Measures'!CM$8:CM$86,'EE Measures'!$IL$8:$IL$86,'EE Measures'!$Q$8:$Q$86)+SUMPRODUCT('EE Measures'!ER$8:ER$86,'EE Measures'!$IL$8:$IL$86,'EE Measures'!$Q$8:$Q$86,'EE Measures'!$ED$8:$ED$86)</f>
        <v>207.55803025503849</v>
      </c>
      <c r="U396" s="593">
        <f>SUMPRODUCT('EE Measures'!CN$8:CN$86,'EE Measures'!$IL$8:$IL$86,'EE Measures'!$Q$8:$Q$86)+SUMPRODUCT('EE Measures'!ES$8:ES$86,'EE Measures'!$IL$8:$IL$86,'EE Measures'!$Q$8:$Q$86,'EE Measures'!$ED$8:$ED$86)</f>
        <v>210.3127539921818</v>
      </c>
      <c r="V396" s="898">
        <f t="shared" si="1376"/>
        <v>3567.2369270147365</v>
      </c>
      <c r="W396" s="563" t="str">
        <v>Lõuna-Eesti </v>
      </c>
      <c r="X396" s="592">
        <f t="shared" si="1463"/>
        <v>4157.0580100521793</v>
      </c>
      <c r="Y396" s="593">
        <f>SUMPRODUCT('EE Measures'!BZ$8:BZ$86,'EE Measures'!$IL$8:$IL$86,'EE Measures'!$AB$8:$AB$86)+SUMPRODUCT('EE Measures'!EE$8:EE$86,'EE Measures'!$IL$8:$IL$86,'EE Measures'!$AB$8:$AB$86,'EE Measures'!$ED$8:$ED$86)</f>
        <v>82.119613705912727</v>
      </c>
      <c r="Z396" s="593">
        <f>SUMPRODUCT('EE Measures'!CA$8:CA$86,'EE Measures'!$IL$8:$IL$86,'EE Measures'!$AB$8:$AB$86)+SUMPRODUCT('EE Measures'!EF$8:EF$86,'EE Measures'!$IL$8:$IL$86,'EE Measures'!$AB$8:$AB$86,'EE Measures'!$ED$8:$ED$86)</f>
        <v>41.338934254963206</v>
      </c>
      <c r="AA396" s="593">
        <f>SUMPRODUCT('EE Measures'!CB$8:CB$86,'EE Measures'!$IL$8:$IL$86,'EE Measures'!$AB$8:$AB$86)+SUMPRODUCT('EE Measures'!EG$8:EG$86,'EE Measures'!$IL$8:$IL$86,'EE Measures'!$AB$8:$AB$86,'EE Measures'!$ED$8:$ED$86)</f>
        <v>42.599703924383235</v>
      </c>
      <c r="AB396" s="593">
        <f>SUMPRODUCT('EE Measures'!CC$8:CC$86,'EE Measures'!$IL$8:$IL$86,'EE Measures'!$AB$8:$AB$86)+SUMPRODUCT('EE Measures'!EH$8:EH$86,'EE Measures'!$IL$8:$IL$86,'EE Measures'!$AB$8:$AB$86,'EE Measures'!$ED$8:$ED$86)</f>
        <v>34.161811909885046</v>
      </c>
      <c r="AC396" s="593">
        <f>SUMPRODUCT('EE Measures'!CD$8:CD$86,'EE Measures'!$IL$8:$IL$86,'EE Measures'!$AB$8:$AB$86)+SUMPRODUCT('EE Measures'!EI$8:EI$86,'EE Measures'!$IL$8:$IL$86,'EE Measures'!$AB$8:$AB$86,'EE Measures'!$ED$8:$ED$86)</f>
        <v>633.01676374551926</v>
      </c>
      <c r="AD396" s="593">
        <f>SUMPRODUCT('EE Measures'!CE$8:CE$86,'EE Measures'!$IL$8:$IL$86,'EE Measures'!$AB$8:$AB$86)+SUMPRODUCT('EE Measures'!EJ$8:EJ$86,'EE Measures'!$IL$8:$IL$86,'EE Measures'!$AB$8:$AB$86,'EE Measures'!$ED$8:$ED$86)</f>
        <v>641.7704851352803</v>
      </c>
      <c r="AE396" s="593">
        <f>SUMPRODUCT('EE Measures'!CF$8:CF$86,'EE Measures'!$IL$8:$IL$86,'EE Measures'!$AB$8:$AB$86)+SUMPRODUCT('EE Measures'!EK$8:EK$86,'EE Measures'!$IL$8:$IL$86,'EE Measures'!$AB$8:$AB$86,'EE Measures'!$ED$8:$ED$86)</f>
        <v>658.86476089315568</v>
      </c>
      <c r="AF396" s="593">
        <f>SUMPRODUCT('EE Measures'!CG$8:CG$86,'EE Measures'!$IL$8:$IL$86,'EE Measures'!$AB$8:$AB$86)+SUMPRODUCT('EE Measures'!EL$8:EL$86,'EE Measures'!$IL$8:$IL$86,'EE Measures'!$AB$8:$AB$86,'EE Measures'!$ED$8:$ED$86)</f>
        <v>659.61829825364293</v>
      </c>
      <c r="AG396" s="593">
        <f>SUMPRODUCT('EE Measures'!CH$8:CH$86,'EE Measures'!$IL$8:$IL$86,'EE Measures'!$AB$8:$AB$86)+SUMPRODUCT('EE Measures'!EM$8:EM$86,'EE Measures'!$IL$8:$IL$86,'EE Measures'!$AB$8:$AB$86,'EE Measures'!$ED$8:$ED$86)</f>
        <v>675.33894902538623</v>
      </c>
      <c r="AH396" s="593">
        <f>SUMPRODUCT('EE Measures'!CI$8:CI$86,'EE Measures'!$IL$8:$IL$86,'EE Measures'!$AB$8:$AB$86)+SUMPRODUCT('EE Measures'!EN$8:EN$86,'EE Measures'!$IL$8:$IL$86,'EE Measures'!$AB$8:$AB$86,'EE Measures'!$ED$8:$ED$86)</f>
        <v>688.22868920405051</v>
      </c>
      <c r="AI396" s="593">
        <f>SUMPRODUCT('EE Measures'!CJ$8:CJ$86,'EE Measures'!$IL$8:$IL$86,'EE Measures'!$AB$8:$AB$86)+SUMPRODUCT('EE Measures'!EO$8:EO$86,'EE Measures'!$IL$8:$IL$86,'EE Measures'!$AB$8:$AB$86,'EE Measures'!$ED$8:$ED$86)</f>
        <v>696.24149673365332</v>
      </c>
      <c r="AJ396" s="593">
        <f>SUMPRODUCT('EE Measures'!CK$8:CK$86,'EE Measures'!$IL$8:$IL$86,'EE Measures'!$AB$8:$AB$86)+SUMPRODUCT('EE Measures'!EP$8:EP$86,'EE Measures'!$IL$8:$IL$86,'EE Measures'!$AB$8:$AB$86,'EE Measures'!$ED$8:$ED$86)</f>
        <v>709.71638683064657</v>
      </c>
      <c r="AK396" s="593">
        <f>SUMPRODUCT('EE Measures'!CL$8:CL$86,'EE Measures'!$IL$8:$IL$86,'EE Measures'!$AB$8:$AB$86)+SUMPRODUCT('EE Measures'!EQ$8:EQ$86,'EE Measures'!$IL$8:$IL$86,'EE Measures'!$AB$8:$AB$86,'EE Measures'!$ED$8:$ED$86)</f>
        <v>723.48984101177348</v>
      </c>
      <c r="AL396" s="593">
        <f>SUMPRODUCT('EE Measures'!CM$8:CM$86,'EE Measures'!$IL$8:$IL$86,'EE Measures'!$AB$8:$AB$86)+SUMPRODUCT('EE Measures'!ER$8:ER$86,'EE Measures'!$IL$8:$IL$86,'EE Measures'!$AB$8:$AB$86,'EE Measures'!$ED$8:$ED$86)</f>
        <v>737.56892247211704</v>
      </c>
      <c r="AM396" s="593">
        <f>SUMPRODUCT('EE Measures'!CN$8:CN$86,'EE Measures'!$IL$8:$IL$86,'EE Measures'!$AB$8:$AB$86)+SUMPRODUCT('EE Measures'!ES$8:ES$86,'EE Measures'!$IL$8:$IL$86,'EE Measures'!$AB$8:$AB$86,'EE Measures'!$ED$8:$ED$86)</f>
        <v>751.96269069604136</v>
      </c>
      <c r="AN396" s="865">
        <f>X396/$X$392</f>
        <v>0.24056950474265734</v>
      </c>
    </row>
    <row r="397" spans="3:40" hidden="1" outlineLevel="1" x14ac:dyDescent="0.3">
      <c r="C397" s="587" t="str">
        <f t="shared" si="1461"/>
        <v>CEER2</v>
      </c>
      <c r="E397" s="563" t="s">
        <v>54</v>
      </c>
      <c r="F397" s="592">
        <f t="shared" si="1462"/>
        <v>57.084871975960553</v>
      </c>
      <c r="G397" s="593">
        <f>SUMPRODUCT('EE Measures'!BZ$8:BZ$86,'EE Measures'!$IL$8:$IL$86,'EE Measures'!$R$8:$R$86)+SUMPRODUCT('EE Measures'!EE$8:EE$86,'EE Measures'!$IL$8:$IL$86,'EE Measures'!$R$8:$R$86,'EE Measures'!$ED$8:$ED$86)</f>
        <v>0.19824537138156786</v>
      </c>
      <c r="H397" s="593">
        <f>SUMPRODUCT('EE Measures'!CA$8:CA$86,'EE Measures'!$IL$8:$IL$86,'EE Measures'!$R$8:$R$86)+SUMPRODUCT('EE Measures'!EF$8:EF$86,'EE Measures'!$IL$8:$IL$86,'EE Measures'!$R$8:$R$86,'EE Measures'!$ED$8:$ED$86)</f>
        <v>0.22216844741811145</v>
      </c>
      <c r="I397" s="593">
        <f>SUMPRODUCT('EE Measures'!CB$8:CB$86,'EE Measures'!$IL$8:$IL$86,'EE Measures'!$R$8:$R$86)+SUMPRODUCT('EE Measures'!EG$8:EG$86,'EE Measures'!$IL$8:$IL$86,'EE Measures'!$R$8:$R$86,'EE Measures'!$ED$8:$ED$86)</f>
        <v>0.24739223196539509</v>
      </c>
      <c r="J397" s="593">
        <f>SUMPRODUCT('EE Measures'!CC$8:CC$86,'EE Measures'!$IL$8:$IL$86,'EE Measures'!$R$8:$R$86)+SUMPRODUCT('EE Measures'!EH$8:EH$86,'EE Measures'!$IL$8:$IL$86,'EE Measures'!$R$8:$R$86,'EE Measures'!$ED$8:$ED$86)</f>
        <v>4.4688409949200949</v>
      </c>
      <c r="K397" s="593">
        <f>SUMPRODUCT('EE Measures'!CD$8:CD$86,'EE Measures'!$IL$8:$IL$86,'EE Measures'!$R$8:$R$86)+SUMPRODUCT('EE Measures'!EI$8:EI$86,'EE Measures'!$IL$8:$IL$86,'EE Measures'!$R$8:$R$86,'EE Measures'!$ED$8:$ED$86)</f>
        <v>6.613146358568093</v>
      </c>
      <c r="L397" s="593">
        <f>SUMPRODUCT('EE Measures'!CE$8:CE$86,'EE Measures'!$IL$8:$IL$86,'EE Measures'!$R$8:$R$86)+SUMPRODUCT('EE Measures'!EJ$8:EJ$86,'EE Measures'!$IL$8:$IL$86,'EE Measures'!$R$8:$R$86,'EE Measures'!$ED$8:$ED$86)</f>
        <v>6.6884502401727692</v>
      </c>
      <c r="M397" s="593">
        <f>SUMPRODUCT('EE Measures'!CF$8:CF$86,'EE Measures'!$IL$8:$IL$86,'EE Measures'!$R$8:$R$86)+SUMPRODUCT('EE Measures'!EK$8:EK$86,'EE Measures'!$IL$8:$IL$86,'EE Measures'!$R$8:$R$86,'EE Measures'!$ED$8:$ED$86)</f>
        <v>9.5326171661078121</v>
      </c>
      <c r="N397" s="593">
        <f>SUMPRODUCT('EE Measures'!CG$8:CG$86,'EE Measures'!$IL$8:$IL$86,'EE Measures'!$R$8:$R$86)+SUMPRODUCT('EE Measures'!EL$8:EL$86,'EE Measures'!$IL$8:$IL$86,'EE Measures'!$R$8:$R$86,'EE Measures'!$ED$8:$ED$86)</f>
        <v>9.6165746127363079</v>
      </c>
      <c r="O397" s="593">
        <f>SUMPRODUCT('EE Measures'!CH$8:CH$86,'EE Measures'!$IL$8:$IL$86,'EE Measures'!$R$8:$R$86)+SUMPRODUCT('EE Measures'!EM$8:EM$86,'EE Measures'!$IL$8:$IL$86,'EE Measures'!$R$8:$R$86,'EE Measures'!$ED$8:$ED$86)</f>
        <v>9.7036184945977091</v>
      </c>
      <c r="P397" s="593">
        <f>SUMPRODUCT('EE Measures'!CI$8:CI$86,'EE Measures'!$IL$8:$IL$86,'EE Measures'!$R$8:$R$86)+SUMPRODUCT('EE Measures'!EN$8:EN$86,'EE Measures'!$IL$8:$IL$86,'EE Measures'!$R$8:$R$86,'EE Measures'!$ED$8:$ED$86)</f>
        <v>9.7938180580926968</v>
      </c>
      <c r="Q397" s="593">
        <f>SUMPRODUCT('EE Measures'!CJ$8:CJ$86,'EE Measures'!$IL$8:$IL$86,'EE Measures'!$R$8:$R$86)+SUMPRODUCT('EE Measures'!EO$8:EO$86,'EE Measures'!$IL$8:$IL$86,'EE Measures'!$R$8:$R$86,'EE Measures'!$ED$8:$ED$86)</f>
        <v>7.1216685945425162</v>
      </c>
      <c r="R397" s="593">
        <f>SUMPRODUCT('EE Measures'!CK$8:CK$86,'EE Measures'!$IL$8:$IL$86,'EE Measures'!$R$8:$R$86)+SUMPRODUCT('EE Measures'!EP$8:EP$86,'EE Measures'!$IL$8:$IL$86,'EE Measures'!$R$8:$R$86,'EE Measures'!$ED$8:$ED$86)</f>
        <v>7.2183990603443124</v>
      </c>
      <c r="S397" s="593">
        <f>SUMPRODUCT('EE Measures'!CL$8:CL$86,'EE Measures'!$IL$8:$IL$86,'EE Measures'!$R$8:$R$86)+SUMPRODUCT('EE Measures'!EQ$8:EQ$86,'EE Measures'!$IL$8:$IL$86,'EE Measures'!$R$8:$R$86,'EE Measures'!$ED$8:$ED$86)</f>
        <v>7.3185108983627574</v>
      </c>
      <c r="T397" s="593">
        <f>SUMPRODUCT('EE Measures'!CM$8:CM$86,'EE Measures'!$IL$8:$IL$86,'EE Measures'!$R$8:$R$86)+SUMPRODUCT('EE Measures'!ER$8:ER$86,'EE Measures'!$IL$8:$IL$86,'EE Measures'!$R$8:$R$86,'EE Measures'!$ED$8:$ED$86)</f>
        <v>7.4220856664942518</v>
      </c>
      <c r="U397" s="593">
        <f>SUMPRODUCT('EE Measures'!CN$8:CN$86,'EE Measures'!$IL$8:$IL$86,'EE Measures'!$R$8:$R$86)+SUMPRODUCT('EE Measures'!ES$8:ES$86,'EE Measures'!$IL$8:$IL$86,'EE Measures'!$R$8:$R$86,'EE Measures'!$ED$8:$ED$86)</f>
        <v>7.5292082692412787</v>
      </c>
      <c r="V397" s="898">
        <f t="shared" si="1376"/>
        <v>93.026938414180606</v>
      </c>
      <c r="W397" s="563" t="str">
        <v>Kesk-Eesti</v>
      </c>
      <c r="X397" s="592">
        <f t="shared" si="1463"/>
        <v>1878.06989925162</v>
      </c>
      <c r="Y397" s="593">
        <f>SUMPRODUCT('EE Measures'!BZ$8:BZ$86,'EE Measures'!$IL$8:$IL$86,'EE Measures'!$AC$8:$AC$86)+SUMPRODUCT('EE Measures'!EE$8:EE$86,'EE Measures'!$IL$8:$IL$86,'EE Measures'!$AC$8:$AC$86,'EE Measures'!$ED$8:$ED$86)</f>
        <v>32.940010543379714</v>
      </c>
      <c r="Z397" s="593">
        <f>SUMPRODUCT('EE Measures'!CA$8:CA$86,'EE Measures'!$IL$8:$IL$86,'EE Measures'!$AC$8:$AC$86)+SUMPRODUCT('EE Measures'!EF$8:EF$86,'EE Measures'!$IL$8:$IL$86,'EE Measures'!$AC$8:$AC$86,'EE Measures'!$ED$8:$ED$86)</f>
        <v>17.271964026346691</v>
      </c>
      <c r="AA397" s="593">
        <f>SUMPRODUCT('EE Measures'!CB$8:CB$86,'EE Measures'!$IL$8:$IL$86,'EE Measures'!$AC$8:$AC$86)+SUMPRODUCT('EE Measures'!EG$8:EG$86,'EE Measures'!$IL$8:$IL$86,'EE Measures'!$AC$8:$AC$86,'EE Measures'!$ED$8:$ED$86)</f>
        <v>18.439168386081569</v>
      </c>
      <c r="AB397" s="593">
        <f>SUMPRODUCT('EE Measures'!CC$8:CC$86,'EE Measures'!$IL$8:$IL$86,'EE Measures'!$AC$8:$AC$86)+SUMPRODUCT('EE Measures'!EH$8:EH$86,'EE Measures'!$IL$8:$IL$86,'EE Measures'!$AC$8:$AC$86,'EE Measures'!$ED$8:$ED$86)</f>
        <v>14.096674181462163</v>
      </c>
      <c r="AC397" s="593">
        <f>SUMPRODUCT('EE Measures'!CD$8:CD$86,'EE Measures'!$IL$8:$IL$86,'EE Measures'!$AC$8:$AC$86)+SUMPRODUCT('EE Measures'!EI$8:EI$86,'EE Measures'!$IL$8:$IL$86,'EE Measures'!$AC$8:$AC$86,'EE Measures'!$ED$8:$ED$86)</f>
        <v>287.1887494012181</v>
      </c>
      <c r="AD397" s="593">
        <f>SUMPRODUCT('EE Measures'!CE$8:CE$86,'EE Measures'!$IL$8:$IL$86,'EE Measures'!$AC$8:$AC$86)+SUMPRODUCT('EE Measures'!EJ$8:EJ$86,'EE Measures'!$IL$8:$IL$86,'EE Measures'!$AC$8:$AC$86,'EE Measures'!$ED$8:$ED$86)</f>
        <v>291.2123770162919</v>
      </c>
      <c r="AE397" s="593">
        <f>SUMPRODUCT('EE Measures'!CF$8:CF$86,'EE Measures'!$IL$8:$IL$86,'EE Measures'!$AC$8:$AC$86)+SUMPRODUCT('EE Measures'!EK$8:EK$86,'EE Measures'!$IL$8:$IL$86,'EE Measures'!$AC$8:$AC$86,'EE Measures'!$ED$8:$ED$86)</f>
        <v>298.73939935718579</v>
      </c>
      <c r="AF397" s="593">
        <f>SUMPRODUCT('EE Measures'!CG$8:CG$86,'EE Measures'!$IL$8:$IL$86,'EE Measures'!$AC$8:$AC$86)+SUMPRODUCT('EE Measures'!EL$8:EL$86,'EE Measures'!$IL$8:$IL$86,'EE Measures'!$AC$8:$AC$86,'EE Measures'!$ED$8:$ED$86)</f>
        <v>299.49899480930901</v>
      </c>
      <c r="AG397" s="593">
        <f>SUMPRODUCT('EE Measures'!CH$8:CH$86,'EE Measures'!$IL$8:$IL$86,'EE Measures'!$AC$8:$AC$86)+SUMPRODUCT('EE Measures'!EM$8:EM$86,'EE Measures'!$IL$8:$IL$86,'EE Measures'!$AC$8:$AC$86,'EE Measures'!$ED$8:$ED$86)</f>
        <v>306.42933287573209</v>
      </c>
      <c r="AH397" s="593">
        <f>SUMPRODUCT('EE Measures'!CI$8:CI$86,'EE Measures'!$IL$8:$IL$86,'EE Measures'!$AC$8:$AC$86)+SUMPRODUCT('EE Measures'!EN$8:EN$86,'EE Measures'!$IL$8:$IL$86,'EE Measures'!$AC$8:$AC$86,'EE Measures'!$ED$8:$ED$86)</f>
        <v>312.25322865461283</v>
      </c>
      <c r="AI397" s="593">
        <f>SUMPRODUCT('EE Measures'!CJ$8:CJ$86,'EE Measures'!$IL$8:$IL$86,'EE Measures'!$AC$8:$AC$86)+SUMPRODUCT('EE Measures'!EO$8:EO$86,'EE Measures'!$IL$8:$IL$86,'EE Measures'!$AC$8:$AC$86,'EE Measures'!$ED$8:$ED$86)</f>
        <v>316.59990339291551</v>
      </c>
      <c r="AJ397" s="593">
        <f>SUMPRODUCT('EE Measures'!CK$8:CK$86,'EE Measures'!$IL$8:$IL$86,'EE Measures'!$AC$8:$AC$86)+SUMPRODUCT('EE Measures'!EP$8:EP$86,'EE Measures'!$IL$8:$IL$86,'EE Measures'!$AC$8:$AC$86,'EE Measures'!$ED$8:$ED$86)</f>
        <v>322.68234899590306</v>
      </c>
      <c r="AK397" s="593">
        <f>SUMPRODUCT('EE Measures'!CL$8:CL$86,'EE Measures'!$IL$8:$IL$86,'EE Measures'!$AC$8:$AC$86)+SUMPRODUCT('EE Measures'!EQ$8:EQ$86,'EE Measures'!$IL$8:$IL$86,'EE Measures'!$AC$8:$AC$86,'EE Measures'!$ED$8:$ED$86)</f>
        <v>328.89852045329025</v>
      </c>
      <c r="AL397" s="593">
        <f>SUMPRODUCT('EE Measures'!CM$8:CM$86,'EE Measures'!$IL$8:$IL$86,'EE Measures'!$AC$8:$AC$86)+SUMPRODUCT('EE Measures'!ER$8:ER$86,'EE Measures'!$IL$8:$IL$86,'EE Measures'!$AC$8:$AC$86,'EE Measures'!$ED$8:$ED$86)</f>
        <v>335.25154720822258</v>
      </c>
      <c r="AM397" s="593">
        <f>SUMPRODUCT('EE Measures'!CN$8:CN$86,'EE Measures'!$IL$8:$IL$86,'EE Measures'!$AC$8:$AC$86)+SUMPRODUCT('EE Measures'!ES$8:ES$86,'EE Measures'!$IL$8:$IL$86,'EE Measures'!$AC$8:$AC$86,'EE Measures'!$ED$8:$ED$86)</f>
        <v>341.74543481441953</v>
      </c>
      <c r="AN397" s="865">
        <f>X397/$X$392</f>
        <v>0.10868415702704701</v>
      </c>
    </row>
    <row r="398" spans="3:40" hidden="1" outlineLevel="1" x14ac:dyDescent="0.3"/>
    <row r="399" spans="3:40" ht="15" hidden="1" outlineLevel="1" x14ac:dyDescent="0.3">
      <c r="C399" s="5" t="s">
        <v>427</v>
      </c>
      <c r="D399" s="5"/>
      <c r="E399" s="5"/>
      <c r="F399" s="5"/>
      <c r="G399" s="5"/>
      <c r="H399" s="5"/>
      <c r="I399" s="5"/>
      <c r="J399" s="5"/>
      <c r="K399" s="5"/>
      <c r="L399" s="5"/>
      <c r="M399" s="5"/>
      <c r="N399" s="5"/>
      <c r="O399" s="5"/>
      <c r="P399" s="5"/>
      <c r="Q399" s="5"/>
      <c r="R399" s="5"/>
      <c r="S399" s="5"/>
      <c r="T399" s="5"/>
      <c r="U399" s="5"/>
      <c r="W399" s="5" t="str">
        <f>C399&amp;" per region"</f>
        <v>Public sector investment costs (MEUR) (incl. tax) per region</v>
      </c>
      <c r="X399" s="5"/>
      <c r="Y399" s="5"/>
      <c r="Z399" s="5"/>
      <c r="AA399" s="5"/>
      <c r="AB399" s="5"/>
      <c r="AC399" s="5"/>
      <c r="AD399" s="5"/>
      <c r="AE399" s="5"/>
      <c r="AF399" s="5"/>
      <c r="AG399" s="5"/>
      <c r="AH399" s="5"/>
      <c r="AI399" s="5"/>
      <c r="AJ399" s="5"/>
      <c r="AK399" s="5"/>
      <c r="AL399" s="5"/>
      <c r="AM399" s="5"/>
      <c r="AN399" s="5"/>
    </row>
    <row r="400" spans="3:40" hidden="1" outlineLevel="1" x14ac:dyDescent="0.3">
      <c r="W400" s="587"/>
      <c r="AA400" s="587"/>
      <c r="AD400" s="587"/>
      <c r="AG400" s="587"/>
    </row>
    <row r="401" spans="3:40" ht="27" hidden="1" outlineLevel="1" x14ac:dyDescent="0.3">
      <c r="E401" s="625"/>
      <c r="F401" s="625" t="s">
        <v>386</v>
      </c>
      <c r="G401" s="625">
        <v>2021</v>
      </c>
      <c r="H401" s="625">
        <v>2022</v>
      </c>
      <c r="I401" s="625">
        <v>2023</v>
      </c>
      <c r="J401" s="625">
        <v>2024</v>
      </c>
      <c r="K401" s="625">
        <v>2025</v>
      </c>
      <c r="L401" s="625">
        <v>2026</v>
      </c>
      <c r="M401" s="625">
        <v>2027</v>
      </c>
      <c r="N401" s="625">
        <v>2028</v>
      </c>
      <c r="O401" s="625">
        <v>2029</v>
      </c>
      <c r="P401" s="625">
        <v>2030</v>
      </c>
      <c r="Q401" s="625">
        <v>2031</v>
      </c>
      <c r="R401" s="625">
        <v>2032</v>
      </c>
      <c r="S401" s="625">
        <v>2033</v>
      </c>
      <c r="T401" s="625">
        <v>2034</v>
      </c>
      <c r="U401" s="625">
        <v>2035</v>
      </c>
      <c r="W401" s="625"/>
      <c r="X401" s="625" t="s">
        <v>386</v>
      </c>
      <c r="Y401" s="625">
        <v>2021</v>
      </c>
      <c r="Z401" s="625">
        <v>2022</v>
      </c>
      <c r="AA401" s="625">
        <v>2023</v>
      </c>
      <c r="AB401" s="625">
        <v>2024</v>
      </c>
      <c r="AC401" s="625">
        <v>2025</v>
      </c>
      <c r="AD401" s="625">
        <v>2026</v>
      </c>
      <c r="AE401" s="625">
        <v>2027</v>
      </c>
      <c r="AF401" s="625">
        <v>2028</v>
      </c>
      <c r="AG401" s="625">
        <v>2029</v>
      </c>
      <c r="AH401" s="625">
        <v>2030</v>
      </c>
      <c r="AI401" s="625">
        <v>2031</v>
      </c>
      <c r="AJ401" s="625">
        <v>2032</v>
      </c>
      <c r="AK401" s="625">
        <v>2033</v>
      </c>
      <c r="AL401" s="625">
        <v>2034</v>
      </c>
      <c r="AM401" s="625">
        <v>2035</v>
      </c>
    </row>
    <row r="402" spans="3:40" hidden="1" outlineLevel="1" x14ac:dyDescent="0.3">
      <c r="C402" s="587" t="str">
        <f>E402</f>
        <v>Baseline</v>
      </c>
      <c r="E402" s="555" t="str">
        <f>'EE Measures'!$IF$6</f>
        <v>Baseline</v>
      </c>
      <c r="F402" s="590">
        <f>SUM(G402:P402)</f>
        <v>330.79024391786061</v>
      </c>
      <c r="G402" s="591">
        <f>SUM(G403:G407)</f>
        <v>106.64505229216485</v>
      </c>
      <c r="H402" s="591">
        <f>SUM(H403:H407)</f>
        <v>92.956395832151443</v>
      </c>
      <c r="I402" s="591">
        <f t="shared" ref="I402:P402" si="1464">SUM(I403:I407)</f>
        <v>60.157287177050712</v>
      </c>
      <c r="J402" s="591">
        <f t="shared" si="1464"/>
        <v>5.8422447747708413</v>
      </c>
      <c r="K402" s="591">
        <f t="shared" si="1464"/>
        <v>21.29607085670634</v>
      </c>
      <c r="L402" s="591">
        <f t="shared" si="1464"/>
        <v>21.296070856706343</v>
      </c>
      <c r="M402" s="591">
        <f t="shared" si="1464"/>
        <v>18.481199888592013</v>
      </c>
      <c r="N402" s="591">
        <f t="shared" si="1464"/>
        <v>1.3719740799060245</v>
      </c>
      <c r="O402" s="591">
        <f t="shared" si="1464"/>
        <v>1.3719740799060245</v>
      </c>
      <c r="P402" s="591">
        <f t="shared" si="1464"/>
        <v>1.3719740799060245</v>
      </c>
      <c r="Q402" s="591">
        <f t="shared" ref="Q402:U402" si="1465">SUM(Q403:Q407)</f>
        <v>1.3719740799060245</v>
      </c>
      <c r="R402" s="591">
        <f t="shared" si="1465"/>
        <v>1.3719740799060245</v>
      </c>
      <c r="S402" s="591">
        <f t="shared" si="1465"/>
        <v>1.3719740799060245</v>
      </c>
      <c r="T402" s="591">
        <f t="shared" si="1465"/>
        <v>1.3719740799060245</v>
      </c>
      <c r="U402" s="591">
        <f t="shared" si="1465"/>
        <v>1.3719740799060245</v>
      </c>
      <c r="W402" s="555" t="str">
        <f>'EE Measures'!$IF$6</f>
        <v>Baseline</v>
      </c>
      <c r="X402" s="590">
        <f>SUM(Y402:AH402)</f>
        <v>330.79024391786049</v>
      </c>
      <c r="Y402" s="591">
        <f t="shared" ref="Y402:Z402" si="1466">SUM(Y403:Y407)</f>
        <v>106.64505229216486</v>
      </c>
      <c r="Z402" s="591">
        <f t="shared" si="1466"/>
        <v>92.956395832151429</v>
      </c>
      <c r="AA402" s="591">
        <f t="shared" ref="AA402" si="1467">SUM(AA403:AA407)</f>
        <v>60.157287177050712</v>
      </c>
      <c r="AB402" s="591">
        <f t="shared" ref="AB402" si="1468">SUM(AB403:AB407)</f>
        <v>5.8422447747708413</v>
      </c>
      <c r="AC402" s="591">
        <f t="shared" ref="AC402" si="1469">SUM(AC403:AC407)</f>
        <v>21.296070856706333</v>
      </c>
      <c r="AD402" s="591">
        <f t="shared" ref="AD402" si="1470">SUM(AD403:AD407)</f>
        <v>21.296070856706336</v>
      </c>
      <c r="AE402" s="591">
        <f t="shared" ref="AE402" si="1471">SUM(AE403:AE407)</f>
        <v>18.481199888592005</v>
      </c>
      <c r="AF402" s="591">
        <f t="shared" ref="AF402" si="1472">SUM(AF403:AF407)</f>
        <v>1.3719740799060247</v>
      </c>
      <c r="AG402" s="591">
        <f t="shared" ref="AG402" si="1473">SUM(AG403:AG407)</f>
        <v>1.3719740799060247</v>
      </c>
      <c r="AH402" s="591">
        <f t="shared" ref="AH402:AM402" si="1474">SUM(AH403:AH407)</f>
        <v>1.3719740799060247</v>
      </c>
      <c r="AI402" s="591">
        <f t="shared" si="1474"/>
        <v>1.3719740799060247</v>
      </c>
      <c r="AJ402" s="591">
        <f t="shared" si="1474"/>
        <v>1.3719740799060247</v>
      </c>
      <c r="AK402" s="591">
        <f t="shared" si="1474"/>
        <v>1.3719740799060247</v>
      </c>
      <c r="AL402" s="591">
        <f t="shared" si="1474"/>
        <v>1.3719740799060247</v>
      </c>
      <c r="AM402" s="591">
        <f t="shared" si="1474"/>
        <v>1.3719740799060247</v>
      </c>
    </row>
    <row r="403" spans="3:40" hidden="1" outlineLevel="1" x14ac:dyDescent="0.3">
      <c r="C403" s="587" t="str">
        <f>C402</f>
        <v>Baseline</v>
      </c>
      <c r="E403" s="563" t="s">
        <v>50</v>
      </c>
      <c r="F403" s="592">
        <f>SUM(G403:P403)</f>
        <v>91.42347234591405</v>
      </c>
      <c r="G403" s="593">
        <f>SUMPRODUCT('EE Measures'!BZ$8:BZ$86,'EE Measures'!$IF$8:$IF$86,'EE Measures'!$N$8:$N$86,'EE Measures'!$CQ$8:$CQ$86)</f>
        <v>24.708723810229309</v>
      </c>
      <c r="H403" s="593">
        <f>SUMPRODUCT('EE Measures'!CA$8:CA$86,'EE Measures'!$IF$8:$IF$86,'EE Measures'!$N$8:$N$86,'EE Measures'!$CQ$8:$CQ$86)</f>
        <v>2.3185512966668798</v>
      </c>
      <c r="I403" s="593">
        <f>SUMPRODUCT('EE Measures'!CB$8:CB$86,'EE Measures'!$IF$8:$IF$86,'EE Measures'!$N$8:$N$86,'EE Measures'!$CQ$8:$CQ$86)</f>
        <v>1.0123472345914053</v>
      </c>
      <c r="J403" s="593">
        <f>SUMPRODUCT('EE Measures'!CC$8:CC$86,'EE Measures'!$IF$8:$IF$86,'EE Measures'!$N$8:$N$86,'EE Measures'!$CQ$8:$CQ$86)</f>
        <v>1.0123472345914053</v>
      </c>
      <c r="K403" s="593">
        <f>SUMPRODUCT('EE Measures'!CD$8:CD$86,'EE Measures'!$IF$8:$IF$86,'EE Measures'!$N$8:$N$86,'EE Measures'!$CQ$8:$CQ$86)</f>
        <v>20.716444011391719</v>
      </c>
      <c r="L403" s="593">
        <f>SUMPRODUCT('EE Measures'!CE$8:CE$86,'EE Measures'!$IF$8:$IF$86,'EE Measures'!$N$8:$N$86,'EE Measures'!$CQ$8:$CQ$86)</f>
        <v>20.716444011391722</v>
      </c>
      <c r="M403" s="593">
        <f>SUMPRODUCT('EE Measures'!CF$8:CF$86,'EE Measures'!$IF$8:$IF$86,'EE Measures'!$N$8:$N$86,'EE Measures'!$CQ$8:$CQ$86)</f>
        <v>17.901573043277391</v>
      </c>
      <c r="N403" s="593">
        <f>SUMPRODUCT('EE Measures'!CG$8:CG$86,'EE Measures'!$IF$8:$IF$86,'EE Measures'!$N$8:$N$86,'EE Measures'!$CQ$8:$CQ$86)</f>
        <v>1.0123472345914053</v>
      </c>
      <c r="O403" s="593">
        <f>SUMPRODUCT('EE Measures'!CH$8:CH$86,'EE Measures'!$IF$8:$IF$86,'EE Measures'!$N$8:$N$86,'EE Measures'!$CQ$8:$CQ$86)</f>
        <v>1.0123472345914053</v>
      </c>
      <c r="P403" s="593">
        <f>SUMPRODUCT('EE Measures'!CI$8:CI$86,'EE Measures'!$IF$8:$IF$86,'EE Measures'!$N$8:$N$86,'EE Measures'!$CQ$8:$CQ$86)</f>
        <v>1.0123472345914053</v>
      </c>
      <c r="Q403" s="593">
        <f>SUMPRODUCT('EE Measures'!CJ$8:CJ$86,'EE Measures'!$IF$8:$IF$86,'EE Measures'!$N$8:$N$86,'EE Measures'!$CQ$8:$CQ$86)</f>
        <v>1.0123472345914053</v>
      </c>
      <c r="R403" s="593">
        <f>SUMPRODUCT('EE Measures'!CK$8:CK$86,'EE Measures'!$IF$8:$IF$86,'EE Measures'!$N$8:$N$86,'EE Measures'!$CQ$8:$CQ$86)</f>
        <v>1.0123472345914053</v>
      </c>
      <c r="S403" s="593">
        <f>SUMPRODUCT('EE Measures'!CL$8:CL$86,'EE Measures'!$IF$8:$IF$86,'EE Measures'!$N$8:$N$86,'EE Measures'!$CQ$8:$CQ$86)</f>
        <v>1.0123472345914053</v>
      </c>
      <c r="T403" s="593">
        <f>SUMPRODUCT('EE Measures'!CM$8:CM$86,'EE Measures'!$IF$8:$IF$86,'EE Measures'!$N$8:$N$86,'EE Measures'!$CQ$8:$CQ$86)</f>
        <v>1.0123472345914053</v>
      </c>
      <c r="U403" s="593">
        <f>SUMPRODUCT('EE Measures'!CN$8:CN$86,'EE Measures'!$IF$8:$IF$86,'EE Measures'!$N$8:$N$86,'EE Measures'!$CQ$8:$CQ$86)</f>
        <v>1.0123472345914053</v>
      </c>
      <c r="W403" s="563" t="str" cm="1">
        <f t="array" ref="W403:W407">_xlfn.ANCHORARRAY($W$357)</f>
        <v xml:space="preserve">Põhja-Eesti </v>
      </c>
      <c r="X403" s="592">
        <f>SUM(Y403:AH403)</f>
        <v>159.85982203889284</v>
      </c>
      <c r="Y403" s="593">
        <f>SUMPRODUCT('EE Measures'!BZ$8:BZ$86,'EE Measures'!$IF$8:$IF$86,'EE Measures'!$Y$8:$Y$86,'EE Measures'!$CQ$8:$CQ$86)</f>
        <v>55.224382720049391</v>
      </c>
      <c r="Z403" s="593">
        <f>SUMPRODUCT('EE Measures'!CA$8:CA$86,'EE Measures'!$IF$8:$IF$86,'EE Measures'!$Y$8:$Y$86,'EE Measures'!$CQ$8:$CQ$86)</f>
        <v>44.768489279602647</v>
      </c>
      <c r="AA403" s="593">
        <f>SUMPRODUCT('EE Measures'!CB$8:CB$86,'EE Measures'!$IF$8:$IF$86,'EE Measures'!$Y$8:$Y$86,'EE Measures'!$CQ$8:$CQ$86)</f>
        <v>23.586709374329271</v>
      </c>
      <c r="AB403" s="593">
        <f>SUMPRODUCT('EE Measures'!CC$8:CC$86,'EE Measures'!$IF$8:$IF$86,'EE Measures'!$Y$8:$Y$86,'EE Measures'!$CQ$8:$CQ$86)</f>
        <v>3.2357127640316889</v>
      </c>
      <c r="AC403" s="593">
        <f>SUMPRODUCT('EE Measures'!CD$8:CD$86,'EE Measures'!$IF$8:$IF$86,'EE Measures'!$Y$8:$Y$86,'EE Measures'!$CQ$8:$CQ$86)</f>
        <v>10.827727339213354</v>
      </c>
      <c r="AD403" s="593">
        <f>SUMPRODUCT('EE Measures'!CE$8:CE$86,'EE Measures'!$IF$8:$IF$86,'EE Measures'!$Y$8:$Y$86,'EE Measures'!$CQ$8:$CQ$86)</f>
        <v>10.827727339213354</v>
      </c>
      <c r="AE403" s="593">
        <f>SUMPRODUCT('EE Measures'!CF$8:CF$86,'EE Measures'!$IF$8:$IF$86,'EE Measures'!$Y$8:$Y$86,'EE Measures'!$CQ$8:$CQ$86)</f>
        <v>9.3907493598974181</v>
      </c>
      <c r="AF403" s="593">
        <f>SUMPRODUCT('EE Measures'!CG$8:CG$86,'EE Measures'!$IF$8:$IF$86,'EE Measures'!$Y$8:$Y$86,'EE Measures'!$CQ$8:$CQ$86)</f>
        <v>0.66610795418523172</v>
      </c>
      <c r="AG403" s="593">
        <f>SUMPRODUCT('EE Measures'!CH$8:CH$86,'EE Measures'!$IF$8:$IF$86,'EE Measures'!$Y$8:$Y$86,'EE Measures'!$CQ$8:$CQ$86)</f>
        <v>0.66610795418523172</v>
      </c>
      <c r="AH403" s="593">
        <f>SUMPRODUCT('EE Measures'!CI$8:CI$86,'EE Measures'!$IF$8:$IF$86,'EE Measures'!$Y$8:$Y$86,'EE Measures'!$CQ$8:$CQ$86)</f>
        <v>0.66610795418523172</v>
      </c>
      <c r="AI403" s="593">
        <f>SUMPRODUCT('EE Measures'!CJ$8:CJ$86,'EE Measures'!$IF$8:$IF$86,'EE Measures'!$Y$8:$Y$86,'EE Measures'!$CQ$8:$CQ$86)</f>
        <v>0.66610795418523172</v>
      </c>
      <c r="AJ403" s="593">
        <f>SUMPRODUCT('EE Measures'!CK$8:CK$86,'EE Measures'!$IF$8:$IF$86,'EE Measures'!$Y$8:$Y$86,'EE Measures'!$CQ$8:$CQ$86)</f>
        <v>0.66610795418523172</v>
      </c>
      <c r="AK403" s="593">
        <f>SUMPRODUCT('EE Measures'!CL$8:CL$86,'EE Measures'!$IF$8:$IF$86,'EE Measures'!$Y$8:$Y$86,'EE Measures'!$CQ$8:$CQ$86)</f>
        <v>0.66610795418523172</v>
      </c>
      <c r="AL403" s="593">
        <f>SUMPRODUCT('EE Measures'!CM$8:CM$86,'EE Measures'!$IF$8:$IF$86,'EE Measures'!$Y$8:$Y$86,'EE Measures'!$CQ$8:$CQ$86)</f>
        <v>0.66610795418523172</v>
      </c>
      <c r="AM403" s="593">
        <f>SUMPRODUCT('EE Measures'!CN$8:CN$86,'EE Measures'!$IF$8:$IF$86,'EE Measures'!$Y$8:$Y$86,'EE Measures'!$CQ$8:$CQ$86)</f>
        <v>0.66610795418523172</v>
      </c>
      <c r="AN403" s="865">
        <f>X403/$X$402</f>
        <v>0.48326643538673442</v>
      </c>
    </row>
    <row r="404" spans="3:40" hidden="1" outlineLevel="1" x14ac:dyDescent="0.3">
      <c r="C404" s="587" t="str">
        <f t="shared" ref="C404:C407" si="1475">C403</f>
        <v>Baseline</v>
      </c>
      <c r="E404" s="563" t="s">
        <v>51</v>
      </c>
      <c r="F404" s="592">
        <f t="shared" ref="F404:F407" si="1476">SUM(G404:P404)</f>
        <v>67.31124651075794</v>
      </c>
      <c r="G404" s="593">
        <f>SUMPRODUCT('EE Measures'!BZ$8:BZ$86,'EE Measures'!$IF$8:$IF$86,'EE Measures'!$O$8:$O$86,'EE Measures'!$CQ$8:$CQ$86)</f>
        <v>19.823359251885766</v>
      </c>
      <c r="H404" s="593">
        <f>SUMPRODUCT('EE Measures'!CA$8:CA$86,'EE Measures'!$IF$8:$IF$86,'EE Measures'!$O$8:$O$86,'EE Measures'!$CQ$8:$CQ$86)</f>
        <v>22.704467342073567</v>
      </c>
      <c r="I404" s="593">
        <f>SUMPRODUCT('EE Measures'!CB$8:CB$86,'EE Measures'!$IF$8:$IF$86,'EE Measures'!$O$8:$O$86,'EE Measures'!$CQ$8:$CQ$86)</f>
        <v>24.572547359268043</v>
      </c>
      <c r="J404" s="593">
        <f>SUMPRODUCT('EE Measures'!CC$8:CC$86,'EE Measures'!$IF$8:$IF$86,'EE Measures'!$O$8:$O$86,'EE Measures'!$CQ$8:$CQ$86)</f>
        <v>3.0124651075795157E-2</v>
      </c>
      <c r="K404" s="593">
        <f>SUMPRODUCT('EE Measures'!CD$8:CD$86,'EE Measures'!$IF$8:$IF$86,'EE Measures'!$O$8:$O$86,'EE Measures'!$CQ$8:$CQ$86)</f>
        <v>3.0124651075795157E-2</v>
      </c>
      <c r="L404" s="593">
        <f>SUMPRODUCT('EE Measures'!CE$8:CE$86,'EE Measures'!$IF$8:$IF$86,'EE Measures'!$O$8:$O$86,'EE Measures'!$CQ$8:$CQ$86)</f>
        <v>3.0124651075795157E-2</v>
      </c>
      <c r="M404" s="593">
        <f>SUMPRODUCT('EE Measures'!CF$8:CF$86,'EE Measures'!$IF$8:$IF$86,'EE Measures'!$O$8:$O$86,'EE Measures'!$CQ$8:$CQ$86)</f>
        <v>3.0124651075795157E-2</v>
      </c>
      <c r="N404" s="593">
        <f>SUMPRODUCT('EE Measures'!CG$8:CG$86,'EE Measures'!$IF$8:$IF$86,'EE Measures'!$O$8:$O$86,'EE Measures'!$CQ$8:$CQ$86)</f>
        <v>3.0124651075795157E-2</v>
      </c>
      <c r="O404" s="593">
        <f>SUMPRODUCT('EE Measures'!CH$8:CH$86,'EE Measures'!$IF$8:$IF$86,'EE Measures'!$O$8:$O$86,'EE Measures'!$CQ$8:$CQ$86)</f>
        <v>3.0124651075795157E-2</v>
      </c>
      <c r="P404" s="593">
        <f>SUMPRODUCT('EE Measures'!CI$8:CI$86,'EE Measures'!$IF$8:$IF$86,'EE Measures'!$O$8:$O$86,'EE Measures'!$CQ$8:$CQ$86)</f>
        <v>3.0124651075795157E-2</v>
      </c>
      <c r="Q404" s="593">
        <f>SUMPRODUCT('EE Measures'!CJ$8:CJ$86,'EE Measures'!$IF$8:$IF$86,'EE Measures'!$O$8:$O$86,'EE Measures'!$CQ$8:$CQ$86)</f>
        <v>3.0124651075795157E-2</v>
      </c>
      <c r="R404" s="593">
        <f>SUMPRODUCT('EE Measures'!CK$8:CK$86,'EE Measures'!$IF$8:$IF$86,'EE Measures'!$O$8:$O$86,'EE Measures'!$CQ$8:$CQ$86)</f>
        <v>3.0124651075795157E-2</v>
      </c>
      <c r="S404" s="593">
        <f>SUMPRODUCT('EE Measures'!CL$8:CL$86,'EE Measures'!$IF$8:$IF$86,'EE Measures'!$O$8:$O$86,'EE Measures'!$CQ$8:$CQ$86)</f>
        <v>3.0124651075795157E-2</v>
      </c>
      <c r="T404" s="593">
        <f>SUMPRODUCT('EE Measures'!CM$8:CM$86,'EE Measures'!$IF$8:$IF$86,'EE Measures'!$O$8:$O$86,'EE Measures'!$CQ$8:$CQ$86)</f>
        <v>3.0124651075795157E-2</v>
      </c>
      <c r="U404" s="593">
        <f>SUMPRODUCT('EE Measures'!CN$8:CN$86,'EE Measures'!$IF$8:$IF$86,'EE Measures'!$O$8:$O$86,'EE Measures'!$CQ$8:$CQ$86)</f>
        <v>3.0124651075795157E-2</v>
      </c>
      <c r="W404" s="563" t="str">
        <v>Lääne-Eesti</v>
      </c>
      <c r="X404" s="592">
        <f t="shared" ref="X404:X407" si="1477">SUM(Y404:AH404)</f>
        <v>33.535689421247618</v>
      </c>
      <c r="Y404" s="593">
        <f>SUMPRODUCT('EE Measures'!BZ$8:BZ$86,'EE Measures'!$IF$8:$IF$86,'EE Measures'!$Z$8:$Z$86,'EE Measures'!$CQ$8:$CQ$86)</f>
        <v>9.4195323697868432</v>
      </c>
      <c r="Z404" s="593">
        <f>SUMPRODUCT('EE Measures'!CA$8:CA$86,'EE Measures'!$IF$8:$IF$86,'EE Measures'!$Z$8:$Z$86,'EE Measures'!$CQ$8:$CQ$86)</f>
        <v>9.9075218062533139</v>
      </c>
      <c r="AA404" s="593">
        <f>SUMPRODUCT('EE Measures'!CB$8:CB$86,'EE Measures'!$IF$8:$IF$86,'EE Measures'!$Z$8:$Z$86,'EE Measures'!$CQ$8:$CQ$86)</f>
        <v>8.2009940028348431</v>
      </c>
      <c r="AB404" s="593">
        <f>SUMPRODUCT('EE Measures'!CC$8:CC$86,'EE Measures'!$IF$8:$IF$86,'EE Measures'!$Z$8:$Z$86,'EE Measures'!$CQ$8:$CQ$86)</f>
        <v>0.48792712794175119</v>
      </c>
      <c r="AC404" s="593">
        <f>SUMPRODUCT('EE Measures'!CD$8:CD$86,'EE Measures'!$IF$8:$IF$86,'EE Measures'!$Z$8:$Z$86,'EE Measures'!$CQ$8:$CQ$86)</f>
        <v>1.7895576077002791</v>
      </c>
      <c r="AD404" s="593">
        <f>SUMPRODUCT('EE Measures'!CE$8:CE$86,'EE Measures'!$IF$8:$IF$86,'EE Measures'!$Z$8:$Z$86,'EE Measures'!$CQ$8:$CQ$86)</f>
        <v>1.7895576077002793</v>
      </c>
      <c r="AE404" s="593">
        <f>SUMPRODUCT('EE Measures'!CF$8:CF$86,'EE Measures'!$IF$8:$IF$86,'EE Measures'!$Z$8:$Z$86,'EE Measures'!$CQ$8:$CQ$86)</f>
        <v>1.5556541400844601</v>
      </c>
      <c r="AF404" s="593">
        <f>SUMPRODUCT('EE Measures'!CG$8:CG$86,'EE Measures'!$IF$8:$IF$86,'EE Measures'!$Z$8:$Z$86,'EE Measures'!$CQ$8:$CQ$86)</f>
        <v>0.12831491964861536</v>
      </c>
      <c r="AG404" s="593">
        <f>SUMPRODUCT('EE Measures'!CH$8:CH$86,'EE Measures'!$IF$8:$IF$86,'EE Measures'!$Z$8:$Z$86,'EE Measures'!$CQ$8:$CQ$86)</f>
        <v>0.12831491964861536</v>
      </c>
      <c r="AH404" s="593">
        <f>SUMPRODUCT('EE Measures'!CI$8:CI$86,'EE Measures'!$IF$8:$IF$86,'EE Measures'!$Z$8:$Z$86,'EE Measures'!$CQ$8:$CQ$86)</f>
        <v>0.12831491964861536</v>
      </c>
      <c r="AI404" s="593">
        <f>SUMPRODUCT('EE Measures'!CJ$8:CJ$86,'EE Measures'!$IF$8:$IF$86,'EE Measures'!$Z$8:$Z$86,'EE Measures'!$CQ$8:$CQ$86)</f>
        <v>0.12831491964861536</v>
      </c>
      <c r="AJ404" s="593">
        <f>SUMPRODUCT('EE Measures'!CK$8:CK$86,'EE Measures'!$IF$8:$IF$86,'EE Measures'!$Z$8:$Z$86,'EE Measures'!$CQ$8:$CQ$86)</f>
        <v>0.12831491964861536</v>
      </c>
      <c r="AK404" s="593">
        <f>SUMPRODUCT('EE Measures'!CL$8:CL$86,'EE Measures'!$IF$8:$IF$86,'EE Measures'!$Z$8:$Z$86,'EE Measures'!$CQ$8:$CQ$86)</f>
        <v>0.12831491964861536</v>
      </c>
      <c r="AL404" s="593">
        <f>SUMPRODUCT('EE Measures'!CM$8:CM$86,'EE Measures'!$IF$8:$IF$86,'EE Measures'!$Z$8:$Z$86,'EE Measures'!$CQ$8:$CQ$86)</f>
        <v>0.12831491964861536</v>
      </c>
      <c r="AM404" s="593">
        <f>SUMPRODUCT('EE Measures'!CN$8:CN$86,'EE Measures'!$IF$8:$IF$86,'EE Measures'!$Z$8:$Z$86,'EE Measures'!$CQ$8:$CQ$86)</f>
        <v>0.12831491964861536</v>
      </c>
      <c r="AN404" s="865">
        <f>X404/$X$402</f>
        <v>0.10138052750302685</v>
      </c>
    </row>
    <row r="405" spans="3:40" hidden="1" outlineLevel="1" x14ac:dyDescent="0.3">
      <c r="C405" s="587" t="str">
        <f t="shared" si="1475"/>
        <v>Baseline</v>
      </c>
      <c r="E405" s="563" t="s">
        <v>52</v>
      </c>
      <c r="F405" s="592">
        <f t="shared" si="1476"/>
        <v>158.49363027665171</v>
      </c>
      <c r="G405" s="593">
        <f>SUMPRODUCT('EE Measures'!BZ$8:BZ$86,'EE Measures'!$IF$8:$IF$86,'EE Measures'!$P$8:$P$86,'EE Measures'!$CQ$8:$CQ$86)</f>
        <v>60.815779751596082</v>
      </c>
      <c r="H405" s="593">
        <f>SUMPRODUCT('EE Measures'!CA$8:CA$86,'EE Measures'!$IF$8:$IF$86,'EE Measures'!$P$8:$P$86,'EE Measures'!$CQ$8:$CQ$86)</f>
        <v>67.386187714957302</v>
      </c>
      <c r="I405" s="593">
        <f>SUMPRODUCT('EE Measures'!CB$8:CB$86,'EE Measures'!$IF$8:$IF$86,'EE Measures'!$P$8:$P$86,'EE Measures'!$CQ$8:$CQ$86)</f>
        <v>26.02520310473756</v>
      </c>
      <c r="J405" s="593">
        <f>SUMPRODUCT('EE Measures'!CC$8:CC$86,'EE Measures'!$IF$8:$IF$86,'EE Measures'!$P$8:$P$86,'EE Measures'!$CQ$8:$CQ$86)</f>
        <v>4.2525834106499412</v>
      </c>
      <c r="K405" s="593">
        <f>SUMPRODUCT('EE Measures'!CD$8:CD$86,'EE Measures'!$IF$8:$IF$86,'EE Measures'!$P$8:$P$86,'EE Measures'!$CQ$8:$CQ$86)</f>
        <v>2.3127157851242299E-3</v>
      </c>
      <c r="L405" s="593">
        <f>SUMPRODUCT('EE Measures'!CE$8:CE$86,'EE Measures'!$IF$8:$IF$86,'EE Measures'!$P$8:$P$86,'EE Measures'!$CQ$8:$CQ$86)</f>
        <v>2.3127157851242299E-3</v>
      </c>
      <c r="M405" s="593">
        <f>SUMPRODUCT('EE Measures'!CF$8:CF$86,'EE Measures'!$IF$8:$IF$86,'EE Measures'!$P$8:$P$86,'EE Measures'!$CQ$8:$CQ$86)</f>
        <v>2.3127157851242299E-3</v>
      </c>
      <c r="N405" s="593">
        <f>SUMPRODUCT('EE Measures'!CG$8:CG$86,'EE Measures'!$IF$8:$IF$86,'EE Measures'!$P$8:$P$86,'EE Measures'!$CQ$8:$CQ$86)</f>
        <v>2.3127157851242299E-3</v>
      </c>
      <c r="O405" s="593">
        <f>SUMPRODUCT('EE Measures'!CH$8:CH$86,'EE Measures'!$IF$8:$IF$86,'EE Measures'!$P$8:$P$86,'EE Measures'!$CQ$8:$CQ$86)</f>
        <v>2.3127157851242299E-3</v>
      </c>
      <c r="P405" s="593">
        <f>SUMPRODUCT('EE Measures'!CI$8:CI$86,'EE Measures'!$IF$8:$IF$86,'EE Measures'!$P$8:$P$86,'EE Measures'!$CQ$8:$CQ$86)</f>
        <v>2.3127157851242299E-3</v>
      </c>
      <c r="Q405" s="593">
        <f>SUMPRODUCT('EE Measures'!CJ$8:CJ$86,'EE Measures'!$IF$8:$IF$86,'EE Measures'!$P$8:$P$86,'EE Measures'!$CQ$8:$CQ$86)</f>
        <v>2.3127157851242299E-3</v>
      </c>
      <c r="R405" s="593">
        <f>SUMPRODUCT('EE Measures'!CK$8:CK$86,'EE Measures'!$IF$8:$IF$86,'EE Measures'!$P$8:$P$86,'EE Measures'!$CQ$8:$CQ$86)</f>
        <v>2.3127157851242299E-3</v>
      </c>
      <c r="S405" s="593">
        <f>SUMPRODUCT('EE Measures'!CL$8:CL$86,'EE Measures'!$IF$8:$IF$86,'EE Measures'!$P$8:$P$86,'EE Measures'!$CQ$8:$CQ$86)</f>
        <v>2.3127157851242299E-3</v>
      </c>
      <c r="T405" s="593">
        <f>SUMPRODUCT('EE Measures'!CM$8:CM$86,'EE Measures'!$IF$8:$IF$86,'EE Measures'!$P$8:$P$86,'EE Measures'!$CQ$8:$CQ$86)</f>
        <v>2.3127157851242299E-3</v>
      </c>
      <c r="U405" s="593">
        <f>SUMPRODUCT('EE Measures'!CN$8:CN$86,'EE Measures'!$IF$8:$IF$86,'EE Measures'!$P$8:$P$86,'EE Measures'!$CQ$8:$CQ$86)</f>
        <v>2.3127157851242299E-3</v>
      </c>
      <c r="W405" s="563" t="str">
        <v>Kirde-Eesti</v>
      </c>
      <c r="X405" s="592">
        <f t="shared" si="1477"/>
        <v>32.239423208934852</v>
      </c>
      <c r="Y405" s="593">
        <f>SUMPRODUCT('EE Measures'!BZ$8:BZ$86,'EE Measures'!$IF$8:$IF$86,'EE Measures'!$AA$8:$AA$86,'EE Measures'!$CQ$8:$CQ$86)</f>
        <v>10.659107090478445</v>
      </c>
      <c r="Z405" s="593">
        <f>SUMPRODUCT('EE Measures'!CA$8:CA$86,'EE Measures'!$IF$8:$IF$86,'EE Measures'!$AA$8:$AA$86,'EE Measures'!$CQ$8:$CQ$86)</f>
        <v>7.9300114289893076</v>
      </c>
      <c r="AA405" s="593">
        <f>SUMPRODUCT('EE Measures'!CB$8:CB$86,'EE Measures'!$IF$8:$IF$86,'EE Measures'!$AA$8:$AA$86,'EE Measures'!$CQ$8:$CQ$86)</f>
        <v>5.0960439584556987</v>
      </c>
      <c r="AB405" s="593">
        <f>SUMPRODUCT('EE Measures'!CC$8:CC$86,'EE Measures'!$IF$8:$IF$86,'EE Measures'!$AA$8:$AA$86,'EE Measures'!$CQ$8:$CQ$86)</f>
        <v>0.40459769607119883</v>
      </c>
      <c r="AC405" s="593">
        <f>SUMPRODUCT('EE Measures'!CD$8:CD$86,'EE Measures'!$IF$8:$IF$86,'EE Measures'!$AA$8:$AA$86,'EE Measures'!$CQ$8:$CQ$86)</f>
        <v>2.6744704402081387</v>
      </c>
      <c r="AD405" s="593">
        <f>SUMPRODUCT('EE Measures'!CE$8:CE$86,'EE Measures'!$IF$8:$IF$86,'EE Measures'!$AA$8:$AA$86,'EE Measures'!$CQ$8:$CQ$86)</f>
        <v>2.6744704402081392</v>
      </c>
      <c r="AE405" s="593">
        <f>SUMPRODUCT('EE Measures'!CF$8:CF$86,'EE Measures'!$IF$8:$IF$86,'EE Measures'!$AA$8:$AA$86,'EE Measures'!$CQ$8:$CQ$86)</f>
        <v>2.3184376880689559</v>
      </c>
      <c r="AF405" s="593">
        <f>SUMPRODUCT('EE Measures'!CG$8:CG$86,'EE Measures'!$IF$8:$IF$86,'EE Measures'!$AA$8:$AA$86,'EE Measures'!$CQ$8:$CQ$86)</f>
        <v>0.16076148881832014</v>
      </c>
      <c r="AG405" s="593">
        <f>SUMPRODUCT('EE Measures'!CH$8:CH$86,'EE Measures'!$IF$8:$IF$86,'EE Measures'!$AA$8:$AA$86,'EE Measures'!$CQ$8:$CQ$86)</f>
        <v>0.16076148881832014</v>
      </c>
      <c r="AH405" s="593">
        <f>SUMPRODUCT('EE Measures'!CI$8:CI$86,'EE Measures'!$IF$8:$IF$86,'EE Measures'!$AA$8:$AA$86,'EE Measures'!$CQ$8:$CQ$86)</f>
        <v>0.16076148881832014</v>
      </c>
      <c r="AI405" s="593">
        <f>SUMPRODUCT('EE Measures'!CJ$8:CJ$86,'EE Measures'!$IF$8:$IF$86,'EE Measures'!$AA$8:$AA$86,'EE Measures'!$CQ$8:$CQ$86)</f>
        <v>0.16076148881832014</v>
      </c>
      <c r="AJ405" s="593">
        <f>SUMPRODUCT('EE Measures'!CK$8:CK$86,'EE Measures'!$IF$8:$IF$86,'EE Measures'!$AA$8:$AA$86,'EE Measures'!$CQ$8:$CQ$86)</f>
        <v>0.16076148881832014</v>
      </c>
      <c r="AK405" s="593">
        <f>SUMPRODUCT('EE Measures'!CL$8:CL$86,'EE Measures'!$IF$8:$IF$86,'EE Measures'!$AA$8:$AA$86,'EE Measures'!$CQ$8:$CQ$86)</f>
        <v>0.16076148881832014</v>
      </c>
      <c r="AL405" s="593">
        <f>SUMPRODUCT('EE Measures'!CM$8:CM$86,'EE Measures'!$IF$8:$IF$86,'EE Measures'!$AA$8:$AA$86,'EE Measures'!$CQ$8:$CQ$86)</f>
        <v>0.16076148881832014</v>
      </c>
      <c r="AM405" s="593">
        <f>SUMPRODUCT('EE Measures'!CN$8:CN$86,'EE Measures'!$IF$8:$IF$86,'EE Measures'!$AA$8:$AA$86,'EE Measures'!$CQ$8:$CQ$86)</f>
        <v>0.16076148881832014</v>
      </c>
      <c r="AN405" s="865">
        <f>X405/$X$402</f>
        <v>9.7461832087588171E-2</v>
      </c>
    </row>
    <row r="406" spans="3:40" hidden="1" outlineLevel="1" x14ac:dyDescent="0.3">
      <c r="C406" s="587" t="str">
        <f t="shared" si="1475"/>
        <v>Baseline</v>
      </c>
      <c r="E406" s="563" t="s">
        <v>53</v>
      </c>
      <c r="F406" s="592">
        <f t="shared" si="1476"/>
        <v>13.165927506609817</v>
      </c>
      <c r="G406" s="593">
        <f>SUMPRODUCT('EE Measures'!BZ$8:BZ$86,'EE Measures'!$IF$8:$IF$86,'EE Measures'!$Q$8:$Q$86,'EE Measures'!$CQ$8:$CQ$86)</f>
        <v>1.2575927506609816</v>
      </c>
      <c r="H406" s="593">
        <f>SUMPRODUCT('EE Measures'!CA$8:CA$86,'EE Measures'!$IF$8:$IF$86,'EE Measures'!$Q$8:$Q$86,'EE Measures'!$CQ$8:$CQ$86)</f>
        <v>0.50759275066098175</v>
      </c>
      <c r="I406" s="593">
        <f>SUMPRODUCT('EE Measures'!CB$8:CB$86,'EE Measures'!$IF$8:$IF$86,'EE Measures'!$Q$8:$Q$86,'EE Measures'!$CQ$8:$CQ$86)</f>
        <v>8.507592750660983</v>
      </c>
      <c r="J406" s="593">
        <f>SUMPRODUCT('EE Measures'!CC$8:CC$86,'EE Measures'!$IF$8:$IF$86,'EE Measures'!$Q$8:$Q$86,'EE Measures'!$CQ$8:$CQ$86)</f>
        <v>0.50759275066098175</v>
      </c>
      <c r="K406" s="593">
        <f>SUMPRODUCT('EE Measures'!CD$8:CD$86,'EE Measures'!$IF$8:$IF$86,'EE Measures'!$Q$8:$Q$86,'EE Measures'!$CQ$8:$CQ$86)</f>
        <v>0.50759275066098175</v>
      </c>
      <c r="L406" s="593">
        <f>SUMPRODUCT('EE Measures'!CE$8:CE$86,'EE Measures'!$IF$8:$IF$86,'EE Measures'!$Q$8:$Q$86,'EE Measures'!$CQ$8:$CQ$86)</f>
        <v>0.50759275066098175</v>
      </c>
      <c r="M406" s="593">
        <f>SUMPRODUCT('EE Measures'!CF$8:CF$86,'EE Measures'!$IF$8:$IF$86,'EE Measures'!$Q$8:$Q$86,'EE Measures'!$CQ$8:$CQ$86)</f>
        <v>0.50759275066098175</v>
      </c>
      <c r="N406" s="593">
        <f>SUMPRODUCT('EE Measures'!CG$8:CG$86,'EE Measures'!$IF$8:$IF$86,'EE Measures'!$Q$8:$Q$86,'EE Measures'!$CQ$8:$CQ$86)</f>
        <v>0.28759275066098167</v>
      </c>
      <c r="O406" s="593">
        <f>SUMPRODUCT('EE Measures'!CH$8:CH$86,'EE Measures'!$IF$8:$IF$86,'EE Measures'!$Q$8:$Q$86,'EE Measures'!$CQ$8:$CQ$86)</f>
        <v>0.28759275066098167</v>
      </c>
      <c r="P406" s="593">
        <f>SUMPRODUCT('EE Measures'!CI$8:CI$86,'EE Measures'!$IF$8:$IF$86,'EE Measures'!$Q$8:$Q$86,'EE Measures'!$CQ$8:$CQ$86)</f>
        <v>0.28759275066098167</v>
      </c>
      <c r="Q406" s="593">
        <f>SUMPRODUCT('EE Measures'!CJ$8:CJ$86,'EE Measures'!$IF$8:$IF$86,'EE Measures'!$Q$8:$Q$86,'EE Measures'!$CQ$8:$CQ$86)</f>
        <v>0.28759275066098167</v>
      </c>
      <c r="R406" s="593">
        <f>SUMPRODUCT('EE Measures'!CK$8:CK$86,'EE Measures'!$IF$8:$IF$86,'EE Measures'!$Q$8:$Q$86,'EE Measures'!$CQ$8:$CQ$86)</f>
        <v>0.28759275066098167</v>
      </c>
      <c r="S406" s="593">
        <f>SUMPRODUCT('EE Measures'!CL$8:CL$86,'EE Measures'!$IF$8:$IF$86,'EE Measures'!$Q$8:$Q$86,'EE Measures'!$CQ$8:$CQ$86)</f>
        <v>0.28759275066098167</v>
      </c>
      <c r="T406" s="593">
        <f>SUMPRODUCT('EE Measures'!CM$8:CM$86,'EE Measures'!$IF$8:$IF$86,'EE Measures'!$Q$8:$Q$86,'EE Measures'!$CQ$8:$CQ$86)</f>
        <v>0.28759275066098167</v>
      </c>
      <c r="U406" s="593">
        <f>SUMPRODUCT('EE Measures'!CN$8:CN$86,'EE Measures'!$IF$8:$IF$86,'EE Measures'!$Q$8:$Q$86,'EE Measures'!$CQ$8:$CQ$86)</f>
        <v>0.28759275066098167</v>
      </c>
      <c r="W406" s="563" t="str">
        <v>Lõuna-Eesti </v>
      </c>
      <c r="X406" s="592">
        <f t="shared" si="1477"/>
        <v>73.965087627888664</v>
      </c>
      <c r="Y406" s="593">
        <f>SUMPRODUCT('EE Measures'!BZ$8:BZ$86,'EE Measures'!$IF$8:$IF$86,'EE Measures'!$AB$8:$AB$86,'EE Measures'!$CQ$8:$CQ$86)</f>
        <v>22.128477050514331</v>
      </c>
      <c r="Z406" s="593">
        <f>SUMPRODUCT('EE Measures'!CA$8:CA$86,'EE Measures'!$IF$8:$IF$86,'EE Measures'!$AB$8:$AB$86,'EE Measures'!$CQ$8:$CQ$86)</f>
        <v>21.475389372497087</v>
      </c>
      <c r="AA406" s="593">
        <f>SUMPRODUCT('EE Measures'!CB$8:CB$86,'EE Measures'!$IF$8:$IF$86,'EE Measures'!$AB$8:$AB$86,'EE Measures'!$CQ$8:$CQ$86)</f>
        <v>16.272254343403851</v>
      </c>
      <c r="AB406" s="593">
        <f>SUMPRODUCT('EE Measures'!CC$8:CC$86,'EE Measures'!$IF$8:$IF$86,'EE Measures'!$AB$8:$AB$86,'EE Measures'!$CQ$8:$CQ$86)</f>
        <v>1.243875209908911</v>
      </c>
      <c r="AC406" s="593">
        <f>SUMPRODUCT('EE Measures'!CD$8:CD$86,'EE Measures'!$IF$8:$IF$86,'EE Measures'!$AB$8:$AB$86,'EE Measures'!$CQ$8:$CQ$86)</f>
        <v>4.1743692067063565</v>
      </c>
      <c r="AD406" s="593">
        <f>SUMPRODUCT('EE Measures'!CE$8:CE$86,'EE Measures'!$IF$8:$IF$86,'EE Measures'!$AB$8:$AB$86,'EE Measures'!$CQ$8:$CQ$86)</f>
        <v>4.1743692067063565</v>
      </c>
      <c r="AE406" s="593">
        <f>SUMPRODUCT('EE Measures'!CF$8:CF$86,'EE Measures'!$IF$8:$IF$86,'EE Measures'!$AB$8:$AB$86,'EE Measures'!$CQ$8:$CQ$86)</f>
        <v>3.6268501404063063</v>
      </c>
      <c r="AF406" s="593">
        <f>SUMPRODUCT('EE Measures'!CG$8:CG$86,'EE Measures'!$IF$8:$IF$86,'EE Measures'!$AB$8:$AB$86,'EE Measures'!$CQ$8:$CQ$86)</f>
        <v>0.28983436591515965</v>
      </c>
      <c r="AG406" s="593">
        <f>SUMPRODUCT('EE Measures'!CH$8:CH$86,'EE Measures'!$IF$8:$IF$86,'EE Measures'!$AB$8:$AB$86,'EE Measures'!$CQ$8:$CQ$86)</f>
        <v>0.28983436591515965</v>
      </c>
      <c r="AH406" s="593">
        <f>SUMPRODUCT('EE Measures'!CI$8:CI$86,'EE Measures'!$IF$8:$IF$86,'EE Measures'!$AB$8:$AB$86,'EE Measures'!$CQ$8:$CQ$86)</f>
        <v>0.28983436591515965</v>
      </c>
      <c r="AI406" s="593">
        <f>SUMPRODUCT('EE Measures'!CJ$8:CJ$86,'EE Measures'!$IF$8:$IF$86,'EE Measures'!$AB$8:$AB$86,'EE Measures'!$CQ$8:$CQ$86)</f>
        <v>0.28983436591515965</v>
      </c>
      <c r="AJ406" s="593">
        <f>SUMPRODUCT('EE Measures'!CK$8:CK$86,'EE Measures'!$IF$8:$IF$86,'EE Measures'!$AB$8:$AB$86,'EE Measures'!$CQ$8:$CQ$86)</f>
        <v>0.28983436591515965</v>
      </c>
      <c r="AK406" s="593">
        <f>SUMPRODUCT('EE Measures'!CL$8:CL$86,'EE Measures'!$IF$8:$IF$86,'EE Measures'!$AB$8:$AB$86,'EE Measures'!$CQ$8:$CQ$86)</f>
        <v>0.28983436591515965</v>
      </c>
      <c r="AL406" s="593">
        <f>SUMPRODUCT('EE Measures'!CM$8:CM$86,'EE Measures'!$IF$8:$IF$86,'EE Measures'!$AB$8:$AB$86,'EE Measures'!$CQ$8:$CQ$86)</f>
        <v>0.28983436591515965</v>
      </c>
      <c r="AM406" s="593">
        <f>SUMPRODUCT('EE Measures'!CN$8:CN$86,'EE Measures'!$IF$8:$IF$86,'EE Measures'!$AB$8:$AB$86,'EE Measures'!$CQ$8:$CQ$86)</f>
        <v>0.28983436591515965</v>
      </c>
      <c r="AN406" s="865">
        <f>X406/$X$402</f>
        <v>0.22360117623739578</v>
      </c>
    </row>
    <row r="407" spans="3:40" hidden="1" outlineLevel="1" x14ac:dyDescent="0.3">
      <c r="C407" s="587" t="str">
        <f t="shared" si="1475"/>
        <v>Baseline</v>
      </c>
      <c r="E407" s="563" t="s">
        <v>54</v>
      </c>
      <c r="F407" s="592">
        <f t="shared" si="1476"/>
        <v>0.39596727792718317</v>
      </c>
      <c r="G407" s="593">
        <f>SUMPRODUCT('EE Measures'!BZ$8:BZ$86,'EE Measures'!$IF$8:$IF$86,'EE Measures'!$R$8:$R$86,'EE Measures'!$CQ$8:$CQ$86)</f>
        <v>3.9596727792718313E-2</v>
      </c>
      <c r="H407" s="593">
        <f>SUMPRODUCT('EE Measures'!CA$8:CA$86,'EE Measures'!$IF$8:$IF$86,'EE Measures'!$R$8:$R$86,'EE Measures'!$CQ$8:$CQ$86)</f>
        <v>3.9596727792718313E-2</v>
      </c>
      <c r="I407" s="593">
        <f>SUMPRODUCT('EE Measures'!CB$8:CB$86,'EE Measures'!$IF$8:$IF$86,'EE Measures'!$R$8:$R$86,'EE Measures'!$CQ$8:$CQ$86)</f>
        <v>3.9596727792718313E-2</v>
      </c>
      <c r="J407" s="593">
        <f>SUMPRODUCT('EE Measures'!CC$8:CC$86,'EE Measures'!$IF$8:$IF$86,'EE Measures'!$R$8:$R$86,'EE Measures'!$CQ$8:$CQ$86)</f>
        <v>3.9596727792718313E-2</v>
      </c>
      <c r="K407" s="593">
        <f>SUMPRODUCT('EE Measures'!CD$8:CD$86,'EE Measures'!$IF$8:$IF$86,'EE Measures'!$R$8:$R$86,'EE Measures'!$CQ$8:$CQ$86)</f>
        <v>3.9596727792718313E-2</v>
      </c>
      <c r="L407" s="593">
        <f>SUMPRODUCT('EE Measures'!CE$8:CE$86,'EE Measures'!$IF$8:$IF$86,'EE Measures'!$R$8:$R$86,'EE Measures'!$CQ$8:$CQ$86)</f>
        <v>3.9596727792718313E-2</v>
      </c>
      <c r="M407" s="593">
        <f>SUMPRODUCT('EE Measures'!CF$8:CF$86,'EE Measures'!$IF$8:$IF$86,'EE Measures'!$R$8:$R$86,'EE Measures'!$CQ$8:$CQ$86)</f>
        <v>3.9596727792718313E-2</v>
      </c>
      <c r="N407" s="593">
        <f>SUMPRODUCT('EE Measures'!CG$8:CG$86,'EE Measures'!$IF$8:$IF$86,'EE Measures'!$R$8:$R$86,'EE Measures'!$CQ$8:$CQ$86)</f>
        <v>3.9596727792718313E-2</v>
      </c>
      <c r="O407" s="593">
        <f>SUMPRODUCT('EE Measures'!CH$8:CH$86,'EE Measures'!$IF$8:$IF$86,'EE Measures'!$R$8:$R$86,'EE Measures'!$CQ$8:$CQ$86)</f>
        <v>3.9596727792718313E-2</v>
      </c>
      <c r="P407" s="593">
        <f>SUMPRODUCT('EE Measures'!CI$8:CI$86,'EE Measures'!$IF$8:$IF$86,'EE Measures'!$R$8:$R$86,'EE Measures'!$CQ$8:$CQ$86)</f>
        <v>3.9596727792718313E-2</v>
      </c>
      <c r="Q407" s="593">
        <f>SUMPRODUCT('EE Measures'!CJ$8:CJ$86,'EE Measures'!$IF$8:$IF$86,'EE Measures'!$R$8:$R$86,'EE Measures'!$CQ$8:$CQ$86)</f>
        <v>3.9596727792718313E-2</v>
      </c>
      <c r="R407" s="593">
        <f>SUMPRODUCT('EE Measures'!CK$8:CK$86,'EE Measures'!$IF$8:$IF$86,'EE Measures'!$R$8:$R$86,'EE Measures'!$CQ$8:$CQ$86)</f>
        <v>3.9596727792718313E-2</v>
      </c>
      <c r="S407" s="593">
        <f>SUMPRODUCT('EE Measures'!CL$8:CL$86,'EE Measures'!$IF$8:$IF$86,'EE Measures'!$R$8:$R$86,'EE Measures'!$CQ$8:$CQ$86)</f>
        <v>3.9596727792718313E-2</v>
      </c>
      <c r="T407" s="593">
        <f>SUMPRODUCT('EE Measures'!CM$8:CM$86,'EE Measures'!$IF$8:$IF$86,'EE Measures'!$R$8:$R$86,'EE Measures'!$CQ$8:$CQ$86)</f>
        <v>3.9596727792718313E-2</v>
      </c>
      <c r="U407" s="593">
        <f>SUMPRODUCT('EE Measures'!CN$8:CN$86,'EE Measures'!$IF$8:$IF$86,'EE Measures'!$R$8:$R$86,'EE Measures'!$CQ$8:$CQ$86)</f>
        <v>3.9596727792718313E-2</v>
      </c>
      <c r="W407" s="563" t="str">
        <v>Kesk-Eesti</v>
      </c>
      <c r="X407" s="592">
        <f t="shared" si="1477"/>
        <v>31.190221620896626</v>
      </c>
      <c r="Y407" s="593">
        <f>SUMPRODUCT('EE Measures'!BZ$8:BZ$86,'EE Measures'!$IF$8:$IF$86,'EE Measures'!$AC$8:$AC$86,'EE Measures'!$CQ$8:$CQ$86)</f>
        <v>9.2135530613358441</v>
      </c>
      <c r="Z407" s="593">
        <f>SUMPRODUCT('EE Measures'!CA$8:CA$86,'EE Measures'!$IF$8:$IF$86,'EE Measures'!$AC$8:$AC$86,'EE Measures'!$CQ$8:$CQ$86)</f>
        <v>8.8749839448090775</v>
      </c>
      <c r="AA407" s="593">
        <f>SUMPRODUCT('EE Measures'!CB$8:CB$86,'EE Measures'!$IF$8:$IF$86,'EE Measures'!$AC$8:$AC$86,'EE Measures'!$CQ$8:$CQ$86)</f>
        <v>7.0012854980270456</v>
      </c>
      <c r="AB407" s="593">
        <f>SUMPRODUCT('EE Measures'!CC$8:CC$86,'EE Measures'!$IF$8:$IF$86,'EE Measures'!$AC$8:$AC$86,'EE Measures'!$CQ$8:$CQ$86)</f>
        <v>0.47013197681729157</v>
      </c>
      <c r="AC407" s="593">
        <f>SUMPRODUCT('EE Measures'!CD$8:CD$86,'EE Measures'!$IF$8:$IF$86,'EE Measures'!$AC$8:$AC$86,'EE Measures'!$CQ$8:$CQ$86)</f>
        <v>1.8299462628782073</v>
      </c>
      <c r="AD407" s="593">
        <f>SUMPRODUCT('EE Measures'!CE$8:CE$86,'EE Measures'!$IF$8:$IF$86,'EE Measures'!$AC$8:$AC$86,'EE Measures'!$CQ$8:$CQ$86)</f>
        <v>1.8299462628782075</v>
      </c>
      <c r="AE407" s="593">
        <f>SUMPRODUCT('EE Measures'!CF$8:CF$86,'EE Measures'!$IF$8:$IF$86,'EE Measures'!$AC$8:$AC$86,'EE Measures'!$CQ$8:$CQ$86)</f>
        <v>1.5895085601348629</v>
      </c>
      <c r="AF407" s="593">
        <f>SUMPRODUCT('EE Measures'!CG$8:CG$86,'EE Measures'!$IF$8:$IF$86,'EE Measures'!$AC$8:$AC$86,'EE Measures'!$CQ$8:$CQ$86)</f>
        <v>0.12695535133869781</v>
      </c>
      <c r="AG407" s="593">
        <f>SUMPRODUCT('EE Measures'!CH$8:CH$86,'EE Measures'!$IF$8:$IF$86,'EE Measures'!$AC$8:$AC$86,'EE Measures'!$CQ$8:$CQ$86)</f>
        <v>0.12695535133869781</v>
      </c>
      <c r="AH407" s="593">
        <f>SUMPRODUCT('EE Measures'!CI$8:CI$86,'EE Measures'!$IF$8:$IF$86,'EE Measures'!$AC$8:$AC$86,'EE Measures'!$CQ$8:$CQ$86)</f>
        <v>0.12695535133869781</v>
      </c>
      <c r="AI407" s="593">
        <f>SUMPRODUCT('EE Measures'!CJ$8:CJ$86,'EE Measures'!$IF$8:$IF$86,'EE Measures'!$AC$8:$AC$86,'EE Measures'!$CQ$8:$CQ$86)</f>
        <v>0.12695535133869781</v>
      </c>
      <c r="AJ407" s="593">
        <f>SUMPRODUCT('EE Measures'!CK$8:CK$86,'EE Measures'!$IF$8:$IF$86,'EE Measures'!$AC$8:$AC$86,'EE Measures'!$CQ$8:$CQ$86)</f>
        <v>0.12695535133869781</v>
      </c>
      <c r="AK407" s="593">
        <f>SUMPRODUCT('EE Measures'!CL$8:CL$86,'EE Measures'!$IF$8:$IF$86,'EE Measures'!$AC$8:$AC$86,'EE Measures'!$CQ$8:$CQ$86)</f>
        <v>0.12695535133869781</v>
      </c>
      <c r="AL407" s="593">
        <f>SUMPRODUCT('EE Measures'!CM$8:CM$86,'EE Measures'!$IF$8:$IF$86,'EE Measures'!$AC$8:$AC$86,'EE Measures'!$CQ$8:$CQ$86)</f>
        <v>0.12695535133869781</v>
      </c>
      <c r="AM407" s="593">
        <f>SUMPRODUCT('EE Measures'!CN$8:CN$86,'EE Measures'!$IF$8:$IF$86,'EE Measures'!$AC$8:$AC$86,'EE Measures'!$CQ$8:$CQ$86)</f>
        <v>0.12695535133869781</v>
      </c>
      <c r="AN407" s="865">
        <f>X407/$X$402</f>
        <v>9.4290028785255109E-2</v>
      </c>
    </row>
    <row r="408" spans="3:40" hidden="1" outlineLevel="1" x14ac:dyDescent="0.3">
      <c r="C408" s="587" t="str">
        <f>E408</f>
        <v>EEO</v>
      </c>
      <c r="E408" s="555" t="str">
        <f>'EE Measures'!$IG$6</f>
        <v>EEO</v>
      </c>
      <c r="F408" s="590">
        <f>SUM(G408:P408)</f>
        <v>2887.7470318077631</v>
      </c>
      <c r="G408" s="591">
        <f>SUM(G409:G413)</f>
        <v>219.97747341601396</v>
      </c>
      <c r="H408" s="591">
        <f>SUM(H409:H413)</f>
        <v>161.90598516883404</v>
      </c>
      <c r="I408" s="591">
        <f t="shared" ref="I408:P408" si="1478">SUM(I409:I413)</f>
        <v>113.17102043255014</v>
      </c>
      <c r="J408" s="591">
        <f t="shared" si="1478"/>
        <v>197.75362024086124</v>
      </c>
      <c r="K408" s="591">
        <f t="shared" si="1478"/>
        <v>523.45660574980741</v>
      </c>
      <c r="L408" s="591">
        <f t="shared" si="1478"/>
        <v>400.40702170364409</v>
      </c>
      <c r="M408" s="591">
        <f t="shared" si="1478"/>
        <v>330.70574905684509</v>
      </c>
      <c r="N408" s="591">
        <f t="shared" si="1478"/>
        <v>307.9730088458781</v>
      </c>
      <c r="O408" s="591">
        <f t="shared" si="1478"/>
        <v>314.79318888409654</v>
      </c>
      <c r="P408" s="591">
        <f t="shared" si="1478"/>
        <v>317.60335830923208</v>
      </c>
      <c r="Q408" s="591">
        <f t="shared" ref="Q408:U408" si="1479">SUM(Q409:Q413)</f>
        <v>314.13601498181447</v>
      </c>
      <c r="R408" s="591">
        <f t="shared" si="1479"/>
        <v>320.07377472114706</v>
      </c>
      <c r="S408" s="591">
        <f t="shared" si="1479"/>
        <v>326.13028965526632</v>
      </c>
      <c r="T408" s="591">
        <f t="shared" si="1479"/>
        <v>332.3079348880679</v>
      </c>
      <c r="U408" s="591">
        <f t="shared" si="1479"/>
        <v>338.60913302552558</v>
      </c>
      <c r="W408" s="555" t="str">
        <f>'EE Measures'!$IG$6</f>
        <v>EEO</v>
      </c>
      <c r="X408" s="590">
        <f>SUM(Y408:AH408)</f>
        <v>2887.6270318077627</v>
      </c>
      <c r="Y408" s="591">
        <f t="shared" ref="Y408:Z408" si="1480">SUM(Y409:Y413)</f>
        <v>219.97747341601396</v>
      </c>
      <c r="Z408" s="591">
        <f t="shared" si="1480"/>
        <v>161.90598516883401</v>
      </c>
      <c r="AA408" s="591">
        <f t="shared" ref="AA408" si="1481">SUM(AA409:AA413)</f>
        <v>113.17102043255015</v>
      </c>
      <c r="AB408" s="591">
        <f t="shared" ref="AB408" si="1482">SUM(AB409:AB413)</f>
        <v>197.75362024086127</v>
      </c>
      <c r="AC408" s="591">
        <f t="shared" ref="AC408" si="1483">SUM(AC409:AC413)</f>
        <v>523.43660574980731</v>
      </c>
      <c r="AD408" s="591">
        <f t="shared" ref="AD408" si="1484">SUM(AD409:AD413)</f>
        <v>400.38702170364411</v>
      </c>
      <c r="AE408" s="591">
        <f t="shared" ref="AE408" si="1485">SUM(AE409:AE413)</f>
        <v>330.685749056845</v>
      </c>
      <c r="AF408" s="591">
        <f t="shared" ref="AF408" si="1486">SUM(AF409:AF413)</f>
        <v>307.95300884587806</v>
      </c>
      <c r="AG408" s="591">
        <f t="shared" ref="AG408" si="1487">SUM(AG409:AG413)</f>
        <v>314.7731888840965</v>
      </c>
      <c r="AH408" s="591">
        <f t="shared" ref="AH408:AM408" si="1488">SUM(AH409:AH413)</f>
        <v>317.58335830923198</v>
      </c>
      <c r="AI408" s="591">
        <f t="shared" si="1488"/>
        <v>314.11601498181443</v>
      </c>
      <c r="AJ408" s="591">
        <f t="shared" si="1488"/>
        <v>320.05377472114702</v>
      </c>
      <c r="AK408" s="591">
        <f t="shared" si="1488"/>
        <v>326.11028965526623</v>
      </c>
      <c r="AL408" s="591">
        <f t="shared" si="1488"/>
        <v>332.28793488806787</v>
      </c>
      <c r="AM408" s="591">
        <f t="shared" si="1488"/>
        <v>338.58913302552548</v>
      </c>
    </row>
    <row r="409" spans="3:40" hidden="1" outlineLevel="1" x14ac:dyDescent="0.3">
      <c r="C409" s="587" t="str">
        <f>C408</f>
        <v>EEO</v>
      </c>
      <c r="E409" s="563" t="s">
        <v>50</v>
      </c>
      <c r="F409" s="592">
        <f>SUM(G409:P409)</f>
        <v>175.75367515759081</v>
      </c>
      <c r="G409" s="593">
        <f>SUMPRODUCT('EE Measures'!BZ$8:BZ$86,'EE Measures'!$IG$8:$IG$86,'EE Measures'!$N$8:$N$86,'EE Measures'!$CQ$8:$CQ$86)</f>
        <v>24.708723810229309</v>
      </c>
      <c r="H409" s="593">
        <f>SUMPRODUCT('EE Measures'!CA$8:CA$86,'EE Measures'!$IG$8:$IG$86,'EE Measures'!$N$8:$N$86,'EE Measures'!$CQ$8:$CQ$86)</f>
        <v>2.3185512966668798</v>
      </c>
      <c r="I409" s="593">
        <f>SUMPRODUCT('EE Measures'!CB$8:CB$86,'EE Measures'!$IG$8:$IG$86,'EE Measures'!$N$8:$N$86,'EE Measures'!$CQ$8:$CQ$86)</f>
        <v>1.0123472345914053</v>
      </c>
      <c r="J409" s="593">
        <f>SUMPRODUCT('EE Measures'!CC$8:CC$86,'EE Measures'!$IG$8:$IG$86,'EE Measures'!$N$8:$N$86,'EE Measures'!$CQ$8:$CQ$86)</f>
        <v>15.012347234591408</v>
      </c>
      <c r="K409" s="593">
        <f>SUMPRODUCT('EE Measures'!CD$8:CD$86,'EE Measures'!$IG$8:$IG$86,'EE Measures'!$N$8:$N$86,'EE Measures'!$CQ$8:$CQ$86)</f>
        <v>45.039811146671184</v>
      </c>
      <c r="L409" s="593">
        <f>SUMPRODUCT('EE Measures'!CE$8:CE$86,'EE Measures'!$IG$8:$IG$86,'EE Measures'!$N$8:$N$86,'EE Measures'!$CQ$8:$CQ$86)</f>
        <v>35.589811146671181</v>
      </c>
      <c r="M409" s="593">
        <f>SUMPRODUCT('EE Measures'!CF$8:CF$86,'EE Measures'!$IG$8:$IG$86,'EE Measures'!$N$8:$N$86,'EE Measures'!$CQ$8:$CQ$86)</f>
        <v>25.68494017855685</v>
      </c>
      <c r="N409" s="593">
        <f>SUMPRODUCT('EE Measures'!CG$8:CG$86,'EE Measures'!$IG$8:$IG$86,'EE Measures'!$N$8:$N$86,'EE Measures'!$CQ$8:$CQ$86)</f>
        <v>8.7957143698708649</v>
      </c>
      <c r="O409" s="593">
        <f>SUMPRODUCT('EE Measures'!CH$8:CH$86,'EE Measures'!$IG$8:$IG$86,'EE Measures'!$N$8:$N$86,'EE Measures'!$CQ$8:$CQ$86)</f>
        <v>8.7957143698708649</v>
      </c>
      <c r="P409" s="593">
        <f>SUMPRODUCT('EE Measures'!CI$8:CI$86,'EE Measures'!$IG$8:$IG$86,'EE Measures'!$N$8:$N$86,'EE Measures'!$CQ$8:$CQ$86)</f>
        <v>8.7957143698708649</v>
      </c>
      <c r="Q409" s="593">
        <f>SUMPRODUCT('EE Measures'!CJ$8:CJ$86,'EE Measures'!$IG$8:$IG$86,'EE Measures'!$N$8:$N$86,'EE Measures'!$CQ$8:$CQ$86)</f>
        <v>8.7957143698708649</v>
      </c>
      <c r="R409" s="593">
        <f>SUMPRODUCT('EE Measures'!CK$8:CK$86,'EE Measures'!$IG$8:$IG$86,'EE Measures'!$N$8:$N$86,'EE Measures'!$CQ$8:$CQ$86)</f>
        <v>8.7957143698708649</v>
      </c>
      <c r="S409" s="593">
        <f>SUMPRODUCT('EE Measures'!CL$8:CL$86,'EE Measures'!$IG$8:$IG$86,'EE Measures'!$N$8:$N$86,'EE Measures'!$CQ$8:$CQ$86)</f>
        <v>8.7957143698708649</v>
      </c>
      <c r="T409" s="593">
        <f>SUMPRODUCT('EE Measures'!CM$8:CM$86,'EE Measures'!$IG$8:$IG$86,'EE Measures'!$N$8:$N$86,'EE Measures'!$CQ$8:$CQ$86)</f>
        <v>8.7957143698708649</v>
      </c>
      <c r="U409" s="593">
        <f>SUMPRODUCT('EE Measures'!CN$8:CN$86,'EE Measures'!$IG$8:$IG$86,'EE Measures'!$N$8:$N$86,'EE Measures'!$CQ$8:$CQ$86)</f>
        <v>8.7957143698708649</v>
      </c>
      <c r="W409" s="563" t="str" cm="1">
        <f t="array" ref="W409:W413">_xlfn.ANCHORARRAY($W$357)</f>
        <v xml:space="preserve">Põhja-Eesti </v>
      </c>
      <c r="X409" s="592">
        <f>SUM(Y409:AH409)</f>
        <v>1198.8076010171596</v>
      </c>
      <c r="Y409" s="593">
        <f>SUMPRODUCT('EE Measures'!BZ$8:BZ$86,'EE Measures'!$IG$8:$IG$86,'EE Measures'!$Y$8:$Y$86,'EE Measures'!$CQ$8:$CQ$86)</f>
        <v>109.25843622753695</v>
      </c>
      <c r="Z409" s="593">
        <f>SUMPRODUCT('EE Measures'!CA$8:CA$86,'EE Measures'!$IG$8:$IG$86,'EE Measures'!$Y$8:$Y$86,'EE Measures'!$CQ$8:$CQ$86)</f>
        <v>78.831060160873008</v>
      </c>
      <c r="AA409" s="593">
        <f>SUMPRODUCT('EE Measures'!CB$8:CB$86,'EE Measures'!$IG$8:$IG$86,'EE Measures'!$Y$8:$Y$86,'EE Measures'!$CQ$8:$CQ$86)</f>
        <v>49.666106205052863</v>
      </c>
      <c r="AB409" s="593">
        <f>SUMPRODUCT('EE Measures'!CC$8:CC$86,'EE Measures'!$IG$8:$IG$86,'EE Measures'!$Y$8:$Y$86,'EE Measures'!$CQ$8:$CQ$86)</f>
        <v>99.01276779318755</v>
      </c>
      <c r="AC409" s="593">
        <f>SUMPRODUCT('EE Measures'!CD$8:CD$86,'EE Measures'!$IG$8:$IG$86,'EE Measures'!$Y$8:$Y$86,'EE Measures'!$CQ$8:$CQ$86)</f>
        <v>233.48337495830967</v>
      </c>
      <c r="AD409" s="593">
        <f>SUMPRODUCT('EE Measures'!CE$8:CE$86,'EE Measures'!$IG$8:$IG$86,'EE Measures'!$Y$8:$Y$86,'EE Measures'!$CQ$8:$CQ$86)</f>
        <v>160.45415958855534</v>
      </c>
      <c r="AE409" s="593">
        <f>SUMPRODUCT('EE Measures'!CF$8:CF$86,'EE Measures'!$IG$8:$IG$86,'EE Measures'!$Y$8:$Y$86,'EE Measures'!$CQ$8:$CQ$86)</f>
        <v>124.19799267551251</v>
      </c>
      <c r="AF409" s="593">
        <f>SUMPRODUCT('EE Measures'!CG$8:CG$86,'EE Measures'!$IG$8:$IG$86,'EE Measures'!$Y$8:$Y$86,'EE Measures'!$CQ$8:$CQ$86)</f>
        <v>112.46821490646909</v>
      </c>
      <c r="AG409" s="593">
        <f>SUMPRODUCT('EE Measures'!CH$8:CH$86,'EE Measures'!$IG$8:$IG$86,'EE Measures'!$Y$8:$Y$86,'EE Measures'!$CQ$8:$CQ$86)</f>
        <v>115.26335659183519</v>
      </c>
      <c r="AH409" s="593">
        <f>SUMPRODUCT('EE Measures'!CI$8:CI$86,'EE Measures'!$IG$8:$IG$86,'EE Measures'!$Y$8:$Y$86,'EE Measures'!$CQ$8:$CQ$86)</f>
        <v>116.1721319098277</v>
      </c>
      <c r="AI409" s="593">
        <f>SUMPRODUCT('EE Measures'!CJ$8:CJ$86,'EE Measures'!$IG$8:$IG$86,'EE Measures'!$Y$8:$Y$86,'EE Measures'!$CQ$8:$CQ$86)</f>
        <v>112.47297809441167</v>
      </c>
      <c r="AJ409" s="593">
        <f>SUMPRODUCT('EE Measures'!CK$8:CK$86,'EE Measures'!$IG$8:$IG$86,'EE Measures'!$Y$8:$Y$86,'EE Measures'!$CQ$8:$CQ$86)</f>
        <v>114.55277343530452</v>
      </c>
      <c r="AK409" s="593">
        <f>SUMPRODUCT('EE Measures'!CL$8:CL$86,'EE Measures'!$IG$8:$IG$86,'EE Measures'!$Y$8:$Y$86,'EE Measures'!$CQ$8:$CQ$86)</f>
        <v>116.67416468301522</v>
      </c>
      <c r="AL409" s="593">
        <f>SUMPRODUCT('EE Measures'!CM$8:CM$86,'EE Measures'!$IG$8:$IG$86,'EE Measures'!$Y$8:$Y$86,'EE Measures'!$CQ$8:$CQ$86)</f>
        <v>118.83798375568014</v>
      </c>
      <c r="AM409" s="593">
        <f>SUMPRODUCT('EE Measures'!CN$8:CN$86,'EE Measures'!$IG$8:$IG$86,'EE Measures'!$Y$8:$Y$86,'EE Measures'!$CQ$8:$CQ$86)</f>
        <v>121.04507920979837</v>
      </c>
      <c r="AN409" s="865">
        <f>X409/X408</f>
        <v>0.41515319943055845</v>
      </c>
    </row>
    <row r="410" spans="3:40" hidden="1" outlineLevel="1" x14ac:dyDescent="0.3">
      <c r="C410" s="587" t="str">
        <f t="shared" ref="C410:C413" si="1489">C409</f>
        <v>EEO</v>
      </c>
      <c r="E410" s="563" t="s">
        <v>51</v>
      </c>
      <c r="F410" s="592">
        <f t="shared" ref="F410:F413" si="1490">SUM(G410:P410)</f>
        <v>127.31124651075793</v>
      </c>
      <c r="G410" s="593">
        <f>SUMPRODUCT('EE Measures'!BZ$8:BZ$86,'EE Measures'!$IG$8:$IG$86,'EE Measures'!$O$8:$O$86,'EE Measures'!$CQ$8:$CQ$86)</f>
        <v>19.823359251885766</v>
      </c>
      <c r="H410" s="593">
        <f>SUMPRODUCT('EE Measures'!CA$8:CA$86,'EE Measures'!$IG$8:$IG$86,'EE Measures'!$O$8:$O$86,'EE Measures'!$CQ$8:$CQ$86)</f>
        <v>22.704467342073567</v>
      </c>
      <c r="I410" s="593">
        <f>SUMPRODUCT('EE Measures'!CB$8:CB$86,'EE Measures'!$IG$8:$IG$86,'EE Measures'!$O$8:$O$86,'EE Measures'!$CQ$8:$CQ$86)</f>
        <v>24.572547359268043</v>
      </c>
      <c r="J410" s="593">
        <f>SUMPRODUCT('EE Measures'!CC$8:CC$86,'EE Measures'!$IG$8:$IG$86,'EE Measures'!$O$8:$O$86,'EE Measures'!$CQ$8:$CQ$86)</f>
        <v>3.0124651075795157E-2</v>
      </c>
      <c r="K410" s="593">
        <f>SUMPRODUCT('EE Measures'!CD$8:CD$86,'EE Measures'!$IG$8:$IG$86,'EE Measures'!$O$8:$O$86,'EE Measures'!$CQ$8:$CQ$86)</f>
        <v>9.5416733911879419</v>
      </c>
      <c r="L410" s="593">
        <f>SUMPRODUCT('EE Measures'!CE$8:CE$86,'EE Measures'!$IG$8:$IG$86,'EE Measures'!$O$8:$O$86,'EE Measures'!$CQ$8:$CQ$86)</f>
        <v>9.731904365990184</v>
      </c>
      <c r="M410" s="593">
        <f>SUMPRODUCT('EE Measures'!CF$8:CF$86,'EE Measures'!$IG$8:$IG$86,'EE Measures'!$O$8:$O$86,'EE Measures'!$CQ$8:$CQ$86)</f>
        <v>9.9259399602884724</v>
      </c>
      <c r="N410" s="593">
        <f>SUMPRODUCT('EE Measures'!CG$8:CG$86,'EE Measures'!$IG$8:$IG$86,'EE Measures'!$O$8:$O$86,'EE Measures'!$CQ$8:$CQ$86)</f>
        <v>10.123856266472727</v>
      </c>
      <c r="O410" s="593">
        <f>SUMPRODUCT('EE Measures'!CH$8:CH$86,'EE Measures'!$IG$8:$IG$86,'EE Measures'!$O$8:$O$86,'EE Measures'!$CQ$8:$CQ$86)</f>
        <v>10.325730898780666</v>
      </c>
      <c r="P410" s="593">
        <f>SUMPRODUCT('EE Measures'!CI$8:CI$86,'EE Measures'!$IG$8:$IG$86,'EE Measures'!$O$8:$O$86,'EE Measures'!$CQ$8:$CQ$86)</f>
        <v>10.531643023734764</v>
      </c>
      <c r="Q410" s="593">
        <f>SUMPRODUCT('EE Measures'!CJ$8:CJ$86,'EE Measures'!$IG$8:$IG$86,'EE Measures'!$O$8:$O$86,'EE Measures'!$CQ$8:$CQ$86)</f>
        <v>10.741673391187943</v>
      </c>
      <c r="R410" s="593">
        <f>SUMPRODUCT('EE Measures'!CK$8:CK$86,'EE Measures'!$IG$8:$IG$86,'EE Measures'!$O$8:$O$86,'EE Measures'!$CQ$8:$CQ$86)</f>
        <v>10.955904365990186</v>
      </c>
      <c r="S410" s="593">
        <f>SUMPRODUCT('EE Measures'!CL$8:CL$86,'EE Measures'!$IG$8:$IG$86,'EE Measures'!$O$8:$O$86,'EE Measures'!$CQ$8:$CQ$86)</f>
        <v>11.174419960288473</v>
      </c>
      <c r="T410" s="593">
        <f>SUMPRODUCT('EE Measures'!CM$8:CM$86,'EE Measures'!$IG$8:$IG$86,'EE Measures'!$O$8:$O$86,'EE Measures'!$CQ$8:$CQ$86)</f>
        <v>11.397305866472728</v>
      </c>
      <c r="U410" s="593">
        <f>SUMPRODUCT('EE Measures'!CN$8:CN$86,'EE Measures'!$IG$8:$IG$86,'EE Measures'!$O$8:$O$86,'EE Measures'!$CQ$8:$CQ$86)</f>
        <v>11.624649490780667</v>
      </c>
      <c r="W410" s="563" t="str">
        <v>Lääne-Eesti</v>
      </c>
      <c r="X410" s="592">
        <f t="shared" ref="X410:X413" si="1491">SUM(Y410:AH410)</f>
        <v>617.67235750789405</v>
      </c>
      <c r="Y410" s="593">
        <f>SUMPRODUCT('EE Measures'!BZ$8:BZ$86,'EE Measures'!$IG$8:$IG$86,'EE Measures'!$Z$8:$Z$86,'EE Measures'!$CQ$8:$CQ$86)</f>
        <v>34.731534563582564</v>
      </c>
      <c r="Z410" s="593">
        <f>SUMPRODUCT('EE Measures'!CA$8:CA$86,'EE Measures'!$IG$8:$IG$86,'EE Measures'!$Z$8:$Z$86,'EE Measures'!$CQ$8:$CQ$86)</f>
        <v>39.471913999812969</v>
      </c>
      <c r="AA410" s="593">
        <f>SUMPRODUCT('EE Measures'!CB$8:CB$86,'EE Measures'!$IG$8:$IG$86,'EE Measures'!$Z$8:$Z$86,'EE Measures'!$CQ$8:$CQ$86)</f>
        <v>29.615847954347863</v>
      </c>
      <c r="AB410" s="593">
        <f>SUMPRODUCT('EE Measures'!CC$8:CC$86,'EE Measures'!$IG$8:$IG$86,'EE Measures'!$Z$8:$Z$86,'EE Measures'!$CQ$8:$CQ$86)</f>
        <v>86.728831308711108</v>
      </c>
      <c r="AC410" s="593">
        <f>SUMPRODUCT('EE Measures'!CD$8:CD$86,'EE Measures'!$IG$8:$IG$86,'EE Measures'!$Z$8:$Z$86,'EE Measures'!$CQ$8:$CQ$86)</f>
        <v>134.87594327060168</v>
      </c>
      <c r="AD410" s="593">
        <f>SUMPRODUCT('EE Measures'!CE$8:CE$86,'EE Measures'!$IG$8:$IG$86,'EE Measures'!$Z$8:$Z$86,'EE Measures'!$CQ$8:$CQ$86)</f>
        <v>87.936944729120796</v>
      </c>
      <c r="AE410" s="593">
        <f>SUMPRODUCT('EE Measures'!CF$8:CF$86,'EE Measures'!$IG$8:$IG$86,'EE Measures'!$Z$8:$Z$86,'EE Measures'!$CQ$8:$CQ$86)</f>
        <v>51.734852425744947</v>
      </c>
      <c r="AF410" s="593">
        <f>SUMPRODUCT('EE Measures'!CG$8:CG$86,'EE Measures'!$IG$8:$IG$86,'EE Measures'!$Z$8:$Z$86,'EE Measures'!$CQ$8:$CQ$86)</f>
        <v>49.974962212659243</v>
      </c>
      <c r="AG410" s="593">
        <f>SUMPRODUCT('EE Measures'!CH$8:CH$86,'EE Measures'!$IG$8:$IG$86,'EE Measures'!$Z$8:$Z$86,'EE Measures'!$CQ$8:$CQ$86)</f>
        <v>51.001904030383599</v>
      </c>
      <c r="AH410" s="593">
        <f>SUMPRODUCT('EE Measures'!CI$8:CI$86,'EE Measures'!$IG$8:$IG$86,'EE Measures'!$Z$8:$Z$86,'EE Measures'!$CQ$8:$CQ$86)</f>
        <v>51.599623012929385</v>
      </c>
      <c r="AI410" s="593">
        <f>SUMPRODUCT('EE Measures'!CJ$8:CJ$86,'EE Measures'!$IG$8:$IG$86,'EE Measures'!$Z$8:$Z$86,'EE Measures'!$CQ$8:$CQ$86)</f>
        <v>51.812761547948917</v>
      </c>
      <c r="AJ410" s="593">
        <f>SUMPRODUCT('EE Measures'!CK$8:CK$86,'EE Measures'!$IG$8:$IG$86,'EE Measures'!$Z$8:$Z$86,'EE Measures'!$CQ$8:$CQ$86)</f>
        <v>52.816249360484242</v>
      </c>
      <c r="AK410" s="593">
        <f>SUMPRODUCT('EE Measures'!CL$8:CL$86,'EE Measures'!$IG$8:$IG$86,'EE Measures'!$Z$8:$Z$86,'EE Measures'!$CQ$8:$CQ$86)</f>
        <v>53.839806929270281</v>
      </c>
      <c r="AL410" s="593">
        <f>SUMPRODUCT('EE Measures'!CM$8:CM$86,'EE Measures'!$IG$8:$IG$86,'EE Measures'!$Z$8:$Z$86,'EE Measures'!$CQ$8:$CQ$86)</f>
        <v>54.883835649432037</v>
      </c>
      <c r="AM410" s="593">
        <f>SUMPRODUCT('EE Measures'!CN$8:CN$86,'EE Measures'!$IG$8:$IG$86,'EE Measures'!$Z$8:$Z$86,'EE Measures'!$CQ$8:$CQ$86)</f>
        <v>55.948744943997035</v>
      </c>
      <c r="AN410" s="865">
        <f>X410/X408</f>
        <v>0.21390309437614871</v>
      </c>
    </row>
    <row r="411" spans="3:40" hidden="1" outlineLevel="1" x14ac:dyDescent="0.3">
      <c r="C411" s="587" t="str">
        <f t="shared" si="1489"/>
        <v>EEO</v>
      </c>
      <c r="E411" s="563" t="s">
        <v>52</v>
      </c>
      <c r="F411" s="592">
        <f t="shared" si="1490"/>
        <v>1540.7006297134517</v>
      </c>
      <c r="G411" s="593">
        <f>SUMPRODUCT('EE Measures'!BZ$8:BZ$86,'EE Measures'!$IG$8:$IG$86,'EE Measures'!$P$8:$P$86,'EE Measures'!$CQ$8:$CQ$86)</f>
        <v>60.815779751596082</v>
      </c>
      <c r="H411" s="593">
        <f>SUMPRODUCT('EE Measures'!CA$8:CA$86,'EE Measures'!$IG$8:$IG$86,'EE Measures'!$P$8:$P$86,'EE Measures'!$CQ$8:$CQ$86)</f>
        <v>67.386187714957302</v>
      </c>
      <c r="I411" s="593">
        <f>SUMPRODUCT('EE Measures'!CB$8:CB$86,'EE Measures'!$IG$8:$IG$86,'EE Measures'!$P$8:$P$86,'EE Measures'!$CQ$8:$CQ$86)</f>
        <v>26.02520310473756</v>
      </c>
      <c r="J411" s="593">
        <f>SUMPRODUCT('EE Measures'!CC$8:CC$86,'EE Measures'!$IG$8:$IG$86,'EE Measures'!$P$8:$P$86,'EE Measures'!$CQ$8:$CQ$86)</f>
        <v>4.2525834106499412</v>
      </c>
      <c r="K411" s="593">
        <f>SUMPRODUCT('EE Measures'!CD$8:CD$86,'EE Measures'!$IG$8:$IG$86,'EE Measures'!$P$8:$P$86,'EE Measures'!$CQ$8:$CQ$86)</f>
        <v>219.11780011690661</v>
      </c>
      <c r="L411" s="593">
        <f>SUMPRODUCT('EE Measures'!CE$8:CE$86,'EE Measures'!$IG$8:$IG$86,'EE Measures'!$P$8:$P$86,'EE Measures'!$CQ$8:$CQ$86)</f>
        <v>223.50010986492902</v>
      </c>
      <c r="M411" s="593">
        <f>SUMPRODUCT('EE Measures'!CF$8:CF$86,'EE Measures'!$IG$8:$IG$86,'EE Measures'!$P$8:$P$86,'EE Measures'!$CQ$8:$CQ$86)</f>
        <v>227.97006580791191</v>
      </c>
      <c r="N411" s="593">
        <f>SUMPRODUCT('EE Measures'!CG$8:CG$86,'EE Measures'!$IG$8:$IG$86,'EE Measures'!$P$8:$P$86,'EE Measures'!$CQ$8:$CQ$86)</f>
        <v>232.52942086975446</v>
      </c>
      <c r="O411" s="593">
        <f>SUMPRODUCT('EE Measures'!CH$8:CH$86,'EE Measures'!$IG$8:$IG$86,'EE Measures'!$P$8:$P$86,'EE Measures'!$CQ$8:$CQ$86)</f>
        <v>237.17996303283385</v>
      </c>
      <c r="P411" s="593">
        <f>SUMPRODUCT('EE Measures'!CI$8:CI$86,'EE Measures'!$IG$8:$IG$86,'EE Measures'!$P$8:$P$86,'EE Measures'!$CQ$8:$CQ$86)</f>
        <v>241.92351603917487</v>
      </c>
      <c r="Q411" s="593">
        <f>SUMPRODUCT('EE Measures'!CJ$8:CJ$86,'EE Measures'!$IG$8:$IG$86,'EE Measures'!$P$8:$P$86,'EE Measures'!$CQ$8:$CQ$86)</f>
        <v>246.76194010564265</v>
      </c>
      <c r="R411" s="593">
        <f>SUMPRODUCT('EE Measures'!CK$8:CK$86,'EE Measures'!$IG$8:$IG$86,'EE Measures'!$P$8:$P$86,'EE Measures'!$CQ$8:$CQ$86)</f>
        <v>251.69713265343981</v>
      </c>
      <c r="S411" s="593">
        <f>SUMPRODUCT('EE Measures'!CL$8:CL$86,'EE Measures'!$IG$8:$IG$86,'EE Measures'!$P$8:$P$86,'EE Measures'!$CQ$8:$CQ$86)</f>
        <v>256.73102905219292</v>
      </c>
      <c r="T411" s="593">
        <f>SUMPRODUCT('EE Measures'!CM$8:CM$86,'EE Measures'!$IG$8:$IG$86,'EE Measures'!$P$8:$P$86,'EE Measures'!$CQ$8:$CQ$86)</f>
        <v>261.86560337892104</v>
      </c>
      <c r="U411" s="593">
        <f>SUMPRODUCT('EE Measures'!CN$8:CN$86,'EE Measures'!$IG$8:$IG$86,'EE Measures'!$P$8:$P$86,'EE Measures'!$CQ$8:$CQ$86)</f>
        <v>267.10286919218379</v>
      </c>
      <c r="W411" s="563" t="str">
        <v>Kirde-Eesti</v>
      </c>
      <c r="X411" s="592">
        <f t="shared" si="1491"/>
        <v>200.84051806808463</v>
      </c>
      <c r="Y411" s="593">
        <f>SUMPRODUCT('EE Measures'!BZ$8:BZ$86,'EE Measures'!$IG$8:$IG$86,'EE Measures'!$AA$8:$AA$86,'EE Measures'!$CQ$8:$CQ$86)</f>
        <v>18.482831078924221</v>
      </c>
      <c r="Z411" s="593">
        <f>SUMPRODUCT('EE Measures'!CA$8:CA$86,'EE Measures'!$IG$8:$IG$86,'EE Measures'!$AA$8:$AA$86,'EE Measures'!$CQ$8:$CQ$86)</f>
        <v>9.1552898089698296</v>
      </c>
      <c r="AA411" s="593">
        <f>SUMPRODUCT('EE Measures'!CB$8:CB$86,'EE Measures'!$IG$8:$IG$86,'EE Measures'!$AA$8:$AA$86,'EE Measures'!$CQ$8:$CQ$86)</f>
        <v>6.3666390012901513</v>
      </c>
      <c r="AB411" s="593">
        <f>SUMPRODUCT('EE Measures'!CC$8:CC$86,'EE Measures'!$IG$8:$IG$86,'EE Measures'!$AA$8:$AA$86,'EE Measures'!$CQ$8:$CQ$86)</f>
        <v>3.1430533802187464</v>
      </c>
      <c r="AC411" s="593">
        <f>SUMPRODUCT('EE Measures'!CD$8:CD$86,'EE Measures'!$IG$8:$IG$86,'EE Measures'!$AA$8:$AA$86,'EE Measures'!$CQ$8:$CQ$86)</f>
        <v>29.48983560306948</v>
      </c>
      <c r="AD411" s="593">
        <f>SUMPRODUCT('EE Measures'!CE$8:CE$86,'EE Measures'!$IG$8:$IG$86,'EE Measures'!$AA$8:$AA$86,'EE Measures'!$CQ$8:$CQ$86)</f>
        <v>28.311017987487514</v>
      </c>
      <c r="AE411" s="593">
        <f>SUMPRODUCT('EE Measures'!CF$8:CF$86,'EE Measures'!$IG$8:$IG$86,'EE Measures'!$AA$8:$AA$86,'EE Measures'!$CQ$8:$CQ$86)</f>
        <v>28.315759693125898</v>
      </c>
      <c r="AF411" s="593">
        <f>SUMPRODUCT('EE Measures'!CG$8:CG$86,'EE Measures'!$IG$8:$IG$86,'EE Measures'!$AA$8:$AA$86,'EE Measures'!$CQ$8:$CQ$86)</f>
        <v>25.467355953539219</v>
      </c>
      <c r="AG411" s="593">
        <f>SUMPRODUCT('EE Measures'!CH$8:CH$86,'EE Measures'!$IG$8:$IG$86,'EE Measures'!$AA$8:$AA$86,'EE Measures'!$CQ$8:$CQ$86)</f>
        <v>25.989802925413699</v>
      </c>
      <c r="AH411" s="593">
        <f>SUMPRODUCT('EE Measures'!CI$8:CI$86,'EE Measures'!$IG$8:$IG$86,'EE Measures'!$AA$8:$AA$86,'EE Measures'!$CQ$8:$CQ$86)</f>
        <v>26.118932636045873</v>
      </c>
      <c r="AI411" s="593">
        <f>SUMPRODUCT('EE Measures'!CJ$8:CJ$86,'EE Measures'!$IG$8:$IG$86,'EE Measures'!$AA$8:$AA$86,'EE Measures'!$CQ$8:$CQ$86)</f>
        <v>26.129753906630551</v>
      </c>
      <c r="AJ411" s="593">
        <f>SUMPRODUCT('EE Measures'!CK$8:CK$86,'EE Measures'!$IG$8:$IG$86,'EE Measures'!$AA$8:$AA$86,'EE Measures'!$CQ$8:$CQ$86)</f>
        <v>26.61397148468825</v>
      </c>
      <c r="AK411" s="593">
        <f>SUMPRODUCT('EE Measures'!CL$8:CL$86,'EE Measures'!$IG$8:$IG$86,'EE Measures'!$AA$8:$AA$86,'EE Measures'!$CQ$8:$CQ$86)</f>
        <v>27.107873414307097</v>
      </c>
      <c r="AL411" s="593">
        <f>SUMPRODUCT('EE Measures'!CM$8:CM$86,'EE Measures'!$IG$8:$IG$86,'EE Measures'!$AA$8:$AA$86,'EE Measures'!$CQ$8:$CQ$86)</f>
        <v>27.611653382518323</v>
      </c>
      <c r="AM411" s="593">
        <f>SUMPRODUCT('EE Measures'!CN$8:CN$86,'EE Measures'!$IG$8:$IG$86,'EE Measures'!$AA$8:$AA$86,'EE Measures'!$CQ$8:$CQ$86)</f>
        <v>28.125508950093774</v>
      </c>
      <c r="AN411" s="865">
        <f>X411/X408</f>
        <v>6.9552097918390426E-2</v>
      </c>
    </row>
    <row r="412" spans="3:40" hidden="1" outlineLevel="1" x14ac:dyDescent="0.3">
      <c r="C412" s="587" t="str">
        <f t="shared" si="1489"/>
        <v>EEO</v>
      </c>
      <c r="E412" s="563" t="s">
        <v>53</v>
      </c>
      <c r="F412" s="592">
        <f t="shared" si="1490"/>
        <v>1039.1605901395731</v>
      </c>
      <c r="G412" s="593">
        <f>SUMPRODUCT('EE Measures'!BZ$8:BZ$86,'EE Measures'!$IG$8:$IG$86,'EE Measures'!$Q$8:$Q$86,'EE Measures'!$CQ$8:$CQ$86)</f>
        <v>114.59001387451011</v>
      </c>
      <c r="H412" s="593">
        <f>SUMPRODUCT('EE Measures'!CA$8:CA$86,'EE Measures'!$IG$8:$IG$86,'EE Measures'!$Q$8:$Q$86,'EE Measures'!$CQ$8:$CQ$86)</f>
        <v>69.457182087343568</v>
      </c>
      <c r="I412" s="593">
        <f>SUMPRODUCT('EE Measures'!CB$8:CB$86,'EE Measures'!$IG$8:$IG$86,'EE Measures'!$Q$8:$Q$86,'EE Measures'!$CQ$8:$CQ$86)</f>
        <v>61.521326006160415</v>
      </c>
      <c r="J412" s="593">
        <f>SUMPRODUCT('EE Measures'!CC$8:CC$86,'EE Measures'!$IG$8:$IG$86,'EE Measures'!$Q$8:$Q$86,'EE Measures'!$CQ$8:$CQ$86)</f>
        <v>178.41896821675138</v>
      </c>
      <c r="K412" s="593">
        <f>SUMPRODUCT('EE Measures'!CD$8:CD$86,'EE Measures'!$IG$8:$IG$86,'EE Measures'!$Q$8:$Q$86,'EE Measures'!$CQ$8:$CQ$86)</f>
        <v>249.71772436724891</v>
      </c>
      <c r="L412" s="593">
        <f>SUMPRODUCT('EE Measures'!CE$8:CE$86,'EE Measures'!$IG$8:$IG$86,'EE Measures'!$Q$8:$Q$86,'EE Measures'!$CQ$8:$CQ$86)</f>
        <v>131.54559959826096</v>
      </c>
      <c r="M412" s="593">
        <f>SUMPRODUCT('EE Measures'!CF$8:CF$86,'EE Measures'!$IG$8:$IG$86,'EE Measures'!$Q$8:$Q$86,'EE Measures'!$CQ$8:$CQ$86)</f>
        <v>65.978975630179619</v>
      </c>
      <c r="N412" s="593">
        <f>SUMPRODUCT('EE Measures'!CG$8:CG$86,'EE Measures'!$IG$8:$IG$86,'EE Measures'!$Q$8:$Q$86,'EE Measures'!$CQ$8:$CQ$86)</f>
        <v>55.378189859871789</v>
      </c>
      <c r="O412" s="593">
        <f>SUMPRODUCT('EE Measures'!CH$8:CH$86,'EE Measures'!$IG$8:$IG$86,'EE Measures'!$Q$8:$Q$86,'EE Measures'!$CQ$8:$CQ$86)</f>
        <v>57.34595310270295</v>
      </c>
      <c r="P412" s="593">
        <f>SUMPRODUCT('EE Measures'!CI$8:CI$86,'EE Measures'!$IG$8:$IG$86,'EE Measures'!$Q$8:$Q$86,'EE Measures'!$CQ$8:$CQ$86)</f>
        <v>55.206657396543314</v>
      </c>
      <c r="Q412" s="593">
        <f>SUMPRODUCT('EE Measures'!CJ$8:CJ$86,'EE Measures'!$IG$8:$IG$86,'EE Measures'!$Q$8:$Q$86,'EE Measures'!$CQ$8:$CQ$86)</f>
        <v>47.797090387320253</v>
      </c>
      <c r="R412" s="593">
        <f>SUMPRODUCT('EE Measures'!CK$8:CK$86,'EE Measures'!$IG$8:$IG$86,'EE Measures'!$Q$8:$Q$86,'EE Measures'!$CQ$8:$CQ$86)</f>
        <v>48.585426604053438</v>
      </c>
      <c r="S412" s="593">
        <f>SUMPRODUCT('EE Measures'!CL$8:CL$86,'EE Measures'!$IG$8:$IG$86,'EE Measures'!$Q$8:$Q$86,'EE Measures'!$CQ$8:$CQ$86)</f>
        <v>49.389529545121292</v>
      </c>
      <c r="T412" s="593">
        <f>SUMPRODUCT('EE Measures'!CM$8:CM$86,'EE Measures'!$IG$8:$IG$86,'EE Measures'!$Q$8:$Q$86,'EE Measures'!$CQ$8:$CQ$86)</f>
        <v>50.209714545010492</v>
      </c>
      <c r="U412" s="593">
        <f>SUMPRODUCT('EE Measures'!CN$8:CN$86,'EE Measures'!$IG$8:$IG$86,'EE Measures'!$Q$8:$Q$86,'EE Measures'!$CQ$8:$CQ$86)</f>
        <v>51.04630324489748</v>
      </c>
      <c r="W412" s="563" t="str">
        <v>Lõuna-Eesti </v>
      </c>
      <c r="X412" s="592">
        <f t="shared" si="1491"/>
        <v>607.10700600677546</v>
      </c>
      <c r="Y412" s="593">
        <f>SUMPRODUCT('EE Measures'!BZ$8:BZ$86,'EE Measures'!$IG$8:$IG$86,'EE Measures'!$AB$8:$AB$86,'EE Measures'!$CQ$8:$CQ$86)</f>
        <v>41.032945113689003</v>
      </c>
      <c r="Z412" s="593">
        <f>SUMPRODUCT('EE Measures'!CA$8:CA$86,'EE Measures'!$IG$8:$IG$86,'EE Measures'!$AB$8:$AB$86,'EE Measures'!$CQ$8:$CQ$86)</f>
        <v>24.436030115581595</v>
      </c>
      <c r="AA412" s="593">
        <f>SUMPRODUCT('EE Measures'!CB$8:CB$86,'EE Measures'!$IG$8:$IG$86,'EE Measures'!$AB$8:$AB$86,'EE Measures'!$CQ$8:$CQ$86)</f>
        <v>19.342393760894169</v>
      </c>
      <c r="AB412" s="593">
        <f>SUMPRODUCT('EE Measures'!CC$8:CC$86,'EE Measures'!$IG$8:$IG$86,'EE Measures'!$AB$8:$AB$86,'EE Measures'!$CQ$8:$CQ$86)</f>
        <v>6.305253418750782</v>
      </c>
      <c r="AC412" s="593">
        <f>SUMPRODUCT('EE Measures'!CD$8:CD$86,'EE Measures'!$IG$8:$IG$86,'EE Measures'!$AB$8:$AB$86,'EE Measures'!$CQ$8:$CQ$86)</f>
        <v>87.391304761320228</v>
      </c>
      <c r="AD412" s="593">
        <f>SUMPRODUCT('EE Measures'!CE$8:CE$86,'EE Measures'!$IG$8:$IG$86,'EE Measures'!$AB$8:$AB$86,'EE Measures'!$CQ$8:$CQ$86)</f>
        <v>86.043234220088408</v>
      </c>
      <c r="AE412" s="593">
        <f>SUMPRODUCT('EE Measures'!CF$8:CF$86,'EE Measures'!$IG$8:$IG$86,'EE Measures'!$AB$8:$AB$86,'EE Measures'!$CQ$8:$CQ$86)</f>
        <v>87.974482231109562</v>
      </c>
      <c r="AF412" s="593">
        <f>SUMPRODUCT('EE Measures'!CG$8:CG$86,'EE Measures'!$IG$8:$IG$86,'EE Measures'!$AB$8:$AB$86,'EE Measures'!$CQ$8:$CQ$86)</f>
        <v>83.435786418011133</v>
      </c>
      <c r="AG412" s="593">
        <f>SUMPRODUCT('EE Measures'!CH$8:CH$86,'EE Measures'!$IG$8:$IG$86,'EE Measures'!$AB$8:$AB$86,'EE Measures'!$CQ$8:$CQ$86)</f>
        <v>85.174265081084485</v>
      </c>
      <c r="AH412" s="593">
        <f>SUMPRODUCT('EE Measures'!CI$8:CI$86,'EE Measures'!$IG$8:$IG$86,'EE Measures'!$AB$8:$AB$86,'EE Measures'!$CQ$8:$CQ$86)</f>
        <v>85.97131088624613</v>
      </c>
      <c r="AI412" s="593">
        <f>SUMPRODUCT('EE Measures'!CJ$8:CJ$86,'EE Measures'!$IG$8:$IG$86,'EE Measures'!$AB$8:$AB$86,'EE Measures'!$CQ$8:$CQ$86)</f>
        <v>85.898302391216035</v>
      </c>
      <c r="AJ412" s="593">
        <f>SUMPRODUCT('EE Measures'!CK$8:CK$86,'EE Measures'!$IG$8:$IG$86,'EE Measures'!$AB$8:$AB$86,'EE Measures'!$CQ$8:$CQ$86)</f>
        <v>87.542668566044171</v>
      </c>
      <c r="AK412" s="593">
        <f>SUMPRODUCT('EE Measures'!CL$8:CL$86,'EE Measures'!$IG$8:$IG$86,'EE Measures'!$AB$8:$AB$86,'EE Measures'!$CQ$8:$CQ$86)</f>
        <v>89.219922064368859</v>
      </c>
      <c r="AL412" s="593">
        <f>SUMPRODUCT('EE Measures'!CM$8:CM$86,'EE Measures'!$IG$8:$IG$86,'EE Measures'!$AB$8:$AB$86,'EE Measures'!$CQ$8:$CQ$86)</f>
        <v>90.930720632660041</v>
      </c>
      <c r="AM412" s="593">
        <f>SUMPRODUCT('EE Measures'!CN$8:CN$86,'EE Measures'!$IG$8:$IG$86,'EE Measures'!$AB$8:$AB$86,'EE Measures'!$CQ$8:$CQ$86)</f>
        <v>92.675735172317061</v>
      </c>
      <c r="AN412" s="865">
        <f>X412/X408</f>
        <v>0.21024425915098313</v>
      </c>
    </row>
    <row r="413" spans="3:40" hidden="1" outlineLevel="1" x14ac:dyDescent="0.3">
      <c r="C413" s="587" t="str">
        <f t="shared" si="1489"/>
        <v>EEO</v>
      </c>
      <c r="E413" s="563" t="s">
        <v>54</v>
      </c>
      <c r="F413" s="592">
        <f t="shared" si="1490"/>
        <v>4.8208902863891456</v>
      </c>
      <c r="G413" s="593">
        <f>SUMPRODUCT('EE Measures'!BZ$8:BZ$86,'EE Measures'!$IG$8:$IG$86,'EE Measures'!$R$8:$R$86,'EE Measures'!$CQ$8:$CQ$86)</f>
        <v>3.9596727792718313E-2</v>
      </c>
      <c r="H413" s="593">
        <f>SUMPRODUCT('EE Measures'!CA$8:CA$86,'EE Measures'!$IG$8:$IG$86,'EE Measures'!$R$8:$R$86,'EE Measures'!$CQ$8:$CQ$86)</f>
        <v>3.9596727792718313E-2</v>
      </c>
      <c r="I413" s="593">
        <f>SUMPRODUCT('EE Measures'!CB$8:CB$86,'EE Measures'!$IG$8:$IG$86,'EE Measures'!$R$8:$R$86,'EE Measures'!$CQ$8:$CQ$86)</f>
        <v>3.9596727792718313E-2</v>
      </c>
      <c r="J413" s="593">
        <f>SUMPRODUCT('EE Measures'!CC$8:CC$86,'EE Measures'!$IG$8:$IG$86,'EE Measures'!$R$8:$R$86,'EE Measures'!$CQ$8:$CQ$86)</f>
        <v>3.9596727792718313E-2</v>
      </c>
      <c r="K413" s="593">
        <f>SUMPRODUCT('EE Measures'!CD$8:CD$86,'EE Measures'!$IG$8:$IG$86,'EE Measures'!$R$8:$R$86,'EE Measures'!$CQ$8:$CQ$86)</f>
        <v>3.9596727792718313E-2</v>
      </c>
      <c r="L413" s="593">
        <f>SUMPRODUCT('EE Measures'!CE$8:CE$86,'EE Measures'!$IG$8:$IG$86,'EE Measures'!$R$8:$R$86,'EE Measures'!$CQ$8:$CQ$86)</f>
        <v>3.9596727792718313E-2</v>
      </c>
      <c r="M413" s="593">
        <f>SUMPRODUCT('EE Measures'!CF$8:CF$86,'EE Measures'!$IG$8:$IG$86,'EE Measures'!$R$8:$R$86,'EE Measures'!$CQ$8:$CQ$86)</f>
        <v>1.1458274799082089</v>
      </c>
      <c r="N413" s="593">
        <f>SUMPRODUCT('EE Measures'!CG$8:CG$86,'EE Measures'!$IG$8:$IG$86,'EE Measures'!$R$8:$R$86,'EE Measures'!$CQ$8:$CQ$86)</f>
        <v>1.1458274799082089</v>
      </c>
      <c r="O413" s="593">
        <f>SUMPRODUCT('EE Measures'!CH$8:CH$86,'EE Measures'!$IG$8:$IG$86,'EE Measures'!$R$8:$R$86,'EE Measures'!$CQ$8:$CQ$86)</f>
        <v>1.1458274799082089</v>
      </c>
      <c r="P413" s="593">
        <f>SUMPRODUCT('EE Measures'!CI$8:CI$86,'EE Measures'!$IG$8:$IG$86,'EE Measures'!$R$8:$R$86,'EE Measures'!$CQ$8:$CQ$86)</f>
        <v>1.1458274799082089</v>
      </c>
      <c r="Q413" s="593">
        <f>SUMPRODUCT('EE Measures'!CJ$8:CJ$86,'EE Measures'!$IG$8:$IG$86,'EE Measures'!$R$8:$R$86,'EE Measures'!$CQ$8:$CQ$86)</f>
        <v>3.9596727792718313E-2</v>
      </c>
      <c r="R413" s="593">
        <f>SUMPRODUCT('EE Measures'!CK$8:CK$86,'EE Measures'!$IG$8:$IG$86,'EE Measures'!$R$8:$R$86,'EE Measures'!$CQ$8:$CQ$86)</f>
        <v>3.9596727792718313E-2</v>
      </c>
      <c r="S413" s="593">
        <f>SUMPRODUCT('EE Measures'!CL$8:CL$86,'EE Measures'!$IG$8:$IG$86,'EE Measures'!$R$8:$R$86,'EE Measures'!$CQ$8:$CQ$86)</f>
        <v>3.9596727792718313E-2</v>
      </c>
      <c r="T413" s="593">
        <f>SUMPRODUCT('EE Measures'!CM$8:CM$86,'EE Measures'!$IG$8:$IG$86,'EE Measures'!$R$8:$R$86,'EE Measures'!$CQ$8:$CQ$86)</f>
        <v>3.9596727792718313E-2</v>
      </c>
      <c r="U413" s="593">
        <f>SUMPRODUCT('EE Measures'!CN$8:CN$86,'EE Measures'!$IG$8:$IG$86,'EE Measures'!$R$8:$R$86,'EE Measures'!$CQ$8:$CQ$86)</f>
        <v>3.9596727792718313E-2</v>
      </c>
      <c r="W413" s="563" t="str">
        <v>Kesk-Eesti</v>
      </c>
      <c r="X413" s="592">
        <f t="shared" si="1491"/>
        <v>263.19954920784829</v>
      </c>
      <c r="Y413" s="593">
        <f>SUMPRODUCT('EE Measures'!BZ$8:BZ$86,'EE Measures'!$IG$8:$IG$86,'EE Measures'!$AC$8:$AC$86,'EE Measures'!$CQ$8:$CQ$86)</f>
        <v>16.47172643228123</v>
      </c>
      <c r="Z413" s="593">
        <f>SUMPRODUCT('EE Measures'!CA$8:CA$86,'EE Measures'!$IG$8:$IG$86,'EE Measures'!$AC$8:$AC$86,'EE Measures'!$CQ$8:$CQ$86)</f>
        <v>10.011691083596629</v>
      </c>
      <c r="AA413" s="593">
        <f>SUMPRODUCT('EE Measures'!CB$8:CB$86,'EE Measures'!$IG$8:$IG$86,'EE Measures'!$AC$8:$AC$86,'EE Measures'!$CQ$8:$CQ$86)</f>
        <v>8.1800335109650977</v>
      </c>
      <c r="AB413" s="593">
        <f>SUMPRODUCT('EE Measures'!CC$8:CC$86,'EE Measures'!$IG$8:$IG$86,'EE Measures'!$AC$8:$AC$86,'EE Measures'!$CQ$8:$CQ$86)</f>
        <v>2.5637143399930453</v>
      </c>
      <c r="AC413" s="593">
        <f>SUMPRODUCT('EE Measures'!CD$8:CD$86,'EE Measures'!$IG$8:$IG$86,'EE Measures'!$AC$8:$AC$86,'EE Measures'!$CQ$8:$CQ$86)</f>
        <v>38.196147156506349</v>
      </c>
      <c r="AD413" s="593">
        <f>SUMPRODUCT('EE Measures'!CE$8:CE$86,'EE Measures'!$IG$8:$IG$86,'EE Measures'!$AC$8:$AC$86,'EE Measures'!$CQ$8:$CQ$86)</f>
        <v>37.641665178392053</v>
      </c>
      <c r="AE413" s="593">
        <f>SUMPRODUCT('EE Measures'!CF$8:CF$86,'EE Measures'!$IG$8:$IG$86,'EE Measures'!$AC$8:$AC$86,'EE Measures'!$CQ$8:$CQ$86)</f>
        <v>38.462662031352103</v>
      </c>
      <c r="AF413" s="593">
        <f>SUMPRODUCT('EE Measures'!CG$8:CG$86,'EE Measures'!$IG$8:$IG$86,'EE Measures'!$AC$8:$AC$86,'EE Measures'!$CQ$8:$CQ$86)</f>
        <v>36.606689355199372</v>
      </c>
      <c r="AG413" s="593">
        <f>SUMPRODUCT('EE Measures'!CH$8:CH$86,'EE Measures'!$IG$8:$IG$86,'EE Measures'!$AC$8:$AC$86,'EE Measures'!$CQ$8:$CQ$86)</f>
        <v>37.343860255379539</v>
      </c>
      <c r="AH413" s="593">
        <f>SUMPRODUCT('EE Measures'!CI$8:CI$86,'EE Measures'!$IG$8:$IG$86,'EE Measures'!$AC$8:$AC$86,'EE Measures'!$CQ$8:$CQ$86)</f>
        <v>37.721359864182894</v>
      </c>
      <c r="AI413" s="593">
        <f>SUMPRODUCT('EE Measures'!CJ$8:CJ$86,'EE Measures'!$IG$8:$IG$86,'EE Measures'!$AC$8:$AC$86,'EE Measures'!$CQ$8:$CQ$86)</f>
        <v>37.802219041607259</v>
      </c>
      <c r="AJ413" s="593">
        <f>SUMPRODUCT('EE Measures'!CK$8:CK$86,'EE Measures'!$IG$8:$IG$86,'EE Measures'!$AC$8:$AC$86,'EE Measures'!$CQ$8:$CQ$86)</f>
        <v>38.528111874625836</v>
      </c>
      <c r="AK413" s="593">
        <f>SUMPRODUCT('EE Measures'!CL$8:CL$86,'EE Measures'!$IG$8:$IG$86,'EE Measures'!$AC$8:$AC$86,'EE Measures'!$CQ$8:$CQ$86)</f>
        <v>39.268522564304774</v>
      </c>
      <c r="AL413" s="593">
        <f>SUMPRODUCT('EE Measures'!CM$8:CM$86,'EE Measures'!$IG$8:$IG$86,'EE Measures'!$AC$8:$AC$86,'EE Measures'!$CQ$8:$CQ$86)</f>
        <v>40.023741467777292</v>
      </c>
      <c r="AM413" s="593">
        <f>SUMPRODUCT('EE Measures'!CN$8:CN$86,'EE Measures'!$IG$8:$IG$86,'EE Measures'!$AC$8:$AC$86,'EE Measures'!$CQ$8:$CQ$86)</f>
        <v>40.794064749319261</v>
      </c>
      <c r="AN413" s="865">
        <f>X413/X408</f>
        <v>9.1147349123919072E-2</v>
      </c>
    </row>
    <row r="414" spans="3:40" hidden="1" outlineLevel="1" x14ac:dyDescent="0.3">
      <c r="C414" s="587" t="str">
        <f>E414</f>
        <v>VA</v>
      </c>
      <c r="E414" s="555" t="str">
        <f>'EE Measures'!$IH$6</f>
        <v>VA</v>
      </c>
      <c r="F414" s="590">
        <f>SUM(G414:P414)</f>
        <v>3210.4099267101628</v>
      </c>
      <c r="G414" s="591">
        <f>SUM(G415:G419)</f>
        <v>219.97747341601396</v>
      </c>
      <c r="H414" s="591">
        <f>SUM(H415:H419)</f>
        <v>161.90598516883404</v>
      </c>
      <c r="I414" s="591">
        <f t="shared" ref="I414:P414" si="1492">SUM(I415:I419)</f>
        <v>113.17102043255014</v>
      </c>
      <c r="J414" s="591">
        <f t="shared" si="1492"/>
        <v>197.75362024086124</v>
      </c>
      <c r="K414" s="591">
        <f t="shared" si="1492"/>
        <v>574.55083137975134</v>
      </c>
      <c r="L414" s="591">
        <f t="shared" si="1492"/>
        <v>452.546131846187</v>
      </c>
      <c r="M414" s="591">
        <f t="shared" si="1492"/>
        <v>383.91064140223875</v>
      </c>
      <c r="N414" s="591">
        <f t="shared" si="1492"/>
        <v>362.26499903817967</v>
      </c>
      <c r="O414" s="591">
        <f t="shared" si="1492"/>
        <v>370.19401888024419</v>
      </c>
      <c r="P414" s="591">
        <f t="shared" si="1492"/>
        <v>374.1352049053026</v>
      </c>
      <c r="Q414" s="591">
        <f t="shared" ref="Q414:U414" si="1493">SUM(Q415:Q419)</f>
        <v>371.82149850980636</v>
      </c>
      <c r="R414" s="591">
        <f t="shared" si="1493"/>
        <v>378.93596791969884</v>
      </c>
      <c r="S414" s="591">
        <f t="shared" si="1493"/>
        <v>386.19272671778913</v>
      </c>
      <c r="T414" s="591">
        <f t="shared" si="1493"/>
        <v>393.59462069184116</v>
      </c>
      <c r="U414" s="591">
        <f t="shared" si="1493"/>
        <v>401.14455254537432</v>
      </c>
      <c r="W414" s="555" t="str">
        <f>'EE Measures'!$IH$6</f>
        <v>VA</v>
      </c>
      <c r="X414" s="590">
        <f>SUM(Y414:AH414)</f>
        <v>3210.2899267101629</v>
      </c>
      <c r="Y414" s="591">
        <f t="shared" ref="Y414:Z414" si="1494">SUM(Y415:Y419)</f>
        <v>219.97747341601396</v>
      </c>
      <c r="Z414" s="591">
        <f t="shared" si="1494"/>
        <v>161.90598516883401</v>
      </c>
      <c r="AA414" s="591">
        <f t="shared" ref="AA414" si="1495">SUM(AA415:AA419)</f>
        <v>113.17102043255015</v>
      </c>
      <c r="AB414" s="591">
        <f t="shared" ref="AB414" si="1496">SUM(AB415:AB419)</f>
        <v>197.75362024086127</v>
      </c>
      <c r="AC414" s="591">
        <f t="shared" ref="AC414" si="1497">SUM(AC415:AC419)</f>
        <v>574.53083137975136</v>
      </c>
      <c r="AD414" s="591">
        <f t="shared" ref="AD414" si="1498">SUM(AD415:AD419)</f>
        <v>452.52613184618701</v>
      </c>
      <c r="AE414" s="591">
        <f t="shared" ref="AE414" si="1499">SUM(AE415:AE419)</f>
        <v>383.89064140223871</v>
      </c>
      <c r="AF414" s="591">
        <f t="shared" ref="AF414" si="1500">SUM(AF415:AF419)</f>
        <v>362.24499903817957</v>
      </c>
      <c r="AG414" s="591">
        <f t="shared" ref="AG414" si="1501">SUM(AG415:AG419)</f>
        <v>370.17401888024415</v>
      </c>
      <c r="AH414" s="591">
        <f t="shared" ref="AH414:AM414" si="1502">SUM(AH415:AH419)</f>
        <v>374.11520490530256</v>
      </c>
      <c r="AI414" s="591">
        <f t="shared" si="1502"/>
        <v>371.80149850980644</v>
      </c>
      <c r="AJ414" s="591">
        <f t="shared" si="1502"/>
        <v>378.9159679196988</v>
      </c>
      <c r="AK414" s="591">
        <f t="shared" si="1502"/>
        <v>386.17272671778915</v>
      </c>
      <c r="AL414" s="591">
        <f t="shared" si="1502"/>
        <v>393.57462069184118</v>
      </c>
      <c r="AM414" s="591">
        <f t="shared" si="1502"/>
        <v>401.12455254537429</v>
      </c>
    </row>
    <row r="415" spans="3:40" hidden="1" outlineLevel="1" x14ac:dyDescent="0.3">
      <c r="C415" s="587" t="str">
        <f>C414</f>
        <v>VA</v>
      </c>
      <c r="E415" s="563" t="s">
        <v>50</v>
      </c>
      <c r="F415" s="592">
        <f>SUM(G415:P415)</f>
        <v>168.85367515759077</v>
      </c>
      <c r="G415" s="593">
        <f>SUMPRODUCT('EE Measures'!BZ$8:BZ$86,'EE Measures'!$IH$8:$IH$86,'EE Measures'!$N$8:$N$86,'EE Measures'!$CQ$8:$CQ$86)</f>
        <v>24.708723810229309</v>
      </c>
      <c r="H415" s="593">
        <f>SUMPRODUCT('EE Measures'!CA$8:CA$86,'EE Measures'!$IH$8:$IH$86,'EE Measures'!$N$8:$N$86,'EE Measures'!$CQ$8:$CQ$86)</f>
        <v>2.3185512966668798</v>
      </c>
      <c r="I415" s="593">
        <f>SUMPRODUCT('EE Measures'!CB$8:CB$86,'EE Measures'!$IH$8:$IH$86,'EE Measures'!$N$8:$N$86,'EE Measures'!$CQ$8:$CQ$86)</f>
        <v>1.0123472345914053</v>
      </c>
      <c r="J415" s="593">
        <f>SUMPRODUCT('EE Measures'!CC$8:CC$86,'EE Measures'!$IH$8:$IH$86,'EE Measures'!$N$8:$N$86,'EE Measures'!$CQ$8:$CQ$86)</f>
        <v>15.012347234591408</v>
      </c>
      <c r="K415" s="593">
        <f>SUMPRODUCT('EE Measures'!CD$8:CD$86,'EE Measures'!$IH$8:$IH$86,'EE Measures'!$N$8:$N$86,'EE Measures'!$CQ$8:$CQ$86)</f>
        <v>43.889811146671178</v>
      </c>
      <c r="L415" s="593">
        <f>SUMPRODUCT('EE Measures'!CE$8:CE$86,'EE Measures'!$IH$8:$IH$86,'EE Measures'!$N$8:$N$86,'EE Measures'!$CQ$8:$CQ$86)</f>
        <v>34.439811146671182</v>
      </c>
      <c r="M415" s="593">
        <f>SUMPRODUCT('EE Measures'!CF$8:CF$86,'EE Measures'!$IH$8:$IH$86,'EE Measures'!$N$8:$N$86,'EE Measures'!$CQ$8:$CQ$86)</f>
        <v>24.534940178556852</v>
      </c>
      <c r="N415" s="593">
        <f>SUMPRODUCT('EE Measures'!CG$8:CG$86,'EE Measures'!$IH$8:$IH$86,'EE Measures'!$N$8:$N$86,'EE Measures'!$CQ$8:$CQ$86)</f>
        <v>7.6457143698708636</v>
      </c>
      <c r="O415" s="593">
        <f>SUMPRODUCT('EE Measures'!CH$8:CH$86,'EE Measures'!$IH$8:$IH$86,'EE Measures'!$N$8:$N$86,'EE Measures'!$CQ$8:$CQ$86)</f>
        <v>7.6457143698708636</v>
      </c>
      <c r="P415" s="593">
        <f>SUMPRODUCT('EE Measures'!CI$8:CI$86,'EE Measures'!$IH$8:$IH$86,'EE Measures'!$N$8:$N$86,'EE Measures'!$CQ$8:$CQ$86)</f>
        <v>7.6457143698708636</v>
      </c>
      <c r="Q415" s="593">
        <f>SUMPRODUCT('EE Measures'!CJ$8:CJ$86,'EE Measures'!$IH$8:$IH$86,'EE Measures'!$N$8:$N$86,'EE Measures'!$CQ$8:$CQ$86)</f>
        <v>7.6457143698708636</v>
      </c>
      <c r="R415" s="593">
        <f>SUMPRODUCT('EE Measures'!CK$8:CK$86,'EE Measures'!$IH$8:$IH$86,'EE Measures'!$N$8:$N$86,'EE Measures'!$CQ$8:$CQ$86)</f>
        <v>7.6457143698708636</v>
      </c>
      <c r="S415" s="593">
        <f>SUMPRODUCT('EE Measures'!CL$8:CL$86,'EE Measures'!$IH$8:$IH$86,'EE Measures'!$N$8:$N$86,'EE Measures'!$CQ$8:$CQ$86)</f>
        <v>7.6457143698708636</v>
      </c>
      <c r="T415" s="593">
        <f>SUMPRODUCT('EE Measures'!CM$8:CM$86,'EE Measures'!$IH$8:$IH$86,'EE Measures'!$N$8:$N$86,'EE Measures'!$CQ$8:$CQ$86)</f>
        <v>7.6457143698708636</v>
      </c>
      <c r="U415" s="593">
        <f>SUMPRODUCT('EE Measures'!CN$8:CN$86,'EE Measures'!$IH$8:$IH$86,'EE Measures'!$N$8:$N$86,'EE Measures'!$CQ$8:$CQ$86)</f>
        <v>7.6457143698708636</v>
      </c>
      <c r="W415" s="563" t="str" cm="1">
        <f t="array" ref="W415:W419">_xlfn.ANCHORARRAY($W$357)</f>
        <v xml:space="preserve">Põhja-Eesti </v>
      </c>
      <c r="X415" s="592">
        <f>SUM(Y415:AH415)</f>
        <v>1363.7042485359241</v>
      </c>
      <c r="Y415" s="593">
        <f>SUMPRODUCT('EE Measures'!BZ$8:BZ$86,'EE Measures'!$IH$8:$IH$86,'EE Measures'!$Y$8:$Y$86,'EE Measures'!$CQ$8:$CQ$86)</f>
        <v>109.25843622753695</v>
      </c>
      <c r="Z415" s="593">
        <f>SUMPRODUCT('EE Measures'!CA$8:CA$86,'EE Measures'!$IH$8:$IH$86,'EE Measures'!$Y$8:$Y$86,'EE Measures'!$CQ$8:$CQ$86)</f>
        <v>78.831060160873008</v>
      </c>
      <c r="AA415" s="593">
        <f>SUMPRODUCT('EE Measures'!CB$8:CB$86,'EE Measures'!$IH$8:$IH$86,'EE Measures'!$Y$8:$Y$86,'EE Measures'!$CQ$8:$CQ$86)</f>
        <v>49.666106205052863</v>
      </c>
      <c r="AB415" s="593">
        <f>SUMPRODUCT('EE Measures'!CC$8:CC$86,'EE Measures'!$IH$8:$IH$86,'EE Measures'!$Y$8:$Y$86,'EE Measures'!$CQ$8:$CQ$86)</f>
        <v>99.01276779318755</v>
      </c>
      <c r="AC415" s="593">
        <f>SUMPRODUCT('EE Measures'!CD$8:CD$86,'EE Measures'!$IH$8:$IH$86,'EE Measures'!$Y$8:$Y$86,'EE Measures'!$CQ$8:$CQ$86)</f>
        <v>259.59507447762292</v>
      </c>
      <c r="AD415" s="593">
        <f>SUMPRODUCT('EE Measures'!CE$8:CE$86,'EE Measures'!$IH$8:$IH$86,'EE Measures'!$Y$8:$Y$86,'EE Measures'!$CQ$8:$CQ$86)</f>
        <v>187.09983448672295</v>
      </c>
      <c r="AE415" s="593">
        <f>SUMPRODUCT('EE Measures'!CF$8:CF$86,'EE Measures'!$IH$8:$IH$86,'EE Measures'!$Y$8:$Y$86,'EE Measures'!$CQ$8:$CQ$86)</f>
        <v>151.38832246011157</v>
      </c>
      <c r="AF415" s="593">
        <f>SUMPRODUCT('EE Measures'!CG$8:CG$86,'EE Measures'!$IH$8:$IH$86,'EE Measures'!$Y$8:$Y$86,'EE Measures'!$CQ$8:$CQ$86)</f>
        <v>140.21409267522822</v>
      </c>
      <c r="AG415" s="593">
        <f>SUMPRODUCT('EE Measures'!CH$8:CH$86,'EE Measures'!$IH$8:$IH$86,'EE Measures'!$Y$8:$Y$86,'EE Measures'!$CQ$8:$CQ$86)</f>
        <v>143.57589330443767</v>
      </c>
      <c r="AH415" s="593">
        <f>SUMPRODUCT('EE Measures'!CI$8:CI$86,'EE Measures'!$IH$8:$IH$86,'EE Measures'!$Y$8:$Y$86,'EE Measures'!$CQ$8:$CQ$86)</f>
        <v>145.06266074515034</v>
      </c>
      <c r="AI415" s="593">
        <f>SUMPRODUCT('EE Measures'!CJ$8:CJ$86,'EE Measures'!$IH$8:$IH$86,'EE Measures'!$Y$8:$Y$86,'EE Measures'!$CQ$8:$CQ$86)</f>
        <v>141.95305889490888</v>
      </c>
      <c r="AJ415" s="593">
        <f>SUMPRODUCT('EE Measures'!CK$8:CK$86,'EE Measures'!$IH$8:$IH$86,'EE Measures'!$Y$8:$Y$86,'EE Measures'!$CQ$8:$CQ$86)</f>
        <v>144.6341972402798</v>
      </c>
      <c r="AK415" s="593">
        <f>SUMPRODUCT('EE Measures'!CL$8:CL$86,'EE Measures'!$IH$8:$IH$86,'EE Measures'!$Y$8:$Y$86,'EE Measures'!$CQ$8:$CQ$86)</f>
        <v>147.36895835255814</v>
      </c>
      <c r="AL415" s="593">
        <f>SUMPRODUCT('EE Measures'!CM$8:CM$86,'EE Measures'!$IH$8:$IH$86,'EE Measures'!$Y$8:$Y$86,'EE Measures'!$CQ$8:$CQ$86)</f>
        <v>150.15841468708203</v>
      </c>
      <c r="AM415" s="593">
        <f>SUMPRODUCT('EE Measures'!CN$8:CN$86,'EE Measures'!$IH$8:$IH$86,'EE Measures'!$Y$8:$Y$86,'EE Measures'!$CQ$8:$CQ$86)</f>
        <v>153.0036601482964</v>
      </c>
      <c r="AN415" s="865">
        <f>X415/X414</f>
        <v>0.42479161685356542</v>
      </c>
    </row>
    <row r="416" spans="3:40" hidden="1" outlineLevel="1" x14ac:dyDescent="0.3">
      <c r="C416" s="587" t="str">
        <f t="shared" ref="C416:C419" si="1503">C415</f>
        <v>VA</v>
      </c>
      <c r="E416" s="563" t="s">
        <v>51</v>
      </c>
      <c r="F416" s="592">
        <f t="shared" ref="F416:F419" si="1504">SUM(G416:P416)</f>
        <v>862.71729467075806</v>
      </c>
      <c r="G416" s="593">
        <f>SUMPRODUCT('EE Measures'!BZ$8:BZ$86,'EE Measures'!$IH$8:$IH$86,'EE Measures'!$O$8:$O$86,'EE Measures'!$CQ$8:$CQ$86)</f>
        <v>19.823359251885766</v>
      </c>
      <c r="H416" s="593">
        <f>SUMPRODUCT('EE Measures'!CA$8:CA$86,'EE Measures'!$IH$8:$IH$86,'EE Measures'!$O$8:$O$86,'EE Measures'!$CQ$8:$CQ$86)</f>
        <v>22.704467342073567</v>
      </c>
      <c r="I416" s="593">
        <f>SUMPRODUCT('EE Measures'!CB$8:CB$86,'EE Measures'!$IH$8:$IH$86,'EE Measures'!$O$8:$O$86,'EE Measures'!$CQ$8:$CQ$86)</f>
        <v>24.572547359268043</v>
      </c>
      <c r="J416" s="593">
        <f>SUMPRODUCT('EE Measures'!CC$8:CC$86,'EE Measures'!$IH$8:$IH$86,'EE Measures'!$O$8:$O$86,'EE Measures'!$CQ$8:$CQ$86)</f>
        <v>3.0124651075795157E-2</v>
      </c>
      <c r="K416" s="593">
        <f>SUMPRODUCT('EE Measures'!CD$8:CD$86,'EE Measures'!$IH$8:$IH$86,'EE Measures'!$O$8:$O$86,'EE Measures'!$CQ$8:$CQ$86)</f>
        <v>126.122514571973</v>
      </c>
      <c r="L416" s="593">
        <f>SUMPRODUCT('EE Measures'!CE$8:CE$86,'EE Measures'!$IH$8:$IH$86,'EE Measures'!$O$8:$O$86,'EE Measures'!$CQ$8:$CQ$86)</f>
        <v>128.64436237039095</v>
      </c>
      <c r="M416" s="593">
        <f>SUMPRODUCT('EE Measures'!CF$8:CF$86,'EE Measures'!$IH$8:$IH$86,'EE Measures'!$O$8:$O$86,'EE Measures'!$CQ$8:$CQ$86)</f>
        <v>131.21664712477724</v>
      </c>
      <c r="N416" s="593">
        <f>SUMPRODUCT('EE Measures'!CG$8:CG$86,'EE Measures'!$IH$8:$IH$86,'EE Measures'!$O$8:$O$86,'EE Measures'!$CQ$8:$CQ$86)</f>
        <v>133.84037757425128</v>
      </c>
      <c r="O416" s="593">
        <f>SUMPRODUCT('EE Measures'!CH$8:CH$86,'EE Measures'!$IH$8:$IH$86,'EE Measures'!$O$8:$O$86,'EE Measures'!$CQ$8:$CQ$86)</f>
        <v>136.5165826327148</v>
      </c>
      <c r="P416" s="593">
        <f>SUMPRODUCT('EE Measures'!CI$8:CI$86,'EE Measures'!$IH$8:$IH$86,'EE Measures'!$O$8:$O$86,'EE Measures'!$CQ$8:$CQ$86)</f>
        <v>139.24631179234757</v>
      </c>
      <c r="Q416" s="593">
        <f>SUMPRODUCT('EE Measures'!CJ$8:CJ$86,'EE Measures'!$IH$8:$IH$86,'EE Measures'!$O$8:$O$86,'EE Measures'!$CQ$8:$CQ$86)</f>
        <v>142.03063553517299</v>
      </c>
      <c r="R416" s="593">
        <f>SUMPRODUCT('EE Measures'!CK$8:CK$86,'EE Measures'!$IH$8:$IH$86,'EE Measures'!$O$8:$O$86,'EE Measures'!$CQ$8:$CQ$86)</f>
        <v>144.87064575285495</v>
      </c>
      <c r="S416" s="593">
        <f>SUMPRODUCT('EE Measures'!CL$8:CL$86,'EE Measures'!$IH$8:$IH$86,'EE Measures'!$O$8:$O$86,'EE Measures'!$CQ$8:$CQ$86)</f>
        <v>147.76745617489053</v>
      </c>
      <c r="T416" s="593">
        <f>SUMPRODUCT('EE Measures'!CM$8:CM$86,'EE Measures'!$IH$8:$IH$86,'EE Measures'!$O$8:$O$86,'EE Measures'!$CQ$8:$CQ$86)</f>
        <v>150.72220280536683</v>
      </c>
      <c r="U416" s="593">
        <f>SUMPRODUCT('EE Measures'!CN$8:CN$86,'EE Measures'!$IH$8:$IH$86,'EE Measures'!$O$8:$O$86,'EE Measures'!$CQ$8:$CQ$86)</f>
        <v>153.73604436845267</v>
      </c>
      <c r="W416" s="563" t="str">
        <v>Lääne-Eesti</v>
      </c>
      <c r="X416" s="592">
        <f t="shared" ref="X416:X419" si="1505">SUM(Y416:AH416)</f>
        <v>624.91505917819518</v>
      </c>
      <c r="Y416" s="593">
        <f>SUMPRODUCT('EE Measures'!BZ$8:BZ$86,'EE Measures'!$IH$8:$IH$86,'EE Measures'!$Z$8:$Z$86,'EE Measures'!$CQ$8:$CQ$86)</f>
        <v>34.731534563582564</v>
      </c>
      <c r="Z416" s="593">
        <f>SUMPRODUCT('EE Measures'!CA$8:CA$86,'EE Measures'!$IH$8:$IH$86,'EE Measures'!$Z$8:$Z$86,'EE Measures'!$CQ$8:$CQ$86)</f>
        <v>39.471913999812969</v>
      </c>
      <c r="AA416" s="593">
        <f>SUMPRODUCT('EE Measures'!CB$8:CB$86,'EE Measures'!$IH$8:$IH$86,'EE Measures'!$Z$8:$Z$86,'EE Measures'!$CQ$8:$CQ$86)</f>
        <v>29.615847954347863</v>
      </c>
      <c r="AB416" s="593">
        <f>SUMPRODUCT('EE Measures'!CC$8:CC$86,'EE Measures'!$IH$8:$IH$86,'EE Measures'!$Z$8:$Z$86,'EE Measures'!$CQ$8:$CQ$86)</f>
        <v>86.728831308711108</v>
      </c>
      <c r="AC416" s="593">
        <f>SUMPRODUCT('EE Measures'!CD$8:CD$86,'EE Measures'!$IH$8:$IH$86,'EE Measures'!$Z$8:$Z$86,'EE Measures'!$CQ$8:$CQ$86)</f>
        <v>136.01943079757029</v>
      </c>
      <c r="AD416" s="593">
        <f>SUMPRODUCT('EE Measures'!CE$8:CE$86,'EE Measures'!$IH$8:$IH$86,'EE Measures'!$Z$8:$Z$86,'EE Measures'!$CQ$8:$CQ$86)</f>
        <v>89.105213206046514</v>
      </c>
      <c r="AE416" s="593">
        <f>SUMPRODUCT('EE Measures'!CF$8:CF$86,'EE Measures'!$IH$8:$IH$86,'EE Measures'!$Z$8:$Z$86,'EE Measures'!$CQ$8:$CQ$86)</f>
        <v>52.928397471626873</v>
      </c>
      <c r="AF416" s="593">
        <f>SUMPRODUCT('EE Measures'!CG$8:CG$86,'EE Measures'!$IH$8:$IH$86,'EE Measures'!$Z$8:$Z$86,'EE Measures'!$CQ$8:$CQ$86)</f>
        <v>51.194289358876517</v>
      </c>
      <c r="AG416" s="593">
        <f>SUMPRODUCT('EE Measures'!CH$8:CH$86,'EE Measures'!$IH$8:$IH$86,'EE Measures'!$Z$8:$Z$86,'EE Measures'!$CQ$8:$CQ$86)</f>
        <v>52.247528918942919</v>
      </c>
      <c r="AH416" s="593">
        <f>SUMPRODUCT('EE Measures'!CI$8:CI$86,'EE Measures'!$IH$8:$IH$86,'EE Measures'!$Z$8:$Z$86,'EE Measures'!$CQ$8:$CQ$86)</f>
        <v>52.872071598677593</v>
      </c>
      <c r="AI416" s="593">
        <f>SUMPRODUCT('EE Measures'!CJ$8:CJ$86,'EE Measures'!$IH$8:$IH$86,'EE Measures'!$Z$8:$Z$86,'EE Measures'!$CQ$8:$CQ$86)</f>
        <v>53.112570304829788</v>
      </c>
      <c r="AJ416" s="593">
        <f>SUMPRODUCT('EE Measures'!CK$8:CK$86,'EE Measures'!$IH$8:$IH$86,'EE Measures'!$Z$8:$Z$86,'EE Measures'!$CQ$8:$CQ$86)</f>
        <v>54.143965491920433</v>
      </c>
      <c r="AK416" s="593">
        <f>SUMPRODUCT('EE Measures'!CL$8:CL$86,'EE Measures'!$IH$8:$IH$86,'EE Measures'!$Z$8:$Z$86,'EE Measures'!$CQ$8:$CQ$86)</f>
        <v>55.195988582752896</v>
      </c>
      <c r="AL416" s="593">
        <f>SUMPRODUCT('EE Measures'!CM$8:CM$86,'EE Measures'!$IH$8:$IH$86,'EE Measures'!$Z$8:$Z$86,'EE Measures'!$CQ$8:$CQ$86)</f>
        <v>56.269052135401999</v>
      </c>
      <c r="AM416" s="593">
        <f>SUMPRODUCT('EE Measures'!CN$8:CN$86,'EE Measures'!$IH$8:$IH$86,'EE Measures'!$Z$8:$Z$86,'EE Measures'!$CQ$8:$CQ$86)</f>
        <v>57.363576959104101</v>
      </c>
      <c r="AN416" s="865">
        <f>X416/X414</f>
        <v>0.19466000686691712</v>
      </c>
    </row>
    <row r="417" spans="3:40" hidden="1" outlineLevel="1" x14ac:dyDescent="0.3">
      <c r="C417" s="587" t="str">
        <f t="shared" si="1503"/>
        <v>VA</v>
      </c>
      <c r="E417" s="563" t="s">
        <v>52</v>
      </c>
      <c r="F417" s="592">
        <f t="shared" si="1504"/>
        <v>1134.8574764558516</v>
      </c>
      <c r="G417" s="593">
        <f>SUMPRODUCT('EE Measures'!BZ$8:BZ$86,'EE Measures'!$IH$8:$IH$86,'EE Measures'!$P$8:$P$86,'EE Measures'!$CQ$8:$CQ$86)</f>
        <v>60.815779751596082</v>
      </c>
      <c r="H417" s="593">
        <f>SUMPRODUCT('EE Measures'!CA$8:CA$86,'EE Measures'!$IH$8:$IH$86,'EE Measures'!$P$8:$P$86,'EE Measures'!$CQ$8:$CQ$86)</f>
        <v>67.386187714957302</v>
      </c>
      <c r="I417" s="593">
        <f>SUMPRODUCT('EE Measures'!CB$8:CB$86,'EE Measures'!$IH$8:$IH$86,'EE Measures'!$P$8:$P$86,'EE Measures'!$CQ$8:$CQ$86)</f>
        <v>26.02520310473756</v>
      </c>
      <c r="J417" s="593">
        <f>SUMPRODUCT('EE Measures'!CC$8:CC$86,'EE Measures'!$IH$8:$IH$86,'EE Measures'!$P$8:$P$86,'EE Measures'!$CQ$8:$CQ$86)</f>
        <v>4.2525834106499412</v>
      </c>
      <c r="K417" s="593">
        <f>SUMPRODUCT('EE Measures'!CD$8:CD$86,'EE Measures'!$IH$8:$IH$86,'EE Measures'!$P$8:$P$86,'EE Measures'!$CQ$8:$CQ$86)</f>
        <v>154.78118456606549</v>
      </c>
      <c r="L417" s="593">
        <f>SUMPRODUCT('EE Measures'!CE$8:CE$86,'EE Measures'!$IH$8:$IH$86,'EE Measures'!$P$8:$P$86,'EE Measures'!$CQ$8:$CQ$86)</f>
        <v>157.87676200307112</v>
      </c>
      <c r="M417" s="593">
        <f>SUMPRODUCT('EE Measures'!CF$8:CF$86,'EE Measures'!$IH$8:$IH$86,'EE Measures'!$P$8:$P$86,'EE Measures'!$CQ$8:$CQ$86)</f>
        <v>161.03425098881684</v>
      </c>
      <c r="N417" s="593">
        <f>SUMPRODUCT('EE Measures'!CG$8:CG$86,'EE Measures'!$IH$8:$IH$86,'EE Measures'!$P$8:$P$86,'EE Measures'!$CQ$8:$CQ$86)</f>
        <v>164.25488975427749</v>
      </c>
      <c r="O417" s="593">
        <f>SUMPRODUCT('EE Measures'!CH$8:CH$86,'EE Measures'!$IH$8:$IH$86,'EE Measures'!$P$8:$P$86,'EE Measures'!$CQ$8:$CQ$86)</f>
        <v>167.53994129504736</v>
      </c>
      <c r="P417" s="593">
        <f>SUMPRODUCT('EE Measures'!CI$8:CI$86,'EE Measures'!$IH$8:$IH$86,'EE Measures'!$P$8:$P$86,'EE Measures'!$CQ$8:$CQ$86)</f>
        <v>170.8906938666326</v>
      </c>
      <c r="Q417" s="593">
        <f>SUMPRODUCT('EE Measures'!CJ$8:CJ$86,'EE Measures'!$IH$8:$IH$86,'EE Measures'!$P$8:$P$86,'EE Measures'!$CQ$8:$CQ$86)</f>
        <v>174.30846148964955</v>
      </c>
      <c r="R417" s="593">
        <f>SUMPRODUCT('EE Measures'!CK$8:CK$86,'EE Measures'!$IH$8:$IH$86,'EE Measures'!$P$8:$P$86,'EE Measures'!$CQ$8:$CQ$86)</f>
        <v>177.79458446512683</v>
      </c>
      <c r="S417" s="593">
        <f>SUMPRODUCT('EE Measures'!CL$8:CL$86,'EE Measures'!$IH$8:$IH$86,'EE Measures'!$P$8:$P$86,'EE Measures'!$CQ$8:$CQ$86)</f>
        <v>181.35042990011368</v>
      </c>
      <c r="T417" s="593">
        <f>SUMPRODUCT('EE Measures'!CM$8:CM$86,'EE Measures'!$IH$8:$IH$86,'EE Measures'!$P$8:$P$86,'EE Measures'!$CQ$8:$CQ$86)</f>
        <v>184.97739224380024</v>
      </c>
      <c r="U417" s="593">
        <f>SUMPRODUCT('EE Measures'!CN$8:CN$86,'EE Measures'!$IH$8:$IH$86,'EE Measures'!$P$8:$P$86,'EE Measures'!$CQ$8:$CQ$86)</f>
        <v>188.67689383436056</v>
      </c>
      <c r="W417" s="563" t="str">
        <v>Kirde-Eesti</v>
      </c>
      <c r="X417" s="592">
        <f t="shared" si="1505"/>
        <v>267.72049038346432</v>
      </c>
      <c r="Y417" s="593">
        <f>SUMPRODUCT('EE Measures'!BZ$8:BZ$86,'EE Measures'!$IH$8:$IH$86,'EE Measures'!$AA$8:$AA$86,'EE Measures'!$CQ$8:$CQ$86)</f>
        <v>18.482831078924221</v>
      </c>
      <c r="Z417" s="593">
        <f>SUMPRODUCT('EE Measures'!CA$8:CA$86,'EE Measures'!$IH$8:$IH$86,'EE Measures'!$AA$8:$AA$86,'EE Measures'!$CQ$8:$CQ$86)</f>
        <v>9.1552898089698296</v>
      </c>
      <c r="AA417" s="593">
        <f>SUMPRODUCT('EE Measures'!CB$8:CB$86,'EE Measures'!$IH$8:$IH$86,'EE Measures'!$AA$8:$AA$86,'EE Measures'!$CQ$8:$CQ$86)</f>
        <v>6.3666390012901513</v>
      </c>
      <c r="AB417" s="593">
        <f>SUMPRODUCT('EE Measures'!CC$8:CC$86,'EE Measures'!$IH$8:$IH$86,'EE Measures'!$AA$8:$AA$86,'EE Measures'!$CQ$8:$CQ$86)</f>
        <v>3.1430533802187464</v>
      </c>
      <c r="AC417" s="593">
        <f>SUMPRODUCT('EE Measures'!CD$8:CD$86,'EE Measures'!$IH$8:$IH$86,'EE Measures'!$AA$8:$AA$86,'EE Measures'!$CQ$8:$CQ$86)</f>
        <v>40.08493276496479</v>
      </c>
      <c r="AD417" s="593">
        <f>SUMPRODUCT('EE Measures'!CE$8:CE$86,'EE Measures'!$IH$8:$IH$86,'EE Measures'!$AA$8:$AA$86,'EE Measures'!$CQ$8:$CQ$86)</f>
        <v>39.120926196942705</v>
      </c>
      <c r="AE417" s="593">
        <f>SUMPRODUCT('EE Measures'!CF$8:CF$86,'EE Measures'!$IH$8:$IH$86,'EE Measures'!$AA$8:$AA$86,'EE Measures'!$CQ$8:$CQ$86)</f>
        <v>39.344775171092202</v>
      </c>
      <c r="AF417" s="593">
        <f>SUMPRODUCT('EE Measures'!CG$8:CG$86,'EE Measures'!$IH$8:$IH$86,'EE Measures'!$AA$8:$AA$86,'EE Measures'!$CQ$8:$CQ$86)</f>
        <v>36.719860845386833</v>
      </c>
      <c r="AG417" s="593">
        <f>SUMPRODUCT('EE Measures'!CH$8:CH$86,'EE Measures'!$IH$8:$IH$86,'EE Measures'!$AA$8:$AA$86,'EE Measures'!$CQ$8:$CQ$86)</f>
        <v>37.470267019420277</v>
      </c>
      <c r="AH417" s="593">
        <f>SUMPRODUCT('EE Measures'!CI$8:CI$86,'EE Measures'!$IH$8:$IH$86,'EE Measures'!$AA$8:$AA$86,'EE Measures'!$CQ$8:$CQ$86)</f>
        <v>37.831915116254571</v>
      </c>
      <c r="AI417" s="593">
        <f>SUMPRODUCT('EE Measures'!CJ$8:CJ$86,'EE Measures'!$IH$8:$IH$86,'EE Measures'!$AA$8:$AA$86,'EE Measures'!$CQ$8:$CQ$86)</f>
        <v>38.079905140765412</v>
      </c>
      <c r="AJ417" s="593">
        <f>SUMPRODUCT('EE Measures'!CK$8:CK$86,'EE Measures'!$IH$8:$IH$86,'EE Measures'!$AA$8:$AA$86,'EE Measures'!$CQ$8:$CQ$86)</f>
        <v>38.806034847827796</v>
      </c>
      <c r="AK417" s="593">
        <f>SUMPRODUCT('EE Measures'!CL$8:CL$86,'EE Measures'!$IH$8:$IH$86,'EE Measures'!$AA$8:$AA$86,'EE Measures'!$CQ$8:$CQ$86)</f>
        <v>39.546687149031442</v>
      </c>
      <c r="AL417" s="593">
        <f>SUMPRODUCT('EE Measures'!CM$8:CM$86,'EE Measures'!$IH$8:$IH$86,'EE Measures'!$AA$8:$AA$86,'EE Measures'!$CQ$8:$CQ$86)</f>
        <v>40.30215249625914</v>
      </c>
      <c r="AM417" s="593">
        <f>SUMPRODUCT('EE Measures'!CN$8:CN$86,'EE Measures'!$IH$8:$IH$86,'EE Measures'!$AA$8:$AA$86,'EE Measures'!$CQ$8:$CQ$86)</f>
        <v>41.072727150431419</v>
      </c>
      <c r="AN417" s="865">
        <f>X417/X414</f>
        <v>8.3394489748724529E-2</v>
      </c>
    </row>
    <row r="418" spans="3:40" hidden="1" outlineLevel="1" x14ac:dyDescent="0.3">
      <c r="C418" s="587" t="str">
        <f t="shared" si="1503"/>
        <v>VA</v>
      </c>
      <c r="E418" s="563" t="s">
        <v>53</v>
      </c>
      <c r="F418" s="592">
        <f t="shared" si="1504"/>
        <v>1039.1605901395731</v>
      </c>
      <c r="G418" s="593">
        <f>SUMPRODUCT('EE Measures'!BZ$8:BZ$86,'EE Measures'!$IH$8:$IH$86,'EE Measures'!$Q$8:$Q$86,'EE Measures'!$CQ$8:$CQ$86)</f>
        <v>114.59001387451011</v>
      </c>
      <c r="H418" s="593">
        <f>SUMPRODUCT('EE Measures'!CA$8:CA$86,'EE Measures'!$IH$8:$IH$86,'EE Measures'!$Q$8:$Q$86,'EE Measures'!$CQ$8:$CQ$86)</f>
        <v>69.457182087343568</v>
      </c>
      <c r="I418" s="593">
        <f>SUMPRODUCT('EE Measures'!CB$8:CB$86,'EE Measures'!$IH$8:$IH$86,'EE Measures'!$Q$8:$Q$86,'EE Measures'!$CQ$8:$CQ$86)</f>
        <v>61.521326006160415</v>
      </c>
      <c r="J418" s="593">
        <f>SUMPRODUCT('EE Measures'!CC$8:CC$86,'EE Measures'!$IH$8:$IH$86,'EE Measures'!$Q$8:$Q$86,'EE Measures'!$CQ$8:$CQ$86)</f>
        <v>178.41896821675138</v>
      </c>
      <c r="K418" s="593">
        <f>SUMPRODUCT('EE Measures'!CD$8:CD$86,'EE Measures'!$IH$8:$IH$86,'EE Measures'!$Q$8:$Q$86,'EE Measures'!$CQ$8:$CQ$86)</f>
        <v>249.71772436724891</v>
      </c>
      <c r="L418" s="593">
        <f>SUMPRODUCT('EE Measures'!CE$8:CE$86,'EE Measures'!$IH$8:$IH$86,'EE Measures'!$Q$8:$Q$86,'EE Measures'!$CQ$8:$CQ$86)</f>
        <v>131.54559959826096</v>
      </c>
      <c r="M418" s="593">
        <f>SUMPRODUCT('EE Measures'!CF$8:CF$86,'EE Measures'!$IH$8:$IH$86,'EE Measures'!$Q$8:$Q$86,'EE Measures'!$CQ$8:$CQ$86)</f>
        <v>65.978975630179619</v>
      </c>
      <c r="N418" s="593">
        <f>SUMPRODUCT('EE Measures'!CG$8:CG$86,'EE Measures'!$IH$8:$IH$86,'EE Measures'!$Q$8:$Q$86,'EE Measures'!$CQ$8:$CQ$86)</f>
        <v>55.378189859871789</v>
      </c>
      <c r="O418" s="593">
        <f>SUMPRODUCT('EE Measures'!CH$8:CH$86,'EE Measures'!$IH$8:$IH$86,'EE Measures'!$Q$8:$Q$86,'EE Measures'!$CQ$8:$CQ$86)</f>
        <v>57.34595310270295</v>
      </c>
      <c r="P418" s="593">
        <f>SUMPRODUCT('EE Measures'!CI$8:CI$86,'EE Measures'!$IH$8:$IH$86,'EE Measures'!$Q$8:$Q$86,'EE Measures'!$CQ$8:$CQ$86)</f>
        <v>55.206657396543314</v>
      </c>
      <c r="Q418" s="593">
        <f>SUMPRODUCT('EE Measures'!CJ$8:CJ$86,'EE Measures'!$IH$8:$IH$86,'EE Measures'!$Q$8:$Q$86,'EE Measures'!$CQ$8:$CQ$86)</f>
        <v>47.797090387320253</v>
      </c>
      <c r="R418" s="593">
        <f>SUMPRODUCT('EE Measures'!CK$8:CK$86,'EE Measures'!$IH$8:$IH$86,'EE Measures'!$Q$8:$Q$86,'EE Measures'!$CQ$8:$CQ$86)</f>
        <v>48.585426604053438</v>
      </c>
      <c r="S418" s="593">
        <f>SUMPRODUCT('EE Measures'!CL$8:CL$86,'EE Measures'!$IH$8:$IH$86,'EE Measures'!$Q$8:$Q$86,'EE Measures'!$CQ$8:$CQ$86)</f>
        <v>49.389529545121292</v>
      </c>
      <c r="T418" s="593">
        <f>SUMPRODUCT('EE Measures'!CM$8:CM$86,'EE Measures'!$IH$8:$IH$86,'EE Measures'!$Q$8:$Q$86,'EE Measures'!$CQ$8:$CQ$86)</f>
        <v>50.209714545010492</v>
      </c>
      <c r="U418" s="593">
        <f>SUMPRODUCT('EE Measures'!CN$8:CN$86,'EE Measures'!$IH$8:$IH$86,'EE Measures'!$Q$8:$Q$86,'EE Measures'!$CQ$8:$CQ$86)</f>
        <v>51.04630324489748</v>
      </c>
      <c r="W418" s="563" t="str">
        <v>Lõuna-Eesti </v>
      </c>
      <c r="X418" s="592">
        <f t="shared" si="1505"/>
        <v>664.88335035031423</v>
      </c>
      <c r="Y418" s="593">
        <f>SUMPRODUCT('EE Measures'!BZ$8:BZ$86,'EE Measures'!$IH$8:$IH$86,'EE Measures'!$AB$8:$AB$86,'EE Measures'!$CQ$8:$CQ$86)</f>
        <v>41.032945113689003</v>
      </c>
      <c r="Z418" s="593">
        <f>SUMPRODUCT('EE Measures'!CA$8:CA$86,'EE Measures'!$IH$8:$IH$86,'EE Measures'!$AB$8:$AB$86,'EE Measures'!$CQ$8:$CQ$86)</f>
        <v>24.436030115581595</v>
      </c>
      <c r="AA418" s="593">
        <f>SUMPRODUCT('EE Measures'!CB$8:CB$86,'EE Measures'!$IH$8:$IH$86,'EE Measures'!$AB$8:$AB$86,'EE Measures'!$CQ$8:$CQ$86)</f>
        <v>19.342393760894169</v>
      </c>
      <c r="AB418" s="593">
        <f>SUMPRODUCT('EE Measures'!CC$8:CC$86,'EE Measures'!$IH$8:$IH$86,'EE Measures'!$AB$8:$AB$86,'EE Measures'!$CQ$8:$CQ$86)</f>
        <v>6.305253418750782</v>
      </c>
      <c r="AC418" s="593">
        <f>SUMPRODUCT('EE Measures'!CD$8:CD$86,'EE Measures'!$IH$8:$IH$86,'EE Measures'!$AB$8:$AB$86,'EE Measures'!$CQ$8:$CQ$86)</f>
        <v>96.539420716511501</v>
      </c>
      <c r="AD418" s="593">
        <f>SUMPRODUCT('EE Measures'!CE$8:CE$86,'EE Measures'!$IH$8:$IH$86,'EE Measures'!$AB$8:$AB$86,'EE Measures'!$CQ$8:$CQ$86)</f>
        <v>95.378786212243938</v>
      </c>
      <c r="AE418" s="593">
        <f>SUMPRODUCT('EE Measures'!CF$8:CF$86,'EE Measures'!$IH$8:$IH$86,'EE Measures'!$AB$8:$AB$86,'EE Measures'!$CQ$8:$CQ$86)</f>
        <v>97.501218980968659</v>
      </c>
      <c r="AF418" s="593">
        <f>SUMPRODUCT('EE Measures'!CG$8:CG$86,'EE Measures'!$IH$8:$IH$86,'EE Measures'!$AB$8:$AB$86,'EE Measures'!$CQ$8:$CQ$86)</f>
        <v>93.15753162072788</v>
      </c>
      <c r="AG418" s="593">
        <f>SUMPRODUCT('EE Measures'!CH$8:CH$86,'EE Measures'!$IH$8:$IH$86,'EE Measures'!$AB$8:$AB$86,'EE Measures'!$CQ$8:$CQ$86)</f>
        <v>95.094918905716</v>
      </c>
      <c r="AH418" s="593">
        <f>SUMPRODUCT('EE Measures'!CI$8:CI$86,'EE Measures'!$IH$8:$IH$86,'EE Measures'!$AB$8:$AB$86,'EE Measures'!$CQ$8:$CQ$86)</f>
        <v>96.094851505230707</v>
      </c>
      <c r="AI418" s="593">
        <f>SUMPRODUCT('EE Measures'!CJ$8:CJ$86,'EE Measures'!$IH$8:$IH$86,'EE Measures'!$AB$8:$AB$86,'EE Measures'!$CQ$8:$CQ$86)</f>
        <v>96.228787540440749</v>
      </c>
      <c r="AJ418" s="593">
        <f>SUMPRODUCT('EE Measures'!CK$8:CK$86,'EE Measures'!$IH$8:$IH$86,'EE Measures'!$AB$8:$AB$86,'EE Measures'!$CQ$8:$CQ$86)</f>
        <v>98.084237136113828</v>
      </c>
      <c r="AK418" s="593">
        <f>SUMPRODUCT('EE Measures'!CL$8:CL$86,'EE Measures'!$IH$8:$IH$86,'EE Measures'!$AB$8:$AB$86,'EE Measures'!$CQ$8:$CQ$86)</f>
        <v>99.976795723700363</v>
      </c>
      <c r="AL418" s="593">
        <f>SUMPRODUCT('EE Measures'!CM$8:CM$86,'EE Measures'!$IH$8:$IH$86,'EE Measures'!$AB$8:$AB$86,'EE Measures'!$CQ$8:$CQ$86)</f>
        <v>101.90720548303862</v>
      </c>
      <c r="AM418" s="593">
        <f>SUMPRODUCT('EE Measures'!CN$8:CN$86,'EE Measures'!$IH$8:$IH$86,'EE Measures'!$AB$8:$AB$86,'EE Measures'!$CQ$8:$CQ$86)</f>
        <v>103.87622343756364</v>
      </c>
      <c r="AN418" s="865">
        <f>X418/X414</f>
        <v>0.20711006343021254</v>
      </c>
    </row>
    <row r="419" spans="3:40" hidden="1" outlineLevel="1" x14ac:dyDescent="0.3">
      <c r="C419" s="587" t="str">
        <f t="shared" si="1503"/>
        <v>VA</v>
      </c>
      <c r="E419" s="563" t="s">
        <v>54</v>
      </c>
      <c r="F419" s="592">
        <f t="shared" si="1504"/>
        <v>4.8208902863891456</v>
      </c>
      <c r="G419" s="593">
        <f>SUMPRODUCT('EE Measures'!BZ$8:BZ$86,'EE Measures'!$IH$8:$IH$86,'EE Measures'!$R$8:$R$86,'EE Measures'!$CQ$8:$CQ$86)</f>
        <v>3.9596727792718313E-2</v>
      </c>
      <c r="H419" s="593">
        <f>SUMPRODUCT('EE Measures'!CA$8:CA$86,'EE Measures'!$IH$8:$IH$86,'EE Measures'!$R$8:$R$86,'EE Measures'!$CQ$8:$CQ$86)</f>
        <v>3.9596727792718313E-2</v>
      </c>
      <c r="I419" s="593">
        <f>SUMPRODUCT('EE Measures'!CB$8:CB$86,'EE Measures'!$IH$8:$IH$86,'EE Measures'!$R$8:$R$86,'EE Measures'!$CQ$8:$CQ$86)</f>
        <v>3.9596727792718313E-2</v>
      </c>
      <c r="J419" s="593">
        <f>SUMPRODUCT('EE Measures'!CC$8:CC$86,'EE Measures'!$IH$8:$IH$86,'EE Measures'!$R$8:$R$86,'EE Measures'!$CQ$8:$CQ$86)</f>
        <v>3.9596727792718313E-2</v>
      </c>
      <c r="K419" s="593">
        <f>SUMPRODUCT('EE Measures'!CD$8:CD$86,'EE Measures'!$IH$8:$IH$86,'EE Measures'!$R$8:$R$86,'EE Measures'!$CQ$8:$CQ$86)</f>
        <v>3.9596727792718313E-2</v>
      </c>
      <c r="L419" s="593">
        <f>SUMPRODUCT('EE Measures'!CE$8:CE$86,'EE Measures'!$IH$8:$IH$86,'EE Measures'!$R$8:$R$86,'EE Measures'!$CQ$8:$CQ$86)</f>
        <v>3.9596727792718313E-2</v>
      </c>
      <c r="M419" s="593">
        <f>SUMPRODUCT('EE Measures'!CF$8:CF$86,'EE Measures'!$IH$8:$IH$86,'EE Measures'!$R$8:$R$86,'EE Measures'!$CQ$8:$CQ$86)</f>
        <v>1.1458274799082089</v>
      </c>
      <c r="N419" s="593">
        <f>SUMPRODUCT('EE Measures'!CG$8:CG$86,'EE Measures'!$IH$8:$IH$86,'EE Measures'!$R$8:$R$86,'EE Measures'!$CQ$8:$CQ$86)</f>
        <v>1.1458274799082089</v>
      </c>
      <c r="O419" s="593">
        <f>SUMPRODUCT('EE Measures'!CH$8:CH$86,'EE Measures'!$IH$8:$IH$86,'EE Measures'!$R$8:$R$86,'EE Measures'!$CQ$8:$CQ$86)</f>
        <v>1.1458274799082089</v>
      </c>
      <c r="P419" s="593">
        <f>SUMPRODUCT('EE Measures'!CI$8:CI$86,'EE Measures'!$IH$8:$IH$86,'EE Measures'!$R$8:$R$86,'EE Measures'!$CQ$8:$CQ$86)</f>
        <v>1.1458274799082089</v>
      </c>
      <c r="Q419" s="593">
        <f>SUMPRODUCT('EE Measures'!CJ$8:CJ$86,'EE Measures'!$IH$8:$IH$86,'EE Measures'!$R$8:$R$86,'EE Measures'!$CQ$8:$CQ$86)</f>
        <v>3.9596727792718313E-2</v>
      </c>
      <c r="R419" s="593">
        <f>SUMPRODUCT('EE Measures'!CK$8:CK$86,'EE Measures'!$IH$8:$IH$86,'EE Measures'!$R$8:$R$86,'EE Measures'!$CQ$8:$CQ$86)</f>
        <v>3.9596727792718313E-2</v>
      </c>
      <c r="S419" s="593">
        <f>SUMPRODUCT('EE Measures'!CL$8:CL$86,'EE Measures'!$IH$8:$IH$86,'EE Measures'!$R$8:$R$86,'EE Measures'!$CQ$8:$CQ$86)</f>
        <v>3.9596727792718313E-2</v>
      </c>
      <c r="T419" s="593">
        <f>SUMPRODUCT('EE Measures'!CM$8:CM$86,'EE Measures'!$IH$8:$IH$86,'EE Measures'!$R$8:$R$86,'EE Measures'!$CQ$8:$CQ$86)</f>
        <v>3.9596727792718313E-2</v>
      </c>
      <c r="U419" s="593">
        <f>SUMPRODUCT('EE Measures'!CN$8:CN$86,'EE Measures'!$IH$8:$IH$86,'EE Measures'!$R$8:$R$86,'EE Measures'!$CQ$8:$CQ$86)</f>
        <v>3.9596727792718313E-2</v>
      </c>
      <c r="W419" s="563" t="str">
        <v>Kesk-Eesti</v>
      </c>
      <c r="X419" s="592">
        <f t="shared" si="1505"/>
        <v>289.06677826226496</v>
      </c>
      <c r="Y419" s="593">
        <f>SUMPRODUCT('EE Measures'!BZ$8:BZ$86,'EE Measures'!$IH$8:$IH$86,'EE Measures'!$AC$8:$AC$86,'EE Measures'!$CQ$8:$CQ$86)</f>
        <v>16.47172643228123</v>
      </c>
      <c r="Z419" s="593">
        <f>SUMPRODUCT('EE Measures'!CA$8:CA$86,'EE Measures'!$IH$8:$IH$86,'EE Measures'!$AC$8:$AC$86,'EE Measures'!$CQ$8:$CQ$86)</f>
        <v>10.011691083596629</v>
      </c>
      <c r="AA419" s="593">
        <f>SUMPRODUCT('EE Measures'!CB$8:CB$86,'EE Measures'!$IH$8:$IH$86,'EE Measures'!$AC$8:$AC$86,'EE Measures'!$CQ$8:$CQ$86)</f>
        <v>8.1800335109650977</v>
      </c>
      <c r="AB419" s="593">
        <f>SUMPRODUCT('EE Measures'!CC$8:CC$86,'EE Measures'!$IH$8:$IH$86,'EE Measures'!$AC$8:$AC$86,'EE Measures'!$CQ$8:$CQ$86)</f>
        <v>2.5637143399930453</v>
      </c>
      <c r="AC419" s="593">
        <f>SUMPRODUCT('EE Measures'!CD$8:CD$86,'EE Measures'!$IH$8:$IH$86,'EE Measures'!$AC$8:$AC$86,'EE Measures'!$CQ$8:$CQ$86)</f>
        <v>42.291972623081904</v>
      </c>
      <c r="AD419" s="593">
        <f>SUMPRODUCT('EE Measures'!CE$8:CE$86,'EE Measures'!$IH$8:$IH$86,'EE Measures'!$AC$8:$AC$86,'EE Measures'!$CQ$8:$CQ$86)</f>
        <v>41.821371744230852</v>
      </c>
      <c r="AE419" s="593">
        <f>SUMPRODUCT('EE Measures'!CF$8:CF$86,'EE Measures'!$IH$8:$IH$86,'EE Measures'!$AC$8:$AC$86,'EE Measures'!$CQ$8:$CQ$86)</f>
        <v>42.727927318439406</v>
      </c>
      <c r="AF419" s="593">
        <f>SUMPRODUCT('EE Measures'!CG$8:CG$86,'EE Measures'!$IH$8:$IH$86,'EE Measures'!$AC$8:$AC$86,'EE Measures'!$CQ$8:$CQ$86)</f>
        <v>40.959224537960182</v>
      </c>
      <c r="AG419" s="593">
        <f>SUMPRODUCT('EE Measures'!CH$8:CH$86,'EE Measures'!$IH$8:$IH$86,'EE Measures'!$AC$8:$AC$86,'EE Measures'!$CQ$8:$CQ$86)</f>
        <v>41.785410731727296</v>
      </c>
      <c r="AH419" s="593">
        <f>SUMPRODUCT('EE Measures'!CI$8:CI$86,'EE Measures'!$IH$8:$IH$86,'EE Measures'!$AC$8:$AC$86,'EE Measures'!$CQ$8:$CQ$86)</f>
        <v>42.253705939989338</v>
      </c>
      <c r="AI419" s="593">
        <f>SUMPRODUCT('EE Measures'!CJ$8:CJ$86,'EE Measures'!$IH$8:$IH$86,'EE Measures'!$AC$8:$AC$86,'EE Measures'!$CQ$8:$CQ$86)</f>
        <v>42.427176628861581</v>
      </c>
      <c r="AJ419" s="593">
        <f>SUMPRODUCT('EE Measures'!CK$8:CK$86,'EE Measures'!$IH$8:$IH$86,'EE Measures'!$AC$8:$AC$86,'EE Measures'!$CQ$8:$CQ$86)</f>
        <v>43.247533203556969</v>
      </c>
      <c r="AK419" s="593">
        <f>SUMPRODUCT('EE Measures'!CL$8:CL$86,'EE Measures'!$IH$8:$IH$86,'EE Measures'!$AC$8:$AC$86,'EE Measures'!$CQ$8:$CQ$86)</f>
        <v>44.084296909746271</v>
      </c>
      <c r="AL419" s="593">
        <f>SUMPRODUCT('EE Measures'!CM$8:CM$86,'EE Measures'!$IH$8:$IH$86,'EE Measures'!$AC$8:$AC$86,'EE Measures'!$CQ$8:$CQ$86)</f>
        <v>44.937795890059355</v>
      </c>
      <c r="AM419" s="593">
        <f>SUMPRODUCT('EE Measures'!CN$8:CN$86,'EE Measures'!$IH$8:$IH$86,'EE Measures'!$AC$8:$AC$86,'EE Measures'!$CQ$8:$CQ$86)</f>
        <v>45.808364849978702</v>
      </c>
      <c r="AN419" s="865">
        <f>X419/X414</f>
        <v>9.0043823100580345E-2</v>
      </c>
    </row>
    <row r="420" spans="3:40" hidden="1" outlineLevel="1" x14ac:dyDescent="0.3">
      <c r="C420" s="587" t="str">
        <f>E420</f>
        <v>Renowave</v>
      </c>
      <c r="E420" s="555" t="str">
        <f>'EE Measures'!$II$6</f>
        <v>Renowave</v>
      </c>
      <c r="F420" s="590">
        <f>SUM(G420:P420)</f>
        <v>4286.9620220185643</v>
      </c>
      <c r="G420" s="591">
        <f>SUM(G421:G425)</f>
        <v>219.97747341601396</v>
      </c>
      <c r="H420" s="591">
        <f>SUM(H421:H425)</f>
        <v>161.90598516883404</v>
      </c>
      <c r="I420" s="591">
        <f t="shared" ref="I420:P420" si="1506">SUM(I421:I425)</f>
        <v>113.17102043255014</v>
      </c>
      <c r="J420" s="591">
        <f t="shared" si="1506"/>
        <v>190.75362024086124</v>
      </c>
      <c r="K420" s="591">
        <f t="shared" si="1506"/>
        <v>739.76278614204057</v>
      </c>
      <c r="L420" s="591">
        <f t="shared" si="1506"/>
        <v>626.01905937507479</v>
      </c>
      <c r="M420" s="591">
        <f t="shared" si="1506"/>
        <v>564.53526115305715</v>
      </c>
      <c r="N420" s="591">
        <f t="shared" si="1506"/>
        <v>546.56844485536715</v>
      </c>
      <c r="O420" s="591">
        <f t="shared" si="1506"/>
        <v>558.24986728512829</v>
      </c>
      <c r="P420" s="591">
        <f t="shared" si="1506"/>
        <v>566.01850394963708</v>
      </c>
      <c r="Q420" s="591">
        <f t="shared" ref="Q420:U420" si="1507">SUM(Q421:Q425)</f>
        <v>567.60879720638047</v>
      </c>
      <c r="R420" s="591">
        <f t="shared" si="1507"/>
        <v>578.70534626155711</v>
      </c>
      <c r="S420" s="591">
        <f t="shared" si="1507"/>
        <v>590.02382629783745</v>
      </c>
      <c r="T420" s="591">
        <f t="shared" si="1507"/>
        <v>601.56867593484321</v>
      </c>
      <c r="U420" s="591">
        <f t="shared" si="1507"/>
        <v>613.34442256458919</v>
      </c>
      <c r="W420" s="555" t="str">
        <f>'EE Measures'!$II$6</f>
        <v>Renowave</v>
      </c>
      <c r="X420" s="590">
        <f>SUM(Y420:AH420)</f>
        <v>4286.8420220185635</v>
      </c>
      <c r="Y420" s="591">
        <f t="shared" ref="Y420:Z420" si="1508">SUM(Y421:Y425)</f>
        <v>219.97747341601396</v>
      </c>
      <c r="Z420" s="591">
        <f t="shared" si="1508"/>
        <v>161.90598516883401</v>
      </c>
      <c r="AA420" s="591">
        <f t="shared" ref="AA420" si="1509">SUM(AA421:AA425)</f>
        <v>113.17102043255015</v>
      </c>
      <c r="AB420" s="591">
        <f t="shared" ref="AB420" si="1510">SUM(AB421:AB425)</f>
        <v>190.75362024086124</v>
      </c>
      <c r="AC420" s="591">
        <f t="shared" ref="AC420" si="1511">SUM(AC421:AC425)</f>
        <v>739.74278614204059</v>
      </c>
      <c r="AD420" s="591">
        <f t="shared" ref="AD420" si="1512">SUM(AD421:AD425)</f>
        <v>625.99905937507469</v>
      </c>
      <c r="AE420" s="591">
        <f t="shared" ref="AE420" si="1513">SUM(AE421:AE425)</f>
        <v>564.51526115305717</v>
      </c>
      <c r="AF420" s="591">
        <f t="shared" ref="AF420" si="1514">SUM(AF421:AF425)</f>
        <v>546.54844485536717</v>
      </c>
      <c r="AG420" s="591">
        <f t="shared" ref="AG420" si="1515">SUM(AG421:AG425)</f>
        <v>558.22986728512819</v>
      </c>
      <c r="AH420" s="591">
        <f t="shared" ref="AH420:AM420" si="1516">SUM(AH421:AH425)</f>
        <v>565.9985039496371</v>
      </c>
      <c r="AI420" s="591">
        <f t="shared" si="1516"/>
        <v>567.58879720638026</v>
      </c>
      <c r="AJ420" s="591">
        <f t="shared" si="1516"/>
        <v>578.68534626155702</v>
      </c>
      <c r="AK420" s="591">
        <f t="shared" si="1516"/>
        <v>590.00382629783724</v>
      </c>
      <c r="AL420" s="591">
        <f t="shared" si="1516"/>
        <v>601.54867593484312</v>
      </c>
      <c r="AM420" s="591">
        <f t="shared" si="1516"/>
        <v>613.32442256458921</v>
      </c>
    </row>
    <row r="421" spans="3:40" hidden="1" outlineLevel="1" x14ac:dyDescent="0.3">
      <c r="C421" s="587" t="str">
        <f>C420</f>
        <v>Renowave</v>
      </c>
      <c r="E421" s="563" t="s">
        <v>50</v>
      </c>
      <c r="F421" s="592">
        <f>SUM(G421:P421)</f>
        <v>130.13857375175243</v>
      </c>
      <c r="G421" s="593">
        <f>SUMPRODUCT('EE Measures'!BZ$8:BZ$86,'EE Measures'!$II$8:$II$86,'EE Measures'!$N$8:$N$86,'EE Measures'!$CQ$8:$CQ$86)</f>
        <v>24.708723810229309</v>
      </c>
      <c r="H421" s="593">
        <f>SUMPRODUCT('EE Measures'!CA$8:CA$86,'EE Measures'!$II$8:$II$86,'EE Measures'!$N$8:$N$86,'EE Measures'!$CQ$8:$CQ$86)</f>
        <v>2.3185512966668798</v>
      </c>
      <c r="I421" s="593">
        <f>SUMPRODUCT('EE Measures'!CB$8:CB$86,'EE Measures'!$II$8:$II$86,'EE Measures'!$N$8:$N$86,'EE Measures'!$CQ$8:$CQ$86)</f>
        <v>1.0123472345914053</v>
      </c>
      <c r="J421" s="593">
        <f>SUMPRODUCT('EE Measures'!CC$8:CC$86,'EE Measures'!$II$8:$II$86,'EE Measures'!$N$8:$N$86,'EE Measures'!$CQ$8:$CQ$86)</f>
        <v>8.012347234591406</v>
      </c>
      <c r="K421" s="593">
        <f>SUMPRODUCT('EE Measures'!CD$8:CD$86,'EE Measures'!$II$8:$II$86,'EE Measures'!$N$8:$N$86,'EE Measures'!$CQ$8:$CQ$86)</f>
        <v>32.303127579031447</v>
      </c>
      <c r="L421" s="593">
        <f>SUMPRODUCT('EE Measures'!CE$8:CE$86,'EE Measures'!$II$8:$II$86,'EE Measures'!$N$8:$N$86,'EE Measures'!$CQ$8:$CQ$86)</f>
        <v>27.578127579031449</v>
      </c>
      <c r="M421" s="593">
        <f>SUMPRODUCT('EE Measures'!CF$8:CF$86,'EE Measures'!$II$8:$II$86,'EE Measures'!$N$8:$N$86,'EE Measures'!$CQ$8:$CQ$86)</f>
        <v>21.21825661091712</v>
      </c>
      <c r="N421" s="593">
        <f>SUMPRODUCT('EE Measures'!CG$8:CG$86,'EE Measures'!$II$8:$II$86,'EE Measures'!$N$8:$N$86,'EE Measures'!$CQ$8:$CQ$86)</f>
        <v>4.3290308022311343</v>
      </c>
      <c r="O421" s="593">
        <f>SUMPRODUCT('EE Measures'!CH$8:CH$86,'EE Measures'!$II$8:$II$86,'EE Measures'!$N$8:$N$86,'EE Measures'!$CQ$8:$CQ$86)</f>
        <v>4.3290308022311343</v>
      </c>
      <c r="P421" s="593">
        <f>SUMPRODUCT('EE Measures'!CI$8:CI$86,'EE Measures'!$II$8:$II$86,'EE Measures'!$N$8:$N$86,'EE Measures'!$CQ$8:$CQ$86)</f>
        <v>4.3290308022311343</v>
      </c>
      <c r="Q421" s="593">
        <f>SUMPRODUCT('EE Measures'!CJ$8:CJ$86,'EE Measures'!$II$8:$II$86,'EE Measures'!$N$8:$N$86,'EE Measures'!$CQ$8:$CQ$86)</f>
        <v>4.3290308022311343</v>
      </c>
      <c r="R421" s="593">
        <f>SUMPRODUCT('EE Measures'!CK$8:CK$86,'EE Measures'!$II$8:$II$86,'EE Measures'!$N$8:$N$86,'EE Measures'!$CQ$8:$CQ$86)</f>
        <v>4.3290308022311343</v>
      </c>
      <c r="S421" s="593">
        <f>SUMPRODUCT('EE Measures'!CL$8:CL$86,'EE Measures'!$II$8:$II$86,'EE Measures'!$N$8:$N$86,'EE Measures'!$CQ$8:$CQ$86)</f>
        <v>4.3290308022311343</v>
      </c>
      <c r="T421" s="593">
        <f>SUMPRODUCT('EE Measures'!CM$8:CM$86,'EE Measures'!$II$8:$II$86,'EE Measures'!$N$8:$N$86,'EE Measures'!$CQ$8:$CQ$86)</f>
        <v>4.3290308022311343</v>
      </c>
      <c r="U421" s="593">
        <f>SUMPRODUCT('EE Measures'!CN$8:CN$86,'EE Measures'!$II$8:$II$86,'EE Measures'!$N$8:$N$86,'EE Measures'!$CQ$8:$CQ$86)</f>
        <v>4.3290308022311343</v>
      </c>
      <c r="W421" s="563" t="str" cm="1">
        <f t="array" ref="W421:W425">_xlfn.ANCHORARRAY($W$357)</f>
        <v xml:space="preserve">Põhja-Eesti </v>
      </c>
      <c r="X421" s="592">
        <f>SUM(Y421:AH421)</f>
        <v>1755.9929756187403</v>
      </c>
      <c r="Y421" s="593">
        <f>SUMPRODUCT('EE Measures'!BZ$8:BZ$86,'EE Measures'!$II$8:$II$86,'EE Measures'!$Y$8:$Y$86,'EE Measures'!$CQ$8:$CQ$86)</f>
        <v>109.25843622753695</v>
      </c>
      <c r="Z421" s="593">
        <f>SUMPRODUCT('EE Measures'!CA$8:CA$86,'EE Measures'!$II$8:$II$86,'EE Measures'!$Y$8:$Y$86,'EE Measures'!$CQ$8:$CQ$86)</f>
        <v>78.831060160873008</v>
      </c>
      <c r="AA421" s="593">
        <f>SUMPRODUCT('EE Measures'!CB$8:CB$86,'EE Measures'!$II$8:$II$86,'EE Measures'!$Y$8:$Y$86,'EE Measures'!$CQ$8:$CQ$86)</f>
        <v>49.666106205052863</v>
      </c>
      <c r="AB421" s="593">
        <f>SUMPRODUCT('EE Measures'!CC$8:CC$86,'EE Measures'!$II$8:$II$86,'EE Measures'!$Y$8:$Y$86,'EE Measures'!$CQ$8:$CQ$86)</f>
        <v>95.439301737672423</v>
      </c>
      <c r="AC421" s="593">
        <f>SUMPRODUCT('EE Measures'!CD$8:CD$86,'EE Measures'!$II$8:$II$86,'EE Measures'!$Y$8:$Y$86,'EE Measures'!$CQ$8:$CQ$86)</f>
        <v>319.00110162254776</v>
      </c>
      <c r="AD421" s="593">
        <f>SUMPRODUCT('EE Measures'!CE$8:CE$86,'EE Measures'!$II$8:$II$86,'EE Measures'!$Y$8:$Y$86,'EE Measures'!$CQ$8:$CQ$86)</f>
        <v>250.22437067751889</v>
      </c>
      <c r="AE421" s="593">
        <f>SUMPRODUCT('EE Measures'!CF$8:CF$86,'EE Measures'!$II$8:$II$86,'EE Measures'!$Y$8:$Y$86,'EE Measures'!$CQ$8:$CQ$86)</f>
        <v>217.6551118080169</v>
      </c>
      <c r="AF421" s="593">
        <f>SUMPRODUCT('EE Measures'!CG$8:CG$86,'EE Measures'!$II$8:$II$86,'EE Measures'!$Y$8:$Y$86,'EE Measures'!$CQ$8:$CQ$86)</f>
        <v>207.84008082765121</v>
      </c>
      <c r="AG421" s="593">
        <f>SUMPRODUCT('EE Measures'!CH$8:CH$86,'EE Measures'!$II$8:$II$86,'EE Measures'!$Y$8:$Y$86,'EE Measures'!$CQ$8:$CQ$86)</f>
        <v>212.58826423746859</v>
      </c>
      <c r="AH421" s="593">
        <f>SUMPRODUCT('EE Measures'!CI$8:CI$86,'EE Measures'!$II$8:$II$86,'EE Measures'!$Y$8:$Y$86,'EE Measures'!$CQ$8:$CQ$86)</f>
        <v>215.48914211440152</v>
      </c>
      <c r="AI421" s="593">
        <f>SUMPRODUCT('EE Measures'!CJ$8:CJ$86,'EE Measures'!$II$8:$II$86,'EE Measures'!$Y$8:$Y$86,'EE Measures'!$CQ$8:$CQ$86)</f>
        <v>213.82193290910456</v>
      </c>
      <c r="AJ421" s="593">
        <f>SUMPRODUCT('EE Measures'!CK$8:CK$86,'EE Measures'!$II$8:$II$86,'EE Measures'!$Y$8:$Y$86,'EE Measures'!$CQ$8:$CQ$86)</f>
        <v>217.97431175231901</v>
      </c>
      <c r="AK421" s="593">
        <f>SUMPRODUCT('EE Measures'!CL$8:CL$86,'EE Measures'!$II$8:$II$86,'EE Measures'!$Y$8:$Y$86,'EE Measures'!$CQ$8:$CQ$86)</f>
        <v>222.20973817239769</v>
      </c>
      <c r="AL421" s="593">
        <f>SUMPRODUCT('EE Measures'!CM$8:CM$86,'EE Measures'!$II$8:$II$86,'EE Measures'!$Y$8:$Y$86,'EE Measures'!$CQ$8:$CQ$86)</f>
        <v>226.52987312087794</v>
      </c>
      <c r="AM421" s="593">
        <f>SUMPRODUCT('EE Measures'!CN$8:CN$86,'EE Measures'!$II$8:$II$86,'EE Measures'!$Y$8:$Y$86,'EE Measures'!$CQ$8:$CQ$86)</f>
        <v>230.93641076832779</v>
      </c>
      <c r="AN421" s="865">
        <f>X421/X420</f>
        <v>0.409623906502598</v>
      </c>
    </row>
    <row r="422" spans="3:40" hidden="1" outlineLevel="1" x14ac:dyDescent="0.3">
      <c r="C422" s="587" t="str">
        <f t="shared" ref="C422:C425" si="1517">C421</f>
        <v>Renowave</v>
      </c>
      <c r="E422" s="563" t="s">
        <v>51</v>
      </c>
      <c r="F422" s="592">
        <f t="shared" ref="F422:F425" si="1518">SUM(G422:P422)</f>
        <v>1444.7172946707581</v>
      </c>
      <c r="G422" s="593">
        <f>SUMPRODUCT('EE Measures'!BZ$8:BZ$86,'EE Measures'!$II$8:$II$86,'EE Measures'!$O$8:$O$86,'EE Measures'!$CQ$8:$CQ$86)</f>
        <v>19.823359251885766</v>
      </c>
      <c r="H422" s="593">
        <f>SUMPRODUCT('EE Measures'!CA$8:CA$86,'EE Measures'!$II$8:$II$86,'EE Measures'!$O$8:$O$86,'EE Measures'!$CQ$8:$CQ$86)</f>
        <v>22.704467342073567</v>
      </c>
      <c r="I422" s="593">
        <f>SUMPRODUCT('EE Measures'!CB$8:CB$86,'EE Measures'!$II$8:$II$86,'EE Measures'!$O$8:$O$86,'EE Measures'!$CQ$8:$CQ$86)</f>
        <v>24.572547359268043</v>
      </c>
      <c r="J422" s="593">
        <f>SUMPRODUCT('EE Measures'!CC$8:CC$86,'EE Measures'!$II$8:$II$86,'EE Measures'!$O$8:$O$86,'EE Measures'!$CQ$8:$CQ$86)</f>
        <v>3.0124651075795157E-2</v>
      </c>
      <c r="K422" s="593">
        <f>SUMPRODUCT('EE Measures'!CD$8:CD$86,'EE Measures'!$II$8:$II$86,'EE Measures'!$O$8:$O$86,'EE Measures'!$CQ$8:$CQ$86)</f>
        <v>218.38453735106086</v>
      </c>
      <c r="L422" s="593">
        <f>SUMPRODUCT('EE Measures'!CE$8:CE$86,'EE Measures'!$II$8:$II$86,'EE Measures'!$O$8:$O$86,'EE Measures'!$CQ$8:$CQ$86)</f>
        <v>222.75162560506055</v>
      </c>
      <c r="M422" s="593">
        <f>SUMPRODUCT('EE Measures'!CF$8:CF$86,'EE Measures'!$II$8:$II$86,'EE Measures'!$O$8:$O$86,'EE Measures'!$CQ$8:$CQ$86)</f>
        <v>227.20605562414028</v>
      </c>
      <c r="N422" s="593">
        <f>SUMPRODUCT('EE Measures'!CG$8:CG$86,'EE Measures'!$II$8:$II$86,'EE Measures'!$O$8:$O$86,'EE Measures'!$CQ$8:$CQ$86)</f>
        <v>231.74957424360156</v>
      </c>
      <c r="O422" s="593">
        <f>SUMPRODUCT('EE Measures'!CH$8:CH$86,'EE Measures'!$II$8:$II$86,'EE Measures'!$O$8:$O$86,'EE Measures'!$CQ$8:$CQ$86)</f>
        <v>236.38396323545209</v>
      </c>
      <c r="P422" s="593">
        <f>SUMPRODUCT('EE Measures'!CI$8:CI$86,'EE Measures'!$II$8:$II$86,'EE Measures'!$O$8:$O$86,'EE Measures'!$CQ$8:$CQ$86)</f>
        <v>241.11104000713959</v>
      </c>
      <c r="Q422" s="593">
        <f>SUMPRODUCT('EE Measures'!CJ$8:CJ$86,'EE Measures'!$II$8:$II$86,'EE Measures'!$O$8:$O$86,'EE Measures'!$CQ$8:$CQ$86)</f>
        <v>245.93265831426083</v>
      </c>
      <c r="R422" s="593">
        <f>SUMPRODUCT('EE Measures'!CK$8:CK$86,'EE Measures'!$II$8:$II$86,'EE Measures'!$O$8:$O$86,'EE Measures'!$CQ$8:$CQ$86)</f>
        <v>250.85070898752454</v>
      </c>
      <c r="S422" s="593">
        <f>SUMPRODUCT('EE Measures'!CL$8:CL$86,'EE Measures'!$II$8:$II$86,'EE Measures'!$O$8:$O$86,'EE Measures'!$CQ$8:$CQ$86)</f>
        <v>255.86712067425358</v>
      </c>
      <c r="T422" s="593">
        <f>SUMPRODUCT('EE Measures'!CM$8:CM$86,'EE Measures'!$II$8:$II$86,'EE Measures'!$O$8:$O$86,'EE Measures'!$CQ$8:$CQ$86)</f>
        <v>260.98386059471716</v>
      </c>
      <c r="U422" s="593">
        <f>SUMPRODUCT('EE Measures'!CN$8:CN$86,'EE Measures'!$II$8:$II$86,'EE Measures'!$O$8:$O$86,'EE Measures'!$CQ$8:$CQ$86)</f>
        <v>266.20293531358999</v>
      </c>
      <c r="W422" s="563" t="str">
        <v>Lääne-Eesti</v>
      </c>
      <c r="X422" s="592">
        <f t="shared" ref="X422:X425" si="1519">SUM(Y422:AH422)</f>
        <v>793.88967742208195</v>
      </c>
      <c r="Y422" s="593">
        <f>SUMPRODUCT('EE Measures'!BZ$8:BZ$86,'EE Measures'!$II$8:$II$86,'EE Measures'!$Z$8:$Z$86,'EE Measures'!$CQ$8:$CQ$86)</f>
        <v>34.731534563582564</v>
      </c>
      <c r="Z422" s="593">
        <f>SUMPRODUCT('EE Measures'!CA$8:CA$86,'EE Measures'!$II$8:$II$86,'EE Measures'!$Z$8:$Z$86,'EE Measures'!$CQ$8:$CQ$86)</f>
        <v>39.471913999812969</v>
      </c>
      <c r="AA422" s="593">
        <f>SUMPRODUCT('EE Measures'!CB$8:CB$86,'EE Measures'!$II$8:$II$86,'EE Measures'!$Z$8:$Z$86,'EE Measures'!$CQ$8:$CQ$86)</f>
        <v>29.615847954347863</v>
      </c>
      <c r="AB422" s="593">
        <f>SUMPRODUCT('EE Measures'!CC$8:CC$86,'EE Measures'!$II$8:$II$86,'EE Measures'!$Z$8:$Z$86,'EE Measures'!$CQ$8:$CQ$86)</f>
        <v>86.147161920715121</v>
      </c>
      <c r="AC422" s="593">
        <f>SUMPRODUCT('EE Measures'!CD$8:CD$86,'EE Measures'!$II$8:$II$86,'EE Measures'!$Z$8:$Z$86,'EE Measures'!$CQ$8:$CQ$86)</f>
        <v>162.35345303998065</v>
      </c>
      <c r="AD422" s="593">
        <f>SUMPRODUCT('EE Measures'!CE$8:CE$86,'EE Measures'!$II$8:$II$86,'EE Measures'!$Z$8:$Z$86,'EE Measures'!$CQ$8:$CQ$86)</f>
        <v>116.3777987848872</v>
      </c>
      <c r="AE422" s="593">
        <f>SUMPRODUCT('EE Measures'!CF$8:CF$86,'EE Measures'!$II$8:$II$86,'EE Measures'!$Z$8:$Z$86,'EE Measures'!$CQ$8:$CQ$86)</f>
        <v>81.052412277197803</v>
      </c>
      <c r="AF422" s="593">
        <f>SUMPRODUCT('EE Measures'!CG$8:CG$86,'EE Measures'!$II$8:$II$86,'EE Measures'!$Z$8:$Z$86,'EE Measures'!$CQ$8:$CQ$86)</f>
        <v>79.886296498561606</v>
      </c>
      <c r="AG422" s="593">
        <f>SUMPRODUCT('EE Measures'!CH$8:CH$86,'EE Measures'!$II$8:$II$86,'EE Measures'!$Z$8:$Z$86,'EE Measures'!$CQ$8:$CQ$86)</f>
        <v>81.518888239424498</v>
      </c>
      <c r="AH422" s="593">
        <f>SUMPRODUCT('EE Measures'!CI$8:CI$86,'EE Measures'!$II$8:$II$86,'EE Measures'!$Z$8:$Z$86,'EE Measures'!$CQ$8:$CQ$86)</f>
        <v>82.734370143571553</v>
      </c>
      <c r="AI422" s="593">
        <f>SUMPRODUCT('EE Measures'!CJ$8:CJ$86,'EE Measures'!$II$8:$II$86,'EE Measures'!$Z$8:$Z$86,'EE Measures'!$CQ$8:$CQ$86)</f>
        <v>83.577626858624356</v>
      </c>
      <c r="AJ422" s="593">
        <f>SUMPRODUCT('EE Measures'!CK$8:CK$86,'EE Measures'!$II$8:$II$86,'EE Measures'!$Z$8:$Z$86,'EE Measures'!$CQ$8:$CQ$86)</f>
        <v>85.223835214793667</v>
      </c>
      <c r="AK422" s="593">
        <f>SUMPRODUCT('EE Measures'!CL$8:CL$86,'EE Measures'!$II$8:$II$86,'EE Measures'!$Z$8:$Z$86,'EE Measures'!$CQ$8:$CQ$86)</f>
        <v>86.902967738086346</v>
      </c>
      <c r="AL422" s="593">
        <f>SUMPRODUCT('EE Measures'!CM$8:CM$86,'EE Measures'!$II$8:$II$86,'EE Measures'!$Z$8:$Z$86,'EE Measures'!$CQ$8:$CQ$86)</f>
        <v>88.615682911844885</v>
      </c>
      <c r="AM422" s="593">
        <f>SUMPRODUCT('EE Measures'!CN$8:CN$86,'EE Measures'!$II$8:$II$86,'EE Measures'!$Z$8:$Z$86,'EE Measures'!$CQ$8:$CQ$86)</f>
        <v>90.36265238907859</v>
      </c>
      <c r="AN422" s="865">
        <f>X422/X420</f>
        <v>0.18519219354116989</v>
      </c>
    </row>
    <row r="423" spans="3:40" hidden="1" outlineLevel="1" x14ac:dyDescent="0.3">
      <c r="C423" s="587" t="str">
        <f t="shared" si="1517"/>
        <v>Renowave</v>
      </c>
      <c r="E423" s="563" t="s">
        <v>52</v>
      </c>
      <c r="F423" s="592">
        <f t="shared" si="1518"/>
        <v>1668.1246731700917</v>
      </c>
      <c r="G423" s="593">
        <f>SUMPRODUCT('EE Measures'!BZ$8:BZ$86,'EE Measures'!$II$8:$II$86,'EE Measures'!$P$8:$P$86,'EE Measures'!$CQ$8:$CQ$86)</f>
        <v>60.815779751596082</v>
      </c>
      <c r="H423" s="593">
        <f>SUMPRODUCT('EE Measures'!CA$8:CA$86,'EE Measures'!$II$8:$II$86,'EE Measures'!$P$8:$P$86,'EE Measures'!$CQ$8:$CQ$86)</f>
        <v>67.386187714957302</v>
      </c>
      <c r="I423" s="593">
        <f>SUMPRODUCT('EE Measures'!CB$8:CB$86,'EE Measures'!$II$8:$II$86,'EE Measures'!$P$8:$P$86,'EE Measures'!$CQ$8:$CQ$86)</f>
        <v>26.02520310473756</v>
      </c>
      <c r="J423" s="593">
        <f>SUMPRODUCT('EE Measures'!CC$8:CC$86,'EE Measures'!$II$8:$II$86,'EE Measures'!$P$8:$P$86,'EE Measures'!$CQ$8:$CQ$86)</f>
        <v>4.2525834106499412</v>
      </c>
      <c r="K423" s="593">
        <f>SUMPRODUCT('EE Measures'!CD$8:CD$86,'EE Measures'!$II$8:$II$86,'EE Measures'!$P$8:$P$86,'EE Measures'!$CQ$8:$CQ$86)</f>
        <v>239.3178001169066</v>
      </c>
      <c r="L423" s="593">
        <f>SUMPRODUCT('EE Measures'!CE$8:CE$86,'EE Measures'!$II$8:$II$86,'EE Measures'!$P$8:$P$86,'EE Measures'!$CQ$8:$CQ$86)</f>
        <v>244.10410986492903</v>
      </c>
      <c r="M423" s="593">
        <f>SUMPRODUCT('EE Measures'!CF$8:CF$86,'EE Measures'!$II$8:$II$86,'EE Measures'!$P$8:$P$86,'EE Measures'!$CQ$8:$CQ$86)</f>
        <v>248.9861458079119</v>
      </c>
      <c r="N423" s="593">
        <f>SUMPRODUCT('EE Measures'!CG$8:CG$86,'EE Measures'!$II$8:$II$86,'EE Measures'!$P$8:$P$86,'EE Measures'!$CQ$8:$CQ$86)</f>
        <v>253.96582246975447</v>
      </c>
      <c r="O423" s="593">
        <f>SUMPRODUCT('EE Measures'!CH$8:CH$86,'EE Measures'!$II$8:$II$86,'EE Measures'!$P$8:$P$86,'EE Measures'!$CQ$8:$CQ$86)</f>
        <v>259.04509266483387</v>
      </c>
      <c r="P423" s="593">
        <f>SUMPRODUCT('EE Measures'!CI$8:CI$86,'EE Measures'!$II$8:$II$86,'EE Measures'!$P$8:$P$86,'EE Measures'!$CQ$8:$CQ$86)</f>
        <v>264.22594826381487</v>
      </c>
      <c r="Q423" s="593">
        <f>SUMPRODUCT('EE Measures'!CJ$8:CJ$86,'EE Measures'!$II$8:$II$86,'EE Measures'!$P$8:$P$86,'EE Measures'!$CQ$8:$CQ$86)</f>
        <v>269.51042097477546</v>
      </c>
      <c r="R423" s="593">
        <f>SUMPRODUCT('EE Measures'!CK$8:CK$86,'EE Measures'!$II$8:$II$86,'EE Measures'!$P$8:$P$86,'EE Measures'!$CQ$8:$CQ$86)</f>
        <v>274.90058313995524</v>
      </c>
      <c r="S423" s="593">
        <f>SUMPRODUCT('EE Measures'!CL$8:CL$86,'EE Measures'!$II$8:$II$86,'EE Measures'!$P$8:$P$86,'EE Measures'!$CQ$8:$CQ$86)</f>
        <v>280.39854854843867</v>
      </c>
      <c r="T423" s="593">
        <f>SUMPRODUCT('EE Measures'!CM$8:CM$86,'EE Measures'!$II$8:$II$86,'EE Measures'!$P$8:$P$86,'EE Measures'!$CQ$8:$CQ$86)</f>
        <v>286.0064732650917</v>
      </c>
      <c r="U423" s="593">
        <f>SUMPRODUCT('EE Measures'!CN$8:CN$86,'EE Measures'!$II$8:$II$86,'EE Measures'!$P$8:$P$86,'EE Measures'!$CQ$8:$CQ$86)</f>
        <v>291.72655647607786</v>
      </c>
      <c r="W423" s="563" t="str">
        <v>Kirde-Eesti</v>
      </c>
      <c r="X423" s="592">
        <f t="shared" si="1519"/>
        <v>377.33818283595679</v>
      </c>
      <c r="Y423" s="593">
        <f>SUMPRODUCT('EE Measures'!BZ$8:BZ$86,'EE Measures'!$II$8:$II$86,'EE Measures'!$AA$8:$AA$86,'EE Measures'!$CQ$8:$CQ$86)</f>
        <v>18.482831078924221</v>
      </c>
      <c r="Z423" s="593">
        <f>SUMPRODUCT('EE Measures'!CA$8:CA$86,'EE Measures'!$II$8:$II$86,'EE Measures'!$AA$8:$AA$86,'EE Measures'!$CQ$8:$CQ$86)</f>
        <v>9.1552898089698296</v>
      </c>
      <c r="AA423" s="593">
        <f>SUMPRODUCT('EE Measures'!CB$8:CB$86,'EE Measures'!$II$8:$II$86,'EE Measures'!$AA$8:$AA$86,'EE Measures'!$CQ$8:$CQ$86)</f>
        <v>6.3666390012901513</v>
      </c>
      <c r="AB423" s="593">
        <f>SUMPRODUCT('EE Measures'!CC$8:CC$86,'EE Measures'!$II$8:$II$86,'EE Measures'!$AA$8:$AA$86,'EE Measures'!$CQ$8:$CQ$86)</f>
        <v>2.2576738039592295</v>
      </c>
      <c r="AC423" s="593">
        <f>SUMPRODUCT('EE Measures'!CD$8:CD$86,'EE Measures'!$II$8:$II$86,'EE Measures'!$AA$8:$AA$86,'EE Measures'!$CQ$8:$CQ$86)</f>
        <v>56.772918659991056</v>
      </c>
      <c r="AD423" s="593">
        <f>SUMPRODUCT('EE Measures'!CE$8:CE$86,'EE Measures'!$II$8:$II$86,'EE Measures'!$AA$8:$AA$86,'EE Measures'!$CQ$8:$CQ$86)</f>
        <v>56.769613346665736</v>
      </c>
      <c r="AE423" s="593">
        <f>SUMPRODUCT('EE Measures'!CF$8:CF$86,'EE Measures'!$II$8:$II$86,'EE Measures'!$AA$8:$AA$86,'EE Measures'!$CQ$8:$CQ$86)</f>
        <v>57.812175276328382</v>
      </c>
      <c r="AF423" s="593">
        <f>SUMPRODUCT('EE Measures'!CG$8:CG$86,'EE Measures'!$II$8:$II$86,'EE Measures'!$AA$8:$AA$86,'EE Measures'!$CQ$8:$CQ$86)</f>
        <v>55.564999020989745</v>
      </c>
      <c r="AG423" s="593">
        <f>SUMPRODUCT('EE Measures'!CH$8:CH$86,'EE Measures'!$II$8:$II$86,'EE Measures'!$AA$8:$AA$86,'EE Measures'!$CQ$8:$CQ$86)</f>
        <v>56.700698026797262</v>
      </c>
      <c r="AH423" s="593">
        <f>SUMPRODUCT('EE Measures'!CI$8:CI$86,'EE Measures'!$II$8:$II$86,'EE Measures'!$AA$8:$AA$86,'EE Measures'!$CQ$8:$CQ$86)</f>
        <v>57.455344812041112</v>
      </c>
      <c r="AI423" s="593">
        <f>SUMPRODUCT('EE Measures'!CJ$8:CJ$86,'EE Measures'!$II$8:$II$86,'EE Measures'!$AA$8:$AA$86,'EE Measures'!$CQ$8:$CQ$86)</f>
        <v>58.1041934987297</v>
      </c>
      <c r="AJ423" s="593">
        <f>SUMPRODUCT('EE Measures'!CK$8:CK$86,'EE Measures'!$II$8:$II$86,'EE Measures'!$AA$8:$AA$86,'EE Measures'!$CQ$8:$CQ$86)</f>
        <v>59.239199041213361</v>
      </c>
      <c r="AK423" s="593">
        <f>SUMPRODUCT('EE Measures'!CL$8:CL$86,'EE Measures'!$II$8:$II$86,'EE Measures'!$AA$8:$AA$86,'EE Measures'!$CQ$8:$CQ$86)</f>
        <v>60.396904694546734</v>
      </c>
      <c r="AL423" s="593">
        <f>SUMPRODUCT('EE Measures'!CM$8:CM$86,'EE Measures'!$II$8:$II$86,'EE Measures'!$AA$8:$AA$86,'EE Measures'!$CQ$8:$CQ$86)</f>
        <v>61.577764460946739</v>
      </c>
      <c r="AM423" s="593">
        <f>SUMPRODUCT('EE Measures'!CN$8:CN$86,'EE Measures'!$II$8:$II$86,'EE Measures'!$AA$8:$AA$86,'EE Measures'!$CQ$8:$CQ$86)</f>
        <v>62.782241422674801</v>
      </c>
      <c r="AN423" s="865">
        <f>X423/X420</f>
        <v>8.8022413911646308E-2</v>
      </c>
    </row>
    <row r="424" spans="3:40" hidden="1" outlineLevel="1" x14ac:dyDescent="0.3">
      <c r="C424" s="587" t="str">
        <f t="shared" si="1517"/>
        <v>Renowave</v>
      </c>
      <c r="E424" s="563" t="s">
        <v>53</v>
      </c>
      <c r="F424" s="592">
        <f t="shared" si="1518"/>
        <v>1039.1605901395731</v>
      </c>
      <c r="G424" s="593">
        <f>SUMPRODUCT('EE Measures'!BZ$8:BZ$86,'EE Measures'!$II$8:$II$86,'EE Measures'!$Q$8:$Q$86,'EE Measures'!$CQ$8:$CQ$86)</f>
        <v>114.59001387451011</v>
      </c>
      <c r="H424" s="593">
        <f>SUMPRODUCT('EE Measures'!CA$8:CA$86,'EE Measures'!$II$8:$II$86,'EE Measures'!$Q$8:$Q$86,'EE Measures'!$CQ$8:$CQ$86)</f>
        <v>69.457182087343568</v>
      </c>
      <c r="I424" s="593">
        <f>SUMPRODUCT('EE Measures'!CB$8:CB$86,'EE Measures'!$II$8:$II$86,'EE Measures'!$Q$8:$Q$86,'EE Measures'!$CQ$8:$CQ$86)</f>
        <v>61.521326006160415</v>
      </c>
      <c r="J424" s="593">
        <f>SUMPRODUCT('EE Measures'!CC$8:CC$86,'EE Measures'!$II$8:$II$86,'EE Measures'!$Q$8:$Q$86,'EE Measures'!$CQ$8:$CQ$86)</f>
        <v>178.41896821675138</v>
      </c>
      <c r="K424" s="593">
        <f>SUMPRODUCT('EE Measures'!CD$8:CD$86,'EE Measures'!$II$8:$II$86,'EE Measures'!$Q$8:$Q$86,'EE Measures'!$CQ$8:$CQ$86)</f>
        <v>249.71772436724891</v>
      </c>
      <c r="L424" s="593">
        <f>SUMPRODUCT('EE Measures'!CE$8:CE$86,'EE Measures'!$II$8:$II$86,'EE Measures'!$Q$8:$Q$86,'EE Measures'!$CQ$8:$CQ$86)</f>
        <v>131.54559959826096</v>
      </c>
      <c r="M424" s="593">
        <f>SUMPRODUCT('EE Measures'!CF$8:CF$86,'EE Measures'!$II$8:$II$86,'EE Measures'!$Q$8:$Q$86,'EE Measures'!$CQ$8:$CQ$86)</f>
        <v>65.978975630179619</v>
      </c>
      <c r="N424" s="593">
        <f>SUMPRODUCT('EE Measures'!CG$8:CG$86,'EE Measures'!$II$8:$II$86,'EE Measures'!$Q$8:$Q$86,'EE Measures'!$CQ$8:$CQ$86)</f>
        <v>55.378189859871789</v>
      </c>
      <c r="O424" s="593">
        <f>SUMPRODUCT('EE Measures'!CH$8:CH$86,'EE Measures'!$II$8:$II$86,'EE Measures'!$Q$8:$Q$86,'EE Measures'!$CQ$8:$CQ$86)</f>
        <v>57.34595310270295</v>
      </c>
      <c r="P424" s="593">
        <f>SUMPRODUCT('EE Measures'!CI$8:CI$86,'EE Measures'!$II$8:$II$86,'EE Measures'!$Q$8:$Q$86,'EE Measures'!$CQ$8:$CQ$86)</f>
        <v>55.206657396543314</v>
      </c>
      <c r="Q424" s="593">
        <f>SUMPRODUCT('EE Measures'!CJ$8:CJ$86,'EE Measures'!$II$8:$II$86,'EE Measures'!$Q$8:$Q$86,'EE Measures'!$CQ$8:$CQ$86)</f>
        <v>47.797090387320253</v>
      </c>
      <c r="R424" s="593">
        <f>SUMPRODUCT('EE Measures'!CK$8:CK$86,'EE Measures'!$II$8:$II$86,'EE Measures'!$Q$8:$Q$86,'EE Measures'!$CQ$8:$CQ$86)</f>
        <v>48.585426604053438</v>
      </c>
      <c r="S424" s="593">
        <f>SUMPRODUCT('EE Measures'!CL$8:CL$86,'EE Measures'!$II$8:$II$86,'EE Measures'!$Q$8:$Q$86,'EE Measures'!$CQ$8:$CQ$86)</f>
        <v>49.389529545121292</v>
      </c>
      <c r="T424" s="593">
        <f>SUMPRODUCT('EE Measures'!CM$8:CM$86,'EE Measures'!$II$8:$II$86,'EE Measures'!$Q$8:$Q$86,'EE Measures'!$CQ$8:$CQ$86)</f>
        <v>50.209714545010492</v>
      </c>
      <c r="U424" s="593">
        <f>SUMPRODUCT('EE Measures'!CN$8:CN$86,'EE Measures'!$II$8:$II$86,'EE Measures'!$Q$8:$Q$86,'EE Measures'!$CQ$8:$CQ$86)</f>
        <v>51.04630324489748</v>
      </c>
      <c r="W424" s="563" t="str">
        <v>Lõuna-Eesti </v>
      </c>
      <c r="X424" s="592">
        <f t="shared" si="1519"/>
        <v>942.72730308543555</v>
      </c>
      <c r="Y424" s="593">
        <f>SUMPRODUCT('EE Measures'!BZ$8:BZ$86,'EE Measures'!$II$8:$II$86,'EE Measures'!$AB$8:$AB$86,'EE Measures'!$CQ$8:$CQ$86)</f>
        <v>41.032945113689003</v>
      </c>
      <c r="Z424" s="593">
        <f>SUMPRODUCT('EE Measures'!CA$8:CA$86,'EE Measures'!$II$8:$II$86,'EE Measures'!$AB$8:$AB$86,'EE Measures'!$CQ$8:$CQ$86)</f>
        <v>24.436030115581595</v>
      </c>
      <c r="AA424" s="593">
        <f>SUMPRODUCT('EE Measures'!CB$8:CB$86,'EE Measures'!$II$8:$II$86,'EE Measures'!$AB$8:$AB$86,'EE Measures'!$CQ$8:$CQ$86)</f>
        <v>19.342393760894169</v>
      </c>
      <c r="AB424" s="593">
        <f>SUMPRODUCT('EE Measures'!CC$8:CC$86,'EE Measures'!$II$8:$II$86,'EE Measures'!$AB$8:$AB$86,'EE Measures'!$CQ$8:$CQ$86)</f>
        <v>4.9436871133979601</v>
      </c>
      <c r="AC424" s="593">
        <f>SUMPRODUCT('EE Measures'!CD$8:CD$86,'EE Measures'!$II$8:$II$86,'EE Measures'!$AB$8:$AB$86,'EE Measures'!$CQ$8:$CQ$86)</f>
        <v>139.52491064920636</v>
      </c>
      <c r="AD424" s="593">
        <f>SUMPRODUCT('EE Measures'!CE$8:CE$86,'EE Measures'!$II$8:$II$86,'EE Measures'!$AB$8:$AB$86,'EE Measures'!$CQ$8:$CQ$86)</f>
        <v>140.18811759381012</v>
      </c>
      <c r="AE424" s="593">
        <f>SUMPRODUCT('EE Measures'!CF$8:CF$86,'EE Measures'!$II$8:$II$86,'EE Measures'!$AB$8:$AB$86,'EE Measures'!$CQ$8:$CQ$86)</f>
        <v>143.92296631807329</v>
      </c>
      <c r="AF424" s="593">
        <f>SUMPRODUCT('EE Measures'!CG$8:CG$86,'EE Measures'!$II$8:$II$86,'EE Measures'!$AB$8:$AB$86,'EE Measures'!$CQ$8:$CQ$86)</f>
        <v>140.52061643197806</v>
      </c>
      <c r="AG424" s="593">
        <f>SUMPRODUCT('EE Measures'!CH$8:CH$86,'EE Measures'!$II$8:$II$86,'EE Measures'!$AB$8:$AB$86,'EE Measures'!$CQ$8:$CQ$86)</f>
        <v>143.41816794059463</v>
      </c>
      <c r="AH424" s="593">
        <f>SUMPRODUCT('EE Measures'!CI$8:CI$86,'EE Measures'!$II$8:$II$86,'EE Measures'!$AB$8:$AB$86,'EE Measures'!$CQ$8:$CQ$86)</f>
        <v>145.39746804821038</v>
      </c>
      <c r="AI424" s="593">
        <f>SUMPRODUCT('EE Measures'!CJ$8:CJ$86,'EE Measures'!$II$8:$II$86,'EE Measures'!$AB$8:$AB$86,'EE Measures'!$CQ$8:$CQ$86)</f>
        <v>146.53035894168346</v>
      </c>
      <c r="AJ424" s="593">
        <f>SUMPRODUCT('EE Measures'!CK$8:CK$86,'EE Measures'!$II$8:$II$86,'EE Measures'!$AB$8:$AB$86,'EE Measures'!$CQ$8:$CQ$86)</f>
        <v>149.40474249278486</v>
      </c>
      <c r="AK424" s="593">
        <f>SUMPRODUCT('EE Measures'!CL$8:CL$86,'EE Measures'!$II$8:$II$86,'EE Measures'!$AB$8:$AB$86,'EE Measures'!$CQ$8:$CQ$86)</f>
        <v>152.33661371490831</v>
      </c>
      <c r="AL424" s="593">
        <f>SUMPRODUCT('EE Measures'!CM$8:CM$86,'EE Measures'!$II$8:$II$86,'EE Measures'!$AB$8:$AB$86,'EE Measures'!$CQ$8:$CQ$86)</f>
        <v>155.32712236147418</v>
      </c>
      <c r="AM424" s="593">
        <f>SUMPRODUCT('EE Measures'!CN$8:CN$86,'EE Measures'!$II$8:$II$86,'EE Measures'!$AB$8:$AB$86,'EE Measures'!$CQ$8:$CQ$86)</f>
        <v>158.37744118097143</v>
      </c>
      <c r="AN424" s="865">
        <f>X424/X420</f>
        <v>0.21991183678878129</v>
      </c>
    </row>
    <row r="425" spans="3:40" hidden="1" outlineLevel="1" x14ac:dyDescent="0.3">
      <c r="C425" s="587" t="str">
        <f t="shared" si="1517"/>
        <v>Renowave</v>
      </c>
      <c r="E425" s="563" t="s">
        <v>54</v>
      </c>
      <c r="F425" s="592">
        <f t="shared" si="1518"/>
        <v>4.8208902863891456</v>
      </c>
      <c r="G425" s="593">
        <f>SUMPRODUCT('EE Measures'!BZ$8:BZ$86,'EE Measures'!$II$8:$II$86,'EE Measures'!$R$8:$R$86,'EE Measures'!$CQ$8:$CQ$86)</f>
        <v>3.9596727792718313E-2</v>
      </c>
      <c r="H425" s="593">
        <f>SUMPRODUCT('EE Measures'!CA$8:CA$86,'EE Measures'!$II$8:$II$86,'EE Measures'!$R$8:$R$86,'EE Measures'!$CQ$8:$CQ$86)</f>
        <v>3.9596727792718313E-2</v>
      </c>
      <c r="I425" s="593">
        <f>SUMPRODUCT('EE Measures'!CB$8:CB$86,'EE Measures'!$II$8:$II$86,'EE Measures'!$R$8:$R$86,'EE Measures'!$CQ$8:$CQ$86)</f>
        <v>3.9596727792718313E-2</v>
      </c>
      <c r="J425" s="593">
        <f>SUMPRODUCT('EE Measures'!CC$8:CC$86,'EE Measures'!$II$8:$II$86,'EE Measures'!$R$8:$R$86,'EE Measures'!$CQ$8:$CQ$86)</f>
        <v>3.9596727792718313E-2</v>
      </c>
      <c r="K425" s="593">
        <f>SUMPRODUCT('EE Measures'!CD$8:CD$86,'EE Measures'!$II$8:$II$86,'EE Measures'!$R$8:$R$86,'EE Measures'!$CQ$8:$CQ$86)</f>
        <v>3.9596727792718313E-2</v>
      </c>
      <c r="L425" s="593">
        <f>SUMPRODUCT('EE Measures'!CE$8:CE$86,'EE Measures'!$II$8:$II$86,'EE Measures'!$R$8:$R$86,'EE Measures'!$CQ$8:$CQ$86)</f>
        <v>3.9596727792718313E-2</v>
      </c>
      <c r="M425" s="593">
        <f>SUMPRODUCT('EE Measures'!CF$8:CF$86,'EE Measures'!$II$8:$II$86,'EE Measures'!$R$8:$R$86,'EE Measures'!$CQ$8:$CQ$86)</f>
        <v>1.1458274799082089</v>
      </c>
      <c r="N425" s="593">
        <f>SUMPRODUCT('EE Measures'!CG$8:CG$86,'EE Measures'!$II$8:$II$86,'EE Measures'!$R$8:$R$86,'EE Measures'!$CQ$8:$CQ$86)</f>
        <v>1.1458274799082089</v>
      </c>
      <c r="O425" s="593">
        <f>SUMPRODUCT('EE Measures'!CH$8:CH$86,'EE Measures'!$II$8:$II$86,'EE Measures'!$R$8:$R$86,'EE Measures'!$CQ$8:$CQ$86)</f>
        <v>1.1458274799082089</v>
      </c>
      <c r="P425" s="593">
        <f>SUMPRODUCT('EE Measures'!CI$8:CI$86,'EE Measures'!$II$8:$II$86,'EE Measures'!$R$8:$R$86,'EE Measures'!$CQ$8:$CQ$86)</f>
        <v>1.1458274799082089</v>
      </c>
      <c r="Q425" s="593">
        <f>SUMPRODUCT('EE Measures'!CJ$8:CJ$86,'EE Measures'!$II$8:$II$86,'EE Measures'!$R$8:$R$86,'EE Measures'!$CQ$8:$CQ$86)</f>
        <v>3.9596727792718313E-2</v>
      </c>
      <c r="R425" s="593">
        <f>SUMPRODUCT('EE Measures'!CK$8:CK$86,'EE Measures'!$II$8:$II$86,'EE Measures'!$R$8:$R$86,'EE Measures'!$CQ$8:$CQ$86)</f>
        <v>3.9596727792718313E-2</v>
      </c>
      <c r="S425" s="593">
        <f>SUMPRODUCT('EE Measures'!CL$8:CL$86,'EE Measures'!$II$8:$II$86,'EE Measures'!$R$8:$R$86,'EE Measures'!$CQ$8:$CQ$86)</f>
        <v>3.9596727792718313E-2</v>
      </c>
      <c r="T425" s="593">
        <f>SUMPRODUCT('EE Measures'!CM$8:CM$86,'EE Measures'!$II$8:$II$86,'EE Measures'!$R$8:$R$86,'EE Measures'!$CQ$8:$CQ$86)</f>
        <v>3.9596727792718313E-2</v>
      </c>
      <c r="U425" s="593">
        <f>SUMPRODUCT('EE Measures'!CN$8:CN$86,'EE Measures'!$II$8:$II$86,'EE Measures'!$R$8:$R$86,'EE Measures'!$CQ$8:$CQ$86)</f>
        <v>3.9596727792718313E-2</v>
      </c>
      <c r="W425" s="563" t="str">
        <v>Kesk-Eesti</v>
      </c>
      <c r="X425" s="592">
        <f t="shared" si="1519"/>
        <v>416.89388305634998</v>
      </c>
      <c r="Y425" s="593">
        <f>SUMPRODUCT('EE Measures'!BZ$8:BZ$86,'EE Measures'!$II$8:$II$86,'EE Measures'!$AC$8:$AC$86,'EE Measures'!$CQ$8:$CQ$86)</f>
        <v>16.47172643228123</v>
      </c>
      <c r="Z425" s="593">
        <f>SUMPRODUCT('EE Measures'!CA$8:CA$86,'EE Measures'!$II$8:$II$86,'EE Measures'!$AC$8:$AC$86,'EE Measures'!$CQ$8:$CQ$86)</f>
        <v>10.011691083596629</v>
      </c>
      <c r="AA425" s="593">
        <f>SUMPRODUCT('EE Measures'!CB$8:CB$86,'EE Measures'!$II$8:$II$86,'EE Measures'!$AC$8:$AC$86,'EE Measures'!$CQ$8:$CQ$86)</f>
        <v>8.1800335109650977</v>
      </c>
      <c r="AB425" s="593">
        <f>SUMPRODUCT('EE Measures'!CC$8:CC$86,'EE Measures'!$II$8:$II$86,'EE Measures'!$AC$8:$AC$86,'EE Measures'!$CQ$8:$CQ$86)</f>
        <v>1.9657956651164887</v>
      </c>
      <c r="AC425" s="593">
        <f>SUMPRODUCT('EE Measures'!CD$8:CD$86,'EE Measures'!$II$8:$II$86,'EE Measures'!$AC$8:$AC$86,'EE Measures'!$CQ$8:$CQ$86)</f>
        <v>62.090402170314739</v>
      </c>
      <c r="AD425" s="593">
        <f>SUMPRODUCT('EE Measures'!CE$8:CE$86,'EE Measures'!$II$8:$II$86,'EE Measures'!$AC$8:$AC$86,'EE Measures'!$CQ$8:$CQ$86)</f>
        <v>62.439158972192793</v>
      </c>
      <c r="AE425" s="593">
        <f>SUMPRODUCT('EE Measures'!CF$8:CF$86,'EE Measures'!$II$8:$II$86,'EE Measures'!$AC$8:$AC$86,'EE Measures'!$CQ$8:$CQ$86)</f>
        <v>64.072595473440757</v>
      </c>
      <c r="AF425" s="593">
        <f>SUMPRODUCT('EE Measures'!CG$8:CG$86,'EE Measures'!$II$8:$II$86,'EE Measures'!$AC$8:$AC$86,'EE Measures'!$CQ$8:$CQ$86)</f>
        <v>62.736452076186545</v>
      </c>
      <c r="AG425" s="593">
        <f>SUMPRODUCT('EE Measures'!CH$8:CH$86,'EE Measures'!$II$8:$II$86,'EE Measures'!$AC$8:$AC$86,'EE Measures'!$CQ$8:$CQ$86)</f>
        <v>64.00384884084319</v>
      </c>
      <c r="AH425" s="593">
        <f>SUMPRODUCT('EE Measures'!CI$8:CI$86,'EE Measures'!$II$8:$II$86,'EE Measures'!$AC$8:$AC$86,'EE Measures'!$CQ$8:$CQ$86)</f>
        <v>64.922178831412538</v>
      </c>
      <c r="AI425" s="593">
        <f>SUMPRODUCT('EE Measures'!CJ$8:CJ$86,'EE Measures'!$II$8:$II$86,'EE Measures'!$AC$8:$AC$86,'EE Measures'!$CQ$8:$CQ$86)</f>
        <v>65.554684998238244</v>
      </c>
      <c r="AJ425" s="593">
        <f>SUMPRODUCT('EE Measures'!CK$8:CK$86,'EE Measures'!$II$8:$II$86,'EE Measures'!$AC$8:$AC$86,'EE Measures'!$CQ$8:$CQ$86)</f>
        <v>66.843257760446164</v>
      </c>
      <c r="AK425" s="593">
        <f>SUMPRODUCT('EE Measures'!CL$8:CL$86,'EE Measures'!$II$8:$II$86,'EE Measures'!$AC$8:$AC$86,'EE Measures'!$CQ$8:$CQ$86)</f>
        <v>68.157601977898238</v>
      </c>
      <c r="AL425" s="593">
        <f>SUMPRODUCT('EE Measures'!CM$8:CM$86,'EE Measures'!$II$8:$II$86,'EE Measures'!$AC$8:$AC$86,'EE Measures'!$CQ$8:$CQ$86)</f>
        <v>69.498233079699375</v>
      </c>
      <c r="AM425" s="593">
        <f>SUMPRODUCT('EE Measures'!CN$8:CN$86,'EE Measures'!$II$8:$II$86,'EE Measures'!$AC$8:$AC$86,'EE Measures'!$CQ$8:$CQ$86)</f>
        <v>70.86567680353653</v>
      </c>
      <c r="AN425" s="865">
        <f>X425/X420</f>
        <v>9.7249649255804718E-2</v>
      </c>
    </row>
    <row r="426" spans="3:40" hidden="1" outlineLevel="1" x14ac:dyDescent="0.3">
      <c r="C426" s="587" t="str">
        <f>E426</f>
        <v>EET</v>
      </c>
      <c r="E426" s="555" t="str">
        <f>'EE Measures'!$IJ$6</f>
        <v>EET</v>
      </c>
      <c r="F426" s="590">
        <f>SUM(G426:P426)</f>
        <v>5950.6189461737695</v>
      </c>
      <c r="G426" s="591">
        <f>SUM(G427:G431)</f>
        <v>472.97610510178771</v>
      </c>
      <c r="H426" s="591">
        <f>SUM(H427:H431)</f>
        <v>406.33036917385795</v>
      </c>
      <c r="I426" s="591">
        <f t="shared" ref="I426:P426" si="1520">SUM(I427:I431)</f>
        <v>292.6916203157993</v>
      </c>
      <c r="J426" s="591">
        <f t="shared" si="1520"/>
        <v>877.62068343999681</v>
      </c>
      <c r="K426" s="591">
        <f t="shared" si="1520"/>
        <v>1335.4452037369938</v>
      </c>
      <c r="L426" s="591">
        <f t="shared" si="1520"/>
        <v>809.08731704994739</v>
      </c>
      <c r="M426" s="591">
        <f t="shared" si="1520"/>
        <v>459.73689065387697</v>
      </c>
      <c r="N426" s="591">
        <f t="shared" si="1520"/>
        <v>423.63986963435605</v>
      </c>
      <c r="O426" s="591">
        <f t="shared" si="1520"/>
        <v>435.62993034066744</v>
      </c>
      <c r="P426" s="591">
        <f t="shared" si="1520"/>
        <v>437.4609567264863</v>
      </c>
      <c r="Q426" s="591">
        <f t="shared" ref="Q426:U426" si="1521">SUM(Q427:Q431)</f>
        <v>412.00085941555551</v>
      </c>
      <c r="R426" s="591">
        <f t="shared" si="1521"/>
        <v>419.73475194091577</v>
      </c>
      <c r="S426" s="591">
        <f t="shared" si="1521"/>
        <v>427.62332231678317</v>
      </c>
      <c r="T426" s="591">
        <f t="shared" si="1521"/>
        <v>435.66966410016789</v>
      </c>
      <c r="U426" s="591">
        <f t="shared" si="1521"/>
        <v>443.87693271922035</v>
      </c>
      <c r="W426" s="555" t="str">
        <f>'EE Measures'!$IJ$6</f>
        <v>EET</v>
      </c>
      <c r="X426" s="590">
        <f>SUM(Y426:AH426)</f>
        <v>5950.3189461737693</v>
      </c>
      <c r="Y426" s="591">
        <f t="shared" ref="Y426:Z426" si="1522">SUM(Y427:Y431)</f>
        <v>472.97610510178765</v>
      </c>
      <c r="Z426" s="591">
        <f t="shared" si="1522"/>
        <v>406.33036917385789</v>
      </c>
      <c r="AA426" s="591">
        <f t="shared" ref="AA426" si="1523">SUM(AA427:AA431)</f>
        <v>292.6916203157993</v>
      </c>
      <c r="AB426" s="591">
        <f t="shared" ref="AB426" si="1524">SUM(AB427:AB431)</f>
        <v>877.6206834399967</v>
      </c>
      <c r="AC426" s="591">
        <f t="shared" ref="AC426" si="1525">SUM(AC427:AC431)</f>
        <v>1335.3952037369936</v>
      </c>
      <c r="AD426" s="591">
        <f t="shared" ref="AD426" si="1526">SUM(AD427:AD431)</f>
        <v>809.03731704994709</v>
      </c>
      <c r="AE426" s="591">
        <f t="shared" ref="AE426" si="1527">SUM(AE427:AE431)</f>
        <v>459.6868906538769</v>
      </c>
      <c r="AF426" s="591">
        <f t="shared" ref="AF426" si="1528">SUM(AF427:AF431)</f>
        <v>423.58986963435603</v>
      </c>
      <c r="AG426" s="591">
        <f t="shared" ref="AG426" si="1529">SUM(AG427:AG431)</f>
        <v>435.57993034066737</v>
      </c>
      <c r="AH426" s="591">
        <f t="shared" ref="AH426:AM426" si="1530">SUM(AH427:AH431)</f>
        <v>437.41095672648635</v>
      </c>
      <c r="AI426" s="591">
        <f t="shared" si="1530"/>
        <v>411.9508594155555</v>
      </c>
      <c r="AJ426" s="591">
        <f t="shared" si="1530"/>
        <v>419.68475194091576</v>
      </c>
      <c r="AK426" s="591">
        <f t="shared" si="1530"/>
        <v>427.57332231678311</v>
      </c>
      <c r="AL426" s="591">
        <f t="shared" si="1530"/>
        <v>435.61966410016782</v>
      </c>
      <c r="AM426" s="591">
        <f t="shared" si="1530"/>
        <v>443.82693271922034</v>
      </c>
    </row>
    <row r="427" spans="3:40" hidden="1" outlineLevel="1" x14ac:dyDescent="0.3">
      <c r="C427" s="587" t="str">
        <f>C426</f>
        <v>EET</v>
      </c>
      <c r="E427" s="563" t="s">
        <v>50</v>
      </c>
      <c r="F427" s="592">
        <f>SUM(G427:P427)</f>
        <v>130.13857375175243</v>
      </c>
      <c r="G427" s="593">
        <f>SUMPRODUCT('EE Measures'!BZ$8:BZ$86,'EE Measures'!$IJ$8:$IJ$86,'EE Measures'!$N$8:$N$86,'EE Measures'!$CQ$8:$CQ$86)</f>
        <v>24.708723810229309</v>
      </c>
      <c r="H427" s="593">
        <f>SUMPRODUCT('EE Measures'!CA$8:CA$86,'EE Measures'!$IJ$8:$IJ$86,'EE Measures'!$N$8:$N$86,'EE Measures'!$CQ$8:$CQ$86)</f>
        <v>2.3185512966668798</v>
      </c>
      <c r="I427" s="593">
        <f>SUMPRODUCT('EE Measures'!CB$8:CB$86,'EE Measures'!$IJ$8:$IJ$86,'EE Measures'!$N$8:$N$86,'EE Measures'!$CQ$8:$CQ$86)</f>
        <v>1.0123472345914053</v>
      </c>
      <c r="J427" s="593">
        <f>SUMPRODUCT('EE Measures'!CC$8:CC$86,'EE Measures'!$IJ$8:$IJ$86,'EE Measures'!$N$8:$N$86,'EE Measures'!$CQ$8:$CQ$86)</f>
        <v>8.012347234591406</v>
      </c>
      <c r="K427" s="593">
        <f>SUMPRODUCT('EE Measures'!CD$8:CD$86,'EE Measures'!$IJ$8:$IJ$86,'EE Measures'!$N$8:$N$86,'EE Measures'!$CQ$8:$CQ$86)</f>
        <v>32.303127579031447</v>
      </c>
      <c r="L427" s="593">
        <f>SUMPRODUCT('EE Measures'!CE$8:CE$86,'EE Measures'!$IJ$8:$IJ$86,'EE Measures'!$N$8:$N$86,'EE Measures'!$CQ$8:$CQ$86)</f>
        <v>27.578127579031449</v>
      </c>
      <c r="M427" s="593">
        <f>SUMPRODUCT('EE Measures'!CF$8:CF$86,'EE Measures'!$IJ$8:$IJ$86,'EE Measures'!$N$8:$N$86,'EE Measures'!$CQ$8:$CQ$86)</f>
        <v>21.21825661091712</v>
      </c>
      <c r="N427" s="593">
        <f>SUMPRODUCT('EE Measures'!CG$8:CG$86,'EE Measures'!$IJ$8:$IJ$86,'EE Measures'!$N$8:$N$86,'EE Measures'!$CQ$8:$CQ$86)</f>
        <v>4.3290308022311343</v>
      </c>
      <c r="O427" s="593">
        <f>SUMPRODUCT('EE Measures'!CH$8:CH$86,'EE Measures'!$IJ$8:$IJ$86,'EE Measures'!$N$8:$N$86,'EE Measures'!$CQ$8:$CQ$86)</f>
        <v>4.3290308022311343</v>
      </c>
      <c r="P427" s="593">
        <f>SUMPRODUCT('EE Measures'!CI$8:CI$86,'EE Measures'!$IJ$8:$IJ$86,'EE Measures'!$N$8:$N$86,'EE Measures'!$CQ$8:$CQ$86)</f>
        <v>4.3290308022311343</v>
      </c>
      <c r="Q427" s="593">
        <f>SUMPRODUCT('EE Measures'!CJ$8:CJ$86,'EE Measures'!$IJ$8:$IJ$86,'EE Measures'!$N$8:$N$86,'EE Measures'!$CQ$8:$CQ$86)</f>
        <v>4.3290308022311343</v>
      </c>
      <c r="R427" s="593">
        <f>SUMPRODUCT('EE Measures'!CK$8:CK$86,'EE Measures'!$IJ$8:$IJ$86,'EE Measures'!$N$8:$N$86,'EE Measures'!$CQ$8:$CQ$86)</f>
        <v>4.3290308022311343</v>
      </c>
      <c r="S427" s="593">
        <f>SUMPRODUCT('EE Measures'!CL$8:CL$86,'EE Measures'!$IJ$8:$IJ$86,'EE Measures'!$N$8:$N$86,'EE Measures'!$CQ$8:$CQ$86)</f>
        <v>4.3290308022311343</v>
      </c>
      <c r="T427" s="593">
        <f>SUMPRODUCT('EE Measures'!CM$8:CM$86,'EE Measures'!$IJ$8:$IJ$86,'EE Measures'!$N$8:$N$86,'EE Measures'!$CQ$8:$CQ$86)</f>
        <v>4.3290308022311343</v>
      </c>
      <c r="U427" s="593">
        <f>SUMPRODUCT('EE Measures'!CN$8:CN$86,'EE Measures'!$IJ$8:$IJ$86,'EE Measures'!$N$8:$N$86,'EE Measures'!$CQ$8:$CQ$86)</f>
        <v>4.3290308022311343</v>
      </c>
      <c r="W427" s="563" t="str" cm="1">
        <f t="array" ref="W427:W431">_xlfn.ANCHORARRAY($W$357)</f>
        <v xml:space="preserve">Põhja-Eesti </v>
      </c>
      <c r="X427" s="592">
        <f>SUM(Y427:AH427)</f>
        <v>2779.2050005217716</v>
      </c>
      <c r="Y427" s="593">
        <f>SUMPRODUCT('EE Measures'!BZ$8:BZ$86,'EE Measures'!$IJ$8:$IJ$86,'EE Measures'!$Y$8:$Y$86,'EE Measures'!$CQ$8:$CQ$86)</f>
        <v>231.80951648876831</v>
      </c>
      <c r="Z427" s="593">
        <f>SUMPRODUCT('EE Measures'!CA$8:CA$86,'EE Measures'!$IJ$8:$IJ$86,'EE Measures'!$Y$8:$Y$86,'EE Measures'!$CQ$8:$CQ$86)</f>
        <v>200.42491648277851</v>
      </c>
      <c r="AA427" s="593">
        <f>SUMPRODUCT('EE Measures'!CB$8:CB$86,'EE Measures'!$IJ$8:$IJ$86,'EE Measures'!$Y$8:$Y$86,'EE Measures'!$CQ$8:$CQ$86)</f>
        <v>138.78520145113822</v>
      </c>
      <c r="AB427" s="593">
        <f>SUMPRODUCT('EE Measures'!CC$8:CC$86,'EE Measures'!$IJ$8:$IJ$86,'EE Measures'!$Y$8:$Y$86,'EE Measures'!$CQ$8:$CQ$86)</f>
        <v>438.38448611486086</v>
      </c>
      <c r="AC427" s="593">
        <f>SUMPRODUCT('EE Measures'!CD$8:CD$86,'EE Measures'!$IJ$8:$IJ$86,'EE Measures'!$Y$8:$Y$86,'EE Measures'!$CQ$8:$CQ$86)</f>
        <v>659.50422845163826</v>
      </c>
      <c r="AD427" s="593">
        <f>SUMPRODUCT('EE Measures'!CE$8:CE$86,'EE Measures'!$IJ$8:$IJ$86,'EE Measures'!$Y$8:$Y$86,'EE Measures'!$CQ$8:$CQ$86)</f>
        <v>369.60304766840278</v>
      </c>
      <c r="AE427" s="593">
        <f>SUMPRODUCT('EE Measures'!CF$8:CF$86,'EE Measures'!$IJ$8:$IJ$86,'EE Measures'!$Y$8:$Y$86,'EE Measures'!$CQ$8:$CQ$86)</f>
        <v>194.19088434888832</v>
      </c>
      <c r="AF427" s="593">
        <f>SUMPRODUCT('EE Measures'!CG$8:CG$86,'EE Measures'!$IJ$8:$IJ$86,'EE Measures'!$Y$8:$Y$86,'EE Measures'!$CQ$8:$CQ$86)</f>
        <v>177.37931887948946</v>
      </c>
      <c r="AG427" s="593">
        <f>SUMPRODUCT('EE Measures'!CH$8:CH$86,'EE Measures'!$IJ$8:$IJ$86,'EE Measures'!$Y$8:$Y$86,'EE Measures'!$CQ$8:$CQ$86)</f>
        <v>183.75313113682293</v>
      </c>
      <c r="AH427" s="593">
        <f>SUMPRODUCT('EE Measures'!CI$8:CI$86,'EE Measures'!$IJ$8:$IJ$86,'EE Measures'!$Y$8:$Y$86,'EE Measures'!$CQ$8:$CQ$86)</f>
        <v>185.37026949898444</v>
      </c>
      <c r="AI427" s="593">
        <f>SUMPRODUCT('EE Measures'!CJ$8:CJ$86,'EE Measures'!$IJ$8:$IJ$86,'EE Measures'!$Y$8:$Y$86,'EE Measures'!$CQ$8:$CQ$86)</f>
        <v>164.14628322837828</v>
      </c>
      <c r="AJ427" s="593">
        <f>SUMPRODUCT('EE Measures'!CK$8:CK$86,'EE Measures'!$IJ$8:$IJ$86,'EE Measures'!$Y$8:$Y$86,'EE Measures'!$CQ$8:$CQ$86)</f>
        <v>167.18313703170804</v>
      </c>
      <c r="AK427" s="593">
        <f>SUMPRODUCT('EE Measures'!CL$8:CL$86,'EE Measures'!$IJ$8:$IJ$86,'EE Measures'!$Y$8:$Y$86,'EE Measures'!$CQ$8:$CQ$86)</f>
        <v>170.28072791110435</v>
      </c>
      <c r="AL427" s="593">
        <f>SUMPRODUCT('EE Measures'!CM$8:CM$86,'EE Measures'!$IJ$8:$IJ$86,'EE Measures'!$Y$8:$Y$86,'EE Measures'!$CQ$8:$CQ$86)</f>
        <v>173.44027060808861</v>
      </c>
      <c r="AM427" s="593">
        <f>SUMPRODUCT('EE Measures'!CN$8:CN$86,'EE Measures'!$IJ$8:$IJ$86,'EE Measures'!$Y$8:$Y$86,'EE Measures'!$CQ$8:$CQ$86)</f>
        <v>176.66300415901256</v>
      </c>
      <c r="AN427" s="865">
        <f>X427/X426</f>
        <v>0.46706824048631584</v>
      </c>
    </row>
    <row r="428" spans="3:40" hidden="1" outlineLevel="1" x14ac:dyDescent="0.3">
      <c r="C428" s="587" t="str">
        <f t="shared" ref="C428:C431" si="1531">C427</f>
        <v>EET</v>
      </c>
      <c r="E428" s="563" t="s">
        <v>51</v>
      </c>
      <c r="F428" s="592">
        <f t="shared" ref="F428:F431" si="1532">SUM(G428:P428)</f>
        <v>705.01427059075797</v>
      </c>
      <c r="G428" s="593">
        <f>SUMPRODUCT('EE Measures'!BZ$8:BZ$86,'EE Measures'!$IJ$8:$IJ$86,'EE Measures'!$O$8:$O$86,'EE Measures'!$CQ$8:$CQ$86)</f>
        <v>19.823359251885766</v>
      </c>
      <c r="H428" s="593">
        <f>SUMPRODUCT('EE Measures'!CA$8:CA$86,'EE Measures'!$IJ$8:$IJ$86,'EE Measures'!$O$8:$O$86,'EE Measures'!$CQ$8:$CQ$86)</f>
        <v>22.704467342073567</v>
      </c>
      <c r="I428" s="593">
        <f>SUMPRODUCT('EE Measures'!CB$8:CB$86,'EE Measures'!$IJ$8:$IJ$86,'EE Measures'!$O$8:$O$86,'EE Measures'!$CQ$8:$CQ$86)</f>
        <v>24.572547359268043</v>
      </c>
      <c r="J428" s="593">
        <f>SUMPRODUCT('EE Measures'!CC$8:CC$86,'EE Measures'!$IJ$8:$IJ$86,'EE Measures'!$O$8:$O$86,'EE Measures'!$CQ$8:$CQ$86)</f>
        <v>3.0124651075795157E-2</v>
      </c>
      <c r="K428" s="593">
        <f>SUMPRODUCT('EE Measures'!CD$8:CD$86,'EE Measures'!$IJ$8:$IJ$86,'EE Measures'!$O$8:$O$86,'EE Measures'!$CQ$8:$CQ$86)</f>
        <v>101.12251457197299</v>
      </c>
      <c r="L428" s="593">
        <f>SUMPRODUCT('EE Measures'!CE$8:CE$86,'EE Measures'!$IJ$8:$IJ$86,'EE Measures'!$O$8:$O$86,'EE Measures'!$CQ$8:$CQ$86)</f>
        <v>103.14436237039094</v>
      </c>
      <c r="M428" s="593">
        <f>SUMPRODUCT('EE Measures'!CF$8:CF$86,'EE Measures'!$IJ$8:$IJ$86,'EE Measures'!$O$8:$O$86,'EE Measures'!$CQ$8:$CQ$86)</f>
        <v>105.20664712477725</v>
      </c>
      <c r="N428" s="593">
        <f>SUMPRODUCT('EE Measures'!CG$8:CG$86,'EE Measures'!$IJ$8:$IJ$86,'EE Measures'!$O$8:$O$86,'EE Measures'!$CQ$8:$CQ$86)</f>
        <v>107.31017757425127</v>
      </c>
      <c r="O428" s="593">
        <f>SUMPRODUCT('EE Measures'!CH$8:CH$86,'EE Measures'!$IJ$8:$IJ$86,'EE Measures'!$O$8:$O$86,'EE Measures'!$CQ$8:$CQ$86)</f>
        <v>109.45577863271478</v>
      </c>
      <c r="P428" s="593">
        <f>SUMPRODUCT('EE Measures'!CI$8:CI$86,'EE Measures'!$IJ$8:$IJ$86,'EE Measures'!$O$8:$O$86,'EE Measures'!$CQ$8:$CQ$86)</f>
        <v>111.64429171234755</v>
      </c>
      <c r="Q428" s="593">
        <f>SUMPRODUCT('EE Measures'!CJ$8:CJ$86,'EE Measures'!$IJ$8:$IJ$86,'EE Measures'!$O$8:$O$86,'EE Measures'!$CQ$8:$CQ$86)</f>
        <v>113.87657505357298</v>
      </c>
      <c r="R428" s="593">
        <f>SUMPRODUCT('EE Measures'!CK$8:CK$86,'EE Measures'!$IJ$8:$IJ$86,'EE Measures'!$O$8:$O$86,'EE Measures'!$CQ$8:$CQ$86)</f>
        <v>116.15350406162295</v>
      </c>
      <c r="S428" s="593">
        <f>SUMPRODUCT('EE Measures'!CL$8:CL$86,'EE Measures'!$IJ$8:$IJ$86,'EE Measures'!$O$8:$O$86,'EE Measures'!$CQ$8:$CQ$86)</f>
        <v>118.47597164983388</v>
      </c>
      <c r="T428" s="593">
        <f>SUMPRODUCT('EE Measures'!CM$8:CM$86,'EE Measures'!$IJ$8:$IJ$86,'EE Measures'!$O$8:$O$86,'EE Measures'!$CQ$8:$CQ$86)</f>
        <v>120.84488858980905</v>
      </c>
      <c r="U428" s="593">
        <f>SUMPRODUCT('EE Measures'!CN$8:CN$86,'EE Measures'!$IJ$8:$IJ$86,'EE Measures'!$O$8:$O$86,'EE Measures'!$CQ$8:$CQ$86)</f>
        <v>123.26118386858373</v>
      </c>
      <c r="W428" s="563" t="str">
        <v>Lääne-Eesti</v>
      </c>
      <c r="X428" s="592">
        <f t="shared" ref="X428:X431" si="1533">SUM(Y428:AH428)</f>
        <v>1755.4486797957827</v>
      </c>
      <c r="Y428" s="593">
        <f>SUMPRODUCT('EE Measures'!BZ$8:BZ$86,'EE Measures'!$IJ$8:$IJ$86,'EE Measures'!$Z$8:$Z$86,'EE Measures'!$CQ$8:$CQ$86)</f>
        <v>114.19953785427614</v>
      </c>
      <c r="Z428" s="593">
        <f>SUMPRODUCT('EE Measures'!CA$8:CA$86,'EE Measures'!$IJ$8:$IJ$86,'EE Measures'!$Z$8:$Z$86,'EE Measures'!$CQ$8:$CQ$86)</f>
        <v>154.31850229015245</v>
      </c>
      <c r="AA428" s="593">
        <f>SUMPRODUCT('EE Measures'!CB$8:CB$86,'EE Measures'!$IJ$8:$IJ$86,'EE Measures'!$Z$8:$Z$86,'EE Measures'!$CQ$8:$CQ$86)</f>
        <v>111.7381288816174</v>
      </c>
      <c r="AB428" s="593">
        <f>SUMPRODUCT('EE Measures'!CC$8:CC$86,'EE Measures'!$IJ$8:$IJ$86,'EE Measures'!$Z$8:$Z$86,'EE Measures'!$CQ$8:$CQ$86)</f>
        <v>423.76351002788118</v>
      </c>
      <c r="AC428" s="593">
        <f>SUMPRODUCT('EE Measures'!CD$8:CD$86,'EE Measures'!$IJ$8:$IJ$86,'EE Measures'!$Z$8:$Z$86,'EE Measures'!$CQ$8:$CQ$86)</f>
        <v>477.18256443795485</v>
      </c>
      <c r="AD428" s="593">
        <f>SUMPRODUCT('EE Measures'!CE$8:CE$86,'EE Measures'!$IJ$8:$IJ$86,'EE Measures'!$Z$8:$Z$86,'EE Measures'!$CQ$8:$CQ$86)</f>
        <v>243.70744703089881</v>
      </c>
      <c r="AE428" s="593">
        <f>SUMPRODUCT('EE Measures'!CF$8:CF$86,'EE Measures'!$IJ$8:$IJ$86,'EE Measures'!$Z$8:$Z$86,'EE Measures'!$CQ$8:$CQ$86)</f>
        <v>59.601988062815849</v>
      </c>
      <c r="AF428" s="593">
        <f>SUMPRODUCT('EE Measures'!CG$8:CG$86,'EE Measures'!$IJ$8:$IJ$86,'EE Measures'!$Z$8:$Z$86,'EE Measures'!$CQ$8:$CQ$86)</f>
        <v>56.073962851754388</v>
      </c>
      <c r="AG428" s="593">
        <f>SUMPRODUCT('EE Measures'!CH$8:CH$86,'EE Measures'!$IJ$8:$IJ$86,'EE Measures'!$Z$8:$Z$86,'EE Measures'!$CQ$8:$CQ$86)</f>
        <v>57.345648597745779</v>
      </c>
      <c r="AH428" s="593">
        <f>SUMPRODUCT('EE Measures'!CI$8:CI$86,'EE Measures'!$IJ$8:$IJ$86,'EE Measures'!$Z$8:$Z$86,'EE Measures'!$CQ$8:$CQ$86)</f>
        <v>57.517389760685816</v>
      </c>
      <c r="AI428" s="593">
        <f>SUMPRODUCT('EE Measures'!CJ$8:CJ$86,'EE Measures'!$IJ$8:$IJ$86,'EE Measures'!$Z$8:$Z$86,'EE Measures'!$CQ$8:$CQ$86)</f>
        <v>56.676521216192484</v>
      </c>
      <c r="AJ428" s="593">
        <f>SUMPRODUCT('EE Measures'!CK$8:CK$86,'EE Measures'!$IJ$8:$IJ$86,'EE Measures'!$Z$8:$Z$86,'EE Measures'!$CQ$8:$CQ$86)</f>
        <v>57.758579502266834</v>
      </c>
      <c r="AK428" s="593">
        <f>SUMPRODUCT('EE Measures'!CL$8:CL$86,'EE Measures'!$IJ$8:$IJ$86,'EE Measures'!$Z$8:$Z$86,'EE Measures'!$CQ$8:$CQ$86)</f>
        <v>58.862278954062667</v>
      </c>
      <c r="AL428" s="593">
        <f>SUMPRODUCT('EE Measures'!CM$8:CM$86,'EE Measures'!$IJ$8:$IJ$86,'EE Measures'!$Z$8:$Z$86,'EE Measures'!$CQ$8:$CQ$86)</f>
        <v>59.98805239489441</v>
      </c>
      <c r="AM428" s="593">
        <f>SUMPRODUCT('EE Measures'!CN$8:CN$86,'EE Measures'!$IJ$8:$IJ$86,'EE Measures'!$Z$8:$Z$86,'EE Measures'!$CQ$8:$CQ$86)</f>
        <v>61.13634130454281</v>
      </c>
      <c r="AN428" s="865">
        <f>X428/X426</f>
        <v>0.29501757732240352</v>
      </c>
    </row>
    <row r="429" spans="3:40" hidden="1" outlineLevel="1" x14ac:dyDescent="0.3">
      <c r="C429" s="587" t="str">
        <f t="shared" si="1531"/>
        <v>EET</v>
      </c>
      <c r="E429" s="563" t="s">
        <v>52</v>
      </c>
      <c r="F429" s="592">
        <f t="shared" si="1532"/>
        <v>1134.8574764558516</v>
      </c>
      <c r="G429" s="593">
        <f>SUMPRODUCT('EE Measures'!BZ$8:BZ$86,'EE Measures'!$IJ$8:$IJ$86,'EE Measures'!$P$8:$P$86,'EE Measures'!$CQ$8:$CQ$86)</f>
        <v>60.815779751596082</v>
      </c>
      <c r="H429" s="593">
        <f>SUMPRODUCT('EE Measures'!CA$8:CA$86,'EE Measures'!$IJ$8:$IJ$86,'EE Measures'!$P$8:$P$86,'EE Measures'!$CQ$8:$CQ$86)</f>
        <v>67.386187714957302</v>
      </c>
      <c r="I429" s="593">
        <f>SUMPRODUCT('EE Measures'!CB$8:CB$86,'EE Measures'!$IJ$8:$IJ$86,'EE Measures'!$P$8:$P$86,'EE Measures'!$CQ$8:$CQ$86)</f>
        <v>26.02520310473756</v>
      </c>
      <c r="J429" s="593">
        <f>SUMPRODUCT('EE Measures'!CC$8:CC$86,'EE Measures'!$IJ$8:$IJ$86,'EE Measures'!$P$8:$P$86,'EE Measures'!$CQ$8:$CQ$86)</f>
        <v>4.2525834106499412</v>
      </c>
      <c r="K429" s="593">
        <f>SUMPRODUCT('EE Measures'!CD$8:CD$86,'EE Measures'!$IJ$8:$IJ$86,'EE Measures'!$P$8:$P$86,'EE Measures'!$CQ$8:$CQ$86)</f>
        <v>154.78118456606549</v>
      </c>
      <c r="L429" s="593">
        <f>SUMPRODUCT('EE Measures'!CE$8:CE$86,'EE Measures'!$IJ$8:$IJ$86,'EE Measures'!$P$8:$P$86,'EE Measures'!$CQ$8:$CQ$86)</f>
        <v>157.87676200307112</v>
      </c>
      <c r="M429" s="593">
        <f>SUMPRODUCT('EE Measures'!CF$8:CF$86,'EE Measures'!$IJ$8:$IJ$86,'EE Measures'!$P$8:$P$86,'EE Measures'!$CQ$8:$CQ$86)</f>
        <v>161.03425098881684</v>
      </c>
      <c r="N429" s="593">
        <f>SUMPRODUCT('EE Measures'!CG$8:CG$86,'EE Measures'!$IJ$8:$IJ$86,'EE Measures'!$P$8:$P$86,'EE Measures'!$CQ$8:$CQ$86)</f>
        <v>164.25488975427749</v>
      </c>
      <c r="O429" s="593">
        <f>SUMPRODUCT('EE Measures'!CH$8:CH$86,'EE Measures'!$IJ$8:$IJ$86,'EE Measures'!$P$8:$P$86,'EE Measures'!$CQ$8:$CQ$86)</f>
        <v>167.53994129504736</v>
      </c>
      <c r="P429" s="593">
        <f>SUMPRODUCT('EE Measures'!CI$8:CI$86,'EE Measures'!$IJ$8:$IJ$86,'EE Measures'!$P$8:$P$86,'EE Measures'!$CQ$8:$CQ$86)</f>
        <v>170.8906938666326</v>
      </c>
      <c r="Q429" s="593">
        <f>SUMPRODUCT('EE Measures'!CJ$8:CJ$86,'EE Measures'!$IJ$8:$IJ$86,'EE Measures'!$P$8:$P$86,'EE Measures'!$CQ$8:$CQ$86)</f>
        <v>174.30846148964955</v>
      </c>
      <c r="R429" s="593">
        <f>SUMPRODUCT('EE Measures'!CK$8:CK$86,'EE Measures'!$IJ$8:$IJ$86,'EE Measures'!$P$8:$P$86,'EE Measures'!$CQ$8:$CQ$86)</f>
        <v>177.79458446512683</v>
      </c>
      <c r="S429" s="593">
        <f>SUMPRODUCT('EE Measures'!CL$8:CL$86,'EE Measures'!$IJ$8:$IJ$86,'EE Measures'!$P$8:$P$86,'EE Measures'!$CQ$8:$CQ$86)</f>
        <v>181.35042990011368</v>
      </c>
      <c r="T429" s="593">
        <f>SUMPRODUCT('EE Measures'!CM$8:CM$86,'EE Measures'!$IJ$8:$IJ$86,'EE Measures'!$P$8:$P$86,'EE Measures'!$CQ$8:$CQ$86)</f>
        <v>184.97739224380024</v>
      </c>
      <c r="U429" s="593">
        <f>SUMPRODUCT('EE Measures'!CN$8:CN$86,'EE Measures'!$IJ$8:$IJ$86,'EE Measures'!$P$8:$P$86,'EE Measures'!$CQ$8:$CQ$86)</f>
        <v>188.67689383436056</v>
      </c>
      <c r="W429" s="563" t="str">
        <v>Kirde-Eesti</v>
      </c>
      <c r="X429" s="592">
        <f t="shared" si="1533"/>
        <v>312.38860384846726</v>
      </c>
      <c r="Y429" s="593">
        <f>SUMPRODUCT('EE Measures'!BZ$8:BZ$86,'EE Measures'!$IJ$8:$IJ$86,'EE Measures'!$AA$8:$AA$86,'EE Measures'!$CQ$8:$CQ$86)</f>
        <v>30.218417061592888</v>
      </c>
      <c r="Z429" s="593">
        <f>SUMPRODUCT('EE Measures'!CA$8:CA$86,'EE Measures'!$IJ$8:$IJ$86,'EE Measures'!$AA$8:$AA$86,'EE Measures'!$CQ$8:$CQ$86)</f>
        <v>10.993207378940614</v>
      </c>
      <c r="AA429" s="593">
        <f>SUMPRODUCT('EE Measures'!CB$8:CB$86,'EE Measures'!$IJ$8:$IJ$86,'EE Measures'!$AA$8:$AA$86,'EE Measures'!$CQ$8:$CQ$86)</f>
        <v>8.2725315655418292</v>
      </c>
      <c r="AB429" s="593">
        <f>SUMPRODUCT('EE Measures'!CC$8:CC$86,'EE Measures'!$IJ$8:$IJ$86,'EE Measures'!$AA$8:$AA$86,'EE Measures'!$CQ$8:$CQ$86)</f>
        <v>3.7092186014020005</v>
      </c>
      <c r="AC429" s="593">
        <f>SUMPRODUCT('EE Measures'!CD$8:CD$86,'EE Measures'!$IJ$8:$IJ$86,'EE Measures'!$AA$8:$AA$86,'EE Measures'!$CQ$8:$CQ$86)</f>
        <v>44.506888898901146</v>
      </c>
      <c r="AD429" s="593">
        <f>SUMPRODUCT('EE Measures'!CE$8:CE$86,'EE Measures'!$IJ$8:$IJ$86,'EE Measures'!$AA$8:$AA$86,'EE Measures'!$CQ$8:$CQ$86)</f>
        <v>43.59611205863883</v>
      </c>
      <c r="AE429" s="593">
        <f>SUMPRODUCT('EE Measures'!CF$8:CF$86,'EE Measures'!$IJ$8:$IJ$86,'EE Measures'!$AA$8:$AA$86,'EE Measures'!$CQ$8:$CQ$86)</f>
        <v>45.515089198994453</v>
      </c>
      <c r="AF429" s="593">
        <f>SUMPRODUCT('EE Measures'!CG$8:CG$86,'EE Measures'!$IJ$8:$IJ$86,'EE Measures'!$AA$8:$AA$86,'EE Measures'!$CQ$8:$CQ$86)</f>
        <v>41.260952491919696</v>
      </c>
      <c r="AG429" s="593">
        <f>SUMPRODUCT('EE Measures'!CH$8:CH$86,'EE Measures'!$IJ$8:$IJ$86,'EE Measures'!$AA$8:$AA$86,'EE Measures'!$CQ$8:$CQ$86)</f>
        <v>42.189504743153137</v>
      </c>
      <c r="AH429" s="593">
        <f>SUMPRODUCT('EE Measures'!CI$8:CI$86,'EE Measures'!$IJ$8:$IJ$86,'EE Measures'!$AA$8:$AA$86,'EE Measures'!$CQ$8:$CQ$86)</f>
        <v>42.12668184938267</v>
      </c>
      <c r="AI429" s="593">
        <f>SUMPRODUCT('EE Measures'!CJ$8:CJ$86,'EE Measures'!$IJ$8:$IJ$86,'EE Measures'!$AA$8:$AA$86,'EE Measures'!$CQ$8:$CQ$86)</f>
        <v>41.606147701304906</v>
      </c>
      <c r="AJ429" s="593">
        <f>SUMPRODUCT('EE Measures'!CK$8:CK$86,'EE Measures'!$IJ$8:$IJ$86,'EE Measures'!$AA$8:$AA$86,'EE Measures'!$CQ$8:$CQ$86)</f>
        <v>42.387857923537752</v>
      </c>
      <c r="AK429" s="593">
        <f>SUMPRODUCT('EE Measures'!CL$8:CL$86,'EE Measures'!$IJ$8:$IJ$86,'EE Measures'!$AA$8:$AA$86,'EE Measures'!$CQ$8:$CQ$86)</f>
        <v>43.185202350215256</v>
      </c>
      <c r="AL429" s="593">
        <f>SUMPRODUCT('EE Measures'!CM$8:CM$86,'EE Measures'!$IJ$8:$IJ$86,'EE Measures'!$AA$8:$AA$86,'EE Measures'!$CQ$8:$CQ$86)</f>
        <v>43.998493665426302</v>
      </c>
      <c r="AM429" s="593">
        <f>SUMPRODUCT('EE Measures'!CN$8:CN$86,'EE Measures'!$IJ$8:$IJ$86,'EE Measures'!$AA$8:$AA$86,'EE Measures'!$CQ$8:$CQ$86)</f>
        <v>44.828050806941569</v>
      </c>
      <c r="AN429" s="865">
        <f>X429/X426</f>
        <v>5.249947215843654E-2</v>
      </c>
    </row>
    <row r="430" spans="3:40" hidden="1" outlineLevel="1" x14ac:dyDescent="0.3">
      <c r="C430" s="587" t="str">
        <f t="shared" si="1531"/>
        <v>EET</v>
      </c>
      <c r="E430" s="563" t="s">
        <v>53</v>
      </c>
      <c r="F430" s="592">
        <f t="shared" si="1532"/>
        <v>3975.7877350890176</v>
      </c>
      <c r="G430" s="593">
        <f>SUMPRODUCT('EE Measures'!BZ$8:BZ$86,'EE Measures'!$IJ$8:$IJ$86,'EE Measures'!$Q$8:$Q$86,'EE Measures'!$CQ$8:$CQ$86)</f>
        <v>367.58864556028379</v>
      </c>
      <c r="H430" s="593">
        <f>SUMPRODUCT('EE Measures'!CA$8:CA$86,'EE Measures'!$IJ$8:$IJ$86,'EE Measures'!$Q$8:$Q$86,'EE Measures'!$CQ$8:$CQ$86)</f>
        <v>313.88156609236745</v>
      </c>
      <c r="I430" s="593">
        <f>SUMPRODUCT('EE Measures'!CB$8:CB$86,'EE Measures'!$IJ$8:$IJ$86,'EE Measures'!$Q$8:$Q$86,'EE Measures'!$CQ$8:$CQ$86)</f>
        <v>241.04192588940955</v>
      </c>
      <c r="J430" s="593">
        <f>SUMPRODUCT('EE Measures'!CC$8:CC$86,'EE Measures'!$IJ$8:$IJ$86,'EE Measures'!$Q$8:$Q$86,'EE Measures'!$CQ$8:$CQ$86)</f>
        <v>865.2860314158869</v>
      </c>
      <c r="K430" s="593">
        <f>SUMPRODUCT('EE Measures'!CD$8:CD$86,'EE Measures'!$IJ$8:$IJ$86,'EE Measures'!$Q$8:$Q$86,'EE Measures'!$CQ$8:$CQ$86)</f>
        <v>1047.198780292131</v>
      </c>
      <c r="L430" s="593">
        <f>SUMPRODUCT('EE Measures'!CE$8:CE$86,'EE Measures'!$IJ$8:$IJ$86,'EE Measures'!$Q$8:$Q$86,'EE Measures'!$CQ$8:$CQ$86)</f>
        <v>520.4484683696611</v>
      </c>
      <c r="M430" s="593">
        <f>SUMPRODUCT('EE Measures'!CF$8:CF$86,'EE Measures'!$IJ$8:$IJ$86,'EE Measures'!$Q$8:$Q$86,'EE Measures'!$CQ$8:$CQ$86)</f>
        <v>171.13190844945751</v>
      </c>
      <c r="N430" s="593">
        <f>SUMPRODUCT('EE Measures'!CG$8:CG$86,'EE Measures'!$IJ$8:$IJ$86,'EE Measures'!$Q$8:$Q$86,'EE Measures'!$CQ$8:$CQ$86)</f>
        <v>146.59994402368795</v>
      </c>
      <c r="O430" s="593">
        <f>SUMPRODUCT('EE Measures'!CH$8:CH$86,'EE Measures'!$IJ$8:$IJ$86,'EE Measures'!$Q$8:$Q$86,'EE Measures'!$CQ$8:$CQ$86)</f>
        <v>153.15935213076588</v>
      </c>
      <c r="P430" s="593">
        <f>SUMPRODUCT('EE Measures'!CI$8:CI$86,'EE Measures'!$IJ$8:$IJ$86,'EE Measures'!$Q$8:$Q$86,'EE Measures'!$CQ$8:$CQ$86)</f>
        <v>149.45111286536678</v>
      </c>
      <c r="Q430" s="593">
        <f>SUMPRODUCT('EE Measures'!CJ$8:CJ$86,'EE Measures'!$IJ$8:$IJ$86,'EE Measures'!$Q$8:$Q$86,'EE Measures'!$CQ$8:$CQ$86)</f>
        <v>119.44719534230912</v>
      </c>
      <c r="R430" s="593">
        <f>SUMPRODUCT('EE Measures'!CK$8:CK$86,'EE Measures'!$IJ$8:$IJ$86,'EE Measures'!$Q$8:$Q$86,'EE Measures'!$CQ$8:$CQ$86)</f>
        <v>121.41803588414209</v>
      </c>
      <c r="S430" s="593">
        <f>SUMPRODUCT('EE Measures'!CL$8:CL$86,'EE Measures'!$IJ$8:$IJ$86,'EE Measures'!$Q$8:$Q$86,'EE Measures'!$CQ$8:$CQ$86)</f>
        <v>123.42829323681171</v>
      </c>
      <c r="T430" s="593">
        <f>SUMPRODUCT('EE Measures'!CM$8:CM$86,'EE Measures'!$IJ$8:$IJ$86,'EE Measures'!$Q$8:$Q$86,'EE Measures'!$CQ$8:$CQ$86)</f>
        <v>125.47875573653472</v>
      </c>
      <c r="U430" s="593">
        <f>SUMPRODUCT('EE Measures'!CN$8:CN$86,'EE Measures'!$IJ$8:$IJ$86,'EE Measures'!$Q$8:$Q$86,'EE Measures'!$CQ$8:$CQ$86)</f>
        <v>127.57022748625219</v>
      </c>
      <c r="W430" s="563" t="str">
        <v>Lõuna-Eesti </v>
      </c>
      <c r="X430" s="592">
        <f t="shared" si="1533"/>
        <v>776.84323414760559</v>
      </c>
      <c r="Y430" s="593">
        <f>SUMPRODUCT('EE Measures'!BZ$8:BZ$86,'EE Measures'!$IJ$8:$IJ$86,'EE Measures'!$AB$8:$AB$86,'EE Measures'!$CQ$8:$CQ$86)</f>
        <v>69.389647208451009</v>
      </c>
      <c r="Z430" s="593">
        <f>SUMPRODUCT('EE Measures'!CA$8:CA$86,'EE Measures'!$IJ$8:$IJ$86,'EE Measures'!$AB$8:$AB$86,'EE Measures'!$CQ$8:$CQ$86)</f>
        <v>28.876991230208358</v>
      </c>
      <c r="AA430" s="593">
        <f>SUMPRODUCT('EE Measures'!CB$8:CB$86,'EE Measures'!$IJ$8:$IJ$86,'EE Measures'!$AB$8:$AB$86,'EE Measures'!$CQ$8:$CQ$86)</f>
        <v>23.947602887129651</v>
      </c>
      <c r="AB430" s="593">
        <f>SUMPRODUCT('EE Measures'!CC$8:CC$86,'EE Measures'!$IJ$8:$IJ$86,'EE Measures'!$AB$8:$AB$86,'EE Measures'!$CQ$8:$CQ$86)</f>
        <v>8.4510555106023002</v>
      </c>
      <c r="AC430" s="593">
        <f>SUMPRODUCT('EE Measures'!CD$8:CD$86,'EE Measures'!$IJ$8:$IJ$86,'EE Measures'!$AB$8:$AB$86,'EE Measures'!$CQ$8:$CQ$86)</f>
        <v>108.20420517131244</v>
      </c>
      <c r="AD430" s="593">
        <f>SUMPRODUCT('EE Measures'!CE$8:CE$86,'EE Measures'!$IJ$8:$IJ$86,'EE Measures'!$AB$8:$AB$86,'EE Measures'!$CQ$8:$CQ$86)</f>
        <v>106.7522319488569</v>
      </c>
      <c r="AE430" s="593">
        <f>SUMPRODUCT('EE Measures'!CF$8:CF$86,'EE Measures'!$IJ$8:$IJ$86,'EE Measures'!$AB$8:$AB$86,'EE Measures'!$CQ$8:$CQ$86)</f>
        <v>112.68152990926259</v>
      </c>
      <c r="AF430" s="593">
        <f>SUMPRODUCT('EE Measures'!CG$8:CG$86,'EE Measures'!$IJ$8:$IJ$86,'EE Measures'!$AB$8:$AB$86,'EE Measures'!$CQ$8:$CQ$86)</f>
        <v>104.50573472467717</v>
      </c>
      <c r="AG430" s="593">
        <f>SUMPRODUCT('EE Measures'!CH$8:CH$86,'EE Measures'!$IJ$8:$IJ$86,'EE Measures'!$AB$8:$AB$86,'EE Measures'!$CQ$8:$CQ$86)</f>
        <v>106.97792326784128</v>
      </c>
      <c r="AH430" s="593">
        <f>SUMPRODUCT('EE Measures'!CI$8:CI$86,'EE Measures'!$IJ$8:$IJ$86,'EE Measures'!$AB$8:$AB$86,'EE Measures'!$CQ$8:$CQ$86)</f>
        <v>107.05631228926397</v>
      </c>
      <c r="AI430" s="593">
        <f>SUMPRODUCT('EE Measures'!CJ$8:CJ$86,'EE Measures'!$IJ$8:$IJ$86,'EE Measures'!$AB$8:$AB$86,'EE Measures'!$CQ$8:$CQ$86)</f>
        <v>104.50597932294711</v>
      </c>
      <c r="AJ430" s="593">
        <f>SUMPRODUCT('EE Measures'!CK$8:CK$86,'EE Measures'!$IJ$8:$IJ$86,'EE Measures'!$AB$8:$AB$86,'EE Measures'!$CQ$8:$CQ$86)</f>
        <v>106.48294465145841</v>
      </c>
      <c r="AK430" s="593">
        <f>SUMPRODUCT('EE Measures'!CL$8:CL$86,'EE Measures'!$IJ$8:$IJ$86,'EE Measures'!$AB$8:$AB$86,'EE Measures'!$CQ$8:$CQ$86)</f>
        <v>108.49944928653993</v>
      </c>
      <c r="AL430" s="593">
        <f>SUMPRODUCT('EE Measures'!CM$8:CM$86,'EE Measures'!$IJ$8:$IJ$86,'EE Measures'!$AB$8:$AB$86,'EE Measures'!$CQ$8:$CQ$86)</f>
        <v>110.55628401432308</v>
      </c>
      <c r="AM430" s="593">
        <f>SUMPRODUCT('EE Measures'!CN$8:CN$86,'EE Measures'!$IJ$8:$IJ$86,'EE Measures'!$AB$8:$AB$86,'EE Measures'!$CQ$8:$CQ$86)</f>
        <v>112.6542554366619</v>
      </c>
      <c r="AN430" s="865">
        <f>X430/X426</f>
        <v>0.13055488977563778</v>
      </c>
    </row>
    <row r="431" spans="3:40" hidden="1" outlineLevel="1" x14ac:dyDescent="0.3">
      <c r="C431" s="587" t="str">
        <f t="shared" si="1531"/>
        <v>EET</v>
      </c>
      <c r="E431" s="563" t="s">
        <v>54</v>
      </c>
      <c r="F431" s="592">
        <f t="shared" si="1532"/>
        <v>4.8208902863891456</v>
      </c>
      <c r="G431" s="593">
        <f>SUMPRODUCT('EE Measures'!BZ$8:BZ$86,'EE Measures'!$IJ$8:$IJ$86,'EE Measures'!$R$8:$R$86,'EE Measures'!$CQ$8:$CQ$86)</f>
        <v>3.9596727792718313E-2</v>
      </c>
      <c r="H431" s="593">
        <f>SUMPRODUCT('EE Measures'!CA$8:CA$86,'EE Measures'!$IJ$8:$IJ$86,'EE Measures'!$R$8:$R$86,'EE Measures'!$CQ$8:$CQ$86)</f>
        <v>3.9596727792718313E-2</v>
      </c>
      <c r="I431" s="593">
        <f>SUMPRODUCT('EE Measures'!CB$8:CB$86,'EE Measures'!$IJ$8:$IJ$86,'EE Measures'!$R$8:$R$86,'EE Measures'!$CQ$8:$CQ$86)</f>
        <v>3.9596727792718313E-2</v>
      </c>
      <c r="J431" s="593">
        <f>SUMPRODUCT('EE Measures'!CC$8:CC$86,'EE Measures'!$IJ$8:$IJ$86,'EE Measures'!$R$8:$R$86,'EE Measures'!$CQ$8:$CQ$86)</f>
        <v>3.9596727792718313E-2</v>
      </c>
      <c r="K431" s="593">
        <f>SUMPRODUCT('EE Measures'!CD$8:CD$86,'EE Measures'!$IJ$8:$IJ$86,'EE Measures'!$R$8:$R$86,'EE Measures'!$CQ$8:$CQ$86)</f>
        <v>3.9596727792718313E-2</v>
      </c>
      <c r="L431" s="593">
        <f>SUMPRODUCT('EE Measures'!CE$8:CE$86,'EE Measures'!$IJ$8:$IJ$86,'EE Measures'!$R$8:$R$86,'EE Measures'!$CQ$8:$CQ$86)</f>
        <v>3.9596727792718313E-2</v>
      </c>
      <c r="M431" s="593">
        <f>SUMPRODUCT('EE Measures'!CF$8:CF$86,'EE Measures'!$IJ$8:$IJ$86,'EE Measures'!$R$8:$R$86,'EE Measures'!$CQ$8:$CQ$86)</f>
        <v>1.1458274799082089</v>
      </c>
      <c r="N431" s="593">
        <f>SUMPRODUCT('EE Measures'!CG$8:CG$86,'EE Measures'!$IJ$8:$IJ$86,'EE Measures'!$R$8:$R$86,'EE Measures'!$CQ$8:$CQ$86)</f>
        <v>1.1458274799082089</v>
      </c>
      <c r="O431" s="593">
        <f>SUMPRODUCT('EE Measures'!CH$8:CH$86,'EE Measures'!$IJ$8:$IJ$86,'EE Measures'!$R$8:$R$86,'EE Measures'!$CQ$8:$CQ$86)</f>
        <v>1.1458274799082089</v>
      </c>
      <c r="P431" s="593">
        <f>SUMPRODUCT('EE Measures'!CI$8:CI$86,'EE Measures'!$IJ$8:$IJ$86,'EE Measures'!$R$8:$R$86,'EE Measures'!$CQ$8:$CQ$86)</f>
        <v>1.1458274799082089</v>
      </c>
      <c r="Q431" s="593">
        <f>SUMPRODUCT('EE Measures'!CJ$8:CJ$86,'EE Measures'!$IJ$8:$IJ$86,'EE Measures'!$R$8:$R$86,'EE Measures'!$CQ$8:$CQ$86)</f>
        <v>3.9596727792718313E-2</v>
      </c>
      <c r="R431" s="593">
        <f>SUMPRODUCT('EE Measures'!CK$8:CK$86,'EE Measures'!$IJ$8:$IJ$86,'EE Measures'!$R$8:$R$86,'EE Measures'!$CQ$8:$CQ$86)</f>
        <v>3.9596727792718313E-2</v>
      </c>
      <c r="S431" s="593">
        <f>SUMPRODUCT('EE Measures'!CL$8:CL$86,'EE Measures'!$IJ$8:$IJ$86,'EE Measures'!$R$8:$R$86,'EE Measures'!$CQ$8:$CQ$86)</f>
        <v>3.9596727792718313E-2</v>
      </c>
      <c r="T431" s="593">
        <f>SUMPRODUCT('EE Measures'!CM$8:CM$86,'EE Measures'!$IJ$8:$IJ$86,'EE Measures'!$R$8:$R$86,'EE Measures'!$CQ$8:$CQ$86)</f>
        <v>3.9596727792718313E-2</v>
      </c>
      <c r="U431" s="593">
        <f>SUMPRODUCT('EE Measures'!CN$8:CN$86,'EE Measures'!$IJ$8:$IJ$86,'EE Measures'!$R$8:$R$86,'EE Measures'!$CQ$8:$CQ$86)</f>
        <v>3.9596727792718313E-2</v>
      </c>
      <c r="W431" s="563" t="str">
        <v>Kesk-Eesti</v>
      </c>
      <c r="X431" s="592">
        <f t="shared" si="1533"/>
        <v>326.43342786014125</v>
      </c>
      <c r="Y431" s="593">
        <f>SUMPRODUCT('EE Measures'!BZ$8:BZ$86,'EE Measures'!$IJ$8:$IJ$86,'EE Measures'!$AC$8:$AC$86,'EE Measures'!$CQ$8:$CQ$86)</f>
        <v>27.358986488699305</v>
      </c>
      <c r="Z431" s="593">
        <f>SUMPRODUCT('EE Measures'!CA$8:CA$86,'EE Measures'!$IJ$8:$IJ$86,'EE Measures'!$AC$8:$AC$86,'EE Measures'!$CQ$8:$CQ$86)</f>
        <v>11.716751791777957</v>
      </c>
      <c r="AA431" s="593">
        <f>SUMPRODUCT('EE Measures'!CB$8:CB$86,'EE Measures'!$IJ$8:$IJ$86,'EE Measures'!$AC$8:$AC$86,'EE Measures'!$CQ$8:$CQ$86)</f>
        <v>9.9481555303721763</v>
      </c>
      <c r="AB431" s="593">
        <f>SUMPRODUCT('EE Measures'!CC$8:CC$86,'EE Measures'!$IJ$8:$IJ$86,'EE Measures'!$AC$8:$AC$86,'EE Measures'!$CQ$8:$CQ$86)</f>
        <v>3.3124131852504495</v>
      </c>
      <c r="AC431" s="593">
        <f>SUMPRODUCT('EE Measures'!CD$8:CD$86,'EE Measures'!$IJ$8:$IJ$86,'EE Measures'!$AC$8:$AC$86,'EE Measures'!$CQ$8:$CQ$86)</f>
        <v>45.997316777186768</v>
      </c>
      <c r="AD431" s="593">
        <f>SUMPRODUCT('EE Measures'!CE$8:CE$86,'EE Measures'!$IJ$8:$IJ$86,'EE Measures'!$AC$8:$AC$86,'EE Measures'!$CQ$8:$CQ$86)</f>
        <v>45.378478343149872</v>
      </c>
      <c r="AE431" s="593">
        <f>SUMPRODUCT('EE Measures'!CF$8:CF$86,'EE Measures'!$IJ$8:$IJ$86,'EE Measures'!$AC$8:$AC$86,'EE Measures'!$CQ$8:$CQ$86)</f>
        <v>47.697399133915688</v>
      </c>
      <c r="AF431" s="593">
        <f>SUMPRODUCT('EE Measures'!CG$8:CG$86,'EE Measures'!$IJ$8:$IJ$86,'EE Measures'!$AC$8:$AC$86,'EE Measures'!$CQ$8:$CQ$86)</f>
        <v>44.369900686515344</v>
      </c>
      <c r="AG431" s="593">
        <f>SUMPRODUCT('EE Measures'!CH$8:CH$86,'EE Measures'!$IJ$8:$IJ$86,'EE Measures'!$AC$8:$AC$86,'EE Measures'!$CQ$8:$CQ$86)</f>
        <v>45.313722595104259</v>
      </c>
      <c r="AH431" s="593">
        <f>SUMPRODUCT('EE Measures'!CI$8:CI$86,'EE Measures'!$IJ$8:$IJ$86,'EE Measures'!$AC$8:$AC$86,'EE Measures'!$CQ$8:$CQ$86)</f>
        <v>45.340303328169398</v>
      </c>
      <c r="AI431" s="593">
        <f>SUMPRODUCT('EE Measures'!CJ$8:CJ$86,'EE Measures'!$IJ$8:$IJ$86,'EE Measures'!$AC$8:$AC$86,'EE Measures'!$CQ$8:$CQ$86)</f>
        <v>45.015927946732724</v>
      </c>
      <c r="AJ431" s="593">
        <f>SUMPRODUCT('EE Measures'!CK$8:CK$86,'EE Measures'!$IJ$8:$IJ$86,'EE Measures'!$AC$8:$AC$86,'EE Measures'!$CQ$8:$CQ$86)</f>
        <v>45.8722328319447</v>
      </c>
      <c r="AK431" s="593">
        <f>SUMPRODUCT('EE Measures'!CL$8:CL$86,'EE Measures'!$IJ$8:$IJ$86,'EE Measures'!$AC$8:$AC$86,'EE Measures'!$CQ$8:$CQ$86)</f>
        <v>46.745663814860919</v>
      </c>
      <c r="AL431" s="593">
        <f>SUMPRODUCT('EE Measures'!CM$8:CM$86,'EE Measures'!$IJ$8:$IJ$86,'EE Measures'!$AC$8:$AC$86,'EE Measures'!$CQ$8:$CQ$86)</f>
        <v>47.636563417435461</v>
      </c>
      <c r="AM431" s="593">
        <f>SUMPRODUCT('EE Measures'!CN$8:CN$86,'EE Measures'!$IJ$8:$IJ$86,'EE Measures'!$AC$8:$AC$86,'EE Measures'!$CQ$8:$CQ$86)</f>
        <v>48.545281012061501</v>
      </c>
      <c r="AN431" s="865">
        <f>X431/X426</f>
        <v>5.4859820257206142E-2</v>
      </c>
    </row>
    <row r="432" spans="3:40" hidden="1" outlineLevel="1" x14ac:dyDescent="0.3">
      <c r="C432" s="587" t="str">
        <f>E432</f>
        <v>CEER1</v>
      </c>
      <c r="E432" s="555" t="str">
        <f>'EE Measures'!$IK$6</f>
        <v>CEER1</v>
      </c>
      <c r="F432" s="590">
        <f>SUM(G432:P432)</f>
        <v>4394.5010065043252</v>
      </c>
      <c r="G432" s="591">
        <f>SUM(G433:G437)</f>
        <v>389.97610510178771</v>
      </c>
      <c r="H432" s="591">
        <f>SUM(H433:H437)</f>
        <v>265.33036917385795</v>
      </c>
      <c r="I432" s="591">
        <f t="shared" ref="I432:P432" si="1534">SUM(I433:I437)</f>
        <v>192.6916203157993</v>
      </c>
      <c r="J432" s="591">
        <f t="shared" si="1534"/>
        <v>457.62068343999681</v>
      </c>
      <c r="K432" s="591">
        <f t="shared" si="1534"/>
        <v>886.65573242202174</v>
      </c>
      <c r="L432" s="591">
        <f t="shared" si="1534"/>
        <v>591.11537347867579</v>
      </c>
      <c r="M432" s="591">
        <f t="shared" si="1534"/>
        <v>426.65242538118014</v>
      </c>
      <c r="N432" s="591">
        <f t="shared" si="1534"/>
        <v>388.39263222620536</v>
      </c>
      <c r="O432" s="591">
        <f t="shared" si="1534"/>
        <v>398.20946535435354</v>
      </c>
      <c r="P432" s="591">
        <f t="shared" si="1534"/>
        <v>397.85659961044627</v>
      </c>
      <c r="Q432" s="591">
        <f t="shared" ref="Q432:U432" si="1535">SUM(Q433:Q437)</f>
        <v>383.3217323271947</v>
      </c>
      <c r="R432" s="591">
        <f t="shared" si="1535"/>
        <v>390.48975948078777</v>
      </c>
      <c r="S432" s="591">
        <f t="shared" si="1535"/>
        <v>397.80114717745255</v>
      </c>
      <c r="T432" s="591">
        <f t="shared" si="1535"/>
        <v>405.25876262805065</v>
      </c>
      <c r="U432" s="591">
        <f t="shared" si="1535"/>
        <v>412.86553038766078</v>
      </c>
      <c r="V432" s="555"/>
      <c r="W432" s="555" t="str">
        <f>'EE Measures'!$IK$6</f>
        <v>CEER1</v>
      </c>
      <c r="X432" s="590">
        <f>SUM(Y432:AH432)</f>
        <v>4394.2010065043241</v>
      </c>
      <c r="Y432" s="591">
        <f t="shared" ref="Y432:Z432" si="1536">SUM(Y433:Y437)</f>
        <v>389.97610510178765</v>
      </c>
      <c r="Z432" s="591">
        <f t="shared" si="1536"/>
        <v>265.33036917385789</v>
      </c>
      <c r="AA432" s="591">
        <f t="shared" ref="AA432" si="1537">SUM(AA433:AA437)</f>
        <v>192.6916203157993</v>
      </c>
      <c r="AB432" s="591">
        <f t="shared" ref="AB432" si="1538">SUM(AB433:AB437)</f>
        <v>457.62068343999687</v>
      </c>
      <c r="AC432" s="591">
        <f t="shared" ref="AC432" si="1539">SUM(AC433:AC437)</f>
        <v>886.60573242202156</v>
      </c>
      <c r="AD432" s="591">
        <f t="shared" ref="AD432" si="1540">SUM(AD433:AD437)</f>
        <v>591.06537347867584</v>
      </c>
      <c r="AE432" s="591">
        <f t="shared" ref="AE432" si="1541">SUM(AE433:AE437)</f>
        <v>426.60242538118018</v>
      </c>
      <c r="AF432" s="591">
        <f t="shared" ref="AF432" si="1542">SUM(AF433:AF437)</f>
        <v>388.3426322262053</v>
      </c>
      <c r="AG432" s="591">
        <f t="shared" ref="AG432" si="1543">SUM(AG433:AG437)</f>
        <v>398.15946535435359</v>
      </c>
      <c r="AH432" s="591">
        <f t="shared" ref="AH432:AM432" si="1544">SUM(AH433:AH437)</f>
        <v>397.80659961044631</v>
      </c>
      <c r="AI432" s="591">
        <f t="shared" si="1544"/>
        <v>383.27173232719468</v>
      </c>
      <c r="AJ432" s="591">
        <f t="shared" si="1544"/>
        <v>390.43975948078776</v>
      </c>
      <c r="AK432" s="591">
        <f t="shared" si="1544"/>
        <v>397.75114717745259</v>
      </c>
      <c r="AL432" s="591">
        <f t="shared" si="1544"/>
        <v>405.20876262805069</v>
      </c>
      <c r="AM432" s="591">
        <f t="shared" si="1544"/>
        <v>412.81553038766077</v>
      </c>
    </row>
    <row r="433" spans="3:40" hidden="1" outlineLevel="1" x14ac:dyDescent="0.3">
      <c r="C433" s="587" t="str">
        <f>C432</f>
        <v>CEER1</v>
      </c>
      <c r="E433" s="563" t="s">
        <v>50</v>
      </c>
      <c r="F433" s="592">
        <f>SUM(G433:P433)</f>
        <v>130.13857375175243</v>
      </c>
      <c r="G433" s="593">
        <f>SUMPRODUCT('EE Measures'!BZ$8:BZ$86,'EE Measures'!$IK$8:$IK$86,'EE Measures'!$N$8:$N$86,'EE Measures'!$CQ$8:$CQ$86)</f>
        <v>24.708723810229309</v>
      </c>
      <c r="H433" s="593">
        <f>SUMPRODUCT('EE Measures'!CA$8:CA$86,'EE Measures'!$IK$8:$IK$86,'EE Measures'!$N$8:$N$86,'EE Measures'!$CQ$8:$CQ$86)</f>
        <v>2.3185512966668798</v>
      </c>
      <c r="I433" s="593">
        <f>SUMPRODUCT('EE Measures'!CB$8:CB$86,'EE Measures'!$IK$8:$IK$86,'EE Measures'!$N$8:$N$86,'EE Measures'!$CQ$8:$CQ$86)</f>
        <v>1.0123472345914053</v>
      </c>
      <c r="J433" s="593">
        <f>SUMPRODUCT('EE Measures'!CC$8:CC$86,'EE Measures'!$IK$8:$IK$86,'EE Measures'!$N$8:$N$86,'EE Measures'!$CQ$8:$CQ$86)</f>
        <v>8.012347234591406</v>
      </c>
      <c r="K433" s="593">
        <f>SUMPRODUCT('EE Measures'!CD$8:CD$86,'EE Measures'!$IK$8:$IK$86,'EE Measures'!$N$8:$N$86,'EE Measures'!$CQ$8:$CQ$86)</f>
        <v>32.303127579031447</v>
      </c>
      <c r="L433" s="593">
        <f>SUMPRODUCT('EE Measures'!CE$8:CE$86,'EE Measures'!$IK$8:$IK$86,'EE Measures'!$N$8:$N$86,'EE Measures'!$CQ$8:$CQ$86)</f>
        <v>27.578127579031449</v>
      </c>
      <c r="M433" s="593">
        <f>SUMPRODUCT('EE Measures'!CF$8:CF$86,'EE Measures'!$IK$8:$IK$86,'EE Measures'!$N$8:$N$86,'EE Measures'!$CQ$8:$CQ$86)</f>
        <v>21.21825661091712</v>
      </c>
      <c r="N433" s="593">
        <f>SUMPRODUCT('EE Measures'!CG$8:CG$86,'EE Measures'!$IK$8:$IK$86,'EE Measures'!$N$8:$N$86,'EE Measures'!$CQ$8:$CQ$86)</f>
        <v>4.3290308022311343</v>
      </c>
      <c r="O433" s="593">
        <f>SUMPRODUCT('EE Measures'!CH$8:CH$86,'EE Measures'!$IK$8:$IK$86,'EE Measures'!$N$8:$N$86,'EE Measures'!$CQ$8:$CQ$86)</f>
        <v>4.3290308022311343</v>
      </c>
      <c r="P433" s="593">
        <f>SUMPRODUCT('EE Measures'!CI$8:CI$86,'EE Measures'!$IK$8:$IK$86,'EE Measures'!$N$8:$N$86,'EE Measures'!$CQ$8:$CQ$86)</f>
        <v>4.3290308022311343</v>
      </c>
      <c r="Q433" s="593">
        <f>SUMPRODUCT('EE Measures'!CJ$8:CJ$86,'EE Measures'!$IK$8:$IK$86,'EE Measures'!$N$8:$N$86,'EE Measures'!$CQ$8:$CQ$86)</f>
        <v>4.3290308022311343</v>
      </c>
      <c r="R433" s="593">
        <f>SUMPRODUCT('EE Measures'!CK$8:CK$86,'EE Measures'!$IK$8:$IK$86,'EE Measures'!$N$8:$N$86,'EE Measures'!$CQ$8:$CQ$86)</f>
        <v>4.3290308022311343</v>
      </c>
      <c r="S433" s="593">
        <f>SUMPRODUCT('EE Measures'!CL$8:CL$86,'EE Measures'!$IK$8:$IK$86,'EE Measures'!$N$8:$N$86,'EE Measures'!$CQ$8:$CQ$86)</f>
        <v>4.3290308022311343</v>
      </c>
      <c r="T433" s="593">
        <f>SUMPRODUCT('EE Measures'!CM$8:CM$86,'EE Measures'!$IK$8:$IK$86,'EE Measures'!$N$8:$N$86,'EE Measures'!$CQ$8:$CQ$86)</f>
        <v>4.3290308022311343</v>
      </c>
      <c r="U433" s="593">
        <f>SUMPRODUCT('EE Measures'!CN$8:CN$86,'EE Measures'!$IK$8:$IK$86,'EE Measures'!$N$8:$N$86,'EE Measures'!$CQ$8:$CQ$86)</f>
        <v>4.3290308022311343</v>
      </c>
      <c r="W433" s="563" t="str" cm="1">
        <f t="array" ref="W433:W437">_xlfn.ANCHORARRAY($W$357)</f>
        <v xml:space="preserve">Põhja-Eesti </v>
      </c>
      <c r="X433" s="592">
        <f>SUM(Y433:AH433)</f>
        <v>1988.0157005091723</v>
      </c>
      <c r="Y433" s="593">
        <f>SUMPRODUCT('EE Measures'!BZ$8:BZ$86,'EE Measures'!$IK$8:$IK$86,'EE Measures'!$Y$8:$Y$86,'EE Measures'!$CQ$8:$CQ$86)</f>
        <v>190.30951648876831</v>
      </c>
      <c r="Z433" s="593">
        <f>SUMPRODUCT('EE Measures'!CA$8:CA$86,'EE Measures'!$IK$8:$IK$86,'EE Measures'!$Y$8:$Y$86,'EE Measures'!$CQ$8:$CQ$86)</f>
        <v>129.92491648277854</v>
      </c>
      <c r="AA433" s="593">
        <f>SUMPRODUCT('EE Measures'!CB$8:CB$86,'EE Measures'!$IK$8:$IK$86,'EE Measures'!$Y$8:$Y$86,'EE Measures'!$CQ$8:$CQ$86)</f>
        <v>88.785201451138249</v>
      </c>
      <c r="AB433" s="593">
        <f>SUMPRODUCT('EE Measures'!CC$8:CC$86,'EE Measures'!$IK$8:$IK$86,'EE Measures'!$Y$8:$Y$86,'EE Measures'!$CQ$8:$CQ$86)</f>
        <v>228.38448611486083</v>
      </c>
      <c r="AC433" s="593">
        <f>SUMPRODUCT('EE Measures'!CD$8:CD$86,'EE Measures'!$IK$8:$IK$86,'EE Measures'!$Y$8:$Y$86,'EE Measures'!$CQ$8:$CQ$86)</f>
        <v>434.39796946358854</v>
      </c>
      <c r="AD433" s="593">
        <f>SUMPRODUCT('EE Measures'!CE$8:CE$86,'EE Measures'!$IK$8:$IK$86,'EE Measures'!$Y$8:$Y$86,'EE Measures'!$CQ$8:$CQ$86)</f>
        <v>259.31446098379604</v>
      </c>
      <c r="AE433" s="593">
        <f>SUMPRODUCT('EE Measures'!CF$8:CF$86,'EE Measures'!$IK$8:$IK$86,'EE Measures'!$Y$8:$Y$86,'EE Measures'!$CQ$8:$CQ$86)</f>
        <v>175.75520055140976</v>
      </c>
      <c r="AF433" s="593">
        <f>SUMPRODUCT('EE Measures'!CG$8:CG$86,'EE Measures'!$IK$8:$IK$86,'EE Measures'!$Y$8:$Y$86,'EE Measures'!$CQ$8:$CQ$86)</f>
        <v>157.27167316449783</v>
      </c>
      <c r="AG433" s="593">
        <f>SUMPRODUCT('EE Measures'!CH$8:CH$86,'EE Measures'!$IK$8:$IK$86,'EE Measures'!$Y$8:$Y$86,'EE Measures'!$CQ$8:$CQ$86)</f>
        <v>161.96856140358415</v>
      </c>
      <c r="AH433" s="593">
        <f>SUMPRODUCT('EE Measures'!CI$8:CI$86,'EE Measures'!$IK$8:$IK$86,'EE Measures'!$Y$8:$Y$86,'EE Measures'!$CQ$8:$CQ$86)</f>
        <v>161.90371440474991</v>
      </c>
      <c r="AI433" s="593">
        <f>SUMPRODUCT('EE Measures'!CJ$8:CJ$86,'EE Measures'!$IK$8:$IK$86,'EE Measures'!$Y$8:$Y$86,'EE Measures'!$CQ$8:$CQ$86)</f>
        <v>150.38343525003961</v>
      </c>
      <c r="AJ433" s="593">
        <f>SUMPRODUCT('EE Measures'!CK$8:CK$86,'EE Measures'!$IK$8:$IK$86,'EE Measures'!$Y$8:$Y$86,'EE Measures'!$CQ$8:$CQ$86)</f>
        <v>153.15173218258607</v>
      </c>
      <c r="AK433" s="593">
        <f>SUMPRODUCT('EE Measures'!CL$8:CL$86,'EE Measures'!$IK$8:$IK$86,'EE Measures'!$Y$8:$Y$86,'EE Measures'!$CQ$8:$CQ$86)</f>
        <v>155.97539505378342</v>
      </c>
      <c r="AL433" s="593">
        <f>SUMPRODUCT('EE Measures'!CM$8:CM$86,'EE Measures'!$IK$8:$IK$86,'EE Measures'!$Y$8:$Y$86,'EE Measures'!$CQ$8:$CQ$86)</f>
        <v>158.85553118240475</v>
      </c>
      <c r="AM433" s="593">
        <f>SUMPRODUCT('EE Measures'!CN$8:CN$86,'EE Measures'!$IK$8:$IK$86,'EE Measures'!$Y$8:$Y$86,'EE Measures'!$CQ$8:$CQ$86)</f>
        <v>161.79327003359847</v>
      </c>
      <c r="AN433" s="865">
        <f>X433/X432</f>
        <v>0.45241801582733676</v>
      </c>
    </row>
    <row r="434" spans="3:40" hidden="1" outlineLevel="1" x14ac:dyDescent="0.3">
      <c r="C434" s="587" t="str">
        <f t="shared" ref="C434:C437" si="1545">C433</f>
        <v>CEER1</v>
      </c>
      <c r="E434" s="563" t="s">
        <v>51</v>
      </c>
      <c r="F434" s="592">
        <f t="shared" ref="F434:F437" si="1546">SUM(G434:P434)</f>
        <v>1027.7172946707581</v>
      </c>
      <c r="G434" s="593">
        <f>SUMPRODUCT('EE Measures'!BZ$8:BZ$86,'EE Measures'!$IK$8:$IK$86,'EE Measures'!$O$8:$O$86,'EE Measures'!$CQ$8:$CQ$86)</f>
        <v>19.823359251885766</v>
      </c>
      <c r="H434" s="593">
        <f>SUMPRODUCT('EE Measures'!CA$8:CA$86,'EE Measures'!$IK$8:$IK$86,'EE Measures'!$O$8:$O$86,'EE Measures'!$CQ$8:$CQ$86)</f>
        <v>22.704467342073567</v>
      </c>
      <c r="I434" s="593">
        <f>SUMPRODUCT('EE Measures'!CB$8:CB$86,'EE Measures'!$IK$8:$IK$86,'EE Measures'!$O$8:$O$86,'EE Measures'!$CQ$8:$CQ$86)</f>
        <v>24.572547359268043</v>
      </c>
      <c r="J434" s="593">
        <f>SUMPRODUCT('EE Measures'!CC$8:CC$86,'EE Measures'!$IK$8:$IK$86,'EE Measures'!$O$8:$O$86,'EE Measures'!$CQ$8:$CQ$86)</f>
        <v>3.0124651075795157E-2</v>
      </c>
      <c r="K434" s="593">
        <f>SUMPRODUCT('EE Measures'!CD$8:CD$86,'EE Measures'!$IK$8:$IK$86,'EE Measures'!$O$8:$O$86,'EE Measures'!$CQ$8:$CQ$86)</f>
        <v>152.27927360728143</v>
      </c>
      <c r="L434" s="593">
        <f>SUMPRODUCT('EE Measures'!CE$8:CE$86,'EE Measures'!$IK$8:$IK$86,'EE Measures'!$O$8:$O$86,'EE Measures'!$CQ$8:$CQ$86)</f>
        <v>155.32425658640554</v>
      </c>
      <c r="M434" s="593">
        <f>SUMPRODUCT('EE Measures'!CF$8:CF$86,'EE Measures'!$IK$8:$IK$86,'EE Measures'!$O$8:$O$86,'EE Measures'!$CQ$8:$CQ$86)</f>
        <v>158.43013922511213</v>
      </c>
      <c r="N434" s="593">
        <f>SUMPRODUCT('EE Measures'!CG$8:CG$86,'EE Measures'!$IK$8:$IK$86,'EE Measures'!$O$8:$O$86,'EE Measures'!$CQ$8:$CQ$86)</f>
        <v>161.59813951659285</v>
      </c>
      <c r="O434" s="593">
        <f>SUMPRODUCT('EE Measures'!CH$8:CH$86,'EE Measures'!$IK$8:$IK$86,'EE Measures'!$O$8:$O$86,'EE Measures'!$CQ$8:$CQ$86)</f>
        <v>164.82949981390317</v>
      </c>
      <c r="P434" s="593">
        <f>SUMPRODUCT('EE Measures'!CI$8:CI$86,'EE Measures'!$IK$8:$IK$86,'EE Measures'!$O$8:$O$86,'EE Measures'!$CQ$8:$CQ$86)</f>
        <v>168.12548731715975</v>
      </c>
      <c r="Q434" s="593">
        <f>SUMPRODUCT('EE Measures'!CJ$8:CJ$86,'EE Measures'!$IK$8:$IK$86,'EE Measures'!$O$8:$O$86,'EE Measures'!$CQ$8:$CQ$86)</f>
        <v>171.4873945704814</v>
      </c>
      <c r="R434" s="593">
        <f>SUMPRODUCT('EE Measures'!CK$8:CK$86,'EE Measures'!$IK$8:$IK$86,'EE Measures'!$O$8:$O$86,'EE Measures'!$CQ$8:$CQ$86)</f>
        <v>174.91653996886956</v>
      </c>
      <c r="S434" s="593">
        <f>SUMPRODUCT('EE Measures'!CL$8:CL$86,'EE Measures'!$IK$8:$IK$86,'EE Measures'!$O$8:$O$86,'EE Measures'!$CQ$8:$CQ$86)</f>
        <v>178.4142682752254</v>
      </c>
      <c r="T434" s="593">
        <f>SUMPRODUCT('EE Measures'!CM$8:CM$86,'EE Measures'!$IK$8:$IK$86,'EE Measures'!$O$8:$O$86,'EE Measures'!$CQ$8:$CQ$86)</f>
        <v>181.9819511477084</v>
      </c>
      <c r="U434" s="593">
        <f>SUMPRODUCT('EE Measures'!CN$8:CN$86,'EE Measures'!$IK$8:$IK$86,'EE Measures'!$O$8:$O$86,'EE Measures'!$CQ$8:$CQ$86)</f>
        <v>185.62098767764107</v>
      </c>
      <c r="W434" s="563" t="str">
        <v>Lääne-Eesti</v>
      </c>
      <c r="X434" s="592">
        <f t="shared" ref="X434:X437" si="1547">SUM(Y434:AH434)</f>
        <v>1050.1156321427377</v>
      </c>
      <c r="Y434" s="593">
        <f>SUMPRODUCT('EE Measures'!BZ$8:BZ$86,'EE Measures'!$IK$8:$IK$86,'EE Measures'!$Z$8:$Z$86,'EE Measures'!$CQ$8:$CQ$86)</f>
        <v>72.699537854276144</v>
      </c>
      <c r="Z434" s="593">
        <f>SUMPRODUCT('EE Measures'!CA$8:CA$86,'EE Measures'!$IK$8:$IK$86,'EE Measures'!$Z$8:$Z$86,'EE Measures'!$CQ$8:$CQ$86)</f>
        <v>83.818502290152438</v>
      </c>
      <c r="AA434" s="593">
        <f>SUMPRODUCT('EE Measures'!CB$8:CB$86,'EE Measures'!$IK$8:$IK$86,'EE Measures'!$Z$8:$Z$86,'EE Measures'!$CQ$8:$CQ$86)</f>
        <v>61.738128881617392</v>
      </c>
      <c r="AB434" s="593">
        <f>SUMPRODUCT('EE Measures'!CC$8:CC$86,'EE Measures'!$IK$8:$IK$86,'EE Measures'!$Z$8:$Z$86,'EE Measures'!$CQ$8:$CQ$86)</f>
        <v>213.76351002788124</v>
      </c>
      <c r="AC434" s="593">
        <f>SUMPRODUCT('EE Measures'!CD$8:CD$86,'EE Measures'!$IK$8:$IK$86,'EE Measures'!$Z$8:$Z$86,'EE Measures'!$CQ$8:$CQ$86)</f>
        <v>262.56692627263072</v>
      </c>
      <c r="AD434" s="593">
        <f>SUMPRODUCT('EE Measures'!CE$8:CE$86,'EE Measures'!$IK$8:$IK$86,'EE Measures'!$Z$8:$Z$86,'EE Measures'!$CQ$8:$CQ$86)</f>
        <v>145.4329675739549</v>
      </c>
      <c r="AE434" s="593">
        <f>SUMPRODUCT('EE Measures'!CF$8:CF$86,'EE Measures'!$IK$8:$IK$86,'EE Measures'!$Z$8:$Z$86,'EE Measures'!$CQ$8:$CQ$86)</f>
        <v>54.706864607558288</v>
      </c>
      <c r="AF434" s="593">
        <f>SUMPRODUCT('EE Measures'!CG$8:CG$86,'EE Measures'!$IK$8:$IK$86,'EE Measures'!$Z$8:$Z$86,'EE Measures'!$CQ$8:$CQ$86)</f>
        <v>51.036356637355397</v>
      </c>
      <c r="AG434" s="593">
        <f>SUMPRODUCT('EE Measures'!CH$8:CH$86,'EE Measures'!$IK$8:$IK$86,'EE Measures'!$Z$8:$Z$86,'EE Measures'!$CQ$8:$CQ$86)</f>
        <v>52.163684088161048</v>
      </c>
      <c r="AH434" s="593">
        <f>SUMPRODUCT('EE Measures'!CI$8:CI$86,'EE Measures'!$IK$8:$IK$86,'EE Measures'!$Z$8:$Z$86,'EE Measures'!$CQ$8:$CQ$86)</f>
        <v>52.189153909150143</v>
      </c>
      <c r="AI434" s="593">
        <f>SUMPRODUCT('EE Measures'!CJ$8:CJ$86,'EE Measures'!$IK$8:$IK$86,'EE Measures'!$Z$8:$Z$86,'EE Measures'!$CQ$8:$CQ$86)</f>
        <v>51.589710370408788</v>
      </c>
      <c r="AJ434" s="593">
        <f>SUMPRODUCT('EE Measures'!CK$8:CK$86,'EE Measures'!$IK$8:$IK$86,'EE Measures'!$Z$8:$Z$86,'EE Measures'!$CQ$8:$CQ$86)</f>
        <v>52.570261629902596</v>
      </c>
      <c r="AK434" s="593">
        <f>SUMPRODUCT('EE Measures'!CL$8:CL$86,'EE Measures'!$IK$8:$IK$86,'EE Measures'!$Z$8:$Z$86,'EE Measures'!$CQ$8:$CQ$86)</f>
        <v>53.570423914586272</v>
      </c>
      <c r="AL434" s="593">
        <f>SUMPRODUCT('EE Measures'!CM$8:CM$86,'EE Measures'!$IK$8:$IK$86,'EE Measures'!$Z$8:$Z$86,'EE Measures'!$CQ$8:$CQ$86)</f>
        <v>54.590589444963619</v>
      </c>
      <c r="AM434" s="593">
        <f>SUMPRODUCT('EE Measures'!CN$8:CN$86,'EE Measures'!$IK$8:$IK$86,'EE Measures'!$Z$8:$Z$86,'EE Measures'!$CQ$8:$CQ$86)</f>
        <v>55.631158285948516</v>
      </c>
      <c r="AN434" s="865">
        <f>X434/X432</f>
        <v>0.23897760493622161</v>
      </c>
    </row>
    <row r="435" spans="3:40" hidden="1" outlineLevel="1" x14ac:dyDescent="0.3">
      <c r="C435" s="587" t="str">
        <f t="shared" si="1545"/>
        <v>CEER1</v>
      </c>
      <c r="E435" s="563" t="s">
        <v>52</v>
      </c>
      <c r="F435" s="592">
        <f t="shared" si="1546"/>
        <v>984.85747645585195</v>
      </c>
      <c r="G435" s="593">
        <f>SUMPRODUCT('EE Measures'!BZ$8:BZ$86,'EE Measures'!$IK$8:$IK$86,'EE Measures'!$P$8:$P$86,'EE Measures'!$CQ$8:$CQ$86)</f>
        <v>60.815779751596082</v>
      </c>
      <c r="H435" s="593">
        <f>SUMPRODUCT('EE Measures'!CA$8:CA$86,'EE Measures'!$IK$8:$IK$86,'EE Measures'!$P$8:$P$86,'EE Measures'!$CQ$8:$CQ$86)</f>
        <v>67.386187714957302</v>
      </c>
      <c r="I435" s="593">
        <f>SUMPRODUCT('EE Measures'!CB$8:CB$86,'EE Measures'!$IK$8:$IK$86,'EE Measures'!$P$8:$P$86,'EE Measures'!$CQ$8:$CQ$86)</f>
        <v>26.02520310473756</v>
      </c>
      <c r="J435" s="593">
        <f>SUMPRODUCT('EE Measures'!CC$8:CC$86,'EE Measures'!$IK$8:$IK$86,'EE Measures'!$P$8:$P$86,'EE Measures'!$CQ$8:$CQ$86)</f>
        <v>4.2525834106499412</v>
      </c>
      <c r="K435" s="593">
        <f>SUMPRODUCT('EE Measures'!CD$8:CD$86,'EE Measures'!$IK$8:$IK$86,'EE Measures'!$P$8:$P$86,'EE Measures'!$CQ$8:$CQ$86)</f>
        <v>131.00231271578514</v>
      </c>
      <c r="L435" s="593">
        <f>SUMPRODUCT('EE Measures'!CE$8:CE$86,'EE Measures'!$IK$8:$IK$86,'EE Measures'!$P$8:$P$86,'EE Measures'!$CQ$8:$CQ$86)</f>
        <v>133.62231271578514</v>
      </c>
      <c r="M435" s="593">
        <f>SUMPRODUCT('EE Measures'!CF$8:CF$86,'EE Measures'!$IK$8:$IK$86,'EE Measures'!$P$8:$P$86,'EE Measures'!$CQ$8:$CQ$86)</f>
        <v>136.29471271578515</v>
      </c>
      <c r="N435" s="593">
        <f>SUMPRODUCT('EE Measures'!CG$8:CG$86,'EE Measures'!$IK$8:$IK$86,'EE Measures'!$P$8:$P$86,'EE Measures'!$CQ$8:$CQ$86)</f>
        <v>139.02056071578517</v>
      </c>
      <c r="O435" s="593">
        <f>SUMPRODUCT('EE Measures'!CH$8:CH$86,'EE Measures'!$IK$8:$IK$86,'EE Measures'!$P$8:$P$86,'EE Measures'!$CQ$8:$CQ$86)</f>
        <v>141.80092567578515</v>
      </c>
      <c r="P435" s="593">
        <f>SUMPRODUCT('EE Measures'!CI$8:CI$86,'EE Measures'!$IK$8:$IK$86,'EE Measures'!$P$8:$P$86,'EE Measures'!$CQ$8:$CQ$86)</f>
        <v>144.63689793498517</v>
      </c>
      <c r="Q435" s="593">
        <f>SUMPRODUCT('EE Measures'!CJ$8:CJ$86,'EE Measures'!$IK$8:$IK$86,'EE Measures'!$P$8:$P$86,'EE Measures'!$CQ$8:$CQ$86)</f>
        <v>147.52958963936919</v>
      </c>
      <c r="R435" s="593">
        <f>SUMPRODUCT('EE Measures'!CK$8:CK$86,'EE Measures'!$IK$8:$IK$86,'EE Measures'!$P$8:$P$86,'EE Measures'!$CQ$8:$CQ$86)</f>
        <v>150.48013517784088</v>
      </c>
      <c r="S435" s="593">
        <f>SUMPRODUCT('EE Measures'!CL$8:CL$86,'EE Measures'!$IK$8:$IK$86,'EE Measures'!$P$8:$P$86,'EE Measures'!$CQ$8:$CQ$86)</f>
        <v>153.48969162708198</v>
      </c>
      <c r="T435" s="593">
        <f>SUMPRODUCT('EE Measures'!CM$8:CM$86,'EE Measures'!$IK$8:$IK$86,'EE Measures'!$P$8:$P$86,'EE Measures'!$CQ$8:$CQ$86)</f>
        <v>156.55943920530791</v>
      </c>
      <c r="U435" s="593">
        <f>SUMPRODUCT('EE Measures'!CN$8:CN$86,'EE Measures'!$IK$8:$IK$86,'EE Measures'!$P$8:$P$86,'EE Measures'!$CQ$8:$CQ$86)</f>
        <v>159.69058173509836</v>
      </c>
      <c r="W435" s="563" t="str">
        <v>Kirde-Eesti</v>
      </c>
      <c r="X435" s="592">
        <f t="shared" si="1547"/>
        <v>310.57201679542243</v>
      </c>
      <c r="Y435" s="593">
        <f>SUMPRODUCT('EE Measures'!BZ$8:BZ$86,'EE Measures'!$IK$8:$IK$86,'EE Measures'!$AA$8:$AA$86,'EE Measures'!$CQ$8:$CQ$86)</f>
        <v>30.218417061592888</v>
      </c>
      <c r="Z435" s="593">
        <f>SUMPRODUCT('EE Measures'!CA$8:CA$86,'EE Measures'!$IK$8:$IK$86,'EE Measures'!$AA$8:$AA$86,'EE Measures'!$CQ$8:$CQ$86)</f>
        <v>10.993207378940614</v>
      </c>
      <c r="AA435" s="593">
        <f>SUMPRODUCT('EE Measures'!CB$8:CB$86,'EE Measures'!$IK$8:$IK$86,'EE Measures'!$AA$8:$AA$86,'EE Measures'!$CQ$8:$CQ$86)</f>
        <v>8.2725315655418292</v>
      </c>
      <c r="AB435" s="593">
        <f>SUMPRODUCT('EE Measures'!CC$8:CC$86,'EE Measures'!$IK$8:$IK$86,'EE Measures'!$AA$8:$AA$86,'EE Measures'!$CQ$8:$CQ$86)</f>
        <v>3.7092186014020005</v>
      </c>
      <c r="AC435" s="593">
        <f>SUMPRODUCT('EE Measures'!CD$8:CD$86,'EE Measures'!$IK$8:$IK$86,'EE Measures'!$AA$8:$AA$86,'EE Measures'!$CQ$8:$CQ$86)</f>
        <v>44.279111715234116</v>
      </c>
      <c r="AD435" s="593">
        <f>SUMPRODUCT('EE Measures'!CE$8:CE$86,'EE Measures'!$IK$8:$IK$86,'EE Measures'!$AA$8:$AA$86,'EE Measures'!$CQ$8:$CQ$86)</f>
        <v>43.338431151626544</v>
      </c>
      <c r="AE435" s="593">
        <f>SUMPRODUCT('EE Measures'!CF$8:CF$86,'EE Measures'!$IK$8:$IK$86,'EE Measures'!$AA$8:$AA$86,'EE Measures'!$CQ$8:$CQ$86)</f>
        <v>45.227437182499088</v>
      </c>
      <c r="AF435" s="593">
        <f>SUMPRODUCT('EE Measures'!CG$8:CG$86,'EE Measures'!$IK$8:$IK$86,'EE Measures'!$AA$8:$AA$86,'EE Measures'!$CQ$8:$CQ$86)</f>
        <v>40.943260632080637</v>
      </c>
      <c r="AG435" s="593">
        <f>SUMPRODUCT('EE Measures'!CH$8:CH$86,'EE Measures'!$IK$8:$IK$86,'EE Measures'!$AA$8:$AA$86,'EE Measures'!$CQ$8:$CQ$86)</f>
        <v>41.841702931432614</v>
      </c>
      <c r="AH435" s="593">
        <f>SUMPRODUCT('EE Measures'!CI$8:CI$86,'EE Measures'!$IK$8:$IK$86,'EE Measures'!$AA$8:$AA$86,'EE Measures'!$CQ$8:$CQ$86)</f>
        <v>41.748698575072112</v>
      </c>
      <c r="AI435" s="593">
        <f>SUMPRODUCT('EE Measures'!CJ$8:CJ$86,'EE Measures'!$IK$8:$IK$86,'EE Measures'!$AA$8:$AA$86,'EE Measures'!$CQ$8:$CQ$86)</f>
        <v>41.41018535511045</v>
      </c>
      <c r="AJ435" s="593">
        <f>SUMPRODUCT('EE Measures'!CK$8:CK$86,'EE Measures'!$IK$8:$IK$86,'EE Measures'!$AA$8:$AA$86,'EE Measures'!$CQ$8:$CQ$86)</f>
        <v>42.188101190542952</v>
      </c>
      <c r="AK435" s="593">
        <f>SUMPRODUCT('EE Measures'!CL$8:CL$86,'EE Measures'!$IK$8:$IK$86,'EE Measures'!$AA$8:$AA$86,'EE Measures'!$CQ$8:$CQ$86)</f>
        <v>42.981575342684103</v>
      </c>
      <c r="AL435" s="593">
        <f>SUMPRODUCT('EE Measures'!CM$8:CM$86,'EE Measures'!$IK$8:$IK$86,'EE Measures'!$AA$8:$AA$86,'EE Measures'!$CQ$8:$CQ$86)</f>
        <v>43.790918977868081</v>
      </c>
      <c r="AM435" s="593">
        <f>SUMPRODUCT('EE Measures'!CN$8:CN$86,'EE Measures'!$IK$8:$IK$86,'EE Measures'!$AA$8:$AA$86,'EE Measures'!$CQ$8:$CQ$86)</f>
        <v>44.616449485755737</v>
      </c>
      <c r="AN435" s="865">
        <f>X435/X432</f>
        <v>7.0677699162080151E-2</v>
      </c>
    </row>
    <row r="436" spans="3:40" hidden="1" outlineLevel="1" x14ac:dyDescent="0.3">
      <c r="C436" s="587" t="str">
        <f t="shared" si="1545"/>
        <v>CEER1</v>
      </c>
      <c r="E436" s="563" t="s">
        <v>53</v>
      </c>
      <c r="F436" s="592">
        <f t="shared" si="1546"/>
        <v>2246.9667713395734</v>
      </c>
      <c r="G436" s="593">
        <f>SUMPRODUCT('EE Measures'!BZ$8:BZ$86,'EE Measures'!$IK$8:$IK$86,'EE Measures'!$Q$8:$Q$86,'EE Measures'!$CQ$8:$CQ$86)</f>
        <v>284.58864556028379</v>
      </c>
      <c r="H436" s="593">
        <f>SUMPRODUCT('EE Measures'!CA$8:CA$86,'EE Measures'!$IK$8:$IK$86,'EE Measures'!$Q$8:$Q$86,'EE Measures'!$CQ$8:$CQ$86)</f>
        <v>172.88156609236745</v>
      </c>
      <c r="I436" s="593">
        <f>SUMPRODUCT('EE Measures'!CB$8:CB$86,'EE Measures'!$IK$8:$IK$86,'EE Measures'!$Q$8:$Q$86,'EE Measures'!$CQ$8:$CQ$86)</f>
        <v>141.04192588940958</v>
      </c>
      <c r="J436" s="593">
        <f>SUMPRODUCT('EE Measures'!CC$8:CC$86,'EE Measures'!$IK$8:$IK$86,'EE Measures'!$Q$8:$Q$86,'EE Measures'!$CQ$8:$CQ$86)</f>
        <v>445.28603141588695</v>
      </c>
      <c r="K436" s="593">
        <f>SUMPRODUCT('EE Measures'!CD$8:CD$86,'EE Measures'!$IK$8:$IK$86,'EE Measures'!$Q$8:$Q$86,'EE Measures'!$CQ$8:$CQ$86)</f>
        <v>571.03142179213103</v>
      </c>
      <c r="L436" s="593">
        <f>SUMPRODUCT('EE Measures'!CE$8:CE$86,'EE Measures'!$IK$8:$IK$86,'EE Measures'!$Q$8:$Q$86,'EE Measures'!$CQ$8:$CQ$86)</f>
        <v>274.55107986966101</v>
      </c>
      <c r="M436" s="593">
        <f>SUMPRODUCT('EE Measures'!CF$8:CF$86,'EE Measures'!$IK$8:$IK$86,'EE Measures'!$Q$8:$Q$86,'EE Measures'!$CQ$8:$CQ$86)</f>
        <v>109.56348934945753</v>
      </c>
      <c r="N436" s="593">
        <f>SUMPRODUCT('EE Measures'!CG$8:CG$86,'EE Measures'!$IK$8:$IK$86,'EE Measures'!$Q$8:$Q$86,'EE Measures'!$CQ$8:$CQ$86)</f>
        <v>82.299073711687967</v>
      </c>
      <c r="O436" s="593">
        <f>SUMPRODUCT('EE Measures'!CH$8:CH$86,'EE Measures'!$IK$8:$IK$86,'EE Measures'!$Q$8:$Q$86,'EE Measures'!$CQ$8:$CQ$86)</f>
        <v>86.104181582525868</v>
      </c>
      <c r="P436" s="593">
        <f>SUMPRODUCT('EE Measures'!CI$8:CI$86,'EE Measures'!$IK$8:$IK$86,'EE Measures'!$Q$8:$Q$86,'EE Measures'!$CQ$8:$CQ$86)</f>
        <v>79.619356076161992</v>
      </c>
      <c r="Q436" s="593">
        <f>SUMPRODUCT('EE Measures'!CJ$8:CJ$86,'EE Measures'!$IK$8:$IK$86,'EE Measures'!$Q$8:$Q$86,'EE Measures'!$CQ$8:$CQ$86)</f>
        <v>59.936120587320246</v>
      </c>
      <c r="R436" s="593">
        <f>SUMPRODUCT('EE Measures'!CK$8:CK$86,'EE Measures'!$IK$8:$IK$86,'EE Measures'!$Q$8:$Q$86,'EE Measures'!$CQ$8:$CQ$86)</f>
        <v>60.724456804053432</v>
      </c>
      <c r="S436" s="593">
        <f>SUMPRODUCT('EE Measures'!CL$8:CL$86,'EE Measures'!$IK$8:$IK$86,'EE Measures'!$Q$8:$Q$86,'EE Measures'!$CQ$8:$CQ$86)</f>
        <v>61.528559745121285</v>
      </c>
      <c r="T436" s="593">
        <f>SUMPRODUCT('EE Measures'!CM$8:CM$86,'EE Measures'!$IK$8:$IK$86,'EE Measures'!$Q$8:$Q$86,'EE Measures'!$CQ$8:$CQ$86)</f>
        <v>62.348744745010485</v>
      </c>
      <c r="U436" s="593">
        <f>SUMPRODUCT('EE Measures'!CN$8:CN$86,'EE Measures'!$IK$8:$IK$86,'EE Measures'!$Q$8:$Q$86,'EE Measures'!$CQ$8:$CQ$86)</f>
        <v>63.185333444897473</v>
      </c>
      <c r="W436" s="563" t="str">
        <v>Lõuna-Eesti </v>
      </c>
      <c r="X436" s="592">
        <f t="shared" si="1547"/>
        <v>733.91953000305261</v>
      </c>
      <c r="Y436" s="593">
        <f>SUMPRODUCT('EE Measures'!BZ$8:BZ$86,'EE Measures'!$IK$8:$IK$86,'EE Measures'!$AB$8:$AB$86,'EE Measures'!$CQ$8:$CQ$86)</f>
        <v>69.389647208451009</v>
      </c>
      <c r="Z436" s="593">
        <f>SUMPRODUCT('EE Measures'!CA$8:CA$86,'EE Measures'!$IK$8:$IK$86,'EE Measures'!$AB$8:$AB$86,'EE Measures'!$CQ$8:$CQ$86)</f>
        <v>28.876991230208358</v>
      </c>
      <c r="AA436" s="593">
        <f>SUMPRODUCT('EE Measures'!CB$8:CB$86,'EE Measures'!$IK$8:$IK$86,'EE Measures'!$AB$8:$AB$86,'EE Measures'!$CQ$8:$CQ$86)</f>
        <v>23.947602887129651</v>
      </c>
      <c r="AB436" s="593">
        <f>SUMPRODUCT('EE Measures'!CC$8:CC$86,'EE Measures'!$IK$8:$IK$86,'EE Measures'!$AB$8:$AB$86,'EE Measures'!$CQ$8:$CQ$86)</f>
        <v>8.4510555106023002</v>
      </c>
      <c r="AC436" s="593">
        <f>SUMPRODUCT('EE Measures'!CD$8:CD$86,'EE Measures'!$IK$8:$IK$86,'EE Measures'!$AB$8:$AB$86,'EE Measures'!$CQ$8:$CQ$86)</f>
        <v>101.71018668914871</v>
      </c>
      <c r="AD436" s="593">
        <f>SUMPRODUCT('EE Measures'!CE$8:CE$86,'EE Measures'!$IK$8:$IK$86,'EE Measures'!$AB$8:$AB$86,'EE Measures'!$CQ$8:$CQ$86)</f>
        <v>99.997590803507947</v>
      </c>
      <c r="AE436" s="593">
        <f>SUMPRODUCT('EE Measures'!CF$8:CF$86,'EE Measures'!$IK$8:$IK$86,'EE Measures'!$AB$8:$AB$86,'EE Measures'!$CQ$8:$CQ$86)</f>
        <v>105.66379086213641</v>
      </c>
      <c r="AF436" s="593">
        <f>SUMPRODUCT('EE Measures'!CG$8:CG$86,'EE Measures'!$IK$8:$IK$86,'EE Measures'!$AB$8:$AB$86,'EE Measures'!$CQ$8:$CQ$86)</f>
        <v>97.222373032409877</v>
      </c>
      <c r="AG436" s="593">
        <f>SUMPRODUCT('EE Measures'!CH$8:CH$86,'EE Measures'!$IK$8:$IK$86,'EE Measures'!$AB$8:$AB$86,'EE Measures'!$CQ$8:$CQ$86)</f>
        <v>99.426363692201775</v>
      </c>
      <c r="AH436" s="593">
        <f>SUMPRODUCT('EE Measures'!CI$8:CI$86,'EE Measures'!$IK$8:$IK$86,'EE Measures'!$AB$8:$AB$86,'EE Measures'!$CQ$8:$CQ$86)</f>
        <v>99.233928087256572</v>
      </c>
      <c r="AI436" s="593">
        <f>SUMPRODUCT('EE Measures'!CJ$8:CJ$86,'EE Measures'!$IK$8:$IK$86,'EE Measures'!$AB$8:$AB$86,'EE Measures'!$CQ$8:$CQ$86)</f>
        <v>97.504977085396007</v>
      </c>
      <c r="AJ436" s="593">
        <f>SUMPRODUCT('EE Measures'!CK$8:CK$86,'EE Measures'!$IK$8:$IK$86,'EE Measures'!$AB$8:$AB$86,'EE Measures'!$CQ$8:$CQ$86)</f>
        <v>99.342566379855924</v>
      </c>
      <c r="AK436" s="593">
        <f>SUMPRODUCT('EE Measures'!CL$8:CL$86,'EE Measures'!$IK$8:$IK$86,'EE Measures'!$AB$8:$AB$86,'EE Measures'!$CQ$8:$CQ$86)</f>
        <v>101.21690746020502</v>
      </c>
      <c r="AL436" s="593">
        <f>SUMPRODUCT('EE Measures'!CM$8:CM$86,'EE Measures'!$IK$8:$IK$86,'EE Measures'!$AB$8:$AB$86,'EE Measures'!$CQ$8:$CQ$86)</f>
        <v>103.12873536216111</v>
      </c>
      <c r="AM436" s="593">
        <f>SUMPRODUCT('EE Measures'!CN$8:CN$86,'EE Measures'!$IK$8:$IK$86,'EE Measures'!$AB$8:$AB$86,'EE Measures'!$CQ$8:$CQ$86)</f>
        <v>105.07879982215631</v>
      </c>
      <c r="AN436" s="865">
        <f>X436/X432</f>
        <v>0.1670200177271591</v>
      </c>
    </row>
    <row r="437" spans="3:40" hidden="1" outlineLevel="1" x14ac:dyDescent="0.3">
      <c r="C437" s="587" t="str">
        <f t="shared" si="1545"/>
        <v>CEER1</v>
      </c>
      <c r="E437" s="563" t="s">
        <v>54</v>
      </c>
      <c r="F437" s="592">
        <f t="shared" si="1546"/>
        <v>4.8208902863891456</v>
      </c>
      <c r="G437" s="593">
        <f>SUMPRODUCT('EE Measures'!BZ$8:BZ$86,'EE Measures'!$IK$8:$IK$86,'EE Measures'!$R$8:$R$86,'EE Measures'!$CQ$8:$CQ$86)</f>
        <v>3.9596727792718313E-2</v>
      </c>
      <c r="H437" s="593">
        <f>SUMPRODUCT('EE Measures'!CA$8:CA$86,'EE Measures'!$IK$8:$IK$86,'EE Measures'!$R$8:$R$86,'EE Measures'!$CQ$8:$CQ$86)</f>
        <v>3.9596727792718313E-2</v>
      </c>
      <c r="I437" s="593">
        <f>SUMPRODUCT('EE Measures'!CB$8:CB$86,'EE Measures'!$IK$8:$IK$86,'EE Measures'!$R$8:$R$86,'EE Measures'!$CQ$8:$CQ$86)</f>
        <v>3.9596727792718313E-2</v>
      </c>
      <c r="J437" s="593">
        <f>SUMPRODUCT('EE Measures'!CC$8:CC$86,'EE Measures'!$IK$8:$IK$86,'EE Measures'!$R$8:$R$86,'EE Measures'!$CQ$8:$CQ$86)</f>
        <v>3.9596727792718313E-2</v>
      </c>
      <c r="K437" s="593">
        <f>SUMPRODUCT('EE Measures'!CD$8:CD$86,'EE Measures'!$IK$8:$IK$86,'EE Measures'!$R$8:$R$86,'EE Measures'!$CQ$8:$CQ$86)</f>
        <v>3.9596727792718313E-2</v>
      </c>
      <c r="L437" s="593">
        <f>SUMPRODUCT('EE Measures'!CE$8:CE$86,'EE Measures'!$IK$8:$IK$86,'EE Measures'!$R$8:$R$86,'EE Measures'!$CQ$8:$CQ$86)</f>
        <v>3.9596727792718313E-2</v>
      </c>
      <c r="M437" s="593">
        <f>SUMPRODUCT('EE Measures'!CF$8:CF$86,'EE Measures'!$IK$8:$IK$86,'EE Measures'!$R$8:$R$86,'EE Measures'!$CQ$8:$CQ$86)</f>
        <v>1.1458274799082089</v>
      </c>
      <c r="N437" s="593">
        <f>SUMPRODUCT('EE Measures'!CG$8:CG$86,'EE Measures'!$IK$8:$IK$86,'EE Measures'!$R$8:$R$86,'EE Measures'!$CQ$8:$CQ$86)</f>
        <v>1.1458274799082089</v>
      </c>
      <c r="O437" s="593">
        <f>SUMPRODUCT('EE Measures'!CH$8:CH$86,'EE Measures'!$IK$8:$IK$86,'EE Measures'!$R$8:$R$86,'EE Measures'!$CQ$8:$CQ$86)</f>
        <v>1.1458274799082089</v>
      </c>
      <c r="P437" s="593">
        <f>SUMPRODUCT('EE Measures'!CI$8:CI$86,'EE Measures'!$IK$8:$IK$86,'EE Measures'!$R$8:$R$86,'EE Measures'!$CQ$8:$CQ$86)</f>
        <v>1.1458274799082089</v>
      </c>
      <c r="Q437" s="593">
        <f>SUMPRODUCT('EE Measures'!CJ$8:CJ$86,'EE Measures'!$IK$8:$IK$86,'EE Measures'!$R$8:$R$86,'EE Measures'!$CQ$8:$CQ$86)</f>
        <v>3.9596727792718313E-2</v>
      </c>
      <c r="R437" s="593">
        <f>SUMPRODUCT('EE Measures'!CK$8:CK$86,'EE Measures'!$IK$8:$IK$86,'EE Measures'!$R$8:$R$86,'EE Measures'!$CQ$8:$CQ$86)</f>
        <v>3.9596727792718313E-2</v>
      </c>
      <c r="S437" s="593">
        <f>SUMPRODUCT('EE Measures'!CL$8:CL$86,'EE Measures'!$IK$8:$IK$86,'EE Measures'!$R$8:$R$86,'EE Measures'!$CQ$8:$CQ$86)</f>
        <v>3.9596727792718313E-2</v>
      </c>
      <c r="T437" s="593">
        <f>SUMPRODUCT('EE Measures'!CM$8:CM$86,'EE Measures'!$IK$8:$IK$86,'EE Measures'!$R$8:$R$86,'EE Measures'!$CQ$8:$CQ$86)</f>
        <v>3.9596727792718313E-2</v>
      </c>
      <c r="U437" s="593">
        <f>SUMPRODUCT('EE Measures'!CN$8:CN$86,'EE Measures'!$IK$8:$IK$86,'EE Measures'!$R$8:$R$86,'EE Measures'!$CQ$8:$CQ$86)</f>
        <v>3.9596727792718313E-2</v>
      </c>
      <c r="W437" s="563" t="str">
        <v>Kesk-Eesti</v>
      </c>
      <c r="X437" s="592">
        <f t="shared" si="1547"/>
        <v>311.57812705393951</v>
      </c>
      <c r="Y437" s="593">
        <f>SUMPRODUCT('EE Measures'!BZ$8:BZ$86,'EE Measures'!$IK$8:$IK$86,'EE Measures'!$AC$8:$AC$86,'EE Measures'!$CQ$8:$CQ$86)</f>
        <v>27.358986488699305</v>
      </c>
      <c r="Z437" s="593">
        <f>SUMPRODUCT('EE Measures'!CA$8:CA$86,'EE Measures'!$IK$8:$IK$86,'EE Measures'!$AC$8:$AC$86,'EE Measures'!$CQ$8:$CQ$86)</f>
        <v>11.716751791777957</v>
      </c>
      <c r="AA437" s="593">
        <f>SUMPRODUCT('EE Measures'!CB$8:CB$86,'EE Measures'!$IK$8:$IK$86,'EE Measures'!$AC$8:$AC$86,'EE Measures'!$CQ$8:$CQ$86)</f>
        <v>9.9481555303721763</v>
      </c>
      <c r="AB437" s="593">
        <f>SUMPRODUCT('EE Measures'!CC$8:CC$86,'EE Measures'!$IK$8:$IK$86,'EE Measures'!$AC$8:$AC$86,'EE Measures'!$CQ$8:$CQ$86)</f>
        <v>3.3124131852504495</v>
      </c>
      <c r="AC437" s="593">
        <f>SUMPRODUCT('EE Measures'!CD$8:CD$86,'EE Measures'!$IK$8:$IK$86,'EE Measures'!$AC$8:$AC$86,'EE Measures'!$CQ$8:$CQ$86)</f>
        <v>43.651538281419512</v>
      </c>
      <c r="AD437" s="593">
        <f>SUMPRODUCT('EE Measures'!CE$8:CE$86,'EE Measures'!$IK$8:$IK$86,'EE Measures'!$AC$8:$AC$86,'EE Measures'!$CQ$8:$CQ$86)</f>
        <v>42.981922965790382</v>
      </c>
      <c r="AE437" s="593">
        <f>SUMPRODUCT('EE Measures'!CF$8:CF$86,'EE Measures'!$IK$8:$IK$86,'EE Measures'!$AC$8:$AC$86,'EE Measures'!$CQ$8:$CQ$86)</f>
        <v>45.249132177576627</v>
      </c>
      <c r="AF437" s="593">
        <f>SUMPRODUCT('EE Measures'!CG$8:CG$86,'EE Measures'!$IK$8:$IK$86,'EE Measures'!$AC$8:$AC$86,'EE Measures'!$CQ$8:$CQ$86)</f>
        <v>41.868968759861588</v>
      </c>
      <c r="AG437" s="593">
        <f>SUMPRODUCT('EE Measures'!CH$8:CH$86,'EE Measures'!$IK$8:$IK$86,'EE Measures'!$AC$8:$AC$86,'EE Measures'!$CQ$8:$CQ$86)</f>
        <v>42.759153238973987</v>
      </c>
      <c r="AH437" s="593">
        <f>SUMPRODUCT('EE Measures'!CI$8:CI$86,'EE Measures'!$IK$8:$IK$86,'EE Measures'!$AC$8:$AC$86,'EE Measures'!$CQ$8:$CQ$86)</f>
        <v>42.731104634217566</v>
      </c>
      <c r="AI437" s="593">
        <f>SUMPRODUCT('EE Measures'!CJ$8:CJ$86,'EE Measures'!$IK$8:$IK$86,'EE Measures'!$AC$8:$AC$86,'EE Measures'!$CQ$8:$CQ$86)</f>
        <v>42.383424266239828</v>
      </c>
      <c r="AJ437" s="593">
        <f>SUMPRODUCT('EE Measures'!CK$8:CK$86,'EE Measures'!$IK$8:$IK$86,'EE Measures'!$AC$8:$AC$86,'EE Measures'!$CQ$8:$CQ$86)</f>
        <v>43.187098097900176</v>
      </c>
      <c r="AK437" s="593">
        <f>SUMPRODUCT('EE Measures'!CL$8:CL$86,'EE Measures'!$IK$8:$IK$86,'EE Measures'!$AC$8:$AC$86,'EE Measures'!$CQ$8:$CQ$86)</f>
        <v>44.006845406193719</v>
      </c>
      <c r="AL437" s="593">
        <f>SUMPRODUCT('EE Measures'!CM$8:CM$86,'EE Measures'!$IK$8:$IK$86,'EE Measures'!$AC$8:$AC$86,'EE Measures'!$CQ$8:$CQ$86)</f>
        <v>44.842987660653137</v>
      </c>
      <c r="AM437" s="593">
        <f>SUMPRODUCT('EE Measures'!CN$8:CN$86,'EE Measures'!$IK$8:$IK$86,'EE Measures'!$AC$8:$AC$86,'EE Measures'!$CQ$8:$CQ$86)</f>
        <v>45.695852760201738</v>
      </c>
      <c r="AN437" s="865">
        <f>X437/X432</f>
        <v>7.0906662347202512E-2</v>
      </c>
    </row>
    <row r="438" spans="3:40" hidden="1" outlineLevel="1" x14ac:dyDescent="0.3">
      <c r="C438" s="587" t="str">
        <f>E438</f>
        <v>CEER2</v>
      </c>
      <c r="E438" s="555" t="str">
        <f>'EE Measures'!$IL$6</f>
        <v>CEER2</v>
      </c>
      <c r="F438" s="590">
        <f>SUM(G438:P438)</f>
        <v>5748.80906657377</v>
      </c>
      <c r="G438" s="591">
        <f>SUM(G439:G443)</f>
        <v>389.97610510178771</v>
      </c>
      <c r="H438" s="591">
        <f>SUM(H439:H443)</f>
        <v>265.33036917385795</v>
      </c>
      <c r="I438" s="591">
        <f t="shared" ref="I438:P438" si="1548">SUM(I439:I443)</f>
        <v>192.6916203157993</v>
      </c>
      <c r="J438" s="591">
        <f t="shared" si="1548"/>
        <v>457.62068343999681</v>
      </c>
      <c r="K438" s="591">
        <f t="shared" si="1548"/>
        <v>1104.1787218076106</v>
      </c>
      <c r="L438" s="591">
        <f t="shared" si="1548"/>
        <v>809.60210548197642</v>
      </c>
      <c r="M438" s="591">
        <f t="shared" si="1548"/>
        <v>647.36387485454668</v>
      </c>
      <c r="N438" s="591">
        <f t="shared" si="1548"/>
        <v>614.95639351903924</v>
      </c>
      <c r="O438" s="591">
        <f t="shared" si="1548"/>
        <v>630.70978470304419</v>
      </c>
      <c r="P438" s="591">
        <f t="shared" si="1548"/>
        <v>636.3794081761107</v>
      </c>
      <c r="Q438" s="591">
        <f t="shared" ref="Q438:U438" si="1549">SUM(Q439:Q443)</f>
        <v>614.83467989417238</v>
      </c>
      <c r="R438" s="591">
        <f t="shared" si="1549"/>
        <v>626.56224882910499</v>
      </c>
      <c r="S438" s="591">
        <f t="shared" si="1549"/>
        <v>638.52436914273608</v>
      </c>
      <c r="T438" s="591">
        <f t="shared" si="1549"/>
        <v>650.72573186263992</v>
      </c>
      <c r="U438" s="591">
        <f t="shared" si="1549"/>
        <v>663.17112183694189</v>
      </c>
      <c r="W438" s="555" t="str">
        <f>'EE Measures'!$IL$6</f>
        <v>CEER2</v>
      </c>
      <c r="X438" s="590">
        <f>SUM(Y438:AH438)</f>
        <v>5748.5090665737689</v>
      </c>
      <c r="Y438" s="591">
        <f t="shared" ref="Y438:Z438" si="1550">SUM(Y439:Y443)</f>
        <v>389.97610510178765</v>
      </c>
      <c r="Z438" s="591">
        <f t="shared" si="1550"/>
        <v>265.33036917385789</v>
      </c>
      <c r="AA438" s="591">
        <f t="shared" ref="AA438" si="1551">SUM(AA439:AA443)</f>
        <v>192.6916203157993</v>
      </c>
      <c r="AB438" s="591">
        <f t="shared" ref="AB438" si="1552">SUM(AB439:AB443)</f>
        <v>457.62068343999687</v>
      </c>
      <c r="AC438" s="591">
        <f t="shared" ref="AC438" si="1553">SUM(AC439:AC443)</f>
        <v>1104.1287218076102</v>
      </c>
      <c r="AD438" s="591">
        <f t="shared" ref="AD438" si="1554">SUM(AD439:AD443)</f>
        <v>809.55210548197647</v>
      </c>
      <c r="AE438" s="591">
        <f t="shared" ref="AE438" si="1555">SUM(AE439:AE443)</f>
        <v>647.31387485454661</v>
      </c>
      <c r="AF438" s="591">
        <f t="shared" ref="AF438" si="1556">SUM(AF439:AF443)</f>
        <v>614.90639351903917</v>
      </c>
      <c r="AG438" s="591">
        <f t="shared" ref="AG438" si="1557">SUM(AG439:AG443)</f>
        <v>630.65978470304424</v>
      </c>
      <c r="AH438" s="591">
        <f t="shared" ref="AH438:AM438" si="1558">SUM(AH439:AH443)</f>
        <v>636.32940817611075</v>
      </c>
      <c r="AI438" s="591">
        <f t="shared" si="1558"/>
        <v>614.78467989417243</v>
      </c>
      <c r="AJ438" s="591">
        <f t="shared" si="1558"/>
        <v>626.51224882910492</v>
      </c>
      <c r="AK438" s="591">
        <f t="shared" si="1558"/>
        <v>638.47436914273612</v>
      </c>
      <c r="AL438" s="591">
        <f t="shared" si="1558"/>
        <v>650.67573186263996</v>
      </c>
      <c r="AM438" s="591">
        <f t="shared" si="1558"/>
        <v>663.12112183694194</v>
      </c>
    </row>
    <row r="439" spans="3:40" hidden="1" outlineLevel="1" x14ac:dyDescent="0.3">
      <c r="C439" s="587" t="str">
        <f>C438</f>
        <v>CEER2</v>
      </c>
      <c r="E439" s="563" t="s">
        <v>50</v>
      </c>
      <c r="F439" s="592">
        <f>SUM(G439:P439)</f>
        <v>160.85357375175244</v>
      </c>
      <c r="G439" s="593">
        <f>SUMPRODUCT('EE Measures'!BZ$8:BZ$86,'EE Measures'!$IL$8:$IL$86,'EE Measures'!$N$8:$N$86,'EE Measures'!$CQ$8:$CQ$86)</f>
        <v>24.708723810229309</v>
      </c>
      <c r="H439" s="593">
        <f>SUMPRODUCT('EE Measures'!CA$8:CA$86,'EE Measures'!$IL$8:$IL$86,'EE Measures'!$N$8:$N$86,'EE Measures'!$CQ$8:$CQ$86)</f>
        <v>2.3185512966668798</v>
      </c>
      <c r="I439" s="593">
        <f>SUMPRODUCT('EE Measures'!CB$8:CB$86,'EE Measures'!$IL$8:$IL$86,'EE Measures'!$N$8:$N$86,'EE Measures'!$CQ$8:$CQ$86)</f>
        <v>1.0123472345914053</v>
      </c>
      <c r="J439" s="593">
        <f>SUMPRODUCT('EE Measures'!CC$8:CC$86,'EE Measures'!$IL$8:$IL$86,'EE Measures'!$N$8:$N$86,'EE Measures'!$CQ$8:$CQ$86)</f>
        <v>8.012347234591406</v>
      </c>
      <c r="K439" s="593">
        <f>SUMPRODUCT('EE Measures'!CD$8:CD$86,'EE Measures'!$IL$8:$IL$86,'EE Measures'!$N$8:$N$86,'EE Measures'!$CQ$8:$CQ$86)</f>
        <v>43.723127579031448</v>
      </c>
      <c r="L439" s="593">
        <f>SUMPRODUCT('EE Measures'!CE$8:CE$86,'EE Measures'!$IL$8:$IL$86,'EE Measures'!$N$8:$N$86,'EE Measures'!$CQ$8:$CQ$86)</f>
        <v>34.273127579031453</v>
      </c>
      <c r="M439" s="593">
        <f>SUMPRODUCT('EE Measures'!CF$8:CF$86,'EE Measures'!$IL$8:$IL$86,'EE Measures'!$N$8:$N$86,'EE Measures'!$CQ$8:$CQ$86)</f>
        <v>24.368256610917122</v>
      </c>
      <c r="N439" s="593">
        <f>SUMPRODUCT('EE Measures'!CG$8:CG$86,'EE Measures'!$IL$8:$IL$86,'EE Measures'!$N$8:$N$86,'EE Measures'!$CQ$8:$CQ$86)</f>
        <v>7.4790308022311347</v>
      </c>
      <c r="O439" s="593">
        <f>SUMPRODUCT('EE Measures'!CH$8:CH$86,'EE Measures'!$IL$8:$IL$86,'EE Measures'!$N$8:$N$86,'EE Measures'!$CQ$8:$CQ$86)</f>
        <v>7.4790308022311347</v>
      </c>
      <c r="P439" s="593">
        <f>SUMPRODUCT('EE Measures'!CI$8:CI$86,'EE Measures'!$IL$8:$IL$86,'EE Measures'!$N$8:$N$86,'EE Measures'!$CQ$8:$CQ$86)</f>
        <v>7.4790308022311347</v>
      </c>
      <c r="Q439" s="593">
        <f>SUMPRODUCT('EE Measures'!CJ$8:CJ$86,'EE Measures'!$IL$8:$IL$86,'EE Measures'!$N$8:$N$86,'EE Measures'!$CQ$8:$CQ$86)</f>
        <v>7.4790308022311347</v>
      </c>
      <c r="R439" s="593">
        <f>SUMPRODUCT('EE Measures'!CK$8:CK$86,'EE Measures'!$IL$8:$IL$86,'EE Measures'!$N$8:$N$86,'EE Measures'!$CQ$8:$CQ$86)</f>
        <v>7.4790308022311347</v>
      </c>
      <c r="S439" s="593">
        <f>SUMPRODUCT('EE Measures'!CL$8:CL$86,'EE Measures'!$IL$8:$IL$86,'EE Measures'!$N$8:$N$86,'EE Measures'!$CQ$8:$CQ$86)</f>
        <v>7.4790308022311347</v>
      </c>
      <c r="T439" s="593">
        <f>SUMPRODUCT('EE Measures'!CM$8:CM$86,'EE Measures'!$IL$8:$IL$86,'EE Measures'!$N$8:$N$86,'EE Measures'!$CQ$8:$CQ$86)</f>
        <v>7.4790308022311347</v>
      </c>
      <c r="U439" s="593">
        <f>SUMPRODUCT('EE Measures'!CN$8:CN$86,'EE Measures'!$IL$8:$IL$86,'EE Measures'!$N$8:$N$86,'EE Measures'!$CQ$8:$CQ$86)</f>
        <v>7.4790308022311347</v>
      </c>
      <c r="W439" s="563" t="str" cm="1">
        <f t="array" ref="W439:W443">_xlfn.ANCHORARRAY($W$357)</f>
        <v xml:space="preserve">Põhja-Eesti </v>
      </c>
      <c r="X439" s="592">
        <f>SUM(Y439:AH439)</f>
        <v>2540.2591536876625</v>
      </c>
      <c r="Y439" s="593">
        <f>SUMPRODUCT('EE Measures'!BZ$8:BZ$86,'EE Measures'!$IL$8:$IL$86,'EE Measures'!$Y$8:$Y$86,'EE Measures'!$CQ$8:$CQ$86)</f>
        <v>190.30951648876831</v>
      </c>
      <c r="Z439" s="593">
        <f>SUMPRODUCT('EE Measures'!CA$8:CA$86,'EE Measures'!$IL$8:$IL$86,'EE Measures'!$Y$8:$Y$86,'EE Measures'!$CQ$8:$CQ$86)</f>
        <v>129.92491648277854</v>
      </c>
      <c r="AA439" s="593">
        <f>SUMPRODUCT('EE Measures'!CB$8:CB$86,'EE Measures'!$IL$8:$IL$86,'EE Measures'!$Y$8:$Y$86,'EE Measures'!$CQ$8:$CQ$86)</f>
        <v>88.785201451138249</v>
      </c>
      <c r="AB439" s="593">
        <f>SUMPRODUCT('EE Measures'!CC$8:CC$86,'EE Measures'!$IL$8:$IL$86,'EE Measures'!$Y$8:$Y$86,'EE Measures'!$CQ$8:$CQ$86)</f>
        <v>228.38448611486083</v>
      </c>
      <c r="AC439" s="593">
        <f>SUMPRODUCT('EE Measures'!CD$8:CD$86,'EE Measures'!$IL$8:$IL$86,'EE Measures'!$Y$8:$Y$86,'EE Measures'!$CQ$8:$CQ$86)</f>
        <v>522.05669303384934</v>
      </c>
      <c r="AD439" s="593">
        <f>SUMPRODUCT('EE Measures'!CE$8:CE$86,'EE Measures'!$IL$8:$IL$86,'EE Measures'!$Y$8:$Y$86,'EE Measures'!$CQ$8:$CQ$86)</f>
        <v>347.55787486234556</v>
      </c>
      <c r="AE439" s="593">
        <f>SUMPRODUCT('EE Measures'!CF$8:CF$86,'EE Measures'!$IL$8:$IL$86,'EE Measures'!$Y$8:$Y$86,'EE Measures'!$CQ$8:$CQ$86)</f>
        <v>265.21714747647638</v>
      </c>
      <c r="AF439" s="593">
        <f>SUMPRODUCT('EE Measures'!CG$8:CG$86,'EE Measures'!$IL$8:$IL$86,'EE Measures'!$Y$8:$Y$86,'EE Measures'!$CQ$8:$CQ$86)</f>
        <v>249.79394607512967</v>
      </c>
      <c r="AG439" s="593">
        <f>SUMPRODUCT('EE Measures'!CH$8:CH$86,'EE Measures'!$IL$8:$IL$86,'EE Measures'!$Y$8:$Y$86,'EE Measures'!$CQ$8:$CQ$86)</f>
        <v>257.58388968187631</v>
      </c>
      <c r="AH439" s="593">
        <f>SUMPRODUCT('EE Measures'!CI$8:CI$86,'EE Measures'!$IL$8:$IL$86,'EE Measures'!$Y$8:$Y$86,'EE Measures'!$CQ$8:$CQ$86)</f>
        <v>260.64548202043926</v>
      </c>
      <c r="AI439" s="593">
        <f>SUMPRODUCT('EE Measures'!CJ$8:CJ$86,'EE Measures'!$IL$8:$IL$86,'EE Measures'!$Y$8:$Y$86,'EE Measures'!$CQ$8:$CQ$86)</f>
        <v>240.89483880576256</v>
      </c>
      <c r="AJ439" s="593">
        <f>SUMPRODUCT('EE Measures'!CK$8:CK$86,'EE Measures'!$IL$8:$IL$86,'EE Measures'!$Y$8:$Y$86,'EE Measures'!$CQ$8:$CQ$86)</f>
        <v>245.43450252614042</v>
      </c>
      <c r="AK439" s="593">
        <f>SUMPRODUCT('EE Measures'!CL$8:CL$86,'EE Measures'!$IL$8:$IL$86,'EE Measures'!$Y$8:$Y$86,'EE Measures'!$CQ$8:$CQ$86)</f>
        <v>250.0649595209257</v>
      </c>
      <c r="AL439" s="593">
        <f>SUMPRODUCT('EE Measures'!CM$8:CM$86,'EE Measures'!$IL$8:$IL$86,'EE Measures'!$Y$8:$Y$86,'EE Measures'!$CQ$8:$CQ$86)</f>
        <v>254.7880256556067</v>
      </c>
      <c r="AM439" s="593">
        <f>SUMPRODUCT('EE Measures'!CN$8:CN$86,'EE Measures'!$IL$8:$IL$86,'EE Measures'!$Y$8:$Y$86,'EE Measures'!$CQ$8:$CQ$86)</f>
        <v>259.60555311298145</v>
      </c>
      <c r="AN439" s="865">
        <f>X439/X438</f>
        <v>0.44189878180042774</v>
      </c>
    </row>
    <row r="440" spans="3:40" hidden="1" outlineLevel="1" x14ac:dyDescent="0.3">
      <c r="C440" s="587" t="str">
        <f t="shared" ref="C440:C443" si="1559">C439</f>
        <v>CEER2</v>
      </c>
      <c r="E440" s="563" t="s">
        <v>51</v>
      </c>
      <c r="F440" s="592">
        <f t="shared" ref="F440:F443" si="1560">SUM(G440:P440)</f>
        <v>1658.123342830758</v>
      </c>
      <c r="G440" s="593">
        <f>SUMPRODUCT('EE Measures'!BZ$8:BZ$86,'EE Measures'!$IL$8:$IL$86,'EE Measures'!$O$8:$O$86,'EE Measures'!$CQ$8:$CQ$86)</f>
        <v>19.823359251885766</v>
      </c>
      <c r="H440" s="593">
        <f>SUMPRODUCT('EE Measures'!CA$8:CA$86,'EE Measures'!$IL$8:$IL$86,'EE Measures'!$O$8:$O$86,'EE Measures'!$CQ$8:$CQ$86)</f>
        <v>22.704467342073567</v>
      </c>
      <c r="I440" s="593">
        <f>SUMPRODUCT('EE Measures'!CB$8:CB$86,'EE Measures'!$IL$8:$IL$86,'EE Measures'!$O$8:$O$86,'EE Measures'!$CQ$8:$CQ$86)</f>
        <v>24.572547359268043</v>
      </c>
      <c r="J440" s="593">
        <f>SUMPRODUCT('EE Measures'!CC$8:CC$86,'EE Measures'!$IL$8:$IL$86,'EE Measures'!$O$8:$O$86,'EE Measures'!$CQ$8:$CQ$86)</f>
        <v>3.0124651075795157E-2</v>
      </c>
      <c r="K440" s="593">
        <f>SUMPRODUCT('EE Measures'!CD$8:CD$86,'EE Measures'!$IL$8:$IL$86,'EE Measures'!$O$8:$O$86,'EE Measures'!$CQ$8:$CQ$86)</f>
        <v>252.21490449287018</v>
      </c>
      <c r="L440" s="593">
        <f>SUMPRODUCT('EE Measures'!CE$8:CE$86,'EE Measures'!$IL$8:$IL$86,'EE Measures'!$O$8:$O$86,'EE Measures'!$CQ$8:$CQ$86)</f>
        <v>257.25860008970608</v>
      </c>
      <c r="M440" s="593">
        <f>SUMPRODUCT('EE Measures'!CF$8:CF$86,'EE Measures'!$IL$8:$IL$86,'EE Measures'!$O$8:$O$86,'EE Measures'!$CQ$8:$CQ$86)</f>
        <v>262.40316959847871</v>
      </c>
      <c r="N440" s="593">
        <f>SUMPRODUCT('EE Measures'!CG$8:CG$86,'EE Measures'!$IL$8:$IL$86,'EE Measures'!$O$8:$O$86,'EE Measures'!$CQ$8:$CQ$86)</f>
        <v>267.65063049742673</v>
      </c>
      <c r="O440" s="593">
        <f>SUMPRODUCT('EE Measures'!CH$8:CH$86,'EE Measures'!$IL$8:$IL$86,'EE Measures'!$O$8:$O$86,'EE Measures'!$CQ$8:$CQ$86)</f>
        <v>273.00304061435378</v>
      </c>
      <c r="P440" s="593">
        <f>SUMPRODUCT('EE Measures'!CI$8:CI$86,'EE Measures'!$IL$8:$IL$86,'EE Measures'!$O$8:$O$86,'EE Measures'!$CQ$8:$CQ$86)</f>
        <v>278.46249893361937</v>
      </c>
      <c r="Q440" s="593">
        <f>SUMPRODUCT('EE Measures'!CJ$8:CJ$86,'EE Measures'!$IL$8:$IL$86,'EE Measures'!$O$8:$O$86,'EE Measures'!$CQ$8:$CQ$86)</f>
        <v>284.03114641927016</v>
      </c>
      <c r="R440" s="593">
        <f>SUMPRODUCT('EE Measures'!CK$8:CK$86,'EE Measures'!$IL$8:$IL$86,'EE Measures'!$O$8:$O$86,'EE Measures'!$CQ$8:$CQ$86)</f>
        <v>289.71116685463414</v>
      </c>
      <c r="S440" s="593">
        <f>SUMPRODUCT('EE Measures'!CL$8:CL$86,'EE Measures'!$IL$8:$IL$86,'EE Measures'!$O$8:$O$86,'EE Measures'!$CQ$8:$CQ$86)</f>
        <v>295.50478769870529</v>
      </c>
      <c r="T440" s="593">
        <f>SUMPRODUCT('EE Measures'!CM$8:CM$86,'EE Measures'!$IL$8:$IL$86,'EE Measures'!$O$8:$O$86,'EE Measures'!$CQ$8:$CQ$86)</f>
        <v>301.4142809596579</v>
      </c>
      <c r="U440" s="593">
        <f>SUMPRODUCT('EE Measures'!CN$8:CN$86,'EE Measures'!$IL$8:$IL$86,'EE Measures'!$O$8:$O$86,'EE Measures'!$CQ$8:$CQ$86)</f>
        <v>307.44196408582957</v>
      </c>
      <c r="W440" s="563" t="str">
        <v>Lääne-Eesti</v>
      </c>
      <c r="X440" s="592">
        <f t="shared" ref="X440:X443" si="1561">SUM(Y440:AH440)</f>
        <v>1234.0790626076539</v>
      </c>
      <c r="Y440" s="593">
        <f>SUMPRODUCT('EE Measures'!BZ$8:BZ$86,'EE Measures'!$IL$8:$IL$86,'EE Measures'!$Z$8:$Z$86,'EE Measures'!$CQ$8:$CQ$86)</f>
        <v>72.699537854276144</v>
      </c>
      <c r="Z440" s="593">
        <f>SUMPRODUCT('EE Measures'!CA$8:CA$86,'EE Measures'!$IL$8:$IL$86,'EE Measures'!$Z$8:$Z$86,'EE Measures'!$CQ$8:$CQ$86)</f>
        <v>83.818502290152438</v>
      </c>
      <c r="AA440" s="593">
        <f>SUMPRODUCT('EE Measures'!CB$8:CB$86,'EE Measures'!$IL$8:$IL$86,'EE Measures'!$Z$8:$Z$86,'EE Measures'!$CQ$8:$CQ$86)</f>
        <v>61.738128881617392</v>
      </c>
      <c r="AB440" s="593">
        <f>SUMPRODUCT('EE Measures'!CC$8:CC$86,'EE Measures'!$IL$8:$IL$86,'EE Measures'!$Z$8:$Z$86,'EE Measures'!$CQ$8:$CQ$86)</f>
        <v>213.76351002788124</v>
      </c>
      <c r="AC440" s="593">
        <f>SUMPRODUCT('EE Measures'!CD$8:CD$86,'EE Measures'!$IL$8:$IL$86,'EE Measures'!$Z$8:$Z$86,'EE Measures'!$CQ$8:$CQ$86)</f>
        <v>292.16372854797254</v>
      </c>
      <c r="AD440" s="593">
        <f>SUMPRODUCT('EE Measures'!CE$8:CE$86,'EE Measures'!$IL$8:$IL$86,'EE Measures'!$Z$8:$Z$86,'EE Measures'!$CQ$8:$CQ$86)</f>
        <v>175.25662854504549</v>
      </c>
      <c r="AE440" s="593">
        <f>SUMPRODUCT('EE Measures'!CF$8:CF$86,'EE Measures'!$IL$8:$IL$86,'EE Measures'!$Z$8:$Z$86,'EE Measures'!$CQ$8:$CQ$86)</f>
        <v>84.866852705602838</v>
      </c>
      <c r="AF440" s="593">
        <f>SUMPRODUCT('EE Measures'!CG$8:CG$86,'EE Measures'!$IL$8:$IL$86,'EE Measures'!$Z$8:$Z$86,'EE Measures'!$CQ$8:$CQ$86)</f>
        <v>81.838889762905154</v>
      </c>
      <c r="AG440" s="593">
        <f>SUMPRODUCT('EE Measures'!CH$8:CH$86,'EE Measures'!$IL$8:$IL$86,'EE Measures'!$Z$8:$Z$86,'EE Measures'!$CQ$8:$CQ$86)</f>
        <v>83.620639022627586</v>
      </c>
      <c r="AH440" s="593">
        <f>SUMPRODUCT('EE Measures'!CI$8:CI$86,'EE Measures'!$IL$8:$IL$86,'EE Measures'!$Z$8:$Z$86,'EE Measures'!$CQ$8:$CQ$86)</f>
        <v>84.312644969573313</v>
      </c>
      <c r="AI440" s="593">
        <f>SUMPRODUCT('EE Measures'!CJ$8:CJ$86,'EE Measures'!$IL$8:$IL$86,'EE Measures'!$Z$8:$Z$86,'EE Measures'!$CQ$8:$CQ$86)</f>
        <v>84.002446504765757</v>
      </c>
      <c r="AJ440" s="593">
        <f>SUMPRODUCT('EE Measures'!CK$8:CK$86,'EE Measures'!$IL$8:$IL$86,'EE Measures'!$Z$8:$Z$86,'EE Measures'!$CQ$8:$CQ$86)</f>
        <v>85.625788272119621</v>
      </c>
      <c r="AK440" s="593">
        <f>SUMPRODUCT('EE Measures'!CL$8:CL$86,'EE Measures'!$IL$8:$IL$86,'EE Measures'!$Z$8:$Z$86,'EE Measures'!$CQ$8:$CQ$86)</f>
        <v>87.281596874820551</v>
      </c>
      <c r="AL440" s="593">
        <f>SUMPRODUCT('EE Measures'!CM$8:CM$86,'EE Measures'!$IL$8:$IL$86,'EE Measures'!$Z$8:$Z$86,'EE Measures'!$CQ$8:$CQ$86)</f>
        <v>88.970521649575488</v>
      </c>
      <c r="AM440" s="593">
        <f>SUMPRODUCT('EE Measures'!CN$8:CN$86,'EE Measures'!$IL$8:$IL$86,'EE Measures'!$Z$8:$Z$86,'EE Measures'!$CQ$8:$CQ$86)</f>
        <v>90.693224919825525</v>
      </c>
      <c r="AN440" s="865">
        <f>X440/X438</f>
        <v>0.21467811015268881</v>
      </c>
    </row>
    <row r="441" spans="3:40" hidden="1" outlineLevel="1" x14ac:dyDescent="0.3">
      <c r="C441" s="587" t="str">
        <f t="shared" si="1559"/>
        <v>CEER2</v>
      </c>
      <c r="E441" s="563" t="s">
        <v>52</v>
      </c>
      <c r="F441" s="592">
        <f t="shared" si="1560"/>
        <v>1300.2635246158518</v>
      </c>
      <c r="G441" s="593">
        <f>SUMPRODUCT('EE Measures'!BZ$8:BZ$86,'EE Measures'!$IL$8:$IL$86,'EE Measures'!$P$8:$P$86,'EE Measures'!$CQ$8:$CQ$86)</f>
        <v>60.815779751596082</v>
      </c>
      <c r="H441" s="593">
        <f>SUMPRODUCT('EE Measures'!CA$8:CA$86,'EE Measures'!$IL$8:$IL$86,'EE Measures'!$P$8:$P$86,'EE Measures'!$CQ$8:$CQ$86)</f>
        <v>67.386187714957302</v>
      </c>
      <c r="I441" s="593">
        <f>SUMPRODUCT('EE Measures'!CB$8:CB$86,'EE Measures'!$IL$8:$IL$86,'EE Measures'!$P$8:$P$86,'EE Measures'!$CQ$8:$CQ$86)</f>
        <v>26.02520310473756</v>
      </c>
      <c r="J441" s="593">
        <f>SUMPRODUCT('EE Measures'!CC$8:CC$86,'EE Measures'!$IL$8:$IL$86,'EE Measures'!$P$8:$P$86,'EE Measures'!$CQ$8:$CQ$86)</f>
        <v>4.2525834106499412</v>
      </c>
      <c r="K441" s="593">
        <f>SUMPRODUCT('EE Measures'!CD$8:CD$86,'EE Measures'!$IL$8:$IL$86,'EE Measures'!$P$8:$P$86,'EE Measures'!$CQ$8:$CQ$86)</f>
        <v>181.00231271578514</v>
      </c>
      <c r="L441" s="593">
        <f>SUMPRODUCT('EE Measures'!CE$8:CE$86,'EE Measures'!$IL$8:$IL$86,'EE Measures'!$P$8:$P$86,'EE Measures'!$CQ$8:$CQ$86)</f>
        <v>184.62231271578514</v>
      </c>
      <c r="M441" s="593">
        <f>SUMPRODUCT('EE Measures'!CF$8:CF$86,'EE Measures'!$IL$8:$IL$86,'EE Measures'!$P$8:$P$86,'EE Measures'!$CQ$8:$CQ$86)</f>
        <v>188.31471271578516</v>
      </c>
      <c r="N441" s="593">
        <f>SUMPRODUCT('EE Measures'!CG$8:CG$86,'EE Measures'!$IL$8:$IL$86,'EE Measures'!$P$8:$P$86,'EE Measures'!$CQ$8:$CQ$86)</f>
        <v>192.08096071578518</v>
      </c>
      <c r="O441" s="593">
        <f>SUMPRODUCT('EE Measures'!CH$8:CH$86,'EE Measures'!$IL$8:$IL$86,'EE Measures'!$P$8:$P$86,'EE Measures'!$CQ$8:$CQ$86)</f>
        <v>195.92253367578516</v>
      </c>
      <c r="P441" s="593">
        <f>SUMPRODUCT('EE Measures'!CI$8:CI$86,'EE Measures'!$IL$8:$IL$86,'EE Measures'!$P$8:$P$86,'EE Measures'!$CQ$8:$CQ$86)</f>
        <v>199.84093809498518</v>
      </c>
      <c r="Q441" s="593">
        <f>SUMPRODUCT('EE Measures'!CJ$8:CJ$86,'EE Measures'!$IL$8:$IL$86,'EE Measures'!$P$8:$P$86,'EE Measures'!$CQ$8:$CQ$86)</f>
        <v>203.83771060256922</v>
      </c>
      <c r="R441" s="593">
        <f>SUMPRODUCT('EE Measures'!CK$8:CK$86,'EE Measures'!$IL$8:$IL$86,'EE Measures'!$P$8:$P$86,'EE Measures'!$CQ$8:$CQ$86)</f>
        <v>207.91441856030491</v>
      </c>
      <c r="S441" s="593">
        <f>SUMPRODUCT('EE Measures'!CL$8:CL$86,'EE Measures'!$IL$8:$IL$86,'EE Measures'!$P$8:$P$86,'EE Measures'!$CQ$8:$CQ$86)</f>
        <v>212.07266067719527</v>
      </c>
      <c r="T441" s="593">
        <f>SUMPRODUCT('EE Measures'!CM$8:CM$86,'EE Measures'!$IL$8:$IL$86,'EE Measures'!$P$8:$P$86,'EE Measures'!$CQ$8:$CQ$86)</f>
        <v>216.31406763642349</v>
      </c>
      <c r="U441" s="593">
        <f>SUMPRODUCT('EE Measures'!CN$8:CN$86,'EE Measures'!$IL$8:$IL$86,'EE Measures'!$P$8:$P$86,'EE Measures'!$CQ$8:$CQ$86)</f>
        <v>220.64030273483624</v>
      </c>
      <c r="W441" s="563" t="str">
        <v>Kirde-Eesti</v>
      </c>
      <c r="X441" s="592">
        <f t="shared" si="1561"/>
        <v>444.0052600432889</v>
      </c>
      <c r="Y441" s="593">
        <f>SUMPRODUCT('EE Measures'!BZ$8:BZ$86,'EE Measures'!$IL$8:$IL$86,'EE Measures'!$AA$8:$AA$86,'EE Measures'!$CQ$8:$CQ$86)</f>
        <v>30.218417061592888</v>
      </c>
      <c r="Z441" s="593">
        <f>SUMPRODUCT('EE Measures'!CA$8:CA$86,'EE Measures'!$IL$8:$IL$86,'EE Measures'!$AA$8:$AA$86,'EE Measures'!$CQ$8:$CQ$86)</f>
        <v>10.993207378940614</v>
      </c>
      <c r="AA441" s="593">
        <f>SUMPRODUCT('EE Measures'!CB$8:CB$86,'EE Measures'!$IL$8:$IL$86,'EE Measures'!$AA$8:$AA$86,'EE Measures'!$CQ$8:$CQ$86)</f>
        <v>8.2725315655418292</v>
      </c>
      <c r="AB441" s="593">
        <f>SUMPRODUCT('EE Measures'!CC$8:CC$86,'EE Measures'!$IL$8:$IL$86,'EE Measures'!$AA$8:$AA$86,'EE Measures'!$CQ$8:$CQ$86)</f>
        <v>3.7092186014020005</v>
      </c>
      <c r="AC441" s="593">
        <f>SUMPRODUCT('EE Measures'!CD$8:CD$86,'EE Measures'!$IL$8:$IL$86,'EE Measures'!$AA$8:$AA$86,'EE Measures'!$CQ$8:$CQ$86)</f>
        <v>66.200099820457339</v>
      </c>
      <c r="AD441" s="593">
        <f>SUMPRODUCT('EE Measures'!CE$8:CE$86,'EE Measures'!$IL$8:$IL$86,'EE Measures'!$AA$8:$AA$86,'EE Measures'!$CQ$8:$CQ$86)</f>
        <v>65.096667313905598</v>
      </c>
      <c r="AE441" s="593">
        <f>SUMPRODUCT('EE Measures'!CF$8:CF$86,'EE Measures'!$IL$8:$IL$86,'EE Measures'!$AA$8:$AA$86,'EE Measures'!$CQ$8:$CQ$86)</f>
        <v>66.980337998923531</v>
      </c>
      <c r="AF441" s="593">
        <f>SUMPRODUCT('EE Measures'!CG$8:CG$86,'EE Measures'!$IL$8:$IL$86,'EE Measures'!$AA$8:$AA$86,'EE Measures'!$CQ$8:$CQ$86)</f>
        <v>63.147537851661014</v>
      </c>
      <c r="AG441" s="593">
        <f>SUMPRODUCT('EE Measures'!CH$8:CH$86,'EE Measures'!$IL$8:$IL$86,'EE Measures'!$AA$8:$AA$86,'EE Measures'!$CQ$8:$CQ$86)</f>
        <v>64.505853393902953</v>
      </c>
      <c r="AH441" s="593">
        <f>SUMPRODUCT('EE Measures'!CI$8:CI$86,'EE Measures'!$IL$8:$IL$86,'EE Measures'!$AA$8:$AA$86,'EE Measures'!$CQ$8:$CQ$86)</f>
        <v>64.881389056961126</v>
      </c>
      <c r="AI441" s="593">
        <f>SUMPRODUCT('EE Measures'!CJ$8:CJ$86,'EE Measures'!$IL$8:$IL$86,'EE Measures'!$AA$8:$AA$86,'EE Measures'!$CQ$8:$CQ$86)</f>
        <v>64.807980636848626</v>
      </c>
      <c r="AJ441" s="593">
        <f>SUMPRODUCT('EE Measures'!CK$8:CK$86,'EE Measures'!$IL$8:$IL$86,'EE Measures'!$AA$8:$AA$86,'EE Measures'!$CQ$8:$CQ$86)</f>
        <v>66.045759101605995</v>
      </c>
      <c r="AK441" s="593">
        <f>SUMPRODUCT('EE Measures'!CL$8:CL$86,'EE Measures'!$IL$8:$IL$86,'EE Measures'!$AA$8:$AA$86,'EE Measures'!$CQ$8:$CQ$86)</f>
        <v>67.308293135658531</v>
      </c>
      <c r="AL441" s="593">
        <f>SUMPRODUCT('EE Measures'!CM$8:CM$86,'EE Measures'!$IL$8:$IL$86,'EE Measures'!$AA$8:$AA$86,'EE Measures'!$CQ$8:$CQ$86)</f>
        <v>68.596077850392106</v>
      </c>
      <c r="AM441" s="593">
        <f>SUMPRODUCT('EE Measures'!CN$8:CN$86,'EE Measures'!$IL$8:$IL$86,'EE Measures'!$AA$8:$AA$86,'EE Measures'!$CQ$8:$CQ$86)</f>
        <v>69.90961825942037</v>
      </c>
      <c r="AN441" s="865">
        <f>X441/X438</f>
        <v>7.7238333435894757E-2</v>
      </c>
    </row>
    <row r="442" spans="3:40" hidden="1" outlineLevel="1" x14ac:dyDescent="0.3">
      <c r="C442" s="587" t="str">
        <f t="shared" si="1559"/>
        <v>CEER2</v>
      </c>
      <c r="E442" s="563" t="s">
        <v>53</v>
      </c>
      <c r="F442" s="592">
        <f t="shared" si="1560"/>
        <v>2624.7477350890176</v>
      </c>
      <c r="G442" s="593">
        <f>SUMPRODUCT('EE Measures'!BZ$8:BZ$86,'EE Measures'!$IL$8:$IL$86,'EE Measures'!$Q$8:$Q$86,'EE Measures'!$CQ$8:$CQ$86)</f>
        <v>284.58864556028379</v>
      </c>
      <c r="H442" s="593">
        <f>SUMPRODUCT('EE Measures'!CA$8:CA$86,'EE Measures'!$IL$8:$IL$86,'EE Measures'!$Q$8:$Q$86,'EE Measures'!$CQ$8:$CQ$86)</f>
        <v>172.88156609236745</v>
      </c>
      <c r="I442" s="593">
        <f>SUMPRODUCT('EE Measures'!CB$8:CB$86,'EE Measures'!$IL$8:$IL$86,'EE Measures'!$Q$8:$Q$86,'EE Measures'!$CQ$8:$CQ$86)</f>
        <v>141.04192588940958</v>
      </c>
      <c r="J442" s="593">
        <f>SUMPRODUCT('EE Measures'!CC$8:CC$86,'EE Measures'!$IL$8:$IL$86,'EE Measures'!$Q$8:$Q$86,'EE Measures'!$CQ$8:$CQ$86)</f>
        <v>445.28603141588695</v>
      </c>
      <c r="K442" s="593">
        <f>SUMPRODUCT('EE Measures'!CD$8:CD$86,'EE Measures'!$IL$8:$IL$86,'EE Measures'!$Q$8:$Q$86,'EE Measures'!$CQ$8:$CQ$86)</f>
        <v>627.198780292131</v>
      </c>
      <c r="L442" s="593">
        <f>SUMPRODUCT('EE Measures'!CE$8:CE$86,'EE Measures'!$IL$8:$IL$86,'EE Measures'!$Q$8:$Q$86,'EE Measures'!$CQ$8:$CQ$86)</f>
        <v>333.40846836966097</v>
      </c>
      <c r="M442" s="593">
        <f>SUMPRODUCT('EE Measures'!CF$8:CF$86,'EE Measures'!$IL$8:$IL$86,'EE Measures'!$Q$8:$Q$86,'EE Measures'!$CQ$8:$CQ$86)</f>
        <v>171.13190844945751</v>
      </c>
      <c r="N442" s="593">
        <f>SUMPRODUCT('EE Measures'!CG$8:CG$86,'EE Measures'!$IL$8:$IL$86,'EE Measures'!$Q$8:$Q$86,'EE Measures'!$CQ$8:$CQ$86)</f>
        <v>146.59994402368795</v>
      </c>
      <c r="O442" s="593">
        <f>SUMPRODUCT('EE Measures'!CH$8:CH$86,'EE Measures'!$IL$8:$IL$86,'EE Measures'!$Q$8:$Q$86,'EE Measures'!$CQ$8:$CQ$86)</f>
        <v>153.15935213076588</v>
      </c>
      <c r="P442" s="593">
        <f>SUMPRODUCT('EE Measures'!CI$8:CI$86,'EE Measures'!$IL$8:$IL$86,'EE Measures'!$Q$8:$Q$86,'EE Measures'!$CQ$8:$CQ$86)</f>
        <v>149.45111286536678</v>
      </c>
      <c r="Q442" s="593">
        <f>SUMPRODUCT('EE Measures'!CJ$8:CJ$86,'EE Measures'!$IL$8:$IL$86,'EE Measures'!$Q$8:$Q$86,'EE Measures'!$CQ$8:$CQ$86)</f>
        <v>119.44719534230912</v>
      </c>
      <c r="R442" s="593">
        <f>SUMPRODUCT('EE Measures'!CK$8:CK$86,'EE Measures'!$IL$8:$IL$86,'EE Measures'!$Q$8:$Q$86,'EE Measures'!$CQ$8:$CQ$86)</f>
        <v>121.41803588414209</v>
      </c>
      <c r="S442" s="593">
        <f>SUMPRODUCT('EE Measures'!CL$8:CL$86,'EE Measures'!$IL$8:$IL$86,'EE Measures'!$Q$8:$Q$86,'EE Measures'!$CQ$8:$CQ$86)</f>
        <v>123.42829323681171</v>
      </c>
      <c r="T442" s="593">
        <f>SUMPRODUCT('EE Measures'!CM$8:CM$86,'EE Measures'!$IL$8:$IL$86,'EE Measures'!$Q$8:$Q$86,'EE Measures'!$CQ$8:$CQ$86)</f>
        <v>125.47875573653472</v>
      </c>
      <c r="U442" s="593">
        <f>SUMPRODUCT('EE Measures'!CN$8:CN$86,'EE Measures'!$IL$8:$IL$86,'EE Measures'!$Q$8:$Q$86,'EE Measures'!$CQ$8:$CQ$86)</f>
        <v>127.57022748625219</v>
      </c>
      <c r="W442" s="563" t="str">
        <v>Lõuna-Eesti </v>
      </c>
      <c r="X442" s="592">
        <f t="shared" si="1561"/>
        <v>1070.59136631464</v>
      </c>
      <c r="Y442" s="593">
        <f>SUMPRODUCT('EE Measures'!BZ$8:BZ$86,'EE Measures'!$IL$8:$IL$86,'EE Measures'!$AB$8:$AB$86,'EE Measures'!$CQ$8:$CQ$86)</f>
        <v>69.389647208451009</v>
      </c>
      <c r="Z442" s="593">
        <f>SUMPRODUCT('EE Measures'!CA$8:CA$86,'EE Measures'!$IL$8:$IL$86,'EE Measures'!$AB$8:$AB$86,'EE Measures'!$CQ$8:$CQ$86)</f>
        <v>28.876991230208358</v>
      </c>
      <c r="AA442" s="593">
        <f>SUMPRODUCT('EE Measures'!CB$8:CB$86,'EE Measures'!$IL$8:$IL$86,'EE Measures'!$AB$8:$AB$86,'EE Measures'!$CQ$8:$CQ$86)</f>
        <v>23.947602887129651</v>
      </c>
      <c r="AB442" s="593">
        <f>SUMPRODUCT('EE Measures'!CC$8:CC$86,'EE Measures'!$IL$8:$IL$86,'EE Measures'!$AB$8:$AB$86,'EE Measures'!$CQ$8:$CQ$86)</f>
        <v>8.4510555106023002</v>
      </c>
      <c r="AC442" s="593">
        <f>SUMPRODUCT('EE Measures'!CD$8:CD$86,'EE Measures'!$IL$8:$IL$86,'EE Measures'!$AB$8:$AB$86,'EE Measures'!$CQ$8:$CQ$86)</f>
        <v>156.04507459285546</v>
      </c>
      <c r="AD442" s="593">
        <f>SUMPRODUCT('EE Measures'!CE$8:CE$86,'EE Measures'!$IL$8:$IL$86,'EE Measures'!$AB$8:$AB$86,'EE Measures'!$CQ$8:$CQ$86)</f>
        <v>154.58643553926871</v>
      </c>
      <c r="AE442" s="593">
        <f>SUMPRODUCT('EE Measures'!CF$8:CF$86,'EE Measures'!$IL$8:$IL$86,'EE Measures'!$AB$8:$AB$86,'EE Measures'!$CQ$8:$CQ$86)</f>
        <v>160.75683667423084</v>
      </c>
      <c r="AF442" s="593">
        <f>SUMPRODUCT('EE Measures'!CG$8:CG$86,'EE Measures'!$IL$8:$IL$86,'EE Measures'!$AB$8:$AB$86,'EE Measures'!$CQ$8:$CQ$86)</f>
        <v>153.53029352819658</v>
      </c>
      <c r="AG442" s="593">
        <f>SUMPRODUCT('EE Measures'!CH$8:CH$86,'EE Measures'!$IL$8:$IL$86,'EE Measures'!$AB$8:$AB$86,'EE Measures'!$CQ$8:$CQ$86)</f>
        <v>156.9707191506829</v>
      </c>
      <c r="AH442" s="593">
        <f>SUMPRODUCT('EE Measures'!CI$8:CI$86,'EE Measures'!$IL$8:$IL$86,'EE Measures'!$AB$8:$AB$86,'EE Measures'!$CQ$8:$CQ$86)</f>
        <v>158.03670999301431</v>
      </c>
      <c r="AI442" s="593">
        <f>SUMPRODUCT('EE Measures'!CJ$8:CJ$86,'EE Measures'!$IL$8:$IL$86,'EE Measures'!$AB$8:$AB$86,'EE Measures'!$CQ$8:$CQ$86)</f>
        <v>156.49373088402422</v>
      </c>
      <c r="AJ442" s="593">
        <f>SUMPRODUCT('EE Measures'!CK$8:CK$86,'EE Measures'!$IL$8:$IL$86,'EE Measures'!$AB$8:$AB$86,'EE Measures'!$CQ$8:$CQ$86)</f>
        <v>159.49819714700888</v>
      </c>
      <c r="AK442" s="593">
        <f>SUMPRODUCT('EE Measures'!CL$8:CL$86,'EE Measures'!$IL$8:$IL$86,'EE Measures'!$AB$8:$AB$86,'EE Measures'!$CQ$8:$CQ$86)</f>
        <v>162.56275273525324</v>
      </c>
      <c r="AL442" s="593">
        <f>SUMPRODUCT('EE Measures'!CM$8:CM$86,'EE Measures'!$IL$8:$IL$86,'EE Measures'!$AB$8:$AB$86,'EE Measures'!$CQ$8:$CQ$86)</f>
        <v>165.68859943526249</v>
      </c>
      <c r="AM442" s="593">
        <f>SUMPRODUCT('EE Measures'!CN$8:CN$86,'EE Measures'!$IL$8:$IL$86,'EE Measures'!$AB$8:$AB$86,'EE Measures'!$CQ$8:$CQ$86)</f>
        <v>168.87696306927191</v>
      </c>
      <c r="AN442" s="865">
        <f>X442/X438</f>
        <v>0.18623809302830843</v>
      </c>
    </row>
    <row r="443" spans="3:40" hidden="1" outlineLevel="1" x14ac:dyDescent="0.3">
      <c r="C443" s="587" t="str">
        <f t="shared" si="1559"/>
        <v>CEER2</v>
      </c>
      <c r="E443" s="563" t="s">
        <v>54</v>
      </c>
      <c r="F443" s="592">
        <f t="shared" si="1560"/>
        <v>4.8208902863891456</v>
      </c>
      <c r="G443" s="593">
        <f>SUMPRODUCT('EE Measures'!BZ$8:BZ$86,'EE Measures'!$IL$8:$IL$86,'EE Measures'!$R$8:$R$86,'EE Measures'!$CQ$8:$CQ$86)</f>
        <v>3.9596727792718313E-2</v>
      </c>
      <c r="H443" s="593">
        <f>SUMPRODUCT('EE Measures'!CA$8:CA$86,'EE Measures'!$IL$8:$IL$86,'EE Measures'!$R$8:$R$86,'EE Measures'!$CQ$8:$CQ$86)</f>
        <v>3.9596727792718313E-2</v>
      </c>
      <c r="I443" s="593">
        <f>SUMPRODUCT('EE Measures'!CB$8:CB$86,'EE Measures'!$IL$8:$IL$86,'EE Measures'!$R$8:$R$86,'EE Measures'!$CQ$8:$CQ$86)</f>
        <v>3.9596727792718313E-2</v>
      </c>
      <c r="J443" s="593">
        <f>SUMPRODUCT('EE Measures'!CC$8:CC$86,'EE Measures'!$IL$8:$IL$86,'EE Measures'!$R$8:$R$86,'EE Measures'!$CQ$8:$CQ$86)</f>
        <v>3.9596727792718313E-2</v>
      </c>
      <c r="K443" s="593">
        <f>SUMPRODUCT('EE Measures'!CD$8:CD$86,'EE Measures'!$IL$8:$IL$86,'EE Measures'!$R$8:$R$86,'EE Measures'!$CQ$8:$CQ$86)</f>
        <v>3.9596727792718313E-2</v>
      </c>
      <c r="L443" s="593">
        <f>SUMPRODUCT('EE Measures'!CE$8:CE$86,'EE Measures'!$IL$8:$IL$86,'EE Measures'!$R$8:$R$86,'EE Measures'!$CQ$8:$CQ$86)</f>
        <v>3.9596727792718313E-2</v>
      </c>
      <c r="M443" s="593">
        <f>SUMPRODUCT('EE Measures'!CF$8:CF$86,'EE Measures'!$IL$8:$IL$86,'EE Measures'!$R$8:$R$86,'EE Measures'!$CQ$8:$CQ$86)</f>
        <v>1.1458274799082089</v>
      </c>
      <c r="N443" s="593">
        <f>SUMPRODUCT('EE Measures'!CG$8:CG$86,'EE Measures'!$IL$8:$IL$86,'EE Measures'!$R$8:$R$86,'EE Measures'!$CQ$8:$CQ$86)</f>
        <v>1.1458274799082089</v>
      </c>
      <c r="O443" s="593">
        <f>SUMPRODUCT('EE Measures'!CH$8:CH$86,'EE Measures'!$IL$8:$IL$86,'EE Measures'!$R$8:$R$86,'EE Measures'!$CQ$8:$CQ$86)</f>
        <v>1.1458274799082089</v>
      </c>
      <c r="P443" s="593">
        <f>SUMPRODUCT('EE Measures'!CI$8:CI$86,'EE Measures'!$IL$8:$IL$86,'EE Measures'!$R$8:$R$86,'EE Measures'!$CQ$8:$CQ$86)</f>
        <v>1.1458274799082089</v>
      </c>
      <c r="Q443" s="593">
        <f>SUMPRODUCT('EE Measures'!CJ$8:CJ$86,'EE Measures'!$IL$8:$IL$86,'EE Measures'!$R$8:$R$86,'EE Measures'!$CQ$8:$CQ$86)</f>
        <v>3.9596727792718313E-2</v>
      </c>
      <c r="R443" s="593">
        <f>SUMPRODUCT('EE Measures'!CK$8:CK$86,'EE Measures'!$IL$8:$IL$86,'EE Measures'!$R$8:$R$86,'EE Measures'!$CQ$8:$CQ$86)</f>
        <v>3.9596727792718313E-2</v>
      </c>
      <c r="S443" s="593">
        <f>SUMPRODUCT('EE Measures'!CL$8:CL$86,'EE Measures'!$IL$8:$IL$86,'EE Measures'!$R$8:$R$86,'EE Measures'!$CQ$8:$CQ$86)</f>
        <v>3.9596727792718313E-2</v>
      </c>
      <c r="T443" s="593">
        <f>SUMPRODUCT('EE Measures'!CM$8:CM$86,'EE Measures'!$IL$8:$IL$86,'EE Measures'!$R$8:$R$86,'EE Measures'!$CQ$8:$CQ$86)</f>
        <v>3.9596727792718313E-2</v>
      </c>
      <c r="U443" s="593">
        <f>SUMPRODUCT('EE Measures'!CN$8:CN$86,'EE Measures'!$IL$8:$IL$86,'EE Measures'!$R$8:$R$86,'EE Measures'!$CQ$8:$CQ$86)</f>
        <v>3.9596727792718313E-2</v>
      </c>
      <c r="W443" s="563" t="str">
        <v>Kesk-Eesti</v>
      </c>
      <c r="X443" s="592">
        <f t="shared" si="1561"/>
        <v>459.57422392052376</v>
      </c>
      <c r="Y443" s="593">
        <f>SUMPRODUCT('EE Measures'!BZ$8:BZ$86,'EE Measures'!$IL$8:$IL$86,'EE Measures'!$AC$8:$AC$86,'EE Measures'!$CQ$8:$CQ$86)</f>
        <v>27.358986488699305</v>
      </c>
      <c r="Z443" s="593">
        <f>SUMPRODUCT('EE Measures'!CA$8:CA$86,'EE Measures'!$IL$8:$IL$86,'EE Measures'!$AC$8:$AC$86,'EE Measures'!$CQ$8:$CQ$86)</f>
        <v>11.716751791777957</v>
      </c>
      <c r="AA443" s="593">
        <f>SUMPRODUCT('EE Measures'!CB$8:CB$86,'EE Measures'!$IL$8:$IL$86,'EE Measures'!$AC$8:$AC$86,'EE Measures'!$CQ$8:$CQ$86)</f>
        <v>9.9481555303721763</v>
      </c>
      <c r="AB443" s="593">
        <f>SUMPRODUCT('EE Measures'!CC$8:CC$86,'EE Measures'!$IL$8:$IL$86,'EE Measures'!$AC$8:$AC$86,'EE Measures'!$CQ$8:$CQ$86)</f>
        <v>3.3124131852504495</v>
      </c>
      <c r="AC443" s="593">
        <f>SUMPRODUCT('EE Measures'!CD$8:CD$86,'EE Measures'!$IL$8:$IL$86,'EE Measures'!$AC$8:$AC$86,'EE Measures'!$CQ$8:$CQ$86)</f>
        <v>67.663125812475585</v>
      </c>
      <c r="AD443" s="593">
        <f>SUMPRODUCT('EE Measures'!CE$8:CE$86,'EE Measures'!$IL$8:$IL$86,'EE Measures'!$AC$8:$AC$86,'EE Measures'!$CQ$8:$CQ$86)</f>
        <v>67.054499221411106</v>
      </c>
      <c r="AE443" s="593">
        <f>SUMPRODUCT('EE Measures'!CF$8:CF$86,'EE Measures'!$IL$8:$IL$86,'EE Measures'!$AC$8:$AC$86,'EE Measures'!$CQ$8:$CQ$86)</f>
        <v>69.492699999313118</v>
      </c>
      <c r="AF443" s="593">
        <f>SUMPRODUCT('EE Measures'!CG$8:CG$86,'EE Measures'!$IL$8:$IL$86,'EE Measures'!$AC$8:$AC$86,'EE Measures'!$CQ$8:$CQ$86)</f>
        <v>66.595726301146826</v>
      </c>
      <c r="AG443" s="593">
        <f>SUMPRODUCT('EE Measures'!CH$8:CH$86,'EE Measures'!$IL$8:$IL$86,'EE Measures'!$AC$8:$AC$86,'EE Measures'!$CQ$8:$CQ$86)</f>
        <v>67.978683453954474</v>
      </c>
      <c r="AH443" s="593">
        <f>SUMPRODUCT('EE Measures'!CI$8:CI$86,'EE Measures'!$IL$8:$IL$86,'EE Measures'!$AC$8:$AC$86,'EE Measures'!$CQ$8:$CQ$86)</f>
        <v>68.453182136122734</v>
      </c>
      <c r="AI443" s="593">
        <f>SUMPRODUCT('EE Measures'!CJ$8:CJ$86,'EE Measures'!$IL$8:$IL$86,'EE Measures'!$AC$8:$AC$86,'EE Measures'!$CQ$8:$CQ$86)</f>
        <v>68.585683062771224</v>
      </c>
      <c r="AJ443" s="593">
        <f>SUMPRODUCT('EE Measures'!CK$8:CK$86,'EE Measures'!$IL$8:$IL$86,'EE Measures'!$AC$8:$AC$86,'EE Measures'!$CQ$8:$CQ$86)</f>
        <v>69.908001782230087</v>
      </c>
      <c r="AK443" s="593">
        <f>SUMPRODUCT('EE Measures'!CL$8:CL$86,'EE Measures'!$IL$8:$IL$86,'EE Measures'!$AC$8:$AC$86,'EE Measures'!$CQ$8:$CQ$86)</f>
        <v>71.256766876078117</v>
      </c>
      <c r="AL443" s="593">
        <f>SUMPRODUCT('EE Measures'!CM$8:CM$86,'EE Measures'!$IL$8:$IL$86,'EE Measures'!$AC$8:$AC$86,'EE Measures'!$CQ$8:$CQ$86)</f>
        <v>72.632507271803121</v>
      </c>
      <c r="AM443" s="593">
        <f>SUMPRODUCT('EE Measures'!CN$8:CN$86,'EE Measures'!$IL$8:$IL$86,'EE Measures'!$AC$8:$AC$86,'EE Measures'!$CQ$8:$CQ$86)</f>
        <v>74.035762475442624</v>
      </c>
      <c r="AN443" s="865">
        <f>X443/X438</f>
        <v>7.9946681582680285E-2</v>
      </c>
    </row>
    <row r="444" spans="3:40" hidden="1" outlineLevel="1" x14ac:dyDescent="0.3"/>
    <row r="445" spans="3:40" ht="15" hidden="1" outlineLevel="1" x14ac:dyDescent="0.3">
      <c r="C445" s="5" t="s">
        <v>428</v>
      </c>
      <c r="D445" s="5"/>
      <c r="E445" s="5"/>
      <c r="F445" s="5"/>
      <c r="G445" s="5"/>
      <c r="H445" s="5"/>
      <c r="I445" s="5"/>
      <c r="J445" s="5"/>
      <c r="K445" s="5"/>
      <c r="L445" s="5"/>
      <c r="M445" s="5"/>
      <c r="N445" s="5"/>
      <c r="O445" s="5"/>
      <c r="P445" s="5"/>
      <c r="Q445" s="5"/>
      <c r="R445" s="5"/>
      <c r="S445" s="5"/>
      <c r="T445" s="5"/>
      <c r="U445" s="5"/>
      <c r="W445" s="5" t="str">
        <f>C445&amp;" per region"</f>
        <v>Private sector investment costs (MEUR) (incl. tax) per region</v>
      </c>
      <c r="X445" s="5"/>
      <c r="Y445" s="5"/>
      <c r="Z445" s="5"/>
      <c r="AA445" s="5"/>
      <c r="AB445" s="5"/>
      <c r="AC445" s="5"/>
      <c r="AD445" s="5"/>
      <c r="AE445" s="5"/>
      <c r="AF445" s="5"/>
      <c r="AG445" s="5"/>
      <c r="AH445" s="5"/>
      <c r="AI445" s="5"/>
      <c r="AJ445" s="5"/>
      <c r="AK445" s="5"/>
      <c r="AL445" s="5"/>
      <c r="AM445" s="5"/>
      <c r="AN445" s="5"/>
    </row>
    <row r="446" spans="3:40" hidden="1" outlineLevel="1" x14ac:dyDescent="0.3">
      <c r="W446" s="587"/>
      <c r="AA446" s="587"/>
      <c r="AD446" s="587"/>
      <c r="AG446" s="587"/>
    </row>
    <row r="447" spans="3:40" ht="27" hidden="1" outlineLevel="1" x14ac:dyDescent="0.3">
      <c r="E447" s="625"/>
      <c r="F447" s="625" t="s">
        <v>386</v>
      </c>
      <c r="G447" s="625">
        <v>2021</v>
      </c>
      <c r="H447" s="625">
        <v>2022</v>
      </c>
      <c r="I447" s="625">
        <v>2023</v>
      </c>
      <c r="J447" s="625">
        <v>2024</v>
      </c>
      <c r="K447" s="625">
        <v>2025</v>
      </c>
      <c r="L447" s="625">
        <v>2026</v>
      </c>
      <c r="M447" s="625">
        <v>2027</v>
      </c>
      <c r="N447" s="625">
        <v>2028</v>
      </c>
      <c r="O447" s="625">
        <v>2029</v>
      </c>
      <c r="P447" s="625">
        <v>2030</v>
      </c>
      <c r="Q447" s="625">
        <v>2031</v>
      </c>
      <c r="R447" s="625">
        <v>2032</v>
      </c>
      <c r="S447" s="625">
        <v>2033</v>
      </c>
      <c r="T447" s="625">
        <v>2034</v>
      </c>
      <c r="U447" s="625">
        <v>2035</v>
      </c>
      <c r="W447" s="625"/>
      <c r="X447" s="625" t="s">
        <v>386</v>
      </c>
      <c r="Y447" s="625">
        <v>2021</v>
      </c>
      <c r="Z447" s="625">
        <v>2022</v>
      </c>
      <c r="AA447" s="625">
        <v>2023</v>
      </c>
      <c r="AB447" s="625">
        <v>2024</v>
      </c>
      <c r="AC447" s="625">
        <v>2025</v>
      </c>
      <c r="AD447" s="625">
        <v>2026</v>
      </c>
      <c r="AE447" s="625">
        <v>2027</v>
      </c>
      <c r="AF447" s="625">
        <v>2028</v>
      </c>
      <c r="AG447" s="625">
        <v>2029</v>
      </c>
      <c r="AH447" s="625">
        <v>2030</v>
      </c>
      <c r="AI447" s="625">
        <v>2031</v>
      </c>
      <c r="AJ447" s="625">
        <v>2032</v>
      </c>
      <c r="AK447" s="625">
        <v>2033</v>
      </c>
      <c r="AL447" s="625">
        <v>2034</v>
      </c>
      <c r="AM447" s="625">
        <v>2035</v>
      </c>
    </row>
    <row r="448" spans="3:40" hidden="1" outlineLevel="1" x14ac:dyDescent="0.3">
      <c r="C448" s="587" t="str">
        <f>E448</f>
        <v>Baseline</v>
      </c>
      <c r="E448" s="555" t="str">
        <f>'EE Measures'!$IF$6</f>
        <v>Baseline</v>
      </c>
      <c r="F448" s="590">
        <f>SUM(G448:P448)</f>
        <v>1257.1284993295512</v>
      </c>
      <c r="G448" s="591">
        <f t="shared" ref="G448" si="1562">SUM(G449:G453)</f>
        <v>60.089193791455799</v>
      </c>
      <c r="H448" s="591">
        <f t="shared" ref="H448:P448" si="1563">SUM(H449:H453)</f>
        <v>48.157956345902384</v>
      </c>
      <c r="I448" s="591">
        <f t="shared" si="1563"/>
        <v>60.727599455825782</v>
      </c>
      <c r="J448" s="591">
        <f t="shared" si="1563"/>
        <v>94.800853388480633</v>
      </c>
      <c r="K448" s="591">
        <f t="shared" si="1563"/>
        <v>161.27798941341348</v>
      </c>
      <c r="L448" s="591">
        <f t="shared" si="1563"/>
        <v>167.14907476374995</v>
      </c>
      <c r="M448" s="591">
        <f t="shared" si="1563"/>
        <v>170.19903773585611</v>
      </c>
      <c r="N448" s="591">
        <f t="shared" si="1563"/>
        <v>158.21960872031465</v>
      </c>
      <c r="O448" s="591">
        <f t="shared" si="1563"/>
        <v>164.82670904937859</v>
      </c>
      <c r="P448" s="591">
        <f t="shared" si="1563"/>
        <v>171.68047666517384</v>
      </c>
      <c r="Q448" s="591">
        <f t="shared" ref="Q448:U448" si="1564">SUM(Q449:Q453)</f>
        <v>178.78999724266123</v>
      </c>
      <c r="R448" s="591">
        <f t="shared" si="1564"/>
        <v>186.16472860342822</v>
      </c>
      <c r="S448" s="591">
        <f t="shared" si="1564"/>
        <v>193.81451601662337</v>
      </c>
      <c r="T448" s="591">
        <f t="shared" si="1564"/>
        <v>201.74960815643661</v>
      </c>
      <c r="U448" s="591">
        <f t="shared" si="1564"/>
        <v>209.9806737446585</v>
      </c>
      <c r="W448" s="555" t="str">
        <f>'EE Measures'!$IF$6</f>
        <v>Baseline</v>
      </c>
      <c r="X448" s="590">
        <f>SUM(Y448:AH448)</f>
        <v>1257.128499329551</v>
      </c>
      <c r="Y448" s="591">
        <f t="shared" ref="Y448:Z448" si="1565">SUM(Y449:Y453)</f>
        <v>60.089193791455855</v>
      </c>
      <c r="Z448" s="591">
        <f t="shared" si="1565"/>
        <v>48.157956345902384</v>
      </c>
      <c r="AA448" s="591">
        <f t="shared" ref="AA448" si="1566">SUM(AA449:AA453)</f>
        <v>60.727599455825789</v>
      </c>
      <c r="AB448" s="591">
        <f t="shared" ref="AB448" si="1567">SUM(AB449:AB453)</f>
        <v>94.800853388480633</v>
      </c>
      <c r="AC448" s="591">
        <f t="shared" ref="AC448" si="1568">SUM(AC449:AC453)</f>
        <v>161.27798941341345</v>
      </c>
      <c r="AD448" s="591">
        <f t="shared" ref="AD448" si="1569">SUM(AD449:AD453)</f>
        <v>167.14907476374995</v>
      </c>
      <c r="AE448" s="591">
        <f t="shared" ref="AE448" si="1570">SUM(AE449:AE453)</f>
        <v>170.19903773585608</v>
      </c>
      <c r="AF448" s="591">
        <f t="shared" ref="AF448" si="1571">SUM(AF449:AF453)</f>
        <v>158.21960872031462</v>
      </c>
      <c r="AG448" s="591">
        <f t="shared" ref="AG448" si="1572">SUM(AG449:AG453)</f>
        <v>164.82670904937856</v>
      </c>
      <c r="AH448" s="591">
        <f t="shared" ref="AH448:AM448" si="1573">SUM(AH449:AH453)</f>
        <v>171.68047666517381</v>
      </c>
      <c r="AI448" s="591">
        <f t="shared" si="1573"/>
        <v>178.7899972426612</v>
      </c>
      <c r="AJ448" s="591">
        <f t="shared" si="1573"/>
        <v>186.16472860342824</v>
      </c>
      <c r="AK448" s="591">
        <f t="shared" si="1573"/>
        <v>193.81451601662337</v>
      </c>
      <c r="AL448" s="591">
        <f t="shared" si="1573"/>
        <v>201.74960815643661</v>
      </c>
      <c r="AM448" s="591">
        <f t="shared" si="1573"/>
        <v>209.9806737446585</v>
      </c>
    </row>
    <row r="449" spans="3:40" hidden="1" outlineLevel="1" x14ac:dyDescent="0.3">
      <c r="C449" s="587" t="str">
        <f>C448</f>
        <v>Baseline</v>
      </c>
      <c r="E449" s="563" t="s">
        <v>50</v>
      </c>
      <c r="F449" s="592">
        <f>SUM(G449:P449)</f>
        <v>233.27233099296609</v>
      </c>
      <c r="G449" s="593">
        <f t="shared" ref="G449" si="1574">G357-G403</f>
        <v>25.996990907529344</v>
      </c>
      <c r="H449" s="593">
        <f t="shared" ref="H449:P449" si="1575">H357-H403</f>
        <v>2.0937895138711031</v>
      </c>
      <c r="I449" s="593">
        <f t="shared" si="1575"/>
        <v>1.1184022038167802</v>
      </c>
      <c r="J449" s="593">
        <f t="shared" si="1575"/>
        <v>13.175206336046037</v>
      </c>
      <c r="K449" s="593">
        <f t="shared" si="1575"/>
        <v>41.086641120885673</v>
      </c>
      <c r="L449" s="593">
        <f t="shared" si="1575"/>
        <v>41.824423831684044</v>
      </c>
      <c r="M449" s="593">
        <f t="shared" si="1575"/>
        <v>39.531581237732865</v>
      </c>
      <c r="N449" s="593">
        <f t="shared" si="1575"/>
        <v>21.97880980078445</v>
      </c>
      <c r="O449" s="593">
        <f t="shared" si="1575"/>
        <v>22.804704351481526</v>
      </c>
      <c r="P449" s="593">
        <f t="shared" si="1575"/>
        <v>23.661781689134258</v>
      </c>
      <c r="Q449" s="593">
        <f t="shared" ref="Q449:U449" si="1576">Q357-Q403</f>
        <v>24.551192439741197</v>
      </c>
      <c r="R449" s="593">
        <f t="shared" si="1576"/>
        <v>25.474132513395791</v>
      </c>
      <c r="S449" s="593">
        <f t="shared" si="1576"/>
        <v>26.431844889146486</v>
      </c>
      <c r="T449" s="593">
        <f t="shared" si="1576"/>
        <v>27.425621472245627</v>
      </c>
      <c r="U449" s="593">
        <f t="shared" si="1576"/>
        <v>28.456805026759017</v>
      </c>
      <c r="W449" s="563" t="str" cm="1">
        <f t="array" ref="W449:W453">_xlfn.ANCHORARRAY($W$357)</f>
        <v xml:space="preserve">Põhja-Eesti </v>
      </c>
      <c r="X449" s="592">
        <f>SUM(Y449:AH449)</f>
        <v>579.58871396293875</v>
      </c>
      <c r="Y449" s="593">
        <f>Y357-Y403</f>
        <v>28.151086094538925</v>
      </c>
      <c r="Z449" s="593">
        <f>Z357-Z403</f>
        <v>18.894247870952483</v>
      </c>
      <c r="AA449" s="593">
        <f t="shared" ref="AA449:AH449" si="1577">AA357-AA403</f>
        <v>19.476156768299671</v>
      </c>
      <c r="AB449" s="593">
        <f t="shared" si="1577"/>
        <v>44.411111730225031</v>
      </c>
      <c r="AC449" s="593">
        <f t="shared" si="1577"/>
        <v>76.451203718220768</v>
      </c>
      <c r="AD449" s="593">
        <f t="shared" si="1577"/>
        <v>79.248885218014536</v>
      </c>
      <c r="AE449" s="593">
        <f t="shared" si="1577"/>
        <v>80.597977943801865</v>
      </c>
      <c r="AF449" s="593">
        <f t="shared" si="1577"/>
        <v>74.265189671023435</v>
      </c>
      <c r="AG449" s="593">
        <f t="shared" si="1577"/>
        <v>77.413278379990913</v>
      </c>
      <c r="AH449" s="593">
        <f t="shared" si="1577"/>
        <v>80.679576567871109</v>
      </c>
      <c r="AI449" s="593">
        <f t="shared" ref="AI449:AM449" si="1578">AI357-AI403</f>
        <v>84.068454473966199</v>
      </c>
      <c r="AJ449" s="593">
        <f t="shared" si="1578"/>
        <v>87.584460740996192</v>
      </c>
      <c r="AK449" s="593">
        <f t="shared" si="1578"/>
        <v>91.232329726041755</v>
      </c>
      <c r="AL449" s="593">
        <f t="shared" si="1578"/>
        <v>95.01698912361725</v>
      </c>
      <c r="AM449" s="593">
        <f t="shared" si="1578"/>
        <v>98.943567914374555</v>
      </c>
      <c r="AN449" s="865">
        <f>X449/X448</f>
        <v>0.46104174256811753</v>
      </c>
    </row>
    <row r="450" spans="3:40" hidden="1" outlineLevel="1" x14ac:dyDescent="0.3">
      <c r="C450" s="587" t="str">
        <f t="shared" ref="C450:C453" si="1579">C449</f>
        <v>Baseline</v>
      </c>
      <c r="E450" s="563" t="s">
        <v>51</v>
      </c>
      <c r="F450" s="592">
        <f t="shared" ref="F450:F453" si="1580">SUM(G450:P450)</f>
        <v>360.92930980677647</v>
      </c>
      <c r="G450" s="593">
        <f t="shared" ref="G450:H453" si="1581">G358-G404</f>
        <v>31.20786898217349</v>
      </c>
      <c r="H450" s="593">
        <f t="shared" si="1581"/>
        <v>42.05218507619773</v>
      </c>
      <c r="I450" s="593">
        <f t="shared" ref="I450:P450" si="1582">I358-I404</f>
        <v>55.098572981298844</v>
      </c>
      <c r="J450" s="593">
        <f t="shared" si="1582"/>
        <v>18.783532895098695</v>
      </c>
      <c r="K450" s="593">
        <f t="shared" si="1582"/>
        <v>27.24327634440608</v>
      </c>
      <c r="L450" s="593">
        <f t="shared" si="1582"/>
        <v>30.429543977006798</v>
      </c>
      <c r="M450" s="593">
        <f t="shared" si="1582"/>
        <v>33.743634352025154</v>
      </c>
      <c r="N450" s="593">
        <f t="shared" si="1582"/>
        <v>37.18076972249829</v>
      </c>
      <c r="O450" s="593">
        <f t="shared" si="1582"/>
        <v>40.745869682902367</v>
      </c>
      <c r="P450" s="593">
        <f t="shared" si="1582"/>
        <v>44.444055793169071</v>
      </c>
      <c r="Q450" s="593">
        <f t="shared" ref="Q450:U450" si="1583">Q358-Q404</f>
        <v>48.280660129361202</v>
      </c>
      <c r="R450" s="593">
        <f t="shared" si="1583"/>
        <v>52.261234205805422</v>
      </c>
      <c r="S450" s="593">
        <f t="shared" si="1583"/>
        <v>56.391558285127608</v>
      </c>
      <c r="T450" s="593">
        <f t="shared" si="1583"/>
        <v>60.677651093374145</v>
      </c>
      <c r="U450" s="593">
        <f t="shared" si="1583"/>
        <v>65.125779958176352</v>
      </c>
      <c r="W450" s="563" t="str">
        <v>Lääne-Eesti</v>
      </c>
      <c r="X450" s="592">
        <f t="shared" ref="X450:X453" si="1584">SUM(Y450:AH450)</f>
        <v>132.73332359832162</v>
      </c>
      <c r="Y450" s="593">
        <f t="shared" ref="Y450" si="1585">Y358-Y404</f>
        <v>5.7034864785215955</v>
      </c>
      <c r="Z450" s="593">
        <f t="shared" ref="Z450:AH450" si="1586">Z358-Z404</f>
        <v>5.9355985447359618</v>
      </c>
      <c r="AA450" s="593">
        <f t="shared" si="1586"/>
        <v>9.2618283582758743</v>
      </c>
      <c r="AB450" s="593">
        <f t="shared" si="1586"/>
        <v>9.8928150840275411</v>
      </c>
      <c r="AC450" s="593">
        <f t="shared" si="1586"/>
        <v>16.375782288636969</v>
      </c>
      <c r="AD450" s="593">
        <f t="shared" si="1586"/>
        <v>16.961404801649262</v>
      </c>
      <c r="AE450" s="593">
        <f t="shared" si="1586"/>
        <v>17.316697146926511</v>
      </c>
      <c r="AF450" s="593">
        <f t="shared" si="1586"/>
        <v>16.427787266755157</v>
      </c>
      <c r="AG450" s="593">
        <f t="shared" si="1586"/>
        <v>17.087105107620729</v>
      </c>
      <c r="AH450" s="593">
        <f t="shared" si="1586"/>
        <v>17.770818521172007</v>
      </c>
      <c r="AI450" s="593">
        <f t="shared" ref="AI450:AM450" si="1587">AI358-AI404</f>
        <v>18.479818202631762</v>
      </c>
      <c r="AJ450" s="593">
        <f t="shared" si="1587"/>
        <v>19.215031533648371</v>
      </c>
      <c r="AK450" s="593">
        <f t="shared" si="1587"/>
        <v>19.977424097336556</v>
      </c>
      <c r="AL450" s="593">
        <f t="shared" si="1587"/>
        <v>20.768001258835969</v>
      </c>
      <c r="AM450" s="593">
        <f t="shared" si="1587"/>
        <v>21.587809814254761</v>
      </c>
      <c r="AN450" s="865">
        <f>X450/X448</f>
        <v>0.10558453146922583</v>
      </c>
    </row>
    <row r="451" spans="3:40" hidden="1" outlineLevel="1" x14ac:dyDescent="0.3">
      <c r="C451" s="587" t="str">
        <f>C450</f>
        <v>Baseline</v>
      </c>
      <c r="E451" s="563" t="s">
        <v>52</v>
      </c>
      <c r="F451" s="592">
        <f t="shared" si="1580"/>
        <v>141.07912303208295</v>
      </c>
      <c r="G451" s="593">
        <f t="shared" si="1581"/>
        <v>0.93616114266123418</v>
      </c>
      <c r="H451" s="593">
        <f t="shared" si="1581"/>
        <v>2.0202885907473984</v>
      </c>
      <c r="I451" s="593">
        <f t="shared" ref="I451:P453" si="1588">I359-I405</f>
        <v>2.4729295200238468</v>
      </c>
      <c r="J451" s="593">
        <f t="shared" si="1588"/>
        <v>11.616087281569264</v>
      </c>
      <c r="K451" s="593">
        <f t="shared" si="1588"/>
        <v>16.966664284375536</v>
      </c>
      <c r="L451" s="593">
        <f t="shared" si="1588"/>
        <v>18.37327482901982</v>
      </c>
      <c r="M451" s="593">
        <f t="shared" si="1588"/>
        <v>19.835801756603487</v>
      </c>
      <c r="N451" s="593">
        <f t="shared" si="1588"/>
        <v>21.35474315399027</v>
      </c>
      <c r="O451" s="593">
        <f t="shared" si="1588"/>
        <v>22.932321882941167</v>
      </c>
      <c r="P451" s="593">
        <f t="shared" si="1588"/>
        <v>24.570850590150926</v>
      </c>
      <c r="Q451" s="593">
        <f t="shared" ref="Q451:U451" si="1589">Q359-Q405</f>
        <v>26.272735405487115</v>
      </c>
      <c r="R451" s="593">
        <f t="shared" si="1589"/>
        <v>28.040479796304972</v>
      </c>
      <c r="S451" s="593">
        <f t="shared" si="1589"/>
        <v>29.87668858454472</v>
      </c>
      <c r="T451" s="593">
        <f t="shared" si="1589"/>
        <v>31.784072133611538</v>
      </c>
      <c r="U451" s="593">
        <f t="shared" si="1589"/>
        <v>33.765450712344951</v>
      </c>
      <c r="W451" s="563" t="str">
        <v>Kirde-Eesti</v>
      </c>
      <c r="X451" s="592">
        <f t="shared" si="1584"/>
        <v>118.33820594813183</v>
      </c>
      <c r="Y451" s="593">
        <f t="shared" ref="Y451" si="1590">Y359-Y405</f>
        <v>7.9236306662532048</v>
      </c>
      <c r="Z451" s="593">
        <f t="shared" ref="Z451:AH451" si="1591">Z359-Z405</f>
        <v>5.3109546708903617</v>
      </c>
      <c r="AA451" s="593">
        <f t="shared" si="1591"/>
        <v>4.8465004362872612</v>
      </c>
      <c r="AB451" s="593">
        <f t="shared" si="1591"/>
        <v>8.574040799268813</v>
      </c>
      <c r="AC451" s="593">
        <f t="shared" si="1591"/>
        <v>15.372419701976799</v>
      </c>
      <c r="AD451" s="593">
        <f t="shared" si="1591"/>
        <v>15.875004457357331</v>
      </c>
      <c r="AE451" s="593">
        <f t="shared" si="1591"/>
        <v>16.011059778693898</v>
      </c>
      <c r="AF451" s="593">
        <f t="shared" si="1591"/>
        <v>14.235630822030753</v>
      </c>
      <c r="AG451" s="593">
        <f t="shared" si="1591"/>
        <v>14.80121073675544</v>
      </c>
      <c r="AH451" s="593">
        <f t="shared" si="1591"/>
        <v>15.38775387861797</v>
      </c>
      <c r="AI451" s="593">
        <f t="shared" ref="AI451:AM451" si="1592">AI359-AI405</f>
        <v>15.996025781622492</v>
      </c>
      <c r="AJ451" s="593">
        <f t="shared" si="1592"/>
        <v>16.626823386813061</v>
      </c>
      <c r="AK451" s="593">
        <f t="shared" si="1592"/>
        <v>17.280976333959657</v>
      </c>
      <c r="AL451" s="593">
        <f t="shared" si="1592"/>
        <v>17.959348308816775</v>
      </c>
      <c r="AM451" s="593">
        <f t="shared" si="1592"/>
        <v>18.662838448374547</v>
      </c>
      <c r="AN451" s="865">
        <f>X451/X448</f>
        <v>9.4133738922666771E-2</v>
      </c>
    </row>
    <row r="452" spans="3:40" hidden="1" outlineLevel="1" x14ac:dyDescent="0.3">
      <c r="C452" s="587" t="str">
        <f t="shared" si="1579"/>
        <v>Baseline</v>
      </c>
      <c r="E452" s="563" t="s">
        <v>53</v>
      </c>
      <c r="F452" s="592">
        <f t="shared" si="1580"/>
        <v>476.2211383208471</v>
      </c>
      <c r="G452" s="593">
        <f t="shared" si="1581"/>
        <v>1.7895241155028829</v>
      </c>
      <c r="H452" s="593">
        <f t="shared" si="1581"/>
        <v>1.8091214454607574</v>
      </c>
      <c r="I452" s="593">
        <f t="shared" si="1588"/>
        <v>1.8298992465136372</v>
      </c>
      <c r="J452" s="593">
        <f t="shared" si="1588"/>
        <v>46.796782608639255</v>
      </c>
      <c r="K452" s="593">
        <f t="shared" si="1588"/>
        <v>69.407858032970807</v>
      </c>
      <c r="L452" s="593">
        <f t="shared" si="1588"/>
        <v>69.872978613659228</v>
      </c>
      <c r="M452" s="593">
        <f t="shared" si="1588"/>
        <v>70.360576831468222</v>
      </c>
      <c r="N452" s="593">
        <f t="shared" si="1588"/>
        <v>70.89388503838677</v>
      </c>
      <c r="O452" s="593">
        <f t="shared" si="1588"/>
        <v>71.445368245537253</v>
      </c>
      <c r="P452" s="593">
        <f t="shared" si="1588"/>
        <v>72.015144142708323</v>
      </c>
      <c r="Q452" s="593">
        <f t="shared" ref="Q452:U452" si="1593">Q360-Q406</f>
        <v>72.603337401321909</v>
      </c>
      <c r="R452" s="593">
        <f t="shared" si="1593"/>
        <v>73.210079755370458</v>
      </c>
      <c r="S452" s="593">
        <f t="shared" si="1593"/>
        <v>73.83551008723451</v>
      </c>
      <c r="T452" s="593">
        <f t="shared" si="1593"/>
        <v>74.47977451850376</v>
      </c>
      <c r="U452" s="593">
        <f t="shared" si="1593"/>
        <v>75.143026505929612</v>
      </c>
      <c r="W452" s="563" t="str">
        <v>Lõuna-Eesti </v>
      </c>
      <c r="X452" s="592">
        <f t="shared" si="1584"/>
        <v>299.86149748451697</v>
      </c>
      <c r="Y452" s="593">
        <f t="shared" ref="Y452" si="1594">Y360-Y406</f>
        <v>12.729966497461714</v>
      </c>
      <c r="Z452" s="593">
        <f t="shared" ref="Z452:AH452" si="1595">Z360-Z406</f>
        <v>12.461943024754849</v>
      </c>
      <c r="AA452" s="593">
        <f t="shared" si="1595"/>
        <v>18.652101037253587</v>
      </c>
      <c r="AB452" s="593">
        <f t="shared" si="1595"/>
        <v>22.5337683534595</v>
      </c>
      <c r="AC452" s="593">
        <f t="shared" si="1595"/>
        <v>37.399921425426754</v>
      </c>
      <c r="AD452" s="593">
        <f t="shared" si="1595"/>
        <v>38.799995387290259</v>
      </c>
      <c r="AE452" s="593">
        <f t="shared" si="1595"/>
        <v>39.661921466110769</v>
      </c>
      <c r="AF452" s="593">
        <f t="shared" si="1595"/>
        <v>37.61206458398749</v>
      </c>
      <c r="AG452" s="593">
        <f t="shared" si="1595"/>
        <v>39.187747281550315</v>
      </c>
      <c r="AH452" s="593">
        <f t="shared" si="1595"/>
        <v>40.822068427221737</v>
      </c>
      <c r="AI452" s="593">
        <f t="shared" ref="AI452:AM452" si="1596">AI360-AI406</f>
        <v>42.517186633774251</v>
      </c>
      <c r="AJ452" s="593">
        <f t="shared" si="1596"/>
        <v>44.275349156372144</v>
      </c>
      <c r="AK452" s="593">
        <f t="shared" si="1596"/>
        <v>46.098895548039579</v>
      </c>
      <c r="AL452" s="593">
        <f t="shared" si="1596"/>
        <v>47.990261472571746</v>
      </c>
      <c r="AM452" s="593">
        <f t="shared" si="1596"/>
        <v>49.951982681756121</v>
      </c>
      <c r="AN452" s="865">
        <f>X452/X448</f>
        <v>0.23852891541671234</v>
      </c>
    </row>
    <row r="453" spans="3:40" hidden="1" outlineLevel="1" x14ac:dyDescent="0.3">
      <c r="C453" s="587" t="str">
        <f t="shared" si="1579"/>
        <v>Baseline</v>
      </c>
      <c r="E453" s="563" t="s">
        <v>54</v>
      </c>
      <c r="F453" s="592">
        <f t="shared" si="1580"/>
        <v>45.626597176878477</v>
      </c>
      <c r="G453" s="593">
        <f t="shared" si="1581"/>
        <v>0.15864864358884956</v>
      </c>
      <c r="H453" s="593">
        <f t="shared" si="1581"/>
        <v>0.18257171962539315</v>
      </c>
      <c r="I453" s="593">
        <f t="shared" si="1588"/>
        <v>0.20779550417267678</v>
      </c>
      <c r="J453" s="593">
        <f t="shared" si="1588"/>
        <v>4.4292442671273768</v>
      </c>
      <c r="K453" s="593">
        <f t="shared" si="1588"/>
        <v>6.5735496307753749</v>
      </c>
      <c r="L453" s="593">
        <f t="shared" si="1588"/>
        <v>6.6488535123800512</v>
      </c>
      <c r="M453" s="593">
        <f t="shared" si="1588"/>
        <v>6.7274435580263674</v>
      </c>
      <c r="N453" s="593">
        <f t="shared" si="1588"/>
        <v>6.811401004654865</v>
      </c>
      <c r="O453" s="593">
        <f t="shared" si="1588"/>
        <v>6.8984448865162653</v>
      </c>
      <c r="P453" s="593">
        <f t="shared" si="1588"/>
        <v>6.9886444500112539</v>
      </c>
      <c r="Q453" s="593">
        <f t="shared" ref="Q453:U453" si="1597">Q361-Q407</f>
        <v>7.0820718667497982</v>
      </c>
      <c r="R453" s="593">
        <f t="shared" si="1597"/>
        <v>7.1788023325515944</v>
      </c>
      <c r="S453" s="593">
        <f t="shared" si="1597"/>
        <v>7.2789141705700393</v>
      </c>
      <c r="T453" s="593">
        <f t="shared" si="1597"/>
        <v>7.3824889387015338</v>
      </c>
      <c r="U453" s="593">
        <f t="shared" si="1597"/>
        <v>7.4896115414485607</v>
      </c>
      <c r="W453" s="563" t="str">
        <v>Kesk-Eesti</v>
      </c>
      <c r="X453" s="592">
        <f t="shared" si="1584"/>
        <v>126.606758335642</v>
      </c>
      <c r="Y453" s="593">
        <f t="shared" ref="Y453" si="1598">Y361-Y407</f>
        <v>5.5810240546804124</v>
      </c>
      <c r="Z453" s="593">
        <f t="shared" ref="Z453:AH453" si="1599">Z361-Z407</f>
        <v>5.5552122345687369</v>
      </c>
      <c r="AA453" s="593">
        <f t="shared" si="1599"/>
        <v>8.4910128557093927</v>
      </c>
      <c r="AB453" s="593">
        <f t="shared" si="1599"/>
        <v>9.3891174214997459</v>
      </c>
      <c r="AC453" s="593">
        <f t="shared" si="1599"/>
        <v>15.67866227915218</v>
      </c>
      <c r="AD453" s="593">
        <f t="shared" si="1599"/>
        <v>16.263784899438551</v>
      </c>
      <c r="AE453" s="593">
        <f t="shared" si="1599"/>
        <v>16.611381400323044</v>
      </c>
      <c r="AF453" s="593">
        <f t="shared" si="1599"/>
        <v>15.678936376517788</v>
      </c>
      <c r="AG453" s="593">
        <f t="shared" si="1599"/>
        <v>16.337367543461173</v>
      </c>
      <c r="AH453" s="593">
        <f t="shared" si="1599"/>
        <v>17.020259270290996</v>
      </c>
      <c r="AI453" s="593">
        <f t="shared" ref="AI453:AM453" si="1600">AI361-AI407</f>
        <v>17.728512150666496</v>
      </c>
      <c r="AJ453" s="593">
        <f t="shared" si="1600"/>
        <v>18.463063785598472</v>
      </c>
      <c r="AK453" s="593">
        <f t="shared" si="1600"/>
        <v>19.224890311245819</v>
      </c>
      <c r="AL453" s="593">
        <f t="shared" si="1600"/>
        <v>20.01500799259486</v>
      </c>
      <c r="AM453" s="593">
        <f t="shared" si="1600"/>
        <v>20.834474885898523</v>
      </c>
      <c r="AN453" s="865">
        <f>X453/X448</f>
        <v>0.10071107162327768</v>
      </c>
    </row>
    <row r="454" spans="3:40" hidden="1" outlineLevel="1" x14ac:dyDescent="0.3">
      <c r="C454" s="587" t="str">
        <f>E454</f>
        <v>EEO</v>
      </c>
      <c r="E454" s="555" t="str">
        <f>'EE Measures'!$IG$6</f>
        <v>EEO</v>
      </c>
      <c r="F454" s="590">
        <f>SUM(G454:P454)</f>
        <v>7154.1905420865505</v>
      </c>
      <c r="G454" s="591">
        <f>SUM(G455:G459)</f>
        <v>60.089193791455799</v>
      </c>
      <c r="H454" s="591">
        <f>SUM(H455:H459)</f>
        <v>48.157956345902384</v>
      </c>
      <c r="I454" s="591">
        <f t="shared" ref="I454:P454" si="1601">SUM(I455:I459)</f>
        <v>60.727599455825782</v>
      </c>
      <c r="J454" s="591">
        <f t="shared" si="1601"/>
        <v>127.46752005514726</v>
      </c>
      <c r="K454" s="591">
        <f t="shared" si="1601"/>
        <v>1090.8386711310366</v>
      </c>
      <c r="L454" s="591">
        <f t="shared" si="1601"/>
        <v>1114.9100047449031</v>
      </c>
      <c r="M454" s="591">
        <f t="shared" si="1601"/>
        <v>1138.1835670739833</v>
      </c>
      <c r="N454" s="591">
        <f t="shared" si="1601"/>
        <v>1145.1396763518185</v>
      </c>
      <c r="O454" s="591">
        <f t="shared" si="1601"/>
        <v>1171.0610257401268</v>
      </c>
      <c r="P454" s="591">
        <f t="shared" si="1601"/>
        <v>1197.6153273963512</v>
      </c>
      <c r="Q454" s="591">
        <f t="shared" ref="Q454:U454" si="1602">SUM(Q455:Q459)</f>
        <v>1223.1600465669028</v>
      </c>
      <c r="R454" s="591">
        <f t="shared" si="1602"/>
        <v>1251.0312135433326</v>
      </c>
      <c r="S454" s="591">
        <f t="shared" si="1602"/>
        <v>1279.5873652845032</v>
      </c>
      <c r="T454" s="591">
        <f t="shared" si="1602"/>
        <v>1308.846949038852</v>
      </c>
      <c r="U454" s="591">
        <f t="shared" si="1602"/>
        <v>1338.8289960738996</v>
      </c>
      <c r="W454" s="555" t="str">
        <f>'EE Measures'!$IG$6</f>
        <v>EEO</v>
      </c>
      <c r="X454" s="590">
        <f>SUM(Y454:AH454)</f>
        <v>7153.9031420865504</v>
      </c>
      <c r="Y454" s="591">
        <f t="shared" ref="Y454:Z454" si="1603">SUM(Y455:Y459)</f>
        <v>60.089193791455848</v>
      </c>
      <c r="Z454" s="591">
        <f t="shared" si="1603"/>
        <v>48.15795634590237</v>
      </c>
      <c r="AA454" s="591">
        <f t="shared" ref="AA454" si="1604">SUM(AA455:AA459)</f>
        <v>60.727599455825789</v>
      </c>
      <c r="AB454" s="591">
        <f t="shared" ref="AB454" si="1605">SUM(AB455:AB459)</f>
        <v>127.4675200551473</v>
      </c>
      <c r="AC454" s="591">
        <f t="shared" ref="AC454" si="1606">SUM(AC455:AC459)</f>
        <v>1090.7907711310363</v>
      </c>
      <c r="AD454" s="591">
        <f t="shared" ref="AD454" si="1607">SUM(AD455:AD459)</f>
        <v>1114.862104744903</v>
      </c>
      <c r="AE454" s="591">
        <f t="shared" ref="AE454" si="1608">SUM(AE455:AE459)</f>
        <v>1138.1356670739833</v>
      </c>
      <c r="AF454" s="591">
        <f t="shared" ref="AF454" si="1609">SUM(AF455:AF459)</f>
        <v>1145.0917763518185</v>
      </c>
      <c r="AG454" s="591">
        <f t="shared" ref="AG454" si="1610">SUM(AG455:AG459)</f>
        <v>1171.0131257401267</v>
      </c>
      <c r="AH454" s="591">
        <f t="shared" ref="AH454:AM454" si="1611">SUM(AH455:AH459)</f>
        <v>1197.5674273963509</v>
      </c>
      <c r="AI454" s="591">
        <f t="shared" si="1611"/>
        <v>1223.1121465669028</v>
      </c>
      <c r="AJ454" s="591">
        <f t="shared" si="1611"/>
        <v>1250.9833135433323</v>
      </c>
      <c r="AK454" s="591">
        <f t="shared" si="1611"/>
        <v>1279.5394652845034</v>
      </c>
      <c r="AL454" s="591">
        <f t="shared" si="1611"/>
        <v>1308.799049038852</v>
      </c>
      <c r="AM454" s="591">
        <f t="shared" si="1611"/>
        <v>1338.7810960738998</v>
      </c>
    </row>
    <row r="455" spans="3:40" hidden="1" outlineLevel="1" x14ac:dyDescent="0.3">
      <c r="C455" s="587" t="str">
        <f>C454</f>
        <v>EEO</v>
      </c>
      <c r="E455" s="563" t="s">
        <v>50</v>
      </c>
      <c r="F455" s="592">
        <f>SUM(G455:P455)</f>
        <v>304.9898089063397</v>
      </c>
      <c r="G455" s="593">
        <f t="shared" ref="G455" si="1612">G363-G409</f>
        <v>25.996990907529344</v>
      </c>
      <c r="H455" s="593">
        <f t="shared" ref="H455:P455" si="1613">H363-H409</f>
        <v>2.0937895138711031</v>
      </c>
      <c r="I455" s="593">
        <f t="shared" si="1613"/>
        <v>1.1184022038167802</v>
      </c>
      <c r="J455" s="593">
        <f t="shared" si="1613"/>
        <v>45.841873002712703</v>
      </c>
      <c r="K455" s="593">
        <f t="shared" si="1613"/>
        <v>47.595109662003495</v>
      </c>
      <c r="L455" s="593">
        <f t="shared" si="1613"/>
        <v>48.332892372801879</v>
      </c>
      <c r="M455" s="593">
        <f t="shared" si="1613"/>
        <v>46.040049778850694</v>
      </c>
      <c r="N455" s="593">
        <f t="shared" si="1613"/>
        <v>28.487278341902282</v>
      </c>
      <c r="O455" s="593">
        <f t="shared" si="1613"/>
        <v>29.313172892599354</v>
      </c>
      <c r="P455" s="593">
        <f t="shared" si="1613"/>
        <v>30.170250230252094</v>
      </c>
      <c r="Q455" s="593">
        <f t="shared" ref="Q455:U455" si="1614">Q363-Q409</f>
        <v>31.059660980859029</v>
      </c>
      <c r="R455" s="593">
        <f t="shared" si="1614"/>
        <v>31.982601054513623</v>
      </c>
      <c r="S455" s="593">
        <f t="shared" si="1614"/>
        <v>32.940313430264318</v>
      </c>
      <c r="T455" s="593">
        <f t="shared" si="1614"/>
        <v>33.934090013363459</v>
      </c>
      <c r="U455" s="593">
        <f t="shared" si="1614"/>
        <v>34.965273567876849</v>
      </c>
      <c r="W455" s="563" t="str" cm="1">
        <f t="array" ref="W455:W459">_xlfn.ANCHORARRAY($W$357)</f>
        <v xml:space="preserve">Põhja-Eesti </v>
      </c>
      <c r="X455" s="592">
        <f>SUM(Y455:AH455)</f>
        <v>2559.1579570505355</v>
      </c>
      <c r="Y455" s="593">
        <f>Y363-Y409</f>
        <v>28.151086094538925</v>
      </c>
      <c r="Z455" s="593">
        <f>Z363-Z409</f>
        <v>18.894247870952469</v>
      </c>
      <c r="AA455" s="593">
        <f t="shared" ref="AA455:AH455" si="1615">AA363-AA409</f>
        <v>19.476156768299667</v>
      </c>
      <c r="AB455" s="593">
        <f t="shared" si="1615"/>
        <v>61.087286655962259</v>
      </c>
      <c r="AC455" s="593">
        <f t="shared" si="1615"/>
        <v>387.92090783829883</v>
      </c>
      <c r="AD455" s="593">
        <f t="shared" si="1615"/>
        <v>396.79609454480789</v>
      </c>
      <c r="AE455" s="593">
        <f t="shared" si="1615"/>
        <v>404.4553689649664</v>
      </c>
      <c r="AF455" s="593">
        <f t="shared" si="1615"/>
        <v>404.44561710925421</v>
      </c>
      <c r="AG455" s="593">
        <f t="shared" si="1615"/>
        <v>414.04320296362948</v>
      </c>
      <c r="AH455" s="593">
        <f t="shared" si="1615"/>
        <v>423.8879882398254</v>
      </c>
      <c r="AI455" s="593">
        <f t="shared" ref="AI455:AM455" si="1616">AI363-AI409</f>
        <v>433.87579659248081</v>
      </c>
      <c r="AJ455" s="593">
        <f t="shared" si="1616"/>
        <v>444.23606082619483</v>
      </c>
      <c r="AK455" s="593">
        <f t="shared" si="1616"/>
        <v>454.86507293725788</v>
      </c>
      <c r="AL455" s="593">
        <f t="shared" si="1616"/>
        <v>465.77049832337116</v>
      </c>
      <c r="AM455" s="593">
        <f t="shared" si="1616"/>
        <v>476.96025842243705</v>
      </c>
      <c r="AN455" s="865">
        <f>X455/X454</f>
        <v>0.35772890773359228</v>
      </c>
    </row>
    <row r="456" spans="3:40" hidden="1" outlineLevel="1" x14ac:dyDescent="0.3">
      <c r="C456" s="587" t="str">
        <f t="shared" ref="C456:C459" si="1617">C455</f>
        <v>EEO</v>
      </c>
      <c r="E456" s="563" t="s">
        <v>51</v>
      </c>
      <c r="F456" s="592">
        <f t="shared" ref="F456:F459" si="1618">SUM(G456:P456)</f>
        <v>5035.3055118751099</v>
      </c>
      <c r="G456" s="593">
        <f t="shared" ref="G456" si="1619">G364-G410</f>
        <v>31.20786898217349</v>
      </c>
      <c r="H456" s="593">
        <f t="shared" ref="H456:P456" si="1620">H364-H410</f>
        <v>42.05218507619773</v>
      </c>
      <c r="I456" s="593">
        <f t="shared" si="1620"/>
        <v>55.098572981298844</v>
      </c>
      <c r="J456" s="593">
        <f t="shared" si="1620"/>
        <v>18.783532895098695</v>
      </c>
      <c r="K456" s="593">
        <f t="shared" si="1620"/>
        <v>768.25256093762732</v>
      </c>
      <c r="L456" s="593">
        <f t="shared" si="1620"/>
        <v>786.25901426209236</v>
      </c>
      <c r="M456" s="593">
        <f t="shared" si="1620"/>
        <v>804.68969404281245</v>
      </c>
      <c r="N456" s="593">
        <f t="shared" si="1620"/>
        <v>823.54575060710135</v>
      </c>
      <c r="O456" s="593">
        <f t="shared" si="1620"/>
        <v>842.83815018519749</v>
      </c>
      <c r="P456" s="593">
        <f t="shared" si="1620"/>
        <v>862.57818190551018</v>
      </c>
      <c r="Q456" s="593">
        <f t="shared" ref="Q456:U456" si="1621">Q364-Q410</f>
        <v>882.77746876394906</v>
      </c>
      <c r="R456" s="593">
        <f t="shared" si="1621"/>
        <v>903.44797901308505</v>
      </c>
      <c r="S456" s="593">
        <f t="shared" si="1621"/>
        <v>924.60203798855287</v>
      </c>
      <c r="T456" s="593">
        <f t="shared" si="1621"/>
        <v>946.25234039086797</v>
      </c>
      <c r="U456" s="593">
        <f t="shared" si="1621"/>
        <v>968.41196304161997</v>
      </c>
      <c r="W456" s="563" t="str">
        <v>Lääne-Eesti</v>
      </c>
      <c r="X456" s="592">
        <f t="shared" ref="X456:X459" si="1622">SUM(Y456:AH456)</f>
        <v>1045.7328354246151</v>
      </c>
      <c r="Y456" s="593">
        <f t="shared" ref="Y456" si="1623">Y364-Y410</f>
        <v>5.7034864785215973</v>
      </c>
      <c r="Z456" s="593">
        <f t="shared" ref="Z456:AH456" si="1624">Z364-Z410</f>
        <v>5.93559854473596</v>
      </c>
      <c r="AA456" s="593">
        <f t="shared" si="1624"/>
        <v>9.2618283582758778</v>
      </c>
      <c r="AB456" s="593">
        <f t="shared" si="1624"/>
        <v>12.60727222800881</v>
      </c>
      <c r="AC456" s="593">
        <f t="shared" si="1624"/>
        <v>160.59744071789993</v>
      </c>
      <c r="AD456" s="593">
        <f t="shared" si="1624"/>
        <v>164.00607445402937</v>
      </c>
      <c r="AE456" s="593">
        <f t="shared" si="1624"/>
        <v>167.60675255867881</v>
      </c>
      <c r="AF456" s="593">
        <f t="shared" si="1624"/>
        <v>169.65490355503854</v>
      </c>
      <c r="AG456" s="593">
        <f t="shared" si="1624"/>
        <v>173.31002348996594</v>
      </c>
      <c r="AH456" s="593">
        <f t="shared" si="1624"/>
        <v>177.04945503946024</v>
      </c>
      <c r="AI456" s="593">
        <f t="shared" ref="AI456:AM456" si="1625">AI364-AI410</f>
        <v>180.50937290778907</v>
      </c>
      <c r="AJ456" s="593">
        <f t="shared" si="1625"/>
        <v>184.42375538744076</v>
      </c>
      <c r="AK456" s="593">
        <f t="shared" si="1625"/>
        <v>188.42890048273668</v>
      </c>
      <c r="AL456" s="593">
        <f t="shared" si="1625"/>
        <v>192.52708522647606</v>
      </c>
      <c r="AM456" s="593">
        <f t="shared" si="1625"/>
        <v>196.72065351577953</v>
      </c>
      <c r="AN456" s="865">
        <f>X456/X454</f>
        <v>0.14617654372094427</v>
      </c>
    </row>
    <row r="457" spans="3:40" hidden="1" outlineLevel="1" x14ac:dyDescent="0.3">
      <c r="C457" s="587" t="str">
        <f t="shared" si="1617"/>
        <v>EEO</v>
      </c>
      <c r="E457" s="563" t="s">
        <v>52</v>
      </c>
      <c r="F457" s="592">
        <f t="shared" si="1618"/>
        <v>1267.1713012946821</v>
      </c>
      <c r="G457" s="593">
        <f t="shared" ref="G457" si="1626">G365-G411</f>
        <v>0.93616114266123418</v>
      </c>
      <c r="H457" s="593">
        <f t="shared" ref="H457:P457" si="1627">H365-H411</f>
        <v>2.0202885907473984</v>
      </c>
      <c r="I457" s="593">
        <f t="shared" si="1627"/>
        <v>2.4729295200238468</v>
      </c>
      <c r="J457" s="593">
        <f t="shared" si="1627"/>
        <v>11.616087281569264</v>
      </c>
      <c r="K457" s="593">
        <f t="shared" si="1627"/>
        <v>195.96979286765952</v>
      </c>
      <c r="L457" s="593">
        <f t="shared" si="1627"/>
        <v>200.75646598396952</v>
      </c>
      <c r="M457" s="593">
        <f t="shared" si="1627"/>
        <v>205.66665673465224</v>
      </c>
      <c r="N457" s="593">
        <f t="shared" si="1627"/>
        <v>210.70221523159995</v>
      </c>
      <c r="O457" s="593">
        <f t="shared" si="1627"/>
        <v>215.86674340210303</v>
      </c>
      <c r="P457" s="593">
        <f t="shared" si="1627"/>
        <v>221.16396053969603</v>
      </c>
      <c r="Q457" s="593">
        <f t="shared" ref="Q457:U457" si="1628">Q365-Q411</f>
        <v>226.59770755402306</v>
      </c>
      <c r="R457" s="593">
        <f t="shared" si="1628"/>
        <v>232.17195138781173</v>
      </c>
      <c r="S457" s="593">
        <f t="shared" si="1628"/>
        <v>237.89078960788157</v>
      </c>
      <c r="T457" s="593">
        <f t="shared" si="1628"/>
        <v>243.75845517741527</v>
      </c>
      <c r="U457" s="593">
        <f t="shared" si="1628"/>
        <v>249.77932141702468</v>
      </c>
      <c r="W457" s="563" t="str">
        <v>Kirde-Eesti</v>
      </c>
      <c r="X457" s="592">
        <f t="shared" si="1622"/>
        <v>672.42969871206265</v>
      </c>
      <c r="Y457" s="593">
        <f t="shared" ref="Y457" si="1629">Y365-Y411</f>
        <v>7.9236306662532066</v>
      </c>
      <c r="Z457" s="593">
        <f t="shared" ref="Z457:AH457" si="1630">Z365-Z411</f>
        <v>5.3109546708903626</v>
      </c>
      <c r="AA457" s="593">
        <f t="shared" si="1630"/>
        <v>4.8465004362872612</v>
      </c>
      <c r="AB457" s="593">
        <f t="shared" si="1630"/>
        <v>12.705812155146557</v>
      </c>
      <c r="AC457" s="593">
        <f t="shared" si="1630"/>
        <v>102.59612856657827</v>
      </c>
      <c r="AD457" s="593">
        <f t="shared" si="1630"/>
        <v>104.81123250336962</v>
      </c>
      <c r="AE457" s="593">
        <f t="shared" si="1630"/>
        <v>106.75263619892158</v>
      </c>
      <c r="AF457" s="593">
        <f t="shared" si="1630"/>
        <v>106.75891219859824</v>
      </c>
      <c r="AG457" s="593">
        <f t="shared" si="1630"/>
        <v>109.14183116878954</v>
      </c>
      <c r="AH457" s="593">
        <f t="shared" si="1630"/>
        <v>111.58206014722798</v>
      </c>
      <c r="AI457" s="593">
        <f t="shared" ref="AI457:AM457" si="1631">AI365-AI411</f>
        <v>114.02251279436354</v>
      </c>
      <c r="AJ457" s="593">
        <f t="shared" si="1631"/>
        <v>116.58188514392771</v>
      </c>
      <c r="AK457" s="593">
        <f t="shared" si="1631"/>
        <v>119.20318433033533</v>
      </c>
      <c r="AL457" s="593">
        <f t="shared" si="1631"/>
        <v>121.88804546923872</v>
      </c>
      <c r="AM457" s="593">
        <f t="shared" si="1631"/>
        <v>124.63815455612374</v>
      </c>
      <c r="AN457" s="865">
        <f>X457/X454</f>
        <v>9.3994800510527707E-2</v>
      </c>
    </row>
    <row r="458" spans="3:40" hidden="1" outlineLevel="1" x14ac:dyDescent="0.3">
      <c r="C458" s="587" t="str">
        <f t="shared" si="1617"/>
        <v>EEO</v>
      </c>
      <c r="E458" s="563" t="s">
        <v>53</v>
      </c>
      <c r="F458" s="592">
        <f t="shared" si="1618"/>
        <v>494.45993832084707</v>
      </c>
      <c r="G458" s="593">
        <f t="shared" ref="G458" si="1632">G366-G412</f>
        <v>1.7895241155028856</v>
      </c>
      <c r="H458" s="593">
        <f t="shared" ref="H458:P458" si="1633">H366-H412</f>
        <v>1.8091214454607609</v>
      </c>
      <c r="I458" s="593">
        <f t="shared" si="1633"/>
        <v>1.8298992465136337</v>
      </c>
      <c r="J458" s="593">
        <f t="shared" si="1633"/>
        <v>46.796782608639234</v>
      </c>
      <c r="K458" s="593">
        <f t="shared" si="1633"/>
        <v>72.447658032970793</v>
      </c>
      <c r="L458" s="593">
        <f t="shared" si="1633"/>
        <v>72.912778613659242</v>
      </c>
      <c r="M458" s="593">
        <f t="shared" si="1633"/>
        <v>73.400376831468222</v>
      </c>
      <c r="N458" s="593">
        <f t="shared" si="1633"/>
        <v>73.933685038386756</v>
      </c>
      <c r="O458" s="593">
        <f t="shared" si="1633"/>
        <v>74.485168245537253</v>
      </c>
      <c r="P458" s="593">
        <f t="shared" si="1633"/>
        <v>75.054944142708308</v>
      </c>
      <c r="Q458" s="593">
        <f t="shared" ref="Q458:U458" si="1634">Q366-Q412</f>
        <v>75.643137401321894</v>
      </c>
      <c r="R458" s="593">
        <f t="shared" si="1634"/>
        <v>76.249879755370458</v>
      </c>
      <c r="S458" s="593">
        <f t="shared" si="1634"/>
        <v>76.87531008723451</v>
      </c>
      <c r="T458" s="593">
        <f t="shared" si="1634"/>
        <v>77.519574518503759</v>
      </c>
      <c r="U458" s="593">
        <f t="shared" si="1634"/>
        <v>78.182826505929626</v>
      </c>
      <c r="W458" s="563" t="str">
        <v>Lõuna-Eesti </v>
      </c>
      <c r="X458" s="592">
        <f t="shared" si="1622"/>
        <v>1976.3487479848081</v>
      </c>
      <c r="Y458" s="593">
        <f t="shared" ref="Y458" si="1635">Y366-Y412</f>
        <v>12.72996649746171</v>
      </c>
      <c r="Z458" s="593">
        <f t="shared" ref="Z458:AH458" si="1636">Z366-Z412</f>
        <v>12.461943024754845</v>
      </c>
      <c r="AA458" s="593">
        <f t="shared" si="1636"/>
        <v>18.652101037253587</v>
      </c>
      <c r="AB458" s="593">
        <f t="shared" si="1636"/>
        <v>28.887744445106001</v>
      </c>
      <c r="AC458" s="593">
        <f t="shared" si="1636"/>
        <v>301.96759609779485</v>
      </c>
      <c r="AD458" s="593">
        <f t="shared" si="1636"/>
        <v>308.56030220775574</v>
      </c>
      <c r="AE458" s="593">
        <f t="shared" si="1636"/>
        <v>315.40103443355656</v>
      </c>
      <c r="AF458" s="593">
        <f t="shared" si="1636"/>
        <v>318.75359203831374</v>
      </c>
      <c r="AG458" s="593">
        <f t="shared" si="1636"/>
        <v>325.83973751249459</v>
      </c>
      <c r="AH458" s="593">
        <f t="shared" si="1636"/>
        <v>333.0947306903164</v>
      </c>
      <c r="AI458" s="593">
        <f t="shared" ref="AI458:AM458" si="1637">AI366-AI412</f>
        <v>339.84061301374135</v>
      </c>
      <c r="AJ458" s="593">
        <f t="shared" si="1637"/>
        <v>347.44652271858843</v>
      </c>
      <c r="AK458" s="593">
        <f t="shared" si="1637"/>
        <v>355.23477123615021</v>
      </c>
      <c r="AL458" s="593">
        <f t="shared" si="1637"/>
        <v>363.21013332909462</v>
      </c>
      <c r="AM458" s="593">
        <f t="shared" si="1637"/>
        <v>371.37753063005943</v>
      </c>
      <c r="AN458" s="865">
        <f>X458/X454</f>
        <v>0.27626160275471306</v>
      </c>
    </row>
    <row r="459" spans="3:40" hidden="1" outlineLevel="1" x14ac:dyDescent="0.3">
      <c r="C459" s="587" t="str">
        <f t="shared" si="1617"/>
        <v>EEO</v>
      </c>
      <c r="E459" s="563" t="s">
        <v>54</v>
      </c>
      <c r="F459" s="592">
        <f t="shared" si="1618"/>
        <v>52.263981689571409</v>
      </c>
      <c r="G459" s="593">
        <f t="shared" ref="G459" si="1638">G367-G413</f>
        <v>0.15864864358884956</v>
      </c>
      <c r="H459" s="593">
        <f t="shared" ref="H459:P459" si="1639">H367-H413</f>
        <v>0.18257171962539315</v>
      </c>
      <c r="I459" s="593">
        <f t="shared" si="1639"/>
        <v>0.20779550417267678</v>
      </c>
      <c r="J459" s="593">
        <f t="shared" si="1639"/>
        <v>4.4292442671273768</v>
      </c>
      <c r="K459" s="593">
        <f t="shared" si="1639"/>
        <v>6.5735496307753749</v>
      </c>
      <c r="L459" s="593">
        <f t="shared" si="1639"/>
        <v>6.6488535123800512</v>
      </c>
      <c r="M459" s="593">
        <f t="shared" si="1639"/>
        <v>8.3867896861996023</v>
      </c>
      <c r="N459" s="593">
        <f t="shared" si="1639"/>
        <v>8.4707471328280981</v>
      </c>
      <c r="O459" s="593">
        <f t="shared" si="1639"/>
        <v>8.5577910146894993</v>
      </c>
      <c r="P459" s="593">
        <f t="shared" si="1639"/>
        <v>8.647990578184487</v>
      </c>
      <c r="Q459" s="593">
        <f t="shared" ref="Q459:U459" si="1640">Q367-Q413</f>
        <v>7.0820718667497982</v>
      </c>
      <c r="R459" s="593">
        <f t="shared" si="1640"/>
        <v>7.1788023325515944</v>
      </c>
      <c r="S459" s="593">
        <f t="shared" si="1640"/>
        <v>7.2789141705700393</v>
      </c>
      <c r="T459" s="593">
        <f t="shared" si="1640"/>
        <v>7.3824889387015338</v>
      </c>
      <c r="U459" s="593">
        <f t="shared" si="1640"/>
        <v>7.4896115414485607</v>
      </c>
      <c r="W459" s="563" t="str">
        <v>Kesk-Eesti</v>
      </c>
      <c r="X459" s="592">
        <f t="shared" si="1622"/>
        <v>900.23390291452904</v>
      </c>
      <c r="Y459" s="593">
        <f t="shared" ref="Y459" si="1641">Y367-Y413</f>
        <v>5.5810240546804124</v>
      </c>
      <c r="Z459" s="593">
        <f t="shared" ref="Z459:AH459" si="1642">Z367-Z413</f>
        <v>5.5552122345687369</v>
      </c>
      <c r="AA459" s="593">
        <f t="shared" si="1642"/>
        <v>8.4910128557093909</v>
      </c>
      <c r="AB459" s="593">
        <f t="shared" si="1642"/>
        <v>12.17940457092368</v>
      </c>
      <c r="AC459" s="593">
        <f t="shared" si="1642"/>
        <v>137.70869791046434</v>
      </c>
      <c r="AD459" s="593">
        <f t="shared" si="1642"/>
        <v>140.6884010349404</v>
      </c>
      <c r="AE459" s="593">
        <f t="shared" si="1642"/>
        <v>143.91987491785994</v>
      </c>
      <c r="AF459" s="593">
        <f t="shared" si="1642"/>
        <v>145.47875145061369</v>
      </c>
      <c r="AG459" s="593">
        <f t="shared" si="1642"/>
        <v>148.67833060524725</v>
      </c>
      <c r="AH459" s="593">
        <f t="shared" si="1642"/>
        <v>151.95319327952109</v>
      </c>
      <c r="AI459" s="593">
        <f t="shared" ref="AI459:AM459" si="1643">AI367-AI413</f>
        <v>154.86385125852797</v>
      </c>
      <c r="AJ459" s="593">
        <f t="shared" si="1643"/>
        <v>158.29508946718067</v>
      </c>
      <c r="AK459" s="593">
        <f t="shared" si="1643"/>
        <v>161.80753629802319</v>
      </c>
      <c r="AL459" s="593">
        <f t="shared" si="1643"/>
        <v>165.40328669067137</v>
      </c>
      <c r="AM459" s="593">
        <f t="shared" si="1643"/>
        <v>169.08449894950002</v>
      </c>
      <c r="AN459" s="865">
        <f>X459/X454</f>
        <v>0.12583814528022272</v>
      </c>
    </row>
    <row r="460" spans="3:40" hidden="1" outlineLevel="1" x14ac:dyDescent="0.3">
      <c r="C460" s="587" t="str">
        <f>E460</f>
        <v>VA</v>
      </c>
      <c r="E460" s="555" t="str">
        <f>'EE Measures'!$IH$6</f>
        <v>VA</v>
      </c>
      <c r="F460" s="590">
        <f>SUM(G460:P460)</f>
        <v>7354.4993475788142</v>
      </c>
      <c r="G460" s="591">
        <f>SUM(G461:G465)</f>
        <v>60.089193791455799</v>
      </c>
      <c r="H460" s="591">
        <f>SUM(H461:H465)</f>
        <v>48.157956345902384</v>
      </c>
      <c r="I460" s="591">
        <f t="shared" ref="I460:P460" si="1644">SUM(I461:I465)</f>
        <v>60.727599455825782</v>
      </c>
      <c r="J460" s="591">
        <f t="shared" si="1644"/>
        <v>127.46752005514726</v>
      </c>
      <c r="K460" s="591">
        <f t="shared" si="1644"/>
        <v>1105.5990054876897</v>
      </c>
      <c r="L460" s="591">
        <f t="shared" si="1644"/>
        <v>1134.4190371582979</v>
      </c>
      <c r="M460" s="591">
        <f t="shared" si="1644"/>
        <v>1164.5469446752938</v>
      </c>
      <c r="N460" s="591">
        <f t="shared" si="1644"/>
        <v>1180.8733812805567</v>
      </c>
      <c r="O460" s="591">
        <f t="shared" si="1644"/>
        <v>1218.7893963278686</v>
      </c>
      <c r="P460" s="591">
        <f t="shared" si="1644"/>
        <v>1253.8293130007758</v>
      </c>
      <c r="Q460" s="591">
        <f t="shared" ref="Q460:U460" si="1645">SUM(Q461:Q465)</f>
        <v>1278.5170876917557</v>
      </c>
      <c r="R460" s="591">
        <f t="shared" si="1645"/>
        <v>1305.5060057722123</v>
      </c>
      <c r="S460" s="591">
        <f t="shared" si="1645"/>
        <v>1333.1563290368676</v>
      </c>
      <c r="T460" s="591">
        <f t="shared" si="1645"/>
        <v>1361.4858476862153</v>
      </c>
      <c r="U460" s="591">
        <f t="shared" si="1645"/>
        <v>1390.5221956154735</v>
      </c>
      <c r="W460" s="555" t="str">
        <f>'EE Measures'!$IH$6</f>
        <v>VA</v>
      </c>
      <c r="X460" s="590">
        <f>SUM(Y460:AH460)</f>
        <v>7354.2119475788131</v>
      </c>
      <c r="Y460" s="591">
        <f t="shared" ref="Y460:Z460" si="1646">SUM(Y461:Y465)</f>
        <v>60.089193791455848</v>
      </c>
      <c r="Z460" s="591">
        <f t="shared" si="1646"/>
        <v>48.15795634590237</v>
      </c>
      <c r="AA460" s="591">
        <f t="shared" ref="AA460" si="1647">SUM(AA461:AA465)</f>
        <v>60.727599455825789</v>
      </c>
      <c r="AB460" s="591">
        <f t="shared" ref="AB460" si="1648">SUM(AB461:AB465)</f>
        <v>127.4675200551473</v>
      </c>
      <c r="AC460" s="591">
        <f t="shared" ref="AC460" si="1649">SUM(AC461:AC465)</f>
        <v>1105.5511054876895</v>
      </c>
      <c r="AD460" s="591">
        <f t="shared" ref="AD460" si="1650">SUM(AD461:AD465)</f>
        <v>1134.3711371582976</v>
      </c>
      <c r="AE460" s="591">
        <f t="shared" ref="AE460" si="1651">SUM(AE461:AE465)</f>
        <v>1164.4990446752936</v>
      </c>
      <c r="AF460" s="591">
        <f t="shared" ref="AF460" si="1652">SUM(AF461:AF465)</f>
        <v>1180.8254812805567</v>
      </c>
      <c r="AG460" s="591">
        <f t="shared" ref="AG460" si="1653">SUM(AG461:AG465)</f>
        <v>1218.7414963278688</v>
      </c>
      <c r="AH460" s="591">
        <f t="shared" ref="AH460:AM460" si="1654">SUM(AH461:AH465)</f>
        <v>1253.7814130007755</v>
      </c>
      <c r="AI460" s="591">
        <f t="shared" si="1654"/>
        <v>1278.4691876917561</v>
      </c>
      <c r="AJ460" s="591">
        <f t="shared" si="1654"/>
        <v>1305.4581057722123</v>
      </c>
      <c r="AK460" s="591">
        <f t="shared" si="1654"/>
        <v>1333.1084290368676</v>
      </c>
      <c r="AL460" s="591">
        <f t="shared" si="1654"/>
        <v>1361.4379476862152</v>
      </c>
      <c r="AM460" s="591">
        <f t="shared" si="1654"/>
        <v>1390.4742956154735</v>
      </c>
    </row>
    <row r="461" spans="3:40" hidden="1" outlineLevel="1" x14ac:dyDescent="0.3">
      <c r="C461" s="587" t="str">
        <f>C460</f>
        <v>VA</v>
      </c>
      <c r="E461" s="563" t="s">
        <v>50</v>
      </c>
      <c r="F461" s="592">
        <f>SUM(G461:P461)</f>
        <v>434.34969484831987</v>
      </c>
      <c r="G461" s="593">
        <f t="shared" ref="G461" si="1655">G369-G415</f>
        <v>25.996990907529344</v>
      </c>
      <c r="H461" s="593">
        <f t="shared" ref="H461:P461" si="1656">H369-H415</f>
        <v>2.0937895138711031</v>
      </c>
      <c r="I461" s="593">
        <f t="shared" si="1656"/>
        <v>1.1184022038167802</v>
      </c>
      <c r="J461" s="593">
        <f t="shared" si="1656"/>
        <v>45.841873002712703</v>
      </c>
      <c r="K461" s="593">
        <f t="shared" si="1656"/>
        <v>46.785415262635752</v>
      </c>
      <c r="L461" s="593">
        <f t="shared" si="1656"/>
        <v>53.730495455055156</v>
      </c>
      <c r="M461" s="593">
        <f t="shared" si="1656"/>
        <v>59.779769462396985</v>
      </c>
      <c r="N461" s="593">
        <f t="shared" si="1656"/>
        <v>53.114852194520935</v>
      </c>
      <c r="O461" s="593">
        <f t="shared" si="1656"/>
        <v>67.48328978269933</v>
      </c>
      <c r="P461" s="593">
        <f t="shared" si="1656"/>
        <v>78.404817063081808</v>
      </c>
      <c r="Q461" s="593">
        <f t="shared" ref="Q461:U461" si="1657">Q369-Q415</f>
        <v>80.047694958685241</v>
      </c>
      <c r="R461" s="593">
        <f t="shared" si="1657"/>
        <v>81.731005993426265</v>
      </c>
      <c r="S461" s="593">
        <f t="shared" si="1657"/>
        <v>83.458362146862015</v>
      </c>
      <c r="T461" s="593">
        <f t="shared" si="1657"/>
        <v>85.231055324244835</v>
      </c>
      <c r="U461" s="593">
        <f t="shared" si="1657"/>
        <v>87.059701106239118</v>
      </c>
      <c r="W461" s="563" t="str" cm="1">
        <f t="array" ref="W461:W465">_xlfn.ANCHORARRAY($W$357)</f>
        <v xml:space="preserve">Põhja-Eesti </v>
      </c>
      <c r="X461" s="592">
        <f>SUM(Y461:AH461)</f>
        <v>2748.3611857657424</v>
      </c>
      <c r="Y461" s="593">
        <f>Y369-Y415</f>
        <v>28.151086094538925</v>
      </c>
      <c r="Z461" s="593">
        <f>Z369-Z415</f>
        <v>18.894247870952469</v>
      </c>
      <c r="AA461" s="593">
        <f t="shared" ref="AA461:AH461" si="1658">AA369-AA415</f>
        <v>19.476156768299667</v>
      </c>
      <c r="AB461" s="593">
        <f t="shared" si="1658"/>
        <v>61.087286655962259</v>
      </c>
      <c r="AC461" s="593">
        <f t="shared" si="1658"/>
        <v>408.42619160768038</v>
      </c>
      <c r="AD461" s="593">
        <f t="shared" si="1658"/>
        <v>420.31788671360022</v>
      </c>
      <c r="AE461" s="593">
        <f t="shared" si="1658"/>
        <v>432.08043860428234</v>
      </c>
      <c r="AF461" s="593">
        <f t="shared" si="1658"/>
        <v>437.4704442505888</v>
      </c>
      <c r="AG461" s="593">
        <f t="shared" si="1658"/>
        <v>453.81982461608055</v>
      </c>
      <c r="AH461" s="593">
        <f t="shared" si="1658"/>
        <v>468.63762258375641</v>
      </c>
      <c r="AI461" s="593">
        <f t="shared" ref="AI461:AM461" si="1659">AI369-AI415</f>
        <v>478.84193525658713</v>
      </c>
      <c r="AJ461" s="593">
        <f t="shared" si="1659"/>
        <v>489.41886543503915</v>
      </c>
      <c r="AK461" s="593">
        <f t="shared" si="1659"/>
        <v>500.26584722387452</v>
      </c>
      <c r="AL461" s="593">
        <f t="shared" si="1659"/>
        <v>511.39047742089673</v>
      </c>
      <c r="AM461" s="593">
        <f t="shared" si="1659"/>
        <v>522.80534122001984</v>
      </c>
      <c r="AN461" s="865">
        <f>X461/X460</f>
        <v>0.37371253444368985</v>
      </c>
    </row>
    <row r="462" spans="3:40" hidden="1" outlineLevel="1" x14ac:dyDescent="0.3">
      <c r="C462" s="587" t="str">
        <f t="shared" ref="C462:C465" si="1660">C461</f>
        <v>VA</v>
      </c>
      <c r="E462" s="563" t="s">
        <v>51</v>
      </c>
      <c r="F462" s="592">
        <f t="shared" ref="F462:F465" si="1661">SUM(G462:P462)</f>
        <v>4914.5849206393104</v>
      </c>
      <c r="G462" s="593">
        <f t="shared" ref="G462" si="1662">G370-G416</f>
        <v>31.20786898217349</v>
      </c>
      <c r="H462" s="593">
        <f t="shared" ref="H462:P462" si="1663">H370-H416</f>
        <v>42.05218507619773</v>
      </c>
      <c r="I462" s="593">
        <f t="shared" si="1663"/>
        <v>55.098572981298844</v>
      </c>
      <c r="J462" s="593">
        <f t="shared" si="1663"/>
        <v>18.783532895098695</v>
      </c>
      <c r="K462" s="593">
        <f t="shared" si="1663"/>
        <v>751.48421975684232</v>
      </c>
      <c r="L462" s="593">
        <f t="shared" si="1663"/>
        <v>768.18530625769176</v>
      </c>
      <c r="M462" s="593">
        <f t="shared" si="1663"/>
        <v>785.28451187832388</v>
      </c>
      <c r="N462" s="593">
        <f t="shared" si="1663"/>
        <v>802.78246479932284</v>
      </c>
      <c r="O462" s="593">
        <f t="shared" si="1663"/>
        <v>820.68959866126352</v>
      </c>
      <c r="P462" s="593">
        <f t="shared" si="1663"/>
        <v>839.01665935109736</v>
      </c>
      <c r="Q462" s="593">
        <f t="shared" ref="Q462:U462" si="1664">Q370-Q416</f>
        <v>857.77471575844811</v>
      </c>
      <c r="R462" s="593">
        <f t="shared" si="1664"/>
        <v>876.975170947474</v>
      </c>
      <c r="S462" s="593">
        <f t="shared" si="1664"/>
        <v>896.62977376162974</v>
      </c>
      <c r="T462" s="593">
        <f t="shared" si="1664"/>
        <v>916.75063087940634</v>
      </c>
      <c r="U462" s="593">
        <f t="shared" si="1664"/>
        <v>937.35021933992903</v>
      </c>
      <c r="W462" s="563" t="str">
        <v>Lääne-Eesti</v>
      </c>
      <c r="X462" s="592">
        <f t="shared" ref="X462:X465" si="1665">SUM(Y462:AH462)</f>
        <v>1036.5432246740504</v>
      </c>
      <c r="Y462" s="593">
        <f t="shared" ref="Y462" si="1666">Y370-Y416</f>
        <v>5.7034864785215973</v>
      </c>
      <c r="Z462" s="593">
        <f t="shared" ref="Z462:AH462" si="1667">Z370-Z416</f>
        <v>5.93559854473596</v>
      </c>
      <c r="AA462" s="593">
        <f t="shared" si="1667"/>
        <v>9.2618283582758778</v>
      </c>
      <c r="AB462" s="593">
        <f t="shared" si="1667"/>
        <v>12.60727222800881</v>
      </c>
      <c r="AC462" s="593">
        <f t="shared" si="1667"/>
        <v>158.12495393115984</v>
      </c>
      <c r="AD462" s="593">
        <f t="shared" si="1667"/>
        <v>161.69188947360067</v>
      </c>
      <c r="AE462" s="593">
        <f t="shared" si="1667"/>
        <v>165.62111356815572</v>
      </c>
      <c r="AF462" s="593">
        <f t="shared" si="1667"/>
        <v>168.20205726506026</v>
      </c>
      <c r="AG462" s="593">
        <f t="shared" si="1667"/>
        <v>172.60312412882689</v>
      </c>
      <c r="AH462" s="593">
        <f t="shared" si="1667"/>
        <v>176.79190069770465</v>
      </c>
      <c r="AI462" s="593">
        <f t="shared" ref="AI462:AM462" si="1668">AI370-AI416</f>
        <v>179.91972229803719</v>
      </c>
      <c r="AJ462" s="593">
        <f t="shared" si="1668"/>
        <v>183.49468806476369</v>
      </c>
      <c r="AK462" s="593">
        <f t="shared" si="1668"/>
        <v>187.15313497335089</v>
      </c>
      <c r="AL462" s="593">
        <f t="shared" si="1668"/>
        <v>190.89717901651193</v>
      </c>
      <c r="AM462" s="593">
        <f t="shared" si="1668"/>
        <v>194.72977036098825</v>
      </c>
      <c r="AN462" s="865">
        <f>X462/X460</f>
        <v>0.14094551966445648</v>
      </c>
    </row>
    <row r="463" spans="3:40" hidden="1" outlineLevel="1" x14ac:dyDescent="0.3">
      <c r="C463" s="587" t="str">
        <f t="shared" si="1660"/>
        <v>VA</v>
      </c>
      <c r="E463" s="563" t="s">
        <v>52</v>
      </c>
      <c r="F463" s="592">
        <f t="shared" si="1661"/>
        <v>1458.8408120807644</v>
      </c>
      <c r="G463" s="593">
        <f t="shared" ref="G463" si="1669">G371-G417</f>
        <v>0.93616114266123418</v>
      </c>
      <c r="H463" s="593">
        <f t="shared" ref="H463:P463" si="1670">H371-H417</f>
        <v>2.0202885907473984</v>
      </c>
      <c r="I463" s="593">
        <f t="shared" si="1670"/>
        <v>2.4729295200238468</v>
      </c>
      <c r="J463" s="593">
        <f t="shared" si="1670"/>
        <v>11.616087281569264</v>
      </c>
      <c r="K463" s="593">
        <f t="shared" si="1670"/>
        <v>228.30816280446547</v>
      </c>
      <c r="L463" s="593">
        <f t="shared" si="1670"/>
        <v>232.94160331951161</v>
      </c>
      <c r="M463" s="593">
        <f t="shared" si="1670"/>
        <v>237.69549681690518</v>
      </c>
      <c r="N463" s="593">
        <f t="shared" si="1670"/>
        <v>242.57163211549795</v>
      </c>
      <c r="O463" s="593">
        <f t="shared" si="1670"/>
        <v>247.57354862367902</v>
      </c>
      <c r="P463" s="593">
        <f t="shared" si="1670"/>
        <v>252.70490186570356</v>
      </c>
      <c r="Q463" s="593">
        <f t="shared" ref="Q463:U463" si="1671">Q371-Q417</f>
        <v>257.96946770655074</v>
      </c>
      <c r="R463" s="593">
        <f t="shared" si="1671"/>
        <v>263.37114674338989</v>
      </c>
      <c r="S463" s="593">
        <f t="shared" si="1671"/>
        <v>268.91396887057135</v>
      </c>
      <c r="T463" s="593">
        <f t="shared" si="1671"/>
        <v>274.60209802535877</v>
      </c>
      <c r="U463" s="593">
        <f t="shared" si="1671"/>
        <v>280.4398371219271</v>
      </c>
      <c r="W463" s="563" t="str">
        <v>Kirde-Eesti</v>
      </c>
      <c r="X463" s="592">
        <f t="shared" si="1665"/>
        <v>734.99353511915115</v>
      </c>
      <c r="Y463" s="593">
        <f t="shared" ref="Y463" si="1672">Y371-Y417</f>
        <v>7.9236306662532066</v>
      </c>
      <c r="Z463" s="593">
        <f t="shared" ref="Z463:AH463" si="1673">Z371-Z417</f>
        <v>5.3109546708903626</v>
      </c>
      <c r="AA463" s="593">
        <f t="shared" si="1673"/>
        <v>4.8465004362872612</v>
      </c>
      <c r="AB463" s="593">
        <f t="shared" si="1673"/>
        <v>12.705812155146557</v>
      </c>
      <c r="AC463" s="593">
        <f t="shared" si="1673"/>
        <v>110.16930211299076</v>
      </c>
      <c r="AD463" s="593">
        <f t="shared" si="1673"/>
        <v>113.17916279767955</v>
      </c>
      <c r="AE463" s="593">
        <f t="shared" si="1673"/>
        <v>116.18553394169925</v>
      </c>
      <c r="AF463" s="593">
        <f t="shared" si="1673"/>
        <v>117.57896606106972</v>
      </c>
      <c r="AG463" s="593">
        <f t="shared" si="1673"/>
        <v>121.68501422066308</v>
      </c>
      <c r="AH463" s="593">
        <f t="shared" si="1673"/>
        <v>125.40865805647132</v>
      </c>
      <c r="AI463" s="593">
        <f t="shared" ref="AI463:AM463" si="1674">AI371-AI417</f>
        <v>127.95505511919151</v>
      </c>
      <c r="AJ463" s="593">
        <f t="shared" si="1674"/>
        <v>130.62145797398529</v>
      </c>
      <c r="AK463" s="593">
        <f t="shared" si="1674"/>
        <v>133.35117765059059</v>
      </c>
      <c r="AL463" s="593">
        <f t="shared" si="1674"/>
        <v>136.14585360732349</v>
      </c>
      <c r="AM463" s="593">
        <f t="shared" si="1674"/>
        <v>139.00834912096286</v>
      </c>
      <c r="AN463" s="865">
        <f>X463/X460</f>
        <v>9.9941848339185957E-2</v>
      </c>
    </row>
    <row r="464" spans="3:40" hidden="1" outlineLevel="1" x14ac:dyDescent="0.3">
      <c r="C464" s="587" t="str">
        <f t="shared" si="1660"/>
        <v>VA</v>
      </c>
      <c r="E464" s="563" t="s">
        <v>53</v>
      </c>
      <c r="F464" s="592">
        <f t="shared" si="1661"/>
        <v>494.45993832084707</v>
      </c>
      <c r="G464" s="593">
        <f t="shared" ref="G464" si="1675">G372-G418</f>
        <v>1.7895241155028856</v>
      </c>
      <c r="H464" s="593">
        <f t="shared" ref="H464:P464" si="1676">H372-H418</f>
        <v>1.8091214454607609</v>
      </c>
      <c r="I464" s="593">
        <f t="shared" si="1676"/>
        <v>1.8298992465136337</v>
      </c>
      <c r="J464" s="593">
        <f t="shared" si="1676"/>
        <v>46.796782608639234</v>
      </c>
      <c r="K464" s="593">
        <f t="shared" si="1676"/>
        <v>72.447658032970793</v>
      </c>
      <c r="L464" s="593">
        <f t="shared" si="1676"/>
        <v>72.912778613659242</v>
      </c>
      <c r="M464" s="593">
        <f t="shared" si="1676"/>
        <v>73.400376831468222</v>
      </c>
      <c r="N464" s="593">
        <f t="shared" si="1676"/>
        <v>73.933685038386756</v>
      </c>
      <c r="O464" s="593">
        <f t="shared" si="1676"/>
        <v>74.485168245537253</v>
      </c>
      <c r="P464" s="593">
        <f t="shared" si="1676"/>
        <v>75.054944142708308</v>
      </c>
      <c r="Q464" s="593">
        <f t="shared" ref="Q464:U464" si="1677">Q372-Q418</f>
        <v>75.643137401321894</v>
      </c>
      <c r="R464" s="593">
        <f t="shared" si="1677"/>
        <v>76.249879755370458</v>
      </c>
      <c r="S464" s="593">
        <f t="shared" si="1677"/>
        <v>76.87531008723451</v>
      </c>
      <c r="T464" s="593">
        <f t="shared" si="1677"/>
        <v>77.519574518503759</v>
      </c>
      <c r="U464" s="593">
        <f t="shared" si="1677"/>
        <v>78.182826505929626</v>
      </c>
      <c r="W464" s="563" t="str">
        <v>Lõuna-Eesti </v>
      </c>
      <c r="X464" s="592">
        <f t="shared" si="1665"/>
        <v>1948.9602055267001</v>
      </c>
      <c r="Y464" s="593">
        <f t="shared" ref="Y464" si="1678">Y372-Y418</f>
        <v>12.72996649746171</v>
      </c>
      <c r="Z464" s="593">
        <f t="shared" ref="Z464:AH464" si="1679">Z372-Z418</f>
        <v>12.461943024754845</v>
      </c>
      <c r="AA464" s="593">
        <f t="shared" si="1679"/>
        <v>18.652101037253587</v>
      </c>
      <c r="AB464" s="593">
        <f t="shared" si="1679"/>
        <v>28.887744445106001</v>
      </c>
      <c r="AC464" s="593">
        <f t="shared" si="1679"/>
        <v>294.71677850899448</v>
      </c>
      <c r="AD464" s="593">
        <f t="shared" si="1679"/>
        <v>301.86839541156371</v>
      </c>
      <c r="AE464" s="593">
        <f t="shared" si="1679"/>
        <v>309.67031162288265</v>
      </c>
      <c r="AF464" s="593">
        <f t="shared" si="1679"/>
        <v>314.46599454957772</v>
      </c>
      <c r="AG464" s="593">
        <f t="shared" si="1679"/>
        <v>323.49813416741199</v>
      </c>
      <c r="AH464" s="593">
        <f t="shared" si="1679"/>
        <v>332.00883626169343</v>
      </c>
      <c r="AI464" s="593">
        <f t="shared" ref="AI464:AM464" si="1680">AI372-AI418</f>
        <v>338.18531471339418</v>
      </c>
      <c r="AJ464" s="593">
        <f t="shared" si="1680"/>
        <v>345.20884419677276</v>
      </c>
      <c r="AK464" s="593">
        <f t="shared" si="1680"/>
        <v>352.40191055201257</v>
      </c>
      <c r="AL464" s="593">
        <f t="shared" si="1680"/>
        <v>359.76899642995124</v>
      </c>
      <c r="AM464" s="593">
        <f t="shared" si="1680"/>
        <v>367.31652915982244</v>
      </c>
      <c r="AN464" s="865">
        <f>X464/X460</f>
        <v>0.26501278715095306</v>
      </c>
    </row>
    <row r="465" spans="3:40" hidden="1" outlineLevel="1" x14ac:dyDescent="0.3">
      <c r="C465" s="587" t="str">
        <f t="shared" si="1660"/>
        <v>VA</v>
      </c>
      <c r="E465" s="563" t="s">
        <v>54</v>
      </c>
      <c r="F465" s="592">
        <f t="shared" si="1661"/>
        <v>52.263981689571409</v>
      </c>
      <c r="G465" s="593">
        <f t="shared" ref="G465" si="1681">G373-G419</f>
        <v>0.15864864358884956</v>
      </c>
      <c r="H465" s="593">
        <f t="shared" ref="H465:P465" si="1682">H373-H419</f>
        <v>0.18257171962539315</v>
      </c>
      <c r="I465" s="593">
        <f t="shared" si="1682"/>
        <v>0.20779550417267678</v>
      </c>
      <c r="J465" s="593">
        <f t="shared" si="1682"/>
        <v>4.4292442671273768</v>
      </c>
      <c r="K465" s="593">
        <f t="shared" si="1682"/>
        <v>6.5735496307753749</v>
      </c>
      <c r="L465" s="593">
        <f t="shared" si="1682"/>
        <v>6.6488535123800512</v>
      </c>
      <c r="M465" s="593">
        <f t="shared" si="1682"/>
        <v>8.3867896861996023</v>
      </c>
      <c r="N465" s="593">
        <f t="shared" si="1682"/>
        <v>8.4707471328280981</v>
      </c>
      <c r="O465" s="593">
        <f t="shared" si="1682"/>
        <v>8.5577910146894993</v>
      </c>
      <c r="P465" s="593">
        <f t="shared" si="1682"/>
        <v>8.647990578184487</v>
      </c>
      <c r="Q465" s="593">
        <f t="shared" ref="Q465:U465" si="1683">Q373-Q419</f>
        <v>7.0820718667497982</v>
      </c>
      <c r="R465" s="593">
        <f t="shared" si="1683"/>
        <v>7.1788023325515944</v>
      </c>
      <c r="S465" s="593">
        <f t="shared" si="1683"/>
        <v>7.2789141705700393</v>
      </c>
      <c r="T465" s="593">
        <f t="shared" si="1683"/>
        <v>7.3824889387015338</v>
      </c>
      <c r="U465" s="593">
        <f t="shared" si="1683"/>
        <v>7.4896115414485607</v>
      </c>
      <c r="W465" s="563" t="str">
        <v>Kesk-Eesti</v>
      </c>
      <c r="X465" s="592">
        <f t="shared" si="1665"/>
        <v>885.35379649316974</v>
      </c>
      <c r="Y465" s="593">
        <f t="shared" ref="Y465" si="1684">Y373-Y419</f>
        <v>5.5810240546804124</v>
      </c>
      <c r="Z465" s="593">
        <f t="shared" ref="Z465:AH465" si="1685">Z373-Z419</f>
        <v>5.5552122345687369</v>
      </c>
      <c r="AA465" s="593">
        <f t="shared" si="1685"/>
        <v>8.4910128557093909</v>
      </c>
      <c r="AB465" s="593">
        <f t="shared" si="1685"/>
        <v>12.17940457092368</v>
      </c>
      <c r="AC465" s="593">
        <f t="shared" si="1685"/>
        <v>134.11387932686401</v>
      </c>
      <c r="AD465" s="593">
        <f t="shared" si="1685"/>
        <v>137.31380276185357</v>
      </c>
      <c r="AE465" s="593">
        <f t="shared" si="1685"/>
        <v>140.94164693827378</v>
      </c>
      <c r="AF465" s="593">
        <f t="shared" si="1685"/>
        <v>143.10801915426006</v>
      </c>
      <c r="AG465" s="593">
        <f t="shared" si="1685"/>
        <v>147.13539919488628</v>
      </c>
      <c r="AH465" s="593">
        <f t="shared" si="1685"/>
        <v>150.93439540114974</v>
      </c>
      <c r="AI465" s="593">
        <f t="shared" ref="AI465:AM465" si="1686">AI373-AI419</f>
        <v>153.56716030454587</v>
      </c>
      <c r="AJ465" s="593">
        <f t="shared" si="1686"/>
        <v>156.71425010165134</v>
      </c>
      <c r="AK465" s="593">
        <f t="shared" si="1686"/>
        <v>159.93635863703906</v>
      </c>
      <c r="AL465" s="593">
        <f t="shared" si="1686"/>
        <v>163.23544121153168</v>
      </c>
      <c r="AM465" s="593">
        <f t="shared" si="1686"/>
        <v>166.61430575368018</v>
      </c>
      <c r="AN465" s="865">
        <f>X465/X460</f>
        <v>0.12038731040171476</v>
      </c>
    </row>
    <row r="466" spans="3:40" hidden="1" outlineLevel="1" x14ac:dyDescent="0.3">
      <c r="C466" s="587" t="str">
        <f>E466</f>
        <v>Renowave</v>
      </c>
      <c r="E466" s="555" t="str">
        <f>'EE Measures'!$II$6</f>
        <v>Renowave</v>
      </c>
      <c r="F466" s="590">
        <f>SUM(G466:P466)</f>
        <v>13564.055154874291</v>
      </c>
      <c r="G466" s="591">
        <f>SUM(G467:G471)</f>
        <v>60.089193791455799</v>
      </c>
      <c r="H466" s="591">
        <f>SUM(H467:H471)</f>
        <v>48.157956345902384</v>
      </c>
      <c r="I466" s="591">
        <f t="shared" ref="I466:P466" si="1687">SUM(I467:I471)</f>
        <v>60.727599455825782</v>
      </c>
      <c r="J466" s="591">
        <f t="shared" si="1687"/>
        <v>111.13418672181393</v>
      </c>
      <c r="K466" s="591">
        <f t="shared" si="1687"/>
        <v>2113.605364323606</v>
      </c>
      <c r="L466" s="591">
        <f t="shared" si="1687"/>
        <v>2156.4743664867356</v>
      </c>
      <c r="M466" s="591">
        <f t="shared" si="1687"/>
        <v>2198.9215507360636</v>
      </c>
      <c r="N466" s="591">
        <f t="shared" si="1687"/>
        <v>2225.4347543725517</v>
      </c>
      <c r="O466" s="591">
        <f t="shared" si="1687"/>
        <v>2271.3043400066863</v>
      </c>
      <c r="P466" s="591">
        <f t="shared" si="1687"/>
        <v>2318.2058426336525</v>
      </c>
      <c r="Q466" s="591">
        <f t="shared" ref="Q466:U466" si="1688">SUM(Q467:Q471)</f>
        <v>2364.5047067943606</v>
      </c>
      <c r="R466" s="591">
        <f t="shared" si="1688"/>
        <v>2413.5451016607508</v>
      </c>
      <c r="S466" s="591">
        <f t="shared" si="1688"/>
        <v>2463.693865849682</v>
      </c>
      <c r="T466" s="591">
        <f t="shared" si="1688"/>
        <v>2514.9779143007454</v>
      </c>
      <c r="U466" s="591">
        <f t="shared" si="1688"/>
        <v>2567.4249153264427</v>
      </c>
      <c r="W466" s="555" t="str">
        <f>'EE Measures'!$II$6</f>
        <v>Renowave</v>
      </c>
      <c r="X466" s="590">
        <f>SUM(Y466:AH466)</f>
        <v>13563.767754874294</v>
      </c>
      <c r="Y466" s="591">
        <f t="shared" ref="Y466:Z466" si="1689">SUM(Y467:Y471)</f>
        <v>60.089193791455848</v>
      </c>
      <c r="Z466" s="591">
        <f t="shared" si="1689"/>
        <v>48.15795634590237</v>
      </c>
      <c r="AA466" s="591">
        <f t="shared" ref="AA466" si="1690">SUM(AA467:AA471)</f>
        <v>60.727599455825789</v>
      </c>
      <c r="AB466" s="591">
        <f t="shared" ref="AB466" si="1691">SUM(AB467:AB471)</f>
        <v>111.13418672181395</v>
      </c>
      <c r="AC466" s="591">
        <f t="shared" ref="AC466" si="1692">SUM(AC467:AC471)</f>
        <v>2113.5574643236059</v>
      </c>
      <c r="AD466" s="591">
        <f t="shared" ref="AD466" si="1693">SUM(AD467:AD471)</f>
        <v>2156.426466486736</v>
      </c>
      <c r="AE466" s="591">
        <f t="shared" ref="AE466" si="1694">SUM(AE467:AE471)</f>
        <v>2198.8736507360636</v>
      </c>
      <c r="AF466" s="591">
        <f t="shared" ref="AF466" si="1695">SUM(AF467:AF471)</f>
        <v>2225.3868543725516</v>
      </c>
      <c r="AG466" s="591">
        <f t="shared" ref="AG466" si="1696">SUM(AG467:AG471)</f>
        <v>2271.2564400066854</v>
      </c>
      <c r="AH466" s="591">
        <f t="shared" ref="AH466:AM466" si="1697">SUM(AH467:AH471)</f>
        <v>2318.1579426336525</v>
      </c>
      <c r="AI466" s="591">
        <f t="shared" si="1697"/>
        <v>2364.4568067943615</v>
      </c>
      <c r="AJ466" s="591">
        <f t="shared" si="1697"/>
        <v>2413.4972016607517</v>
      </c>
      <c r="AK466" s="591">
        <f t="shared" si="1697"/>
        <v>2463.6459658496819</v>
      </c>
      <c r="AL466" s="591">
        <f t="shared" si="1697"/>
        <v>2514.9300143007449</v>
      </c>
      <c r="AM466" s="591">
        <f t="shared" si="1697"/>
        <v>2567.3770153264422</v>
      </c>
    </row>
    <row r="467" spans="3:40" hidden="1" outlineLevel="1" x14ac:dyDescent="0.3">
      <c r="C467" s="587" t="str">
        <f>C466</f>
        <v>Renowave</v>
      </c>
      <c r="E467" s="563" t="s">
        <v>50</v>
      </c>
      <c r="F467" s="592">
        <f>SUM(G467:P467)</f>
        <v>263.95606994965289</v>
      </c>
      <c r="G467" s="593">
        <f t="shared" ref="G467" si="1698">G375-G421</f>
        <v>25.996990907529344</v>
      </c>
      <c r="H467" s="593">
        <f t="shared" ref="H467:P467" si="1699">H375-H421</f>
        <v>2.0937895138711031</v>
      </c>
      <c r="I467" s="593">
        <f t="shared" si="1699"/>
        <v>1.1184022038167802</v>
      </c>
      <c r="J467" s="593">
        <f t="shared" si="1699"/>
        <v>29.50853966937937</v>
      </c>
      <c r="K467" s="593">
        <f t="shared" si="1699"/>
        <v>43.478375391444594</v>
      </c>
      <c r="L467" s="593">
        <f t="shared" si="1699"/>
        <v>44.216158102242971</v>
      </c>
      <c r="M467" s="593">
        <f t="shared" si="1699"/>
        <v>41.923315508291779</v>
      </c>
      <c r="N467" s="593">
        <f t="shared" si="1699"/>
        <v>24.370544071343367</v>
      </c>
      <c r="O467" s="593">
        <f t="shared" si="1699"/>
        <v>25.196438622040443</v>
      </c>
      <c r="P467" s="593">
        <f t="shared" si="1699"/>
        <v>26.053515959693176</v>
      </c>
      <c r="Q467" s="593">
        <f t="shared" ref="Q467:U467" si="1700">Q375-Q421</f>
        <v>26.942926710300114</v>
      </c>
      <c r="R467" s="593">
        <f t="shared" si="1700"/>
        <v>27.865866783954711</v>
      </c>
      <c r="S467" s="593">
        <f t="shared" si="1700"/>
        <v>28.8235791597054</v>
      </c>
      <c r="T467" s="593">
        <f t="shared" si="1700"/>
        <v>29.817355742804548</v>
      </c>
      <c r="U467" s="593">
        <f t="shared" si="1700"/>
        <v>30.848539297317938</v>
      </c>
      <c r="W467" s="563" t="str" cm="1">
        <f t="array" ref="W467:W471">_xlfn.ANCHORARRAY($W$357)</f>
        <v xml:space="preserve">Põhja-Eesti </v>
      </c>
      <c r="X467" s="592">
        <f>SUM(Y467:AH467)</f>
        <v>5001.1492780017379</v>
      </c>
      <c r="Y467" s="593">
        <f>Y375-Y421</f>
        <v>28.151086094538925</v>
      </c>
      <c r="Z467" s="593">
        <f>Z375-Z421</f>
        <v>18.894247870952469</v>
      </c>
      <c r="AA467" s="593">
        <f t="shared" ref="AA467:AH467" si="1701">AA375-AA421</f>
        <v>19.476156768299667</v>
      </c>
      <c r="AB467" s="593">
        <f t="shared" si="1701"/>
        <v>52.749199193093631</v>
      </c>
      <c r="AC467" s="593">
        <f t="shared" si="1701"/>
        <v>777.63640434440981</v>
      </c>
      <c r="AD467" s="593">
        <f t="shared" si="1701"/>
        <v>793.78382778637797</v>
      </c>
      <c r="AE467" s="593">
        <f t="shared" si="1701"/>
        <v>808.86078367670461</v>
      </c>
      <c r="AF467" s="593">
        <f t="shared" si="1701"/>
        <v>816.41706692056437</v>
      </c>
      <c r="AG467" s="593">
        <f t="shared" si="1701"/>
        <v>833.73200857650295</v>
      </c>
      <c r="AH467" s="593">
        <f t="shared" si="1701"/>
        <v>851.44849677029345</v>
      </c>
      <c r="AI467" s="593">
        <f t="shared" ref="AI467:AM467" si="1702">AI375-AI421</f>
        <v>869.46544209889521</v>
      </c>
      <c r="AJ467" s="593">
        <f t="shared" si="1702"/>
        <v>888.01542604807446</v>
      </c>
      <c r="AK467" s="593">
        <f t="shared" si="1702"/>
        <v>906.99795226891229</v>
      </c>
      <c r="AL467" s="593">
        <f t="shared" si="1702"/>
        <v>926.42396204699571</v>
      </c>
      <c r="AM467" s="593">
        <f t="shared" si="1702"/>
        <v>946.30471822587106</v>
      </c>
      <c r="AN467" s="865">
        <f>X467/X466</f>
        <v>0.3687138683279591</v>
      </c>
    </row>
    <row r="468" spans="3:40" hidden="1" outlineLevel="1" x14ac:dyDescent="0.3">
      <c r="C468" s="587" t="str">
        <f t="shared" ref="C468:C471" si="1703">C467</f>
        <v>Renowave</v>
      </c>
      <c r="E468" s="563" t="s">
        <v>51</v>
      </c>
      <c r="F468" s="592">
        <f t="shared" ref="F468:F471" si="1704">SUM(G468:P468)</f>
        <v>11319.028230454645</v>
      </c>
      <c r="G468" s="593">
        <f t="shared" ref="G468" si="1705">G376-G422</f>
        <v>31.20786898217349</v>
      </c>
      <c r="H468" s="593">
        <f t="shared" ref="H468:P468" si="1706">H376-H422</f>
        <v>42.05218507619773</v>
      </c>
      <c r="I468" s="593">
        <f t="shared" si="1706"/>
        <v>55.098572981298844</v>
      </c>
      <c r="J468" s="593">
        <f t="shared" si="1706"/>
        <v>18.783532895098695</v>
      </c>
      <c r="K468" s="593">
        <f t="shared" si="1706"/>
        <v>1766.6805303110875</v>
      </c>
      <c r="L468" s="593">
        <f t="shared" si="1706"/>
        <v>1803.7155430230221</v>
      </c>
      <c r="M468" s="593">
        <f t="shared" si="1706"/>
        <v>1841.5553533789603</v>
      </c>
      <c r="N468" s="593">
        <f t="shared" si="1706"/>
        <v>1880.2087231299727</v>
      </c>
      <c r="O468" s="593">
        <f t="shared" si="1706"/>
        <v>1919.6943821585264</v>
      </c>
      <c r="P468" s="593">
        <f t="shared" si="1706"/>
        <v>1960.0315385183051</v>
      </c>
      <c r="Q468" s="593">
        <f t="shared" ref="Q468:U468" si="1707">Q376-Q422</f>
        <v>2001.2398925089994</v>
      </c>
      <c r="R468" s="593">
        <f t="shared" si="1707"/>
        <v>2043.3396512330366</v>
      </c>
      <c r="S468" s="593">
        <f t="shared" si="1707"/>
        <v>2086.3515436529037</v>
      </c>
      <c r="T468" s="593">
        <f t="shared" si="1707"/>
        <v>2130.2968361685062</v>
      </c>
      <c r="U468" s="593">
        <f t="shared" si="1707"/>
        <v>2175.1973487348114</v>
      </c>
      <c r="W468" s="563" t="str">
        <v>Lääne-Eesti</v>
      </c>
      <c r="X468" s="592">
        <f t="shared" ref="X468:X471" si="1708">SUM(Y468:AH468)</f>
        <v>1857.8672758739269</v>
      </c>
      <c r="Y468" s="593">
        <f t="shared" ref="Y468" si="1709">Y376-Y422</f>
        <v>5.7034864785215973</v>
      </c>
      <c r="Z468" s="593">
        <f t="shared" ref="Z468:AH468" si="1710">Z376-Z422</f>
        <v>5.93559854473596</v>
      </c>
      <c r="AA468" s="593">
        <f t="shared" si="1710"/>
        <v>9.2618283582758778</v>
      </c>
      <c r="AB468" s="593">
        <f t="shared" si="1710"/>
        <v>11.250043656018178</v>
      </c>
      <c r="AC468" s="593">
        <f t="shared" si="1710"/>
        <v>290.28169387024587</v>
      </c>
      <c r="AD468" s="593">
        <f t="shared" si="1710"/>
        <v>295.98722748230222</v>
      </c>
      <c r="AE468" s="593">
        <f t="shared" si="1710"/>
        <v>301.93074346039697</v>
      </c>
      <c r="AF468" s="593">
        <f t="shared" si="1710"/>
        <v>306.36858908767113</v>
      </c>
      <c r="AG468" s="593">
        <f t="shared" si="1710"/>
        <v>312.46119754613073</v>
      </c>
      <c r="AH468" s="593">
        <f t="shared" si="1710"/>
        <v>318.68686738962828</v>
      </c>
      <c r="AI468" s="593">
        <f t="shared" ref="AI468:AM468" si="1711">AI376-AI422</f>
        <v>324.68274831784032</v>
      </c>
      <c r="AJ468" s="593">
        <f t="shared" si="1711"/>
        <v>331.18381311857286</v>
      </c>
      <c r="AK468" s="593">
        <f t="shared" si="1711"/>
        <v>337.82737418137128</v>
      </c>
      <c r="AL468" s="593">
        <f t="shared" si="1711"/>
        <v>344.6167432119633</v>
      </c>
      <c r="AM468" s="593">
        <f t="shared" si="1711"/>
        <v>351.55531947385657</v>
      </c>
      <c r="AN468" s="865">
        <f>X468/X466</f>
        <v>0.13697280205983187</v>
      </c>
    </row>
    <row r="469" spans="3:40" hidden="1" outlineLevel="1" x14ac:dyDescent="0.3">
      <c r="C469" s="587" t="str">
        <f t="shared" si="1703"/>
        <v>Renowave</v>
      </c>
      <c r="E469" s="563" t="s">
        <v>52</v>
      </c>
      <c r="F469" s="592">
        <f t="shared" si="1704"/>
        <v>1434.3469344595796</v>
      </c>
      <c r="G469" s="593">
        <f t="shared" ref="G469" si="1712">G377-G423</f>
        <v>0.93616114266123418</v>
      </c>
      <c r="H469" s="593">
        <f t="shared" ref="H469:P469" si="1713">H377-H423</f>
        <v>2.0202885907473984</v>
      </c>
      <c r="I469" s="593">
        <f t="shared" si="1713"/>
        <v>2.4729295200238468</v>
      </c>
      <c r="J469" s="593">
        <f t="shared" si="1713"/>
        <v>11.616087281569264</v>
      </c>
      <c r="K469" s="593">
        <f t="shared" si="1713"/>
        <v>224.4252509573281</v>
      </c>
      <c r="L469" s="593">
        <f t="shared" si="1713"/>
        <v>228.98103323543145</v>
      </c>
      <c r="M469" s="593">
        <f t="shared" si="1713"/>
        <v>233.65571533114343</v>
      </c>
      <c r="N469" s="593">
        <f t="shared" si="1713"/>
        <v>238.45105500002103</v>
      </c>
      <c r="O469" s="593">
        <f t="shared" si="1713"/>
        <v>243.37055996589254</v>
      </c>
      <c r="P469" s="593">
        <f t="shared" si="1713"/>
        <v>248.41785343476135</v>
      </c>
      <c r="Q469" s="593">
        <f t="shared" ref="Q469:U469" si="1714">Q377-Q423</f>
        <v>253.5966783069897</v>
      </c>
      <c r="R469" s="593">
        <f t="shared" si="1714"/>
        <v>258.9109015558376</v>
      </c>
      <c r="S469" s="593">
        <f t="shared" si="1714"/>
        <v>264.36451877926805</v>
      </c>
      <c r="T469" s="593">
        <f t="shared" si="1714"/>
        <v>269.96165893222928</v>
      </c>
      <c r="U469" s="593">
        <f t="shared" si="1714"/>
        <v>275.70658924693515</v>
      </c>
      <c r="W469" s="563" t="str">
        <v>Kirde-Eesti</v>
      </c>
      <c r="X469" s="592">
        <f t="shared" si="1708"/>
        <v>1442.4192240927969</v>
      </c>
      <c r="Y469" s="593">
        <f t="shared" ref="Y469" si="1715">Y377-Y423</f>
        <v>7.9236306662532066</v>
      </c>
      <c r="Z469" s="593">
        <f t="shared" ref="Z469:AH469" si="1716">Z377-Z423</f>
        <v>5.3109546708903626</v>
      </c>
      <c r="AA469" s="593">
        <f t="shared" si="1716"/>
        <v>4.8465004362872612</v>
      </c>
      <c r="AB469" s="593">
        <f t="shared" si="1716"/>
        <v>10.639926477207688</v>
      </c>
      <c r="AC469" s="593">
        <f t="shared" si="1716"/>
        <v>225.30928852139462</v>
      </c>
      <c r="AD469" s="593">
        <f t="shared" si="1716"/>
        <v>229.84662661961528</v>
      </c>
      <c r="AE469" s="593">
        <f t="shared" si="1716"/>
        <v>234.15670915982497</v>
      </c>
      <c r="AF469" s="593">
        <f t="shared" si="1716"/>
        <v>236.57903758105246</v>
      </c>
      <c r="AG469" s="593">
        <f t="shared" si="1716"/>
        <v>241.42633002122554</v>
      </c>
      <c r="AH469" s="593">
        <f t="shared" si="1716"/>
        <v>246.3802199390455</v>
      </c>
      <c r="AI469" s="593">
        <f t="shared" ref="AI469:AM469" si="1717">AI377-AI423</f>
        <v>251.38460674435024</v>
      </c>
      <c r="AJ469" s="593">
        <f t="shared" si="1717"/>
        <v>256.55919193524699</v>
      </c>
      <c r="AK469" s="593">
        <f t="shared" si="1717"/>
        <v>261.84800821981378</v>
      </c>
      <c r="AL469" s="593">
        <f t="shared" si="1717"/>
        <v>267.25373679883944</v>
      </c>
      <c r="AM469" s="593">
        <f t="shared" si="1717"/>
        <v>272.77913067464931</v>
      </c>
      <c r="AN469" s="865">
        <f>X469/X466</f>
        <v>0.10634355071248158</v>
      </c>
    </row>
    <row r="470" spans="3:40" hidden="1" outlineLevel="1" x14ac:dyDescent="0.3">
      <c r="C470" s="587" t="str">
        <f t="shared" si="1703"/>
        <v>Renowave</v>
      </c>
      <c r="E470" s="563" t="s">
        <v>53</v>
      </c>
      <c r="F470" s="592">
        <f t="shared" si="1704"/>
        <v>494.45993832084707</v>
      </c>
      <c r="G470" s="593">
        <f t="shared" ref="G470" si="1718">G378-G424</f>
        <v>1.7895241155028856</v>
      </c>
      <c r="H470" s="593">
        <f t="shared" ref="H470:P470" si="1719">H378-H424</f>
        <v>1.8091214454607609</v>
      </c>
      <c r="I470" s="593">
        <f t="shared" si="1719"/>
        <v>1.8298992465136337</v>
      </c>
      <c r="J470" s="593">
        <f t="shared" si="1719"/>
        <v>46.796782608639234</v>
      </c>
      <c r="K470" s="593">
        <f t="shared" si="1719"/>
        <v>72.447658032970793</v>
      </c>
      <c r="L470" s="593">
        <f t="shared" si="1719"/>
        <v>72.912778613659242</v>
      </c>
      <c r="M470" s="593">
        <f t="shared" si="1719"/>
        <v>73.400376831468222</v>
      </c>
      <c r="N470" s="593">
        <f t="shared" si="1719"/>
        <v>73.933685038386756</v>
      </c>
      <c r="O470" s="593">
        <f t="shared" si="1719"/>
        <v>74.485168245537253</v>
      </c>
      <c r="P470" s="593">
        <f t="shared" si="1719"/>
        <v>75.054944142708308</v>
      </c>
      <c r="Q470" s="593">
        <f t="shared" ref="Q470:U470" si="1720">Q378-Q424</f>
        <v>75.643137401321894</v>
      </c>
      <c r="R470" s="593">
        <f t="shared" si="1720"/>
        <v>76.249879755370458</v>
      </c>
      <c r="S470" s="593">
        <f t="shared" si="1720"/>
        <v>76.87531008723451</v>
      </c>
      <c r="T470" s="593">
        <f t="shared" si="1720"/>
        <v>77.519574518503759</v>
      </c>
      <c r="U470" s="593">
        <f t="shared" si="1720"/>
        <v>78.182826505929626</v>
      </c>
      <c r="W470" s="563" t="str">
        <v>Lõuna-Eesti </v>
      </c>
      <c r="X470" s="592">
        <f t="shared" si="1708"/>
        <v>3624.3874251876464</v>
      </c>
      <c r="Y470" s="593">
        <f t="shared" ref="Y470" si="1721">Y378-Y424</f>
        <v>12.72996649746171</v>
      </c>
      <c r="Z470" s="593">
        <f t="shared" ref="Z470:AH470" si="1722">Z378-Z424</f>
        <v>12.461943024754845</v>
      </c>
      <c r="AA470" s="593">
        <f t="shared" si="1722"/>
        <v>18.652101037253587</v>
      </c>
      <c r="AB470" s="593">
        <f t="shared" si="1722"/>
        <v>25.710756399282747</v>
      </c>
      <c r="AC470" s="593">
        <f t="shared" si="1722"/>
        <v>564.8989860680407</v>
      </c>
      <c r="AD470" s="593">
        <f t="shared" si="1722"/>
        <v>576.2708103958945</v>
      </c>
      <c r="AE470" s="593">
        <f t="shared" si="1722"/>
        <v>587.98624320394538</v>
      </c>
      <c r="AF470" s="593">
        <f t="shared" si="1722"/>
        <v>596.31099540259788</v>
      </c>
      <c r="AG470" s="593">
        <f t="shared" si="1722"/>
        <v>608.46877936255214</v>
      </c>
      <c r="AH470" s="593">
        <f t="shared" si="1722"/>
        <v>620.89684379586288</v>
      </c>
      <c r="AI470" s="593">
        <f t="shared" ref="AI470:AM470" si="1723">AI378-AI424</f>
        <v>632.91925879988639</v>
      </c>
      <c r="AJ470" s="593">
        <f t="shared" si="1723"/>
        <v>645.90723183894431</v>
      </c>
      <c r="AK470" s="593">
        <f t="shared" si="1723"/>
        <v>659.18518495740068</v>
      </c>
      <c r="AL470" s="593">
        <f t="shared" si="1723"/>
        <v>672.76004574325748</v>
      </c>
      <c r="AM470" s="593">
        <f t="shared" si="1723"/>
        <v>686.63893171099335</v>
      </c>
      <c r="AN470" s="865">
        <f>X470/X466</f>
        <v>0.26721096163602343</v>
      </c>
    </row>
    <row r="471" spans="3:40" hidden="1" outlineLevel="1" x14ac:dyDescent="0.3">
      <c r="C471" s="587" t="str">
        <f t="shared" si="1703"/>
        <v>Renowave</v>
      </c>
      <c r="E471" s="563" t="s">
        <v>54</v>
      </c>
      <c r="F471" s="592">
        <f t="shared" si="1704"/>
        <v>52.263981689571409</v>
      </c>
      <c r="G471" s="593">
        <f t="shared" ref="G471" si="1724">G379-G425</f>
        <v>0.15864864358884956</v>
      </c>
      <c r="H471" s="593">
        <f t="shared" ref="H471:P471" si="1725">H379-H425</f>
        <v>0.18257171962539315</v>
      </c>
      <c r="I471" s="593">
        <f t="shared" si="1725"/>
        <v>0.20779550417267678</v>
      </c>
      <c r="J471" s="593">
        <f t="shared" si="1725"/>
        <v>4.4292442671273768</v>
      </c>
      <c r="K471" s="593">
        <f t="shared" si="1725"/>
        <v>6.5735496307753749</v>
      </c>
      <c r="L471" s="593">
        <f t="shared" si="1725"/>
        <v>6.6488535123800512</v>
      </c>
      <c r="M471" s="593">
        <f t="shared" si="1725"/>
        <v>8.3867896861996023</v>
      </c>
      <c r="N471" s="593">
        <f t="shared" si="1725"/>
        <v>8.4707471328280981</v>
      </c>
      <c r="O471" s="593">
        <f t="shared" si="1725"/>
        <v>8.5577910146894993</v>
      </c>
      <c r="P471" s="593">
        <f t="shared" si="1725"/>
        <v>8.647990578184487</v>
      </c>
      <c r="Q471" s="593">
        <f t="shared" ref="Q471:U471" si="1726">Q379-Q425</f>
        <v>7.0820718667497982</v>
      </c>
      <c r="R471" s="593">
        <f t="shared" si="1726"/>
        <v>7.1788023325515944</v>
      </c>
      <c r="S471" s="593">
        <f t="shared" si="1726"/>
        <v>7.2789141705700393</v>
      </c>
      <c r="T471" s="593">
        <f t="shared" si="1726"/>
        <v>7.3824889387015338</v>
      </c>
      <c r="U471" s="593">
        <f t="shared" si="1726"/>
        <v>7.4896115414485607</v>
      </c>
      <c r="W471" s="563" t="str">
        <v>Kesk-Eesti</v>
      </c>
      <c r="X471" s="592">
        <f t="shared" si="1708"/>
        <v>1637.9445517181853</v>
      </c>
      <c r="Y471" s="593">
        <f t="shared" ref="Y471" si="1727">Y379-Y425</f>
        <v>5.5810240546804124</v>
      </c>
      <c r="Z471" s="593">
        <f t="shared" ref="Z471:AH471" si="1728">Z379-Z425</f>
        <v>5.5552122345687369</v>
      </c>
      <c r="AA471" s="593">
        <f t="shared" si="1728"/>
        <v>8.4910128557093909</v>
      </c>
      <c r="AB471" s="593">
        <f t="shared" si="1728"/>
        <v>10.784260996211714</v>
      </c>
      <c r="AC471" s="593">
        <f t="shared" si="1728"/>
        <v>255.43109151951501</v>
      </c>
      <c r="AD471" s="593">
        <f t="shared" si="1728"/>
        <v>260.53797420254597</v>
      </c>
      <c r="AE471" s="593">
        <f t="shared" si="1728"/>
        <v>265.93917123519151</v>
      </c>
      <c r="AF471" s="593">
        <f t="shared" si="1728"/>
        <v>269.71116538066576</v>
      </c>
      <c r="AG471" s="593">
        <f t="shared" si="1728"/>
        <v>275.16812450027413</v>
      </c>
      <c r="AH471" s="593">
        <f t="shared" si="1728"/>
        <v>280.74551473882241</v>
      </c>
      <c r="AI471" s="593">
        <f t="shared" ref="AI471:AM471" si="1729">AI379-AI425</f>
        <v>286.00475083338927</v>
      </c>
      <c r="AJ471" s="593">
        <f t="shared" si="1729"/>
        <v>291.83153871991294</v>
      </c>
      <c r="AK471" s="593">
        <f t="shared" si="1729"/>
        <v>297.78744622218392</v>
      </c>
      <c r="AL471" s="593">
        <f t="shared" si="1729"/>
        <v>303.87552649968916</v>
      </c>
      <c r="AM471" s="593">
        <f t="shared" si="1729"/>
        <v>310.09891524107206</v>
      </c>
      <c r="AN471" s="865">
        <f>X471/X466</f>
        <v>0.12075881726370398</v>
      </c>
    </row>
    <row r="472" spans="3:40" hidden="1" outlineLevel="1" x14ac:dyDescent="0.3">
      <c r="C472" s="587" t="str">
        <f>E472</f>
        <v>EET</v>
      </c>
      <c r="E472" s="555" t="str">
        <f>'EE Measures'!$IJ$6</f>
        <v>EET</v>
      </c>
      <c r="F472" s="590">
        <f>SUM(G472:P472)</f>
        <v>6643.0252321212129</v>
      </c>
      <c r="G472" s="591">
        <f>SUM(G473:G477)</f>
        <v>60.089193791455813</v>
      </c>
      <c r="H472" s="591">
        <f>SUM(H473:H477)</f>
        <v>48.157956345902413</v>
      </c>
      <c r="I472" s="591">
        <f t="shared" ref="I472:P472" si="1730">SUM(I473:I477)</f>
        <v>60.727599455825782</v>
      </c>
      <c r="J472" s="591">
        <f t="shared" si="1730"/>
        <v>111.13418672181402</v>
      </c>
      <c r="K472" s="591">
        <f t="shared" si="1730"/>
        <v>1015.5183322831651</v>
      </c>
      <c r="L472" s="591">
        <f t="shared" si="1730"/>
        <v>1036.8043998054857</v>
      </c>
      <c r="M472" s="591">
        <f t="shared" si="1730"/>
        <v>1057.2369907211887</v>
      </c>
      <c r="N472" s="591">
        <f t="shared" si="1730"/>
        <v>1061.2953091573791</v>
      </c>
      <c r="O472" s="591">
        <f t="shared" si="1730"/>
        <v>1084.2609118872094</v>
      </c>
      <c r="P472" s="591">
        <f t="shared" si="1730"/>
        <v>1107.800351951787</v>
      </c>
      <c r="Q472" s="591">
        <f t="shared" ref="Q472:U472" si="1731">SUM(Q473:Q477)</f>
        <v>1130.2699122988588</v>
      </c>
      <c r="R472" s="591">
        <f t="shared" si="1731"/>
        <v>1155.0044172753387</v>
      </c>
      <c r="S472" s="591">
        <f t="shared" si="1731"/>
        <v>1180.3611737765607</v>
      </c>
      <c r="T472" s="591">
        <f t="shared" si="1731"/>
        <v>1206.3573743861616</v>
      </c>
      <c r="U472" s="591">
        <f t="shared" si="1731"/>
        <v>1233.0107706135668</v>
      </c>
      <c r="W472" s="555" t="str">
        <f>'EE Measures'!$IJ$6</f>
        <v>EET</v>
      </c>
      <c r="X472" s="590">
        <f>SUM(Y472:AH472)</f>
        <v>6642.3067321212138</v>
      </c>
      <c r="Y472" s="591">
        <f t="shared" ref="Y472:Z472" si="1732">SUM(Y473:Y477)</f>
        <v>60.08919379145587</v>
      </c>
      <c r="Z472" s="591">
        <f t="shared" si="1732"/>
        <v>48.15795634590237</v>
      </c>
      <c r="AA472" s="591">
        <f t="shared" ref="AA472" si="1733">SUM(AA473:AA477)</f>
        <v>60.727599455825775</v>
      </c>
      <c r="AB472" s="591">
        <f t="shared" ref="AB472" si="1734">SUM(AB473:AB477)</f>
        <v>111.13418672181395</v>
      </c>
      <c r="AC472" s="591">
        <f t="shared" ref="AC472" si="1735">SUM(AC473:AC477)</f>
        <v>1015.3985822831654</v>
      </c>
      <c r="AD472" s="591">
        <f t="shared" ref="AD472" si="1736">SUM(AD473:AD477)</f>
        <v>1036.6846498054856</v>
      </c>
      <c r="AE472" s="591">
        <f t="shared" ref="AE472" si="1737">SUM(AE473:AE477)</f>
        <v>1057.1172407211884</v>
      </c>
      <c r="AF472" s="591">
        <f t="shared" ref="AF472" si="1738">SUM(AF473:AF477)</f>
        <v>1061.1755591573792</v>
      </c>
      <c r="AG472" s="591">
        <f t="shared" ref="AG472" si="1739">SUM(AG473:AG477)</f>
        <v>1084.1411618872098</v>
      </c>
      <c r="AH472" s="591">
        <f t="shared" ref="AH472:AM472" si="1740">SUM(AH473:AH477)</f>
        <v>1107.6806019517869</v>
      </c>
      <c r="AI472" s="591">
        <f t="shared" si="1740"/>
        <v>1130.1501622988587</v>
      </c>
      <c r="AJ472" s="591">
        <f t="shared" si="1740"/>
        <v>1154.8846672753384</v>
      </c>
      <c r="AK472" s="591">
        <f t="shared" si="1740"/>
        <v>1180.2414237765609</v>
      </c>
      <c r="AL472" s="591">
        <f t="shared" si="1740"/>
        <v>1206.2376243861613</v>
      </c>
      <c r="AM472" s="591">
        <f t="shared" si="1740"/>
        <v>1232.891020613567</v>
      </c>
    </row>
    <row r="473" spans="3:40" hidden="1" outlineLevel="1" x14ac:dyDescent="0.3">
      <c r="C473" s="587" t="str">
        <f>C472</f>
        <v>EET</v>
      </c>
      <c r="E473" s="563" t="s">
        <v>50</v>
      </c>
      <c r="F473" s="592">
        <f>SUM(G473:P473)</f>
        <v>263.95606994965289</v>
      </c>
      <c r="G473" s="593">
        <f t="shared" ref="G473" si="1741">G381-G427</f>
        <v>25.996990907529344</v>
      </c>
      <c r="H473" s="593">
        <f t="shared" ref="H473:P473" si="1742">H381-H427</f>
        <v>2.0937895138711031</v>
      </c>
      <c r="I473" s="593">
        <f t="shared" si="1742"/>
        <v>1.1184022038167802</v>
      </c>
      <c r="J473" s="593">
        <f t="shared" si="1742"/>
        <v>29.50853966937937</v>
      </c>
      <c r="K473" s="593">
        <f t="shared" si="1742"/>
        <v>43.478375391444594</v>
      </c>
      <c r="L473" s="593">
        <f t="shared" si="1742"/>
        <v>44.216158102242971</v>
      </c>
      <c r="M473" s="593">
        <f t="shared" si="1742"/>
        <v>41.923315508291779</v>
      </c>
      <c r="N473" s="593">
        <f t="shared" si="1742"/>
        <v>24.370544071343367</v>
      </c>
      <c r="O473" s="593">
        <f t="shared" si="1742"/>
        <v>25.196438622040443</v>
      </c>
      <c r="P473" s="593">
        <f t="shared" si="1742"/>
        <v>26.053515959693176</v>
      </c>
      <c r="Q473" s="593">
        <f t="shared" ref="Q473:U473" si="1743">Q381-Q427</f>
        <v>26.942926710300114</v>
      </c>
      <c r="R473" s="593">
        <f t="shared" si="1743"/>
        <v>27.865866783954711</v>
      </c>
      <c r="S473" s="593">
        <f t="shared" si="1743"/>
        <v>28.8235791597054</v>
      </c>
      <c r="T473" s="593">
        <f t="shared" si="1743"/>
        <v>29.817355742804548</v>
      </c>
      <c r="U473" s="593">
        <f t="shared" si="1743"/>
        <v>30.848539297317938</v>
      </c>
      <c r="W473" s="563" t="str" cm="1">
        <f t="array" ref="W473:W477">_xlfn.ANCHORARRAY($W$357)</f>
        <v xml:space="preserve">Põhja-Eesti </v>
      </c>
      <c r="X473" s="592">
        <f>SUM(Y473:AH473)</f>
        <v>2475.6190880407867</v>
      </c>
      <c r="Y473" s="593">
        <f>Y381-Y427</f>
        <v>28.151086094538954</v>
      </c>
      <c r="Z473" s="593">
        <f>Z381-Z427</f>
        <v>18.894247870952483</v>
      </c>
      <c r="AA473" s="593">
        <f t="shared" ref="AA473:AH473" si="1744">AA381-AA427</f>
        <v>19.47615676829966</v>
      </c>
      <c r="AB473" s="593">
        <f t="shared" si="1744"/>
        <v>52.749199193093659</v>
      </c>
      <c r="AC473" s="593">
        <f t="shared" si="1744"/>
        <v>376.96840042058739</v>
      </c>
      <c r="AD473" s="593">
        <f t="shared" si="1744"/>
        <v>385.2278719909304</v>
      </c>
      <c r="AE473" s="593">
        <f t="shared" si="1744"/>
        <v>392.25911697219988</v>
      </c>
      <c r="AF473" s="593">
        <f t="shared" si="1744"/>
        <v>391.60877508882095</v>
      </c>
      <c r="AG473" s="593">
        <f t="shared" si="1744"/>
        <v>400.55295911497581</v>
      </c>
      <c r="AH473" s="593">
        <f t="shared" si="1744"/>
        <v>409.73127452638738</v>
      </c>
      <c r="AI473" s="593">
        <f t="shared" ref="AI473:AM473" si="1745">AI381-AI427</f>
        <v>419.03928361696262</v>
      </c>
      <c r="AJ473" s="593">
        <f t="shared" si="1745"/>
        <v>428.70615260335433</v>
      </c>
      <c r="AK473" s="593">
        <f t="shared" si="1745"/>
        <v>438.62790156214919</v>
      </c>
      <c r="AL473" s="593">
        <f t="shared" si="1745"/>
        <v>448.81191853294882</v>
      </c>
      <c r="AM473" s="593">
        <f t="shared" si="1745"/>
        <v>459.2658420483948</v>
      </c>
      <c r="AN473" s="865">
        <f>X473/X472</f>
        <v>0.37270472260322735</v>
      </c>
    </row>
    <row r="474" spans="3:40" hidden="1" outlineLevel="1" x14ac:dyDescent="0.3">
      <c r="C474" s="587" t="str">
        <f t="shared" ref="C474:C477" si="1746">C473</f>
        <v>EET</v>
      </c>
      <c r="E474" s="563" t="s">
        <v>51</v>
      </c>
      <c r="F474" s="592">
        <f t="shared" ref="F474:F477" si="1747">SUM(G474:P474)</f>
        <v>4346.1462300803769</v>
      </c>
      <c r="G474" s="593">
        <f t="shared" ref="G474" si="1748">G382-G428</f>
        <v>31.20786898217349</v>
      </c>
      <c r="H474" s="593">
        <f t="shared" ref="H474:P474" si="1749">H382-H428</f>
        <v>42.05218507619773</v>
      </c>
      <c r="I474" s="593">
        <f t="shared" si="1749"/>
        <v>55.098572981298844</v>
      </c>
      <c r="J474" s="593">
        <f t="shared" si="1749"/>
        <v>18.783532895098695</v>
      </c>
      <c r="K474" s="593">
        <f t="shared" si="1749"/>
        <v>660.15088642350906</v>
      </c>
      <c r="L474" s="593">
        <f t="shared" si="1749"/>
        <v>675.52530625769168</v>
      </c>
      <c r="M474" s="593">
        <f t="shared" si="1749"/>
        <v>691.27131187832379</v>
      </c>
      <c r="N474" s="593">
        <f t="shared" si="1749"/>
        <v>707.38900079932284</v>
      </c>
      <c r="O474" s="593">
        <f t="shared" si="1749"/>
        <v>723.8882653812633</v>
      </c>
      <c r="P474" s="593">
        <f t="shared" si="1749"/>
        <v>740.77929940549734</v>
      </c>
      <c r="Q474" s="593">
        <f t="shared" ref="Q474:U474" si="1750">Q382-Q428</f>
        <v>758.07260861393615</v>
      </c>
      <c r="R474" s="593">
        <f t="shared" si="1750"/>
        <v>775.77902166007175</v>
      </c>
      <c r="S474" s="593">
        <f t="shared" si="1750"/>
        <v>793.9097014884793</v>
      </c>
      <c r="T474" s="593">
        <f t="shared" si="1750"/>
        <v>812.47615716079304</v>
      </c>
      <c r="U474" s="593">
        <f t="shared" si="1750"/>
        <v>831.49025614694347</v>
      </c>
      <c r="W474" s="563" t="str">
        <v>Lääne-Eesti</v>
      </c>
      <c r="X474" s="592">
        <f t="shared" ref="X474:X477" si="1751">SUM(Y474:AH474)</f>
        <v>946.62488121732622</v>
      </c>
      <c r="Y474" s="593">
        <f t="shared" ref="Y474" si="1752">Y382-Y428</f>
        <v>5.7034864785215831</v>
      </c>
      <c r="Z474" s="593">
        <f t="shared" ref="Z474:AH474" si="1753">Z382-Z428</f>
        <v>5.9355985447359387</v>
      </c>
      <c r="AA474" s="593">
        <f t="shared" si="1753"/>
        <v>9.2618283582758778</v>
      </c>
      <c r="AB474" s="593">
        <f t="shared" si="1753"/>
        <v>11.250043656018136</v>
      </c>
      <c r="AC474" s="593">
        <f t="shared" si="1753"/>
        <v>145.69485167608821</v>
      </c>
      <c r="AD474" s="593">
        <f t="shared" si="1753"/>
        <v>148.56245170273783</v>
      </c>
      <c r="AE474" s="593">
        <f t="shared" si="1753"/>
        <v>151.6112754237181</v>
      </c>
      <c r="AF474" s="593">
        <f t="shared" si="1753"/>
        <v>153.09653494873521</v>
      </c>
      <c r="AG474" s="593">
        <f t="shared" si="1753"/>
        <v>156.17750558289305</v>
      </c>
      <c r="AH474" s="593">
        <f t="shared" si="1753"/>
        <v>159.33130484560235</v>
      </c>
      <c r="AI474" s="593">
        <f t="shared" ref="AI474:AM474" si="1754">AI382-AI428</f>
        <v>162.19387778141061</v>
      </c>
      <c r="AJ474" s="593">
        <f t="shared" si="1754"/>
        <v>165.49896842989125</v>
      </c>
      <c r="AK474" s="593">
        <f t="shared" si="1754"/>
        <v>168.88263585739276</v>
      </c>
      <c r="AL474" s="593">
        <f t="shared" si="1754"/>
        <v>172.34691337998174</v>
      </c>
      <c r="AM474" s="593">
        <f t="shared" si="1754"/>
        <v>175.89389630371198</v>
      </c>
      <c r="AN474" s="865">
        <f>X474/X472</f>
        <v>0.1425144786884936</v>
      </c>
    </row>
    <row r="475" spans="3:40" hidden="1" outlineLevel="1" x14ac:dyDescent="0.3">
      <c r="C475" s="587" t="str">
        <f t="shared" si="1746"/>
        <v>EET</v>
      </c>
      <c r="E475" s="563" t="s">
        <v>52</v>
      </c>
      <c r="F475" s="592">
        <f t="shared" si="1747"/>
        <v>1458.8408120807644</v>
      </c>
      <c r="G475" s="593">
        <f t="shared" ref="G475" si="1755">G383-G429</f>
        <v>0.93616114266123418</v>
      </c>
      <c r="H475" s="593">
        <f t="shared" ref="H475:P475" si="1756">H383-H429</f>
        <v>2.0202885907473984</v>
      </c>
      <c r="I475" s="593">
        <f t="shared" si="1756"/>
        <v>2.4729295200238468</v>
      </c>
      <c r="J475" s="593">
        <f t="shared" si="1756"/>
        <v>11.616087281569264</v>
      </c>
      <c r="K475" s="593">
        <f t="shared" si="1756"/>
        <v>228.30816280446547</v>
      </c>
      <c r="L475" s="593">
        <f t="shared" si="1756"/>
        <v>232.94160331951161</v>
      </c>
      <c r="M475" s="593">
        <f t="shared" si="1756"/>
        <v>237.69549681690518</v>
      </c>
      <c r="N475" s="593">
        <f t="shared" si="1756"/>
        <v>242.57163211549795</v>
      </c>
      <c r="O475" s="593">
        <f t="shared" si="1756"/>
        <v>247.57354862367902</v>
      </c>
      <c r="P475" s="593">
        <f t="shared" si="1756"/>
        <v>252.70490186570356</v>
      </c>
      <c r="Q475" s="593">
        <f t="shared" ref="Q475:U475" si="1757">Q383-Q429</f>
        <v>257.96946770655074</v>
      </c>
      <c r="R475" s="593">
        <f t="shared" si="1757"/>
        <v>263.37114674338989</v>
      </c>
      <c r="S475" s="593">
        <f t="shared" si="1757"/>
        <v>268.91396887057135</v>
      </c>
      <c r="T475" s="593">
        <f t="shared" si="1757"/>
        <v>274.60209802535877</v>
      </c>
      <c r="U475" s="593">
        <f t="shared" si="1757"/>
        <v>280.4398371219271</v>
      </c>
      <c r="W475" s="563" t="str">
        <v>Kirde-Eesti</v>
      </c>
      <c r="X475" s="592">
        <f t="shared" si="1751"/>
        <v>655.58571812170749</v>
      </c>
      <c r="Y475" s="593">
        <f t="shared" ref="Y475" si="1758">Y383-Y429</f>
        <v>7.923630666253203</v>
      </c>
      <c r="Z475" s="593">
        <f t="shared" ref="Z475:AH475" si="1759">Z383-Z429</f>
        <v>5.3109546708903608</v>
      </c>
      <c r="AA475" s="593">
        <f t="shared" si="1759"/>
        <v>4.846500436287263</v>
      </c>
      <c r="AB475" s="593">
        <f t="shared" si="1759"/>
        <v>10.639926477207688</v>
      </c>
      <c r="AC475" s="593">
        <f t="shared" si="1759"/>
        <v>100.47057180910684</v>
      </c>
      <c r="AD475" s="593">
        <f t="shared" si="1759"/>
        <v>102.55424980547792</v>
      </c>
      <c r="AE475" s="593">
        <f t="shared" si="1759"/>
        <v>104.36159904180124</v>
      </c>
      <c r="AF475" s="593">
        <f t="shared" si="1759"/>
        <v>104.2311394930647</v>
      </c>
      <c r="AG475" s="593">
        <f t="shared" si="1759"/>
        <v>106.47458820387452</v>
      </c>
      <c r="AH475" s="593">
        <f t="shared" si="1759"/>
        <v>108.77255751774376</v>
      </c>
      <c r="AI475" s="593">
        <f t="shared" ref="AI475:AM475" si="1760">AI383-AI429</f>
        <v>111.06790530701886</v>
      </c>
      <c r="AJ475" s="593">
        <f t="shared" si="1760"/>
        <v>113.47927070156533</v>
      </c>
      <c r="AK475" s="593">
        <f t="shared" si="1760"/>
        <v>115.94960279385492</v>
      </c>
      <c r="AL475" s="593">
        <f t="shared" si="1760"/>
        <v>118.48047749675789</v>
      </c>
      <c r="AM475" s="593">
        <f t="shared" si="1760"/>
        <v>121.07352041892244</v>
      </c>
      <c r="AN475" s="865">
        <f>X475/X472</f>
        <v>9.8698501072133848E-2</v>
      </c>
    </row>
    <row r="476" spans="3:40" hidden="1" outlineLevel="1" x14ac:dyDescent="0.3">
      <c r="C476" s="587" t="str">
        <f t="shared" si="1746"/>
        <v>EET</v>
      </c>
      <c r="E476" s="563" t="s">
        <v>53</v>
      </c>
      <c r="F476" s="592">
        <f t="shared" si="1747"/>
        <v>521.81813832084686</v>
      </c>
      <c r="G476" s="593">
        <f t="shared" ref="G476" si="1761">G384-G430</f>
        <v>1.7895241155028998</v>
      </c>
      <c r="H476" s="593">
        <f t="shared" ref="H476:P476" si="1762">H384-H430</f>
        <v>1.8091214454607893</v>
      </c>
      <c r="I476" s="593">
        <f t="shared" si="1762"/>
        <v>1.8298992465136337</v>
      </c>
      <c r="J476" s="593">
        <f t="shared" si="1762"/>
        <v>46.796782608639319</v>
      </c>
      <c r="K476" s="593">
        <f t="shared" si="1762"/>
        <v>77.007358032970615</v>
      </c>
      <c r="L476" s="593">
        <f t="shared" si="1762"/>
        <v>77.472478613659177</v>
      </c>
      <c r="M476" s="593">
        <f t="shared" si="1762"/>
        <v>77.960076831468257</v>
      </c>
      <c r="N476" s="593">
        <f t="shared" si="1762"/>
        <v>78.493385038386748</v>
      </c>
      <c r="O476" s="593">
        <f t="shared" si="1762"/>
        <v>79.044868245537231</v>
      </c>
      <c r="P476" s="593">
        <f t="shared" si="1762"/>
        <v>79.6146441427083</v>
      </c>
      <c r="Q476" s="593">
        <f t="shared" ref="Q476:U476" si="1763">Q384-Q430</f>
        <v>80.202837401321901</v>
      </c>
      <c r="R476" s="593">
        <f t="shared" si="1763"/>
        <v>80.809579755370493</v>
      </c>
      <c r="S476" s="593">
        <f t="shared" si="1763"/>
        <v>81.435010087234517</v>
      </c>
      <c r="T476" s="593">
        <f t="shared" si="1763"/>
        <v>82.079274518503766</v>
      </c>
      <c r="U476" s="593">
        <f t="shared" si="1763"/>
        <v>82.742526505929604</v>
      </c>
      <c r="W476" s="563" t="str">
        <v>Lõuna-Eesti </v>
      </c>
      <c r="X476" s="592">
        <f t="shared" si="1751"/>
        <v>1763.1145374317973</v>
      </c>
      <c r="Y476" s="593">
        <f t="shared" ref="Y476" si="1764">Y384-Y430</f>
        <v>12.729966497461717</v>
      </c>
      <c r="Z476" s="593">
        <f t="shared" ref="Z476:AH476" si="1765">Z384-Z430</f>
        <v>12.461943024754849</v>
      </c>
      <c r="AA476" s="593">
        <f t="shared" si="1765"/>
        <v>18.652101037253583</v>
      </c>
      <c r="AB476" s="593">
        <f t="shared" si="1765"/>
        <v>25.710756399282744</v>
      </c>
      <c r="AC476" s="593">
        <f t="shared" si="1765"/>
        <v>269.57566219815612</v>
      </c>
      <c r="AD476" s="593">
        <f t="shared" si="1765"/>
        <v>275.14892328586063</v>
      </c>
      <c r="AE476" s="593">
        <f t="shared" si="1765"/>
        <v>280.94982158895971</v>
      </c>
      <c r="AF476" s="593">
        <f t="shared" si="1765"/>
        <v>283.24174859256141</v>
      </c>
      <c r="AG476" s="593">
        <f t="shared" si="1765"/>
        <v>289.24605085356353</v>
      </c>
      <c r="AH476" s="593">
        <f t="shared" si="1765"/>
        <v>295.39756395394312</v>
      </c>
      <c r="AI476" s="593">
        <f t="shared" ref="AI476:AM476" si="1766">AI384-AI430</f>
        <v>301.01789659837704</v>
      </c>
      <c r="AJ476" s="593">
        <f t="shared" si="1766"/>
        <v>307.47574563065331</v>
      </c>
      <c r="AK476" s="593">
        <f t="shared" si="1766"/>
        <v>314.0929722621928</v>
      </c>
      <c r="AL476" s="593">
        <f t="shared" si="1766"/>
        <v>320.87389203139429</v>
      </c>
      <c r="AM476" s="593">
        <f t="shared" si="1766"/>
        <v>327.82295816214145</v>
      </c>
      <c r="AN476" s="865">
        <f>X476/X472</f>
        <v>0.26543708511767999</v>
      </c>
    </row>
    <row r="477" spans="3:40" hidden="1" outlineLevel="1" x14ac:dyDescent="0.3">
      <c r="C477" s="587" t="str">
        <f t="shared" si="1746"/>
        <v>EET</v>
      </c>
      <c r="E477" s="563" t="s">
        <v>54</v>
      </c>
      <c r="F477" s="592">
        <f t="shared" si="1747"/>
        <v>52.263981689571409</v>
      </c>
      <c r="G477" s="593">
        <f t="shared" ref="G477" si="1767">G385-G431</f>
        <v>0.15864864358884956</v>
      </c>
      <c r="H477" s="593">
        <f t="shared" ref="H477:P477" si="1768">H385-H431</f>
        <v>0.18257171962539315</v>
      </c>
      <c r="I477" s="593">
        <f t="shared" si="1768"/>
        <v>0.20779550417267678</v>
      </c>
      <c r="J477" s="593">
        <f t="shared" si="1768"/>
        <v>4.4292442671273768</v>
      </c>
      <c r="K477" s="593">
        <f t="shared" si="1768"/>
        <v>6.5735496307753749</v>
      </c>
      <c r="L477" s="593">
        <f t="shared" si="1768"/>
        <v>6.6488535123800512</v>
      </c>
      <c r="M477" s="593">
        <f t="shared" si="1768"/>
        <v>8.3867896861996023</v>
      </c>
      <c r="N477" s="593">
        <f t="shared" si="1768"/>
        <v>8.4707471328280981</v>
      </c>
      <c r="O477" s="593">
        <f t="shared" si="1768"/>
        <v>8.5577910146894993</v>
      </c>
      <c r="P477" s="593">
        <f t="shared" si="1768"/>
        <v>8.647990578184487</v>
      </c>
      <c r="Q477" s="593">
        <f t="shared" ref="Q477:U477" si="1769">Q385-Q431</f>
        <v>7.0820718667497982</v>
      </c>
      <c r="R477" s="593">
        <f t="shared" si="1769"/>
        <v>7.1788023325515944</v>
      </c>
      <c r="S477" s="593">
        <f t="shared" si="1769"/>
        <v>7.2789141705700393</v>
      </c>
      <c r="T477" s="593">
        <f t="shared" si="1769"/>
        <v>7.3824889387015338</v>
      </c>
      <c r="U477" s="593">
        <f t="shared" si="1769"/>
        <v>7.4896115414485607</v>
      </c>
      <c r="W477" s="563" t="str">
        <v>Kesk-Eesti</v>
      </c>
      <c r="X477" s="592">
        <f t="shared" si="1751"/>
        <v>801.36250730959546</v>
      </c>
      <c r="Y477" s="593">
        <f t="shared" ref="Y477" si="1770">Y385-Y431</f>
        <v>5.5810240546804089</v>
      </c>
      <c r="Z477" s="593">
        <f t="shared" ref="Z477:AH477" si="1771">Z385-Z431</f>
        <v>5.5552122345687334</v>
      </c>
      <c r="AA477" s="593">
        <f t="shared" si="1771"/>
        <v>8.4910128557093927</v>
      </c>
      <c r="AB477" s="593">
        <f t="shared" si="1771"/>
        <v>10.784260996211714</v>
      </c>
      <c r="AC477" s="593">
        <f t="shared" si="1771"/>
        <v>122.68909617922679</v>
      </c>
      <c r="AD477" s="593">
        <f t="shared" si="1771"/>
        <v>125.19115302047879</v>
      </c>
      <c r="AE477" s="593">
        <f t="shared" si="1771"/>
        <v>127.93542769450954</v>
      </c>
      <c r="AF477" s="593">
        <f t="shared" si="1771"/>
        <v>128.99736103419696</v>
      </c>
      <c r="AG477" s="593">
        <f t="shared" si="1771"/>
        <v>131.69005813190276</v>
      </c>
      <c r="AH477" s="593">
        <f t="shared" si="1771"/>
        <v>134.44790110811027</v>
      </c>
      <c r="AI477" s="593">
        <f t="shared" ref="AI477:AM477" si="1772">AI385-AI431</f>
        <v>136.83119899508961</v>
      </c>
      <c r="AJ477" s="593">
        <f t="shared" si="1772"/>
        <v>139.72452990987409</v>
      </c>
      <c r="AK477" s="593">
        <f t="shared" si="1772"/>
        <v>142.68831130097107</v>
      </c>
      <c r="AL477" s="593">
        <f t="shared" si="1772"/>
        <v>145.72442294507874</v>
      </c>
      <c r="AM477" s="593">
        <f t="shared" si="1772"/>
        <v>148.83480368039613</v>
      </c>
      <c r="AN477" s="865">
        <f>X477/X472</f>
        <v>0.12064521251846513</v>
      </c>
    </row>
    <row r="478" spans="3:40" hidden="1" outlineLevel="1" x14ac:dyDescent="0.3">
      <c r="C478" s="587" t="str">
        <f>E478</f>
        <v>CEER1</v>
      </c>
      <c r="E478" s="555" t="str">
        <f>'EE Measures'!$IK$6</f>
        <v>CEER1</v>
      </c>
      <c r="F478" s="590">
        <f>SUM(G478:P478)</f>
        <v>8063.5701569349485</v>
      </c>
      <c r="G478" s="591">
        <f>SUM(G479:G483)</f>
        <v>60.089193791455813</v>
      </c>
      <c r="H478" s="591">
        <f>SUM(H479:H483)</f>
        <v>48.157956345902356</v>
      </c>
      <c r="I478" s="591">
        <f t="shared" ref="I478:P478" si="1773">SUM(I479:I483)</f>
        <v>60.727599455825754</v>
      </c>
      <c r="J478" s="591">
        <f t="shared" si="1773"/>
        <v>111.13418672181396</v>
      </c>
      <c r="K478" s="591">
        <f t="shared" si="1773"/>
        <v>1227.7043525355959</v>
      </c>
      <c r="L478" s="591">
        <f t="shared" si="1773"/>
        <v>1256.8901347093704</v>
      </c>
      <c r="M478" s="591">
        <f t="shared" si="1773"/>
        <v>1286.7208833495829</v>
      </c>
      <c r="N478" s="591">
        <f t="shared" si="1773"/>
        <v>1301.9512528219425</v>
      </c>
      <c r="O478" s="591">
        <f t="shared" si="1773"/>
        <v>1337.9369687986834</v>
      </c>
      <c r="P478" s="591">
        <f t="shared" si="1773"/>
        <v>1372.2576284047755</v>
      </c>
      <c r="Q478" s="591">
        <f t="shared" ref="Q478:U478" si="1774">SUM(Q479:Q483)</f>
        <v>1399.3825181531336</v>
      </c>
      <c r="R478" s="591">
        <f t="shared" si="1774"/>
        <v>1428.8600154343853</v>
      </c>
      <c r="S478" s="591">
        <f t="shared" si="1774"/>
        <v>1459.0506676847265</v>
      </c>
      <c r="T478" s="591">
        <f t="shared" si="1774"/>
        <v>1489.973361919125</v>
      </c>
      <c r="U478" s="591">
        <f t="shared" si="1774"/>
        <v>1521.6537598446985</v>
      </c>
      <c r="V478" s="555"/>
      <c r="W478" s="555" t="str">
        <f>'EE Measures'!$IK$6</f>
        <v>CEER1</v>
      </c>
      <c r="X478" s="590">
        <f>SUM(Y478:AH478)</f>
        <v>8062.8516569349467</v>
      </c>
      <c r="Y478" s="591">
        <f t="shared" ref="Y478:Z478" si="1775">SUM(Y479:Y483)</f>
        <v>60.089193791455855</v>
      </c>
      <c r="Z478" s="591">
        <f t="shared" si="1775"/>
        <v>48.157956345902356</v>
      </c>
      <c r="AA478" s="591">
        <f t="shared" ref="AA478" si="1776">SUM(AA479:AA483)</f>
        <v>60.727599455825789</v>
      </c>
      <c r="AB478" s="591">
        <f t="shared" ref="AB478" si="1777">SUM(AB479:AB483)</f>
        <v>111.13418672181398</v>
      </c>
      <c r="AC478" s="591">
        <f t="shared" ref="AC478" si="1778">SUM(AC479:AC483)</f>
        <v>1227.5846025355956</v>
      </c>
      <c r="AD478" s="591">
        <f t="shared" ref="AD478" si="1779">SUM(AD479:AD483)</f>
        <v>1256.7703847093701</v>
      </c>
      <c r="AE478" s="591">
        <f t="shared" ref="AE478" si="1780">SUM(AE479:AE483)</f>
        <v>1286.6011333495826</v>
      </c>
      <c r="AF478" s="591">
        <f t="shared" ref="AF478" si="1781">SUM(AF479:AF483)</f>
        <v>1301.831502821942</v>
      </c>
      <c r="AG478" s="591">
        <f t="shared" ref="AG478" si="1782">SUM(AG479:AG483)</f>
        <v>1337.8172187986834</v>
      </c>
      <c r="AH478" s="591">
        <f t="shared" ref="AH478:AM478" si="1783">SUM(AH479:AH483)</f>
        <v>1372.1378784047754</v>
      </c>
      <c r="AI478" s="591">
        <f t="shared" si="1783"/>
        <v>1399.262768153133</v>
      </c>
      <c r="AJ478" s="591">
        <f t="shared" si="1783"/>
        <v>1428.740265434385</v>
      </c>
      <c r="AK478" s="591">
        <f t="shared" si="1783"/>
        <v>1458.930917684726</v>
      </c>
      <c r="AL478" s="591">
        <f t="shared" si="1783"/>
        <v>1489.8536119191249</v>
      </c>
      <c r="AM478" s="591">
        <f t="shared" si="1783"/>
        <v>1521.5340098446979</v>
      </c>
    </row>
    <row r="479" spans="3:40" hidden="1" outlineLevel="1" x14ac:dyDescent="0.3">
      <c r="C479" s="587" t="str">
        <f>C478</f>
        <v>CEER1</v>
      </c>
      <c r="E479" s="563" t="s">
        <v>50</v>
      </c>
      <c r="F479" s="592">
        <f>SUM(G479:P479)</f>
        <v>357.09599391097299</v>
      </c>
      <c r="G479" s="593">
        <f t="shared" ref="G479" si="1784">G387-G433</f>
        <v>25.996990907529344</v>
      </c>
      <c r="H479" s="593">
        <f t="shared" ref="H479:P479" si="1785">H387-H433</f>
        <v>2.0937895138711031</v>
      </c>
      <c r="I479" s="593">
        <f t="shared" si="1785"/>
        <v>1.1184022038167802</v>
      </c>
      <c r="J479" s="593">
        <f t="shared" si="1785"/>
        <v>29.50853966937937</v>
      </c>
      <c r="K479" s="593">
        <f t="shared" si="1785"/>
        <v>44.088579125199438</v>
      </c>
      <c r="L479" s="593">
        <f t="shared" si="1785"/>
        <v>48.964560157078495</v>
      </c>
      <c r="M479" s="593">
        <f t="shared" si="1785"/>
        <v>52.233128630655969</v>
      </c>
      <c r="N479" s="593">
        <f t="shared" si="1785"/>
        <v>41.938926639755806</v>
      </c>
      <c r="O479" s="593">
        <f t="shared" si="1785"/>
        <v>51.793183215440422</v>
      </c>
      <c r="P479" s="593">
        <f t="shared" si="1785"/>
        <v>59.35989384824633</v>
      </c>
      <c r="Q479" s="593">
        <f t="shared" ref="Q479:U479" si="1786">Q387-Q433</f>
        <v>60.751616028850918</v>
      </c>
      <c r="R479" s="593">
        <f t="shared" si="1786"/>
        <v>62.18147007656313</v>
      </c>
      <c r="S479" s="593">
        <f t="shared" si="1786"/>
        <v>63.652278304103874</v>
      </c>
      <c r="T479" s="593">
        <f t="shared" si="1786"/>
        <v>65.165332616725465</v>
      </c>
      <c r="U479" s="593">
        <f t="shared" si="1786"/>
        <v>66.728157656226117</v>
      </c>
      <c r="W479" s="563" t="str" cm="1">
        <f t="array" ref="W479:W483">_xlfn.ANCHORARRAY($W$357)</f>
        <v xml:space="preserve">Põhja-Eesti </v>
      </c>
      <c r="X479" s="592">
        <f>SUM(Y479:AH479)</f>
        <v>2982.6909030143001</v>
      </c>
      <c r="Y479" s="593">
        <f>Y387-Y433</f>
        <v>28.151086094538925</v>
      </c>
      <c r="Z479" s="593">
        <f>Z387-Z433</f>
        <v>18.894247870952455</v>
      </c>
      <c r="AA479" s="593">
        <f t="shared" ref="AA479:AH479" si="1787">AA387-AA433</f>
        <v>19.47615676829966</v>
      </c>
      <c r="AB479" s="593">
        <f t="shared" si="1787"/>
        <v>52.749199193093631</v>
      </c>
      <c r="AC479" s="593">
        <f t="shared" si="1787"/>
        <v>450.53692834773619</v>
      </c>
      <c r="AD479" s="593">
        <f t="shared" si="1787"/>
        <v>462.20596642404234</v>
      </c>
      <c r="AE479" s="593">
        <f t="shared" si="1787"/>
        <v>473.39926184347667</v>
      </c>
      <c r="AF479" s="593">
        <f t="shared" si="1787"/>
        <v>477.80382106174949</v>
      </c>
      <c r="AG479" s="593">
        <f t="shared" si="1787"/>
        <v>492.73336545096066</v>
      </c>
      <c r="AH479" s="593">
        <f t="shared" si="1787"/>
        <v>506.74086995945021</v>
      </c>
      <c r="AI479" s="593">
        <f t="shared" ref="AI479:AM479" si="1788">AI387-AI433</f>
        <v>517.73733951228883</v>
      </c>
      <c r="AJ479" s="593">
        <f t="shared" si="1788"/>
        <v>529.1236591956291</v>
      </c>
      <c r="AK479" s="593">
        <f t="shared" si="1788"/>
        <v>540.79722814140405</v>
      </c>
      <c r="AL479" s="593">
        <f t="shared" si="1788"/>
        <v>552.76601865864416</v>
      </c>
      <c r="AM479" s="593">
        <f t="shared" si="1788"/>
        <v>565.04142105341293</v>
      </c>
      <c r="AN479" s="865">
        <f>X479/X478</f>
        <v>0.36993002351083254</v>
      </c>
    </row>
    <row r="480" spans="3:40" hidden="1" outlineLevel="1" x14ac:dyDescent="0.3">
      <c r="C480" s="587" t="str">
        <f t="shared" ref="C480:C483" si="1789">C479</f>
        <v>CEER1</v>
      </c>
      <c r="E480" s="563" t="s">
        <v>51</v>
      </c>
      <c r="F480" s="592">
        <f t="shared" ref="F480:F483" si="1790">SUM(G480:P480)</f>
        <v>5413.4511567139762</v>
      </c>
      <c r="G480" s="593">
        <f t="shared" ref="G480" si="1791">G388-G434</f>
        <v>31.20786898217349</v>
      </c>
      <c r="H480" s="593">
        <f t="shared" ref="H480:P480" si="1792">H388-H434</f>
        <v>42.05218507619773</v>
      </c>
      <c r="I480" s="593">
        <f t="shared" si="1792"/>
        <v>55.098572981298844</v>
      </c>
      <c r="J480" s="593">
        <f t="shared" si="1792"/>
        <v>18.783532895098695</v>
      </c>
      <c r="K480" s="593">
        <f t="shared" si="1792"/>
        <v>830.49412738820047</v>
      </c>
      <c r="L480" s="593">
        <f t="shared" si="1792"/>
        <v>848.80541204167719</v>
      </c>
      <c r="M480" s="593">
        <f t="shared" si="1792"/>
        <v>867.54701977798879</v>
      </c>
      <c r="N480" s="593">
        <f t="shared" si="1792"/>
        <v>886.72022285698142</v>
      </c>
      <c r="O480" s="593">
        <f t="shared" si="1792"/>
        <v>906.33611188007512</v>
      </c>
      <c r="P480" s="593">
        <f t="shared" si="1792"/>
        <v>926.40610283428532</v>
      </c>
      <c r="Q480" s="593">
        <f t="shared" ref="Q480:U480" si="1793">Q388-Q434</f>
        <v>946.94194811129978</v>
      </c>
      <c r="R480" s="593">
        <f t="shared" si="1793"/>
        <v>967.95574794738263</v>
      </c>
      <c r="S480" s="593">
        <f t="shared" si="1793"/>
        <v>989.45996230153651</v>
      </c>
      <c r="T480" s="593">
        <f t="shared" si="1793"/>
        <v>1011.4674231901112</v>
      </c>
      <c r="U480" s="593">
        <f t="shared" si="1793"/>
        <v>1033.9913474968482</v>
      </c>
      <c r="W480" s="563" t="str">
        <v>Lääne-Eesti</v>
      </c>
      <c r="X480" s="592">
        <f t="shared" ref="X480:X483" si="1794">SUM(Y480:AH480)</f>
        <v>1154.317778828789</v>
      </c>
      <c r="Y480" s="593">
        <f t="shared" ref="Y480" si="1795">Y388-Y434</f>
        <v>5.7034864785215973</v>
      </c>
      <c r="Z480" s="593">
        <f t="shared" ref="Z480:AH480" si="1796">Z388-Z434</f>
        <v>5.9355985447359529</v>
      </c>
      <c r="AA480" s="593">
        <f t="shared" si="1796"/>
        <v>9.2618283582758849</v>
      </c>
      <c r="AB480" s="593">
        <f t="shared" si="1796"/>
        <v>11.250043656018192</v>
      </c>
      <c r="AC480" s="593">
        <f t="shared" si="1796"/>
        <v>177.59818076841043</v>
      </c>
      <c r="AD480" s="593">
        <f t="shared" si="1796"/>
        <v>181.38329404042378</v>
      </c>
      <c r="AE480" s="593">
        <f t="shared" si="1796"/>
        <v>185.47936670332032</v>
      </c>
      <c r="AF480" s="593">
        <f t="shared" si="1796"/>
        <v>188.16460400965278</v>
      </c>
      <c r="AG480" s="593">
        <f t="shared" si="1796"/>
        <v>192.60455089694125</v>
      </c>
      <c r="AH480" s="593">
        <f t="shared" si="1796"/>
        <v>196.93682537248884</v>
      </c>
      <c r="AI480" s="593">
        <f t="shared" ref="AI480:AM480" si="1797">AI388-AI434</f>
        <v>200.47449090021382</v>
      </c>
      <c r="AJ480" s="593">
        <f t="shared" si="1797"/>
        <v>204.4677236460702</v>
      </c>
      <c r="AK480" s="593">
        <f t="shared" si="1797"/>
        <v>208.55296725321165</v>
      </c>
      <c r="AL480" s="593">
        <f t="shared" si="1797"/>
        <v>212.73251344560984</v>
      </c>
      <c r="AM480" s="593">
        <f t="shared" si="1797"/>
        <v>217.00923479238702</v>
      </c>
      <c r="AN480" s="865">
        <f>X480/X478</f>
        <v>0.14316495303940605</v>
      </c>
    </row>
    <row r="481" spans="3:40" hidden="1" outlineLevel="1" x14ac:dyDescent="0.3">
      <c r="C481" s="587" t="str">
        <f t="shared" si="1789"/>
        <v>CEER1</v>
      </c>
      <c r="E481" s="563" t="s">
        <v>52</v>
      </c>
      <c r="F481" s="592">
        <f t="shared" si="1790"/>
        <v>1718.9408862995795</v>
      </c>
      <c r="G481" s="593">
        <f t="shared" ref="G481" si="1798">G389-G435</f>
        <v>0.93616114266123418</v>
      </c>
      <c r="H481" s="593">
        <f t="shared" ref="H481:P481" si="1799">H389-H435</f>
        <v>2.0202885907473984</v>
      </c>
      <c r="I481" s="593">
        <f t="shared" si="1799"/>
        <v>2.4729295200238468</v>
      </c>
      <c r="J481" s="593">
        <f t="shared" si="1799"/>
        <v>11.616087281569264</v>
      </c>
      <c r="K481" s="593">
        <f t="shared" si="1799"/>
        <v>269.54073835844963</v>
      </c>
      <c r="L481" s="593">
        <f t="shared" si="1799"/>
        <v>274.9988303845754</v>
      </c>
      <c r="M481" s="593">
        <f t="shared" si="1799"/>
        <v>280.59386842327012</v>
      </c>
      <c r="N481" s="593">
        <f t="shared" si="1799"/>
        <v>286.32797115399029</v>
      </c>
      <c r="O481" s="593">
        <f t="shared" si="1799"/>
        <v>292.20501444294121</v>
      </c>
      <c r="P481" s="593">
        <f t="shared" si="1799"/>
        <v>298.22899700135099</v>
      </c>
      <c r="Q481" s="593">
        <f t="shared" ref="Q481:U481" si="1800">Q389-Q435</f>
        <v>304.40404474491118</v>
      </c>
      <c r="R481" s="593">
        <f t="shared" si="1800"/>
        <v>310.73441532251741</v>
      </c>
      <c r="S481" s="593">
        <f t="shared" si="1800"/>
        <v>317.22450282128153</v>
      </c>
      <c r="T481" s="593">
        <f t="shared" si="1800"/>
        <v>323.87884265508302</v>
      </c>
      <c r="U481" s="593">
        <f t="shared" si="1800"/>
        <v>330.7021166442459</v>
      </c>
      <c r="W481" s="563" t="str">
        <v>Kirde-Eesti</v>
      </c>
      <c r="X481" s="592">
        <f t="shared" si="1794"/>
        <v>799.17970713226896</v>
      </c>
      <c r="Y481" s="593">
        <f t="shared" ref="Y481" si="1801">Y389-Y435</f>
        <v>7.923630666253203</v>
      </c>
      <c r="Z481" s="593">
        <f t="shared" ref="Z481:AH481" si="1802">Z389-Z435</f>
        <v>5.3109546708903608</v>
      </c>
      <c r="AA481" s="593">
        <f t="shared" si="1802"/>
        <v>4.846500436287263</v>
      </c>
      <c r="AB481" s="593">
        <f t="shared" si="1802"/>
        <v>10.639926477207688</v>
      </c>
      <c r="AC481" s="593">
        <f t="shared" si="1802"/>
        <v>121.56993283048405</v>
      </c>
      <c r="AD481" s="593">
        <f t="shared" si="1802"/>
        <v>124.54572798821579</v>
      </c>
      <c r="AE481" s="593">
        <f t="shared" si="1802"/>
        <v>127.43258043953519</v>
      </c>
      <c r="AF481" s="593">
        <f t="shared" si="1802"/>
        <v>128.60380705159906</v>
      </c>
      <c r="AG481" s="593">
        <f t="shared" si="1802"/>
        <v>132.38046227796823</v>
      </c>
      <c r="AH481" s="593">
        <f t="shared" si="1802"/>
        <v>135.92618429382804</v>
      </c>
      <c r="AI481" s="593">
        <f t="shared" ref="AI481:AM481" si="1803">AI389-AI435</f>
        <v>138.69214734651155</v>
      </c>
      <c r="AJ481" s="593">
        <f t="shared" si="1803"/>
        <v>141.58285177729022</v>
      </c>
      <c r="AK481" s="593">
        <f t="shared" si="1803"/>
        <v>144.54160926977892</v>
      </c>
      <c r="AL481" s="593">
        <f t="shared" si="1803"/>
        <v>147.57016182610366</v>
      </c>
      <c r="AM481" s="593">
        <f t="shared" si="1803"/>
        <v>150.67108636713721</v>
      </c>
      <c r="AN481" s="865">
        <f>X481/X478</f>
        <v>9.9118741251413914E-2</v>
      </c>
    </row>
    <row r="482" spans="3:40" hidden="1" outlineLevel="1" x14ac:dyDescent="0.3">
      <c r="C482" s="587" t="str">
        <f t="shared" si="1789"/>
        <v>CEER1</v>
      </c>
      <c r="E482" s="563" t="s">
        <v>53</v>
      </c>
      <c r="F482" s="592">
        <f t="shared" si="1790"/>
        <v>521.81813832084697</v>
      </c>
      <c r="G482" s="593">
        <f t="shared" ref="G482" si="1804">G390-G436</f>
        <v>1.7895241155028998</v>
      </c>
      <c r="H482" s="593">
        <f t="shared" ref="H482:P482" si="1805">H390-H436</f>
        <v>1.8091214454607325</v>
      </c>
      <c r="I482" s="593">
        <f t="shared" si="1805"/>
        <v>1.8298992465136052</v>
      </c>
      <c r="J482" s="593">
        <f t="shared" si="1805"/>
        <v>46.796782608639262</v>
      </c>
      <c r="K482" s="593">
        <f t="shared" si="1805"/>
        <v>77.007358032970728</v>
      </c>
      <c r="L482" s="593">
        <f t="shared" si="1805"/>
        <v>77.472478613659234</v>
      </c>
      <c r="M482" s="593">
        <f t="shared" si="1805"/>
        <v>77.960076831468214</v>
      </c>
      <c r="N482" s="593">
        <f t="shared" si="1805"/>
        <v>78.493385038386762</v>
      </c>
      <c r="O482" s="593">
        <f t="shared" si="1805"/>
        <v>79.044868245537273</v>
      </c>
      <c r="P482" s="593">
        <f t="shared" si="1805"/>
        <v>79.614644142708343</v>
      </c>
      <c r="Q482" s="593">
        <f t="shared" ref="Q482:U482" si="1806">Q390-Q436</f>
        <v>80.202837401321901</v>
      </c>
      <c r="R482" s="593">
        <f t="shared" si="1806"/>
        <v>80.809579755370464</v>
      </c>
      <c r="S482" s="593">
        <f t="shared" si="1806"/>
        <v>81.435010087234517</v>
      </c>
      <c r="T482" s="593">
        <f t="shared" si="1806"/>
        <v>82.079274518503752</v>
      </c>
      <c r="U482" s="593">
        <f t="shared" si="1806"/>
        <v>82.742526505929618</v>
      </c>
      <c r="W482" s="563" t="str">
        <v>Lõuna-Eesti </v>
      </c>
      <c r="X482" s="592">
        <f t="shared" si="1794"/>
        <v>2148.4493183928721</v>
      </c>
      <c r="Y482" s="593">
        <f t="shared" ref="Y482" si="1807">Y390-Y436</f>
        <v>12.729966497461717</v>
      </c>
      <c r="Z482" s="593">
        <f t="shared" ref="Z482:AH482" si="1808">Z390-Z436</f>
        <v>12.461943024754849</v>
      </c>
      <c r="AA482" s="593">
        <f t="shared" si="1808"/>
        <v>18.652101037253583</v>
      </c>
      <c r="AB482" s="593">
        <f t="shared" si="1808"/>
        <v>25.710756399282744</v>
      </c>
      <c r="AC482" s="593">
        <f t="shared" si="1808"/>
        <v>328.22232776932412</v>
      </c>
      <c r="AD482" s="593">
        <f t="shared" si="1808"/>
        <v>335.64232785075598</v>
      </c>
      <c r="AE482" s="593">
        <f t="shared" si="1808"/>
        <v>343.5876299121623</v>
      </c>
      <c r="AF482" s="593">
        <f t="shared" si="1808"/>
        <v>348.37532718704335</v>
      </c>
      <c r="AG482" s="593">
        <f t="shared" si="1808"/>
        <v>357.24131933493521</v>
      </c>
      <c r="AH482" s="593">
        <f t="shared" si="1808"/>
        <v>365.82561937989783</v>
      </c>
      <c r="AI482" s="593">
        <f t="shared" ref="AI482:AM482" si="1809">AI390-AI436</f>
        <v>372.69391006346416</v>
      </c>
      <c r="AJ482" s="593">
        <f t="shared" si="1809"/>
        <v>380.42361744744892</v>
      </c>
      <c r="AK482" s="593">
        <f t="shared" si="1809"/>
        <v>388.33737004011505</v>
      </c>
      <c r="AL482" s="593">
        <f t="shared" si="1809"/>
        <v>396.43995268337449</v>
      </c>
      <c r="AM482" s="593">
        <f t="shared" si="1809"/>
        <v>404.73749972446859</v>
      </c>
      <c r="AN482" s="865">
        <f>X482/X478</f>
        <v>0.26646271192958976</v>
      </c>
    </row>
    <row r="483" spans="3:40" hidden="1" outlineLevel="1" x14ac:dyDescent="0.3">
      <c r="C483" s="587" t="str">
        <f t="shared" si="1789"/>
        <v>CEER1</v>
      </c>
      <c r="E483" s="563" t="s">
        <v>54</v>
      </c>
      <c r="F483" s="592">
        <f t="shared" si="1790"/>
        <v>52.263981689571409</v>
      </c>
      <c r="G483" s="593">
        <f t="shared" ref="G483" si="1810">G391-G437</f>
        <v>0.15864864358884956</v>
      </c>
      <c r="H483" s="593">
        <f t="shared" ref="H483:P483" si="1811">H391-H437</f>
        <v>0.18257171962539315</v>
      </c>
      <c r="I483" s="593">
        <f t="shared" si="1811"/>
        <v>0.20779550417267678</v>
      </c>
      <c r="J483" s="593">
        <f t="shared" si="1811"/>
        <v>4.4292442671273768</v>
      </c>
      <c r="K483" s="593">
        <f t="shared" si="1811"/>
        <v>6.5735496307753749</v>
      </c>
      <c r="L483" s="593">
        <f t="shared" si="1811"/>
        <v>6.6488535123800512</v>
      </c>
      <c r="M483" s="593">
        <f t="shared" si="1811"/>
        <v>8.3867896861996023</v>
      </c>
      <c r="N483" s="593">
        <f t="shared" si="1811"/>
        <v>8.4707471328280981</v>
      </c>
      <c r="O483" s="593">
        <f t="shared" si="1811"/>
        <v>8.5577910146894993</v>
      </c>
      <c r="P483" s="593">
        <f t="shared" si="1811"/>
        <v>8.647990578184487</v>
      </c>
      <c r="Q483" s="593">
        <f t="shared" ref="Q483:U483" si="1812">Q391-Q437</f>
        <v>7.0820718667497982</v>
      </c>
      <c r="R483" s="593">
        <f t="shared" si="1812"/>
        <v>7.1788023325515944</v>
      </c>
      <c r="S483" s="593">
        <f t="shared" si="1812"/>
        <v>7.2789141705700393</v>
      </c>
      <c r="T483" s="593">
        <f t="shared" si="1812"/>
        <v>7.3824889387015338</v>
      </c>
      <c r="U483" s="593">
        <f t="shared" si="1812"/>
        <v>7.4896115414485607</v>
      </c>
      <c r="W483" s="563" t="str">
        <v>Kesk-Eesti</v>
      </c>
      <c r="X483" s="592">
        <f t="shared" si="1794"/>
        <v>978.21394956671691</v>
      </c>
      <c r="Y483" s="593">
        <f t="shared" ref="Y483" si="1813">Y391-Y437</f>
        <v>5.5810240546804089</v>
      </c>
      <c r="Z483" s="593">
        <f t="shared" ref="Z483:AH483" si="1814">Z391-Z437</f>
        <v>5.5552122345687334</v>
      </c>
      <c r="AA483" s="593">
        <f t="shared" si="1814"/>
        <v>8.4910128557093927</v>
      </c>
      <c r="AB483" s="593">
        <f t="shared" si="1814"/>
        <v>10.784260996211714</v>
      </c>
      <c r="AC483" s="593">
        <f t="shared" si="1814"/>
        <v>149.65723281964088</v>
      </c>
      <c r="AD483" s="593">
        <f t="shared" si="1814"/>
        <v>152.99306840593223</v>
      </c>
      <c r="AE483" s="593">
        <f t="shared" si="1814"/>
        <v>156.70229445108805</v>
      </c>
      <c r="AF483" s="593">
        <f t="shared" si="1814"/>
        <v>158.88394351189731</v>
      </c>
      <c r="AG483" s="593">
        <f t="shared" si="1814"/>
        <v>162.85752083787784</v>
      </c>
      <c r="AH483" s="593">
        <f t="shared" si="1814"/>
        <v>166.7083793991103</v>
      </c>
      <c r="AI483" s="593">
        <f t="shared" ref="AI483:AM483" si="1815">AI391-AI437</f>
        <v>169.66488033065491</v>
      </c>
      <c r="AJ483" s="593">
        <f t="shared" si="1815"/>
        <v>173.14241336794657</v>
      </c>
      <c r="AK483" s="593">
        <f t="shared" si="1815"/>
        <v>176.70174298021638</v>
      </c>
      <c r="AL483" s="593">
        <f t="shared" si="1815"/>
        <v>180.34496530539263</v>
      </c>
      <c r="AM483" s="593">
        <f t="shared" si="1815"/>
        <v>184.07476790729226</v>
      </c>
      <c r="AN483" s="865">
        <f>X483/X478</f>
        <v>0.12132357026875776</v>
      </c>
    </row>
    <row r="484" spans="3:40" hidden="1" outlineLevel="1" x14ac:dyDescent="0.3">
      <c r="C484" s="587" t="str">
        <f>E484</f>
        <v>CEER2</v>
      </c>
      <c r="E484" s="555" t="str">
        <f>'EE Measures'!$IL$6</f>
        <v>CEER2</v>
      </c>
      <c r="F484" s="590">
        <f>SUM(G484:P484)</f>
        <v>11532.279966468559</v>
      </c>
      <c r="G484" s="591">
        <f>SUM(G485:G489)</f>
        <v>60.089193791455813</v>
      </c>
      <c r="H484" s="591">
        <f>SUM(H485:H489)</f>
        <v>48.157956345902356</v>
      </c>
      <c r="I484" s="591">
        <f t="shared" ref="I484:P484" si="1816">SUM(I485:I489)</f>
        <v>60.727599455825754</v>
      </c>
      <c r="J484" s="591">
        <f t="shared" si="1816"/>
        <v>111.13418672181396</v>
      </c>
      <c r="K484" s="591">
        <f t="shared" si="1816"/>
        <v>1775.4757241016798</v>
      </c>
      <c r="L484" s="591">
        <f t="shared" si="1816"/>
        <v>1815.6454308299792</v>
      </c>
      <c r="M484" s="591">
        <f t="shared" si="1816"/>
        <v>1857.3500069058198</v>
      </c>
      <c r="N484" s="591">
        <f t="shared" si="1816"/>
        <v>1885.4846454411038</v>
      </c>
      <c r="O484" s="591">
        <f t="shared" si="1816"/>
        <v>1935.4450264570382</v>
      </c>
      <c r="P484" s="591">
        <f t="shared" si="1816"/>
        <v>1982.7701964179398</v>
      </c>
      <c r="Q484" s="591">
        <f t="shared" ref="Q484:U484" si="1817">SUM(Q485:Q489)</f>
        <v>2019.9889294626746</v>
      </c>
      <c r="R484" s="591">
        <f t="shared" si="1817"/>
        <v>2059.7594250639604</v>
      </c>
      <c r="S484" s="591">
        <f t="shared" si="1817"/>
        <v>2100.4469573998626</v>
      </c>
      <c r="T484" s="591">
        <f t="shared" si="1817"/>
        <v>2142.0744293018806</v>
      </c>
      <c r="U484" s="591">
        <f t="shared" si="1817"/>
        <v>2184.6746895488636</v>
      </c>
      <c r="W484" s="555" t="str">
        <f>'EE Measures'!$IL$6</f>
        <v>CEER2</v>
      </c>
      <c r="X484" s="590">
        <f>SUM(Y484:AH484)</f>
        <v>11531.561466468556</v>
      </c>
      <c r="Y484" s="591">
        <f t="shared" ref="Y484:Z484" si="1818">SUM(Y485:Y489)</f>
        <v>60.089193791455855</v>
      </c>
      <c r="Z484" s="591">
        <f t="shared" si="1818"/>
        <v>48.157956345902356</v>
      </c>
      <c r="AA484" s="591">
        <f t="shared" ref="AA484" si="1819">SUM(AA485:AA489)</f>
        <v>60.727599455825789</v>
      </c>
      <c r="AB484" s="591">
        <f t="shared" ref="AB484" si="1820">SUM(AB485:AB489)</f>
        <v>111.13418672181398</v>
      </c>
      <c r="AC484" s="591">
        <f t="shared" ref="AC484" si="1821">SUM(AC485:AC489)</f>
        <v>1775.3559741016795</v>
      </c>
      <c r="AD484" s="591">
        <f t="shared" ref="AD484" si="1822">SUM(AD485:AD489)</f>
        <v>1815.5256808299785</v>
      </c>
      <c r="AE484" s="591">
        <f t="shared" ref="AE484" si="1823">SUM(AE485:AE489)</f>
        <v>1857.2302569058193</v>
      </c>
      <c r="AF484" s="591">
        <f t="shared" ref="AF484" si="1824">SUM(AF485:AF489)</f>
        <v>1885.3648954411037</v>
      </c>
      <c r="AG484" s="591">
        <f t="shared" ref="AG484" si="1825">SUM(AG485:AG489)</f>
        <v>1935.3252764570379</v>
      </c>
      <c r="AH484" s="591">
        <f t="shared" ref="AH484:AM484" si="1826">SUM(AH485:AH489)</f>
        <v>1982.6504464179393</v>
      </c>
      <c r="AI484" s="591">
        <f t="shared" si="1826"/>
        <v>2019.8691794626743</v>
      </c>
      <c r="AJ484" s="591">
        <f t="shared" si="1826"/>
        <v>2059.6396750639606</v>
      </c>
      <c r="AK484" s="591">
        <f t="shared" si="1826"/>
        <v>2100.3272073998614</v>
      </c>
      <c r="AL484" s="591">
        <f t="shared" si="1826"/>
        <v>2141.9546793018799</v>
      </c>
      <c r="AM484" s="591">
        <f t="shared" si="1826"/>
        <v>2184.5549395488633</v>
      </c>
    </row>
    <row r="485" spans="3:40" hidden="1" outlineLevel="1" x14ac:dyDescent="0.3">
      <c r="C485" s="587" t="str">
        <f>C484</f>
        <v>CEER2</v>
      </c>
      <c r="E485" s="563" t="s">
        <v>50</v>
      </c>
      <c r="F485" s="592">
        <f>SUM(G485:P485)</f>
        <v>414.01595589163304</v>
      </c>
      <c r="G485" s="593">
        <f t="shared" ref="G485" si="1827">G393-G439</f>
        <v>25.996990907529344</v>
      </c>
      <c r="H485" s="593">
        <f t="shared" ref="H485:P485" si="1828">H393-H439</f>
        <v>2.0937895138711031</v>
      </c>
      <c r="I485" s="593">
        <f t="shared" si="1828"/>
        <v>1.1184022038167802</v>
      </c>
      <c r="J485" s="593">
        <f t="shared" si="1828"/>
        <v>29.50853966937937</v>
      </c>
      <c r="K485" s="593">
        <f t="shared" si="1828"/>
        <v>46.11868099207684</v>
      </c>
      <c r="L485" s="593">
        <f t="shared" si="1828"/>
        <v>53.063761184496244</v>
      </c>
      <c r="M485" s="593">
        <f t="shared" si="1828"/>
        <v>59.113035191838073</v>
      </c>
      <c r="N485" s="593">
        <f t="shared" si="1828"/>
        <v>52.448117923962016</v>
      </c>
      <c r="O485" s="593">
        <f t="shared" si="1828"/>
        <v>66.816555512140411</v>
      </c>
      <c r="P485" s="593">
        <f t="shared" si="1828"/>
        <v>77.738082792522889</v>
      </c>
      <c r="Q485" s="593">
        <f t="shared" ref="Q485:U485" si="1829">Q393-Q439</f>
        <v>79.380960688126322</v>
      </c>
      <c r="R485" s="593">
        <f t="shared" si="1829"/>
        <v>81.064271722867346</v>
      </c>
      <c r="S485" s="593">
        <f t="shared" si="1829"/>
        <v>82.791627876303096</v>
      </c>
      <c r="T485" s="593">
        <f t="shared" si="1829"/>
        <v>84.564321053685916</v>
      </c>
      <c r="U485" s="593">
        <f t="shared" si="1829"/>
        <v>86.392966835680198</v>
      </c>
      <c r="W485" s="563" t="str" cm="1">
        <f t="array" ref="W485:W489">_xlfn.ANCHORARRAY($W$357)</f>
        <v xml:space="preserve">Põhja-Eesti </v>
      </c>
      <c r="X485" s="592">
        <f>SUM(Y485:AH485)</f>
        <v>4186.2535828882828</v>
      </c>
      <c r="Y485" s="593">
        <f>Y393-Y439</f>
        <v>28.151086094538925</v>
      </c>
      <c r="Z485" s="593">
        <f>Z393-Z439</f>
        <v>18.894247870952455</v>
      </c>
      <c r="AA485" s="593">
        <f t="shared" ref="AA485:AH485" si="1830">AA393-AA439</f>
        <v>19.47615676829966</v>
      </c>
      <c r="AB485" s="593">
        <f t="shared" si="1830"/>
        <v>52.749199193093631</v>
      </c>
      <c r="AC485" s="593">
        <f t="shared" si="1830"/>
        <v>639.31154517288746</v>
      </c>
      <c r="AD485" s="593">
        <f t="shared" si="1830"/>
        <v>655.15742519121955</v>
      </c>
      <c r="AE485" s="593">
        <f t="shared" si="1830"/>
        <v>670.95324569256195</v>
      </c>
      <c r="AF485" s="593">
        <f t="shared" si="1830"/>
        <v>680.45718532174192</v>
      </c>
      <c r="AG485" s="593">
        <f t="shared" si="1830"/>
        <v>701.00277834976487</v>
      </c>
      <c r="AH485" s="593">
        <f t="shared" si="1830"/>
        <v>720.10071323322245</v>
      </c>
      <c r="AI485" s="593">
        <f t="shared" ref="AI485:AM485" si="1831">AI393-AI439</f>
        <v>734.6707655601507</v>
      </c>
      <c r="AJ485" s="593">
        <f t="shared" si="1831"/>
        <v>749.70075018578223</v>
      </c>
      <c r="AK485" s="593">
        <f t="shared" si="1831"/>
        <v>765.08984751074036</v>
      </c>
      <c r="AL485" s="593">
        <f t="shared" si="1831"/>
        <v>780.84743555460761</v>
      </c>
      <c r="AM485" s="593">
        <f t="shared" si="1831"/>
        <v>796.98791635751354</v>
      </c>
      <c r="AN485" s="865">
        <f>X485/X484</f>
        <v>0.36302573550520978</v>
      </c>
    </row>
    <row r="486" spans="3:40" hidden="1" outlineLevel="1" x14ac:dyDescent="0.3">
      <c r="C486" s="587" t="str">
        <f t="shared" ref="C486:C489" si="1832">C485</f>
        <v>CEER2</v>
      </c>
      <c r="E486" s="563" t="s">
        <v>51</v>
      </c>
      <c r="F486" s="592">
        <f t="shared" ref="F486:F489" si="1833">SUM(G486:P486)</f>
        <v>7339.2497063918436</v>
      </c>
      <c r="G486" s="593">
        <f t="shared" ref="G486" si="1834">G394-G440</f>
        <v>31.20786898217349</v>
      </c>
      <c r="H486" s="593">
        <f t="shared" ref="H486:P486" si="1835">H394-H440</f>
        <v>42.05218507619773</v>
      </c>
      <c r="I486" s="593">
        <f t="shared" si="1835"/>
        <v>55.098572981298844</v>
      </c>
      <c r="J486" s="593">
        <f t="shared" si="1835"/>
        <v>18.783532895098695</v>
      </c>
      <c r="K486" s="593">
        <f t="shared" si="1835"/>
        <v>1138.2251631692784</v>
      </c>
      <c r="L486" s="593">
        <f t="shared" si="1835"/>
        <v>1161.6910685383766</v>
      </c>
      <c r="M486" s="593">
        <f t="shared" si="1835"/>
        <v>1185.6903894046227</v>
      </c>
      <c r="N486" s="593">
        <f t="shared" si="1835"/>
        <v>1210.2264598761471</v>
      </c>
      <c r="O486" s="593">
        <f t="shared" si="1835"/>
        <v>1235.3124736396246</v>
      </c>
      <c r="P486" s="593">
        <f t="shared" si="1835"/>
        <v>1260.9619918290257</v>
      </c>
      <c r="Q486" s="593">
        <f t="shared" ref="Q486:U486" si="1836">Q394-Q440</f>
        <v>1287.1889548859349</v>
      </c>
      <c r="R486" s="593">
        <f t="shared" si="1836"/>
        <v>1314.0076948575106</v>
      </c>
      <c r="S486" s="593">
        <f t="shared" si="1836"/>
        <v>1341.4329481498671</v>
      </c>
      <c r="T486" s="593">
        <f t="shared" si="1836"/>
        <v>1369.4798687554085</v>
      </c>
      <c r="U486" s="593">
        <f t="shared" si="1836"/>
        <v>1398.1640419734513</v>
      </c>
      <c r="W486" s="563" t="str">
        <v>Lääne-Eesti</v>
      </c>
      <c r="X486" s="592">
        <f t="shared" ref="X486:X489" si="1837">SUM(Y486:AH486)</f>
        <v>1721.5879280706656</v>
      </c>
      <c r="Y486" s="593">
        <f t="shared" ref="Y486" si="1838">Y394-Y440</f>
        <v>5.7034864785215973</v>
      </c>
      <c r="Z486" s="593">
        <f t="shared" ref="Z486:AH486" si="1839">Z394-Z440</f>
        <v>5.9355985447359529</v>
      </c>
      <c r="AA486" s="593">
        <f t="shared" si="1839"/>
        <v>9.2618283582758849</v>
      </c>
      <c r="AB486" s="593">
        <f t="shared" si="1839"/>
        <v>11.250043656018192</v>
      </c>
      <c r="AC486" s="593">
        <f t="shared" si="1839"/>
        <v>267.82169798117917</v>
      </c>
      <c r="AD486" s="593">
        <f t="shared" si="1839"/>
        <v>273.22047692534068</v>
      </c>
      <c r="AE486" s="593">
        <f t="shared" si="1839"/>
        <v>279.01818128965112</v>
      </c>
      <c r="AF486" s="593">
        <f t="shared" si="1839"/>
        <v>283.50497486170616</v>
      </c>
      <c r="AG486" s="593">
        <f t="shared" si="1839"/>
        <v>289.85000859812624</v>
      </c>
      <c r="AH486" s="593">
        <f t="shared" si="1839"/>
        <v>296.02163137711045</v>
      </c>
      <c r="AI486" s="593">
        <f t="shared" ref="AI486:AM486" si="1840">AI394-AI440</f>
        <v>301.17195611175168</v>
      </c>
      <c r="AJ486" s="593">
        <f t="shared" si="1840"/>
        <v>306.80987507547297</v>
      </c>
      <c r="AK486" s="593">
        <f t="shared" si="1840"/>
        <v>312.57253424499493</v>
      </c>
      <c r="AL486" s="593">
        <f t="shared" si="1840"/>
        <v>318.46287479430941</v>
      </c>
      <c r="AM486" s="593">
        <f t="shared" si="1840"/>
        <v>324.48468857506214</v>
      </c>
      <c r="AN486" s="865">
        <f>X486/X484</f>
        <v>0.14929356558317747</v>
      </c>
    </row>
    <row r="487" spans="3:40" hidden="1" outlineLevel="1" x14ac:dyDescent="0.3">
      <c r="C487" s="587" t="str">
        <f t="shared" si="1832"/>
        <v>CEER2</v>
      </c>
      <c r="E487" s="563" t="s">
        <v>52</v>
      </c>
      <c r="F487" s="592">
        <f t="shared" si="1833"/>
        <v>3204.9321841746623</v>
      </c>
      <c r="G487" s="593">
        <f t="shared" ref="G487" si="1841">G395-G441</f>
        <v>0.93616114266123418</v>
      </c>
      <c r="H487" s="593">
        <f t="shared" ref="H487:P487" si="1842">H395-H441</f>
        <v>2.0202885907473984</v>
      </c>
      <c r="I487" s="593">
        <f t="shared" si="1842"/>
        <v>2.4729295200238468</v>
      </c>
      <c r="J487" s="593">
        <f t="shared" si="1842"/>
        <v>11.616087281569264</v>
      </c>
      <c r="K487" s="593">
        <f t="shared" si="1842"/>
        <v>507.55097227657825</v>
      </c>
      <c r="L487" s="593">
        <f t="shared" si="1842"/>
        <v>516.7692689810666</v>
      </c>
      <c r="M487" s="593">
        <f t="shared" si="1842"/>
        <v>526.19971579169123</v>
      </c>
      <c r="N487" s="593">
        <f t="shared" si="1842"/>
        <v>535.84593546977987</v>
      </c>
      <c r="O487" s="593">
        <f t="shared" si="1842"/>
        <v>545.71333804504661</v>
      </c>
      <c r="P487" s="593">
        <f t="shared" si="1842"/>
        <v>555.80748707549833</v>
      </c>
      <c r="Q487" s="593">
        <f t="shared" ref="Q487:U487" si="1843">Q395-Q441</f>
        <v>566.13410462054162</v>
      </c>
      <c r="R487" s="593">
        <f t="shared" si="1843"/>
        <v>576.69907639566054</v>
      </c>
      <c r="S487" s="593">
        <f t="shared" si="1843"/>
        <v>587.5084571158875</v>
      </c>
      <c r="T487" s="593">
        <f t="shared" si="1843"/>
        <v>598.56847603558094</v>
      </c>
      <c r="U487" s="593">
        <f t="shared" si="1843"/>
        <v>609.88554269235374</v>
      </c>
      <c r="W487" s="563" t="str">
        <v>Kirde-Eesti</v>
      </c>
      <c r="X487" s="592">
        <f t="shared" si="1837"/>
        <v>1118.7576364409731</v>
      </c>
      <c r="Y487" s="593">
        <f t="shared" ref="Y487" si="1844">Y395-Y441</f>
        <v>7.923630666253203</v>
      </c>
      <c r="Z487" s="593">
        <f t="shared" ref="Z487:AH487" si="1845">Z395-Z441</f>
        <v>5.3109546708903608</v>
      </c>
      <c r="AA487" s="593">
        <f t="shared" si="1845"/>
        <v>4.846500436287263</v>
      </c>
      <c r="AB487" s="593">
        <f t="shared" si="1845"/>
        <v>10.639926477207688</v>
      </c>
      <c r="AC487" s="593">
        <f t="shared" si="1845"/>
        <v>171.72541820620683</v>
      </c>
      <c r="AD487" s="593">
        <f t="shared" si="1845"/>
        <v>175.80585132252588</v>
      </c>
      <c r="AE487" s="593">
        <f t="shared" si="1845"/>
        <v>179.90420634680845</v>
      </c>
      <c r="AF487" s="593">
        <f t="shared" si="1845"/>
        <v>182.41146202404707</v>
      </c>
      <c r="AG487" s="593">
        <f t="shared" si="1845"/>
        <v>187.65361021266597</v>
      </c>
      <c r="AH487" s="593">
        <f t="shared" si="1845"/>
        <v>192.53607607808024</v>
      </c>
      <c r="AI487" s="593">
        <f t="shared" ref="AI487:AM487" si="1846">AI395-AI441</f>
        <v>196.26447161099856</v>
      </c>
      <c r="AJ487" s="593">
        <f t="shared" si="1846"/>
        <v>200.13651290539445</v>
      </c>
      <c r="AK487" s="593">
        <f t="shared" si="1846"/>
        <v>204.09598379039386</v>
      </c>
      <c r="AL487" s="593">
        <f t="shared" si="1846"/>
        <v>208.14500597968882</v>
      </c>
      <c r="AM487" s="593">
        <f t="shared" si="1846"/>
        <v>212.28693465054147</v>
      </c>
      <c r="AN487" s="865">
        <f>X487/X484</f>
        <v>9.7017011936682954E-2</v>
      </c>
    </row>
    <row r="488" spans="3:40" hidden="1" outlineLevel="1" x14ac:dyDescent="0.3">
      <c r="C488" s="587" t="str">
        <f t="shared" si="1832"/>
        <v>CEER2</v>
      </c>
      <c r="E488" s="563" t="s">
        <v>53</v>
      </c>
      <c r="F488" s="592">
        <f t="shared" si="1833"/>
        <v>521.81813832084708</v>
      </c>
      <c r="G488" s="593">
        <f t="shared" ref="G488" si="1847">G396-G442</f>
        <v>1.7895241155028998</v>
      </c>
      <c r="H488" s="593">
        <f t="shared" ref="H488:P488" si="1848">H396-H442</f>
        <v>1.8091214454607325</v>
      </c>
      <c r="I488" s="593">
        <f t="shared" si="1848"/>
        <v>1.8298992465136052</v>
      </c>
      <c r="J488" s="593">
        <f t="shared" si="1848"/>
        <v>46.796782608639262</v>
      </c>
      <c r="K488" s="593">
        <f t="shared" si="1848"/>
        <v>77.007358032970842</v>
      </c>
      <c r="L488" s="593">
        <f t="shared" si="1848"/>
        <v>77.472478613659291</v>
      </c>
      <c r="M488" s="593">
        <f t="shared" si="1848"/>
        <v>77.960076831468257</v>
      </c>
      <c r="N488" s="593">
        <f t="shared" si="1848"/>
        <v>78.493385038386748</v>
      </c>
      <c r="O488" s="593">
        <f t="shared" si="1848"/>
        <v>79.044868245537231</v>
      </c>
      <c r="P488" s="593">
        <f t="shared" si="1848"/>
        <v>79.6146441427083</v>
      </c>
      <c r="Q488" s="593">
        <f t="shared" ref="Q488:U488" si="1849">Q396-Q442</f>
        <v>80.202837401321901</v>
      </c>
      <c r="R488" s="593">
        <f t="shared" si="1849"/>
        <v>80.809579755370493</v>
      </c>
      <c r="S488" s="593">
        <f t="shared" si="1849"/>
        <v>81.435010087234517</v>
      </c>
      <c r="T488" s="593">
        <f t="shared" si="1849"/>
        <v>82.079274518503766</v>
      </c>
      <c r="U488" s="593">
        <f t="shared" si="1849"/>
        <v>82.742526505929604</v>
      </c>
      <c r="W488" s="563" t="str">
        <v>Lõuna-Eesti </v>
      </c>
      <c r="X488" s="592">
        <f t="shared" si="1837"/>
        <v>3086.4666437375386</v>
      </c>
      <c r="Y488" s="593">
        <f t="shared" ref="Y488" si="1850">Y396-Y442</f>
        <v>12.729966497461717</v>
      </c>
      <c r="Z488" s="593">
        <f t="shared" ref="Z488:AH488" si="1851">Z396-Z442</f>
        <v>12.461943024754849</v>
      </c>
      <c r="AA488" s="593">
        <f t="shared" si="1851"/>
        <v>18.652101037253583</v>
      </c>
      <c r="AB488" s="593">
        <f t="shared" si="1851"/>
        <v>25.710756399282744</v>
      </c>
      <c r="AC488" s="593">
        <f t="shared" si="1851"/>
        <v>476.97168915266377</v>
      </c>
      <c r="AD488" s="593">
        <f t="shared" si="1851"/>
        <v>487.18404959601162</v>
      </c>
      <c r="AE488" s="593">
        <f t="shared" si="1851"/>
        <v>498.10792421892484</v>
      </c>
      <c r="AF488" s="593">
        <f t="shared" si="1851"/>
        <v>506.08800472544635</v>
      </c>
      <c r="AG488" s="593">
        <f t="shared" si="1851"/>
        <v>518.36822987470327</v>
      </c>
      <c r="AH488" s="593">
        <f t="shared" si="1851"/>
        <v>530.19197921103614</v>
      </c>
      <c r="AI488" s="593">
        <f t="shared" ref="AI488:AM488" si="1852">AI396-AI442</f>
        <v>539.7477658496291</v>
      </c>
      <c r="AJ488" s="593">
        <f t="shared" si="1852"/>
        <v>550.21818968363766</v>
      </c>
      <c r="AK488" s="593">
        <f t="shared" si="1852"/>
        <v>560.92708827652018</v>
      </c>
      <c r="AL488" s="593">
        <f t="shared" si="1852"/>
        <v>571.88032303685452</v>
      </c>
      <c r="AM488" s="593">
        <f t="shared" si="1852"/>
        <v>583.08572762676943</v>
      </c>
      <c r="AN488" s="865">
        <f>X488/X484</f>
        <v>0.26765383445358704</v>
      </c>
    </row>
    <row r="489" spans="3:40" hidden="1" outlineLevel="1" x14ac:dyDescent="0.3">
      <c r="C489" s="587" t="str">
        <f t="shared" si="1832"/>
        <v>CEER2</v>
      </c>
      <c r="E489" s="563" t="s">
        <v>54</v>
      </c>
      <c r="F489" s="592">
        <f t="shared" si="1833"/>
        <v>52.263981689571409</v>
      </c>
      <c r="G489" s="593">
        <f t="shared" ref="G489" si="1853">G397-G443</f>
        <v>0.15864864358884956</v>
      </c>
      <c r="H489" s="593">
        <f t="shared" ref="H489:P489" si="1854">H397-H443</f>
        <v>0.18257171962539315</v>
      </c>
      <c r="I489" s="593">
        <f t="shared" si="1854"/>
        <v>0.20779550417267678</v>
      </c>
      <c r="J489" s="593">
        <f t="shared" si="1854"/>
        <v>4.4292442671273768</v>
      </c>
      <c r="K489" s="593">
        <f t="shared" si="1854"/>
        <v>6.5735496307753749</v>
      </c>
      <c r="L489" s="593">
        <f t="shared" si="1854"/>
        <v>6.6488535123800512</v>
      </c>
      <c r="M489" s="593">
        <f t="shared" si="1854"/>
        <v>8.3867896861996023</v>
      </c>
      <c r="N489" s="593">
        <f t="shared" si="1854"/>
        <v>8.4707471328280981</v>
      </c>
      <c r="O489" s="593">
        <f t="shared" si="1854"/>
        <v>8.5577910146894993</v>
      </c>
      <c r="P489" s="593">
        <f t="shared" si="1854"/>
        <v>8.647990578184487</v>
      </c>
      <c r="Q489" s="593">
        <f t="shared" ref="Q489:U489" si="1855">Q397-Q443</f>
        <v>7.0820718667497982</v>
      </c>
      <c r="R489" s="593">
        <f t="shared" si="1855"/>
        <v>7.1788023325515944</v>
      </c>
      <c r="S489" s="593">
        <f t="shared" si="1855"/>
        <v>7.2789141705700393</v>
      </c>
      <c r="T489" s="593">
        <f t="shared" si="1855"/>
        <v>7.3824889387015338</v>
      </c>
      <c r="U489" s="593">
        <f t="shared" si="1855"/>
        <v>7.4896115414485607</v>
      </c>
      <c r="W489" s="563" t="str">
        <v>Kesk-Eesti</v>
      </c>
      <c r="X489" s="592">
        <f t="shared" si="1837"/>
        <v>1418.495675331096</v>
      </c>
      <c r="Y489" s="593">
        <f t="shared" ref="Y489" si="1856">Y397-Y443</f>
        <v>5.5810240546804089</v>
      </c>
      <c r="Z489" s="593">
        <f t="shared" ref="Z489:AH489" si="1857">Z397-Z443</f>
        <v>5.5552122345687334</v>
      </c>
      <c r="AA489" s="593">
        <f t="shared" si="1857"/>
        <v>8.4910128557093927</v>
      </c>
      <c r="AB489" s="593">
        <f t="shared" si="1857"/>
        <v>10.784260996211714</v>
      </c>
      <c r="AC489" s="593">
        <f t="shared" si="1857"/>
        <v>219.52562358874252</v>
      </c>
      <c r="AD489" s="593">
        <f t="shared" si="1857"/>
        <v>224.15787779488079</v>
      </c>
      <c r="AE489" s="593">
        <f t="shared" si="1857"/>
        <v>229.24669935787267</v>
      </c>
      <c r="AF489" s="593">
        <f t="shared" si="1857"/>
        <v>232.90326850816217</v>
      </c>
      <c r="AG489" s="593">
        <f t="shared" si="1857"/>
        <v>238.4506494217776</v>
      </c>
      <c r="AH489" s="593">
        <f t="shared" si="1857"/>
        <v>243.80004651849009</v>
      </c>
      <c r="AI489" s="593">
        <f t="shared" ref="AI489:AM489" si="1858">AI397-AI443</f>
        <v>248.01422033014427</v>
      </c>
      <c r="AJ489" s="593">
        <f t="shared" si="1858"/>
        <v>252.77434721367297</v>
      </c>
      <c r="AK489" s="593">
        <f t="shared" si="1858"/>
        <v>257.64175357721211</v>
      </c>
      <c r="AL489" s="593">
        <f t="shared" si="1858"/>
        <v>262.61903993641943</v>
      </c>
      <c r="AM489" s="593">
        <f t="shared" si="1858"/>
        <v>267.70967233897693</v>
      </c>
      <c r="AN489" s="865">
        <f>X489/X484</f>
        <v>0.12300985252134275</v>
      </c>
    </row>
    <row r="490" spans="3:40" hidden="1" outlineLevel="1" x14ac:dyDescent="0.3"/>
    <row r="491" spans="3:40" hidden="1" outlineLevel="1" x14ac:dyDescent="0.3"/>
    <row r="492" spans="3:40" ht="15" hidden="1" outlineLevel="1" x14ac:dyDescent="0.3">
      <c r="C492" s="5" t="s">
        <v>429</v>
      </c>
      <c r="D492" s="5"/>
      <c r="E492" s="5"/>
      <c r="F492" s="5"/>
      <c r="G492" s="5"/>
      <c r="H492" s="5"/>
      <c r="I492" s="5"/>
      <c r="J492" s="5"/>
      <c r="K492" s="5"/>
      <c r="L492" s="5"/>
      <c r="M492" s="5"/>
      <c r="N492" s="5"/>
      <c r="O492" s="5"/>
      <c r="P492" s="5"/>
      <c r="Q492" s="5"/>
      <c r="R492" s="5"/>
      <c r="S492" s="5"/>
      <c r="T492" s="5"/>
      <c r="U492" s="5"/>
      <c r="W492" s="5" t="str">
        <f>C492&amp;" per region"</f>
        <v>Total cost savings (MEUR) (incl. tax) per region</v>
      </c>
      <c r="X492" s="5"/>
      <c r="Y492" s="5"/>
      <c r="Z492" s="5"/>
      <c r="AA492" s="5"/>
      <c r="AB492" s="5"/>
      <c r="AC492" s="5"/>
      <c r="AD492" s="5"/>
      <c r="AE492" s="5"/>
      <c r="AF492" s="5"/>
      <c r="AG492" s="5"/>
      <c r="AH492" s="5"/>
      <c r="AI492" s="5"/>
      <c r="AJ492" s="5"/>
      <c r="AK492" s="5"/>
      <c r="AL492" s="5"/>
      <c r="AM492" s="5"/>
      <c r="AN492" s="5"/>
    </row>
    <row r="493" spans="3:40" hidden="1" outlineLevel="1" x14ac:dyDescent="0.3">
      <c r="W493" s="587"/>
      <c r="AA493" s="587"/>
      <c r="AD493" s="587"/>
      <c r="AG493" s="587"/>
    </row>
    <row r="494" spans="3:40" ht="27" hidden="1" outlineLevel="1" x14ac:dyDescent="0.3">
      <c r="E494" s="625"/>
      <c r="F494" s="625" t="s">
        <v>386</v>
      </c>
      <c r="G494" s="625">
        <v>2021</v>
      </c>
      <c r="H494" s="625">
        <v>2022</v>
      </c>
      <c r="I494" s="625">
        <v>2023</v>
      </c>
      <c r="J494" s="625">
        <v>2024</v>
      </c>
      <c r="K494" s="625">
        <v>2025</v>
      </c>
      <c r="L494" s="625">
        <v>2026</v>
      </c>
      <c r="M494" s="625">
        <v>2027</v>
      </c>
      <c r="N494" s="625">
        <v>2028</v>
      </c>
      <c r="O494" s="625">
        <v>2029</v>
      </c>
      <c r="P494" s="625">
        <v>2030</v>
      </c>
      <c r="Q494" s="625">
        <v>2031</v>
      </c>
      <c r="R494" s="625">
        <v>2032</v>
      </c>
      <c r="S494" s="625">
        <v>2033</v>
      </c>
      <c r="T494" s="625">
        <v>2034</v>
      </c>
      <c r="U494" s="625">
        <v>2035</v>
      </c>
      <c r="W494" s="625"/>
      <c r="X494" s="625" t="s">
        <v>386</v>
      </c>
      <c r="Y494" s="625">
        <v>2021</v>
      </c>
      <c r="Z494" s="625">
        <v>2022</v>
      </c>
      <c r="AA494" s="625">
        <v>2023</v>
      </c>
      <c r="AB494" s="625">
        <v>2024</v>
      </c>
      <c r="AC494" s="625">
        <v>2025</v>
      </c>
      <c r="AD494" s="625">
        <v>2026</v>
      </c>
      <c r="AE494" s="625">
        <v>2027</v>
      </c>
      <c r="AF494" s="625">
        <v>2028</v>
      </c>
      <c r="AG494" s="625">
        <v>2029</v>
      </c>
      <c r="AH494" s="625">
        <v>2030</v>
      </c>
      <c r="AI494" s="625">
        <v>2031</v>
      </c>
      <c r="AJ494" s="625">
        <v>2032</v>
      </c>
      <c r="AK494" s="625">
        <v>2033</v>
      </c>
      <c r="AL494" s="625">
        <v>2034</v>
      </c>
      <c r="AM494" s="625">
        <v>2035</v>
      </c>
    </row>
    <row r="495" spans="3:40" hidden="1" outlineLevel="1" x14ac:dyDescent="0.3">
      <c r="C495" s="587" t="str">
        <f>E495</f>
        <v>Baseline</v>
      </c>
      <c r="E495" s="555" t="str">
        <f>'EE Measures'!$IF$6</f>
        <v>Baseline</v>
      </c>
      <c r="F495" s="590">
        <f>SUM(G495:P495)</f>
        <v>488.89085016731224</v>
      </c>
      <c r="G495" s="591">
        <f>SUM(G496:G500)</f>
        <v>14.464385174483949</v>
      </c>
      <c r="H495" s="591">
        <f>SUM(H496:H500)</f>
        <v>17.632456856369082</v>
      </c>
      <c r="I495" s="591">
        <f t="shared" ref="I495:P495" si="1859">SUM(I496:I500)</f>
        <v>20.171062162756833</v>
      </c>
      <c r="J495" s="591">
        <f t="shared" si="1859"/>
        <v>38.471746798197948</v>
      </c>
      <c r="K495" s="591">
        <f t="shared" si="1859"/>
        <v>53.6982840369513</v>
      </c>
      <c r="L495" s="591">
        <f t="shared" si="1859"/>
        <v>60.259054972927451</v>
      </c>
      <c r="M495" s="591">
        <f t="shared" si="1859"/>
        <v>66.553993921793833</v>
      </c>
      <c r="N495" s="591">
        <f t="shared" si="1859"/>
        <v>69.476946654656984</v>
      </c>
      <c r="O495" s="591">
        <f t="shared" si="1859"/>
        <v>72.51736908625999</v>
      </c>
      <c r="P495" s="591">
        <f t="shared" si="1859"/>
        <v>75.645550502914872</v>
      </c>
      <c r="Q495" s="591">
        <f t="shared" ref="Q495:U495" si="1860">SUM(Q496:Q500)</f>
        <v>78.901026594494255</v>
      </c>
      <c r="R495" s="591">
        <f t="shared" si="1860"/>
        <v>82.279953349642923</v>
      </c>
      <c r="S495" s="591">
        <f t="shared" si="1860"/>
        <v>85.787406346433031</v>
      </c>
      <c r="T495" s="591">
        <f t="shared" si="1860"/>
        <v>89.428674661466104</v>
      </c>
      <c r="U495" s="591">
        <f t="shared" si="1860"/>
        <v>93.209269803909663</v>
      </c>
      <c r="W495" s="555" t="str">
        <f>'EE Measures'!$IF$6</f>
        <v>Baseline</v>
      </c>
      <c r="X495" s="590">
        <f>SUM(Y495:AH495)</f>
        <v>488.89085016731224</v>
      </c>
      <c r="Y495" s="591">
        <f t="shared" ref="Y495:Z495" si="1861">SUM(Y496:Y500)</f>
        <v>14.464385174483951</v>
      </c>
      <c r="Z495" s="591">
        <f t="shared" si="1861"/>
        <v>17.632456856369082</v>
      </c>
      <c r="AA495" s="591">
        <f t="shared" ref="AA495" si="1862">SUM(AA496:AA500)</f>
        <v>20.171062162756836</v>
      </c>
      <c r="AB495" s="591">
        <f t="shared" ref="AB495" si="1863">SUM(AB496:AB500)</f>
        <v>38.471746798197948</v>
      </c>
      <c r="AC495" s="591">
        <f t="shared" ref="AC495" si="1864">SUM(AC496:AC500)</f>
        <v>53.698284036951307</v>
      </c>
      <c r="AD495" s="591">
        <f t="shared" ref="AD495" si="1865">SUM(AD496:AD500)</f>
        <v>60.259054972927444</v>
      </c>
      <c r="AE495" s="591">
        <f t="shared" ref="AE495" si="1866">SUM(AE496:AE500)</f>
        <v>66.553993921793847</v>
      </c>
      <c r="AF495" s="591">
        <f t="shared" ref="AF495" si="1867">SUM(AF496:AF500)</f>
        <v>69.476946654656984</v>
      </c>
      <c r="AG495" s="591">
        <f t="shared" ref="AG495" si="1868">SUM(AG496:AG500)</f>
        <v>72.517369086259976</v>
      </c>
      <c r="AH495" s="591">
        <f t="shared" ref="AH495:AM495" si="1869">SUM(AH496:AH500)</f>
        <v>75.645550502914872</v>
      </c>
      <c r="AI495" s="591">
        <f t="shared" si="1869"/>
        <v>78.901026594494269</v>
      </c>
      <c r="AJ495" s="591">
        <f t="shared" si="1869"/>
        <v>82.279953349642909</v>
      </c>
      <c r="AK495" s="591">
        <f t="shared" si="1869"/>
        <v>85.787406346433016</v>
      </c>
      <c r="AL495" s="591">
        <f t="shared" si="1869"/>
        <v>89.428674661466104</v>
      </c>
      <c r="AM495" s="591">
        <f t="shared" si="1869"/>
        <v>93.209269803909663</v>
      </c>
    </row>
    <row r="496" spans="3:40" hidden="1" outlineLevel="1" x14ac:dyDescent="0.3">
      <c r="C496" s="587" t="str">
        <f>C495</f>
        <v>Baseline</v>
      </c>
      <c r="E496" s="563" t="s">
        <v>50</v>
      </c>
      <c r="F496" s="592">
        <f>SUM(G496:P496)</f>
        <v>182.17877671036524</v>
      </c>
      <c r="G496" s="593">
        <f>SUMPRODUCT('EE Measures'!CV$8:CV$86,'EE Measures'!$IF$8:$IF$86,'EE Measures'!$N$8:$N$86)</f>
        <v>7.4244076794565608</v>
      </c>
      <c r="H496" s="593">
        <f>SUMPRODUCT('EE Measures'!CW$8:CW$86,'EE Measures'!$IF$8:$IF$86,'EE Measures'!$N$8:$N$86)</f>
        <v>8.0263569354923359</v>
      </c>
      <c r="I496" s="593">
        <f>SUMPRODUCT('EE Measures'!CX$8:CX$86,'EE Measures'!$IF$8:$IF$86,'EE Measures'!$N$8:$N$86)</f>
        <v>8.4023089590150786</v>
      </c>
      <c r="J496" s="593">
        <f>SUMPRODUCT('EE Measures'!CY$8:CY$86,'EE Measures'!$IF$8:$IF$86,'EE Measures'!$N$8:$N$86)</f>
        <v>11.212288738709136</v>
      </c>
      <c r="K496" s="593">
        <f>SUMPRODUCT('EE Measures'!CZ$8:CZ$86,'EE Measures'!$IF$8:$IF$86,'EE Measures'!$N$8:$N$86)</f>
        <v>16.898324559539521</v>
      </c>
      <c r="L496" s="593">
        <f>SUMPRODUCT('EE Measures'!DA$8:DA$86,'EE Measures'!$IF$8:$IF$86,'EE Measures'!$N$8:$N$86)</f>
        <v>21.537216551726708</v>
      </c>
      <c r="M496" s="593">
        <f>SUMPRODUCT('EE Measures'!DB$8:DB$86,'EE Measures'!$IF$8:$IF$86,'EE Measures'!$N$8:$N$86)</f>
        <v>25.836986665792843</v>
      </c>
      <c r="N496" s="593">
        <f>SUMPRODUCT('EE Measures'!DC$8:DC$86,'EE Measures'!$IF$8:$IF$86,'EE Measures'!$N$8:$N$86)</f>
        <v>26.705044910177222</v>
      </c>
      <c r="O496" s="593">
        <f>SUMPRODUCT('EE Measures'!DD$8:DD$86,'EE Measures'!$IF$8:$IF$86,'EE Measures'!$N$8:$N$86)</f>
        <v>27.611746986599307</v>
      </c>
      <c r="P496" s="593">
        <f>SUMPRODUCT('EE Measures'!DE$8:DE$86,'EE Measures'!$IF$8:$IF$86,'EE Measures'!$N$8:$N$86)</f>
        <v>28.52409472385655</v>
      </c>
      <c r="Q496" s="593">
        <f>SUMPRODUCT('EE Measures'!DF$8:DF$86,'EE Measures'!$IF$8:$IF$86,'EE Measures'!$N$8:$N$86)</f>
        <v>29.478108915497142</v>
      </c>
      <c r="R496" s="593">
        <f>SUMPRODUCT('EE Measures'!DG$8:DG$86,'EE Measures'!$IF$8:$IF$86,'EE Measures'!$N$8:$N$86)</f>
        <v>30.466640610273867</v>
      </c>
      <c r="S496" s="593">
        <f>SUMPRODUCT('EE Measures'!DH$8:DH$86,'EE Measures'!$IF$8:$IF$86,'EE Measures'!$N$8:$N$86)</f>
        <v>31.491017196605871</v>
      </c>
      <c r="T496" s="593">
        <f>SUMPRODUCT('EE Measures'!DI$8:DI$86,'EE Measures'!$IF$8:$IF$86,'EE Measures'!$N$8:$N$86)</f>
        <v>32.552619574297324</v>
      </c>
      <c r="U496" s="593">
        <f>SUMPRODUCT('EE Measures'!DJ$8:DJ$86,'EE Measures'!$IF$8:$IF$86,'EE Measures'!$N$8:$N$86)</f>
        <v>33.652884366388498</v>
      </c>
      <c r="W496" s="563" t="str" cm="1">
        <f t="array" ref="W496:W500">_xlfn.ANCHORARRAY($W$357)</f>
        <v xml:space="preserve">Põhja-Eesti </v>
      </c>
      <c r="X496" s="592">
        <f>SUM(Y496:AH496)</f>
        <v>239.99959486942436</v>
      </c>
      <c r="Y496" s="593">
        <f>SUMPRODUCT('EE Measures'!CV$8:CV$86,'EE Measures'!$IF$8:$IF$86,'EE Measures'!$Y$8:$Y$86)</f>
        <v>7.7019006080643599</v>
      </c>
      <c r="Z496" s="593">
        <f>SUMPRODUCT('EE Measures'!CW$8:CW$86,'EE Measures'!$IF$8:$IF$86,'EE Measures'!$Y$8:$Y$86)</f>
        <v>9.2044694393171547</v>
      </c>
      <c r="AA496" s="593">
        <f>SUMPRODUCT('EE Measures'!CX$8:CX$86,'EE Measures'!$IF$8:$IF$86,'EE Measures'!$Y$8:$Y$86)</f>
        <v>10.345455242563034</v>
      </c>
      <c r="AB496" s="593">
        <f>SUMPRODUCT('EE Measures'!CY$8:CY$86,'EE Measures'!$IF$8:$IF$86,'EE Measures'!$Y$8:$Y$86)</f>
        <v>18.847646951032033</v>
      </c>
      <c r="AC496" s="593">
        <f>SUMPRODUCT('EE Measures'!CZ$8:CZ$86,'EE Measures'!$IF$8:$IF$86,'EE Measures'!$Y$8:$Y$86)</f>
        <v>26.094361743180205</v>
      </c>
      <c r="AD496" s="593">
        <f>SUMPRODUCT('EE Measures'!DA$8:DA$86,'EE Measures'!$IF$8:$IF$86,'EE Measures'!$Y$8:$Y$86)</f>
        <v>29.35116917040888</v>
      </c>
      <c r="AE496" s="593">
        <f>SUMPRODUCT('EE Measures'!DB$8:DB$86,'EE Measures'!$IF$8:$IF$86,'EE Measures'!$Y$8:$Y$86)</f>
        <v>32.468663557240916</v>
      </c>
      <c r="AF496" s="593">
        <f>SUMPRODUCT('EE Measures'!DC$8:DC$86,'EE Measures'!$IF$8:$IF$86,'EE Measures'!$Y$8:$Y$86)</f>
        <v>33.863739257700487</v>
      </c>
      <c r="AG496" s="593">
        <f>SUMPRODUCT('EE Measures'!DD$8:DD$86,'EE Measures'!$IF$8:$IF$86,'EE Measures'!$Y$8:$Y$86)</f>
        <v>35.315018655949032</v>
      </c>
      <c r="AH496" s="593">
        <f>SUMPRODUCT('EE Measures'!DE$8:DE$86,'EE Measures'!$IF$8:$IF$86,'EE Measures'!$Y$8:$Y$86)</f>
        <v>36.807170243968251</v>
      </c>
      <c r="AI496" s="593">
        <f>SUMPRODUCT('EE Measures'!DF$8:DF$86,'EE Measures'!$IF$8:$IF$86,'EE Measures'!$Y$8:$Y$86)</f>
        <v>38.360183462514527</v>
      </c>
      <c r="AJ496" s="593">
        <f>SUMPRODUCT('EE Measures'!DG$8:DG$86,'EE Measures'!$IF$8:$IF$86,'EE Measures'!$Y$8:$Y$86)</f>
        <v>39.971943886157234</v>
      </c>
      <c r="AK496" s="593">
        <f>SUMPRODUCT('EE Measures'!DH$8:DH$86,'EE Measures'!$IF$8:$IF$86,'EE Measures'!$Y$8:$Y$86)</f>
        <v>41.644855979219294</v>
      </c>
      <c r="AL496" s="593">
        <f>SUMPRODUCT('EE Measures'!DI$8:DI$86,'EE Measures'!$IF$8:$IF$86,'EE Measures'!$Y$8:$Y$86)</f>
        <v>43.381425059753553</v>
      </c>
      <c r="AM496" s="593">
        <f>SUMPRODUCT('EE Measures'!DJ$8:DJ$86,'EE Measures'!$IF$8:$IF$86,'EE Measures'!$Y$8:$Y$86)</f>
        <v>45.184261512580456</v>
      </c>
    </row>
    <row r="497" spans="3:39" hidden="1" outlineLevel="1" x14ac:dyDescent="0.3">
      <c r="C497" s="587" t="str">
        <f t="shared" ref="C497:C500" si="1870">C496</f>
        <v>Baseline</v>
      </c>
      <c r="E497" s="563" t="s">
        <v>51</v>
      </c>
      <c r="F497" s="592">
        <f t="shared" ref="F497:F500" si="1871">SUM(G497:P497)</f>
        <v>98.698099062758857</v>
      </c>
      <c r="G497" s="593">
        <f>SUMPRODUCT('EE Measures'!CV$8:CV$86,'EE Measures'!$IF$8:$IF$86,'EE Measures'!$O$8:$O$86)</f>
        <v>2.3213067806629124</v>
      </c>
      <c r="H497" s="593">
        <f>SUMPRODUCT('EE Measures'!CW$8:CW$86,'EE Measures'!$IF$8:$IF$86,'EE Measures'!$O$8:$O$86)</f>
        <v>3.3722863854271092</v>
      </c>
      <c r="I497" s="593">
        <f>SUMPRODUCT('EE Measures'!CX$8:CX$86,'EE Measures'!$IF$8:$IF$86,'EE Measures'!$O$8:$O$86)</f>
        <v>4.5398170217852769</v>
      </c>
      <c r="J497" s="593">
        <f>SUMPRODUCT('EE Measures'!CY$8:CY$86,'EE Measures'!$IF$8:$IF$86,'EE Measures'!$O$8:$O$86)</f>
        <v>8.0296990056072808</v>
      </c>
      <c r="K497" s="593">
        <f>SUMPRODUCT('EE Measures'!CZ$8:CZ$86,'EE Measures'!$IF$8:$IF$86,'EE Measures'!$O$8:$O$86)</f>
        <v>10.565173863805303</v>
      </c>
      <c r="L497" s="593">
        <f>SUMPRODUCT('EE Measures'!DA$8:DA$86,'EE Measures'!$IF$8:$IF$86,'EE Measures'!$O$8:$O$86)</f>
        <v>11.648598830723307</v>
      </c>
      <c r="M497" s="593">
        <f>SUMPRODUCT('EE Measures'!DB$8:DB$86,'EE Measures'!$IF$8:$IF$86,'EE Measures'!$O$8:$O$86)</f>
        <v>12.775380081671281</v>
      </c>
      <c r="N497" s="593">
        <f>SUMPRODUCT('EE Measures'!DC$8:DC$86,'EE Measures'!$IF$8:$IF$86,'EE Measures'!$O$8:$O$86)</f>
        <v>13.930687453868225</v>
      </c>
      <c r="O497" s="593">
        <f>SUMPRODUCT('EE Measures'!DD$8:DD$86,'EE Measures'!$IF$8:$IF$86,'EE Measures'!$O$8:$O$86)</f>
        <v>15.132442673479966</v>
      </c>
      <c r="P497" s="593">
        <f>SUMPRODUCT('EE Measures'!DE$8:DE$86,'EE Measures'!$IF$8:$IF$86,'EE Measures'!$O$8:$O$86)</f>
        <v>16.38270696572819</v>
      </c>
      <c r="Q497" s="593">
        <f>SUMPRODUCT('EE Measures'!DF$8:DF$86,'EE Measures'!$IF$8:$IF$86,'EE Measures'!$O$8:$O$86)</f>
        <v>17.68288831342289</v>
      </c>
      <c r="R497" s="593">
        <f>SUMPRODUCT('EE Measures'!DG$8:DG$86,'EE Measures'!$IF$8:$IF$86,'EE Measures'!$O$8:$O$86)</f>
        <v>19.035928257776753</v>
      </c>
      <c r="S497" s="593">
        <f>SUMPRODUCT('EE Measures'!DH$8:DH$86,'EE Measures'!$IF$8:$IF$86,'EE Measures'!$O$8:$O$86)</f>
        <v>20.444176402301956</v>
      </c>
      <c r="T497" s="593">
        <f>SUMPRODUCT('EE Measures'!DI$8:DI$86,'EE Measures'!$IF$8:$IF$86,'EE Measures'!$O$8:$O$86)</f>
        <v>21.91008618459783</v>
      </c>
      <c r="U497" s="593">
        <f>SUMPRODUCT('EE Measures'!DJ$8:DJ$86,'EE Measures'!$IF$8:$IF$86,'EE Measures'!$O$8:$O$86)</f>
        <v>23.43621933137042</v>
      </c>
      <c r="W497" s="563" t="str">
        <v>Lääne-Eesti</v>
      </c>
      <c r="X497" s="592">
        <f t="shared" ref="X497:X500" si="1872">SUM(Y497:AH497)</f>
        <v>46.31924335965202</v>
      </c>
      <c r="Y497" s="593">
        <f>SUMPRODUCT('EE Measures'!CV$8:CV$86,'EE Measures'!$IF$8:$IF$86,'EE Measures'!$Z$8:$Z$86)</f>
        <v>1.1594577364796275</v>
      </c>
      <c r="Z497" s="593">
        <f>SUMPRODUCT('EE Measures'!CW$8:CW$86,'EE Measures'!$IF$8:$IF$86,'EE Measures'!$Z$8:$Z$86)</f>
        <v>1.4803732463307662</v>
      </c>
      <c r="AA497" s="593">
        <f>SUMPRODUCT('EE Measures'!CX$8:CX$86,'EE Measures'!$IF$8:$IF$86,'EE Measures'!$Z$8:$Z$86)</f>
        <v>1.7591368614763929</v>
      </c>
      <c r="AB497" s="593">
        <f>SUMPRODUCT('EE Measures'!CY$8:CY$86,'EE Measures'!$IF$8:$IF$86,'EE Measures'!$Z$8:$Z$86)</f>
        <v>3.6897262911667403</v>
      </c>
      <c r="AC497" s="593">
        <f>SUMPRODUCT('EE Measures'!CZ$8:CZ$86,'EE Measures'!$IF$8:$IF$86,'EE Measures'!$Z$8:$Z$86)</f>
        <v>5.2076871613519868</v>
      </c>
      <c r="AD497" s="593">
        <f>SUMPRODUCT('EE Measures'!DA$8:DA$86,'EE Measures'!$IF$8:$IF$86,'EE Measures'!$Z$8:$Z$86)</f>
        <v>5.7957985698986159</v>
      </c>
      <c r="AE497" s="593">
        <f>SUMPRODUCT('EE Measures'!DB$8:DB$86,'EE Measures'!$IF$8:$IF$86,'EE Measures'!$Z$8:$Z$86)</f>
        <v>6.3634707285044732</v>
      </c>
      <c r="AF497" s="593">
        <f>SUMPRODUCT('EE Measures'!DC$8:DC$86,'EE Measures'!$IF$8:$IF$86,'EE Measures'!$Z$8:$Z$86)</f>
        <v>6.6517328861675882</v>
      </c>
      <c r="AG497" s="593">
        <f>SUMPRODUCT('EE Measures'!DD$8:DD$86,'EE Measures'!$IF$8:$IF$86,'EE Measures'!$Z$8:$Z$86)</f>
        <v>6.9514956502031371</v>
      </c>
      <c r="AH497" s="593">
        <f>SUMPRODUCT('EE Measures'!DE$8:DE$86,'EE Measures'!$IF$8:$IF$86,'EE Measures'!$Z$8:$Z$86)</f>
        <v>7.2603642280726994</v>
      </c>
      <c r="AI497" s="593">
        <f>SUMPRODUCT('EE Measures'!DF$8:DF$86,'EE Measures'!$IF$8:$IF$86,'EE Measures'!$Z$8:$Z$86)</f>
        <v>7.5817156398702039</v>
      </c>
      <c r="AJ497" s="593">
        <f>SUMPRODUCT('EE Measures'!DG$8:DG$86,'EE Measures'!$IF$8:$IF$86,'EE Measures'!$Z$8:$Z$86)</f>
        <v>7.9152931477786952</v>
      </c>
      <c r="AK497" s="593">
        <f>SUMPRODUCT('EE Measures'!DH$8:DH$86,'EE Measures'!$IF$8:$IF$86,'EE Measures'!$Z$8:$Z$86)</f>
        <v>8.2616026963541156</v>
      </c>
      <c r="AL497" s="593">
        <f>SUMPRODUCT('EE Measures'!DI$8:DI$86,'EE Measures'!$IF$8:$IF$86,'EE Measures'!$Z$8:$Z$86)</f>
        <v>8.6211715950947259</v>
      </c>
      <c r="AM497" s="593">
        <f>SUMPRODUCT('EE Measures'!DJ$8:DJ$86,'EE Measures'!$IF$8:$IF$86,'EE Measures'!$Z$8:$Z$86)</f>
        <v>8.9945494143306242</v>
      </c>
    </row>
    <row r="498" spans="3:39" hidden="1" outlineLevel="1" x14ac:dyDescent="0.3">
      <c r="C498" s="587" t="str">
        <f t="shared" si="1870"/>
        <v>Baseline</v>
      </c>
      <c r="E498" s="563" t="s">
        <v>52</v>
      </c>
      <c r="F498" s="592">
        <f t="shared" si="1871"/>
        <v>73.741548410601524</v>
      </c>
      <c r="G498" s="593">
        <f>SUMPRODUCT('EE Measures'!CV$8:CV$86,'EE Measures'!$IF$8:$IF$86,'EE Measures'!$P$8:$P$86)</f>
        <v>3.588665132266637</v>
      </c>
      <c r="H498" s="593">
        <f>SUMPRODUCT('EE Measures'!CW$8:CW$86,'EE Measures'!$IF$8:$IF$86,'EE Measures'!$P$8:$P$86)</f>
        <v>4.2761796415667082</v>
      </c>
      <c r="I498" s="593">
        <f>SUMPRODUCT('EE Measures'!CX$8:CX$86,'EE Measures'!$IF$8:$IF$86,'EE Measures'!$P$8:$P$86)</f>
        <v>4.668725050176727</v>
      </c>
      <c r="J498" s="593">
        <f>SUMPRODUCT('EE Measures'!CY$8:CY$86,'EE Measures'!$IF$8:$IF$86,'EE Measures'!$P$8:$P$86)</f>
        <v>6.6061575215977566</v>
      </c>
      <c r="K498" s="593">
        <f>SUMPRODUCT('EE Measures'!CZ$8:CZ$86,'EE Measures'!$IF$8:$IF$86,'EE Measures'!$P$8:$P$86)</f>
        <v>7.8814393391895212</v>
      </c>
      <c r="L498" s="593">
        <f>SUMPRODUCT('EE Measures'!DA$8:DA$86,'EE Measures'!$IF$8:$IF$86,'EE Measures'!$P$8:$P$86)</f>
        <v>8.3444447776206818</v>
      </c>
      <c r="M498" s="593">
        <f>SUMPRODUCT('EE Measures'!DB$8:DB$86,'EE Measures'!$IF$8:$IF$86,'EE Measures'!$P$8:$P$86)</f>
        <v>8.825231007780058</v>
      </c>
      <c r="N498" s="593">
        <f>SUMPRODUCT('EE Measures'!DC$8:DC$86,'EE Measures'!$IF$8:$IF$86,'EE Measures'!$P$8:$P$86)</f>
        <v>9.3246532035411338</v>
      </c>
      <c r="O498" s="593">
        <f>SUMPRODUCT('EE Measures'!DD$8:DD$86,'EE Measures'!$IF$8:$IF$86,'EE Measures'!$P$8:$P$86)</f>
        <v>9.8434918010190451</v>
      </c>
      <c r="P498" s="593">
        <f>SUMPRODUCT('EE Measures'!DE$8:DE$86,'EE Measures'!$IF$8:$IF$86,'EE Measures'!$P$8:$P$86)</f>
        <v>10.382560935843252</v>
      </c>
      <c r="Q498" s="593">
        <f>SUMPRODUCT('EE Measures'!DF$8:DF$86,'EE Measures'!$IF$8:$IF$86,'EE Measures'!$P$8:$P$86)</f>
        <v>10.942721095251954</v>
      </c>
      <c r="R498" s="593">
        <f>SUMPRODUCT('EE Measures'!DG$8:DG$86,'EE Measures'!$IF$8:$IF$86,'EE Measures'!$P$8:$P$86)</f>
        <v>11.524835484161084</v>
      </c>
      <c r="S498" s="593">
        <f>SUMPRODUCT('EE Measures'!DH$8:DH$86,'EE Measures'!$IF$8:$IF$86,'EE Measures'!$P$8:$P$86)</f>
        <v>12.129833455995705</v>
      </c>
      <c r="T498" s="593">
        <f>SUMPRODUCT('EE Measures'!DI$8:DI$86,'EE Measures'!$IF$8:$IF$86,'EE Measures'!$P$8:$P$86)</f>
        <v>12.75868420596192</v>
      </c>
      <c r="U498" s="593">
        <f>SUMPRODUCT('EE Measures'!DJ$8:DJ$86,'EE Measures'!$IF$8:$IF$86,'EE Measures'!$P$8:$P$86)</f>
        <v>13.412398445713066</v>
      </c>
      <c r="W498" s="563" t="str">
        <v>Kirde-Eesti</v>
      </c>
      <c r="X498" s="592">
        <f t="shared" si="1872"/>
        <v>47.984013620893961</v>
      </c>
      <c r="Y498" s="593">
        <f>SUMPRODUCT('EE Measures'!CV$8:CV$86,'EE Measures'!$IF$8:$IF$86,'EE Measures'!$AA$8:$AA$86)</f>
        <v>1.3960483656257856</v>
      </c>
      <c r="Z498" s="593">
        <f>SUMPRODUCT('EE Measures'!CW$8:CW$86,'EE Measures'!$IF$8:$IF$86,'EE Measures'!$AA$8:$AA$86)</f>
        <v>1.7060079560582819</v>
      </c>
      <c r="AA498" s="593">
        <f>SUMPRODUCT('EE Measures'!CX$8:CX$86,'EE Measures'!$IF$8:$IF$86,'EE Measures'!$AA$8:$AA$86)</f>
        <v>1.9375540051591436</v>
      </c>
      <c r="AB498" s="593">
        <f>SUMPRODUCT('EE Measures'!CY$8:CY$86,'EE Measures'!$IF$8:$IF$86,'EE Measures'!$AA$8:$AA$86)</f>
        <v>3.6293706694832553</v>
      </c>
      <c r="AC498" s="593">
        <f>SUMPRODUCT('EE Measures'!CZ$8:CZ$86,'EE Measures'!$IF$8:$IF$86,'EE Measures'!$AA$8:$AA$86)</f>
        <v>5.1710680425146895</v>
      </c>
      <c r="AD498" s="593">
        <f>SUMPRODUCT('EE Measures'!DA$8:DA$86,'EE Measures'!$IF$8:$IF$86,'EE Measures'!$AA$8:$AA$86)</f>
        <v>5.9172108055939896</v>
      </c>
      <c r="AE498" s="593">
        <f>SUMPRODUCT('EE Measures'!DB$8:DB$86,'EE Measures'!$IF$8:$IF$86,'EE Measures'!$AA$8:$AA$86)</f>
        <v>6.6265357343784546</v>
      </c>
      <c r="AF498" s="593">
        <f>SUMPRODUCT('EE Measures'!DC$8:DC$86,'EE Measures'!$IF$8:$IF$86,'EE Measures'!$AA$8:$AA$86)</f>
        <v>6.9063583892293918</v>
      </c>
      <c r="AG498" s="593">
        <f>SUMPRODUCT('EE Measures'!DD$8:DD$86,'EE Measures'!$IF$8:$IF$86,'EE Measures'!$AA$8:$AA$86)</f>
        <v>7.1975752919994145</v>
      </c>
      <c r="AH498" s="593">
        <f>SUMPRODUCT('EE Measures'!DE$8:DE$86,'EE Measures'!$IF$8:$IF$86,'EE Measures'!$AA$8:$AA$86)</f>
        <v>7.4962843608515648</v>
      </c>
      <c r="AI498" s="593">
        <f>SUMPRODUCT('EE Measures'!DF$8:DF$86,'EE Measures'!$IF$8:$IF$86,'EE Measures'!$AA$8:$AA$86)</f>
        <v>7.8073624215715753</v>
      </c>
      <c r="AJ498" s="593">
        <f>SUMPRODUCT('EE Measures'!DG$8:DG$86,'EE Measures'!$IF$8:$IF$86,'EE Measures'!$AA$8:$AA$86)</f>
        <v>8.1301475826810794</v>
      </c>
      <c r="AK498" s="593">
        <f>SUMPRODUCT('EE Measures'!DH$8:DH$86,'EE Measures'!$IF$8:$IF$86,'EE Measures'!$AA$8:$AA$86)</f>
        <v>8.4651173284970174</v>
      </c>
      <c r="AL498" s="593">
        <f>SUMPRODUCT('EE Measures'!DI$8:DI$86,'EE Measures'!$IF$8:$IF$86,'EE Measures'!$AA$8:$AA$86)</f>
        <v>8.8127691236211163</v>
      </c>
      <c r="AM498" s="593">
        <f>SUMPRODUCT('EE Measures'!DJ$8:DJ$86,'EE Measures'!$IF$8:$IF$86,'EE Measures'!$AA$8:$AA$86)</f>
        <v>9.1736212479255776</v>
      </c>
    </row>
    <row r="499" spans="3:39" hidden="1" outlineLevel="1" x14ac:dyDescent="0.3">
      <c r="C499" s="587" t="str">
        <f t="shared" si="1870"/>
        <v>Baseline</v>
      </c>
      <c r="E499" s="563" t="s">
        <v>53</v>
      </c>
      <c r="F499" s="592">
        <f t="shared" si="1871"/>
        <v>122.94953836011476</v>
      </c>
      <c r="G499" s="593">
        <f>SUMPRODUCT('EE Measures'!CV$8:CV$86,'EE Measures'!$IF$8:$IF$86,'EE Measures'!$Q$8:$Q$86)</f>
        <v>0.94792072819431916</v>
      </c>
      <c r="H499" s="593">
        <f>SUMPRODUCT('EE Measures'!CW$8:CW$86,'EE Measures'!$IF$8:$IF$86,'EE Measures'!$Q$8:$Q$86)</f>
        <v>1.7656798843638173</v>
      </c>
      <c r="I499" s="593">
        <f>SUMPRODUCT('EE Measures'!CX$8:CX$86,'EE Measures'!$IF$8:$IF$86,'EE Measures'!$Q$8:$Q$86)</f>
        <v>2.3577053168349607</v>
      </c>
      <c r="J499" s="593">
        <f>SUMPRODUCT('EE Measures'!CY$8:CY$86,'EE Measures'!$IF$8:$IF$86,'EE Measures'!$Q$8:$Q$86)</f>
        <v>11.584546485961921</v>
      </c>
      <c r="K499" s="593">
        <f>SUMPRODUCT('EE Measures'!CZ$8:CZ$86,'EE Measures'!$IF$8:$IF$86,'EE Measures'!$Q$8:$Q$86)</f>
        <v>16.832718456969125</v>
      </c>
      <c r="L499" s="593">
        <f>SUMPRODUCT('EE Measures'!DA$8:DA$86,'EE Measures'!$IF$8:$IF$86,'EE Measures'!$Q$8:$Q$86)</f>
        <v>17.171010803489249</v>
      </c>
      <c r="M499" s="593">
        <f>SUMPRODUCT('EE Measures'!DB$8:DB$86,'EE Measures'!$IF$8:$IF$86,'EE Measures'!$Q$8:$Q$86)</f>
        <v>17.520185841662514</v>
      </c>
      <c r="N499" s="593">
        <f>SUMPRODUCT('EE Measures'!DC$8:DC$86,'EE Measures'!$IF$8:$IF$86,'EE Measures'!$Q$8:$Q$86)</f>
        <v>17.88060080376275</v>
      </c>
      <c r="O499" s="593">
        <f>SUMPRODUCT('EE Measures'!DD$8:DD$86,'EE Measures'!$IF$8:$IF$86,'EE Measures'!$Q$8:$Q$86)</f>
        <v>18.252606018759941</v>
      </c>
      <c r="P499" s="593">
        <f>SUMPRODUCT('EE Measures'!DE$8:DE$86,'EE Measures'!$IF$8:$IF$86,'EE Measures'!$Q$8:$Q$86)</f>
        <v>18.636564020116161</v>
      </c>
      <c r="Q499" s="593">
        <f>SUMPRODUCT('EE Measures'!DF$8:DF$86,'EE Measures'!$IF$8:$IF$86,'EE Measures'!$Q$8:$Q$86)</f>
        <v>19.033700024936689</v>
      </c>
      <c r="R499" s="593">
        <f>SUMPRODUCT('EE Measures'!DG$8:DG$86,'EE Measures'!$IF$8:$IF$86,'EE Measures'!$Q$8:$Q$86)</f>
        <v>19.443432857474665</v>
      </c>
      <c r="S499" s="593">
        <f>SUMPRODUCT('EE Measures'!DH$8:DH$86,'EE Measures'!$IF$8:$IF$86,'EE Measures'!$Q$8:$Q$86)</f>
        <v>19.866175934013246</v>
      </c>
      <c r="T499" s="593">
        <f>SUMPRODUCT('EE Measures'!DI$8:DI$86,'EE Measures'!$IF$8:$IF$86,'EE Measures'!$Q$8:$Q$86)</f>
        <v>20.302356824944134</v>
      </c>
      <c r="U499" s="593">
        <f>SUMPRODUCT('EE Measures'!DJ$8:DJ$86,'EE Measures'!$IF$8:$IF$86,'EE Measures'!$Q$8:$Q$86)</f>
        <v>20.75241776128895</v>
      </c>
      <c r="W499" s="563" t="str">
        <v>Lõuna-Eesti </v>
      </c>
      <c r="X499" s="592">
        <f t="shared" si="1872"/>
        <v>108.91778641120781</v>
      </c>
      <c r="Y499" s="593">
        <f>SUMPRODUCT('EE Measures'!CV$8:CV$86,'EE Measures'!$IF$8:$IF$86,'EE Measures'!$AB$8:$AB$86)</f>
        <v>2.9780490120180318</v>
      </c>
      <c r="Z499" s="593">
        <f>SUMPRODUCT('EE Measures'!CW$8:CW$86,'EE Measures'!$IF$8:$IF$86,'EE Measures'!$AB$8:$AB$86)</f>
        <v>3.7084773826525583</v>
      </c>
      <c r="AA499" s="593">
        <f>SUMPRODUCT('EE Measures'!CX$8:CX$86,'EE Measures'!$IF$8:$IF$86,'EE Measures'!$AB$8:$AB$86)</f>
        <v>4.332938143233906</v>
      </c>
      <c r="AB499" s="593">
        <f>SUMPRODUCT('EE Measures'!CY$8:CY$86,'EE Measures'!$IF$8:$IF$86,'EE Measures'!$AB$8:$AB$86)</f>
        <v>8.6883153357523959</v>
      </c>
      <c r="AC499" s="593">
        <f>SUMPRODUCT('EE Measures'!CZ$8:CZ$86,'EE Measures'!$IF$8:$IF$86,'EE Measures'!$AB$8:$AB$86)</f>
        <v>12.145090807309485</v>
      </c>
      <c r="AD499" s="593">
        <f>SUMPRODUCT('EE Measures'!DA$8:DA$86,'EE Measures'!$IF$8:$IF$86,'EE Measures'!$AB$8:$AB$86)</f>
        <v>13.520808796237155</v>
      </c>
      <c r="AE499" s="593">
        <f>SUMPRODUCT('EE Measures'!DB$8:DB$86,'EE Measures'!$IF$8:$IF$86,'EE Measures'!$AB$8:$AB$86)</f>
        <v>14.848661086583128</v>
      </c>
      <c r="AF499" s="593">
        <f>SUMPRODUCT('EE Measures'!DC$8:DC$86,'EE Measures'!$IF$8:$IF$86,'EE Measures'!$AB$8:$AB$86)</f>
        <v>15.52320601869202</v>
      </c>
      <c r="AG499" s="593">
        <f>SUMPRODUCT('EE Measures'!DD$8:DD$86,'EE Measures'!$IF$8:$IF$86,'EE Measures'!$AB$8:$AB$86)</f>
        <v>16.224700387388673</v>
      </c>
      <c r="AH499" s="593">
        <f>SUMPRODUCT('EE Measures'!DE$8:DE$86,'EE Measures'!$IF$8:$IF$86,'EE Measures'!$AB$8:$AB$86)</f>
        <v>16.947539441340449</v>
      </c>
      <c r="AI499" s="593">
        <f>SUMPRODUCT('EE Measures'!DF$8:DF$86,'EE Measures'!$IF$8:$IF$86,'EE Measures'!$AB$8:$AB$86)</f>
        <v>17.699584366224737</v>
      </c>
      <c r="AJ499" s="593">
        <f>SUMPRODUCT('EE Measures'!DG$8:DG$86,'EE Measures'!$IF$8:$IF$86,'EE Measures'!$AB$8:$AB$86)</f>
        <v>18.48027970661245</v>
      </c>
      <c r="AK499" s="593">
        <f>SUMPRODUCT('EE Measures'!DH$8:DH$86,'EE Measures'!$IF$8:$IF$86,'EE Measures'!$AB$8:$AB$86)</f>
        <v>19.290811160497025</v>
      </c>
      <c r="AL499" s="593">
        <f>SUMPRODUCT('EE Measures'!DI$8:DI$86,'EE Measures'!$IF$8:$IF$86,'EE Measures'!$AB$8:$AB$86)</f>
        <v>20.13241450828211</v>
      </c>
      <c r="AM499" s="593">
        <f>SUMPRODUCT('EE Measures'!DJ$8:DJ$86,'EE Measures'!$IF$8:$IF$86,'EE Measures'!$AB$8:$AB$86)</f>
        <v>21.006377712645676</v>
      </c>
    </row>
    <row r="500" spans="3:39" hidden="1" outlineLevel="1" x14ac:dyDescent="0.3">
      <c r="C500" s="587" t="str">
        <f t="shared" si="1870"/>
        <v>Baseline</v>
      </c>
      <c r="E500" s="563" t="s">
        <v>54</v>
      </c>
      <c r="F500" s="592">
        <f t="shared" si="1871"/>
        <v>11.322887623471868</v>
      </c>
      <c r="G500" s="593">
        <f>SUMPRODUCT('EE Measures'!CV$8:CV$86,'EE Measures'!$IF$8:$IF$86,'EE Measures'!$R$8:$R$86)</f>
        <v>0.18208485390352028</v>
      </c>
      <c r="H500" s="593">
        <f>SUMPRODUCT('EE Measures'!CW$8:CW$86,'EE Measures'!$IF$8:$IF$86,'EE Measures'!$R$8:$R$86)</f>
        <v>0.19195400951911232</v>
      </c>
      <c r="I500" s="593">
        <f>SUMPRODUCT('EE Measures'!CX$8:CX$86,'EE Measures'!$IF$8:$IF$86,'EE Measures'!$R$8:$R$86)</f>
        <v>0.2025058149447912</v>
      </c>
      <c r="J500" s="593">
        <f>SUMPRODUCT('EE Measures'!CY$8:CY$86,'EE Measures'!$IF$8:$IF$86,'EE Measures'!$R$8:$R$86)</f>
        <v>1.03905504632185</v>
      </c>
      <c r="K500" s="593">
        <f>SUMPRODUCT('EE Measures'!CZ$8:CZ$86,'EE Measures'!$IF$8:$IF$86,'EE Measures'!$R$8:$R$86)</f>
        <v>1.520627817447834</v>
      </c>
      <c r="L500" s="593">
        <f>SUMPRODUCT('EE Measures'!DA$8:DA$86,'EE Measures'!$IF$8:$IF$86,'EE Measures'!$R$8:$R$86)</f>
        <v>1.5577840093675031</v>
      </c>
      <c r="M500" s="593">
        <f>SUMPRODUCT('EE Measures'!DB$8:DB$86,'EE Measures'!$IF$8:$IF$86,'EE Measures'!$R$8:$R$86)</f>
        <v>1.5962103248871438</v>
      </c>
      <c r="N500" s="593">
        <f>SUMPRODUCT('EE Measures'!DC$8:DC$86,'EE Measures'!$IF$8:$IF$86,'EE Measures'!$R$8:$R$86)</f>
        <v>1.6359602833076601</v>
      </c>
      <c r="O500" s="593">
        <f>SUMPRODUCT('EE Measures'!DD$8:DD$86,'EE Measures'!$IF$8:$IF$86,'EE Measures'!$R$8:$R$86)</f>
        <v>1.6770816064017278</v>
      </c>
      <c r="P500" s="593">
        <f>SUMPRODUCT('EE Measures'!DE$8:DE$86,'EE Measures'!$IF$8:$IF$86,'EE Measures'!$R$8:$R$86)</f>
        <v>1.7196238573707254</v>
      </c>
      <c r="Q500" s="593">
        <f>SUMPRODUCT('EE Measures'!DF$8:DF$86,'EE Measures'!$IF$8:$IF$86,'EE Measures'!$R$8:$R$86)</f>
        <v>1.7636082453855821</v>
      </c>
      <c r="R500" s="593">
        <f>SUMPRODUCT('EE Measures'!DG$8:DG$86,'EE Measures'!$IF$8:$IF$86,'EE Measures'!$R$8:$R$86)</f>
        <v>1.8091161399565521</v>
      </c>
      <c r="S500" s="593">
        <f>SUMPRODUCT('EE Measures'!DH$8:DH$86,'EE Measures'!$IF$8:$IF$86,'EE Measures'!$R$8:$R$86)</f>
        <v>1.8562033575162467</v>
      </c>
      <c r="T500" s="593">
        <f>SUMPRODUCT('EE Measures'!DI$8:DI$86,'EE Measures'!$IF$8:$IF$86,'EE Measures'!$R$8:$R$86)</f>
        <v>1.9049278716648925</v>
      </c>
      <c r="U500" s="593">
        <f>SUMPRODUCT('EE Measures'!DJ$8:DJ$86,'EE Measures'!$IF$8:$IF$86,'EE Measures'!$R$8:$R$86)</f>
        <v>1.9553498991487308</v>
      </c>
      <c r="W500" s="563" t="str">
        <v>Kesk-Eesti</v>
      </c>
      <c r="X500" s="592">
        <f t="shared" si="1872"/>
        <v>45.670211906134099</v>
      </c>
      <c r="Y500" s="593">
        <f>SUMPRODUCT('EE Measures'!CV$8:CV$86,'EE Measures'!$IF$8:$IF$86,'EE Measures'!$AC$8:$AC$86)</f>
        <v>1.2289294522961458</v>
      </c>
      <c r="Z500" s="593">
        <f>SUMPRODUCT('EE Measures'!CW$8:CW$86,'EE Measures'!$IF$8:$IF$86,'EE Measures'!$AC$8:$AC$86)</f>
        <v>1.5331288320103245</v>
      </c>
      <c r="AA500" s="593">
        <f>SUMPRODUCT('EE Measures'!CX$8:CX$86,'EE Measures'!$IF$8:$IF$86,'EE Measures'!$AC$8:$AC$86)</f>
        <v>1.7959779103243596</v>
      </c>
      <c r="AB500" s="593">
        <f>SUMPRODUCT('EE Measures'!CY$8:CY$86,'EE Measures'!$IF$8:$IF$86,'EE Measures'!$AC$8:$AC$86)</f>
        <v>3.6166875507635226</v>
      </c>
      <c r="AC500" s="593">
        <f>SUMPRODUCT('EE Measures'!CZ$8:CZ$86,'EE Measures'!$IF$8:$IF$86,'EE Measures'!$AC$8:$AC$86)</f>
        <v>5.0800762825949395</v>
      </c>
      <c r="AD500" s="593">
        <f>SUMPRODUCT('EE Measures'!DA$8:DA$86,'EE Measures'!$IF$8:$IF$86,'EE Measures'!$AC$8:$AC$86)</f>
        <v>5.6740676307888043</v>
      </c>
      <c r="AE500" s="593">
        <f>SUMPRODUCT('EE Measures'!DB$8:DB$86,'EE Measures'!$IF$8:$IF$86,'EE Measures'!$AC$8:$AC$86)</f>
        <v>6.2466628150868644</v>
      </c>
      <c r="AF500" s="593">
        <f>SUMPRODUCT('EE Measures'!DC$8:DC$86,'EE Measures'!$IF$8:$IF$86,'EE Measures'!$AC$8:$AC$86)</f>
        <v>6.5319101028675028</v>
      </c>
      <c r="AG500" s="593">
        <f>SUMPRODUCT('EE Measures'!DD$8:DD$86,'EE Measures'!$IF$8:$IF$86,'EE Measures'!$AC$8:$AC$86)</f>
        <v>6.8285791007197219</v>
      </c>
      <c r="AH500" s="593">
        <f>SUMPRODUCT('EE Measures'!DE$8:DE$86,'EE Measures'!$IF$8:$IF$86,'EE Measures'!$AC$8:$AC$86)</f>
        <v>7.1341922286819139</v>
      </c>
      <c r="AI500" s="593">
        <f>SUMPRODUCT('EE Measures'!DF$8:DF$86,'EE Measures'!$IF$8:$IF$86,'EE Measures'!$AC$8:$AC$86)</f>
        <v>7.4521807043132178</v>
      </c>
      <c r="AJ500" s="593">
        <f>SUMPRODUCT('EE Measures'!DG$8:DG$86,'EE Measures'!$IF$8:$IF$86,'EE Measures'!$AC$8:$AC$86)</f>
        <v>7.782289026413455</v>
      </c>
      <c r="AK500" s="593">
        <f>SUMPRODUCT('EE Measures'!DH$8:DH$86,'EE Measures'!$IF$8:$IF$86,'EE Measures'!$AC$8:$AC$86)</f>
        <v>8.1250191818655626</v>
      </c>
      <c r="AL500" s="593">
        <f>SUMPRODUCT('EE Measures'!DI$8:DI$86,'EE Measures'!$IF$8:$IF$86,'EE Measures'!$AC$8:$AC$86)</f>
        <v>8.4808943747145928</v>
      </c>
      <c r="AM500" s="593">
        <f>SUMPRODUCT('EE Measures'!DJ$8:DJ$86,'EE Measures'!$IF$8:$IF$86,'EE Measures'!$AC$8:$AC$86)</f>
        <v>8.8504599164273206</v>
      </c>
    </row>
    <row r="501" spans="3:39" hidden="1" outlineLevel="1" x14ac:dyDescent="0.3">
      <c r="C501" s="587" t="str">
        <f>E501</f>
        <v>EEO</v>
      </c>
      <c r="E501" s="555" t="str">
        <f>'EE Measures'!$IG$6</f>
        <v>EEO</v>
      </c>
      <c r="F501" s="590">
        <f>SUM(G501:P501)</f>
        <v>1407.9339086013817</v>
      </c>
      <c r="G501" s="591">
        <f>SUM(G502:G506)</f>
        <v>16.139708292291441</v>
      </c>
      <c r="H501" s="591">
        <f>SUM(H502:H506)</f>
        <v>19.787614427678925</v>
      </c>
      <c r="I501" s="591">
        <f t="shared" ref="I501:P501" si="1873">SUM(I502:I506)</f>
        <v>22.85492772551606</v>
      </c>
      <c r="J501" s="591">
        <f t="shared" si="1873"/>
        <v>43.747153537176068</v>
      </c>
      <c r="K501" s="591">
        <f t="shared" si="1873"/>
        <v>99.778333646994056</v>
      </c>
      <c r="L501" s="591">
        <f t="shared" si="1873"/>
        <v>142.32227710113239</v>
      </c>
      <c r="M501" s="591">
        <f t="shared" si="1873"/>
        <v>200.54716366975381</v>
      </c>
      <c r="N501" s="591">
        <f t="shared" si="1873"/>
        <v>242.65785071615551</v>
      </c>
      <c r="O501" s="591">
        <f t="shared" si="1873"/>
        <v>286.90321421708393</v>
      </c>
      <c r="P501" s="591">
        <f t="shared" si="1873"/>
        <v>333.19566526759968</v>
      </c>
      <c r="Q501" s="591">
        <f t="shared" ref="Q501:U501" si="1874">SUM(Q502:Q506)</f>
        <v>378.91952622570489</v>
      </c>
      <c r="R501" s="591">
        <f t="shared" si="1874"/>
        <v>426.91463726612517</v>
      </c>
      <c r="S501" s="591">
        <f t="shared" si="1874"/>
        <v>477.27762212236229</v>
      </c>
      <c r="T501" s="591">
        <f t="shared" si="1874"/>
        <v>530.10886874574942</v>
      </c>
      <c r="U501" s="591">
        <f t="shared" si="1874"/>
        <v>585.52978273073984</v>
      </c>
      <c r="W501" s="555" t="str">
        <f>'EE Measures'!$IG$6</f>
        <v>EEO</v>
      </c>
      <c r="X501" s="590">
        <f>SUM(Y501:AH501)</f>
        <v>1407.5633998025023</v>
      </c>
      <c r="Y501" s="591">
        <f t="shared" ref="Y501:Z501" si="1875">SUM(Y502:Y506)</f>
        <v>16.139708292291438</v>
      </c>
      <c r="Z501" s="591">
        <f t="shared" si="1875"/>
        <v>19.787614427678925</v>
      </c>
      <c r="AA501" s="591">
        <f t="shared" ref="AA501" si="1876">SUM(AA502:AA506)</f>
        <v>22.854927725516063</v>
      </c>
      <c r="AB501" s="591">
        <f t="shared" ref="AB501" si="1877">SUM(AB502:AB506)</f>
        <v>43.747153537176061</v>
      </c>
      <c r="AC501" s="591">
        <f t="shared" ref="AC501" si="1878">SUM(AC502:AC506)</f>
        <v>99.761680969785999</v>
      </c>
      <c r="AD501" s="591">
        <f t="shared" ref="AD501" si="1879">SUM(AD502:AD506)</f>
        <v>142.28840757634862</v>
      </c>
      <c r="AE501" s="591">
        <f t="shared" ref="AE501" si="1880">SUM(AE502:AE506)</f>
        <v>200.49548341111563</v>
      </c>
      <c r="AF501" s="591">
        <f t="shared" ref="AF501" si="1881">SUM(AF502:AF506)</f>
        <v>242.58773534543292</v>
      </c>
      <c r="AG501" s="591">
        <f t="shared" ref="AG501" si="1882">SUM(AG502:AG506)</f>
        <v>286.81400805088958</v>
      </c>
      <c r="AH501" s="591">
        <f t="shared" ref="AH501:AM501" si="1883">SUM(AH502:AH506)</f>
        <v>333.08668046626701</v>
      </c>
      <c r="AI501" s="591">
        <f t="shared" si="1883"/>
        <v>378.78999872519785</v>
      </c>
      <c r="AJ501" s="591">
        <f t="shared" si="1883"/>
        <v>426.76380592544592</v>
      </c>
      <c r="AK501" s="591">
        <f t="shared" si="1883"/>
        <v>477.10469246661455</v>
      </c>
      <c r="AL501" s="591">
        <f t="shared" si="1883"/>
        <v>529.91301165113191</v>
      </c>
      <c r="AM501" s="591">
        <f t="shared" si="1883"/>
        <v>585.31013306063892</v>
      </c>
    </row>
    <row r="502" spans="3:39" hidden="1" outlineLevel="1" x14ac:dyDescent="0.3">
      <c r="C502" s="587" t="str">
        <f>C501</f>
        <v>EEO</v>
      </c>
      <c r="E502" s="563" t="s">
        <v>50</v>
      </c>
      <c r="F502" s="592">
        <f>SUM(G502:P502)</f>
        <v>279.29213829484121</v>
      </c>
      <c r="G502" s="586">
        <f>SUMPRODUCT('EE Measures'!DK$8:DK$86,'EE Measures'!$IG$8:$IG$86,'EE Measures'!$N$8:$N$86)</f>
        <v>7.4244076794565608</v>
      </c>
      <c r="H502" s="586">
        <f>SUMPRODUCT('EE Measures'!DL$8:DL$86,'EE Measures'!$IG$8:$IG$86,'EE Measures'!$N$8:$N$86)</f>
        <v>8.0191944900865622</v>
      </c>
      <c r="I502" s="586">
        <f>SUMPRODUCT('EE Measures'!DM$8:DM$86,'EE Measures'!$IG$8:$IG$86,'EE Measures'!$N$8:$N$86)</f>
        <v>8.3891675250918158</v>
      </c>
      <c r="J502" s="586">
        <f>SUMPRODUCT('EE Measures'!DN$8:DN$86,'EE Measures'!$IG$8:$IG$86,'EE Measures'!$N$8:$N$86)</f>
        <v>13.692958734180809</v>
      </c>
      <c r="K502" s="586">
        <f>SUMPRODUCT('EE Measures'!DO$8:DO$86,'EE Measures'!$IG$8:$IG$86,'EE Measures'!$N$8:$N$86)</f>
        <v>25.051909443037687</v>
      </c>
      <c r="L502" s="586">
        <f>SUMPRODUCT('EE Measures'!DP$8:DP$86,'EE Measures'!$IG$8:$IG$86,'EE Measures'!$N$8:$N$86)</f>
        <v>33.484433179066293</v>
      </c>
      <c r="M502" s="586">
        <f>SUMPRODUCT('EE Measures'!DQ$8:DQ$86,'EE Measures'!$IG$8:$IG$86,'EE Measures'!$N$8:$N$86)</f>
        <v>40.32969427558016</v>
      </c>
      <c r="N502" s="586">
        <f>SUMPRODUCT('EE Measures'!DR$8:DR$86,'EE Measures'!$IG$8:$IG$86,'EE Measures'!$N$8:$N$86)</f>
        <v>43.87037252147595</v>
      </c>
      <c r="O502" s="586">
        <f>SUMPRODUCT('EE Measures'!DS$8:DS$86,'EE Measures'!$IG$8:$IG$86,'EE Measures'!$N$8:$N$86)</f>
        <v>47.593835432587056</v>
      </c>
      <c r="P502" s="586">
        <f>SUMPRODUCT('EE Measures'!DT$8:DT$86,'EE Measures'!$IG$8:$IG$86,'EE Measures'!$N$8:$N$86)</f>
        <v>51.436165014278295</v>
      </c>
      <c r="Q502" s="586">
        <f>SUMPRODUCT('EE Measures'!DU$8:DU$86,'EE Measures'!$IG$8:$IG$86,'EE Measures'!$N$8:$N$86)</f>
        <v>55.47574528629994</v>
      </c>
      <c r="R502" s="586">
        <f>SUMPRODUCT('EE Measures'!DV$8:DV$86,'EE Measures'!$IG$8:$IG$86,'EE Measures'!$N$8:$N$86)</f>
        <v>59.701905858763894</v>
      </c>
      <c r="S502" s="586">
        <f>SUMPRODUCT('EE Measures'!DW$8:DW$86,'EE Measures'!$IG$8:$IG$86,'EE Measures'!$N$8:$N$86)</f>
        <v>64.12256684000144</v>
      </c>
      <c r="T502" s="586">
        <f>SUMPRODUCT('EE Measures'!DX$8:DX$86,'EE Measures'!$IG$8:$IG$86,'EE Measures'!$N$8:$N$86)</f>
        <v>68.745960614672512</v>
      </c>
      <c r="U502" s="586">
        <f>SUMPRODUCT('EE Measures'!DY$8:DY$86,'EE Measures'!$IG$8:$IG$86,'EE Measures'!$N$8:$N$86)</f>
        <v>73.580643669562065</v>
      </c>
      <c r="W502" s="563" t="str" cm="1">
        <f t="array" ref="W502:W506">_xlfn.ANCHORARRAY($W$357)</f>
        <v xml:space="preserve">Põhja-Eesti </v>
      </c>
      <c r="X502" s="592">
        <f>SUM(Y502:AH502)</f>
        <v>616.18241120723599</v>
      </c>
      <c r="Y502" s="586">
        <f>SUMPRODUCT('EE Measures'!DK$8:DK$86,'EE Measures'!$IG$8:$IG$86,'EE Measures'!$Y$8:$Y$86)</f>
        <v>8.4845318371571175</v>
      </c>
      <c r="Z502" s="586">
        <f>SUMPRODUCT('EE Measures'!DL$8:DL$86,'EE Measures'!$IG$8:$IG$86,'EE Measures'!$Y$8:$Y$86)</f>
        <v>10.209890601101206</v>
      </c>
      <c r="AA502" s="586">
        <f>SUMPRODUCT('EE Measures'!DM$8:DM$86,'EE Measures'!$IG$8:$IG$86,'EE Measures'!$Y$8:$Y$86)</f>
        <v>11.596261696053848</v>
      </c>
      <c r="AB502" s="586">
        <f>SUMPRODUCT('EE Measures'!DN$8:DN$86,'EE Measures'!$IG$8:$IG$86,'EE Measures'!$Y$8:$Y$86)</f>
        <v>21.399048804983575</v>
      </c>
      <c r="AC502" s="586">
        <f>SUMPRODUCT('EE Measures'!DO$8:DO$86,'EE Measures'!$IG$8:$IG$86,'EE Measures'!$Y$8:$Y$86)</f>
        <v>46.781183219469739</v>
      </c>
      <c r="AD502" s="586">
        <f>SUMPRODUCT('EE Measures'!DP$8:DP$86,'EE Measures'!$IG$8:$IG$86,'EE Measures'!$Y$8:$Y$86)</f>
        <v>63.977726030895461</v>
      </c>
      <c r="AE502" s="586">
        <f>SUMPRODUCT('EE Measures'!DQ$8:DQ$86,'EE Measures'!$IG$8:$IG$86,'EE Measures'!$Y$8:$Y$86)</f>
        <v>88.445950382119932</v>
      </c>
      <c r="AF502" s="586">
        <f>SUMPRODUCT('EE Measures'!DR$8:DR$86,'EE Measures'!$IG$8:$IG$86,'EE Measures'!$Y$8:$Y$86)</f>
        <v>104.57842316411345</v>
      </c>
      <c r="AG502" s="586">
        <f>SUMPRODUCT('EE Measures'!DS$8:DS$86,'EE Measures'!$IG$8:$IG$86,'EE Measures'!$Y$8:$Y$86)</f>
        <v>121.51274205991812</v>
      </c>
      <c r="AH502" s="586">
        <f>SUMPRODUCT('EE Measures'!DT$8:DT$86,'EE Measures'!$IG$8:$IG$86,'EE Measures'!$Y$8:$Y$86)</f>
        <v>139.19665341142348</v>
      </c>
      <c r="AI502" s="586">
        <f>SUMPRODUCT('EE Measures'!DU$8:DU$86,'EE Measures'!$IG$8:$IG$86,'EE Measures'!$Y$8:$Y$86)</f>
        <v>155.90777483770654</v>
      </c>
      <c r="AJ502" s="586">
        <f>SUMPRODUCT('EE Measures'!DV$8:DV$86,'EE Measures'!$IG$8:$IG$86,'EE Measures'!$Y$8:$Y$86)</f>
        <v>173.43998063460799</v>
      </c>
      <c r="AK502" s="586">
        <f>SUMPRODUCT('EE Measures'!DW$8:DW$86,'EE Measures'!$IG$8:$IG$86,'EE Measures'!$Y$8:$Y$86)</f>
        <v>191.8282486627846</v>
      </c>
      <c r="AL502" s="586">
        <f>SUMPRODUCT('EE Measures'!DX$8:DX$86,'EE Measures'!$IG$8:$IG$86,'EE Measures'!$Y$8:$Y$86)</f>
        <v>211.10892370936605</v>
      </c>
      <c r="AM502" s="586">
        <f>SUMPRODUCT('EE Measures'!DY$8:DY$86,'EE Measures'!$IG$8:$IG$86,'EE Measures'!$Y$8:$Y$86)</f>
        <v>231.32490856638429</v>
      </c>
    </row>
    <row r="503" spans="3:39" hidden="1" outlineLevel="1" x14ac:dyDescent="0.3">
      <c r="C503" s="587" t="str">
        <f t="shared" ref="C503:C506" si="1884">C502</f>
        <v>EEO</v>
      </c>
      <c r="E503" s="563" t="s">
        <v>51</v>
      </c>
      <c r="F503" s="592">
        <f t="shared" ref="F503:F506" si="1885">SUM(G503:P503)</f>
        <v>487.23156943289496</v>
      </c>
      <c r="G503" s="586">
        <f>SUMPRODUCT('EE Measures'!DK$8:DK$86,'EE Measures'!$IG$8:$IG$86,'EE Measures'!$O$8:$O$86)</f>
        <v>2.3213067806629124</v>
      </c>
      <c r="H503" s="586">
        <f>SUMPRODUCT('EE Measures'!DL$8:DL$86,'EE Measures'!$IG$8:$IG$86,'EE Measures'!$O$8:$O$86)</f>
        <v>3.3520795686829299</v>
      </c>
      <c r="I503" s="586">
        <f>SUMPRODUCT('EE Measures'!DM$8:DM$86,'EE Measures'!$IG$8:$IG$86,'EE Measures'!$O$8:$O$86)</f>
        <v>4.5139232249079715</v>
      </c>
      <c r="J503" s="586">
        <f>SUMPRODUCT('EE Measures'!DN$8:DN$86,'EE Measures'!$IG$8:$IG$86,'EE Measures'!$O$8:$O$86)</f>
        <v>7.6467348306856762</v>
      </c>
      <c r="K503" s="586">
        <f>SUMPRODUCT('EE Measures'!DO$8:DO$86,'EE Measures'!$IG$8:$IG$86,'EE Measures'!$O$8:$O$86)</f>
        <v>27.302493954207613</v>
      </c>
      <c r="L503" s="586">
        <f>SUMPRODUCT('EE Measures'!DP$8:DP$86,'EE Measures'!$IG$8:$IG$86,'EE Measures'!$O$8:$O$86)</f>
        <v>46.231266582610253</v>
      </c>
      <c r="M503" s="586">
        <f>SUMPRODUCT('EE Measures'!DQ$8:DQ$86,'EE Measures'!$IG$8:$IG$86,'EE Measures'!$O$8:$O$86)</f>
        <v>66.211963445315632</v>
      </c>
      <c r="N503" s="586">
        <f>SUMPRODUCT('EE Measures'!DR$8:DR$86,'EE Measures'!$IG$8:$IG$86,'EE Measures'!$O$8:$O$86)</f>
        <v>87.274674658001629</v>
      </c>
      <c r="O503" s="586">
        <f>SUMPRODUCT('EE Measures'!DS$8:DS$86,'EE Measures'!$IG$8:$IG$86,'EE Measures'!$O$8:$O$86)</f>
        <v>109.48468778883874</v>
      </c>
      <c r="P503" s="586">
        <f>SUMPRODUCT('EE Measures'!DT$8:DT$86,'EE Measures'!$IG$8:$IG$86,'EE Measures'!$O$8:$O$86)</f>
        <v>132.89243859898156</v>
      </c>
      <c r="Q503" s="586">
        <f>SUMPRODUCT('EE Measures'!DU$8:DU$86,'EE Measures'!$IG$8:$IG$86,'EE Measures'!$O$8:$O$86)</f>
        <v>157.5210925573077</v>
      </c>
      <c r="R503" s="586">
        <f>SUMPRODUCT('EE Measures'!DV$8:DV$86,'EE Measures'!$IG$8:$IG$86,'EE Measures'!$O$8:$O$86)</f>
        <v>183.44364718612439</v>
      </c>
      <c r="S503" s="586">
        <f>SUMPRODUCT('EE Measures'!DW$8:DW$86,'EE Measures'!$IG$8:$IG$86,'EE Measures'!$O$8:$O$86)</f>
        <v>210.71578212385921</v>
      </c>
      <c r="T503" s="586">
        <f>SUMPRODUCT('EE Measures'!DX$8:DX$86,'EE Measures'!$IG$8:$IG$86,'EE Measures'!$O$8:$O$86)</f>
        <v>239.39536196799995</v>
      </c>
      <c r="U503" s="586">
        <f>SUMPRODUCT('EE Measures'!DY$8:DY$86,'EE Measures'!$IG$8:$IG$86,'EE Measures'!$O$8:$O$86)</f>
        <v>269.5385271707944</v>
      </c>
      <c r="W503" s="563" t="str">
        <v>Lääne-Eesti</v>
      </c>
      <c r="X503" s="592">
        <f t="shared" ref="X503:X506" si="1886">SUM(Y503:AH503)</f>
        <v>196.51346283381986</v>
      </c>
      <c r="Y503" s="586">
        <f>SUMPRODUCT('EE Measures'!DK$8:DK$86,'EE Measures'!$IG$8:$IG$86,'EE Measures'!$Z$8:$Z$86)</f>
        <v>1.3415989781013864</v>
      </c>
      <c r="Z503" s="586">
        <f>SUMPRODUCT('EE Measures'!DL$8:DL$86,'EE Measures'!$IG$8:$IG$86,'EE Measures'!$Z$8:$Z$86)</f>
        <v>1.7153690633994894</v>
      </c>
      <c r="AA503" s="586">
        <f>SUMPRODUCT('EE Measures'!DM$8:DM$86,'EE Measures'!$IG$8:$IG$86,'EE Measures'!$Z$8:$Z$86)</f>
        <v>2.052246003233583</v>
      </c>
      <c r="AB503" s="586">
        <f>SUMPRODUCT('EE Measures'!DN$8:DN$86,'EE Measures'!$IG$8:$IG$86,'EE Measures'!$Z$8:$Z$86)</f>
        <v>4.2094157094670166</v>
      </c>
      <c r="AC503" s="586">
        <f>SUMPRODUCT('EE Measures'!DO$8:DO$86,'EE Measures'!$IG$8:$IG$86,'EE Measures'!$Z$8:$Z$86)</f>
        <v>10.99396614031634</v>
      </c>
      <c r="AD503" s="586">
        <f>SUMPRODUCT('EE Measures'!DP$8:DP$86,'EE Measures'!$IG$8:$IG$86,'EE Measures'!$Z$8:$Z$86)</f>
        <v>16.795077225874685</v>
      </c>
      <c r="AE503" s="586">
        <f>SUMPRODUCT('EE Measures'!DQ$8:DQ$86,'EE Measures'!$IG$8:$IG$86,'EE Measures'!$Z$8:$Z$86)</f>
        <v>30.212446304355659</v>
      </c>
      <c r="AF503" s="586">
        <f>SUMPRODUCT('EE Measures'!DR$8:DR$86,'EE Measures'!$IG$8:$IG$86,'EE Measures'!$Z$8:$Z$86)</f>
        <v>36.428664891643287</v>
      </c>
      <c r="AG503" s="586">
        <f>SUMPRODUCT('EE Measures'!DS$8:DS$86,'EE Measures'!$IG$8:$IG$86,'EE Measures'!$Z$8:$Z$86)</f>
        <v>42.960619181822096</v>
      </c>
      <c r="AH503" s="586">
        <f>SUMPRODUCT('EE Measures'!DT$8:DT$86,'EE Measures'!$IG$8:$IG$86,'EE Measures'!$Z$8:$Z$86)</f>
        <v>49.804059335606325</v>
      </c>
      <c r="AI503" s="586">
        <f>SUMPRODUCT('EE Measures'!DU$8:DU$86,'EE Measures'!$IG$8:$IG$86,'EE Measures'!$Z$8:$Z$86)</f>
        <v>56.751899632195993</v>
      </c>
      <c r="AJ503" s="586">
        <f>SUMPRODUCT('EE Measures'!DV$8:DV$86,'EE Measures'!$IG$8:$IG$86,'EE Measures'!$Z$8:$Z$86)</f>
        <v>64.044344750632689</v>
      </c>
      <c r="AK503" s="586">
        <f>SUMPRODUCT('EE Measures'!DW$8:DW$86,'EE Measures'!$IG$8:$IG$86,'EE Measures'!$Z$8:$Z$86)</f>
        <v>71.695955391785304</v>
      </c>
      <c r="AL503" s="586">
        <f>SUMPRODUCT('EE Measures'!DX$8:DX$86,'EE Measures'!$IG$8:$IG$86,'EE Measures'!$Z$8:$Z$86)</f>
        <v>79.721855679531259</v>
      </c>
      <c r="AM503" s="586">
        <f>SUMPRODUCT('EE Measures'!DY$8:DY$86,'EE Measures'!$IG$8:$IG$86,'EE Measures'!$Z$8:$Z$86)</f>
        <v>88.141651316883014</v>
      </c>
    </row>
    <row r="504" spans="3:39" hidden="1" outlineLevel="1" x14ac:dyDescent="0.3">
      <c r="C504" s="587" t="str">
        <f t="shared" si="1884"/>
        <v>EEO</v>
      </c>
      <c r="E504" s="563" t="s">
        <v>52</v>
      </c>
      <c r="F504" s="592">
        <f t="shared" si="1885"/>
        <v>286.55920266119892</v>
      </c>
      <c r="G504" s="586">
        <f>SUMPRODUCT('EE Measures'!DK$8:DK$86,'EE Measures'!$IG$8:$IG$86,'EE Measures'!$P$8:$P$86)</f>
        <v>3.588665132266637</v>
      </c>
      <c r="H504" s="586">
        <f>SUMPRODUCT('EE Measures'!DL$8:DL$86,'EE Measures'!$IG$8:$IG$86,'EE Measures'!$P$8:$P$86)</f>
        <v>4.264327693334856</v>
      </c>
      <c r="I504" s="586">
        <f>SUMPRODUCT('EE Measures'!DM$8:DM$86,'EE Measures'!$IG$8:$IG$86,'EE Measures'!$P$8:$P$86)</f>
        <v>4.6497700269551494</v>
      </c>
      <c r="J504" s="586">
        <f>SUMPRODUCT('EE Measures'!DN$8:DN$86,'EE Measures'!$IG$8:$IG$86,'EE Measures'!$P$8:$P$86)</f>
        <v>6.3796162289414795</v>
      </c>
      <c r="K504" s="586">
        <f>SUMPRODUCT('EE Measures'!DO$8:DO$86,'EE Measures'!$IG$8:$IG$86,'EE Measures'!$P$8:$P$86)</f>
        <v>17.214866018355515</v>
      </c>
      <c r="L504" s="586">
        <f>SUMPRODUCT('EE Measures'!DP$8:DP$86,'EE Measures'!$IG$8:$IG$86,'EE Measures'!$P$8:$P$86)</f>
        <v>27.454024757913526</v>
      </c>
      <c r="M504" s="586">
        <f>SUMPRODUCT('EE Measures'!DQ$8:DQ$86,'EE Measures'!$IG$8:$IG$86,'EE Measures'!$P$8:$P$86)</f>
        <v>38.216243720240037</v>
      </c>
      <c r="N504" s="586">
        <f>SUMPRODUCT('EE Measures'!DR$8:DR$86,'EE Measures'!$IG$8:$IG$86,'EE Measures'!$P$8:$P$86)</f>
        <v>49.523813434215917</v>
      </c>
      <c r="O504" s="586">
        <f>SUMPRODUCT('EE Measures'!DS$8:DS$86,'EE Measures'!$IG$8:$IG$86,'EE Measures'!$P$8:$P$86)</f>
        <v>61.399783933283814</v>
      </c>
      <c r="P504" s="586">
        <f>SUMPRODUCT('EE Measures'!DT$8:DT$86,'EE Measures'!$IG$8:$IG$86,'EE Measures'!$P$8:$P$86)</f>
        <v>73.868091715692017</v>
      </c>
      <c r="Q504" s="586">
        <f>SUMPRODUCT('EE Measures'!DU$8:DU$86,'EE Measures'!$IG$8:$IG$86,'EE Measures'!$P$8:$P$86)</f>
        <v>86.981061346684299</v>
      </c>
      <c r="R504" s="586">
        <f>SUMPRODUCT('EE Measures'!DV$8:DV$86,'EE Measures'!$IG$8:$IG$86,'EE Measures'!$P$8:$P$86)</f>
        <v>100.74612016805816</v>
      </c>
      <c r="S504" s="586">
        <f>SUMPRODUCT('EE Measures'!DW$8:DW$86,'EE Measures'!$IG$8:$IG$86,'EE Measures'!$P$8:$P$86)</f>
        <v>115.19067724796308</v>
      </c>
      <c r="T504" s="586">
        <f>SUMPRODUCT('EE Measures'!DX$8:DX$86,'EE Measures'!$IG$8:$IG$86,'EE Measures'!$P$8:$P$86)</f>
        <v>130.34319568614237</v>
      </c>
      <c r="U504" s="586">
        <f>SUMPRODUCT('EE Measures'!DY$8:DY$86,'EE Measures'!$IG$8:$IG$86,'EE Measures'!$P$8:$P$86)</f>
        <v>146.25433555636067</v>
      </c>
      <c r="W504" s="563" t="str">
        <v>Kirde-Eesti</v>
      </c>
      <c r="X504" s="592">
        <f t="shared" si="1886"/>
        <v>122.22463696651717</v>
      </c>
      <c r="Y504" s="586">
        <f>SUMPRODUCT('EE Measures'!DK$8:DK$86,'EE Measures'!$IG$8:$IG$86,'EE Measures'!$AA$8:$AA$86)</f>
        <v>1.5596184347858104</v>
      </c>
      <c r="Z504" s="586">
        <f>SUMPRODUCT('EE Measures'!DL$8:DL$86,'EE Measures'!$IG$8:$IG$86,'EE Measures'!$AA$8:$AA$86)</f>
        <v>1.9170399626851067</v>
      </c>
      <c r="AA504" s="586">
        <f>SUMPRODUCT('EE Measures'!DM$8:DM$86,'EE Measures'!$IG$8:$IG$86,'EE Measures'!$AA$8:$AA$86)</f>
        <v>2.2005884420596993</v>
      </c>
      <c r="AB504" s="586">
        <f>SUMPRODUCT('EE Measures'!DN$8:DN$86,'EE Measures'!$IG$8:$IG$86,'EE Measures'!$AA$8:$AA$86)</f>
        <v>4.2317016471592748</v>
      </c>
      <c r="AC504" s="586">
        <f>SUMPRODUCT('EE Measures'!DO$8:DO$86,'EE Measures'!$IG$8:$IG$86,'EE Measures'!$AA$8:$AA$86)</f>
        <v>9.144085941889788</v>
      </c>
      <c r="AD504" s="586">
        <f>SUMPRODUCT('EE Measures'!DP$8:DP$86,'EE Measures'!$IG$8:$IG$86,'EE Measures'!$AA$8:$AA$86)</f>
        <v>13.045450635819829</v>
      </c>
      <c r="AE504" s="586">
        <f>SUMPRODUCT('EE Measures'!DQ$8:DQ$86,'EE Measures'!$IG$8:$IG$86,'EE Measures'!$AA$8:$AA$86)</f>
        <v>16.940338515872181</v>
      </c>
      <c r="AF504" s="586">
        <f>SUMPRODUCT('EE Measures'!DR$8:DR$86,'EE Measures'!$IG$8:$IG$86,'EE Measures'!$AA$8:$AA$86)</f>
        <v>20.544093985916433</v>
      </c>
      <c r="AG504" s="586">
        <f>SUMPRODUCT('EE Measures'!DS$8:DS$86,'EE Measures'!$IG$8:$IG$86,'EE Measures'!$AA$8:$AA$86)</f>
        <v>24.336277096627224</v>
      </c>
      <c r="AH504" s="586">
        <f>SUMPRODUCT('EE Measures'!DT$8:DT$86,'EE Measures'!$IG$8:$IG$86,'EE Measures'!$AA$8:$AA$86)</f>
        <v>28.305442303701806</v>
      </c>
      <c r="AI504" s="586">
        <f>SUMPRODUCT('EE Measures'!DU$8:DU$86,'EE Measures'!$IG$8:$IG$86,'EE Measures'!$AA$8:$AA$86)</f>
        <v>32.407717677792689</v>
      </c>
      <c r="AJ504" s="586">
        <f>SUMPRODUCT('EE Measures'!DV$8:DV$86,'EE Measures'!$IG$8:$IG$86,'EE Measures'!$AA$8:$AA$86)</f>
        <v>36.716353813143968</v>
      </c>
      <c r="AK504" s="586">
        <f>SUMPRODUCT('EE Measures'!DW$8:DW$86,'EE Measures'!$IG$8:$IG$86,'EE Measures'!$AA$8:$AA$86)</f>
        <v>41.24019454813677</v>
      </c>
      <c r="AL504" s="586">
        <f>SUMPRODUCT('EE Measures'!DX$8:DX$86,'EE Measures'!$IG$8:$IG$86,'EE Measures'!$AA$8:$AA$86)</f>
        <v>45.988430062476823</v>
      </c>
      <c r="AM504" s="586">
        <f>SUMPRODUCT('EE Measures'!DY$8:DY$86,'EE Measures'!$IG$8:$IG$86,'EE Measures'!$AA$8:$AA$86)</f>
        <v>50.971447797220492</v>
      </c>
    </row>
    <row r="505" spans="3:39" hidden="1" outlineLevel="1" x14ac:dyDescent="0.3">
      <c r="C505" s="587" t="str">
        <f t="shared" si="1884"/>
        <v>EEO</v>
      </c>
      <c r="E505" s="563" t="s">
        <v>53</v>
      </c>
      <c r="F505" s="592">
        <f t="shared" si="1885"/>
        <v>335.99016655749256</v>
      </c>
      <c r="G505" s="586">
        <f>SUMPRODUCT('EE Measures'!DK$8:DK$86,'EE Measures'!$IG$8:$IG$86,'EE Measures'!$Q$8:$Q$86)</f>
        <v>2.623243846001809</v>
      </c>
      <c r="H505" s="586">
        <f>SUMPRODUCT('EE Measures'!DL$8:DL$86,'EE Measures'!$IG$8:$IG$86,'EE Measures'!$Q$8:$Q$86)</f>
        <v>3.9604955388869882</v>
      </c>
      <c r="I505" s="586">
        <f>SUMPRODUCT('EE Measures'!DM$8:DM$86,'EE Measures'!$IG$8:$IG$86,'EE Measures'!$Q$8:$Q$86)</f>
        <v>5.1003764340726994</v>
      </c>
      <c r="J505" s="586">
        <f>SUMPRODUCT('EE Measures'!DN$8:DN$86,'EE Measures'!$IG$8:$IG$86,'EE Measures'!$Q$8:$Q$86)</f>
        <v>14.997198638905273</v>
      </c>
      <c r="K505" s="586">
        <f>SUMPRODUCT('EE Measures'!DO$8:DO$86,'EE Measures'!$IG$8:$IG$86,'EE Measures'!$Q$8:$Q$86)</f>
        <v>28.680212865466441</v>
      </c>
      <c r="L505" s="586">
        <f>SUMPRODUCT('EE Measures'!DP$8:DP$86,'EE Measures'!$IG$8:$IG$86,'EE Measures'!$Q$8:$Q$86)</f>
        <v>33.585610522522074</v>
      </c>
      <c r="M505" s="586">
        <f>SUMPRODUCT('EE Measures'!DQ$8:DQ$86,'EE Measures'!$IG$8:$IG$86,'EE Measures'!$Q$8:$Q$86)</f>
        <v>53.463272276192939</v>
      </c>
      <c r="N505" s="586">
        <f>SUMPRODUCT('EE Measures'!DR$8:DR$86,'EE Measures'!$IG$8:$IG$86,'EE Measures'!$Q$8:$Q$86)</f>
        <v>58.874528914558276</v>
      </c>
      <c r="O505" s="586">
        <f>SUMPRODUCT('EE Measures'!DS$8:DS$86,'EE Measures'!$IG$8:$IG$86,'EE Measures'!$Q$8:$Q$86)</f>
        <v>64.491237790575553</v>
      </c>
      <c r="P505" s="586">
        <f>SUMPRODUCT('EE Measures'!DT$8:DT$86,'EE Measures'!$IG$8:$IG$86,'EE Measures'!$Q$8:$Q$86)</f>
        <v>70.213989730310431</v>
      </c>
      <c r="Q505" s="586">
        <f>SUMPRODUCT('EE Measures'!DU$8:DU$86,'EE Measures'!$IG$8:$IG$86,'EE Measures'!$Q$8:$Q$86)</f>
        <v>74.049897905234715</v>
      </c>
      <c r="R505" s="586">
        <f>SUMPRODUCT('EE Measures'!DV$8:DV$86,'EE Measures'!$IG$8:$IG$86,'EE Measures'!$Q$8:$Q$86)</f>
        <v>78.020978364482872</v>
      </c>
      <c r="S505" s="586">
        <f>SUMPRODUCT('EE Measures'!DW$8:DW$86,'EE Measures'!$IG$8:$IG$86,'EE Measures'!$Q$8:$Q$86)</f>
        <v>82.132727206628473</v>
      </c>
      <c r="T505" s="586">
        <f>SUMPRODUCT('EE Measures'!DX$8:DX$86,'EE Measures'!$IG$8:$IG$86,'EE Measures'!$Q$8:$Q$86)</f>
        <v>86.390849327173243</v>
      </c>
      <c r="U505" s="586">
        <f>SUMPRODUCT('EE Measures'!DY$8:DY$86,'EE Measures'!$IG$8:$IG$86,'EE Measures'!$Q$8:$Q$86)</f>
        <v>90.801266029770176</v>
      </c>
      <c r="W505" s="563" t="str">
        <v>Lõuna-Eesti </v>
      </c>
      <c r="X505" s="592">
        <f t="shared" si="1886"/>
        <v>328.36939774550609</v>
      </c>
      <c r="Y505" s="586">
        <f>SUMPRODUCT('EE Measures'!DK$8:DK$86,'EE Measures'!$IG$8:$IG$86,'EE Measures'!$AB$8:$AB$86)</f>
        <v>3.3732834493644397</v>
      </c>
      <c r="Z505" s="586">
        <f>SUMPRODUCT('EE Measures'!DL$8:DL$86,'EE Measures'!$IG$8:$IG$86,'EE Measures'!$AB$8:$AB$86)</f>
        <v>4.2171498865185608</v>
      </c>
      <c r="AA505" s="586">
        <f>SUMPRODUCT('EE Measures'!DM$8:DM$86,'EE Measures'!$IG$8:$IG$86,'EE Measures'!$AB$8:$AB$86)</f>
        <v>4.9668136580258375</v>
      </c>
      <c r="AB505" s="586">
        <f>SUMPRODUCT('EE Measures'!DN$8:DN$86,'EE Measures'!$IG$8:$IG$86,'EE Measures'!$AB$8:$AB$86)</f>
        <v>9.829158990468235</v>
      </c>
      <c r="AC505" s="586">
        <f>SUMPRODUCT('EE Measures'!DO$8:DO$86,'EE Measures'!$IG$8:$IG$86,'EE Measures'!$AB$8:$AB$86)</f>
        <v>22.989306296957384</v>
      </c>
      <c r="AD505" s="586">
        <f>SUMPRODUCT('EE Measures'!DP$8:DP$86,'EE Measures'!$IG$8:$IG$86,'EE Measures'!$AB$8:$AB$86)</f>
        <v>33.785178707863402</v>
      </c>
      <c r="AE505" s="586">
        <f>SUMPRODUCT('EE Measures'!DQ$8:DQ$86,'EE Measures'!$IG$8:$IG$86,'EE Measures'!$AB$8:$AB$86)</f>
        <v>45.090781300071605</v>
      </c>
      <c r="AF505" s="586">
        <f>SUMPRODUCT('EE Measures'!DR$8:DR$86,'EE Measures'!$IG$8:$IG$86,'EE Measures'!$AB$8:$AB$86)</f>
        <v>56.188214313714781</v>
      </c>
      <c r="AG505" s="586">
        <f>SUMPRODUCT('EE Measures'!DS$8:DS$86,'EE Measures'!$IG$8:$IG$86,'EE Measures'!$AB$8:$AB$86)</f>
        <v>67.854571020193575</v>
      </c>
      <c r="AH505" s="586">
        <f>SUMPRODUCT('EE Measures'!DT$8:DT$86,'EE Measures'!$IG$8:$IG$86,'EE Measures'!$AB$8:$AB$86)</f>
        <v>80.074940122328258</v>
      </c>
      <c r="AI505" s="586">
        <f>SUMPRODUCT('EE Measures'!DU$8:DU$86,'EE Measures'!$IG$8:$IG$86,'EE Measures'!$AB$8:$AB$86)</f>
        <v>92.400960869772405</v>
      </c>
      <c r="AJ505" s="586">
        <f>SUMPRODUCT('EE Measures'!DV$8:DV$86,'EE Measures'!$IG$8:$IG$86,'EE Measures'!$AB$8:$AB$86)</f>
        <v>105.34384777420388</v>
      </c>
      <c r="AK505" s="586">
        <f>SUMPRODUCT('EE Measures'!DW$8:DW$86,'EE Measures'!$IG$8:$IG$86,'EE Measures'!$AB$8:$AB$86)</f>
        <v>118.92984225941579</v>
      </c>
      <c r="AL505" s="586">
        <f>SUMPRODUCT('EE Measures'!DX$8:DX$86,'EE Measures'!$IG$8:$IG$86,'EE Measures'!$AB$8:$AB$86)</f>
        <v>133.18620683675024</v>
      </c>
      <c r="AM505" s="586">
        <f>SUMPRODUCT('EE Measures'!DY$8:DY$86,'EE Measures'!$IG$8:$IG$86,'EE Measures'!$AB$8:$AB$86)</f>
        <v>148.14606926466399</v>
      </c>
    </row>
    <row r="506" spans="3:39" hidden="1" outlineLevel="1" x14ac:dyDescent="0.3">
      <c r="C506" s="587" t="str">
        <f t="shared" si="1884"/>
        <v>EEO</v>
      </c>
      <c r="E506" s="563" t="s">
        <v>54</v>
      </c>
      <c r="F506" s="592">
        <f t="shared" si="1885"/>
        <v>18.860831654954271</v>
      </c>
      <c r="G506" s="586">
        <f>SUMPRODUCT('EE Measures'!DK$8:DK$86,'EE Measures'!$IG$8:$IG$86,'EE Measures'!$R$8:$R$86)</f>
        <v>0.18208485390352028</v>
      </c>
      <c r="H506" s="586">
        <f>SUMPRODUCT('EE Measures'!DL$8:DL$86,'EE Measures'!$IG$8:$IG$86,'EE Measures'!$R$8:$R$86)</f>
        <v>0.19151713668758572</v>
      </c>
      <c r="I506" s="586">
        <f>SUMPRODUCT('EE Measures'!DM$8:DM$86,'EE Measures'!$IG$8:$IG$86,'EE Measures'!$R$8:$R$86)</f>
        <v>0.20169051448842404</v>
      </c>
      <c r="J506" s="586">
        <f>SUMPRODUCT('EE Measures'!DN$8:DN$86,'EE Measures'!$IG$8:$IG$86,'EE Measures'!$R$8:$R$86)</f>
        <v>1.0306451044628264</v>
      </c>
      <c r="K506" s="586">
        <f>SUMPRODUCT('EE Measures'!DO$8:DO$86,'EE Measures'!$IG$8:$IG$86,'EE Measures'!$R$8:$R$86)</f>
        <v>1.5288513659267997</v>
      </c>
      <c r="L506" s="586">
        <f>SUMPRODUCT('EE Measures'!DP$8:DP$86,'EE Measures'!$IG$8:$IG$86,'EE Measures'!$R$8:$R$86)</f>
        <v>1.5669420590202112</v>
      </c>
      <c r="M506" s="586">
        <f>SUMPRODUCT('EE Measures'!DQ$8:DQ$86,'EE Measures'!$IG$8:$IG$86,'EE Measures'!$R$8:$R$86)</f>
        <v>2.3259899524250409</v>
      </c>
      <c r="N506" s="586">
        <f>SUMPRODUCT('EE Measures'!DR$8:DR$86,'EE Measures'!$IG$8:$IG$86,'EE Measures'!$R$8:$R$86)</f>
        <v>3.1144611879037098</v>
      </c>
      <c r="O506" s="586">
        <f>SUMPRODUCT('EE Measures'!DS$8:DS$86,'EE Measures'!$IG$8:$IG$86,'EE Measures'!$R$8:$R$86)</f>
        <v>3.9336692717987329</v>
      </c>
      <c r="P506" s="586">
        <f>SUMPRODUCT('EE Measures'!DT$8:DT$86,'EE Measures'!$IG$8:$IG$86,'EE Measures'!$R$8:$R$86)</f>
        <v>4.7849802083374211</v>
      </c>
      <c r="Q506" s="586">
        <f>SUMPRODUCT('EE Measures'!DU$8:DU$86,'EE Measures'!$IG$8:$IG$86,'EE Measures'!$R$8:$R$86)</f>
        <v>4.8917291301781827</v>
      </c>
      <c r="R506" s="586">
        <f>SUMPRODUCT('EE Measures'!DV$8:DV$86,'EE Measures'!$IG$8:$IG$86,'EE Measures'!$R$8:$R$86)</f>
        <v>5.0019856886958465</v>
      </c>
      <c r="S506" s="586">
        <f>SUMPRODUCT('EE Measures'!DW$8:DW$86,'EE Measures'!$IG$8:$IG$86,'EE Measures'!$R$8:$R$86)</f>
        <v>5.1158687039100625</v>
      </c>
      <c r="T506" s="586">
        <f>SUMPRODUCT('EE Measures'!DX$8:DX$86,'EE Measures'!$IG$8:$IG$86,'EE Measures'!$R$8:$R$86)</f>
        <v>5.233501149761409</v>
      </c>
      <c r="U506" s="586">
        <f>SUMPRODUCT('EE Measures'!DY$8:DY$86,'EE Measures'!$IG$8:$IG$86,'EE Measures'!$R$8:$R$86)</f>
        <v>5.3550103042525947</v>
      </c>
      <c r="W506" s="563" t="str">
        <v>Kesk-Eesti</v>
      </c>
      <c r="X506" s="592">
        <f t="shared" si="1886"/>
        <v>144.27349104942328</v>
      </c>
      <c r="Y506" s="586">
        <f>SUMPRODUCT('EE Measures'!DK$8:DK$86,'EE Measures'!$IG$8:$IG$86,'EE Measures'!$AC$8:$AC$86)</f>
        <v>1.3806755928826868</v>
      </c>
      <c r="Z506" s="586">
        <f>SUMPRODUCT('EE Measures'!DL$8:DL$86,'EE Measures'!$IG$8:$IG$86,'EE Measures'!$AC$8:$AC$86)</f>
        <v>1.7281649139745598</v>
      </c>
      <c r="AA506" s="586">
        <f>SUMPRODUCT('EE Measures'!DM$8:DM$86,'EE Measures'!$IG$8:$IG$86,'EE Measures'!$AC$8:$AC$86)</f>
        <v>2.0390179261430945</v>
      </c>
      <c r="AB506" s="586">
        <f>SUMPRODUCT('EE Measures'!DN$8:DN$86,'EE Measures'!$IG$8:$IG$86,'EE Measures'!$AC$8:$AC$86)</f>
        <v>4.0778283850979617</v>
      </c>
      <c r="AC506" s="586">
        <f>SUMPRODUCT('EE Measures'!DO$8:DO$86,'EE Measures'!$IG$8:$IG$86,'EE Measures'!$AC$8:$AC$86)</f>
        <v>9.8531393711527482</v>
      </c>
      <c r="AD506" s="586">
        <f>SUMPRODUCT('EE Measures'!DP$8:DP$86,'EE Measures'!$IG$8:$IG$86,'EE Measures'!$AC$8:$AC$86)</f>
        <v>14.684974975895253</v>
      </c>
      <c r="AE506" s="586">
        <f>SUMPRODUCT('EE Measures'!DQ$8:DQ$86,'EE Measures'!$IG$8:$IG$86,'EE Measures'!$AC$8:$AC$86)</f>
        <v>19.805966908696277</v>
      </c>
      <c r="AF506" s="586">
        <f>SUMPRODUCT('EE Measures'!DR$8:DR$86,'EE Measures'!$IG$8:$IG$86,'EE Measures'!$AC$8:$AC$86)</f>
        <v>24.848338990044986</v>
      </c>
      <c r="AG506" s="586">
        <f>SUMPRODUCT('EE Measures'!DS$8:DS$86,'EE Measures'!$IG$8:$IG$86,'EE Measures'!$AC$8:$AC$86)</f>
        <v>30.149798692328542</v>
      </c>
      <c r="AH506" s="586">
        <f>SUMPRODUCT('EE Measures'!DT$8:DT$86,'EE Measures'!$IG$8:$IG$86,'EE Measures'!$AC$8:$AC$86)</f>
        <v>35.705585293207172</v>
      </c>
      <c r="AI506" s="586">
        <f>SUMPRODUCT('EE Measures'!DU$8:DU$86,'EE Measures'!$IG$8:$IG$86,'EE Measures'!$AC$8:$AC$86)</f>
        <v>41.321645707730241</v>
      </c>
      <c r="AJ506" s="586">
        <f>SUMPRODUCT('EE Measures'!DV$8:DV$86,'EE Measures'!$IG$8:$IG$86,'EE Measures'!$AC$8:$AC$86)</f>
        <v>47.219278952857394</v>
      </c>
      <c r="AK506" s="586">
        <f>SUMPRODUCT('EE Measures'!DW$8:DW$86,'EE Measures'!$IG$8:$IG$86,'EE Measures'!$AC$8:$AC$86)</f>
        <v>53.410451604492017</v>
      </c>
      <c r="AL506" s="586">
        <f>SUMPRODUCT('EE Measures'!DX$8:DX$86,'EE Measures'!$IG$8:$IG$86,'EE Measures'!$AC$8:$AC$86)</f>
        <v>59.907595363007516</v>
      </c>
      <c r="AM506" s="586">
        <f>SUMPRODUCT('EE Measures'!DY$8:DY$86,'EE Measures'!$IG$8:$IG$86,'EE Measures'!$AC$8:$AC$86)</f>
        <v>66.72605611548714</v>
      </c>
    </row>
    <row r="507" spans="3:39" hidden="1" outlineLevel="1" x14ac:dyDescent="0.3">
      <c r="C507" s="587" t="str">
        <f>E507</f>
        <v>VA</v>
      </c>
      <c r="E507" s="555" t="str">
        <f>'EE Measures'!$IH$6</f>
        <v>VA</v>
      </c>
      <c r="F507" s="590">
        <f>SUM(G507:P507)</f>
        <v>1313.6203505731801</v>
      </c>
      <c r="G507" s="591">
        <f>SUM(G508:G512)</f>
        <v>16.139708292291441</v>
      </c>
      <c r="H507" s="591">
        <f>SUM(H508:H512)</f>
        <v>19.827698487834322</v>
      </c>
      <c r="I507" s="591">
        <f t="shared" ref="I507:P507" si="1887">SUM(I508:I512)</f>
        <v>22.914557329211885</v>
      </c>
      <c r="J507" s="591">
        <f t="shared" si="1887"/>
        <v>44.511048504742554</v>
      </c>
      <c r="K507" s="591">
        <f t="shared" si="1887"/>
        <v>94.29394519407353</v>
      </c>
      <c r="L507" s="591">
        <f t="shared" si="1887"/>
        <v>130.53706293037669</v>
      </c>
      <c r="M507" s="591">
        <f t="shared" si="1887"/>
        <v>183.62977751605328</v>
      </c>
      <c r="N507" s="591">
        <f t="shared" si="1887"/>
        <v>222.42586440399708</v>
      </c>
      <c r="O507" s="591">
        <f t="shared" si="1887"/>
        <v>265.91728561846099</v>
      </c>
      <c r="P507" s="591">
        <f t="shared" si="1887"/>
        <v>313.42340229613842</v>
      </c>
      <c r="Q507" s="591">
        <f t="shared" ref="Q507:U507" si="1888">SUM(Q508:Q512)</f>
        <v>360.36339053641933</v>
      </c>
      <c r="R507" s="591">
        <f t="shared" si="1888"/>
        <v>409.59318993821017</v>
      </c>
      <c r="S507" s="591">
        <f t="shared" si="1888"/>
        <v>461.21532277504633</v>
      </c>
      <c r="T507" s="591">
        <f t="shared" si="1888"/>
        <v>515.33664389045953</v>
      </c>
      <c r="U507" s="591">
        <f t="shared" si="1888"/>
        <v>572.06301268560014</v>
      </c>
      <c r="W507" s="555" t="str">
        <f>'EE Measures'!$IH$6</f>
        <v>VA</v>
      </c>
      <c r="X507" s="590">
        <f>SUM(Y507:AH507)</f>
        <v>1313.2498417743006</v>
      </c>
      <c r="Y507" s="591">
        <f t="shared" ref="Y507:Z507" si="1889">SUM(Y508:Y512)</f>
        <v>16.139708292291438</v>
      </c>
      <c r="Z507" s="591">
        <f t="shared" si="1889"/>
        <v>19.827698487834326</v>
      </c>
      <c r="AA507" s="591">
        <f t="shared" ref="AA507" si="1890">SUM(AA508:AA512)</f>
        <v>22.914557329211888</v>
      </c>
      <c r="AB507" s="591">
        <f t="shared" ref="AB507" si="1891">SUM(AB508:AB512)</f>
        <v>44.511048504742561</v>
      </c>
      <c r="AC507" s="591">
        <f t="shared" ref="AC507" si="1892">SUM(AC508:AC512)</f>
        <v>94.277292516865501</v>
      </c>
      <c r="AD507" s="591">
        <f t="shared" ref="AD507" si="1893">SUM(AD508:AD512)</f>
        <v>130.50319340559298</v>
      </c>
      <c r="AE507" s="591">
        <f t="shared" ref="AE507" si="1894">SUM(AE508:AE512)</f>
        <v>183.57809725741518</v>
      </c>
      <c r="AF507" s="591">
        <f t="shared" ref="AF507" si="1895">SUM(AF508:AF512)</f>
        <v>222.35574903327452</v>
      </c>
      <c r="AG507" s="591">
        <f t="shared" ref="AG507" si="1896">SUM(AG508:AG512)</f>
        <v>265.82807945226665</v>
      </c>
      <c r="AH507" s="591">
        <f t="shared" ref="AH507:AM507" si="1897">SUM(AH508:AH512)</f>
        <v>313.3144174948057</v>
      </c>
      <c r="AI507" s="591">
        <f t="shared" si="1897"/>
        <v>360.23386303591246</v>
      </c>
      <c r="AJ507" s="591">
        <f t="shared" si="1897"/>
        <v>409.44235859753087</v>
      </c>
      <c r="AK507" s="591">
        <f t="shared" si="1897"/>
        <v>461.04239311929859</v>
      </c>
      <c r="AL507" s="591">
        <f t="shared" si="1897"/>
        <v>515.1407867958419</v>
      </c>
      <c r="AM507" s="591">
        <f t="shared" si="1897"/>
        <v>571.84336301549899</v>
      </c>
    </row>
    <row r="508" spans="3:39" hidden="1" outlineLevel="1" x14ac:dyDescent="0.3">
      <c r="C508" s="587" t="str">
        <f>C507</f>
        <v>VA</v>
      </c>
      <c r="E508" s="563" t="s">
        <v>50</v>
      </c>
      <c r="F508" s="592">
        <f>SUM(G508:P508)</f>
        <v>333.47302003856078</v>
      </c>
      <c r="G508" s="593">
        <f>SUMPRODUCT('EE Measures'!CV$8:CV$86,'EE Measures'!$IH$8:$IH$86,'EE Measures'!$N$8:$N$86)</f>
        <v>7.4244076794565608</v>
      </c>
      <c r="H508" s="593">
        <f>SUMPRODUCT('EE Measures'!CW$8:CW$86,'EE Measures'!$IH$8:$IH$86,'EE Measures'!$N$8:$N$86)</f>
        <v>8.0263569354923359</v>
      </c>
      <c r="I508" s="593">
        <f>SUMPRODUCT('EE Measures'!CX$8:CX$86,'EE Measures'!$IH$8:$IH$86,'EE Measures'!$N$8:$N$86)</f>
        <v>8.4023089590150786</v>
      </c>
      <c r="J508" s="593">
        <f>SUMPRODUCT('EE Measures'!CY$8:CY$86,'EE Measures'!$IH$8:$IH$86,'EE Measures'!$N$8:$N$86)</f>
        <v>13.830723274743519</v>
      </c>
      <c r="K508" s="593">
        <f>SUMPRODUCT('EE Measures'!CZ$8:CZ$86,'EE Measures'!$IH$8:$IH$86,'EE Measures'!$N$8:$N$86)</f>
        <v>24.572725079724133</v>
      </c>
      <c r="L508" s="593">
        <f>SUMPRODUCT('EE Measures'!DA$8:DA$86,'EE Measures'!$IH$8:$IH$86,'EE Measures'!$N$8:$N$86)</f>
        <v>33.829679262542314</v>
      </c>
      <c r="M508" s="593">
        <f>SUMPRODUCT('EE Measures'!DB$8:DB$86,'EE Measures'!$IH$8:$IH$86,'EE Measures'!$N$8:$N$86)</f>
        <v>43.259611560230745</v>
      </c>
      <c r="N508" s="593">
        <f>SUMPRODUCT('EE Measures'!DC$8:DC$86,'EE Measures'!$IH$8:$IH$86,'EE Measures'!$N$8:$N$86)</f>
        <v>51.823708967004741</v>
      </c>
      <c r="O508" s="593">
        <f>SUMPRODUCT('EE Measures'!DD$8:DD$86,'EE Measures'!$IH$8:$IH$86,'EE Measures'!$N$8:$N$86)</f>
        <v>63.78477511326728</v>
      </c>
      <c r="P508" s="593">
        <f>SUMPRODUCT('EE Measures'!DE$8:DE$86,'EE Measures'!$IH$8:$IH$86,'EE Measures'!$N$8:$N$86)</f>
        <v>78.518723207084079</v>
      </c>
      <c r="Q508" s="593">
        <f>SUMPRODUCT('EE Measures'!DF$8:DF$86,'EE Measures'!$IH$8:$IH$86,'EE Measures'!$N$8:$N$86)</f>
        <v>94.198240992271266</v>
      </c>
      <c r="R508" s="593">
        <f>SUMPRODUCT('EE Measures'!DG$8:DG$86,'EE Measures'!$IH$8:$IH$86,'EE Measures'!$N$8:$N$86)</f>
        <v>110.84662190921455</v>
      </c>
      <c r="S508" s="593">
        <f>SUMPRODUCT('EE Measures'!DH$8:DH$86,'EE Measures'!$IH$8:$IH$86,'EE Measures'!$N$8:$N$86)</f>
        <v>128.51520151660864</v>
      </c>
      <c r="T508" s="593">
        <f>SUMPRODUCT('EE Measures'!DI$8:DI$86,'EE Measures'!$IH$8:$IH$86,'EE Measures'!$N$8:$N$86)</f>
        <v>147.25779554747101</v>
      </c>
      <c r="U508" s="593">
        <f>SUMPRODUCT('EE Measures'!DJ$8:DJ$86,'EE Measures'!$IH$8:$IH$86,'EE Measures'!$N$8:$N$86)</f>
        <v>167.13317095136514</v>
      </c>
      <c r="W508" s="563" t="str" cm="1">
        <f t="array" ref="W508:W512">_xlfn.ANCHORARRAY($W$357)</f>
        <v xml:space="preserve">Põhja-Eesti </v>
      </c>
      <c r="X508" s="592">
        <f>SUM(Y508:AH508)</f>
        <v>609.36944882157843</v>
      </c>
      <c r="Y508" s="593">
        <f>SUMPRODUCT('EE Measures'!CV$8:CV$86,'EE Measures'!$IH$8:$IH$86,'EE Measures'!$Y$8:$Y$86)</f>
        <v>8.4845318371571175</v>
      </c>
      <c r="Z508" s="593">
        <f>SUMPRODUCT('EE Measures'!CW$8:CW$86,'EE Measures'!$IH$8:$IH$86,'EE Measures'!$Y$8:$Y$86)</f>
        <v>10.229981854162643</v>
      </c>
      <c r="AA508" s="593">
        <f>SUMPRODUCT('EE Measures'!CX$8:CX$86,'EE Measures'!$IH$8:$IH$86,'EE Measures'!$Y$8:$Y$86)</f>
        <v>11.627085616614544</v>
      </c>
      <c r="AB508" s="593">
        <f>SUMPRODUCT('EE Measures'!CY$8:CY$86,'EE Measures'!$IH$8:$IH$86,'EE Measures'!$Y$8:$Y$86)</f>
        <v>21.782411421364987</v>
      </c>
      <c r="AC508" s="593">
        <f>SUMPRODUCT('EE Measures'!CZ$8:CZ$86,'EE Measures'!$IH$8:$IH$86,'EE Measures'!$Y$8:$Y$86)</f>
        <v>45.400781693396652</v>
      </c>
      <c r="AD508" s="593">
        <f>SUMPRODUCT('EE Measures'!DA$8:DA$86,'EE Measures'!$IH$8:$IH$86,'EE Measures'!$Y$8:$Y$86)</f>
        <v>61.387862962877584</v>
      </c>
      <c r="AE508" s="593">
        <f>SUMPRODUCT('EE Measures'!DB$8:DB$86,'EE Measures'!$IH$8:$IH$86,'EE Measures'!$Y$8:$Y$86)</f>
        <v>85.37440851545702</v>
      </c>
      <c r="AF508" s="593">
        <f>SUMPRODUCT('EE Measures'!DC$8:DC$86,'EE Measures'!$IH$8:$IH$86,'EE Measures'!$Y$8:$Y$86)</f>
        <v>102.09036797545059</v>
      </c>
      <c r="AG508" s="593">
        <f>SUMPRODUCT('EE Measures'!DD$8:DD$86,'EE Measures'!$IH$8:$IH$86,'EE Measures'!$Y$8:$Y$86)</f>
        <v>121.05925280801564</v>
      </c>
      <c r="AH508" s="593">
        <f>SUMPRODUCT('EE Measures'!DE$8:DE$86,'EE Measures'!$IH$8:$IH$86,'EE Measures'!$Y$8:$Y$86)</f>
        <v>141.93276413708165</v>
      </c>
      <c r="AI508" s="593">
        <f>SUMPRODUCT('EE Measures'!DF$8:DF$86,'EE Measures'!$IH$8:$IH$86,'EE Measures'!$Y$8:$Y$86)</f>
        <v>161.99539463539216</v>
      </c>
      <c r="AJ508" s="593">
        <f>SUMPRODUCT('EE Measures'!DG$8:DG$86,'EE Measures'!$IH$8:$IH$86,'EE Measures'!$Y$8:$Y$86)</f>
        <v>183.05437195883275</v>
      </c>
      <c r="AK508" s="593">
        <f>SUMPRODUCT('EE Measures'!DH$8:DH$86,'EE Measures'!$IH$8:$IH$86,'EE Measures'!$Y$8:$Y$86)</f>
        <v>205.15527742565183</v>
      </c>
      <c r="AL508" s="593">
        <f>SUMPRODUCT('EE Measures'!DI$8:DI$86,'EE Measures'!$IH$8:$IH$86,'EE Measures'!$Y$8:$Y$86)</f>
        <v>228.34565989081071</v>
      </c>
      <c r="AM508" s="593">
        <f>SUMPRODUCT('EE Measures'!DJ$8:DJ$86,'EE Measures'!$IH$8:$IH$86,'EE Measures'!$Y$8:$Y$86)</f>
        <v>252.66841848609121</v>
      </c>
    </row>
    <row r="509" spans="3:39" hidden="1" outlineLevel="1" x14ac:dyDescent="0.3">
      <c r="C509" s="587" t="str">
        <f t="shared" ref="C509:C512" si="1898">C508</f>
        <v>VA</v>
      </c>
      <c r="E509" s="563" t="s">
        <v>51</v>
      </c>
      <c r="F509" s="592">
        <f t="shared" ref="F509:F512" si="1899">SUM(G509:P509)</f>
        <v>451.11291901519343</v>
      </c>
      <c r="G509" s="593">
        <f>SUMPRODUCT('EE Measures'!CV$8:CV$86,'EE Measures'!$IH$8:$IH$86,'EE Measures'!$O$8:$O$86)</f>
        <v>2.3213067806629124</v>
      </c>
      <c r="H509" s="593">
        <f>SUMPRODUCT('EE Measures'!CW$8:CW$86,'EE Measures'!$IH$8:$IH$86,'EE Measures'!$O$8:$O$86)</f>
        <v>3.3722863854271092</v>
      </c>
      <c r="I509" s="593">
        <f>SUMPRODUCT('EE Measures'!CX$8:CX$86,'EE Measures'!$IH$8:$IH$86,'EE Measures'!$O$8:$O$86)</f>
        <v>4.5398170217852769</v>
      </c>
      <c r="J509" s="593">
        <f>SUMPRODUCT('EE Measures'!CY$8:CY$86,'EE Measures'!$IH$8:$IH$86,'EE Measures'!$O$8:$O$86)</f>
        <v>8.0296990056072808</v>
      </c>
      <c r="K509" s="593">
        <f>SUMPRODUCT('EE Measures'!CZ$8:CZ$86,'EE Measures'!$IH$8:$IH$86,'EE Measures'!$O$8:$O$86)</f>
        <v>27.230328762245708</v>
      </c>
      <c r="L509" s="593">
        <f>SUMPRODUCT('EE Measures'!DA$8:DA$86,'EE Measures'!$IH$8:$IH$86,'EE Measures'!$O$8:$O$86)</f>
        <v>44.165545475682954</v>
      </c>
      <c r="M509" s="593">
        <f>SUMPRODUCT('EE Measures'!DB$8:DB$86,'EE Measures'!$IH$8:$IH$86,'EE Measures'!$O$8:$O$86)</f>
        <v>61.855033493274547</v>
      </c>
      <c r="N509" s="593">
        <f>SUMPRODUCT('EE Measures'!DC$8:DC$86,'EE Measures'!$IH$8:$IH$86,'EE Measures'!$O$8:$O$86)</f>
        <v>80.312416536791289</v>
      </c>
      <c r="O509" s="593">
        <f>SUMPRODUCT('EE Measures'!DD$8:DD$86,'EE Measures'!$IH$8:$IH$86,'EE Measures'!$O$8:$O$86)</f>
        <v>99.584247754176673</v>
      </c>
      <c r="P509" s="593">
        <f>SUMPRODUCT('EE Measures'!DE$8:DE$86,'EE Measures'!$IH$8:$IH$86,'EE Measures'!$O$8:$O$86)</f>
        <v>119.70223779953967</v>
      </c>
      <c r="Q509" s="593">
        <f>SUMPRODUCT('EE Measures'!DF$8:DF$86,'EE Measures'!$IH$8:$IH$86,'EE Measures'!$O$8:$O$86)</f>
        <v>140.65952820918503</v>
      </c>
      <c r="R509" s="593">
        <f>SUMPRODUCT('EE Measures'!DG$8:DG$86,'EE Measures'!$IH$8:$IH$86,'EE Measures'!$O$8:$O$86)</f>
        <v>162.51663281104709</v>
      </c>
      <c r="S509" s="593">
        <f>SUMPRODUCT('EE Measures'!DH$8:DH$86,'EE Measures'!$IH$8:$IH$86,'EE Measures'!$O$8:$O$86)</f>
        <v>185.3079647875403</v>
      </c>
      <c r="T509" s="593">
        <f>SUMPRODUCT('EE Measures'!DI$8:DI$86,'EE Measures'!$IH$8:$IH$86,'EE Measures'!$O$8:$O$86)</f>
        <v>209.06916672945954</v>
      </c>
      <c r="U509" s="593">
        <f>SUMPRODUCT('EE Measures'!DJ$8:DJ$86,'EE Measures'!$IH$8:$IH$86,'EE Measures'!$O$8:$O$86)</f>
        <v>233.7856645677235</v>
      </c>
      <c r="W509" s="563" t="str">
        <v>Lääne-Eesti</v>
      </c>
      <c r="X509" s="592">
        <f t="shared" ref="X509:X512" si="1900">SUM(Y509:AH509)</f>
        <v>167.29054395767719</v>
      </c>
      <c r="Y509" s="593">
        <f>SUMPRODUCT('EE Measures'!CV$8:CV$86,'EE Measures'!$IH$8:$IH$86,'EE Measures'!$Z$8:$Z$86)</f>
        <v>1.3415989781013864</v>
      </c>
      <c r="Z509" s="593">
        <f>SUMPRODUCT('EE Measures'!CW$8:CW$86,'EE Measures'!$IH$8:$IH$86,'EE Measures'!$Z$8:$Z$86)</f>
        <v>1.719040063594133</v>
      </c>
      <c r="AA509" s="593">
        <f>SUMPRODUCT('EE Measures'!CX$8:CX$86,'EE Measures'!$IH$8:$IH$86,'EE Measures'!$Z$8:$Z$86)</f>
        <v>2.0574098397991558</v>
      </c>
      <c r="AB509" s="593">
        <f>SUMPRODUCT('EE Measures'!CY$8:CY$86,'EE Measures'!$IH$8:$IH$86,'EE Measures'!$Z$8:$Z$86)</f>
        <v>4.279223658311837</v>
      </c>
      <c r="AC509" s="593">
        <f>SUMPRODUCT('EE Measures'!CZ$8:CZ$86,'EE Measures'!$IH$8:$IH$86,'EE Measures'!$Z$8:$Z$86)</f>
        <v>9.7472907593473703</v>
      </c>
      <c r="AD509" s="593">
        <f>SUMPRODUCT('EE Measures'!DA$8:DA$86,'EE Measures'!$IH$8:$IH$86,'EE Measures'!$Z$8:$Z$86)</f>
        <v>14.002244875572824</v>
      </c>
      <c r="AE509" s="593">
        <f>SUMPRODUCT('EE Measures'!DB$8:DB$86,'EE Measures'!$IH$8:$IH$86,'EE Measures'!$Z$8:$Z$86)</f>
        <v>25.907371311697965</v>
      </c>
      <c r="AF509" s="593">
        <f>SUMPRODUCT('EE Measures'!DC$8:DC$86,'EE Measures'!$IH$8:$IH$86,'EE Measures'!$Z$8:$Z$86)</f>
        <v>30.696292403620056</v>
      </c>
      <c r="AG509" s="593">
        <f>SUMPRODUCT('EE Measures'!DD$8:DD$86,'EE Measures'!$IH$8:$IH$86,'EE Measures'!$Z$8:$Z$86)</f>
        <v>35.944565322045804</v>
      </c>
      <c r="AH509" s="593">
        <f>SUMPRODUCT('EE Measures'!DE$8:DE$86,'EE Measures'!$IH$8:$IH$86,'EE Measures'!$Z$8:$Z$86)</f>
        <v>41.595506745586654</v>
      </c>
      <c r="AI509" s="593">
        <f>SUMPRODUCT('EE Measures'!DF$8:DF$86,'EE Measures'!$IH$8:$IH$86,'EE Measures'!$Z$8:$Z$86)</f>
        <v>47.273682368401616</v>
      </c>
      <c r="AJ509" s="593">
        <f>SUMPRODUCT('EE Measures'!DG$8:DG$86,'EE Measures'!$IH$8:$IH$86,'EE Measures'!$Z$8:$Z$86)</f>
        <v>53.218419697099421</v>
      </c>
      <c r="AK509" s="593">
        <f>SUMPRODUCT('EE Measures'!DH$8:DH$86,'EE Measures'!$IH$8:$IH$86,'EE Measures'!$Z$8:$Z$86)</f>
        <v>59.441189311587628</v>
      </c>
      <c r="AL509" s="593">
        <f>SUMPRODUCT('EE Measures'!DI$8:DI$86,'EE Measures'!$IH$8:$IH$86,'EE Measures'!$Z$8:$Z$86)</f>
        <v>65.953927858302308</v>
      </c>
      <c r="AM509" s="593">
        <f>SUMPRODUCT('EE Measures'!DJ$8:DJ$86,'EE Measures'!$IH$8:$IH$86,'EE Measures'!$Z$8:$Z$86)</f>
        <v>72.772736851838985</v>
      </c>
    </row>
    <row r="510" spans="3:39" hidden="1" outlineLevel="1" x14ac:dyDescent="0.3">
      <c r="C510" s="587" t="str">
        <f t="shared" si="1898"/>
        <v>VA</v>
      </c>
      <c r="E510" s="563" t="s">
        <v>52</v>
      </c>
      <c r="F510" s="592">
        <f t="shared" si="1899"/>
        <v>174.46386873705231</v>
      </c>
      <c r="G510" s="593">
        <f>SUMPRODUCT('EE Measures'!CV$8:CV$86,'EE Measures'!$IH$8:$IH$86,'EE Measures'!$P$8:$P$86)</f>
        <v>3.588665132266637</v>
      </c>
      <c r="H510" s="593">
        <f>SUMPRODUCT('EE Measures'!CW$8:CW$86,'EE Measures'!$IH$8:$IH$86,'EE Measures'!$P$8:$P$86)</f>
        <v>4.2761796415667082</v>
      </c>
      <c r="I510" s="593">
        <f>SUMPRODUCT('EE Measures'!CX$8:CX$86,'EE Measures'!$IH$8:$IH$86,'EE Measures'!$P$8:$P$86)</f>
        <v>4.668725050176727</v>
      </c>
      <c r="J510" s="593">
        <f>SUMPRODUCT('EE Measures'!CY$8:CY$86,'EE Measures'!$IH$8:$IH$86,'EE Measures'!$P$8:$P$86)</f>
        <v>6.6061575215977566</v>
      </c>
      <c r="K510" s="593">
        <f>SUMPRODUCT('EE Measures'!CZ$8:CZ$86,'EE Measures'!$IH$8:$IH$86,'EE Measures'!$P$8:$P$86)</f>
        <v>12.324983163378569</v>
      </c>
      <c r="L510" s="593">
        <f>SUMPRODUCT('EE Measures'!DA$8:DA$86,'EE Measures'!$IH$8:$IH$86,'EE Measures'!$P$8:$P$86)</f>
        <v>17.434871764240729</v>
      </c>
      <c r="M510" s="593">
        <f>SUMPRODUCT('EE Measures'!DB$8:DB$86,'EE Measures'!$IH$8:$IH$86,'EE Measures'!$P$8:$P$86)</f>
        <v>22.774091275258822</v>
      </c>
      <c r="N510" s="593">
        <f>SUMPRODUCT('EE Measures'!DC$8:DC$86,'EE Measures'!$IH$8:$IH$86,'EE Measures'!$P$8:$P$86)</f>
        <v>28.351813655592835</v>
      </c>
      <c r="O510" s="593">
        <f>SUMPRODUCT('EE Measures'!DD$8:DD$86,'EE Measures'!$IH$8:$IH$86,'EE Measures'!$P$8:$P$86)</f>
        <v>34.177484715367903</v>
      </c>
      <c r="P510" s="593">
        <f>SUMPRODUCT('EE Measures'!DE$8:DE$86,'EE Measures'!$IH$8:$IH$86,'EE Measures'!$P$8:$P$86)</f>
        <v>40.260896817605605</v>
      </c>
      <c r="Q510" s="593">
        <f>SUMPRODUCT('EE Measures'!DF$8:DF$86,'EE Measures'!$IH$8:$IH$86,'EE Measures'!$P$8:$P$86)</f>
        <v>46.625132910382689</v>
      </c>
      <c r="R510" s="593">
        <f>SUMPRODUCT('EE Measures'!DG$8:DG$86,'EE Measures'!$IH$8:$IH$86,'EE Measures'!$P$8:$P$86)</f>
        <v>53.272090569144424</v>
      </c>
      <c r="S510" s="593">
        <f>SUMPRODUCT('EE Measures'!DH$8:DH$86,'EE Measures'!$IH$8:$IH$86,'EE Measures'!$P$8:$P$86)</f>
        <v>60.212942294850897</v>
      </c>
      <c r="T510" s="593">
        <f>SUMPRODUCT('EE Measures'!DI$8:DI$86,'EE Measures'!$IH$8:$IH$86,'EE Measures'!$P$8:$P$86)</f>
        <v>67.459271219297563</v>
      </c>
      <c r="U510" s="593">
        <f>SUMPRODUCT('EE Measures'!DJ$8:DJ$86,'EE Measures'!$IH$8:$IH$86,'EE Measures'!$P$8:$P$86)</f>
        <v>75.066710382179082</v>
      </c>
      <c r="W510" s="563" t="str">
        <v>Kirde-Eesti</v>
      </c>
      <c r="X510" s="592">
        <f t="shared" si="1900"/>
        <v>124.35916189272103</v>
      </c>
      <c r="Y510" s="593">
        <f>SUMPRODUCT('EE Measures'!CV$8:CV$86,'EE Measures'!$IH$8:$IH$86,'EE Measures'!$AA$8:$AA$86)</f>
        <v>1.5596184347858104</v>
      </c>
      <c r="Z510" s="593">
        <f>SUMPRODUCT('EE Measures'!CW$8:CW$86,'EE Measures'!$IH$8:$IH$86,'EE Measures'!$AA$8:$AA$86)</f>
        <v>1.9203402371955831</v>
      </c>
      <c r="AA510" s="593">
        <f>SUMPRODUCT('EE Measures'!CX$8:CX$86,'EE Measures'!$IH$8:$IH$86,'EE Measures'!$AA$8:$AA$86)</f>
        <v>2.2054149863318586</v>
      </c>
      <c r="AB510" s="593">
        <f>SUMPRODUCT('EE Measures'!CY$8:CY$86,'EE Measures'!$IH$8:$IH$86,'EE Measures'!$AA$8:$AA$86)</f>
        <v>4.294553747299747</v>
      </c>
      <c r="AC510" s="593">
        <f>SUMPRODUCT('EE Measures'!CZ$8:CZ$86,'EE Measures'!$IH$8:$IH$86,'EE Measures'!$AA$8:$AA$86)</f>
        <v>8.9753805776262627</v>
      </c>
      <c r="AD510" s="593">
        <f>SUMPRODUCT('EE Measures'!DA$8:DA$86,'EE Measures'!$IH$8:$IH$86,'EE Measures'!$AA$8:$AA$86)</f>
        <v>12.757656795406072</v>
      </c>
      <c r="AE510" s="593">
        <f>SUMPRODUCT('EE Measures'!DB$8:DB$86,'EE Measures'!$IH$8:$IH$86,'EE Measures'!$AA$8:$AA$86)</f>
        <v>16.719208526416256</v>
      </c>
      <c r="AF510" s="593">
        <f>SUMPRODUCT('EE Measures'!DC$8:DC$86,'EE Measures'!$IH$8:$IH$86,'EE Measures'!$AA$8:$AA$86)</f>
        <v>20.659117122779218</v>
      </c>
      <c r="AG510" s="593">
        <f>SUMPRODUCT('EE Measures'!DD$8:DD$86,'EE Measures'!$IH$8:$IH$86,'EE Measures'!$AA$8:$AA$86)</f>
        <v>25.152669962594743</v>
      </c>
      <c r="AH510" s="593">
        <f>SUMPRODUCT('EE Measures'!DE$8:DE$86,'EE Measures'!$IH$8:$IH$86,'EE Measures'!$AA$8:$AA$86)</f>
        <v>30.11520150228548</v>
      </c>
      <c r="AI510" s="593">
        <f>SUMPRODUCT('EE Measures'!DF$8:DF$86,'EE Measures'!$IH$8:$IH$86,'EE Measures'!$AA$8:$AA$86)</f>
        <v>35.256868430852883</v>
      </c>
      <c r="AJ510" s="593">
        <f>SUMPRODUCT('EE Measures'!DG$8:DG$86,'EE Measures'!$IH$8:$IH$86,'EE Measures'!$AA$8:$AA$86)</f>
        <v>40.654372217018476</v>
      </c>
      <c r="AK510" s="593">
        <f>SUMPRODUCT('EE Measures'!DH$8:DH$86,'EE Measures'!$IH$8:$IH$86,'EE Measures'!$AA$8:$AA$86)</f>
        <v>46.319323538254871</v>
      </c>
      <c r="AL510" s="593">
        <f>SUMPRODUCT('EE Measures'!DI$8:DI$86,'EE Measures'!$IH$8:$IH$86,'EE Measures'!$AA$8:$AA$86)</f>
        <v>52.26383026902888</v>
      </c>
      <c r="AM510" s="593">
        <f>SUMPRODUCT('EE Measures'!DJ$8:DJ$86,'EE Measures'!$IH$8:$IH$86,'EE Measures'!$AA$8:$AA$86)</f>
        <v>58.496414053266257</v>
      </c>
    </row>
    <row r="511" spans="3:39" hidden="1" outlineLevel="1" x14ac:dyDescent="0.3">
      <c r="C511" s="587" t="str">
        <f t="shared" si="1898"/>
        <v>VA</v>
      </c>
      <c r="E511" s="563" t="s">
        <v>53</v>
      </c>
      <c r="F511" s="592">
        <f t="shared" si="1899"/>
        <v>335.76575876918474</v>
      </c>
      <c r="G511" s="593">
        <f>SUMPRODUCT('EE Measures'!CV$8:CV$86,'EE Measures'!$IH$8:$IH$86,'EE Measures'!$Q$8:$Q$86)</f>
        <v>2.623243846001809</v>
      </c>
      <c r="H511" s="593">
        <f>SUMPRODUCT('EE Measures'!CW$8:CW$86,'EE Measures'!$IH$8:$IH$86,'EE Measures'!$Q$8:$Q$86)</f>
        <v>3.9609215158290576</v>
      </c>
      <c r="I511" s="593">
        <f>SUMPRODUCT('EE Measures'!CX$8:CX$86,'EE Measures'!$IH$8:$IH$86,'EE Measures'!$Q$8:$Q$86)</f>
        <v>5.1012004832900102</v>
      </c>
      <c r="J511" s="593">
        <f>SUMPRODUCT('EE Measures'!CY$8:CY$86,'EE Measures'!$IH$8:$IH$86,'EE Measures'!$Q$8:$Q$86)</f>
        <v>15.005413656472152</v>
      </c>
      <c r="K511" s="593">
        <f>SUMPRODUCT('EE Measures'!CZ$8:CZ$86,'EE Measures'!$IH$8:$IH$86,'EE Measures'!$Q$8:$Q$86)</f>
        <v>28.645280371277302</v>
      </c>
      <c r="L511" s="593">
        <f>SUMPRODUCT('EE Measures'!DA$8:DA$86,'EE Measures'!$IH$8:$IH$86,'EE Measures'!$Q$8:$Q$86)</f>
        <v>33.549182418543204</v>
      </c>
      <c r="M511" s="593">
        <f>SUMPRODUCT('EE Measures'!DB$8:DB$86,'EE Measures'!$IH$8:$IH$86,'EE Measures'!$Q$8:$Q$86)</f>
        <v>53.425257305944214</v>
      </c>
      <c r="N511" s="593">
        <f>SUMPRODUCT('EE Measures'!DC$8:DC$86,'EE Measures'!$IH$8:$IH$86,'EE Measures'!$Q$8:$Q$86)</f>
        <v>58.834836385450366</v>
      </c>
      <c r="O511" s="593">
        <f>SUMPRODUCT('EE Measures'!DD$8:DD$86,'EE Measures'!$IH$8:$IH$86,'EE Measures'!$Q$8:$Q$86)</f>
        <v>64.449772205238261</v>
      </c>
      <c r="P511" s="593">
        <f>SUMPRODUCT('EE Measures'!DE$8:DE$86,'EE Measures'!$IH$8:$IH$86,'EE Measures'!$Q$8:$Q$86)</f>
        <v>70.170650581138375</v>
      </c>
      <c r="Q511" s="593">
        <f>SUMPRODUCT('EE Measures'!DF$8:DF$86,'EE Measures'!$IH$8:$IH$86,'EE Measures'!$Q$8:$Q$86)</f>
        <v>74.004457945698746</v>
      </c>
      <c r="R511" s="593">
        <f>SUMPRODUCT('EE Measures'!DG$8:DG$86,'EE Measures'!$IH$8:$IH$86,'EE Measures'!$Q$8:$Q$86)</f>
        <v>77.973319509252519</v>
      </c>
      <c r="S511" s="593">
        <f>SUMPRODUCT('EE Measures'!DH$8:DH$86,'EE Measures'!$IH$8:$IH$86,'EE Measures'!$Q$8:$Q$86)</f>
        <v>82.082725449853271</v>
      </c>
      <c r="T511" s="593">
        <f>SUMPRODUCT('EE Measures'!DI$8:DI$86,'EE Measures'!$IH$8:$IH$86,'EE Measures'!$Q$8:$Q$86)</f>
        <v>86.338374493735188</v>
      </c>
      <c r="U511" s="593">
        <f>SUMPRODUCT('EE Measures'!DJ$8:DJ$86,'EE Measures'!$IH$8:$IH$86,'EE Measures'!$Q$8:$Q$86)</f>
        <v>90.746181516393165</v>
      </c>
      <c r="W511" s="563" t="str">
        <v>Lõuna-Eesti </v>
      </c>
      <c r="X511" s="592">
        <f t="shared" si="1900"/>
        <v>288.01308872295738</v>
      </c>
      <c r="Y511" s="593">
        <f>SUMPRODUCT('EE Measures'!CV$8:CV$86,'EE Measures'!$IH$8:$IH$86,'EE Measures'!$AB$8:$AB$86)</f>
        <v>3.3732834493644397</v>
      </c>
      <c r="Z511" s="593">
        <f>SUMPRODUCT('EE Measures'!CW$8:CW$86,'EE Measures'!$IH$8:$IH$86,'EE Measures'!$AB$8:$AB$86)</f>
        <v>4.226368577389402</v>
      </c>
      <c r="AA511" s="593">
        <f>SUMPRODUCT('EE Measures'!CX$8:CX$86,'EE Measures'!$IH$8:$IH$86,'EE Measures'!$AB$8:$AB$86)</f>
        <v>4.9801707617961783</v>
      </c>
      <c r="AB511" s="593">
        <f>SUMPRODUCT('EE Measures'!CY$8:CY$86,'EE Measures'!$IH$8:$IH$86,'EE Measures'!$AB$8:$AB$86)</f>
        <v>10.004660726356327</v>
      </c>
      <c r="AC511" s="593">
        <f>SUMPRODUCT('EE Measures'!CZ$8:CZ$86,'EE Measures'!$IH$8:$IH$86,'EE Measures'!$AB$8:$AB$86)</f>
        <v>21.182724350370119</v>
      </c>
      <c r="AD511" s="593">
        <f>SUMPRODUCT('EE Measures'!DA$8:DA$86,'EE Measures'!$IH$8:$IH$86,'EE Measures'!$AB$8:$AB$86)</f>
        <v>29.675161461922198</v>
      </c>
      <c r="AE511" s="593">
        <f>SUMPRODUCT('EE Measures'!DB$8:DB$86,'EE Measures'!$IH$8:$IH$86,'EE Measures'!$AB$8:$AB$86)</f>
        <v>38.83537295590201</v>
      </c>
      <c r="AF511" s="593">
        <f>SUMPRODUCT('EE Measures'!DC$8:DC$86,'EE Measures'!$IH$8:$IH$86,'EE Measures'!$AB$8:$AB$86)</f>
        <v>48.068479420919687</v>
      </c>
      <c r="AG511" s="593">
        <f>SUMPRODUCT('EE Measures'!DD$8:DD$86,'EE Measures'!$IH$8:$IH$86,'EE Measures'!$AB$8:$AB$86)</f>
        <v>58.292675255286937</v>
      </c>
      <c r="AH511" s="593">
        <f>SUMPRODUCT('EE Measures'!DE$8:DE$86,'EE Measures'!$IH$8:$IH$86,'EE Measures'!$AB$8:$AB$86)</f>
        <v>69.374191763650032</v>
      </c>
      <c r="AI511" s="593">
        <f>SUMPRODUCT('EE Measures'!DF$8:DF$86,'EE Measures'!$IH$8:$IH$86,'EE Measures'!$AB$8:$AB$86)</f>
        <v>80.477459710027205</v>
      </c>
      <c r="AJ511" s="593">
        <f>SUMPRODUCT('EE Measures'!DG$8:DG$86,'EE Measures'!$IH$8:$IH$86,'EE Measures'!$AB$8:$AB$86)</f>
        <v>92.113975010598566</v>
      </c>
      <c r="AK511" s="593">
        <f>SUMPRODUCT('EE Measures'!DH$8:DH$86,'EE Measures'!$IH$8:$IH$86,'EE Measures'!$AB$8:$AB$86)</f>
        <v>104.30716989612931</v>
      </c>
      <c r="AL511" s="593">
        <f>SUMPRODUCT('EE Measures'!DI$8:DI$86,'EE Measures'!$IH$8:$IH$86,'EE Measures'!$AB$8:$AB$86)</f>
        <v>117.08144738274277</v>
      </c>
      <c r="AM511" s="593">
        <f>SUMPRODUCT('EE Measures'!DJ$8:DJ$86,'EE Measures'!$IH$8:$IH$86,'EE Measures'!$AB$8:$AB$86)</f>
        <v>130.46286769473267</v>
      </c>
    </row>
    <row r="512" spans="3:39" hidden="1" outlineLevel="1" x14ac:dyDescent="0.3">
      <c r="C512" s="587" t="str">
        <f t="shared" si="1898"/>
        <v>VA</v>
      </c>
      <c r="E512" s="563" t="s">
        <v>54</v>
      </c>
      <c r="F512" s="592">
        <f t="shared" si="1899"/>
        <v>18.80478401318901</v>
      </c>
      <c r="G512" s="593">
        <f>SUMPRODUCT('EE Measures'!CV$8:CV$86,'EE Measures'!$IH$8:$IH$86,'EE Measures'!$R$8:$R$86)</f>
        <v>0.18208485390352028</v>
      </c>
      <c r="H512" s="593">
        <f>SUMPRODUCT('EE Measures'!CW$8:CW$86,'EE Measures'!$IH$8:$IH$86,'EE Measures'!$R$8:$R$86)</f>
        <v>0.19195400951911232</v>
      </c>
      <c r="I512" s="593">
        <f>SUMPRODUCT('EE Measures'!CX$8:CX$86,'EE Measures'!$IH$8:$IH$86,'EE Measures'!$R$8:$R$86)</f>
        <v>0.2025058149447912</v>
      </c>
      <c r="J512" s="593">
        <f>SUMPRODUCT('EE Measures'!CY$8:CY$86,'EE Measures'!$IH$8:$IH$86,'EE Measures'!$R$8:$R$86)</f>
        <v>1.03905504632185</v>
      </c>
      <c r="K512" s="593">
        <f>SUMPRODUCT('EE Measures'!CZ$8:CZ$86,'EE Measures'!$IH$8:$IH$86,'EE Measures'!$R$8:$R$86)</f>
        <v>1.520627817447834</v>
      </c>
      <c r="L512" s="593">
        <f>SUMPRODUCT('EE Measures'!DA$8:DA$86,'EE Measures'!$IH$8:$IH$86,'EE Measures'!$R$8:$R$86)</f>
        <v>1.5577840093675031</v>
      </c>
      <c r="M512" s="593">
        <f>SUMPRODUCT('EE Measures'!DB$8:DB$86,'EE Measures'!$IH$8:$IH$86,'EE Measures'!$R$8:$R$86)</f>
        <v>2.3157838813449829</v>
      </c>
      <c r="N512" s="593">
        <f>SUMPRODUCT('EE Measures'!DC$8:DC$86,'EE Measures'!$IH$8:$IH$86,'EE Measures'!$R$8:$R$86)</f>
        <v>3.1030888591578587</v>
      </c>
      <c r="O512" s="593">
        <f>SUMPRODUCT('EE Measures'!DD$8:DD$86,'EE Measures'!$IH$8:$IH$86,'EE Measures'!$R$8:$R$86)</f>
        <v>3.9210058304108588</v>
      </c>
      <c r="P512" s="593">
        <f>SUMPRODUCT('EE Measures'!DE$8:DE$86,'EE Measures'!$IH$8:$IH$86,'EE Measures'!$R$8:$R$86)</f>
        <v>4.770893890770699</v>
      </c>
      <c r="Q512" s="593">
        <f>SUMPRODUCT('EE Measures'!DF$8:DF$86,'EE Measures'!$IH$8:$IH$86,'EE Measures'!$R$8:$R$86)</f>
        <v>4.8760304788816544</v>
      </c>
      <c r="R512" s="593">
        <f>SUMPRODUCT('EE Measures'!DG$8:DG$86,'EE Measures'!$IH$8:$IH$86,'EE Measures'!$R$8:$R$86)</f>
        <v>4.9845251395516055</v>
      </c>
      <c r="S512" s="593">
        <f>SUMPRODUCT('EE Measures'!DH$8:DH$86,'EE Measures'!$IH$8:$IH$86,'EE Measures'!$R$8:$R$86)</f>
        <v>5.0964887261932503</v>
      </c>
      <c r="T512" s="593">
        <f>SUMPRODUCT('EE Measures'!DI$8:DI$86,'EE Measures'!$IH$8:$IH$86,'EE Measures'!$R$8:$R$86)</f>
        <v>5.2120359004963062</v>
      </c>
      <c r="U512" s="593">
        <f>SUMPRODUCT('EE Measures'!DJ$8:DJ$86,'EE Measures'!$IH$8:$IH$86,'EE Measures'!$R$8:$R$86)</f>
        <v>5.3312852679391867</v>
      </c>
      <c r="W512" s="563" t="str">
        <v>Kesk-Eesti</v>
      </c>
      <c r="X512" s="592">
        <f t="shared" si="1900"/>
        <v>124.21759837936681</v>
      </c>
      <c r="Y512" s="593">
        <f>SUMPRODUCT('EE Measures'!CV$8:CV$86,'EE Measures'!$IH$8:$IH$86,'EE Measures'!$AC$8:$AC$86)</f>
        <v>1.3806755928826868</v>
      </c>
      <c r="Z512" s="593">
        <f>SUMPRODUCT('EE Measures'!CW$8:CW$86,'EE Measures'!$IH$8:$IH$86,'EE Measures'!$AC$8:$AC$86)</f>
        <v>1.7319677554925648</v>
      </c>
      <c r="AA512" s="593">
        <f>SUMPRODUCT('EE Measures'!CX$8:CX$86,'EE Measures'!$IH$8:$IH$86,'EE Measures'!$AC$8:$AC$86)</f>
        <v>2.0444761246701502</v>
      </c>
      <c r="AB512" s="593">
        <f>SUMPRODUCT('EE Measures'!CY$8:CY$86,'EE Measures'!$IH$8:$IH$86,'EE Measures'!$AC$8:$AC$86)</f>
        <v>4.1501989514096644</v>
      </c>
      <c r="AC512" s="593">
        <f>SUMPRODUCT('EE Measures'!CZ$8:CZ$86,'EE Measures'!$IH$8:$IH$86,'EE Measures'!$AC$8:$AC$86)</f>
        <v>8.971115136125098</v>
      </c>
      <c r="AD512" s="593">
        <f>SUMPRODUCT('EE Measures'!DA$8:DA$86,'EE Measures'!$IH$8:$IH$86,'EE Measures'!$AC$8:$AC$86)</f>
        <v>12.680267309814289</v>
      </c>
      <c r="AE512" s="593">
        <f>SUMPRODUCT('EE Measures'!DB$8:DB$86,'EE Measures'!$IH$8:$IH$86,'EE Measures'!$AC$8:$AC$86)</f>
        <v>16.74173594794193</v>
      </c>
      <c r="AF512" s="593">
        <f>SUMPRODUCT('EE Measures'!DC$8:DC$86,'EE Measures'!$IH$8:$IH$86,'EE Measures'!$AC$8:$AC$86)</f>
        <v>20.841492110504994</v>
      </c>
      <c r="AG512" s="593">
        <f>SUMPRODUCT('EE Measures'!DD$8:DD$86,'EE Measures'!$IH$8:$IH$86,'EE Measures'!$AC$8:$AC$86)</f>
        <v>25.378916104323501</v>
      </c>
      <c r="AH512" s="593">
        <f>SUMPRODUCT('EE Measures'!DE$8:DE$86,'EE Measures'!$IH$8:$IH$86,'EE Measures'!$AC$8:$AC$86)</f>
        <v>30.296753346201921</v>
      </c>
      <c r="AI512" s="593">
        <f>SUMPRODUCT('EE Measures'!DF$8:DF$86,'EE Measures'!$IH$8:$IH$86,'EE Measures'!$AC$8:$AC$86)</f>
        <v>35.230457891238629</v>
      </c>
      <c r="AJ512" s="593">
        <f>SUMPRODUCT('EE Measures'!DG$8:DG$86,'EE Measures'!$IH$8:$IH$86,'EE Measures'!$AC$8:$AC$86)</f>
        <v>40.401219713981646</v>
      </c>
      <c r="AK512" s="593">
        <f>SUMPRODUCT('EE Measures'!DH$8:DH$86,'EE Measures'!$IH$8:$IH$86,'EE Measures'!$AC$8:$AC$86)</f>
        <v>45.819432947674976</v>
      </c>
      <c r="AL512" s="593">
        <f>SUMPRODUCT('EE Measures'!DI$8:DI$86,'EE Measures'!$IH$8:$IH$86,'EE Measures'!$AC$8:$AC$86)</f>
        <v>51.495921394957271</v>
      </c>
      <c r="AM512" s="593">
        <f>SUMPRODUCT('EE Measures'!DJ$8:DJ$86,'EE Measures'!$IH$8:$IH$86,'EE Measures'!$AC$8:$AC$86)</f>
        <v>57.442925929569931</v>
      </c>
    </row>
    <row r="513" spans="3:39" hidden="1" outlineLevel="1" x14ac:dyDescent="0.3">
      <c r="C513" s="587" t="str">
        <f>E513</f>
        <v>Renowave</v>
      </c>
      <c r="E513" s="555" t="str">
        <f>'EE Measures'!$II$6</f>
        <v>Renowave</v>
      </c>
      <c r="F513" s="590">
        <f>SUM(G513:P513)</f>
        <v>1711.5938066070632</v>
      </c>
      <c r="G513" s="591">
        <f>SUM(G514:G518)</f>
        <v>16.139708292291441</v>
      </c>
      <c r="H513" s="591">
        <f>SUM(H514:H518)</f>
        <v>19.827698487834322</v>
      </c>
      <c r="I513" s="591">
        <f t="shared" ref="I513:P513" si="1901">SUM(I514:I518)</f>
        <v>22.914557329211885</v>
      </c>
      <c r="J513" s="591">
        <f t="shared" si="1901"/>
        <v>43.201831236725361</v>
      </c>
      <c r="K513" s="591">
        <f t="shared" si="1901"/>
        <v>113.69773997546287</v>
      </c>
      <c r="L513" s="591">
        <f t="shared" si="1901"/>
        <v>169.84565484535855</v>
      </c>
      <c r="M513" s="591">
        <f t="shared" si="1901"/>
        <v>242.83206779171618</v>
      </c>
      <c r="N513" s="591">
        <f t="shared" si="1901"/>
        <v>300.19322351658371</v>
      </c>
      <c r="O513" s="591">
        <f t="shared" si="1901"/>
        <v>360.18509391856787</v>
      </c>
      <c r="P513" s="591">
        <f t="shared" si="1901"/>
        <v>422.75623121331108</v>
      </c>
      <c r="Q513" s="591">
        <f t="shared" ref="Q513:U513" si="1902">SUM(Q514:Q518)</f>
        <v>485.21667066328689</v>
      </c>
      <c r="R513" s="591">
        <f t="shared" si="1902"/>
        <v>550.47384046553452</v>
      </c>
      <c r="S513" s="591">
        <f t="shared" si="1902"/>
        <v>618.63898072510131</v>
      </c>
      <c r="T513" s="591">
        <f t="shared" si="1902"/>
        <v>689.82743179255215</v>
      </c>
      <c r="U513" s="591">
        <f t="shared" si="1902"/>
        <v>764.12013518416279</v>
      </c>
      <c r="W513" s="555" t="str">
        <f>'EE Measures'!$II$6</f>
        <v>Renowave</v>
      </c>
      <c r="X513" s="590">
        <f>SUM(Y513:AH513)</f>
        <v>1711.223297808184</v>
      </c>
      <c r="Y513" s="591">
        <f t="shared" ref="Y513:Z513" si="1903">SUM(Y514:Y518)</f>
        <v>16.139708292291438</v>
      </c>
      <c r="Z513" s="591">
        <f t="shared" si="1903"/>
        <v>19.827698487834326</v>
      </c>
      <c r="AA513" s="591">
        <f t="shared" ref="AA513" si="1904">SUM(AA514:AA518)</f>
        <v>22.914557329211888</v>
      </c>
      <c r="AB513" s="591">
        <f t="shared" ref="AB513" si="1905">SUM(AB514:AB518)</f>
        <v>43.201831236725376</v>
      </c>
      <c r="AC513" s="591">
        <f t="shared" ref="AC513" si="1906">SUM(AC514:AC518)</f>
        <v>113.68108729825485</v>
      </c>
      <c r="AD513" s="591">
        <f t="shared" ref="AD513" si="1907">SUM(AD514:AD518)</f>
        <v>169.81178532057484</v>
      </c>
      <c r="AE513" s="591">
        <f t="shared" ref="AE513" si="1908">SUM(AE514:AE518)</f>
        <v>242.78038753307806</v>
      </c>
      <c r="AF513" s="591">
        <f t="shared" ref="AF513" si="1909">SUM(AF514:AF518)</f>
        <v>300.12310814586118</v>
      </c>
      <c r="AG513" s="591">
        <f t="shared" ref="AG513" si="1910">SUM(AG514:AG518)</f>
        <v>360.09588775237353</v>
      </c>
      <c r="AH513" s="591">
        <f t="shared" ref="AH513:AM513" si="1911">SUM(AH514:AH518)</f>
        <v>422.64724641197853</v>
      </c>
      <c r="AI513" s="591">
        <f t="shared" si="1911"/>
        <v>485.08714316278008</v>
      </c>
      <c r="AJ513" s="591">
        <f t="shared" si="1911"/>
        <v>550.32300912485528</v>
      </c>
      <c r="AK513" s="591">
        <f t="shared" si="1911"/>
        <v>618.46605106935351</v>
      </c>
      <c r="AL513" s="591">
        <f t="shared" si="1911"/>
        <v>689.63157469793464</v>
      </c>
      <c r="AM513" s="591">
        <f t="shared" si="1911"/>
        <v>763.90048551406198</v>
      </c>
    </row>
    <row r="514" spans="3:39" hidden="1" outlineLevel="1" x14ac:dyDescent="0.3">
      <c r="C514" s="587" t="str">
        <f>C513</f>
        <v>Renowave</v>
      </c>
      <c r="E514" s="563" t="s">
        <v>50</v>
      </c>
      <c r="F514" s="592">
        <f>SUM(G514:P514)</f>
        <v>223.93398426568504</v>
      </c>
      <c r="G514" s="593">
        <f>SUMPRODUCT('EE Measures'!CV$8:CV$86,'EE Measures'!$II$8:$II$86,'EE Measures'!$N$8:$N$86)</f>
        <v>7.4244076794565608</v>
      </c>
      <c r="H514" s="593">
        <f>SUMPRODUCT('EE Measures'!CW$8:CW$86,'EE Measures'!$II$8:$II$86,'EE Measures'!$N$8:$N$86)</f>
        <v>8.0263569354923359</v>
      </c>
      <c r="I514" s="593">
        <f>SUMPRODUCT('EE Measures'!CX$8:CX$86,'EE Measures'!$II$8:$II$86,'EE Measures'!$N$8:$N$86)</f>
        <v>8.4023089590150786</v>
      </c>
      <c r="J514" s="593">
        <f>SUMPRODUCT('EE Measures'!CY$8:CY$86,'EE Measures'!$II$8:$II$86,'EE Measures'!$N$8:$N$86)</f>
        <v>12.521506006726327</v>
      </c>
      <c r="K514" s="593">
        <f>SUMPRODUCT('EE Measures'!CZ$8:CZ$86,'EE Measures'!$II$8:$II$86,'EE Measures'!$N$8:$N$86)</f>
        <v>20.646142984056965</v>
      </c>
      <c r="L514" s="593">
        <f>SUMPRODUCT('EE Measures'!DA$8:DA$86,'EE Measures'!$II$8:$II$86,'EE Measures'!$N$8:$N$86)</f>
        <v>26.878135864459054</v>
      </c>
      <c r="M514" s="593">
        <f>SUMPRODUCT('EE Measures'!DB$8:DB$86,'EE Measures'!$II$8:$II$86,'EE Measures'!$N$8:$N$86)</f>
        <v>32.129651463056639</v>
      </c>
      <c r="N514" s="593">
        <f>SUMPRODUCT('EE Measures'!DC$8:DC$86,'EE Measures'!$II$8:$II$86,'EE Measures'!$N$8:$N$86)</f>
        <v>33.995625110260448</v>
      </c>
      <c r="O514" s="593">
        <f>SUMPRODUCT('EE Measures'!DD$8:DD$86,'EE Measures'!$II$8:$II$86,'EE Measures'!$N$8:$N$86)</f>
        <v>35.953342446845319</v>
      </c>
      <c r="P514" s="593">
        <f>SUMPRODUCT('EE Measures'!DE$8:DE$86,'EE Measures'!$II$8:$II$86,'EE Measures'!$N$8:$N$86)</f>
        <v>37.956506816316328</v>
      </c>
      <c r="Q514" s="593">
        <f>SUMPRODUCT('EE Measures'!DF$8:DF$86,'EE Measures'!$II$8:$II$86,'EE Measures'!$N$8:$N$86)</f>
        <v>40.05835763591876</v>
      </c>
      <c r="R514" s="593">
        <f>SUMPRODUCT('EE Measures'!DG$8:DG$86,'EE Measures'!$II$8:$II$86,'EE Measures'!$N$8:$N$86)</f>
        <v>42.250180466588866</v>
      </c>
      <c r="S514" s="593">
        <f>SUMPRODUCT('EE Measures'!DH$8:DH$86,'EE Measures'!$II$8:$II$86,'EE Measures'!$N$8:$N$86)</f>
        <v>44.535685098183784</v>
      </c>
      <c r="T514" s="593">
        <f>SUMPRODUCT('EE Measures'!DI$8:DI$86,'EE Measures'!$II$8:$II$86,'EE Measures'!$N$8:$N$86)</f>
        <v>46.918727866974749</v>
      </c>
      <c r="U514" s="593">
        <f>SUMPRODUCT('EE Measures'!DJ$8:DJ$86,'EE Measures'!$II$8:$II$86,'EE Measures'!$N$8:$N$86)</f>
        <v>49.403317305438769</v>
      </c>
      <c r="W514" s="563" t="str" cm="1">
        <f t="array" ref="W514:W518">_xlfn.ANCHORARRAY($W$357)</f>
        <v xml:space="preserve">Põhja-Eesti </v>
      </c>
      <c r="X514" s="592">
        <f>SUM(Y514:AH514)</f>
        <v>738.4042108046641</v>
      </c>
      <c r="Y514" s="593">
        <f>SUMPRODUCT('EE Measures'!CV$8:CV$86,'EE Measures'!$II$8:$II$86,'EE Measures'!$Y$8:$Y$86)</f>
        <v>8.4845318371571175</v>
      </c>
      <c r="Z514" s="593">
        <f>SUMPRODUCT('EE Measures'!CW$8:CW$86,'EE Measures'!$II$8:$II$86,'EE Measures'!$Y$8:$Y$86)</f>
        <v>10.229981854162643</v>
      </c>
      <c r="AA514" s="593">
        <f>SUMPRODUCT('EE Measures'!CX$8:CX$86,'EE Measures'!$II$8:$II$86,'EE Measures'!$Y$8:$Y$86)</f>
        <v>11.627085616614544</v>
      </c>
      <c r="AB514" s="593">
        <f>SUMPRODUCT('EE Measures'!CY$8:CY$86,'EE Measures'!$II$8:$II$86,'EE Measures'!$Y$8:$Y$86)</f>
        <v>21.114062354714463</v>
      </c>
      <c r="AC514" s="593">
        <f>SUMPRODUCT('EE Measures'!CZ$8:CZ$86,'EE Measures'!$II$8:$II$86,'EE Measures'!$Y$8:$Y$86)</f>
        <v>51.746225402376581</v>
      </c>
      <c r="AD514" s="593">
        <f>SUMPRODUCT('EE Measures'!DA$8:DA$86,'EE Measures'!$II$8:$II$86,'EE Measures'!$Y$8:$Y$86)</f>
        <v>74.609844555095819</v>
      </c>
      <c r="AE514" s="593">
        <f>SUMPRODUCT('EE Measures'!DB$8:DB$86,'EE Measures'!$II$8:$II$86,'EE Measures'!$Y$8:$Y$86)</f>
        <v>105.2980097521389</v>
      </c>
      <c r="AF514" s="593">
        <f>SUMPRODUCT('EE Measures'!DC$8:DC$86,'EE Measures'!$II$8:$II$86,'EE Measures'!$Y$8:$Y$86)</f>
        <v>127.86070348553916</v>
      </c>
      <c r="AG514" s="593">
        <f>SUMPRODUCT('EE Measures'!DD$8:DD$86,'EE Measures'!$II$8:$II$86,'EE Measures'!$Y$8:$Y$86)</f>
        <v>151.43819476524973</v>
      </c>
      <c r="AH514" s="593">
        <f>SUMPRODUCT('EE Measures'!DE$8:DE$86,'EE Measures'!$II$8:$II$86,'EE Measures'!$Y$8:$Y$86)</f>
        <v>175.99557118161513</v>
      </c>
      <c r="AI514" s="593">
        <f>SUMPRODUCT('EE Measures'!DF$8:DF$86,'EE Measures'!$II$8:$II$86,'EE Measures'!$Y$8:$Y$86)</f>
        <v>199.77959101722715</v>
      </c>
      <c r="AJ514" s="593">
        <f>SUMPRODUCT('EE Measures'!DG$8:DG$86,'EE Measures'!$II$8:$II$86,'EE Measures'!$Y$8:$Y$86)</f>
        <v>224.61203165287679</v>
      </c>
      <c r="AK514" s="593">
        <f>SUMPRODUCT('EE Measures'!DH$8:DH$86,'EE Measures'!$II$8:$II$86,'EE Measures'!$Y$8:$Y$86)</f>
        <v>250.5343203413104</v>
      </c>
      <c r="AL514" s="593">
        <f>SUMPRODUCT('EE Measures'!DI$8:DI$86,'EE Measures'!$II$8:$II$86,'EE Measures'!$Y$8:$Y$86)</f>
        <v>277.58940691302212</v>
      </c>
      <c r="AM514" s="593">
        <f>SUMPRODUCT('EE Measures'!DJ$8:DJ$86,'EE Measures'!$II$8:$II$86,'EE Measures'!$Y$8:$Y$86)</f>
        <v>305.79982459326698</v>
      </c>
    </row>
    <row r="515" spans="3:39" hidden="1" outlineLevel="1" x14ac:dyDescent="0.3">
      <c r="C515" s="587" t="str">
        <f t="shared" ref="C515:C518" si="1912">C514</f>
        <v>Renowave</v>
      </c>
      <c r="E515" s="563" t="s">
        <v>51</v>
      </c>
      <c r="F515" s="592">
        <f t="shared" ref="F515:F518" si="1913">SUM(G515:P515)</f>
        <v>901.13842148027618</v>
      </c>
      <c r="G515" s="593">
        <f>SUMPRODUCT('EE Measures'!CV$8:CV$86,'EE Measures'!$II$8:$II$86,'EE Measures'!$O$8:$O$86)</f>
        <v>2.3213067806629124</v>
      </c>
      <c r="H515" s="593">
        <f>SUMPRODUCT('EE Measures'!CW$8:CW$86,'EE Measures'!$II$8:$II$86,'EE Measures'!$O$8:$O$86)</f>
        <v>3.3722863854271092</v>
      </c>
      <c r="I515" s="593">
        <f>SUMPRODUCT('EE Measures'!CX$8:CX$86,'EE Measures'!$II$8:$II$86,'EE Measures'!$O$8:$O$86)</f>
        <v>4.5398170217852769</v>
      </c>
      <c r="J515" s="593">
        <f>SUMPRODUCT('EE Measures'!CY$8:CY$86,'EE Measures'!$II$8:$II$86,'EE Measures'!$O$8:$O$86)</f>
        <v>8.0296990056072808</v>
      </c>
      <c r="K515" s="593">
        <f>SUMPRODUCT('EE Measures'!CZ$8:CZ$86,'EE Measures'!$II$8:$II$86,'EE Measures'!$O$8:$O$86)</f>
        <v>48.031557057338809</v>
      </c>
      <c r="L515" s="593">
        <f>SUMPRODUCT('EE Measures'!DA$8:DA$86,'EE Measures'!$II$8:$II$86,'EE Measures'!$O$8:$O$86)</f>
        <v>85.247403905116528</v>
      </c>
      <c r="M515" s="593">
        <f>SUMPRODUCT('EE Measures'!DB$8:DB$86,'EE Measures'!$II$8:$II$86,'EE Measures'!$O$8:$O$86)</f>
        <v>124.23494989420256</v>
      </c>
      <c r="N515" s="593">
        <f>SUMPRODUCT('EE Measures'!DC$8:DC$86,'EE Measures'!$II$8:$II$86,'EE Measures'!$O$8:$O$86)</f>
        <v>165.05151680195937</v>
      </c>
      <c r="O515" s="593">
        <f>SUMPRODUCT('EE Measures'!DD$8:DD$86,'EE Measures'!$II$8:$II$86,'EE Measures'!$O$8:$O$86)</f>
        <v>207.78795036679585</v>
      </c>
      <c r="P515" s="593">
        <f>SUMPRODUCT('EE Measures'!DE$8:DE$86,'EE Measures'!$II$8:$II$86,'EE Measures'!$O$8:$O$86)</f>
        <v>252.52193426138044</v>
      </c>
      <c r="Q515" s="593">
        <f>SUMPRODUCT('EE Measures'!DF$8:DF$86,'EE Measures'!$II$8:$II$86,'EE Measures'!$O$8:$O$86)</f>
        <v>299.24390018060046</v>
      </c>
      <c r="R515" s="593">
        <f>SUMPRODUCT('EE Measures'!DG$8:DG$86,'EE Measures'!$II$8:$II$86,'EE Measures'!$O$8:$O$86)</f>
        <v>348.09693104807479</v>
      </c>
      <c r="S515" s="593">
        <f>SUMPRODUCT('EE Measures'!DH$8:DH$86,'EE Measures'!$II$8:$II$86,'EE Measures'!$O$8:$O$86)</f>
        <v>399.16558150095852</v>
      </c>
      <c r="T515" s="593">
        <f>SUMPRODUCT('EE Measures'!DI$8:DI$86,'EE Measures'!$II$8:$II$86,'EE Measures'!$O$8:$O$86)</f>
        <v>452.53750824898896</v>
      </c>
      <c r="U515" s="593">
        <f>SUMPRODUCT('EE Measures'!DJ$8:DJ$86,'EE Measures'!$II$8:$II$86,'EE Measures'!$O$8:$O$86)</f>
        <v>508.21318614107656</v>
      </c>
      <c r="W515" s="563" t="str">
        <v>Lääne-Eesti</v>
      </c>
      <c r="X515" s="592">
        <f t="shared" ref="X515:X518" si="1914">SUM(Y515:AH515)</f>
        <v>228.36737528138727</v>
      </c>
      <c r="Y515" s="593">
        <f>SUMPRODUCT('EE Measures'!CV$8:CV$86,'EE Measures'!$II$8:$II$86,'EE Measures'!$Z$8:$Z$86)</f>
        <v>1.3415989781013864</v>
      </c>
      <c r="Z515" s="593">
        <f>SUMPRODUCT('EE Measures'!CW$8:CW$86,'EE Measures'!$II$8:$II$86,'EE Measures'!$Z$8:$Z$86)</f>
        <v>1.719040063594133</v>
      </c>
      <c r="AA515" s="593">
        <f>SUMPRODUCT('EE Measures'!CX$8:CX$86,'EE Measures'!$II$8:$II$86,'EE Measures'!$Z$8:$Z$86)</f>
        <v>2.0574098397991558</v>
      </c>
      <c r="AB515" s="593">
        <f>SUMPRODUCT('EE Measures'!CY$8:CY$86,'EE Measures'!$II$8:$II$86,'EE Measures'!$Z$8:$Z$86)</f>
        <v>4.1704334287345031</v>
      </c>
      <c r="AC515" s="593">
        <f>SUMPRODUCT('EE Measures'!CZ$8:CZ$86,'EE Measures'!$II$8:$II$86,'EE Measures'!$Z$8:$Z$86)</f>
        <v>12.70379182811784</v>
      </c>
      <c r="AD515" s="593">
        <f>SUMPRODUCT('EE Measures'!DA$8:DA$86,'EE Measures'!$II$8:$II$86,'EE Measures'!$Z$8:$Z$86)</f>
        <v>19.854439973134234</v>
      </c>
      <c r="AE515" s="593">
        <f>SUMPRODUCT('EE Measures'!DB$8:DB$86,'EE Measures'!$II$8:$II$86,'EE Measures'!$Z$8:$Z$86)</f>
        <v>34.718083250633832</v>
      </c>
      <c r="AF515" s="593">
        <f>SUMPRODUCT('EE Measures'!DC$8:DC$86,'EE Measures'!$II$8:$II$86,'EE Measures'!$Z$8:$Z$86)</f>
        <v>42.421628178249676</v>
      </c>
      <c r="AG515" s="593">
        <f>SUMPRODUCT('EE Measures'!DD$8:DD$86,'EE Measures'!$II$8:$II$86,'EE Measures'!$Z$8:$Z$86)</f>
        <v>50.482303395270847</v>
      </c>
      <c r="AH515" s="593">
        <f>SUMPRODUCT('EE Measures'!DE$8:DE$86,'EE Measures'!$II$8:$II$86,'EE Measures'!$Z$8:$Z$86)</f>
        <v>58.898646345751644</v>
      </c>
      <c r="AI515" s="593">
        <f>SUMPRODUCT('EE Measures'!DF$8:DF$86,'EE Measures'!$II$8:$II$86,'EE Measures'!$Z$8:$Z$86)</f>
        <v>67.454174064634458</v>
      </c>
      <c r="AJ515" s="593">
        <f>SUMPRODUCT('EE Measures'!DG$8:DG$86,'EE Measures'!$II$8:$II$86,'EE Measures'!$Z$8:$Z$86)</f>
        <v>76.396443385775072</v>
      </c>
      <c r="AK515" s="593">
        <f>SUMPRODUCT('EE Measures'!DH$8:DH$86,'EE Measures'!$II$8:$II$86,'EE Measures'!$Z$8:$Z$86)</f>
        <v>85.740899796066742</v>
      </c>
      <c r="AL515" s="593">
        <f>SUMPRODUCT('EE Measures'!DI$8:DI$86,'EE Measures'!$II$8:$II$86,'EE Measures'!$Z$8:$Z$86)</f>
        <v>95.503558836990166</v>
      </c>
      <c r="AM515" s="593">
        <f>SUMPRODUCT('EE Measures'!DJ$8:DJ$86,'EE Measures'!$II$8:$II$86,'EE Measures'!$Z$8:$Z$86)</f>
        <v>105.70208290546476</v>
      </c>
    </row>
    <row r="516" spans="3:39" hidden="1" outlineLevel="1" x14ac:dyDescent="0.3">
      <c r="C516" s="587" t="str">
        <f t="shared" si="1912"/>
        <v>Renowave</v>
      </c>
      <c r="E516" s="563" t="s">
        <v>52</v>
      </c>
      <c r="F516" s="592">
        <f t="shared" si="1913"/>
        <v>231.95085807872834</v>
      </c>
      <c r="G516" s="593">
        <f>SUMPRODUCT('EE Measures'!CV$8:CV$86,'EE Measures'!$II$8:$II$86,'EE Measures'!$P$8:$P$86)</f>
        <v>3.588665132266637</v>
      </c>
      <c r="H516" s="593">
        <f>SUMPRODUCT('EE Measures'!CW$8:CW$86,'EE Measures'!$II$8:$II$86,'EE Measures'!$P$8:$P$86)</f>
        <v>4.2761796415667082</v>
      </c>
      <c r="I516" s="593">
        <f>SUMPRODUCT('EE Measures'!CX$8:CX$86,'EE Measures'!$II$8:$II$86,'EE Measures'!$P$8:$P$86)</f>
        <v>4.668725050176727</v>
      </c>
      <c r="J516" s="593">
        <f>SUMPRODUCT('EE Measures'!CY$8:CY$86,'EE Measures'!$II$8:$II$86,'EE Measures'!$P$8:$P$86)</f>
        <v>6.6061575215977566</v>
      </c>
      <c r="K516" s="593">
        <f>SUMPRODUCT('EE Measures'!CZ$8:CZ$86,'EE Measures'!$II$8:$II$86,'EE Measures'!$P$8:$P$86)</f>
        <v>14.854131745341967</v>
      </c>
      <c r="L516" s="593">
        <f>SUMPRODUCT('EE Measures'!DA$8:DA$86,'EE Measures'!$II$8:$II$86,'EE Measures'!$P$8:$P$86)</f>
        <v>22.613148647872247</v>
      </c>
      <c r="M516" s="593">
        <f>SUMPRODUCT('EE Measures'!DB$8:DB$86,'EE Measures'!$II$8:$II$86,'EE Measures'!$P$8:$P$86)</f>
        <v>30.726425247167811</v>
      </c>
      <c r="N516" s="593">
        <f>SUMPRODUCT('EE Measures'!DC$8:DC$86,'EE Measures'!$II$8:$II$86,'EE Measures'!$P$8:$P$86)</f>
        <v>39.208156359755641</v>
      </c>
      <c r="O516" s="593">
        <f>SUMPRODUCT('EE Measures'!DD$8:DD$86,'EE Measures'!$II$8:$II$86,'EE Measures'!$P$8:$P$86)</f>
        <v>48.073023069277568</v>
      </c>
      <c r="P516" s="593">
        <f>SUMPRODUCT('EE Measures'!DE$8:DE$86,'EE Measures'!$II$8:$II$86,'EE Measures'!$P$8:$P$86)</f>
        <v>57.336245663705256</v>
      </c>
      <c r="Q516" s="593">
        <f>SUMPRODUCT('EE Measures'!DF$8:DF$86,'EE Measures'!$II$8:$II$86,'EE Measures'!$P$8:$P$86)</f>
        <v>67.033924422187283</v>
      </c>
      <c r="R516" s="593">
        <f>SUMPRODUCT('EE Measures'!DG$8:DG$86,'EE Measures'!$II$8:$II$86,'EE Measures'!$P$8:$P$86)</f>
        <v>77.168884302066729</v>
      </c>
      <c r="S516" s="593">
        <f>SUMPRODUCT('EE Measures'!DH$8:DH$86,'EE Measures'!$II$8:$II$86,'EE Measures'!$P$8:$P$86)</f>
        <v>87.758499949912547</v>
      </c>
      <c r="T516" s="593">
        <f>SUMPRODUCT('EE Measures'!DI$8:DI$86,'EE Measures'!$II$8:$II$86,'EE Measures'!$P$8:$P$86)</f>
        <v>98.820785282357008</v>
      </c>
      <c r="U516" s="593">
        <f>SUMPRODUCT('EE Measures'!DJ$8:DJ$86,'EE Measures'!$II$8:$II$86,'EE Measures'!$P$8:$P$86)</f>
        <v>110.42616495331507</v>
      </c>
      <c r="W516" s="563" t="str">
        <v>Kirde-Eesti</v>
      </c>
      <c r="X516" s="592">
        <f t="shared" si="1914"/>
        <v>166.30356719993591</v>
      </c>
      <c r="Y516" s="593">
        <f>SUMPRODUCT('EE Measures'!CV$8:CV$86,'EE Measures'!$II$8:$II$86,'EE Measures'!$AA$8:$AA$86)</f>
        <v>1.5596184347858104</v>
      </c>
      <c r="Z516" s="593">
        <f>SUMPRODUCT('EE Measures'!CW$8:CW$86,'EE Measures'!$II$8:$II$86,'EE Measures'!$AA$8:$AA$86)</f>
        <v>1.9203402371955831</v>
      </c>
      <c r="AA516" s="593">
        <f>SUMPRODUCT('EE Measures'!CX$8:CX$86,'EE Measures'!$II$8:$II$86,'EE Measures'!$AA$8:$AA$86)</f>
        <v>2.2054149863318586</v>
      </c>
      <c r="AB516" s="593">
        <f>SUMPRODUCT('EE Measures'!CY$8:CY$86,'EE Measures'!$II$8:$II$86,'EE Measures'!$AA$8:$AA$86)</f>
        <v>4.1289602858727887</v>
      </c>
      <c r="AC516" s="593">
        <f>SUMPRODUCT('EE Measures'!CZ$8:CZ$86,'EE Measures'!$II$8:$II$86,'EE Measures'!$AA$8:$AA$86)</f>
        <v>10.978575527581475</v>
      </c>
      <c r="AD516" s="593">
        <f>SUMPRODUCT('EE Measures'!DA$8:DA$86,'EE Measures'!$II$8:$II$86,'EE Measures'!$AA$8:$AA$86)</f>
        <v>16.926746112790724</v>
      </c>
      <c r="AE516" s="593">
        <f>SUMPRODUCT('EE Measures'!DB$8:DB$86,'EE Measures'!$II$8:$II$86,'EE Measures'!$AA$8:$AA$86)</f>
        <v>23.032963648474254</v>
      </c>
      <c r="AF516" s="593">
        <f>SUMPRODUCT('EE Measures'!DC$8:DC$86,'EE Measures'!$II$8:$II$86,'EE Measures'!$AA$8:$AA$86)</f>
        <v>28.928758099572409</v>
      </c>
      <c r="AG516" s="593">
        <f>SUMPRODUCT('EE Measures'!DD$8:DD$86,'EE Measures'!$II$8:$II$86,'EE Measures'!$AA$8:$AA$86)</f>
        <v>35.095389693533427</v>
      </c>
      <c r="AH516" s="593">
        <f>SUMPRODUCT('EE Measures'!DE$8:DE$86,'EE Measures'!$II$8:$II$86,'EE Measures'!$AA$8:$AA$86)</f>
        <v>41.526800173797582</v>
      </c>
      <c r="AI516" s="593">
        <f>SUMPRODUCT('EE Measures'!DF$8:DF$86,'EE Measures'!$II$8:$II$86,'EE Measures'!$AA$8:$AA$86)</f>
        <v>48.171131985196432</v>
      </c>
      <c r="AJ516" s="593">
        <f>SUMPRODUCT('EE Measures'!DG$8:DG$86,'EE Measures'!$II$8:$II$86,'EE Measures'!$AA$8:$AA$86)</f>
        <v>55.11066506715629</v>
      </c>
      <c r="AK516" s="593">
        <f>SUMPRODUCT('EE Measures'!DH$8:DH$86,'EE Measures'!$II$8:$II$86,'EE Measures'!$AA$8:$AA$86)</f>
        <v>62.357019242053404</v>
      </c>
      <c r="AL516" s="593">
        <f>SUMPRODUCT('EE Measures'!DI$8:DI$86,'EE Measures'!$II$8:$II$86,'EE Measures'!$AA$8:$AA$86)</f>
        <v>69.922239001073393</v>
      </c>
      <c r="AM516" s="593">
        <f>SUMPRODUCT('EE Measures'!DJ$8:DJ$86,'EE Measures'!$II$8:$II$86,'EE Measures'!$AA$8:$AA$86)</f>
        <v>77.809402006001648</v>
      </c>
    </row>
    <row r="517" spans="3:39" hidden="1" outlineLevel="1" x14ac:dyDescent="0.3">
      <c r="C517" s="587" t="str">
        <f t="shared" si="1912"/>
        <v>Renowave</v>
      </c>
      <c r="E517" s="563" t="s">
        <v>53</v>
      </c>
      <c r="F517" s="592">
        <f t="shared" si="1913"/>
        <v>335.76575876918474</v>
      </c>
      <c r="G517" s="593">
        <f>SUMPRODUCT('EE Measures'!CV$8:CV$86,'EE Measures'!$II$8:$II$86,'EE Measures'!$Q$8:$Q$86)</f>
        <v>2.623243846001809</v>
      </c>
      <c r="H517" s="593">
        <f>SUMPRODUCT('EE Measures'!CW$8:CW$86,'EE Measures'!$II$8:$II$86,'EE Measures'!$Q$8:$Q$86)</f>
        <v>3.9609215158290576</v>
      </c>
      <c r="I517" s="593">
        <f>SUMPRODUCT('EE Measures'!CX$8:CX$86,'EE Measures'!$II$8:$II$86,'EE Measures'!$Q$8:$Q$86)</f>
        <v>5.1012004832900102</v>
      </c>
      <c r="J517" s="593">
        <f>SUMPRODUCT('EE Measures'!CY$8:CY$86,'EE Measures'!$II$8:$II$86,'EE Measures'!$Q$8:$Q$86)</f>
        <v>15.005413656472152</v>
      </c>
      <c r="K517" s="593">
        <f>SUMPRODUCT('EE Measures'!CZ$8:CZ$86,'EE Measures'!$II$8:$II$86,'EE Measures'!$Q$8:$Q$86)</f>
        <v>28.645280371277302</v>
      </c>
      <c r="L517" s="593">
        <f>SUMPRODUCT('EE Measures'!DA$8:DA$86,'EE Measures'!$II$8:$II$86,'EE Measures'!$Q$8:$Q$86)</f>
        <v>33.549182418543204</v>
      </c>
      <c r="M517" s="593">
        <f>SUMPRODUCT('EE Measures'!DB$8:DB$86,'EE Measures'!$II$8:$II$86,'EE Measures'!$Q$8:$Q$86)</f>
        <v>53.425257305944214</v>
      </c>
      <c r="N517" s="593">
        <f>SUMPRODUCT('EE Measures'!DC$8:DC$86,'EE Measures'!$II$8:$II$86,'EE Measures'!$Q$8:$Q$86)</f>
        <v>58.834836385450366</v>
      </c>
      <c r="O517" s="593">
        <f>SUMPRODUCT('EE Measures'!DD$8:DD$86,'EE Measures'!$II$8:$II$86,'EE Measures'!$Q$8:$Q$86)</f>
        <v>64.449772205238261</v>
      </c>
      <c r="P517" s="593">
        <f>SUMPRODUCT('EE Measures'!DE$8:DE$86,'EE Measures'!$II$8:$II$86,'EE Measures'!$Q$8:$Q$86)</f>
        <v>70.170650581138375</v>
      </c>
      <c r="Q517" s="593">
        <f>SUMPRODUCT('EE Measures'!DF$8:DF$86,'EE Measures'!$II$8:$II$86,'EE Measures'!$Q$8:$Q$86)</f>
        <v>74.004457945698746</v>
      </c>
      <c r="R517" s="593">
        <f>SUMPRODUCT('EE Measures'!DG$8:DG$86,'EE Measures'!$II$8:$II$86,'EE Measures'!$Q$8:$Q$86)</f>
        <v>77.973319509252519</v>
      </c>
      <c r="S517" s="593">
        <f>SUMPRODUCT('EE Measures'!DH$8:DH$86,'EE Measures'!$II$8:$II$86,'EE Measures'!$Q$8:$Q$86)</f>
        <v>82.082725449853271</v>
      </c>
      <c r="T517" s="593">
        <f>SUMPRODUCT('EE Measures'!DI$8:DI$86,'EE Measures'!$II$8:$II$86,'EE Measures'!$Q$8:$Q$86)</f>
        <v>86.338374493735188</v>
      </c>
      <c r="U517" s="593">
        <f>SUMPRODUCT('EE Measures'!DJ$8:DJ$86,'EE Measures'!$II$8:$II$86,'EE Measures'!$Q$8:$Q$86)</f>
        <v>90.746181516393165</v>
      </c>
      <c r="W517" s="563" t="str">
        <v>Lõuna-Eesti </v>
      </c>
      <c r="X517" s="592">
        <f t="shared" si="1914"/>
        <v>401.96788679795065</v>
      </c>
      <c r="Y517" s="593">
        <f>SUMPRODUCT('EE Measures'!CV$8:CV$86,'EE Measures'!$II$8:$II$86,'EE Measures'!$AB$8:$AB$86)</f>
        <v>3.3732834493644397</v>
      </c>
      <c r="Z517" s="593">
        <f>SUMPRODUCT('EE Measures'!CW$8:CW$86,'EE Measures'!$II$8:$II$86,'EE Measures'!$AB$8:$AB$86)</f>
        <v>4.226368577389402</v>
      </c>
      <c r="AA517" s="593">
        <f>SUMPRODUCT('EE Measures'!CX$8:CX$86,'EE Measures'!$II$8:$II$86,'EE Measures'!$AB$8:$AB$86)</f>
        <v>4.9801707617961783</v>
      </c>
      <c r="AB517" s="593">
        <f>SUMPRODUCT('EE Measures'!CY$8:CY$86,'EE Measures'!$II$8:$II$86,'EE Measures'!$AB$8:$AB$86)</f>
        <v>9.7500055665680012</v>
      </c>
      <c r="AC517" s="593">
        <f>SUMPRODUCT('EE Measures'!CZ$8:CZ$86,'EE Measures'!$II$8:$II$86,'EE Measures'!$AB$8:$AB$86)</f>
        <v>26.743986534665623</v>
      </c>
      <c r="AD517" s="593">
        <f>SUMPRODUCT('EE Measures'!DA$8:DA$86,'EE Measures'!$II$8:$II$86,'EE Measures'!$AB$8:$AB$86)</f>
        <v>40.713823533430578</v>
      </c>
      <c r="AE517" s="593">
        <f>SUMPRODUCT('EE Measures'!DB$8:DB$86,'EE Measures'!$II$8:$II$86,'EE Measures'!$AB$8:$AB$86)</f>
        <v>55.433326171041024</v>
      </c>
      <c r="AF517" s="593">
        <f>SUMPRODUCT('EE Measures'!DC$8:DC$86,'EE Measures'!$II$8:$II$86,'EE Measures'!$AB$8:$AB$86)</f>
        <v>70.055042426570608</v>
      </c>
      <c r="AG517" s="593">
        <f>SUMPRODUCT('EE Measures'!DD$8:DD$86,'EE Measures'!$II$8:$II$86,'EE Measures'!$AB$8:$AB$86)</f>
        <v>85.357785848405243</v>
      </c>
      <c r="AH517" s="593">
        <f>SUMPRODUCT('EE Measures'!DE$8:DE$86,'EE Measures'!$II$8:$II$86,'EE Measures'!$AB$8:$AB$86)</f>
        <v>101.33409392871957</v>
      </c>
      <c r="AI517" s="593">
        <f>SUMPRODUCT('EE Measures'!DF$8:DF$86,'EE Measures'!$II$8:$II$86,'EE Measures'!$AB$8:$AB$86)</f>
        <v>117.51767316740965</v>
      </c>
      <c r="AJ517" s="593">
        <f>SUMPRODUCT('EE Measures'!DG$8:DG$86,'EE Measures'!$II$8:$II$86,'EE Measures'!$AB$8:$AB$86)</f>
        <v>134.43594285208869</v>
      </c>
      <c r="AK517" s="593">
        <f>SUMPRODUCT('EE Measures'!DH$8:DH$86,'EE Measures'!$II$8:$II$86,'EE Measures'!$AB$8:$AB$86)</f>
        <v>152.11835260758062</v>
      </c>
      <c r="AL517" s="593">
        <f>SUMPRODUCT('EE Measures'!DI$8:DI$86,'EE Measures'!$II$8:$II$86,'EE Measures'!$AB$8:$AB$86)</f>
        <v>170.59544266961279</v>
      </c>
      <c r="AM517" s="593">
        <f>SUMPRODUCT('EE Measures'!DJ$8:DJ$86,'EE Measures'!$II$8:$II$86,'EE Measures'!$AB$8:$AB$86)</f>
        <v>189.89253664925832</v>
      </c>
    </row>
    <row r="518" spans="3:39" hidden="1" outlineLevel="1" x14ac:dyDescent="0.3">
      <c r="C518" s="587" t="str">
        <f t="shared" si="1912"/>
        <v>Renowave</v>
      </c>
      <c r="E518" s="563" t="s">
        <v>54</v>
      </c>
      <c r="F518" s="592">
        <f t="shared" si="1913"/>
        <v>18.80478401318901</v>
      </c>
      <c r="G518" s="593">
        <f>SUMPRODUCT('EE Measures'!CV$8:CV$86,'EE Measures'!$II$8:$II$86,'EE Measures'!$R$8:$R$86)</f>
        <v>0.18208485390352028</v>
      </c>
      <c r="H518" s="593">
        <f>SUMPRODUCT('EE Measures'!CW$8:CW$86,'EE Measures'!$II$8:$II$86,'EE Measures'!$R$8:$R$86)</f>
        <v>0.19195400951911232</v>
      </c>
      <c r="I518" s="593">
        <f>SUMPRODUCT('EE Measures'!CX$8:CX$86,'EE Measures'!$II$8:$II$86,'EE Measures'!$R$8:$R$86)</f>
        <v>0.2025058149447912</v>
      </c>
      <c r="J518" s="593">
        <f>SUMPRODUCT('EE Measures'!CY$8:CY$86,'EE Measures'!$II$8:$II$86,'EE Measures'!$R$8:$R$86)</f>
        <v>1.03905504632185</v>
      </c>
      <c r="K518" s="593">
        <f>SUMPRODUCT('EE Measures'!CZ$8:CZ$86,'EE Measures'!$II$8:$II$86,'EE Measures'!$R$8:$R$86)</f>
        <v>1.520627817447834</v>
      </c>
      <c r="L518" s="593">
        <f>SUMPRODUCT('EE Measures'!DA$8:DA$86,'EE Measures'!$II$8:$II$86,'EE Measures'!$R$8:$R$86)</f>
        <v>1.5577840093675031</v>
      </c>
      <c r="M518" s="593">
        <f>SUMPRODUCT('EE Measures'!DB$8:DB$86,'EE Measures'!$II$8:$II$86,'EE Measures'!$R$8:$R$86)</f>
        <v>2.3157838813449829</v>
      </c>
      <c r="N518" s="593">
        <f>SUMPRODUCT('EE Measures'!DC$8:DC$86,'EE Measures'!$II$8:$II$86,'EE Measures'!$R$8:$R$86)</f>
        <v>3.1030888591578587</v>
      </c>
      <c r="O518" s="593">
        <f>SUMPRODUCT('EE Measures'!DD$8:DD$86,'EE Measures'!$II$8:$II$86,'EE Measures'!$R$8:$R$86)</f>
        <v>3.9210058304108588</v>
      </c>
      <c r="P518" s="593">
        <f>SUMPRODUCT('EE Measures'!DE$8:DE$86,'EE Measures'!$II$8:$II$86,'EE Measures'!$R$8:$R$86)</f>
        <v>4.770893890770699</v>
      </c>
      <c r="Q518" s="593">
        <f>SUMPRODUCT('EE Measures'!DF$8:DF$86,'EE Measures'!$II$8:$II$86,'EE Measures'!$R$8:$R$86)</f>
        <v>4.8760304788816544</v>
      </c>
      <c r="R518" s="593">
        <f>SUMPRODUCT('EE Measures'!DG$8:DG$86,'EE Measures'!$II$8:$II$86,'EE Measures'!$R$8:$R$86)</f>
        <v>4.9845251395516055</v>
      </c>
      <c r="S518" s="593">
        <f>SUMPRODUCT('EE Measures'!DH$8:DH$86,'EE Measures'!$II$8:$II$86,'EE Measures'!$R$8:$R$86)</f>
        <v>5.0964887261932503</v>
      </c>
      <c r="T518" s="593">
        <f>SUMPRODUCT('EE Measures'!DI$8:DI$86,'EE Measures'!$II$8:$II$86,'EE Measures'!$R$8:$R$86)</f>
        <v>5.2120359004963062</v>
      </c>
      <c r="U518" s="593">
        <f>SUMPRODUCT('EE Measures'!DJ$8:DJ$86,'EE Measures'!$II$8:$II$86,'EE Measures'!$R$8:$R$86)</f>
        <v>5.3312852679391867</v>
      </c>
      <c r="W518" s="563" t="str">
        <v>Kesk-Eesti</v>
      </c>
      <c r="X518" s="592">
        <f t="shared" si="1914"/>
        <v>176.18025772424608</v>
      </c>
      <c r="Y518" s="593">
        <f>SUMPRODUCT('EE Measures'!CV$8:CV$86,'EE Measures'!$II$8:$II$86,'EE Measures'!$AC$8:$AC$86)</f>
        <v>1.3806755928826868</v>
      </c>
      <c r="Z518" s="593">
        <f>SUMPRODUCT('EE Measures'!CW$8:CW$86,'EE Measures'!$II$8:$II$86,'EE Measures'!$AC$8:$AC$86)</f>
        <v>1.7319677554925648</v>
      </c>
      <c r="AA518" s="593">
        <f>SUMPRODUCT('EE Measures'!CX$8:CX$86,'EE Measures'!$II$8:$II$86,'EE Measures'!$AC$8:$AC$86)</f>
        <v>2.0444761246701502</v>
      </c>
      <c r="AB518" s="593">
        <f>SUMPRODUCT('EE Measures'!CY$8:CY$86,'EE Measures'!$II$8:$II$86,'EE Measures'!$AC$8:$AC$86)</f>
        <v>4.0383696008356145</v>
      </c>
      <c r="AC518" s="593">
        <f>SUMPRODUCT('EE Measures'!CZ$8:CZ$86,'EE Measures'!$II$8:$II$86,'EE Measures'!$AC$8:$AC$86)</f>
        <v>11.508508005513328</v>
      </c>
      <c r="AD518" s="593">
        <f>SUMPRODUCT('EE Measures'!DA$8:DA$86,'EE Measures'!$II$8:$II$86,'EE Measures'!$AC$8:$AC$86)</f>
        <v>17.70693114612347</v>
      </c>
      <c r="AE518" s="593">
        <f>SUMPRODUCT('EE Measures'!DB$8:DB$86,'EE Measures'!$II$8:$II$86,'EE Measures'!$AC$8:$AC$86)</f>
        <v>24.298004710790039</v>
      </c>
      <c r="AF518" s="593">
        <f>SUMPRODUCT('EE Measures'!DC$8:DC$86,'EE Measures'!$II$8:$II$86,'EE Measures'!$AC$8:$AC$86)</f>
        <v>30.856975955929304</v>
      </c>
      <c r="AG518" s="593">
        <f>SUMPRODUCT('EE Measures'!DD$8:DD$86,'EE Measures'!$II$8:$II$86,'EE Measures'!$AC$8:$AC$86)</f>
        <v>37.722214049914292</v>
      </c>
      <c r="AH518" s="593">
        <f>SUMPRODUCT('EE Measures'!DE$8:DE$86,'EE Measures'!$II$8:$II$86,'EE Measures'!$AC$8:$AC$86)</f>
        <v>44.892134782094601</v>
      </c>
      <c r="AI518" s="593">
        <f>SUMPRODUCT('EE Measures'!DF$8:DF$86,'EE Measures'!$II$8:$II$86,'EE Measures'!$AC$8:$AC$86)</f>
        <v>52.16457292831231</v>
      </c>
      <c r="AJ518" s="593">
        <f>SUMPRODUCT('EE Measures'!DG$8:DG$86,'EE Measures'!$II$8:$II$86,'EE Measures'!$AC$8:$AC$86)</f>
        <v>59.767926166958432</v>
      </c>
      <c r="AK518" s="593">
        <f>SUMPRODUCT('EE Measures'!DH$8:DH$86,'EE Measures'!$II$8:$II$86,'EE Measures'!$AC$8:$AC$86)</f>
        <v>67.715459082342363</v>
      </c>
      <c r="AL518" s="593">
        <f>SUMPRODUCT('EE Measures'!DI$8:DI$86,'EE Measures'!$II$8:$II$86,'EE Measures'!$AC$8:$AC$86)</f>
        <v>76.020927277236154</v>
      </c>
      <c r="AM518" s="593">
        <f>SUMPRODUCT('EE Measures'!DJ$8:DJ$86,'EE Measures'!$II$8:$II$86,'EE Measures'!$AC$8:$AC$86)</f>
        <v>84.696639360070336</v>
      </c>
    </row>
    <row r="519" spans="3:39" hidden="1" outlineLevel="1" x14ac:dyDescent="0.3">
      <c r="C519" s="587" t="str">
        <f>E519</f>
        <v>EET</v>
      </c>
      <c r="E519" s="555" t="str">
        <f>'EE Measures'!$IJ$6</f>
        <v>EET</v>
      </c>
      <c r="F519" s="590">
        <f>SUM(G519:P519)</f>
        <v>1751.72477835482</v>
      </c>
      <c r="G519" s="591">
        <f>SUM(G520:G524)</f>
        <v>18.652692969002675</v>
      </c>
      <c r="H519" s="591">
        <f>SUM(H520:H524)</f>
        <v>23.120560935032184</v>
      </c>
      <c r="I519" s="591">
        <f t="shared" ref="I519:P519" si="1915">SUM(I520:I524)</f>
        <v>27.029800078894457</v>
      </c>
      <c r="J519" s="591">
        <f t="shared" si="1915"/>
        <v>48.333131992490706</v>
      </c>
      <c r="K519" s="591">
        <f t="shared" si="1915"/>
        <v>113.19191628668298</v>
      </c>
      <c r="L519" s="591">
        <f t="shared" si="1915"/>
        <v>156.30792783627513</v>
      </c>
      <c r="M519" s="591">
        <f t="shared" si="1915"/>
        <v>274.17533219951684</v>
      </c>
      <c r="N519" s="591">
        <f t="shared" si="1915"/>
        <v>317.73874561760067</v>
      </c>
      <c r="O519" s="591">
        <f t="shared" si="1915"/>
        <v>363.11525789327226</v>
      </c>
      <c r="P519" s="591">
        <f t="shared" si="1915"/>
        <v>410.05941254605239</v>
      </c>
      <c r="Q519" s="591">
        <f t="shared" ref="Q519:U519" si="1916">SUM(Q520:Q524)</f>
        <v>447.87854141502868</v>
      </c>
      <c r="R519" s="591">
        <f t="shared" si="1916"/>
        <v>487.2573920944937</v>
      </c>
      <c r="S519" s="591">
        <f t="shared" si="1916"/>
        <v>528.25734751041807</v>
      </c>
      <c r="T519" s="591">
        <f t="shared" si="1916"/>
        <v>570.94205106954678</v>
      </c>
      <c r="U519" s="591">
        <f t="shared" si="1916"/>
        <v>615.37915652035508</v>
      </c>
      <c r="W519" s="555" t="str">
        <f>'EE Measures'!$IJ$6</f>
        <v>EET</v>
      </c>
      <c r="X519" s="590">
        <f>SUM(Y519:AH519)</f>
        <v>1750.7985063576214</v>
      </c>
      <c r="Y519" s="591">
        <f t="shared" ref="Y519:Z519" si="1917">SUM(Y520:Y524)</f>
        <v>18.652692969002675</v>
      </c>
      <c r="Z519" s="591">
        <f t="shared" si="1917"/>
        <v>23.120560935032188</v>
      </c>
      <c r="AA519" s="591">
        <f t="shared" ref="AA519" si="1918">SUM(AA520:AA524)</f>
        <v>27.029800078894461</v>
      </c>
      <c r="AB519" s="591">
        <f t="shared" ref="AB519" si="1919">SUM(AB520:AB524)</f>
        <v>48.333131992490713</v>
      </c>
      <c r="AC519" s="591">
        <f t="shared" ref="AC519" si="1920">SUM(AC520:AC524)</f>
        <v>113.1502845936629</v>
      </c>
      <c r="AD519" s="591">
        <f t="shared" ref="AD519" si="1921">SUM(AD520:AD524)</f>
        <v>156.22325402431576</v>
      </c>
      <c r="AE519" s="591">
        <f t="shared" ref="AE519" si="1922">SUM(AE520:AE524)</f>
        <v>274.04613155292145</v>
      </c>
      <c r="AF519" s="591">
        <f t="shared" ref="AF519" si="1923">SUM(AF520:AF524)</f>
        <v>317.56345719079428</v>
      </c>
      <c r="AG519" s="591">
        <f t="shared" ref="AG519" si="1924">SUM(AG520:AG524)</f>
        <v>362.8922424777864</v>
      </c>
      <c r="AH519" s="591">
        <f t="shared" ref="AH519:AM519" si="1925">SUM(AH520:AH524)</f>
        <v>409.78695054272072</v>
      </c>
      <c r="AI519" s="591">
        <f t="shared" si="1925"/>
        <v>447.55472266376148</v>
      </c>
      <c r="AJ519" s="591">
        <f t="shared" si="1925"/>
        <v>486.88031374279564</v>
      </c>
      <c r="AK519" s="591">
        <f t="shared" si="1925"/>
        <v>527.8250233710487</v>
      </c>
      <c r="AL519" s="591">
        <f t="shared" si="1925"/>
        <v>570.45240833300261</v>
      </c>
      <c r="AM519" s="591">
        <f t="shared" si="1925"/>
        <v>614.83003234510261</v>
      </c>
    </row>
    <row r="520" spans="3:39" hidden="1" outlineLevel="1" x14ac:dyDescent="0.3">
      <c r="C520" s="587" t="str">
        <f>C519</f>
        <v>EET</v>
      </c>
      <c r="E520" s="563" t="s">
        <v>50</v>
      </c>
      <c r="F520" s="592">
        <f>SUM(G520:P520)</f>
        <v>223.93398426568504</v>
      </c>
      <c r="G520" s="593">
        <f>SUMPRODUCT('EE Measures'!CV$8:CV$86,'EE Measures'!$IJ$8:$IJ$86,'EE Measures'!$N$8:$N$86)</f>
        <v>7.4244076794565608</v>
      </c>
      <c r="H520" s="593">
        <f>SUMPRODUCT('EE Measures'!CW$8:CW$86,'EE Measures'!$IJ$8:$IJ$86,'EE Measures'!$N$8:$N$86)</f>
        <v>8.0263569354923359</v>
      </c>
      <c r="I520" s="593">
        <f>SUMPRODUCT('EE Measures'!CX$8:CX$86,'EE Measures'!$IJ$8:$IJ$86,'EE Measures'!$N$8:$N$86)</f>
        <v>8.4023089590150786</v>
      </c>
      <c r="J520" s="593">
        <f>SUMPRODUCT('EE Measures'!CY$8:CY$86,'EE Measures'!$IJ$8:$IJ$86,'EE Measures'!$N$8:$N$86)</f>
        <v>12.521506006726327</v>
      </c>
      <c r="K520" s="593">
        <f>SUMPRODUCT('EE Measures'!CZ$8:CZ$86,'EE Measures'!$IJ$8:$IJ$86,'EE Measures'!$N$8:$N$86)</f>
        <v>20.646142984056965</v>
      </c>
      <c r="L520" s="593">
        <f>SUMPRODUCT('EE Measures'!DA$8:DA$86,'EE Measures'!$IJ$8:$IJ$86,'EE Measures'!$N$8:$N$86)</f>
        <v>26.878135864459054</v>
      </c>
      <c r="M520" s="593">
        <f>SUMPRODUCT('EE Measures'!DB$8:DB$86,'EE Measures'!$IJ$8:$IJ$86,'EE Measures'!$N$8:$N$86)</f>
        <v>32.129651463056639</v>
      </c>
      <c r="N520" s="593">
        <f>SUMPRODUCT('EE Measures'!DC$8:DC$86,'EE Measures'!$IJ$8:$IJ$86,'EE Measures'!$N$8:$N$86)</f>
        <v>33.995625110260448</v>
      </c>
      <c r="O520" s="593">
        <f>SUMPRODUCT('EE Measures'!DD$8:DD$86,'EE Measures'!$IJ$8:$IJ$86,'EE Measures'!$N$8:$N$86)</f>
        <v>35.953342446845319</v>
      </c>
      <c r="P520" s="593">
        <f>SUMPRODUCT('EE Measures'!DE$8:DE$86,'EE Measures'!$IJ$8:$IJ$86,'EE Measures'!$N$8:$N$86)</f>
        <v>37.956506816316328</v>
      </c>
      <c r="Q520" s="593">
        <f>SUMPRODUCT('EE Measures'!DF$8:DF$86,'EE Measures'!$IJ$8:$IJ$86,'EE Measures'!$N$8:$N$86)</f>
        <v>40.05835763591876</v>
      </c>
      <c r="R520" s="593">
        <f>SUMPRODUCT('EE Measures'!DG$8:DG$86,'EE Measures'!$IJ$8:$IJ$86,'EE Measures'!$N$8:$N$86)</f>
        <v>42.250180466588866</v>
      </c>
      <c r="S520" s="593">
        <f>SUMPRODUCT('EE Measures'!DH$8:DH$86,'EE Measures'!$IJ$8:$IJ$86,'EE Measures'!$N$8:$N$86)</f>
        <v>44.535685098183784</v>
      </c>
      <c r="T520" s="593">
        <f>SUMPRODUCT('EE Measures'!DI$8:DI$86,'EE Measures'!$IJ$8:$IJ$86,'EE Measures'!$N$8:$N$86)</f>
        <v>46.918727866974749</v>
      </c>
      <c r="U520" s="593">
        <f>SUMPRODUCT('EE Measures'!DJ$8:DJ$86,'EE Measures'!$IJ$8:$IJ$86,'EE Measures'!$N$8:$N$86)</f>
        <v>49.403317305438769</v>
      </c>
      <c r="W520" s="563" t="str" cm="1">
        <f t="array" ref="W520:W524">_xlfn.ANCHORARRAY($W$357)</f>
        <v xml:space="preserve">Põhja-Eesti </v>
      </c>
      <c r="X520" s="592">
        <f>SUM(Y520:AH520)</f>
        <v>911.56366046340486</v>
      </c>
      <c r="Y520" s="593">
        <f>SUMPRODUCT('EE Measures'!CV$8:CV$86,'EE Measures'!$IJ$8:$IJ$86,'EE Measures'!$Y$8:$Y$86)</f>
        <v>9.6584786807962537</v>
      </c>
      <c r="Z520" s="593">
        <f>SUMPRODUCT('EE Measures'!CW$8:CW$86,'EE Measures'!$IJ$8:$IJ$86,'EE Measures'!$Y$8:$Y$86)</f>
        <v>11.768250476430875</v>
      </c>
      <c r="AA520" s="593">
        <f>SUMPRODUCT('EE Measures'!CX$8:CX$86,'EE Measures'!$IJ$8:$IJ$86,'EE Measures'!$Y$8:$Y$86)</f>
        <v>13.549531177691808</v>
      </c>
      <c r="AB520" s="593">
        <f>SUMPRODUCT('EE Measures'!CY$8:CY$86,'EE Measures'!$IJ$8:$IJ$86,'EE Measures'!$Y$8:$Y$86)</f>
        <v>23.51116186026232</v>
      </c>
      <c r="AC520" s="593">
        <f>SUMPRODUCT('EE Measures'!CZ$8:CZ$86,'EE Measures'!$IJ$8:$IJ$86,'EE Measures'!$Y$8:$Y$86)</f>
        <v>60.736648886637433</v>
      </c>
      <c r="AD520" s="593">
        <f>SUMPRODUCT('EE Measures'!DA$8:DA$86,'EE Measures'!$IJ$8:$IJ$86,'EE Measures'!$Y$8:$Y$86)</f>
        <v>83.259173626196358</v>
      </c>
      <c r="AE520" s="593">
        <f>SUMPRODUCT('EE Measures'!DB$8:DB$86,'EE Measures'!$IJ$8:$IJ$86,'EE Measures'!$Y$8:$Y$86)</f>
        <v>142.81935272306683</v>
      </c>
      <c r="AF520" s="593">
        <f>SUMPRODUCT('EE Measures'!DC$8:DC$86,'EE Measures'!$IJ$8:$IJ$86,'EE Measures'!$Y$8:$Y$86)</f>
        <v>165.20776270529794</v>
      </c>
      <c r="AG520" s="593">
        <f>SUMPRODUCT('EE Measures'!DD$8:DD$86,'EE Measures'!$IJ$8:$IJ$86,'EE Measures'!$Y$8:$Y$86)</f>
        <v>188.49272378229037</v>
      </c>
      <c r="AH520" s="593">
        <f>SUMPRODUCT('EE Measures'!DE$8:DE$86,'EE Measures'!$IJ$8:$IJ$86,'EE Measures'!$Y$8:$Y$86)</f>
        <v>212.56057654473472</v>
      </c>
      <c r="AI520" s="593">
        <f>SUMPRODUCT('EE Measures'!DF$8:DF$86,'EE Measures'!$IJ$8:$IJ$86,'EE Measures'!$Y$8:$Y$86)</f>
        <v>228.70437152421042</v>
      </c>
      <c r="AJ520" s="593">
        <f>SUMPRODUCT('EE Measures'!DG$8:DG$86,'EE Measures'!$IJ$8:$IJ$86,'EE Measures'!$Y$8:$Y$86)</f>
        <v>245.49653100882585</v>
      </c>
      <c r="AK520" s="593">
        <f>SUMPRODUCT('EE Measures'!DH$8:DH$86,'EE Measures'!$IJ$8:$IJ$86,'EE Measures'!$Y$8:$Y$86)</f>
        <v>262.96241586476049</v>
      </c>
      <c r="AL520" s="593">
        <f>SUMPRODUCT('EE Measures'!DI$8:DI$86,'EE Measures'!$IJ$8:$IJ$86,'EE Measures'!$Y$8:$Y$86)</f>
        <v>281.12832029886272</v>
      </c>
      <c r="AM520" s="593">
        <f>SUMPRODUCT('EE Measures'!DJ$8:DJ$86,'EE Measures'!$IJ$8:$IJ$86,'EE Measures'!$Y$8:$Y$86)</f>
        <v>300.01693196157811</v>
      </c>
    </row>
    <row r="521" spans="3:39" hidden="1" outlineLevel="1" x14ac:dyDescent="0.3">
      <c r="C521" s="587" t="str">
        <f t="shared" ref="C521:C524" si="1926">C520</f>
        <v>EET</v>
      </c>
      <c r="E521" s="563" t="s">
        <v>51</v>
      </c>
      <c r="F521" s="592">
        <f t="shared" ref="F521:F524" si="1927">SUM(G521:P521)</f>
        <v>409.55904679279422</v>
      </c>
      <c r="G521" s="593">
        <f>SUMPRODUCT('EE Measures'!CV$8:CV$86,'EE Measures'!$IJ$8:$IJ$86,'EE Measures'!$O$8:$O$86)</f>
        <v>2.3213067806629124</v>
      </c>
      <c r="H521" s="593">
        <f>SUMPRODUCT('EE Measures'!CW$8:CW$86,'EE Measures'!$IJ$8:$IJ$86,'EE Measures'!$O$8:$O$86)</f>
        <v>3.3722863854271092</v>
      </c>
      <c r="I521" s="593">
        <f>SUMPRODUCT('EE Measures'!CX$8:CX$86,'EE Measures'!$IJ$8:$IJ$86,'EE Measures'!$O$8:$O$86)</f>
        <v>4.5398170217852769</v>
      </c>
      <c r="J521" s="593">
        <f>SUMPRODUCT('EE Measures'!CY$8:CY$86,'EE Measures'!$IJ$8:$IJ$86,'EE Measures'!$O$8:$O$86)</f>
        <v>8.0296990056072808</v>
      </c>
      <c r="K521" s="593">
        <f>SUMPRODUCT('EE Measures'!CZ$8:CZ$86,'EE Measures'!$IJ$8:$IJ$86,'EE Measures'!$O$8:$O$86)</f>
        <v>25.374937317753016</v>
      </c>
      <c r="L521" s="593">
        <f>SUMPRODUCT('EE Measures'!DA$8:DA$86,'EE Measures'!$IJ$8:$IJ$86,'EE Measures'!$O$8:$O$86)</f>
        <v>40.38305790154871</v>
      </c>
      <c r="M521" s="593">
        <f>SUMPRODUCT('EE Measures'!DB$8:DB$86,'EE Measures'!$IJ$8:$IJ$86,'EE Measures'!$O$8:$O$86)</f>
        <v>56.071631426924213</v>
      </c>
      <c r="N521" s="593">
        <f>SUMPRODUCT('EE Measures'!DC$8:DC$86,'EE Measures'!$IJ$8:$IJ$86,'EE Measures'!$O$8:$O$86)</f>
        <v>72.451698236041722</v>
      </c>
      <c r="O521" s="593">
        <f>SUMPRODUCT('EE Measures'!DD$8:DD$86,'EE Measures'!$IJ$8:$IJ$86,'EE Measures'!$O$8:$O$86)</f>
        <v>89.567251037282915</v>
      </c>
      <c r="P521" s="593">
        <f>SUMPRODUCT('EE Measures'!DE$8:DE$86,'EE Measures'!$IJ$8:$IJ$86,'EE Measures'!$O$8:$O$86)</f>
        <v>107.44736167976112</v>
      </c>
      <c r="Q521" s="593">
        <f>SUMPRODUCT('EE Measures'!DF$8:DF$86,'EE Measures'!$IJ$8:$IJ$86,'EE Measures'!$O$8:$O$86)</f>
        <v>126.08714010707936</v>
      </c>
      <c r="R521" s="593">
        <f>SUMPRODUCT('EE Measures'!DG$8:DG$86,'EE Measures'!$IJ$8:$IJ$86,'EE Measures'!$O$8:$O$86)</f>
        <v>145.54115869749782</v>
      </c>
      <c r="S521" s="593">
        <f>SUMPRODUCT('EE Measures'!DH$8:DH$86,'EE Measures'!$IJ$8:$IJ$86,'EE Measures'!$O$8:$O$86)</f>
        <v>165.8410282573675</v>
      </c>
      <c r="T521" s="593">
        <f>SUMPRODUCT('EE Measures'!DI$8:DI$86,'EE Measures'!$IJ$8:$IJ$86,'EE Measures'!$O$8:$O$86)</f>
        <v>187.01950415048483</v>
      </c>
      <c r="U521" s="593">
        <f>SUMPRODUCT('EE Measures'!DJ$8:DJ$86,'EE Measures'!$IJ$8:$IJ$86,'EE Measures'!$O$8:$O$86)</f>
        <v>209.06857107214179</v>
      </c>
      <c r="W521" s="563" t="str">
        <v>Lääne-Eesti</v>
      </c>
      <c r="X521" s="592">
        <f t="shared" ref="X521:X524" si="1928">SUM(Y521:AH521)</f>
        <v>292.56333887714908</v>
      </c>
      <c r="Y521" s="593">
        <f>SUMPRODUCT('EE Measures'!CV$8:CV$86,'EE Measures'!$IJ$8:$IJ$86,'EE Measures'!$Z$8:$Z$86)</f>
        <v>1.6148108405340245</v>
      </c>
      <c r="Z521" s="593">
        <f>SUMPRODUCT('EE Measures'!CW$8:CW$86,'EE Measures'!$IJ$8:$IJ$86,'EE Measures'!$Z$8:$Z$86)</f>
        <v>2.0770402894891835</v>
      </c>
      <c r="AA521" s="593">
        <f>SUMPRODUCT('EE Measures'!CX$8:CX$86,'EE Measures'!$IJ$8:$IJ$86,'EE Measures'!$Z$8:$Z$86)</f>
        <v>2.5048193072832996</v>
      </c>
      <c r="AB521" s="593">
        <f>SUMPRODUCT('EE Measures'!CY$8:CY$86,'EE Measures'!$IJ$8:$IJ$86,'EE Measures'!$Z$8:$Z$86)</f>
        <v>4.7283087907201455</v>
      </c>
      <c r="AC521" s="593">
        <f>SUMPRODUCT('EE Measures'!CZ$8:CZ$86,'EE Measures'!$IJ$8:$IJ$86,'EE Measures'!$Z$8:$Z$86)</f>
        <v>10.555801627220887</v>
      </c>
      <c r="AD521" s="593">
        <f>SUMPRODUCT('EE Measures'!DA$8:DA$86,'EE Measures'!$IJ$8:$IJ$86,'EE Measures'!$Z$8:$Z$86)</f>
        <v>14.936702405145821</v>
      </c>
      <c r="AE521" s="593">
        <f>SUMPRODUCT('EE Measures'!DB$8:DB$86,'EE Measures'!$IJ$8:$IJ$86,'EE Measures'!$Z$8:$Z$86)</f>
        <v>56.128509823851267</v>
      </c>
      <c r="AF521" s="593">
        <f>SUMPRODUCT('EE Measures'!DC$8:DC$86,'EE Measures'!$IJ$8:$IJ$86,'EE Measures'!$Z$8:$Z$86)</f>
        <v>61.25960655281353</v>
      </c>
      <c r="AG521" s="593">
        <f>SUMPRODUCT('EE Measures'!DD$8:DD$86,'EE Measures'!$IJ$8:$IJ$86,'EE Measures'!$Z$8:$Z$86)</f>
        <v>66.608302800479223</v>
      </c>
      <c r="AH521" s="593">
        <f>SUMPRODUCT('EE Measures'!DE$8:DE$86,'EE Measures'!$IJ$8:$IJ$86,'EE Measures'!$Z$8:$Z$86)</f>
        <v>72.149436439611677</v>
      </c>
      <c r="AI521" s="593">
        <f>SUMPRODUCT('EE Measures'!DF$8:DF$86,'EE Measures'!$IJ$8:$IJ$86,'EE Measures'!$Z$8:$Z$86)</f>
        <v>77.437517558521293</v>
      </c>
      <c r="AJ521" s="593">
        <f>SUMPRODUCT('EE Measures'!DG$8:DG$86,'EE Measures'!$IJ$8:$IJ$86,'EE Measures'!$Z$8:$Z$86)</f>
        <v>82.942124794899641</v>
      </c>
      <c r="AK521" s="593">
        <f>SUMPRODUCT('EE Measures'!DH$8:DH$86,'EE Measures'!$IJ$8:$IJ$86,'EE Measures'!$Z$8:$Z$86)</f>
        <v>88.671651269709912</v>
      </c>
      <c r="AL521" s="593">
        <f>SUMPRODUCT('EE Measures'!DI$8:DI$86,'EE Measures'!$IJ$8:$IJ$86,'EE Measures'!$Z$8:$Z$86)</f>
        <v>94.634795229550519</v>
      </c>
      <c r="AM521" s="593">
        <f>SUMPRODUCT('EE Measures'!DJ$8:DJ$86,'EE Measures'!$IJ$8:$IJ$86,'EE Measures'!$Z$8:$Z$86)</f>
        <v>100.84537406061588</v>
      </c>
    </row>
    <row r="522" spans="3:39" hidden="1" outlineLevel="1" x14ac:dyDescent="0.3">
      <c r="C522" s="587" t="str">
        <f t="shared" si="1926"/>
        <v>EET</v>
      </c>
      <c r="E522" s="563" t="s">
        <v>52</v>
      </c>
      <c r="F522" s="592">
        <f t="shared" si="1927"/>
        <v>174.46386873705231</v>
      </c>
      <c r="G522" s="593">
        <f>SUMPRODUCT('EE Measures'!CV$8:CV$86,'EE Measures'!$IJ$8:$IJ$86,'EE Measures'!$P$8:$P$86)</f>
        <v>3.588665132266637</v>
      </c>
      <c r="H522" s="593">
        <f>SUMPRODUCT('EE Measures'!CW$8:CW$86,'EE Measures'!$IJ$8:$IJ$86,'EE Measures'!$P$8:$P$86)</f>
        <v>4.2761796415667082</v>
      </c>
      <c r="I522" s="593">
        <f>SUMPRODUCT('EE Measures'!CX$8:CX$86,'EE Measures'!$IJ$8:$IJ$86,'EE Measures'!$P$8:$P$86)</f>
        <v>4.668725050176727</v>
      </c>
      <c r="J522" s="593">
        <f>SUMPRODUCT('EE Measures'!CY$8:CY$86,'EE Measures'!$IJ$8:$IJ$86,'EE Measures'!$P$8:$P$86)</f>
        <v>6.6061575215977566</v>
      </c>
      <c r="K522" s="593">
        <f>SUMPRODUCT('EE Measures'!CZ$8:CZ$86,'EE Measures'!$IJ$8:$IJ$86,'EE Measures'!$P$8:$P$86)</f>
        <v>12.324983163378569</v>
      </c>
      <c r="L522" s="593">
        <f>SUMPRODUCT('EE Measures'!DA$8:DA$86,'EE Measures'!$IJ$8:$IJ$86,'EE Measures'!$P$8:$P$86)</f>
        <v>17.434871764240729</v>
      </c>
      <c r="M522" s="593">
        <f>SUMPRODUCT('EE Measures'!DB$8:DB$86,'EE Measures'!$IJ$8:$IJ$86,'EE Measures'!$P$8:$P$86)</f>
        <v>22.774091275258822</v>
      </c>
      <c r="N522" s="593">
        <f>SUMPRODUCT('EE Measures'!DC$8:DC$86,'EE Measures'!$IJ$8:$IJ$86,'EE Measures'!$P$8:$P$86)</f>
        <v>28.351813655592835</v>
      </c>
      <c r="O522" s="593">
        <f>SUMPRODUCT('EE Measures'!DD$8:DD$86,'EE Measures'!$IJ$8:$IJ$86,'EE Measures'!$P$8:$P$86)</f>
        <v>34.177484715367903</v>
      </c>
      <c r="P522" s="593">
        <f>SUMPRODUCT('EE Measures'!DE$8:DE$86,'EE Measures'!$IJ$8:$IJ$86,'EE Measures'!$P$8:$P$86)</f>
        <v>40.260896817605605</v>
      </c>
      <c r="Q522" s="593">
        <f>SUMPRODUCT('EE Measures'!DF$8:DF$86,'EE Measures'!$IJ$8:$IJ$86,'EE Measures'!$P$8:$P$86)</f>
        <v>46.625132910382689</v>
      </c>
      <c r="R522" s="593">
        <f>SUMPRODUCT('EE Measures'!DG$8:DG$86,'EE Measures'!$IJ$8:$IJ$86,'EE Measures'!$P$8:$P$86)</f>
        <v>53.272090569144424</v>
      </c>
      <c r="S522" s="593">
        <f>SUMPRODUCT('EE Measures'!DH$8:DH$86,'EE Measures'!$IJ$8:$IJ$86,'EE Measures'!$P$8:$P$86)</f>
        <v>60.212942294850897</v>
      </c>
      <c r="T522" s="593">
        <f>SUMPRODUCT('EE Measures'!DI$8:DI$86,'EE Measures'!$IJ$8:$IJ$86,'EE Measures'!$P$8:$P$86)</f>
        <v>67.459271219297563</v>
      </c>
      <c r="U522" s="593">
        <f>SUMPRODUCT('EE Measures'!DJ$8:DJ$86,'EE Measures'!$IJ$8:$IJ$86,'EE Measures'!$P$8:$P$86)</f>
        <v>75.066710382179082</v>
      </c>
      <c r="W522" s="563" t="str">
        <v>Kirde-Eesti</v>
      </c>
      <c r="X522" s="592">
        <f t="shared" si="1928"/>
        <v>122.14983546386424</v>
      </c>
      <c r="Y522" s="593">
        <f>SUMPRODUCT('EE Measures'!CV$8:CV$86,'EE Measures'!$IJ$8:$IJ$86,'EE Measures'!$AA$8:$AA$86)</f>
        <v>1.8049735385258474</v>
      </c>
      <c r="Z522" s="593">
        <f>SUMPRODUCT('EE Measures'!CW$8:CW$86,'EE Measures'!$IJ$8:$IJ$86,'EE Measures'!$AA$8:$AA$86)</f>
        <v>2.2418386589015347</v>
      </c>
      <c r="AA522" s="593">
        <f>SUMPRODUCT('EE Measures'!CX$8:CX$86,'EE Measures'!$IJ$8:$IJ$86,'EE Measures'!$AA$8:$AA$86)</f>
        <v>2.6072064580909307</v>
      </c>
      <c r="AB522" s="593">
        <f>SUMPRODUCT('EE Measures'!CY$8:CY$86,'EE Measures'!$IJ$8:$IJ$86,'EE Measures'!$AA$8:$AA$86)</f>
        <v>4.6299545183166524</v>
      </c>
      <c r="AC522" s="593">
        <f>SUMPRODUCT('EE Measures'!CZ$8:CZ$86,'EE Measures'!$IJ$8:$IJ$86,'EE Measures'!$AA$8:$AA$86)</f>
        <v>9.4142008796538565</v>
      </c>
      <c r="AD522" s="593">
        <f>SUMPRODUCT('EE Measures'!DA$8:DA$86,'EE Measures'!$IJ$8:$IJ$86,'EE Measures'!$AA$8:$AA$86)</f>
        <v>13.103681911687167</v>
      </c>
      <c r="AE522" s="593">
        <f>SUMPRODUCT('EE Measures'!DB$8:DB$86,'EE Measures'!$IJ$8:$IJ$86,'EE Measures'!$AA$8:$AA$86)</f>
        <v>16.864699830055809</v>
      </c>
      <c r="AF522" s="593">
        <f>SUMPRODUCT('EE Measures'!DC$8:DC$86,'EE Measures'!$IJ$8:$IJ$86,'EE Measures'!$AA$8:$AA$86)</f>
        <v>20.252246380464623</v>
      </c>
      <c r="AG522" s="593">
        <f>SUMPRODUCT('EE Measures'!DD$8:DD$86,'EE Measures'!$IJ$8:$IJ$86,'EE Measures'!$AA$8:$AA$86)</f>
        <v>23.787473306785376</v>
      </c>
      <c r="AH522" s="593">
        <f>SUMPRODUCT('EE Measures'!DE$8:DE$86,'EE Measures'!$IJ$8:$IJ$86,'EE Measures'!$AA$8:$AA$86)</f>
        <v>27.443559981382439</v>
      </c>
      <c r="AI522" s="593">
        <f>SUMPRODUCT('EE Measures'!DF$8:DF$86,'EE Measures'!$IJ$8:$IJ$86,'EE Measures'!$AA$8:$AA$86)</f>
        <v>31.039723129988552</v>
      </c>
      <c r="AJ522" s="593">
        <f>SUMPRODUCT('EE Measures'!DG$8:DG$86,'EE Measures'!$IJ$8:$IJ$86,'EE Measures'!$AA$8:$AA$86)</f>
        <v>34.786730663948205</v>
      </c>
      <c r="AK522" s="593">
        <f>SUMPRODUCT('EE Measures'!DH$8:DH$86,'EE Measures'!$IJ$8:$IJ$86,'EE Measures'!$AA$8:$AA$86)</f>
        <v>38.690526982318225</v>
      </c>
      <c r="AL522" s="593">
        <f>SUMPRODUCT('EE Measures'!DI$8:DI$86,'EE Measures'!$IJ$8:$IJ$86,'EE Measures'!$AA$8:$AA$86)</f>
        <v>42.757275083395371</v>
      </c>
      <c r="AM522" s="593">
        <f>SUMPRODUCT('EE Measures'!DJ$8:DJ$86,'EE Measures'!$IJ$8:$IJ$86,'EE Measures'!$AA$8:$AA$86)</f>
        <v>46.989975680709598</v>
      </c>
    </row>
    <row r="523" spans="3:39" hidden="1" outlineLevel="1" x14ac:dyDescent="0.3">
      <c r="C523" s="587" t="str">
        <f t="shared" si="1926"/>
        <v>EET</v>
      </c>
      <c r="E523" s="563" t="s">
        <v>53</v>
      </c>
      <c r="F523" s="592">
        <f t="shared" si="1927"/>
        <v>924.96309454609946</v>
      </c>
      <c r="G523" s="593">
        <f>SUMPRODUCT('EE Measures'!CV$8:CV$86,'EE Measures'!$IJ$8:$IJ$86,'EE Measures'!$Q$8:$Q$86)</f>
        <v>5.1362285227130435</v>
      </c>
      <c r="H523" s="593">
        <f>SUMPRODUCT('EE Measures'!CW$8:CW$86,'EE Measures'!$IJ$8:$IJ$86,'EE Measures'!$Q$8:$Q$86)</f>
        <v>7.2537839630269181</v>
      </c>
      <c r="I523" s="593">
        <f>SUMPRODUCT('EE Measures'!CX$8:CX$86,'EE Measures'!$IJ$8:$IJ$86,'EE Measures'!$Q$8:$Q$86)</f>
        <v>9.2164432329725834</v>
      </c>
      <c r="J523" s="593">
        <f>SUMPRODUCT('EE Measures'!CY$8:CY$86,'EE Measures'!$IJ$8:$IJ$86,'EE Measures'!$Q$8:$Q$86)</f>
        <v>20.136714412237495</v>
      </c>
      <c r="K523" s="593">
        <f>SUMPRODUCT('EE Measures'!CZ$8:CZ$86,'EE Measures'!$IJ$8:$IJ$86,'EE Measures'!$Q$8:$Q$86)</f>
        <v>53.325225004046594</v>
      </c>
      <c r="L523" s="593">
        <f>SUMPRODUCT('EE Measures'!DA$8:DA$86,'EE Measures'!$IJ$8:$IJ$86,'EE Measures'!$Q$8:$Q$86)</f>
        <v>70.054078296659128</v>
      </c>
      <c r="M523" s="593">
        <f>SUMPRODUCT('EE Measures'!DB$8:DB$86,'EE Measures'!$IJ$8:$IJ$86,'EE Measures'!$Q$8:$Q$86)</f>
        <v>160.88417415293216</v>
      </c>
      <c r="N523" s="593">
        <f>SUMPRODUCT('EE Measures'!DC$8:DC$86,'EE Measures'!$IJ$8:$IJ$86,'EE Measures'!$Q$8:$Q$86)</f>
        <v>179.83651975654777</v>
      </c>
      <c r="O523" s="593">
        <f>SUMPRODUCT('EE Measures'!DD$8:DD$86,'EE Measures'!$IJ$8:$IJ$86,'EE Measures'!$Q$8:$Q$86)</f>
        <v>199.49617386336524</v>
      </c>
      <c r="P523" s="593">
        <f>SUMPRODUCT('EE Measures'!DE$8:DE$86,'EE Measures'!$IJ$8:$IJ$86,'EE Measures'!$Q$8:$Q$86)</f>
        <v>219.62375334159859</v>
      </c>
      <c r="Q523" s="593">
        <f>SUMPRODUCT('EE Measures'!DF$8:DF$86,'EE Measures'!$IJ$8:$IJ$86,'EE Measures'!$Q$8:$Q$86)</f>
        <v>230.23188028276624</v>
      </c>
      <c r="R523" s="593">
        <f>SUMPRODUCT('EE Measures'!DG$8:DG$86,'EE Measures'!$IJ$8:$IJ$86,'EE Measures'!$Q$8:$Q$86)</f>
        <v>241.20943722171103</v>
      </c>
      <c r="S523" s="593">
        <f>SUMPRODUCT('EE Measures'!DH$8:DH$86,'EE Measures'!$IJ$8:$IJ$86,'EE Measures'!$Q$8:$Q$86)</f>
        <v>252.57120313382265</v>
      </c>
      <c r="T523" s="593">
        <f>SUMPRODUCT('EE Measures'!DI$8:DI$86,'EE Measures'!$IJ$8:$IJ$86,'EE Measures'!$Q$8:$Q$86)</f>
        <v>264.3325119322933</v>
      </c>
      <c r="U523" s="593">
        <f>SUMPRODUCT('EE Measures'!DJ$8:DJ$86,'EE Measures'!$IJ$8:$IJ$86,'EE Measures'!$Q$8:$Q$86)</f>
        <v>276.50927249265629</v>
      </c>
      <c r="W523" s="563" t="str">
        <v>Lõuna-Eesti </v>
      </c>
      <c r="X523" s="592">
        <f t="shared" si="1928"/>
        <v>302.41753287944675</v>
      </c>
      <c r="Y523" s="593">
        <f>SUMPRODUCT('EE Measures'!CV$8:CV$86,'EE Measures'!$IJ$8:$IJ$86,'EE Measures'!$AB$8:$AB$86)</f>
        <v>3.9661351053840512</v>
      </c>
      <c r="Z523" s="593">
        <f>SUMPRODUCT('EE Measures'!CW$8:CW$86,'EE Measures'!$IJ$8:$IJ$86,'EE Measures'!$AB$8:$AB$86)</f>
        <v>5.0032053694946672</v>
      </c>
      <c r="AA523" s="593">
        <f>SUMPRODUCT('EE Measures'!CX$8:CX$86,'EE Measures'!$IJ$8:$IJ$86,'EE Measures'!$AB$8:$AB$86)</f>
        <v>5.9510196896395851</v>
      </c>
      <c r="AB523" s="593">
        <f>SUMPRODUCT('EE Measures'!CY$8:CY$86,'EE Measures'!$IJ$8:$IJ$86,'EE Measures'!$AB$8:$AB$86)</f>
        <v>10.960558173108916</v>
      </c>
      <c r="AC523" s="593">
        <f>SUMPRODUCT('EE Measures'!CZ$8:CZ$86,'EE Measures'!$IJ$8:$IJ$86,'EE Measures'!$AB$8:$AB$86)</f>
        <v>23.1312485448532</v>
      </c>
      <c r="AD523" s="593">
        <f>SUMPRODUCT('EE Measures'!DA$8:DA$86,'EE Measures'!$IJ$8:$IJ$86,'EE Measures'!$AB$8:$AB$86)</f>
        <v>32.045012018733765</v>
      </c>
      <c r="AE523" s="593">
        <f>SUMPRODUCT('EE Measures'!DB$8:DB$86,'EE Measures'!$IJ$8:$IJ$86,'EE Measures'!$AB$8:$AB$86)</f>
        <v>41.504891430683998</v>
      </c>
      <c r="AF523" s="593">
        <f>SUMPRODUCT('EE Measures'!DC$8:DC$86,'EE Measures'!$IJ$8:$IJ$86,'EE Measures'!$AB$8:$AB$86)</f>
        <v>50.478583110832496</v>
      </c>
      <c r="AG523" s="593">
        <f>SUMPRODUCT('EE Measures'!DD$8:DD$86,'EE Measures'!$IJ$8:$IJ$86,'EE Measures'!$AB$8:$AB$86)</f>
        <v>59.841334340206998</v>
      </c>
      <c r="AH523" s="593">
        <f>SUMPRODUCT('EE Measures'!DE$8:DE$86,'EE Measures'!$IJ$8:$IJ$86,'EE Measures'!$AB$8:$AB$86)</f>
        <v>69.535545096509054</v>
      </c>
      <c r="AI523" s="593">
        <f>SUMPRODUCT('EE Measures'!DF$8:DF$86,'EE Measures'!$IJ$8:$IJ$86,'EE Measures'!$AB$8:$AB$86)</f>
        <v>78.424232197660203</v>
      </c>
      <c r="AJ523" s="593">
        <f>SUMPRODUCT('EE Measures'!DG$8:DG$86,'EE Measures'!$IJ$8:$IJ$86,'EE Measures'!$AB$8:$AB$86)</f>
        <v>87.690248951349858</v>
      </c>
      <c r="AK523" s="593">
        <f>SUMPRODUCT('EE Measures'!DH$8:DH$86,'EE Measures'!$IJ$8:$IJ$86,'EE Measures'!$AB$8:$AB$86)</f>
        <v>97.348637056170602</v>
      </c>
      <c r="AL523" s="593">
        <f>SUMPRODUCT('EE Measures'!DI$8:DI$86,'EE Measures'!$IJ$8:$IJ$86,'EE Measures'!$AB$8:$AB$86)</f>
        <v>107.41499569443594</v>
      </c>
      <c r="AM523" s="593">
        <f>SUMPRODUCT('EE Measures'!DJ$8:DJ$86,'EE Measures'!$IJ$8:$IJ$86,'EE Measures'!$AB$8:$AB$86)</f>
        <v>117.90835590479125</v>
      </c>
    </row>
    <row r="524" spans="3:39" hidden="1" outlineLevel="1" x14ac:dyDescent="0.3">
      <c r="C524" s="587" t="str">
        <f t="shared" si="1926"/>
        <v>EET</v>
      </c>
      <c r="E524" s="563" t="s">
        <v>54</v>
      </c>
      <c r="F524" s="592">
        <f t="shared" si="1927"/>
        <v>18.80478401318901</v>
      </c>
      <c r="G524" s="593">
        <f>SUMPRODUCT('EE Measures'!CV$8:CV$86,'EE Measures'!$IJ$8:$IJ$86,'EE Measures'!$R$8:$R$86)</f>
        <v>0.18208485390352028</v>
      </c>
      <c r="H524" s="593">
        <f>SUMPRODUCT('EE Measures'!CW$8:CW$86,'EE Measures'!$IJ$8:$IJ$86,'EE Measures'!$R$8:$R$86)</f>
        <v>0.19195400951911232</v>
      </c>
      <c r="I524" s="593">
        <f>SUMPRODUCT('EE Measures'!CX$8:CX$86,'EE Measures'!$IJ$8:$IJ$86,'EE Measures'!$R$8:$R$86)</f>
        <v>0.2025058149447912</v>
      </c>
      <c r="J524" s="593">
        <f>SUMPRODUCT('EE Measures'!CY$8:CY$86,'EE Measures'!$IJ$8:$IJ$86,'EE Measures'!$R$8:$R$86)</f>
        <v>1.03905504632185</v>
      </c>
      <c r="K524" s="593">
        <f>SUMPRODUCT('EE Measures'!CZ$8:CZ$86,'EE Measures'!$IJ$8:$IJ$86,'EE Measures'!$R$8:$R$86)</f>
        <v>1.520627817447834</v>
      </c>
      <c r="L524" s="593">
        <f>SUMPRODUCT('EE Measures'!DA$8:DA$86,'EE Measures'!$IJ$8:$IJ$86,'EE Measures'!$R$8:$R$86)</f>
        <v>1.5577840093675031</v>
      </c>
      <c r="M524" s="593">
        <f>SUMPRODUCT('EE Measures'!DB$8:DB$86,'EE Measures'!$IJ$8:$IJ$86,'EE Measures'!$R$8:$R$86)</f>
        <v>2.3157838813449829</v>
      </c>
      <c r="N524" s="593">
        <f>SUMPRODUCT('EE Measures'!DC$8:DC$86,'EE Measures'!$IJ$8:$IJ$86,'EE Measures'!$R$8:$R$86)</f>
        <v>3.1030888591578587</v>
      </c>
      <c r="O524" s="593">
        <f>SUMPRODUCT('EE Measures'!DD$8:DD$86,'EE Measures'!$IJ$8:$IJ$86,'EE Measures'!$R$8:$R$86)</f>
        <v>3.9210058304108588</v>
      </c>
      <c r="P524" s="593">
        <f>SUMPRODUCT('EE Measures'!DE$8:DE$86,'EE Measures'!$IJ$8:$IJ$86,'EE Measures'!$R$8:$R$86)</f>
        <v>4.770893890770699</v>
      </c>
      <c r="Q524" s="593">
        <f>SUMPRODUCT('EE Measures'!DF$8:DF$86,'EE Measures'!$IJ$8:$IJ$86,'EE Measures'!$R$8:$R$86)</f>
        <v>4.8760304788816544</v>
      </c>
      <c r="R524" s="593">
        <f>SUMPRODUCT('EE Measures'!DG$8:DG$86,'EE Measures'!$IJ$8:$IJ$86,'EE Measures'!$R$8:$R$86)</f>
        <v>4.9845251395516055</v>
      </c>
      <c r="S524" s="593">
        <f>SUMPRODUCT('EE Measures'!DH$8:DH$86,'EE Measures'!$IJ$8:$IJ$86,'EE Measures'!$R$8:$R$86)</f>
        <v>5.0964887261932503</v>
      </c>
      <c r="T524" s="593">
        <f>SUMPRODUCT('EE Measures'!DI$8:DI$86,'EE Measures'!$IJ$8:$IJ$86,'EE Measures'!$R$8:$R$86)</f>
        <v>5.2120359004963062</v>
      </c>
      <c r="U524" s="593">
        <f>SUMPRODUCT('EE Measures'!DJ$8:DJ$86,'EE Measures'!$IJ$8:$IJ$86,'EE Measures'!$R$8:$R$86)</f>
        <v>5.3312852679391867</v>
      </c>
      <c r="W524" s="563" t="str">
        <v>Kesk-Eesti</v>
      </c>
      <c r="X524" s="592">
        <f t="shared" si="1928"/>
        <v>122.10413867375658</v>
      </c>
      <c r="Y524" s="593">
        <f>SUMPRODUCT('EE Measures'!CV$8:CV$86,'EE Measures'!$IJ$8:$IJ$86,'EE Measures'!$AC$8:$AC$86)</f>
        <v>1.6082948037624984</v>
      </c>
      <c r="Z524" s="593">
        <f>SUMPRODUCT('EE Measures'!CW$8:CW$86,'EE Measures'!$IJ$8:$IJ$86,'EE Measures'!$AC$8:$AC$86)</f>
        <v>2.0302261407159259</v>
      </c>
      <c r="AA524" s="593">
        <f>SUMPRODUCT('EE Measures'!CX$8:CX$86,'EE Measures'!$IJ$8:$IJ$86,'EE Measures'!$AC$8:$AC$86)</f>
        <v>2.417223446188836</v>
      </c>
      <c r="AB524" s="593">
        <f>SUMPRODUCT('EE Measures'!CY$8:CY$86,'EE Measures'!$IJ$8:$IJ$86,'EE Measures'!$AC$8:$AC$86)</f>
        <v>4.5031486500826778</v>
      </c>
      <c r="AC524" s="593">
        <f>SUMPRODUCT('EE Measures'!CZ$8:CZ$86,'EE Measures'!$IJ$8:$IJ$86,'EE Measures'!$AC$8:$AC$86)</f>
        <v>9.3123846552975174</v>
      </c>
      <c r="AD524" s="593">
        <f>SUMPRODUCT('EE Measures'!DA$8:DA$86,'EE Measures'!$IJ$8:$IJ$86,'EE Measures'!$AC$8:$AC$86)</f>
        <v>12.878684062552647</v>
      </c>
      <c r="AE524" s="593">
        <f>SUMPRODUCT('EE Measures'!DB$8:DB$86,'EE Measures'!$IJ$8:$IJ$86,'EE Measures'!$AC$8:$AC$86)</f>
        <v>16.728677745263525</v>
      </c>
      <c r="AF524" s="593">
        <f>SUMPRODUCT('EE Measures'!DC$8:DC$86,'EE Measures'!$IJ$8:$IJ$86,'EE Measures'!$AC$8:$AC$86)</f>
        <v>20.365258441385741</v>
      </c>
      <c r="AG524" s="593">
        <f>SUMPRODUCT('EE Measures'!DD$8:DD$86,'EE Measures'!$IJ$8:$IJ$86,'EE Measures'!$AC$8:$AC$86)</f>
        <v>24.162408248024409</v>
      </c>
      <c r="AH524" s="593">
        <f>SUMPRODUCT('EE Measures'!DE$8:DE$86,'EE Measures'!$IJ$8:$IJ$86,'EE Measures'!$AC$8:$AC$86)</f>
        <v>28.097832480482793</v>
      </c>
      <c r="AI524" s="593">
        <f>SUMPRODUCT('EE Measures'!DF$8:DF$86,'EE Measures'!$IJ$8:$IJ$86,'EE Measures'!$AC$8:$AC$86)</f>
        <v>31.948878253380972</v>
      </c>
      <c r="AJ524" s="593">
        <f>SUMPRODUCT('EE Measures'!DG$8:DG$86,'EE Measures'!$IJ$8:$IJ$86,'EE Measures'!$AC$8:$AC$86)</f>
        <v>35.964678323772013</v>
      </c>
      <c r="AK524" s="593">
        <f>SUMPRODUCT('EE Measures'!DH$8:DH$86,'EE Measures'!$IJ$8:$IJ$86,'EE Measures'!$AC$8:$AC$86)</f>
        <v>40.151792198089446</v>
      </c>
      <c r="AL524" s="593">
        <f>SUMPRODUCT('EE Measures'!DI$8:DI$86,'EE Measures'!$IJ$8:$IJ$86,'EE Measures'!$AC$8:$AC$86)</f>
        <v>44.517022026758148</v>
      </c>
      <c r="AM524" s="593">
        <f>SUMPRODUCT('EE Measures'!DJ$8:DJ$86,'EE Measures'!$IJ$8:$IJ$86,'EE Measures'!$AC$8:$AC$86)</f>
        <v>49.069394737407769</v>
      </c>
    </row>
    <row r="525" spans="3:39" hidden="1" outlineLevel="1" x14ac:dyDescent="0.3">
      <c r="C525" s="587" t="str">
        <f>E525</f>
        <v>CEER1</v>
      </c>
      <c r="E525" s="555" t="str">
        <f>'EE Measures'!$IK$6</f>
        <v>CEER1</v>
      </c>
      <c r="F525" s="590">
        <f>SUM(G525:P525)</f>
        <v>1627.3088981897454</v>
      </c>
      <c r="G525" s="591">
        <f>SUM(G526:G530)</f>
        <v>18.652692969002675</v>
      </c>
      <c r="H525" s="591">
        <f>SUM(H526:H530)</f>
        <v>23.120560935032184</v>
      </c>
      <c r="I525" s="591">
        <f t="shared" ref="I525:P525" si="1929">SUM(I526:I530)</f>
        <v>27.029800078894457</v>
      </c>
      <c r="J525" s="591">
        <f t="shared" si="1929"/>
        <v>48.333131992490706</v>
      </c>
      <c r="K525" s="591">
        <f t="shared" si="1929"/>
        <v>111.88900900182622</v>
      </c>
      <c r="L525" s="591">
        <f t="shared" si="1929"/>
        <v>155.20299404222089</v>
      </c>
      <c r="M525" s="591">
        <f t="shared" si="1929"/>
        <v>237.96439470588459</v>
      </c>
      <c r="N525" s="591">
        <f t="shared" si="1929"/>
        <v>283.95890200191093</v>
      </c>
      <c r="O525" s="591">
        <f t="shared" si="1929"/>
        <v>333.92353429975742</v>
      </c>
      <c r="P525" s="591">
        <f t="shared" si="1929"/>
        <v>387.23387816272532</v>
      </c>
      <c r="Q525" s="591">
        <f t="shared" ref="Q525:U525" si="1930">SUM(Q526:Q530)</f>
        <v>436.93145028667749</v>
      </c>
      <c r="R525" s="591">
        <f t="shared" si="1930"/>
        <v>488.90608402936863</v>
      </c>
      <c r="S525" s="591">
        <f t="shared" si="1930"/>
        <v>543.25545215939826</v>
      </c>
      <c r="T525" s="591">
        <f t="shared" si="1930"/>
        <v>600.08118360047501</v>
      </c>
      <c r="U525" s="591">
        <f t="shared" si="1930"/>
        <v>659.46540652048998</v>
      </c>
      <c r="V525" s="555"/>
      <c r="W525" s="555" t="str">
        <f>'EE Measures'!$IK$6</f>
        <v>CEER1</v>
      </c>
      <c r="X525" s="590">
        <f>SUM(Y525:AH525)</f>
        <v>1626.3826261925465</v>
      </c>
      <c r="Y525" s="591">
        <f t="shared" ref="Y525:Z525" si="1931">SUM(Y526:Y530)</f>
        <v>18.652692969002675</v>
      </c>
      <c r="Z525" s="591">
        <f t="shared" si="1931"/>
        <v>23.120560935032188</v>
      </c>
      <c r="AA525" s="591">
        <f t="shared" ref="AA525" si="1932">SUM(AA526:AA530)</f>
        <v>27.029800078894461</v>
      </c>
      <c r="AB525" s="591">
        <f t="shared" ref="AB525" si="1933">SUM(AB526:AB530)</f>
        <v>48.333131992490713</v>
      </c>
      <c r="AC525" s="591">
        <f t="shared" ref="AC525" si="1934">SUM(AC526:AC530)</f>
        <v>111.84737730880613</v>
      </c>
      <c r="AD525" s="591">
        <f t="shared" ref="AD525" si="1935">SUM(AD526:AD530)</f>
        <v>155.11832023026153</v>
      </c>
      <c r="AE525" s="591">
        <f t="shared" ref="AE525" si="1936">SUM(AE526:AE530)</f>
        <v>237.83519405928922</v>
      </c>
      <c r="AF525" s="591">
        <f t="shared" ref="AF525" si="1937">SUM(AF526:AF530)</f>
        <v>283.7836135751046</v>
      </c>
      <c r="AG525" s="591">
        <f t="shared" ref="AG525" si="1938">SUM(AG526:AG530)</f>
        <v>333.70051888427156</v>
      </c>
      <c r="AH525" s="591">
        <f t="shared" ref="AH525:AM525" si="1939">SUM(AH526:AH530)</f>
        <v>386.96141615939359</v>
      </c>
      <c r="AI525" s="591">
        <f t="shared" si="1939"/>
        <v>436.60763153541018</v>
      </c>
      <c r="AJ525" s="591">
        <f t="shared" si="1939"/>
        <v>488.5290056776704</v>
      </c>
      <c r="AK525" s="591">
        <f t="shared" si="1939"/>
        <v>542.82312802002889</v>
      </c>
      <c r="AL525" s="591">
        <f t="shared" si="1939"/>
        <v>599.59154086393085</v>
      </c>
      <c r="AM525" s="591">
        <f t="shared" si="1939"/>
        <v>658.91628234523751</v>
      </c>
    </row>
    <row r="526" spans="3:39" hidden="1" outlineLevel="1" x14ac:dyDescent="0.3">
      <c r="C526" s="587" t="str">
        <f>C525</f>
        <v>CEER1</v>
      </c>
      <c r="E526" s="563" t="s">
        <v>50</v>
      </c>
      <c r="F526" s="592">
        <f>SUM(G526:P526)</f>
        <v>269.12320307738901</v>
      </c>
      <c r="G526" s="593">
        <f>SUMPRODUCT('EE Measures'!CV$8:CV$86,'EE Measures'!$IK$8:$IK$86,'EE Measures'!$N$8:$N$86)</f>
        <v>7.4244076794565608</v>
      </c>
      <c r="H526" s="593">
        <f>SUMPRODUCT('EE Measures'!CW$8:CW$86,'EE Measures'!$IK$8:$IK$86,'EE Measures'!$N$8:$N$86)</f>
        <v>8.0263569354923359</v>
      </c>
      <c r="I526" s="593">
        <f>SUMPRODUCT('EE Measures'!CX$8:CX$86,'EE Measures'!$IK$8:$IK$86,'EE Measures'!$N$8:$N$86)</f>
        <v>8.4023089590150786</v>
      </c>
      <c r="J526" s="593">
        <f>SUMPRODUCT('EE Measures'!CY$8:CY$86,'EE Measures'!$IK$8:$IK$86,'EE Measures'!$N$8:$N$86)</f>
        <v>12.521506006726327</v>
      </c>
      <c r="K526" s="593">
        <f>SUMPRODUCT('EE Measures'!CZ$8:CZ$86,'EE Measures'!$IK$8:$IK$86,'EE Measures'!$N$8:$N$86)</f>
        <v>20.765318764823448</v>
      </c>
      <c r="L526" s="593">
        <f>SUMPRODUCT('EE Measures'!DA$8:DA$86,'EE Measures'!$IK$8:$IK$86,'EE Measures'!$N$8:$N$86)</f>
        <v>27.951885254692996</v>
      </c>
      <c r="M526" s="593">
        <f>SUMPRODUCT('EE Measures'!DB$8:DB$86,'EE Measures'!$IK$8:$IK$86,'EE Measures'!$N$8:$N$86)</f>
        <v>35.354514996330181</v>
      </c>
      <c r="N526" s="593">
        <f>SUMPRODUCT('EE Measures'!DC$8:DC$86,'EE Measures'!$IK$8:$IK$86,'EE Measures'!$N$8:$N$86)</f>
        <v>41.020627548034504</v>
      </c>
      <c r="O526" s="593">
        <f>SUMPRODUCT('EE Measures'!DD$8:DD$86,'EE Measures'!$IK$8:$IK$86,'EE Measures'!$N$8:$N$86)</f>
        <v>48.94656725096263</v>
      </c>
      <c r="P526" s="593">
        <f>SUMPRODUCT('EE Measures'!DE$8:DE$86,'EE Measures'!$IK$8:$IK$86,'EE Measures'!$N$8:$N$86)</f>
        <v>58.709709681854974</v>
      </c>
      <c r="Q526" s="593">
        <f>SUMPRODUCT('EE Measures'!DF$8:DF$86,'EE Measures'!$IK$8:$IK$86,'EE Measures'!$N$8:$N$86)</f>
        <v>69.098114059872685</v>
      </c>
      <c r="R526" s="593">
        <f>SUMPRODUCT('EE Measures'!DG$8:DG$86,'EE Measures'!$IK$8:$IK$86,'EE Measures'!$N$8:$N$86)</f>
        <v>80.125448190795979</v>
      </c>
      <c r="S526" s="593">
        <f>SUMPRODUCT('EE Measures'!DH$8:DH$86,'EE Measures'!$IK$8:$IK$86,'EE Measures'!$N$8:$N$86)</f>
        <v>91.825584109415075</v>
      </c>
      <c r="T526" s="593">
        <f>SUMPRODUCT('EE Measures'!DI$8:DI$86,'EE Measures'!$IK$8:$IK$86,'EE Measures'!$N$8:$N$86)</f>
        <v>104.23403412552062</v>
      </c>
      <c r="U526" s="593">
        <f>SUMPRODUCT('EE Measures'!DJ$8:DJ$86,'EE Measures'!$IK$8:$IK$86,'EE Measures'!$N$8:$N$86)</f>
        <v>117.38959777668951</v>
      </c>
      <c r="W526" s="563" t="str" cm="1">
        <f t="array" ref="W526:W530">_xlfn.ANCHORARRAY($W$357)</f>
        <v xml:space="preserve">Põhja-Eesti </v>
      </c>
      <c r="X526" s="592">
        <f>SUM(Y526:AH526)</f>
        <v>787.6497454447865</v>
      </c>
      <c r="Y526" s="593">
        <f>SUMPRODUCT('EE Measures'!CV$8:CV$86,'EE Measures'!$IK$8:$IK$86,'EE Measures'!$Y$8:$Y$86)</f>
        <v>9.6584786807962537</v>
      </c>
      <c r="Z526" s="593">
        <f>SUMPRODUCT('EE Measures'!CW$8:CW$86,'EE Measures'!$IK$8:$IK$86,'EE Measures'!$Y$8:$Y$86)</f>
        <v>11.768250476430875</v>
      </c>
      <c r="AA526" s="593">
        <f>SUMPRODUCT('EE Measures'!CX$8:CX$86,'EE Measures'!$IK$8:$IK$86,'EE Measures'!$Y$8:$Y$86)</f>
        <v>13.549531177691808</v>
      </c>
      <c r="AB526" s="593">
        <f>SUMPRODUCT('EE Measures'!CY$8:CY$86,'EE Measures'!$IK$8:$IK$86,'EE Measures'!$Y$8:$Y$86)</f>
        <v>23.51116186026232</v>
      </c>
      <c r="AC526" s="593">
        <f>SUMPRODUCT('EE Measures'!CZ$8:CZ$86,'EE Measures'!$IK$8:$IK$86,'EE Measures'!$Y$8:$Y$86)</f>
        <v>56.417759231485704</v>
      </c>
      <c r="AD526" s="593">
        <f>SUMPRODUCT('EE Measures'!DA$8:DA$86,'EE Measures'!$IK$8:$IK$86,'EE Measures'!$Y$8:$Y$86)</f>
        <v>76.502793746032467</v>
      </c>
      <c r="AE526" s="593">
        <f>SUMPRODUCT('EE Measures'!DB$8:DB$86,'EE Measures'!$IK$8:$IK$86,'EE Measures'!$Y$8:$Y$86)</f>
        <v>115.8909258725236</v>
      </c>
      <c r="AF526" s="593">
        <f>SUMPRODUCT('EE Measures'!DC$8:DC$86,'EE Measures'!$IK$8:$IK$86,'EE Measures'!$Y$8:$Y$86)</f>
        <v>136.79351675708989</v>
      </c>
      <c r="AG526" s="593">
        <f>SUMPRODUCT('EE Measures'!DD$8:DD$86,'EE Measures'!$IK$8:$IK$86,'EE Measures'!$Y$8:$Y$86)</f>
        <v>159.5896948469447</v>
      </c>
      <c r="AH526" s="593">
        <f>SUMPRODUCT('EE Measures'!DE$8:DE$86,'EE Measures'!$IK$8:$IK$86,'EE Measures'!$Y$8:$Y$86)</f>
        <v>183.96763279552889</v>
      </c>
      <c r="AI526" s="593">
        <f>SUMPRODUCT('EE Measures'!DF$8:DF$86,'EE Measures'!$IK$8:$IK$86,'EE Measures'!$Y$8:$Y$86)</f>
        <v>204.92100644123485</v>
      </c>
      <c r="AJ526" s="593">
        <f>SUMPRODUCT('EE Measures'!DG$8:DG$86,'EE Measures'!$IK$8:$IK$86,'EE Measures'!$Y$8:$Y$86)</f>
        <v>226.83818316534843</v>
      </c>
      <c r="AK526" s="593">
        <f>SUMPRODUCT('EE Measures'!DH$8:DH$86,'EE Measures'!$IK$8:$IK$86,'EE Measures'!$Y$8:$Y$86)</f>
        <v>249.761136462369</v>
      </c>
      <c r="AL526" s="593">
        <f>SUMPRODUCT('EE Measures'!DI$8:DI$86,'EE Measures'!$IK$8:$IK$86,'EE Measures'!$Y$8:$Y$86)</f>
        <v>273.73357186711371</v>
      </c>
      <c r="AM526" s="593">
        <f>SUMPRODUCT('EE Measures'!DJ$8:DJ$86,'EE Measures'!$IK$8:$IK$86,'EE Measures'!$Y$8:$Y$86)</f>
        <v>298.78780878045461</v>
      </c>
    </row>
    <row r="527" spans="3:39" hidden="1" outlineLevel="1" x14ac:dyDescent="0.3">
      <c r="C527" s="587" t="str">
        <f t="shared" ref="C527:C530" si="1940">C526</f>
        <v>CEER1</v>
      </c>
      <c r="E527" s="563" t="s">
        <v>51</v>
      </c>
      <c r="F527" s="592">
        <f t="shared" ref="F527:F530" si="1941">SUM(G527:P527)</f>
        <v>514.35546505354591</v>
      </c>
      <c r="G527" s="593">
        <f>SUMPRODUCT('EE Measures'!CV$8:CV$86,'EE Measures'!$IK$8:$IK$86,'EE Measures'!$O$8:$O$86)</f>
        <v>2.3213067806629124</v>
      </c>
      <c r="H527" s="593">
        <f>SUMPRODUCT('EE Measures'!CW$8:CW$86,'EE Measures'!$IK$8:$IK$86,'EE Measures'!$O$8:$O$86)</f>
        <v>3.3722863854271092</v>
      </c>
      <c r="I527" s="593">
        <f>SUMPRODUCT('EE Measures'!CX$8:CX$86,'EE Measures'!$IK$8:$IK$86,'EE Measures'!$O$8:$O$86)</f>
        <v>4.5398170217852769</v>
      </c>
      <c r="J527" s="593">
        <f>SUMPRODUCT('EE Measures'!CY$8:CY$86,'EE Measures'!$IK$8:$IK$86,'EE Measures'!$O$8:$O$86)</f>
        <v>8.0296990056072808</v>
      </c>
      <c r="K527" s="593">
        <f>SUMPRODUCT('EE Measures'!CZ$8:CZ$86,'EE Measures'!$IK$8:$IK$86,'EE Measures'!$O$8:$O$86)</f>
        <v>31.157061774590957</v>
      </c>
      <c r="L527" s="593">
        <f>SUMPRODUCT('EE Measures'!DA$8:DA$86,'EE Measures'!$IK$8:$IK$86,'EE Measures'!$O$8:$O$86)</f>
        <v>50.609777184356254</v>
      </c>
      <c r="M527" s="593">
        <f>SUMPRODUCT('EE Measures'!DB$8:DB$86,'EE Measures'!$IK$8:$IK$86,'EE Measures'!$O$8:$O$86)</f>
        <v>70.910255017069602</v>
      </c>
      <c r="N527" s="593">
        <f>SUMPRODUCT('EE Measures'!DC$8:DC$86,'EE Measures'!$IK$8:$IK$86,'EE Measures'!$O$8:$O$86)</f>
        <v>92.07544525736752</v>
      </c>
      <c r="O527" s="593">
        <f>SUMPRODUCT('EE Measures'!DD$8:DD$86,'EE Measures'!$IK$8:$IK$86,'EE Measures'!$O$8:$O$86)</f>
        <v>114.15519756972152</v>
      </c>
      <c r="P527" s="593">
        <f>SUMPRODUCT('EE Measures'!DE$8:DE$86,'EE Measures'!$IK$8:$IK$86,'EE Measures'!$O$8:$O$86)</f>
        <v>137.18461905695756</v>
      </c>
      <c r="Q527" s="593">
        <f>SUMPRODUCT('EE Measures'!DF$8:DF$86,'EE Measures'!$IK$8:$IK$86,'EE Measures'!$O$8:$O$86)</f>
        <v>161.15435010415857</v>
      </c>
      <c r="R527" s="593">
        <f>SUMPRODUCT('EE Measures'!DG$8:DG$86,'EE Measures'!$IK$8:$IK$86,'EE Measures'!$O$8:$O$86)</f>
        <v>186.13252764397913</v>
      </c>
      <c r="S527" s="593">
        <f>SUMPRODUCT('EE Measures'!DH$8:DH$86,'EE Measures'!$IK$8:$IK$86,'EE Measures'!$O$8:$O$86)</f>
        <v>212.15716959542766</v>
      </c>
      <c r="T527" s="593">
        <f>SUMPRODUCT('EE Measures'!DI$8:DI$86,'EE Measures'!$IK$8:$IK$86,'EE Measures'!$O$8:$O$86)</f>
        <v>239.26763154812426</v>
      </c>
      <c r="U527" s="593">
        <f>SUMPRODUCT('EE Measures'!DJ$8:DJ$86,'EE Measures'!$IK$8:$IK$86,'EE Measures'!$O$8:$O$86)</f>
        <v>267.44076173102167</v>
      </c>
      <c r="W527" s="563" t="str">
        <v>Lääne-Eesti</v>
      </c>
      <c r="X527" s="592">
        <f t="shared" ref="X527:X530" si="1942">SUM(Y527:AH527)</f>
        <v>233.29706040880762</v>
      </c>
      <c r="Y527" s="593">
        <f>SUMPRODUCT('EE Measures'!CV$8:CV$86,'EE Measures'!$IK$8:$IK$86,'EE Measures'!$Z$8:$Z$86)</f>
        <v>1.6148108405340245</v>
      </c>
      <c r="Z527" s="593">
        <f>SUMPRODUCT('EE Measures'!CW$8:CW$86,'EE Measures'!$IK$8:$IK$86,'EE Measures'!$Z$8:$Z$86)</f>
        <v>2.0770402894891835</v>
      </c>
      <c r="AA527" s="593">
        <f>SUMPRODUCT('EE Measures'!CX$8:CX$86,'EE Measures'!$IK$8:$IK$86,'EE Measures'!$Z$8:$Z$86)</f>
        <v>2.5048193072832996</v>
      </c>
      <c r="AB527" s="593">
        <f>SUMPRODUCT('EE Measures'!CY$8:CY$86,'EE Measures'!$IK$8:$IK$86,'EE Measures'!$Z$8:$Z$86)</f>
        <v>4.7283087907201455</v>
      </c>
      <c r="AC527" s="593">
        <f>SUMPRODUCT('EE Measures'!CZ$8:CZ$86,'EE Measures'!$IK$8:$IK$86,'EE Measures'!$Z$8:$Z$86)</f>
        <v>11.255348320612102</v>
      </c>
      <c r="AD527" s="593">
        <f>SUMPRODUCT('EE Measures'!DA$8:DA$86,'EE Measures'!$IK$8:$IK$86,'EE Measures'!$Z$8:$Z$86)</f>
        <v>16.204436169894564</v>
      </c>
      <c r="AE527" s="593">
        <f>SUMPRODUCT('EE Measures'!DB$8:DB$86,'EE Measures'!$IK$8:$IK$86,'EE Measures'!$Z$8:$Z$86)</f>
        <v>39.830643964789623</v>
      </c>
      <c r="AF527" s="593">
        <f>SUMPRODUCT('EE Measures'!DC$8:DC$86,'EE Measures'!$IK$8:$IK$86,'EE Measures'!$Z$8:$Z$86)</f>
        <v>45.49612458167811</v>
      </c>
      <c r="AG527" s="593">
        <f>SUMPRODUCT('EE Measures'!DD$8:DD$86,'EE Measures'!$IK$8:$IK$86,'EE Measures'!$Z$8:$Z$86)</f>
        <v>51.574744882598004</v>
      </c>
      <c r="AH527" s="593">
        <f>SUMPRODUCT('EE Measures'!DE$8:DE$86,'EE Measures'!$IK$8:$IK$86,'EE Measures'!$Z$8:$Z$86)</f>
        <v>58.010783261208552</v>
      </c>
      <c r="AI527" s="593">
        <f>SUMPRODUCT('EE Measures'!DF$8:DF$86,'EE Measures'!$IK$8:$IK$86,'EE Measures'!$Z$8:$Z$86)</f>
        <v>64.395878769834965</v>
      </c>
      <c r="AJ527" s="593">
        <f>SUMPRODUCT('EE Measures'!DG$8:DG$86,'EE Measures'!$IK$8:$IK$86,'EE Measures'!$Z$8:$Z$86)</f>
        <v>71.066793986913993</v>
      </c>
      <c r="AK527" s="593">
        <f>SUMPRODUCT('EE Measures'!DH$8:DH$86,'EE Measures'!$IK$8:$IK$86,'EE Measures'!$Z$8:$Z$86)</f>
        <v>78.035417514357135</v>
      </c>
      <c r="AL527" s="593">
        <f>SUMPRODUCT('EE Measures'!DI$8:DI$86,'EE Measures'!$IK$8:$IK$86,'EE Measures'!$Z$8:$Z$86)</f>
        <v>85.314103458659446</v>
      </c>
      <c r="AM527" s="593">
        <f>SUMPRODUCT('EE Measures'!DJ$8:DJ$86,'EE Measures'!$IK$8:$IK$86,'EE Measures'!$Z$8:$Z$86)</f>
        <v>92.916646790992402</v>
      </c>
    </row>
    <row r="528" spans="3:39" hidden="1" outlineLevel="1" x14ac:dyDescent="0.3">
      <c r="C528" s="587" t="str">
        <f t="shared" si="1940"/>
        <v>CEER1</v>
      </c>
      <c r="E528" s="563" t="s">
        <v>52</v>
      </c>
      <c r="F528" s="592">
        <f t="shared" si="1941"/>
        <v>189.25390736105314</v>
      </c>
      <c r="G528" s="593">
        <f>SUMPRODUCT('EE Measures'!CV$8:CV$86,'EE Measures'!$IK$8:$IK$86,'EE Measures'!$P$8:$P$86)</f>
        <v>3.588665132266637</v>
      </c>
      <c r="H528" s="593">
        <f>SUMPRODUCT('EE Measures'!CW$8:CW$86,'EE Measures'!$IK$8:$IK$86,'EE Measures'!$P$8:$P$86)</f>
        <v>4.2761796415667082</v>
      </c>
      <c r="I528" s="593">
        <f>SUMPRODUCT('EE Measures'!CX$8:CX$86,'EE Measures'!$IK$8:$IK$86,'EE Measures'!$P$8:$P$86)</f>
        <v>4.668725050176727</v>
      </c>
      <c r="J528" s="593">
        <f>SUMPRODUCT('EE Measures'!CY$8:CY$86,'EE Measures'!$IK$8:$IK$86,'EE Measures'!$P$8:$P$86)</f>
        <v>6.6061575215977566</v>
      </c>
      <c r="K528" s="593">
        <f>SUMPRODUCT('EE Measures'!CZ$8:CZ$86,'EE Measures'!$IK$8:$IK$86,'EE Measures'!$P$8:$P$86)</f>
        <v>12.945663423370888</v>
      </c>
      <c r="L528" s="593">
        <f>SUMPRODUCT('EE Measures'!DA$8:DA$86,'EE Measures'!$IK$8:$IK$86,'EE Measures'!$P$8:$P$86)</f>
        <v>18.723943706778083</v>
      </c>
      <c r="M528" s="593">
        <f>SUMPRODUCT('EE Measures'!DB$8:DB$86,'EE Measures'!$IK$8:$IK$86,'EE Measures'!$P$8:$P$86)</f>
        <v>24.781667492728573</v>
      </c>
      <c r="N528" s="593">
        <f>SUMPRODUCT('EE Measures'!DC$8:DC$86,'EE Measures'!$IK$8:$IK$86,'EE Measures'!$P$8:$P$86)</f>
        <v>31.130483928943939</v>
      </c>
      <c r="O528" s="593">
        <f>SUMPRODUCT('EE Measures'!DD$8:DD$86,'EE Measures'!$IK$8:$IK$86,'EE Measures'!$P$8:$P$86)</f>
        <v>37.782428435084853</v>
      </c>
      <c r="P528" s="593">
        <f>SUMPRODUCT('EE Measures'!DE$8:DE$86,'EE Measures'!$IK$8:$IK$86,'EE Measures'!$P$8:$P$86)</f>
        <v>44.749993028538967</v>
      </c>
      <c r="Q528" s="593">
        <f>SUMPRODUCT('EE Measures'!DF$8:DF$86,'EE Measures'!$IK$8:$IK$86,'EE Measures'!$P$8:$P$86)</f>
        <v>52.061042917956648</v>
      </c>
      <c r="R528" s="593">
        <f>SUMPRODUCT('EE Measures'!DG$8:DG$86,'EE Measures'!$IK$8:$IK$86,'EE Measures'!$P$8:$P$86)</f>
        <v>59.719160768373612</v>
      </c>
      <c r="S528" s="593">
        <f>SUMPRODUCT('EE Measures'!DH$8:DH$86,'EE Measures'!$IK$8:$IK$86,'EE Measures'!$P$8:$P$86)</f>
        <v>67.738642273096019</v>
      </c>
      <c r="T528" s="593">
        <f>SUMPRODUCT('EE Measures'!DI$8:DI$86,'EE Measures'!$IK$8:$IK$86,'EE Measures'!$P$8:$P$86)</f>
        <v>76.134325597693746</v>
      </c>
      <c r="U528" s="593">
        <f>SUMPRODUCT('EE Measures'!DJ$8:DJ$86,'EE Measures'!$IK$8:$IK$86,'EE Measures'!$P$8:$P$86)</f>
        <v>84.960316705610751</v>
      </c>
      <c r="W528" s="563" t="str">
        <v>Kirde-Eesti</v>
      </c>
      <c r="X528" s="592">
        <f t="shared" si="1942"/>
        <v>136.06358861101947</v>
      </c>
      <c r="Y528" s="593">
        <f>SUMPRODUCT('EE Measures'!CV$8:CV$86,'EE Measures'!$IK$8:$IK$86,'EE Measures'!$AA$8:$AA$86)</f>
        <v>1.8049735385258474</v>
      </c>
      <c r="Z528" s="593">
        <f>SUMPRODUCT('EE Measures'!CW$8:CW$86,'EE Measures'!$IK$8:$IK$86,'EE Measures'!$AA$8:$AA$86)</f>
        <v>2.2418386589015347</v>
      </c>
      <c r="AA528" s="593">
        <f>SUMPRODUCT('EE Measures'!CX$8:CX$86,'EE Measures'!$IK$8:$IK$86,'EE Measures'!$AA$8:$AA$86)</f>
        <v>2.6072064580909307</v>
      </c>
      <c r="AB528" s="593">
        <f>SUMPRODUCT('EE Measures'!CY$8:CY$86,'EE Measures'!$IK$8:$IK$86,'EE Measures'!$AA$8:$AA$86)</f>
        <v>4.6299545183166524</v>
      </c>
      <c r="AC528" s="593">
        <f>SUMPRODUCT('EE Measures'!CZ$8:CZ$86,'EE Measures'!$IK$8:$IK$86,'EE Measures'!$AA$8:$AA$86)</f>
        <v>9.8193966377556077</v>
      </c>
      <c r="AD528" s="593">
        <f>SUMPRODUCT('EE Measures'!DA$8:DA$86,'EE Measures'!$IK$8:$IK$86,'EE Measures'!$AA$8:$AA$86)</f>
        <v>13.998511824424165</v>
      </c>
      <c r="AE528" s="593">
        <f>SUMPRODUCT('EE Measures'!DB$8:DB$86,'EE Measures'!$IK$8:$IK$86,'EE Measures'!$AA$8:$AA$86)</f>
        <v>18.416328996993151</v>
      </c>
      <c r="AF528" s="593">
        <f>SUMPRODUCT('EE Measures'!DC$8:DC$86,'EE Measures'!$IK$8:$IK$86,'EE Measures'!$AA$8:$AA$86)</f>
        <v>22.685569054083249</v>
      </c>
      <c r="AG528" s="593">
        <f>SUMPRODUCT('EE Measures'!DD$8:DD$86,'EE Measures'!$IK$8:$IK$86,'EE Measures'!$AA$8:$AA$86)</f>
        <v>27.39352499536519</v>
      </c>
      <c r="AH528" s="593">
        <f>SUMPRODUCT('EE Measures'!DE$8:DE$86,'EE Measures'!$IK$8:$IK$86,'EE Measures'!$AA$8:$AA$86)</f>
        <v>32.466283928563143</v>
      </c>
      <c r="AI528" s="593">
        <f>SUMPRODUCT('EE Measures'!DF$8:DF$86,'EE Measures'!$IK$8:$IK$86,'EE Measures'!$AA$8:$AA$86)</f>
        <v>37.643539684838622</v>
      </c>
      <c r="AJ528" s="593">
        <f>SUMPRODUCT('EE Measures'!DG$8:DG$86,'EE Measures'!$IK$8:$IK$86,'EE Measures'!$AA$8:$AA$86)</f>
        <v>43.062114918820626</v>
      </c>
      <c r="AK528" s="593">
        <f>SUMPRODUCT('EE Measures'!DH$8:DH$86,'EE Measures'!$IK$8:$IK$86,'EE Measures'!$AA$8:$AA$86)</f>
        <v>48.732466071888439</v>
      </c>
      <c r="AL528" s="593">
        <f>SUMPRODUCT('EE Measures'!DI$8:DI$86,'EE Measures'!$IK$8:$IK$86,'EE Measures'!$AA$8:$AA$86)</f>
        <v>54.665478376507501</v>
      </c>
      <c r="AM528" s="593">
        <f>SUMPRODUCT('EE Measures'!DJ$8:DJ$86,'EE Measures'!$IK$8:$IK$86,'EE Measures'!$AA$8:$AA$86)</f>
        <v>60.866562527187206</v>
      </c>
    </row>
    <row r="529" spans="3:40" hidden="1" outlineLevel="1" x14ac:dyDescent="0.3">
      <c r="C529" s="587" t="str">
        <f t="shared" si="1940"/>
        <v>CEER1</v>
      </c>
      <c r="E529" s="563" t="s">
        <v>53</v>
      </c>
      <c r="F529" s="592">
        <f t="shared" si="1941"/>
        <v>635.77153868456799</v>
      </c>
      <c r="G529" s="593">
        <f>SUMPRODUCT('EE Measures'!CV$8:CV$86,'EE Measures'!$IK$8:$IK$86,'EE Measures'!$Q$8:$Q$86)</f>
        <v>5.1362285227130435</v>
      </c>
      <c r="H529" s="593">
        <f>SUMPRODUCT('EE Measures'!CW$8:CW$86,'EE Measures'!$IK$8:$IK$86,'EE Measures'!$Q$8:$Q$86)</f>
        <v>7.2537839630269181</v>
      </c>
      <c r="I529" s="593">
        <f>SUMPRODUCT('EE Measures'!CX$8:CX$86,'EE Measures'!$IK$8:$IK$86,'EE Measures'!$Q$8:$Q$86)</f>
        <v>9.2164432329725834</v>
      </c>
      <c r="J529" s="593">
        <f>SUMPRODUCT('EE Measures'!CY$8:CY$86,'EE Measures'!$IK$8:$IK$86,'EE Measures'!$Q$8:$Q$86)</f>
        <v>20.136714412237495</v>
      </c>
      <c r="K529" s="593">
        <f>SUMPRODUCT('EE Measures'!CZ$8:CZ$86,'EE Measures'!$IK$8:$IK$86,'EE Measures'!$Q$8:$Q$86)</f>
        <v>45.500337221593092</v>
      </c>
      <c r="L529" s="593">
        <f>SUMPRODUCT('EE Measures'!DA$8:DA$86,'EE Measures'!$IK$8:$IK$86,'EE Measures'!$Q$8:$Q$86)</f>
        <v>56.35960388702604</v>
      </c>
      <c r="M529" s="593">
        <f>SUMPRODUCT('EE Measures'!DB$8:DB$86,'EE Measures'!$IK$8:$IK$86,'EE Measures'!$Q$8:$Q$86)</f>
        <v>104.60217331841123</v>
      </c>
      <c r="N529" s="593">
        <f>SUMPRODUCT('EE Measures'!DC$8:DC$86,'EE Measures'!$IK$8:$IK$86,'EE Measures'!$Q$8:$Q$86)</f>
        <v>116.62925640840707</v>
      </c>
      <c r="O529" s="593">
        <f>SUMPRODUCT('EE Measures'!DD$8:DD$86,'EE Measures'!$IK$8:$IK$86,'EE Measures'!$Q$8:$Q$86)</f>
        <v>129.11833521357752</v>
      </c>
      <c r="P529" s="593">
        <f>SUMPRODUCT('EE Measures'!DE$8:DE$86,'EE Measures'!$IK$8:$IK$86,'EE Measures'!$Q$8:$Q$86)</f>
        <v>141.81866250460308</v>
      </c>
      <c r="Q529" s="593">
        <f>SUMPRODUCT('EE Measures'!DF$8:DF$86,'EE Measures'!$IK$8:$IK$86,'EE Measures'!$Q$8:$Q$86)</f>
        <v>149.74191272580796</v>
      </c>
      <c r="R529" s="593">
        <f>SUMPRODUCT('EE Measures'!DG$8:DG$86,'EE Measures'!$IK$8:$IK$86,'EE Measures'!$Q$8:$Q$86)</f>
        <v>157.94442228666833</v>
      </c>
      <c r="S529" s="593">
        <f>SUMPRODUCT('EE Measures'!DH$8:DH$86,'EE Measures'!$IK$8:$IK$86,'EE Measures'!$Q$8:$Q$86)</f>
        <v>166.43756745526628</v>
      </c>
      <c r="T529" s="593">
        <f>SUMPRODUCT('EE Measures'!DI$8:DI$86,'EE Measures'!$IK$8:$IK$86,'EE Measures'!$Q$8:$Q$86)</f>
        <v>175.23315642864009</v>
      </c>
      <c r="U529" s="593">
        <f>SUMPRODUCT('EE Measures'!DJ$8:DJ$86,'EE Measures'!$IK$8:$IK$86,'EE Measures'!$Q$8:$Q$86)</f>
        <v>184.3434450392289</v>
      </c>
      <c r="W529" s="563" t="str">
        <v>Lõuna-Eesti </v>
      </c>
      <c r="X529" s="592">
        <f t="shared" si="1942"/>
        <v>330.1337847804773</v>
      </c>
      <c r="Y529" s="593">
        <f>SUMPRODUCT('EE Measures'!CV$8:CV$86,'EE Measures'!$IK$8:$IK$86,'EE Measures'!$AB$8:$AB$86)</f>
        <v>3.9661351053840512</v>
      </c>
      <c r="Z529" s="593">
        <f>SUMPRODUCT('EE Measures'!CW$8:CW$86,'EE Measures'!$IK$8:$IK$86,'EE Measures'!$AB$8:$AB$86)</f>
        <v>5.0032053694946672</v>
      </c>
      <c r="AA529" s="593">
        <f>SUMPRODUCT('EE Measures'!CX$8:CX$86,'EE Measures'!$IK$8:$IK$86,'EE Measures'!$AB$8:$AB$86)</f>
        <v>5.9510196896395851</v>
      </c>
      <c r="AB529" s="593">
        <f>SUMPRODUCT('EE Measures'!CY$8:CY$86,'EE Measures'!$IK$8:$IK$86,'EE Measures'!$AB$8:$AB$86)</f>
        <v>10.960558173108916</v>
      </c>
      <c r="AC529" s="593">
        <f>SUMPRODUCT('EE Measures'!CZ$8:CZ$86,'EE Measures'!$IK$8:$IK$86,'EE Measures'!$AB$8:$AB$86)</f>
        <v>24.259724023127628</v>
      </c>
      <c r="AD529" s="593">
        <f>SUMPRODUCT('EE Measures'!DA$8:DA$86,'EE Measures'!$IK$8:$IK$86,'EE Measures'!$AB$8:$AB$86)</f>
        <v>34.126929237449069</v>
      </c>
      <c r="AE529" s="593">
        <f>SUMPRODUCT('EE Measures'!DB$8:DB$86,'EE Measures'!$IK$8:$IK$86,'EE Measures'!$AB$8:$AB$86)</f>
        <v>44.810988736603896</v>
      </c>
      <c r="AF529" s="593">
        <f>SUMPRODUCT('EE Measures'!DC$8:DC$86,'EE Measures'!$IK$8:$IK$86,'EE Measures'!$AB$8:$AB$86)</f>
        <v>55.368826965301793</v>
      </c>
      <c r="AG529" s="593">
        <f>SUMPRODUCT('EE Measures'!DD$8:DD$86,'EE Measures'!$IK$8:$IK$86,'EE Measures'!$AB$8:$AB$86)</f>
        <v>66.777858491841272</v>
      </c>
      <c r="AH529" s="593">
        <f>SUMPRODUCT('EE Measures'!DE$8:DE$86,'EE Measures'!$IK$8:$IK$86,'EE Measures'!$AB$8:$AB$86)</f>
        <v>78.908538988526459</v>
      </c>
      <c r="AI529" s="593">
        <f>SUMPRODUCT('EE Measures'!DF$8:DF$86,'EE Measures'!$IK$8:$IK$86,'EE Measures'!$AB$8:$AB$86)</f>
        <v>90.795730113433407</v>
      </c>
      <c r="AJ529" s="593">
        <f>SUMPRODUCT('EE Measures'!DG$8:DG$86,'EE Measures'!$IK$8:$IK$86,'EE Measures'!$AB$8:$AB$86)</f>
        <v>103.22632662000152</v>
      </c>
      <c r="AK529" s="593">
        <f>SUMPRODUCT('EE Measures'!DH$8:DH$86,'EE Measures'!$IK$8:$IK$86,'EE Measures'!$AB$8:$AB$86)</f>
        <v>116.22338971722229</v>
      </c>
      <c r="AL529" s="593">
        <f>SUMPRODUCT('EE Measures'!DI$8:DI$86,'EE Measures'!$IK$8:$IK$86,'EE Measures'!$AB$8:$AB$86)</f>
        <v>129.81090048693594</v>
      </c>
      <c r="AM529" s="593">
        <f>SUMPRODUCT('EE Measures'!DJ$8:DJ$86,'EE Measures'!$IK$8:$IK$86,'EE Measures'!$AB$8:$AB$86)</f>
        <v>144.00960030329347</v>
      </c>
    </row>
    <row r="530" spans="3:40" hidden="1" outlineLevel="1" x14ac:dyDescent="0.3">
      <c r="C530" s="587" t="str">
        <f t="shared" si="1940"/>
        <v>CEER1</v>
      </c>
      <c r="E530" s="563" t="s">
        <v>54</v>
      </c>
      <c r="F530" s="592">
        <f t="shared" si="1941"/>
        <v>18.80478401318901</v>
      </c>
      <c r="G530" s="593">
        <f>SUMPRODUCT('EE Measures'!CV$8:CV$86,'EE Measures'!$IK$8:$IK$86,'EE Measures'!$R$8:$R$86)</f>
        <v>0.18208485390352028</v>
      </c>
      <c r="H530" s="593">
        <f>SUMPRODUCT('EE Measures'!CW$8:CW$86,'EE Measures'!$IK$8:$IK$86,'EE Measures'!$R$8:$R$86)</f>
        <v>0.19195400951911232</v>
      </c>
      <c r="I530" s="593">
        <f>SUMPRODUCT('EE Measures'!CX$8:CX$86,'EE Measures'!$IK$8:$IK$86,'EE Measures'!$R$8:$R$86)</f>
        <v>0.2025058149447912</v>
      </c>
      <c r="J530" s="593">
        <f>SUMPRODUCT('EE Measures'!CY$8:CY$86,'EE Measures'!$IK$8:$IK$86,'EE Measures'!$R$8:$R$86)</f>
        <v>1.03905504632185</v>
      </c>
      <c r="K530" s="593">
        <f>SUMPRODUCT('EE Measures'!CZ$8:CZ$86,'EE Measures'!$IK$8:$IK$86,'EE Measures'!$R$8:$R$86)</f>
        <v>1.520627817447834</v>
      </c>
      <c r="L530" s="593">
        <f>SUMPRODUCT('EE Measures'!DA$8:DA$86,'EE Measures'!$IK$8:$IK$86,'EE Measures'!$R$8:$R$86)</f>
        <v>1.5577840093675031</v>
      </c>
      <c r="M530" s="593">
        <f>SUMPRODUCT('EE Measures'!DB$8:DB$86,'EE Measures'!$IK$8:$IK$86,'EE Measures'!$R$8:$R$86)</f>
        <v>2.3157838813449829</v>
      </c>
      <c r="N530" s="593">
        <f>SUMPRODUCT('EE Measures'!DC$8:DC$86,'EE Measures'!$IK$8:$IK$86,'EE Measures'!$R$8:$R$86)</f>
        <v>3.1030888591578587</v>
      </c>
      <c r="O530" s="593">
        <f>SUMPRODUCT('EE Measures'!DD$8:DD$86,'EE Measures'!$IK$8:$IK$86,'EE Measures'!$R$8:$R$86)</f>
        <v>3.9210058304108588</v>
      </c>
      <c r="P530" s="593">
        <f>SUMPRODUCT('EE Measures'!DE$8:DE$86,'EE Measures'!$IK$8:$IK$86,'EE Measures'!$R$8:$R$86)</f>
        <v>4.770893890770699</v>
      </c>
      <c r="Q530" s="593">
        <f>SUMPRODUCT('EE Measures'!DF$8:DF$86,'EE Measures'!$IK$8:$IK$86,'EE Measures'!$R$8:$R$86)</f>
        <v>4.8760304788816544</v>
      </c>
      <c r="R530" s="593">
        <f>SUMPRODUCT('EE Measures'!DG$8:DG$86,'EE Measures'!$IK$8:$IK$86,'EE Measures'!$R$8:$R$86)</f>
        <v>4.9845251395516055</v>
      </c>
      <c r="S530" s="593">
        <f>SUMPRODUCT('EE Measures'!DH$8:DH$86,'EE Measures'!$IK$8:$IK$86,'EE Measures'!$R$8:$R$86)</f>
        <v>5.0964887261932503</v>
      </c>
      <c r="T530" s="593">
        <f>SUMPRODUCT('EE Measures'!DI$8:DI$86,'EE Measures'!$IK$8:$IK$86,'EE Measures'!$R$8:$R$86)</f>
        <v>5.2120359004963062</v>
      </c>
      <c r="U530" s="593">
        <f>SUMPRODUCT('EE Measures'!DJ$8:DJ$86,'EE Measures'!$IK$8:$IK$86,'EE Measures'!$R$8:$R$86)</f>
        <v>5.3312852679391867</v>
      </c>
      <c r="W530" s="563" t="str">
        <v>Kesk-Eesti</v>
      </c>
      <c r="X530" s="592">
        <f t="shared" si="1942"/>
        <v>139.23844694745577</v>
      </c>
      <c r="Y530" s="593">
        <f>SUMPRODUCT('EE Measures'!CV$8:CV$86,'EE Measures'!$IK$8:$IK$86,'EE Measures'!$AC$8:$AC$86)</f>
        <v>1.6082948037624984</v>
      </c>
      <c r="Z530" s="593">
        <f>SUMPRODUCT('EE Measures'!CW$8:CW$86,'EE Measures'!$IK$8:$IK$86,'EE Measures'!$AC$8:$AC$86)</f>
        <v>2.0302261407159259</v>
      </c>
      <c r="AA530" s="593">
        <f>SUMPRODUCT('EE Measures'!CX$8:CX$86,'EE Measures'!$IK$8:$IK$86,'EE Measures'!$AC$8:$AC$86)</f>
        <v>2.417223446188836</v>
      </c>
      <c r="AB530" s="593">
        <f>SUMPRODUCT('EE Measures'!CY$8:CY$86,'EE Measures'!$IK$8:$IK$86,'EE Measures'!$AC$8:$AC$86)</f>
        <v>4.5031486500826778</v>
      </c>
      <c r="AC530" s="593">
        <f>SUMPRODUCT('EE Measures'!CZ$8:CZ$86,'EE Measures'!$IK$8:$IK$86,'EE Measures'!$AC$8:$AC$86)</f>
        <v>10.095149095825093</v>
      </c>
      <c r="AD530" s="593">
        <f>SUMPRODUCT('EE Measures'!DA$8:DA$86,'EE Measures'!$IK$8:$IK$86,'EE Measures'!$AC$8:$AC$86)</f>
        <v>14.285649252461264</v>
      </c>
      <c r="AE530" s="593">
        <f>SUMPRODUCT('EE Measures'!DB$8:DB$86,'EE Measures'!$IK$8:$IK$86,'EE Measures'!$AC$8:$AC$86)</f>
        <v>18.88630648837897</v>
      </c>
      <c r="AF530" s="593">
        <f>SUMPRODUCT('EE Measures'!DC$8:DC$86,'EE Measures'!$IK$8:$IK$86,'EE Measures'!$AC$8:$AC$86)</f>
        <v>23.439576216951561</v>
      </c>
      <c r="AG530" s="593">
        <f>SUMPRODUCT('EE Measures'!DD$8:DD$86,'EE Measures'!$IK$8:$IK$86,'EE Measures'!$AC$8:$AC$86)</f>
        <v>28.364695667522369</v>
      </c>
      <c r="AH530" s="593">
        <f>SUMPRODUCT('EE Measures'!DE$8:DE$86,'EE Measures'!$IK$8:$IK$86,'EE Measures'!$AC$8:$AC$86)</f>
        <v>33.608177185566568</v>
      </c>
      <c r="AI530" s="593">
        <f>SUMPRODUCT('EE Measures'!DF$8:DF$86,'EE Measures'!$IK$8:$IK$86,'EE Measures'!$AC$8:$AC$86)</f>
        <v>38.851476526068353</v>
      </c>
      <c r="AJ530" s="593">
        <f>SUMPRODUCT('EE Measures'!DG$8:DG$86,'EE Measures'!$IK$8:$IK$86,'EE Measures'!$AC$8:$AC$86)</f>
        <v>44.335586986585888</v>
      </c>
      <c r="AK530" s="593">
        <f>SUMPRODUCT('EE Measures'!DH$8:DH$86,'EE Measures'!$IK$8:$IK$86,'EE Measures'!$AC$8:$AC$86)</f>
        <v>50.070718254191974</v>
      </c>
      <c r="AL530" s="593">
        <f>SUMPRODUCT('EE Measures'!DI$8:DI$86,'EE Measures'!$IK$8:$IK$86,'EE Measures'!$AC$8:$AC$86)</f>
        <v>56.067486674714232</v>
      </c>
      <c r="AM530" s="593">
        <f>SUMPRODUCT('EE Measures'!DJ$8:DJ$86,'EE Measures'!$IK$8:$IK$86,'EE Measures'!$AC$8:$AC$86)</f>
        <v>62.335663943309825</v>
      </c>
    </row>
    <row r="531" spans="3:40" hidden="1" outlineLevel="1" x14ac:dyDescent="0.3">
      <c r="C531" s="587" t="str">
        <f>E531</f>
        <v>CEER2</v>
      </c>
      <c r="E531" s="555" t="str">
        <f>'EE Measures'!$IL$6</f>
        <v>CEER2</v>
      </c>
      <c r="F531" s="590">
        <f>SUM(G531:P531)</f>
        <v>2063.0783078622417</v>
      </c>
      <c r="G531" s="591">
        <f>SUM(G532:G536)</f>
        <v>18.652692969002675</v>
      </c>
      <c r="H531" s="591">
        <f>SUM(H532:H536)</f>
        <v>23.120560935032184</v>
      </c>
      <c r="I531" s="591">
        <f t="shared" ref="I531:P531" si="1943">SUM(I532:I536)</f>
        <v>27.029800078894457</v>
      </c>
      <c r="J531" s="591">
        <f t="shared" si="1943"/>
        <v>48.333131992490706</v>
      </c>
      <c r="K531" s="591">
        <f t="shared" si="1943"/>
        <v>132.93568849062078</v>
      </c>
      <c r="L531" s="591">
        <f t="shared" si="1943"/>
        <v>195.37439388154721</v>
      </c>
      <c r="M531" s="591">
        <f t="shared" si="1943"/>
        <v>297.87003857143452</v>
      </c>
      <c r="N531" s="591">
        <f t="shared" si="1943"/>
        <v>365.15113075447903</v>
      </c>
      <c r="O531" s="591">
        <f t="shared" si="1943"/>
        <v>438.2469000719168</v>
      </c>
      <c r="P531" s="591">
        <f t="shared" si="1943"/>
        <v>516.36397011682311</v>
      </c>
      <c r="Q531" s="591">
        <f t="shared" ref="Q531:U531" si="1944">SUM(Q532:Q536)</f>
        <v>586.91968273290058</v>
      </c>
      <c r="R531" s="591">
        <f t="shared" si="1944"/>
        <v>660.68604197611808</v>
      </c>
      <c r="S531" s="591">
        <f t="shared" si="1944"/>
        <v>737.79964216376857</v>
      </c>
      <c r="T531" s="591">
        <f t="shared" si="1944"/>
        <v>818.40258538753437</v>
      </c>
      <c r="U531" s="591">
        <f t="shared" si="1944"/>
        <v>902.61949061977566</v>
      </c>
      <c r="W531" s="555" t="str">
        <f>'EE Measures'!$IL$6</f>
        <v>CEER2</v>
      </c>
      <c r="X531" s="590">
        <f>SUM(Y531:AH531)</f>
        <v>2062.1520358650428</v>
      </c>
      <c r="Y531" s="591">
        <f t="shared" ref="Y531:Z531" si="1945">SUM(Y532:Y536)</f>
        <v>18.652692969002675</v>
      </c>
      <c r="Z531" s="591">
        <f t="shared" si="1945"/>
        <v>23.120560935032188</v>
      </c>
      <c r="AA531" s="591">
        <f t="shared" ref="AA531" si="1946">SUM(AA532:AA536)</f>
        <v>27.029800078894461</v>
      </c>
      <c r="AB531" s="591">
        <f t="shared" ref="AB531" si="1947">SUM(AB532:AB536)</f>
        <v>48.333131992490713</v>
      </c>
      <c r="AC531" s="591">
        <f t="shared" ref="AC531" si="1948">SUM(AC532:AC536)</f>
        <v>132.89405679760071</v>
      </c>
      <c r="AD531" s="591">
        <f t="shared" ref="AD531" si="1949">SUM(AD532:AD536)</f>
        <v>195.28972006958784</v>
      </c>
      <c r="AE531" s="591">
        <f t="shared" ref="AE531" si="1950">SUM(AE532:AE536)</f>
        <v>297.74083792483907</v>
      </c>
      <c r="AF531" s="591">
        <f t="shared" ref="AF531" si="1951">SUM(AF532:AF536)</f>
        <v>364.97584232767275</v>
      </c>
      <c r="AG531" s="591">
        <f t="shared" ref="AG531" si="1952">SUM(AG532:AG536)</f>
        <v>438.02388465643094</v>
      </c>
      <c r="AH531" s="591">
        <f t="shared" ref="AH531:AM531" si="1953">SUM(AH532:AH536)</f>
        <v>516.0915081134915</v>
      </c>
      <c r="AI531" s="591">
        <f t="shared" si="1953"/>
        <v>586.59586398163344</v>
      </c>
      <c r="AJ531" s="591">
        <f t="shared" si="1953"/>
        <v>660.30896362441979</v>
      </c>
      <c r="AK531" s="591">
        <f t="shared" si="1953"/>
        <v>737.3673180243992</v>
      </c>
      <c r="AL531" s="591">
        <f t="shared" si="1953"/>
        <v>817.91294265099043</v>
      </c>
      <c r="AM531" s="591">
        <f t="shared" si="1953"/>
        <v>902.07036644452307</v>
      </c>
    </row>
    <row r="532" spans="3:40" hidden="1" outlineLevel="1" x14ac:dyDescent="0.3">
      <c r="C532" s="587" t="str">
        <f>C531</f>
        <v>CEER2</v>
      </c>
      <c r="E532" s="563" t="s">
        <v>50</v>
      </c>
      <c r="F532" s="592">
        <f>SUM(G532:P532)</f>
        <v>319.65884207588783</v>
      </c>
      <c r="G532" s="593">
        <f>SUMPRODUCT('EE Measures'!CV$8:CV$86,'EE Measures'!$IL$8:$IL$86,'EE Measures'!$N$8:$N$86)</f>
        <v>7.4244076794565608</v>
      </c>
      <c r="H532" s="593">
        <f>SUMPRODUCT('EE Measures'!CW$8:CW$86,'EE Measures'!$IL$8:$IL$86,'EE Measures'!$N$8:$N$86)</f>
        <v>8.0263569354923359</v>
      </c>
      <c r="I532" s="593">
        <f>SUMPRODUCT('EE Measures'!CX$8:CX$86,'EE Measures'!$IL$8:$IL$86,'EE Measures'!$N$8:$N$86)</f>
        <v>8.4023089590150786</v>
      </c>
      <c r="J532" s="593">
        <f>SUMPRODUCT('EE Measures'!CY$8:CY$86,'EE Measures'!$IL$8:$IL$86,'EE Measures'!$N$8:$N$86)</f>
        <v>12.521506006726327</v>
      </c>
      <c r="K532" s="593">
        <f>SUMPRODUCT('EE Measures'!CZ$8:CZ$86,'EE Measures'!$IL$8:$IL$86,'EE Measures'!$N$8:$N$86)</f>
        <v>23.042820172074887</v>
      </c>
      <c r="L532" s="593">
        <f>SUMPRODUCT('EE Measures'!DA$8:DA$86,'EE Measures'!$IL$8:$IL$86,'EE Measures'!$N$8:$N$86)</f>
        <v>32.093031729595609</v>
      </c>
      <c r="M532" s="593">
        <f>SUMPRODUCT('EE Measures'!DB$8:DB$86,'EE Measures'!$IL$8:$IL$86,'EE Measures'!$N$8:$N$86)</f>
        <v>41.304275716187519</v>
      </c>
      <c r="N532" s="593">
        <f>SUMPRODUCT('EE Measures'!DC$8:DC$86,'EE Measures'!$IL$8:$IL$86,'EE Measures'!$N$8:$N$86)</f>
        <v>49.639561780350725</v>
      </c>
      <c r="O532" s="593">
        <f>SUMPRODUCT('EE Measures'!DD$8:DD$86,'EE Measures'!$IL$8:$IL$86,'EE Measures'!$N$8:$N$86)</f>
        <v>61.359772588935144</v>
      </c>
      <c r="P532" s="593">
        <f>SUMPRODUCT('EE Measures'!DE$8:DE$86,'EE Measures'!$IL$8:$IL$86,'EE Measures'!$N$8:$N$86)</f>
        <v>75.844800508053652</v>
      </c>
      <c r="Q532" s="593">
        <f>SUMPRODUCT('EE Measures'!DF$8:DF$86,'EE Measures'!$IL$8:$IL$86,'EE Measures'!$N$8:$N$86)</f>
        <v>91.262454279180488</v>
      </c>
      <c r="R532" s="593">
        <f>SUMPRODUCT('EE Measures'!DG$8:DG$86,'EE Measures'!$IL$8:$IL$86,'EE Measures'!$N$8:$N$86)</f>
        <v>107.63664591419881</v>
      </c>
      <c r="S532" s="593">
        <f>SUMPRODUCT('EE Measures'!DH$8:DH$86,'EE Measures'!$IL$8:$IL$86,'EE Measures'!$N$8:$N$86)</f>
        <v>125.01818838283559</v>
      </c>
      <c r="T532" s="593">
        <f>SUMPRODUCT('EE Measures'!DI$8:DI$86,'EE Measures'!$IL$8:$IL$86,'EE Measures'!$N$8:$N$86)</f>
        <v>143.46035456654354</v>
      </c>
      <c r="U532" s="593">
        <f>SUMPRODUCT('EE Measures'!DJ$8:DJ$86,'EE Measures'!$IL$8:$IL$86,'EE Measures'!$N$8:$N$86)</f>
        <v>163.02134755529872</v>
      </c>
      <c r="W532" s="563" t="str" cm="1">
        <f t="array" ref="W532:W536">_xlfn.ANCHORARRAY($W$357)</f>
        <v xml:space="preserve">Põhja-Eesti </v>
      </c>
      <c r="X532" s="592">
        <f>SUM(Y532:AH532)</f>
        <v>1016.3422776650298</v>
      </c>
      <c r="Y532" s="593">
        <f>SUMPRODUCT('EE Measures'!CV$8:CV$86,'EE Measures'!$IL$8:$IL$86,'EE Measures'!$Y$8:$Y$86)</f>
        <v>9.6584786807962537</v>
      </c>
      <c r="Z532" s="593">
        <f>SUMPRODUCT('EE Measures'!CW$8:CW$86,'EE Measures'!$IL$8:$IL$86,'EE Measures'!$Y$8:$Y$86)</f>
        <v>11.768250476430875</v>
      </c>
      <c r="AA532" s="593">
        <f>SUMPRODUCT('EE Measures'!CX$8:CX$86,'EE Measures'!$IL$8:$IL$86,'EE Measures'!$Y$8:$Y$86)</f>
        <v>13.549531177691808</v>
      </c>
      <c r="AB532" s="593">
        <f>SUMPRODUCT('EE Measures'!CY$8:CY$86,'EE Measures'!$IL$8:$IL$86,'EE Measures'!$Y$8:$Y$86)</f>
        <v>23.51116186026232</v>
      </c>
      <c r="AC532" s="593">
        <f>SUMPRODUCT('EE Measures'!CZ$8:CZ$86,'EE Measures'!$IL$8:$IL$86,'EE Measures'!$Y$8:$Y$86)</f>
        <v>68.023131040972757</v>
      </c>
      <c r="AD532" s="593">
        <f>SUMPRODUCT('EE Measures'!DA$8:DA$86,'EE Measures'!$IL$8:$IL$86,'EE Measures'!$Y$8:$Y$86)</f>
        <v>97.954244981880819</v>
      </c>
      <c r="AE532" s="593">
        <f>SUMPRODUCT('EE Measures'!DB$8:DB$86,'EE Measures'!$IL$8:$IL$86,'EE Measures'!$Y$8:$Y$86)</f>
        <v>147.49036633721926</v>
      </c>
      <c r="AF532" s="593">
        <f>SUMPRODUCT('EE Measures'!DC$8:DC$86,'EE Measures'!$IL$8:$IL$86,'EE Measures'!$Y$8:$Y$86)</f>
        <v>179.32464528246598</v>
      </c>
      <c r="AG532" s="593">
        <f>SUMPRODUCT('EE Measures'!DD$8:DD$86,'EE Measures'!$IL$8:$IL$86,'EE Measures'!$Y$8:$Y$86)</f>
        <v>213.98590103756996</v>
      </c>
      <c r="AH532" s="593">
        <f>SUMPRODUCT('EE Measures'!DE$8:DE$86,'EE Measures'!$IL$8:$IL$86,'EE Measures'!$Y$8:$Y$86)</f>
        <v>251.07656678973962</v>
      </c>
      <c r="AI532" s="593">
        <f>SUMPRODUCT('EE Measures'!DF$8:DF$86,'EE Measures'!$IL$8:$IL$86,'EE Measures'!$Y$8:$Y$86)</f>
        <v>280.92167929763127</v>
      </c>
      <c r="AJ532" s="593">
        <f>SUMPRODUCT('EE Measures'!DG$8:DG$86,'EE Measures'!$IL$8:$IL$86,'EE Measures'!$Y$8:$Y$86)</f>
        <v>312.13285404956622</v>
      </c>
      <c r="AK532" s="593">
        <f>SUMPRODUCT('EE Measures'!DH$8:DH$86,'EE Measures'!$IL$8:$IL$86,'EE Measures'!$Y$8:$Y$86)</f>
        <v>344.76921363801233</v>
      </c>
      <c r="AL532" s="593">
        <f>SUMPRODUCT('EE Measures'!DI$8:DI$86,'EE Measures'!$IL$8:$IL$86,'EE Measures'!$Y$8:$Y$86)</f>
        <v>378.89231283667874</v>
      </c>
      <c r="AM532" s="593">
        <f>SUMPRODUCT('EE Measures'!DJ$8:DJ$86,'EE Measures'!$IL$8:$IL$86,'EE Measures'!$Y$8:$Y$86)</f>
        <v>414.54883085788839</v>
      </c>
    </row>
    <row r="533" spans="3:40" hidden="1" outlineLevel="1" x14ac:dyDescent="0.3">
      <c r="C533" s="587" t="str">
        <f t="shared" ref="C533:C536" si="1954">C532</f>
        <v>CEER2</v>
      </c>
      <c r="E533" s="563" t="s">
        <v>51</v>
      </c>
      <c r="F533" s="592">
        <f t="shared" ref="F533:F536" si="1955">SUM(G533:P533)</f>
        <v>684.72634116538234</v>
      </c>
      <c r="G533" s="593">
        <f>SUMPRODUCT('EE Measures'!CV$8:CV$86,'EE Measures'!$IL$8:$IL$86,'EE Measures'!$O$8:$O$86)</f>
        <v>2.3213067806629124</v>
      </c>
      <c r="H533" s="593">
        <f>SUMPRODUCT('EE Measures'!CW$8:CW$86,'EE Measures'!$IL$8:$IL$86,'EE Measures'!$O$8:$O$86)</f>
        <v>3.3722863854271092</v>
      </c>
      <c r="I533" s="593">
        <f>SUMPRODUCT('EE Measures'!CX$8:CX$86,'EE Measures'!$IL$8:$IL$86,'EE Measures'!$O$8:$O$86)</f>
        <v>4.5398170217852769</v>
      </c>
      <c r="J533" s="593">
        <f>SUMPRODUCT('EE Measures'!CY$8:CY$86,'EE Measures'!$IL$8:$IL$86,'EE Measures'!$O$8:$O$86)</f>
        <v>8.0296990056072808</v>
      </c>
      <c r="K533" s="593">
        <f>SUMPRODUCT('EE Measures'!CZ$8:CZ$86,'EE Measures'!$IL$8:$IL$86,'EE Measures'!$O$8:$O$86)</f>
        <v>38.764166697011007</v>
      </c>
      <c r="L533" s="593">
        <f>SUMPRODUCT('EE Measures'!DA$8:DA$86,'EE Measures'!$IL$8:$IL$86,'EE Measures'!$O$8:$O$86)</f>
        <v>66.117976238306653</v>
      </c>
      <c r="M533" s="593">
        <f>SUMPRODUCT('EE Measures'!DB$8:DB$86,'EE Measures'!$IL$8:$IL$86,'EE Measures'!$O$8:$O$86)</f>
        <v>94.622203489105971</v>
      </c>
      <c r="N533" s="593">
        <f>SUMPRODUCT('EE Measures'!DC$8:DC$86,'EE Measures'!$IL$8:$IL$86,'EE Measures'!$O$8:$O$86)</f>
        <v>124.30439029044075</v>
      </c>
      <c r="O533" s="593">
        <f>SUMPRODUCT('EE Measures'!DD$8:DD$86,'EE Measures'!$IL$8:$IL$86,'EE Measures'!$O$8:$O$86)</f>
        <v>155.22488410898586</v>
      </c>
      <c r="P533" s="593">
        <f>SUMPRODUCT('EE Measures'!DE$8:DE$86,'EE Measures'!$IL$8:$IL$86,'EE Measures'!$O$8:$O$86)</f>
        <v>187.42961114804956</v>
      </c>
      <c r="Q533" s="593">
        <f>SUMPRODUCT('EE Measures'!DF$8:DF$86,'EE Measures'!$IL$8:$IL$86,'EE Measures'!$O$8:$O$86)</f>
        <v>220.90114132279183</v>
      </c>
      <c r="R533" s="593">
        <f>SUMPRODUCT('EE Measures'!DG$8:DG$86,'EE Measures'!$IL$8:$IL$86,'EE Measures'!$O$8:$O$86)</f>
        <v>255.73197150953109</v>
      </c>
      <c r="S533" s="593">
        <f>SUMPRODUCT('EE Measures'!DH$8:DH$86,'EE Measures'!$IL$8:$IL$86,'EE Measures'!$O$8:$O$86)</f>
        <v>291.97160936913616</v>
      </c>
      <c r="T533" s="593">
        <f>SUMPRODUCT('EE Measures'!DI$8:DI$86,'EE Measures'!$IL$8:$IL$86,'EE Measures'!$O$8:$O$86)</f>
        <v>329.67124812192048</v>
      </c>
      <c r="U533" s="593">
        <f>SUMPRODUCT('EE Measures'!DJ$8:DJ$86,'EE Measures'!$IL$8:$IL$86,'EE Measures'!$O$8:$O$86)</f>
        <v>368.78084506290679</v>
      </c>
      <c r="W533" s="563" t="str">
        <v>Lääne-Eesti</v>
      </c>
      <c r="X533" s="592">
        <f t="shared" ref="X533:X536" si="1956">SUM(Y533:AH533)</f>
        <v>279.86739708793215</v>
      </c>
      <c r="Y533" s="593">
        <f>SUMPRODUCT('EE Measures'!CV$8:CV$86,'EE Measures'!$IL$8:$IL$86,'EE Measures'!$Z$8:$Z$86)</f>
        <v>1.6148108405340245</v>
      </c>
      <c r="Z533" s="593">
        <f>SUMPRODUCT('EE Measures'!CW$8:CW$86,'EE Measures'!$IL$8:$IL$86,'EE Measures'!$Z$8:$Z$86)</f>
        <v>2.0770402894891835</v>
      </c>
      <c r="AA533" s="593">
        <f>SUMPRODUCT('EE Measures'!CX$8:CX$86,'EE Measures'!$IL$8:$IL$86,'EE Measures'!$Z$8:$Z$86)</f>
        <v>2.5048193072832996</v>
      </c>
      <c r="AB533" s="593">
        <f>SUMPRODUCT('EE Measures'!CY$8:CY$86,'EE Measures'!$IL$8:$IL$86,'EE Measures'!$Z$8:$Z$86)</f>
        <v>4.7283087907201455</v>
      </c>
      <c r="AC533" s="593">
        <f>SUMPRODUCT('EE Measures'!CZ$8:CZ$86,'EE Measures'!$IL$8:$IL$86,'EE Measures'!$Z$8:$Z$86)</f>
        <v>13.375625041319124</v>
      </c>
      <c r="AD533" s="593">
        <f>SUMPRODUCT('EE Measures'!DA$8:DA$86,'EE Measures'!$IL$8:$IL$86,'EE Measures'!$Z$8:$Z$86)</f>
        <v>20.423208243406066</v>
      </c>
      <c r="AE533" s="593">
        <f>SUMPRODUCT('EE Measures'!DB$8:DB$86,'EE Measures'!$IL$8:$IL$86,'EE Measures'!$Z$8:$Z$86)</f>
        <v>46.222539534880262</v>
      </c>
      <c r="AF533" s="593">
        <f>SUMPRODUCT('EE Measures'!DC$8:DC$86,'EE Measures'!$IL$8:$IL$86,'EE Measures'!$Z$8:$Z$86)</f>
        <v>54.214916937275845</v>
      </c>
      <c r="AG533" s="593">
        <f>SUMPRODUCT('EE Measures'!DD$8:DD$86,'EE Measures'!$IL$8:$IL$86,'EE Measures'!$Z$8:$Z$86)</f>
        <v>62.799311633958489</v>
      </c>
      <c r="AH533" s="593">
        <f>SUMPRODUCT('EE Measures'!DE$8:DE$86,'EE Measures'!$IL$8:$IL$86,'EE Measures'!$Z$8:$Z$86)</f>
        <v>71.906816469065689</v>
      </c>
      <c r="AI533" s="593">
        <f>SUMPRODUCT('EE Measures'!DF$8:DF$86,'EE Measures'!$IL$8:$IL$86,'EE Measures'!$Z$8:$Z$86)</f>
        <v>80.931726340019125</v>
      </c>
      <c r="AJ533" s="593">
        <f>SUMPRODUCT('EE Measures'!DG$8:DG$86,'EE Measures'!$IL$8:$IL$86,'EE Measures'!$Z$8:$Z$86)</f>
        <v>90.358624960974822</v>
      </c>
      <c r="AK533" s="593">
        <f>SUMPRODUCT('EE Measures'!DH$8:DH$86,'EE Measures'!$IL$8:$IL$86,'EE Measures'!$Z$8:$Z$86)</f>
        <v>100.20408546065424</v>
      </c>
      <c r="AL533" s="593">
        <f>SUMPRODUCT('EE Measures'!DI$8:DI$86,'EE Measures'!$IL$8:$IL$86,'EE Measures'!$Z$8:$Z$86)</f>
        <v>110.48532587885659</v>
      </c>
      <c r="AM533" s="593">
        <f>SUMPRODUCT('EE Measures'!DJ$8:DJ$86,'EE Measures'!$IL$8:$IL$86,'EE Measures'!$Z$8:$Z$86)</f>
        <v>121.2252239906155</v>
      </c>
    </row>
    <row r="534" spans="3:40" hidden="1" outlineLevel="1" x14ac:dyDescent="0.3">
      <c r="C534" s="587" t="str">
        <f t="shared" si="1954"/>
        <v>CEER2</v>
      </c>
      <c r="E534" s="563" t="s">
        <v>52</v>
      </c>
      <c r="F534" s="592">
        <f t="shared" si="1955"/>
        <v>264.91684893035779</v>
      </c>
      <c r="G534" s="593">
        <f>SUMPRODUCT('EE Measures'!CV$8:CV$86,'EE Measures'!$IL$8:$IL$86,'EE Measures'!$P$8:$P$86)</f>
        <v>3.588665132266637</v>
      </c>
      <c r="H534" s="593">
        <f>SUMPRODUCT('EE Measures'!CW$8:CW$86,'EE Measures'!$IL$8:$IL$86,'EE Measures'!$P$8:$P$86)</f>
        <v>4.2761796415667082</v>
      </c>
      <c r="I534" s="593">
        <f>SUMPRODUCT('EE Measures'!CX$8:CX$86,'EE Measures'!$IL$8:$IL$86,'EE Measures'!$P$8:$P$86)</f>
        <v>4.668725050176727</v>
      </c>
      <c r="J534" s="593">
        <f>SUMPRODUCT('EE Measures'!CY$8:CY$86,'EE Measures'!$IL$8:$IL$86,'EE Measures'!$P$8:$P$86)</f>
        <v>6.6061575215977566</v>
      </c>
      <c r="K534" s="593">
        <f>SUMPRODUCT('EE Measures'!CZ$8:CZ$86,'EE Measures'!$IL$8:$IL$86,'EE Measures'!$P$8:$P$86)</f>
        <v>16.282848800040469</v>
      </c>
      <c r="L534" s="593">
        <f>SUMPRODUCT('EE Measures'!DA$8:DA$86,'EE Measures'!$IL$8:$IL$86,'EE Measures'!$P$8:$P$86)</f>
        <v>25.551523607618321</v>
      </c>
      <c r="M534" s="593">
        <f>SUMPRODUCT('EE Measures'!DB$8:DB$86,'EE Measures'!$IL$8:$IL$86,'EE Measures'!$P$8:$P$86)</f>
        <v>35.259049831024207</v>
      </c>
      <c r="N534" s="593">
        <f>SUMPRODUCT('EE Measures'!DC$8:DC$86,'EE Measures'!$IL$8:$IL$86,'EE Measures'!$P$8:$P$86)</f>
        <v>45.423356572634475</v>
      </c>
      <c r="O534" s="593">
        <f>SUMPRODUCT('EE Measures'!DD$8:DD$86,'EE Measures'!$IL$8:$IL$86,'EE Measures'!$P$8:$P$86)</f>
        <v>56.063022645388735</v>
      </c>
      <c r="P534" s="593">
        <f>SUMPRODUCT('EE Measures'!DE$8:DE$86,'EE Measures'!$IL$8:$IL$86,'EE Measures'!$P$8:$P$86)</f>
        <v>67.197320128043756</v>
      </c>
      <c r="Q534" s="593">
        <f>SUMPRODUCT('EE Measures'!DF$8:DF$86,'EE Measures'!$IL$8:$IL$86,'EE Measures'!$P$8:$P$86)</f>
        <v>78.870846953683412</v>
      </c>
      <c r="R534" s="593">
        <f>SUMPRODUCT('EE Measures'!DG$8:DG$86,'EE Measures'!$IL$8:$IL$86,'EE Measures'!$P$8:$P$86)</f>
        <v>91.088002310779572</v>
      </c>
      <c r="S534" s="593">
        <f>SUMPRODUCT('EE Measures'!DH$8:DH$86,'EE Measures'!$IL$8:$IL$86,'EE Measures'!$P$8:$P$86)</f>
        <v>103.87081829274345</v>
      </c>
      <c r="T534" s="593">
        <f>SUMPRODUCT('EE Measures'!DI$8:DI$86,'EE Measures'!$IL$8:$IL$86,'EE Measures'!$P$8:$P$86)</f>
        <v>117.24214999719116</v>
      </c>
      <c r="U534" s="593">
        <f>SUMPRODUCT('EE Measures'!DJ$8:DJ$86,'EE Measures'!$IL$8:$IL$86,'EE Measures'!$P$8:$P$86)</f>
        <v>131.30311624353135</v>
      </c>
      <c r="W534" s="563" t="str">
        <v>Kirde-Eesti</v>
      </c>
      <c r="X534" s="592">
        <f t="shared" si="1956"/>
        <v>171.97045334729896</v>
      </c>
      <c r="Y534" s="593">
        <f>SUMPRODUCT('EE Measures'!CV$8:CV$86,'EE Measures'!$IL$8:$IL$86,'EE Measures'!$AA$8:$AA$86)</f>
        <v>1.8049735385258474</v>
      </c>
      <c r="Z534" s="593">
        <f>SUMPRODUCT('EE Measures'!CW$8:CW$86,'EE Measures'!$IL$8:$IL$86,'EE Measures'!$AA$8:$AA$86)</f>
        <v>2.2418386589015347</v>
      </c>
      <c r="AA534" s="593">
        <f>SUMPRODUCT('EE Measures'!CX$8:CX$86,'EE Measures'!$IL$8:$IL$86,'EE Measures'!$AA$8:$AA$86)</f>
        <v>2.6072064580909307</v>
      </c>
      <c r="AB534" s="593">
        <f>SUMPRODUCT('EE Measures'!CY$8:CY$86,'EE Measures'!$IL$8:$IL$86,'EE Measures'!$AA$8:$AA$86)</f>
        <v>4.6299545183166524</v>
      </c>
      <c r="AC534" s="593">
        <f>SUMPRODUCT('EE Measures'!CZ$8:CZ$86,'EE Measures'!$IL$8:$IL$86,'EE Measures'!$AA$8:$AA$86)</f>
        <v>11.449810949358131</v>
      </c>
      <c r="AD534" s="593">
        <f>SUMPRODUCT('EE Measures'!DA$8:DA$86,'EE Measures'!$IL$8:$IL$86,'EE Measures'!$AA$8:$AA$86)</f>
        <v>17.22318861745951</v>
      </c>
      <c r="AE534" s="593">
        <f>SUMPRODUCT('EE Measures'!DB$8:DB$86,'EE Measures'!$IL$8:$IL$86,'EE Measures'!$AA$8:$AA$86)</f>
        <v>23.280960894682078</v>
      </c>
      <c r="AF534" s="593">
        <f>SUMPRODUCT('EE Measures'!DC$8:DC$86,'EE Measures'!$IL$8:$IL$86,'EE Measures'!$AA$8:$AA$86)</f>
        <v>29.353625808445798</v>
      </c>
      <c r="AG534" s="593">
        <f>SUMPRODUCT('EE Measures'!DD$8:DD$86,'EE Measures'!$IL$8:$IL$86,'EE Measures'!$AA$8:$AA$86)</f>
        <v>36.063915228788545</v>
      </c>
      <c r="AH534" s="593">
        <f>SUMPRODUCT('EE Measures'!DE$8:DE$86,'EE Measures'!$IL$8:$IL$86,'EE Measures'!$AA$8:$AA$86)</f>
        <v>43.314978674729929</v>
      </c>
      <c r="AI534" s="593">
        <f>SUMPRODUCT('EE Measures'!DF$8:DF$86,'EE Measures'!$IL$8:$IL$86,'EE Measures'!$AA$8:$AA$86)</f>
        <v>50.687052123865811</v>
      </c>
      <c r="AJ534" s="593">
        <f>SUMPRODUCT('EE Measures'!DG$8:DG$86,'EE Measures'!$IL$8:$IL$86,'EE Measures'!$AA$8:$AA$86)</f>
        <v>58.399846752328429</v>
      </c>
      <c r="AK534" s="593">
        <f>SUMPRODUCT('EE Measures'!DH$8:DH$86,'EE Measures'!$IL$8:$IL$86,'EE Measures'!$AA$8:$AA$86)</f>
        <v>66.46800845204335</v>
      </c>
      <c r="AL534" s="593">
        <f>SUMPRODUCT('EE Measures'!DI$8:DI$86,'EE Measures'!$IL$8:$IL$86,'EE Measures'!$AA$8:$AA$86)</f>
        <v>74.90678141937812</v>
      </c>
      <c r="AM534" s="593">
        <f>SUMPRODUCT('EE Measures'!DJ$8:DJ$86,'EE Measures'!$IL$8:$IL$86,'EE Measures'!$AA$8:$AA$86)</f>
        <v>83.723046428216577</v>
      </c>
    </row>
    <row r="535" spans="3:40" hidden="1" outlineLevel="1" x14ac:dyDescent="0.3">
      <c r="C535" s="587" t="str">
        <f t="shared" si="1954"/>
        <v>CEER2</v>
      </c>
      <c r="E535" s="563" t="s">
        <v>53</v>
      </c>
      <c r="F535" s="592">
        <f t="shared" si="1955"/>
        <v>774.9714916774243</v>
      </c>
      <c r="G535" s="593">
        <f>SUMPRODUCT('EE Measures'!CV$8:CV$86,'EE Measures'!$IL$8:$IL$86,'EE Measures'!$Q$8:$Q$86)</f>
        <v>5.1362285227130435</v>
      </c>
      <c r="H535" s="593">
        <f>SUMPRODUCT('EE Measures'!CW$8:CW$86,'EE Measures'!$IL$8:$IL$86,'EE Measures'!$Q$8:$Q$86)</f>
        <v>7.2537839630269181</v>
      </c>
      <c r="I535" s="593">
        <f>SUMPRODUCT('EE Measures'!CX$8:CX$86,'EE Measures'!$IL$8:$IL$86,'EE Measures'!$Q$8:$Q$86)</f>
        <v>9.2164432329725834</v>
      </c>
      <c r="J535" s="593">
        <f>SUMPRODUCT('EE Measures'!CY$8:CY$86,'EE Measures'!$IL$8:$IL$86,'EE Measures'!$Q$8:$Q$86)</f>
        <v>20.136714412237495</v>
      </c>
      <c r="K535" s="593">
        <f>SUMPRODUCT('EE Measures'!CZ$8:CZ$86,'EE Measures'!$IL$8:$IL$86,'EE Measures'!$Q$8:$Q$86)</f>
        <v>53.325225004046594</v>
      </c>
      <c r="L535" s="593">
        <f>SUMPRODUCT('EE Measures'!DA$8:DA$86,'EE Measures'!$IL$8:$IL$86,'EE Measures'!$Q$8:$Q$86)</f>
        <v>70.054078296659128</v>
      </c>
      <c r="M535" s="593">
        <f>SUMPRODUCT('EE Measures'!DB$8:DB$86,'EE Measures'!$IL$8:$IL$86,'EE Measures'!$Q$8:$Q$86)</f>
        <v>124.36872565377179</v>
      </c>
      <c r="N535" s="593">
        <f>SUMPRODUCT('EE Measures'!DC$8:DC$86,'EE Measures'!$IL$8:$IL$86,'EE Measures'!$Q$8:$Q$86)</f>
        <v>142.68073325189519</v>
      </c>
      <c r="O535" s="593">
        <f>SUMPRODUCT('EE Measures'!DD$8:DD$86,'EE Measures'!$IL$8:$IL$86,'EE Measures'!$Q$8:$Q$86)</f>
        <v>161.67821489819619</v>
      </c>
      <c r="P535" s="593">
        <f>SUMPRODUCT('EE Measures'!DE$8:DE$86,'EE Measures'!$IL$8:$IL$86,'EE Measures'!$Q$8:$Q$86)</f>
        <v>181.12134444190539</v>
      </c>
      <c r="Q535" s="593">
        <f>SUMPRODUCT('EE Measures'!DF$8:DF$86,'EE Measures'!$IL$8:$IL$86,'EE Measures'!$Q$8:$Q$86)</f>
        <v>191.00920969836326</v>
      </c>
      <c r="R535" s="593">
        <f>SUMPRODUCT('EE Measures'!DG$8:DG$86,'EE Measures'!$IL$8:$IL$86,'EE Measures'!$Q$8:$Q$86)</f>
        <v>201.24489710205702</v>
      </c>
      <c r="S535" s="593">
        <f>SUMPRODUCT('EE Measures'!DH$8:DH$86,'EE Measures'!$IL$8:$IL$86,'EE Measures'!$Q$8:$Q$86)</f>
        <v>211.84253739286009</v>
      </c>
      <c r="T535" s="593">
        <f>SUMPRODUCT('EE Measures'!DI$8:DI$86,'EE Measures'!$IL$8:$IL$86,'EE Measures'!$Q$8:$Q$86)</f>
        <v>222.81679680138294</v>
      </c>
      <c r="U535" s="593">
        <f>SUMPRODUCT('EE Measures'!DJ$8:DJ$86,'EE Measures'!$IL$8:$IL$86,'EE Measures'!$Q$8:$Q$86)</f>
        <v>234.18289649009967</v>
      </c>
      <c r="W535" s="563" t="str">
        <v>Lõuna-Eesti </v>
      </c>
      <c r="X535" s="592">
        <f t="shared" si="1956"/>
        <v>418.72142903702888</v>
      </c>
      <c r="Y535" s="593">
        <f>SUMPRODUCT('EE Measures'!CV$8:CV$86,'EE Measures'!$IL$8:$IL$86,'EE Measures'!$AB$8:$AB$86)</f>
        <v>3.9661351053840512</v>
      </c>
      <c r="Z535" s="593">
        <f>SUMPRODUCT('EE Measures'!CW$8:CW$86,'EE Measures'!$IL$8:$IL$86,'EE Measures'!$AB$8:$AB$86)</f>
        <v>5.0032053694946672</v>
      </c>
      <c r="AA535" s="593">
        <f>SUMPRODUCT('EE Measures'!CX$8:CX$86,'EE Measures'!$IL$8:$IL$86,'EE Measures'!$AB$8:$AB$86)</f>
        <v>5.9510196896395851</v>
      </c>
      <c r="AB535" s="593">
        <f>SUMPRODUCT('EE Measures'!CY$8:CY$86,'EE Measures'!$IL$8:$IL$86,'EE Measures'!$AB$8:$AB$86)</f>
        <v>10.960558173108916</v>
      </c>
      <c r="AC535" s="593">
        <f>SUMPRODUCT('EE Measures'!CZ$8:CZ$86,'EE Measures'!$IL$8:$IL$86,'EE Measures'!$AB$8:$AB$86)</f>
        <v>28.342216020790968</v>
      </c>
      <c r="AD535" s="593">
        <f>SUMPRODUCT('EE Measures'!DA$8:DA$86,'EE Measures'!$IL$8:$IL$86,'EE Measures'!$AB$8:$AB$86)</f>
        <v>42.170243522994696</v>
      </c>
      <c r="AE535" s="593">
        <f>SUMPRODUCT('EE Measures'!DB$8:DB$86,'EE Measures'!$IL$8:$IL$86,'EE Measures'!$AB$8:$AB$86)</f>
        <v>56.947522406740404</v>
      </c>
      <c r="AF535" s="593">
        <f>SUMPRODUCT('EE Measures'!DC$8:DC$86,'EE Measures'!$IL$8:$IL$86,'EE Measures'!$AB$8:$AB$86)</f>
        <v>71.914634314496922</v>
      </c>
      <c r="AG535" s="593">
        <f>SUMPRODUCT('EE Measures'!DD$8:DD$86,'EE Measures'!$IL$8:$IL$86,'EE Measures'!$AB$8:$AB$86)</f>
        <v>88.106100148871931</v>
      </c>
      <c r="AH535" s="593">
        <f>SUMPRODUCT('EE Measures'!DE$8:DE$86,'EE Measures'!$IL$8:$IL$86,'EE Measures'!$AB$8:$AB$86)</f>
        <v>105.35979428550672</v>
      </c>
      <c r="AI535" s="593">
        <f>SUMPRODUCT('EE Measures'!DF$8:DF$86,'EE Measures'!$IL$8:$IL$86,'EE Measures'!$AB$8:$AB$86)</f>
        <v>122.17523163591999</v>
      </c>
      <c r="AJ535" s="593">
        <f>SUMPRODUCT('EE Measures'!DG$8:DG$86,'EE Measures'!$IL$8:$IL$86,'EE Measures'!$AB$8:$AB$86)</f>
        <v>139.75195072287013</v>
      </c>
      <c r="AK535" s="593">
        <f>SUMPRODUCT('EE Measures'!DH$8:DH$86,'EE Measures'!$IL$8:$IL$86,'EE Measures'!$AB$8:$AB$86)</f>
        <v>158.12191548356321</v>
      </c>
      <c r="AL535" s="593">
        <f>SUMPRODUCT('EE Measures'!DI$8:DI$86,'EE Measures'!$IL$8:$IL$86,'EE Measures'!$AB$8:$AB$86)</f>
        <v>177.31835681535489</v>
      </c>
      <c r="AM535" s="593">
        <f>SUMPRODUCT('EE Measures'!DJ$8:DJ$86,'EE Measures'!$IL$8:$IL$86,'EE Measures'!$AB$8:$AB$86)</f>
        <v>197.37373014865386</v>
      </c>
    </row>
    <row r="536" spans="3:40" hidden="1" outlineLevel="1" x14ac:dyDescent="0.3">
      <c r="C536" s="587" t="str">
        <f t="shared" si="1954"/>
        <v>CEER2</v>
      </c>
      <c r="E536" s="563" t="s">
        <v>54</v>
      </c>
      <c r="F536" s="592">
        <f t="shared" si="1955"/>
        <v>18.80478401318901</v>
      </c>
      <c r="G536" s="593">
        <f>SUMPRODUCT('EE Measures'!CV$8:CV$86,'EE Measures'!$IL$8:$IL$86,'EE Measures'!$R$8:$R$86)</f>
        <v>0.18208485390352028</v>
      </c>
      <c r="H536" s="593">
        <f>SUMPRODUCT('EE Measures'!CW$8:CW$86,'EE Measures'!$IL$8:$IL$86,'EE Measures'!$R$8:$R$86)</f>
        <v>0.19195400951911232</v>
      </c>
      <c r="I536" s="593">
        <f>SUMPRODUCT('EE Measures'!CX$8:CX$86,'EE Measures'!$IL$8:$IL$86,'EE Measures'!$R$8:$R$86)</f>
        <v>0.2025058149447912</v>
      </c>
      <c r="J536" s="593">
        <f>SUMPRODUCT('EE Measures'!CY$8:CY$86,'EE Measures'!$IL$8:$IL$86,'EE Measures'!$R$8:$R$86)</f>
        <v>1.03905504632185</v>
      </c>
      <c r="K536" s="593">
        <f>SUMPRODUCT('EE Measures'!CZ$8:CZ$86,'EE Measures'!$IL$8:$IL$86,'EE Measures'!$R$8:$R$86)</f>
        <v>1.520627817447834</v>
      </c>
      <c r="L536" s="593">
        <f>SUMPRODUCT('EE Measures'!DA$8:DA$86,'EE Measures'!$IL$8:$IL$86,'EE Measures'!$R$8:$R$86)</f>
        <v>1.5577840093675031</v>
      </c>
      <c r="M536" s="593">
        <f>SUMPRODUCT('EE Measures'!DB$8:DB$86,'EE Measures'!$IL$8:$IL$86,'EE Measures'!$R$8:$R$86)</f>
        <v>2.3157838813449829</v>
      </c>
      <c r="N536" s="593">
        <f>SUMPRODUCT('EE Measures'!DC$8:DC$86,'EE Measures'!$IL$8:$IL$86,'EE Measures'!$R$8:$R$86)</f>
        <v>3.1030888591578587</v>
      </c>
      <c r="O536" s="593">
        <f>SUMPRODUCT('EE Measures'!DD$8:DD$86,'EE Measures'!$IL$8:$IL$86,'EE Measures'!$R$8:$R$86)</f>
        <v>3.9210058304108588</v>
      </c>
      <c r="P536" s="593">
        <f>SUMPRODUCT('EE Measures'!DE$8:DE$86,'EE Measures'!$IL$8:$IL$86,'EE Measures'!$R$8:$R$86)</f>
        <v>4.770893890770699</v>
      </c>
      <c r="Q536" s="593">
        <f>SUMPRODUCT('EE Measures'!DF$8:DF$86,'EE Measures'!$IL$8:$IL$86,'EE Measures'!$R$8:$R$86)</f>
        <v>4.8760304788816544</v>
      </c>
      <c r="R536" s="593">
        <f>SUMPRODUCT('EE Measures'!DG$8:DG$86,'EE Measures'!$IL$8:$IL$86,'EE Measures'!$R$8:$R$86)</f>
        <v>4.9845251395516055</v>
      </c>
      <c r="S536" s="593">
        <f>SUMPRODUCT('EE Measures'!DH$8:DH$86,'EE Measures'!$IL$8:$IL$86,'EE Measures'!$R$8:$R$86)</f>
        <v>5.0964887261932503</v>
      </c>
      <c r="T536" s="593">
        <f>SUMPRODUCT('EE Measures'!DI$8:DI$86,'EE Measures'!$IL$8:$IL$86,'EE Measures'!$R$8:$R$86)</f>
        <v>5.2120359004963062</v>
      </c>
      <c r="U536" s="593">
        <f>SUMPRODUCT('EE Measures'!DJ$8:DJ$86,'EE Measures'!$IL$8:$IL$86,'EE Measures'!$R$8:$R$86)</f>
        <v>5.3312852679391867</v>
      </c>
      <c r="W536" s="563" t="str">
        <v>Kesk-Eesti</v>
      </c>
      <c r="X536" s="592">
        <f t="shared" si="1956"/>
        <v>175.25047872775323</v>
      </c>
      <c r="Y536" s="593">
        <f>SUMPRODUCT('EE Measures'!CV$8:CV$86,'EE Measures'!$IL$8:$IL$86,'EE Measures'!$AC$8:$AC$86)</f>
        <v>1.6082948037624984</v>
      </c>
      <c r="Z536" s="593">
        <f>SUMPRODUCT('EE Measures'!CW$8:CW$86,'EE Measures'!$IL$8:$IL$86,'EE Measures'!$AC$8:$AC$86)</f>
        <v>2.0302261407159259</v>
      </c>
      <c r="AA536" s="593">
        <f>SUMPRODUCT('EE Measures'!CX$8:CX$86,'EE Measures'!$IL$8:$IL$86,'EE Measures'!$AC$8:$AC$86)</f>
        <v>2.417223446188836</v>
      </c>
      <c r="AB536" s="593">
        <f>SUMPRODUCT('EE Measures'!CY$8:CY$86,'EE Measures'!$IL$8:$IL$86,'EE Measures'!$AC$8:$AC$86)</f>
        <v>4.5031486500826778</v>
      </c>
      <c r="AC536" s="593">
        <f>SUMPRODUCT('EE Measures'!CZ$8:CZ$86,'EE Measures'!$IL$8:$IL$86,'EE Measures'!$AC$8:$AC$86)</f>
        <v>11.703273745159709</v>
      </c>
      <c r="AD536" s="593">
        <f>SUMPRODUCT('EE Measures'!DA$8:DA$86,'EE Measures'!$IL$8:$IL$86,'EE Measures'!$AC$8:$AC$86)</f>
        <v>17.518834703846743</v>
      </c>
      <c r="AE536" s="593">
        <f>SUMPRODUCT('EE Measures'!DB$8:DB$86,'EE Measures'!$IL$8:$IL$86,'EE Measures'!$AC$8:$AC$86)</f>
        <v>23.799448751317069</v>
      </c>
      <c r="AF536" s="593">
        <f>SUMPRODUCT('EE Measures'!DC$8:DC$86,'EE Measures'!$IL$8:$IL$86,'EE Measures'!$AC$8:$AC$86)</f>
        <v>30.16801998498816</v>
      </c>
      <c r="AG536" s="593">
        <f>SUMPRODUCT('EE Measures'!DD$8:DD$86,'EE Measures'!$IL$8:$IL$86,'EE Measures'!$AC$8:$AC$86)</f>
        <v>37.068656607242083</v>
      </c>
      <c r="AH536" s="593">
        <f>SUMPRODUCT('EE Measures'!DE$8:DE$86,'EE Measures'!$IL$8:$IL$86,'EE Measures'!$AC$8:$AC$86)</f>
        <v>44.433351894449515</v>
      </c>
      <c r="AI536" s="593">
        <f>SUMPRODUCT('EE Measures'!DF$8:DF$86,'EE Measures'!$IL$8:$IL$86,'EE Measures'!$AC$8:$AC$86)</f>
        <v>51.880174584197192</v>
      </c>
      <c r="AJ536" s="593">
        <f>SUMPRODUCT('EE Measures'!DG$8:DG$86,'EE Measures'!$IL$8:$IL$86,'EE Measures'!$AC$8:$AC$86)</f>
        <v>59.665687138680184</v>
      </c>
      <c r="AK536" s="593">
        <f>SUMPRODUCT('EE Measures'!DH$8:DH$86,'EE Measures'!$IL$8:$IL$86,'EE Measures'!$AC$8:$AC$86)</f>
        <v>67.804094990126032</v>
      </c>
      <c r="AL536" s="593">
        <f>SUMPRODUCT('EE Measures'!DI$8:DI$86,'EE Measures'!$IL$8:$IL$86,'EE Measures'!$AC$8:$AC$86)</f>
        <v>76.310165700721953</v>
      </c>
      <c r="AM536" s="593">
        <f>SUMPRODUCT('EE Measures'!DJ$8:DJ$86,'EE Measures'!$IL$8:$IL$86,'EE Measures'!$AC$8:$AC$86)</f>
        <v>85.199535019148797</v>
      </c>
    </row>
    <row r="537" spans="3:40" hidden="1" outlineLevel="1" x14ac:dyDescent="0.3"/>
    <row r="538" spans="3:40" ht="15" hidden="1" outlineLevel="1" x14ac:dyDescent="0.3">
      <c r="C538" s="5" t="s">
        <v>430</v>
      </c>
      <c r="D538" s="5"/>
      <c r="E538" s="5"/>
      <c r="F538" s="5"/>
      <c r="G538" s="5"/>
      <c r="H538" s="5"/>
      <c r="I538" s="5"/>
      <c r="J538" s="5"/>
      <c r="K538" s="5"/>
      <c r="L538" s="5"/>
      <c r="M538" s="5"/>
      <c r="N538" s="5"/>
      <c r="O538" s="5"/>
      <c r="P538" s="5"/>
      <c r="Q538" s="5"/>
      <c r="R538" s="5"/>
      <c r="S538" s="5"/>
      <c r="T538" s="5"/>
      <c r="U538" s="5"/>
      <c r="W538" s="5" t="str">
        <f>C538&amp;" per region"</f>
        <v>Public cost savings (MEUR) (incl. tax) per region</v>
      </c>
      <c r="X538" s="5"/>
      <c r="Y538" s="5"/>
      <c r="Z538" s="5"/>
      <c r="AA538" s="5"/>
      <c r="AB538" s="5"/>
      <c r="AC538" s="5"/>
      <c r="AD538" s="5"/>
      <c r="AE538" s="5"/>
      <c r="AF538" s="5"/>
      <c r="AG538" s="5"/>
      <c r="AH538" s="5"/>
      <c r="AI538" s="5"/>
      <c r="AJ538" s="5"/>
      <c r="AK538" s="5"/>
      <c r="AL538" s="5"/>
      <c r="AM538" s="5"/>
      <c r="AN538" s="5"/>
    </row>
    <row r="539" spans="3:40" hidden="1" outlineLevel="1" x14ac:dyDescent="0.3">
      <c r="W539" s="587"/>
      <c r="AA539" s="587"/>
      <c r="AD539" s="587"/>
      <c r="AG539" s="587"/>
    </row>
    <row r="540" spans="3:40" ht="27" hidden="1" outlineLevel="1" x14ac:dyDescent="0.3">
      <c r="E540" s="625"/>
      <c r="F540" s="625" t="s">
        <v>386</v>
      </c>
      <c r="G540" s="625">
        <v>2021</v>
      </c>
      <c r="H540" s="625">
        <v>2022</v>
      </c>
      <c r="I540" s="625">
        <v>2023</v>
      </c>
      <c r="J540" s="625">
        <v>2024</v>
      </c>
      <c r="K540" s="625">
        <v>2025</v>
      </c>
      <c r="L540" s="625">
        <v>2026</v>
      </c>
      <c r="M540" s="625">
        <v>2027</v>
      </c>
      <c r="N540" s="625">
        <v>2028</v>
      </c>
      <c r="O540" s="625">
        <v>2029</v>
      </c>
      <c r="P540" s="625">
        <v>2030</v>
      </c>
      <c r="Q540" s="625">
        <v>2031</v>
      </c>
      <c r="R540" s="625">
        <v>2032</v>
      </c>
      <c r="S540" s="625">
        <v>2033</v>
      </c>
      <c r="T540" s="625">
        <v>2034</v>
      </c>
      <c r="U540" s="625">
        <v>2035</v>
      </c>
      <c r="W540" s="625"/>
      <c r="X540" s="625" t="s">
        <v>386</v>
      </c>
      <c r="Y540" s="625">
        <v>2021</v>
      </c>
      <c r="Z540" s="625">
        <v>2022</v>
      </c>
      <c r="AA540" s="625">
        <v>2023</v>
      </c>
      <c r="AB540" s="625">
        <v>2024</v>
      </c>
      <c r="AC540" s="625">
        <v>2025</v>
      </c>
      <c r="AD540" s="625">
        <v>2026</v>
      </c>
      <c r="AE540" s="625">
        <v>2027</v>
      </c>
      <c r="AF540" s="625">
        <v>2028</v>
      </c>
      <c r="AG540" s="625">
        <v>2029</v>
      </c>
      <c r="AH540" s="625">
        <v>2030</v>
      </c>
      <c r="AI540" s="625">
        <v>2031</v>
      </c>
      <c r="AJ540" s="625">
        <v>2032</v>
      </c>
      <c r="AK540" s="625">
        <v>2033</v>
      </c>
      <c r="AL540" s="625">
        <v>2034</v>
      </c>
      <c r="AM540" s="625">
        <v>2035</v>
      </c>
    </row>
    <row r="541" spans="3:40" hidden="1" outlineLevel="1" x14ac:dyDescent="0.3">
      <c r="C541" s="587" t="str">
        <f>E541</f>
        <v>Baseline</v>
      </c>
      <c r="E541" s="555" t="str">
        <f>'EE Measures'!$IF$6</f>
        <v>Baseline</v>
      </c>
      <c r="F541" s="590">
        <f>SUM(G541:P541)</f>
        <v>42.364002126832816</v>
      </c>
      <c r="G541" s="591">
        <f>SUM(G542:G546)</f>
        <v>1.8486097525949754</v>
      </c>
      <c r="H541" s="591">
        <f>SUM(H542:H546)</f>
        <v>2.3930381767016553</v>
      </c>
      <c r="I541" s="591">
        <f t="shared" ref="I541" si="1957">SUM(I542:I546)</f>
        <v>2.6355143102545675</v>
      </c>
      <c r="J541" s="591">
        <f t="shared" ref="J541" si="1958">SUM(J542:J546)</f>
        <v>3.7998739852449734</v>
      </c>
      <c r="K541" s="591">
        <f t="shared" ref="K541" si="1959">SUM(K542:K546)</f>
        <v>4.5697897681210522</v>
      </c>
      <c r="L541" s="591">
        <f t="shared" ref="L541" si="1960">SUM(L542:L546)</f>
        <v>4.8401033216511538</v>
      </c>
      <c r="M541" s="591">
        <f t="shared" ref="M541" si="1961">SUM(M542:M546)</f>
        <v>5.1207425747587596</v>
      </c>
      <c r="N541" s="591">
        <f t="shared" ref="N541" si="1962">SUM(N542:N546)</f>
        <v>5.4121800372357205</v>
      </c>
      <c r="O541" s="591">
        <f t="shared" ref="O541" si="1963">SUM(O542:O546)</f>
        <v>5.7148687814054959</v>
      </c>
      <c r="P541" s="591">
        <f t="shared" ref="P541:U541" si="1964">SUM(P542:P546)</f>
        <v>6.0292814188644597</v>
      </c>
      <c r="Q541" s="591">
        <f t="shared" si="1964"/>
        <v>6.3561957445472839</v>
      </c>
      <c r="R541" s="591">
        <f t="shared" si="1964"/>
        <v>6.695851117228095</v>
      </c>
      <c r="S541" s="591">
        <f t="shared" si="1964"/>
        <v>7.0487866785809805</v>
      </c>
      <c r="T541" s="591">
        <f t="shared" si="1964"/>
        <v>7.4155646788661187</v>
      </c>
      <c r="U541" s="591">
        <f t="shared" si="1964"/>
        <v>7.7967714501056253</v>
      </c>
      <c r="W541" s="555" t="str">
        <f>'EE Measures'!$IF$6</f>
        <v>Baseline</v>
      </c>
      <c r="X541" s="590">
        <f>SUM(Y541:AH541)</f>
        <v>42.364002126832816</v>
      </c>
      <c r="Y541" s="591">
        <f t="shared" ref="Y541:Z541" si="1965">SUM(Y542:Y546)</f>
        <v>1.8486097525949754</v>
      </c>
      <c r="Z541" s="591">
        <f t="shared" si="1965"/>
        <v>2.3930381767016562</v>
      </c>
      <c r="AA541" s="591">
        <f t="shared" ref="AA541" si="1966">SUM(AA542:AA546)</f>
        <v>2.6355143102545684</v>
      </c>
      <c r="AB541" s="591">
        <f t="shared" ref="AB541" si="1967">SUM(AB542:AB546)</f>
        <v>3.7998739852449743</v>
      </c>
      <c r="AC541" s="591">
        <f t="shared" ref="AC541" si="1968">SUM(AC542:AC546)</f>
        <v>4.5697897681210522</v>
      </c>
      <c r="AD541" s="591">
        <f t="shared" ref="AD541" si="1969">SUM(AD542:AD546)</f>
        <v>4.8401033216511546</v>
      </c>
      <c r="AE541" s="591">
        <f t="shared" ref="AE541" si="1970">SUM(AE542:AE546)</f>
        <v>5.1207425747587605</v>
      </c>
      <c r="AF541" s="591">
        <f t="shared" ref="AF541" si="1971">SUM(AF542:AF546)</f>
        <v>5.4121800372357196</v>
      </c>
      <c r="AG541" s="591">
        <f t="shared" ref="AG541" si="1972">SUM(AG542:AG546)</f>
        <v>5.7148687814054968</v>
      </c>
      <c r="AH541" s="591">
        <f t="shared" ref="AH541:AM541" si="1973">SUM(AH542:AH546)</f>
        <v>6.0292814188644597</v>
      </c>
      <c r="AI541" s="591">
        <f t="shared" si="1973"/>
        <v>6.3561957445472839</v>
      </c>
      <c r="AJ541" s="591">
        <f t="shared" si="1973"/>
        <v>6.695851117228095</v>
      </c>
      <c r="AK541" s="591">
        <f t="shared" si="1973"/>
        <v>7.0487866785809805</v>
      </c>
      <c r="AL541" s="591">
        <f t="shared" si="1973"/>
        <v>7.4155646788661196</v>
      </c>
      <c r="AM541" s="591">
        <f t="shared" si="1973"/>
        <v>7.7967714501056253</v>
      </c>
    </row>
    <row r="542" spans="3:40" hidden="1" outlineLevel="1" x14ac:dyDescent="0.3">
      <c r="C542" s="587" t="str">
        <f>C541</f>
        <v>Baseline</v>
      </c>
      <c r="E542" s="563" t="s">
        <v>50</v>
      </c>
      <c r="F542" s="592">
        <f>SUM(G542:P542)</f>
        <v>6.792623744700041</v>
      </c>
      <c r="G542" s="593">
        <f>SUMPRODUCT('EE Measures'!CV$8:CV$86,'EE Measures'!$IF$8:$IF$86,'EE Measures'!$N$8:$N$86,'EE Measures'!$DZ$8:$DZ$86)</f>
        <v>0.40967694623700107</v>
      </c>
      <c r="H542" s="593">
        <f>SUMPRODUCT('EE Measures'!CW$8:CW$86,'EE Measures'!$IF$8:$IF$86,'EE Measures'!$N$8:$N$86,'EE Measures'!$DZ$8:$DZ$86)</f>
        <v>0.43054253953932725</v>
      </c>
      <c r="I542" s="593">
        <f>SUMPRODUCT('EE Measures'!CX$8:CX$86,'EE Measures'!$IF$8:$IF$86,'EE Measures'!$N$8:$N$86,'EE Measures'!$DZ$8:$DZ$86)</f>
        <v>0.45288286252201115</v>
      </c>
      <c r="J542" s="593">
        <f>SUMPRODUCT('EE Measures'!CY$8:CY$86,'EE Measures'!$IF$8:$IF$86,'EE Measures'!$N$8:$N$86,'EE Measures'!$DZ$8:$DZ$86)</f>
        <v>0.62848296757934097</v>
      </c>
      <c r="K542" s="593">
        <f>SUMPRODUCT('EE Measures'!CZ$8:CZ$86,'EE Measures'!$IF$8:$IF$86,'EE Measures'!$N$8:$N$86,'EE Measures'!$DZ$8:$DZ$86)</f>
        <v>0.7340664666434813</v>
      </c>
      <c r="L542" s="593">
        <f>SUMPRODUCT('EE Measures'!DA$8:DA$86,'EE Measures'!$IF$8:$IF$86,'EE Measures'!$N$8:$N$86,'EE Measures'!$DZ$8:$DZ$86)</f>
        <v>0.76359932865803171</v>
      </c>
      <c r="M542" s="593">
        <f>SUMPRODUCT('EE Measures'!DB$8:DB$86,'EE Measures'!$IF$8:$IF$86,'EE Measures'!$N$8:$N$86,'EE Measures'!$DZ$8:$DZ$86)</f>
        <v>0.79427088107754495</v>
      </c>
      <c r="N542" s="593">
        <f>SUMPRODUCT('EE Measures'!DC$8:DC$86,'EE Measures'!$IF$8:$IF$86,'EE Measures'!$N$8:$N$86,'EE Measures'!$DZ$8:$DZ$86)</f>
        <v>0.82614392133853309</v>
      </c>
      <c r="O542" s="593">
        <f>SUMPRODUCT('EE Measures'!DD$8:DD$86,'EE Measures'!$IF$8:$IF$86,'EE Measures'!$N$8:$N$86,'EE Measures'!$DZ$8:$DZ$86)</f>
        <v>0.85926701345848122</v>
      </c>
      <c r="P542" s="593">
        <f>SUMPRODUCT('EE Measures'!DE$8:DE$86,'EE Measures'!$IF$8:$IF$86,'EE Measures'!$N$8:$N$86,'EE Measures'!$DZ$8:$DZ$86)</f>
        <v>0.89369081764628755</v>
      </c>
      <c r="Q542" s="593">
        <f>SUMPRODUCT('EE Measures'!DF$8:DF$86,'EE Measures'!$IF$8:$IF$86,'EE Measures'!$N$8:$N$86,'EE Measures'!$DZ$8:$DZ$86)</f>
        <v>0.92940326794933004</v>
      </c>
      <c r="R542" s="593">
        <f>SUMPRODUCT('EE Measures'!DG$8:DG$86,'EE Measures'!$IF$8:$IF$86,'EE Measures'!$N$8:$N$86,'EE Measures'!$DZ$8:$DZ$86)</f>
        <v>0.96651934046698107</v>
      </c>
      <c r="S542" s="593">
        <f>SUMPRODUCT('EE Measures'!DH$8:DH$86,'EE Measures'!$IF$8:$IF$86,'EE Measures'!$N$8:$N$86,'EE Measures'!$DZ$8:$DZ$86)</f>
        <v>1.005097132115746</v>
      </c>
      <c r="T542" s="593">
        <f>SUMPRODUCT('EE Measures'!DI$8:DI$86,'EE Measures'!$IF$8:$IF$86,'EE Measures'!$N$8:$N$86,'EE Measures'!$DZ$8:$DZ$86)</f>
        <v>1.0451972256739737</v>
      </c>
      <c r="U542" s="593">
        <f>SUMPRODUCT('EE Measures'!DJ$8:DJ$86,'EE Measures'!$IF$8:$IF$86,'EE Measures'!$N$8:$N$86,'EE Measures'!$DZ$8:$DZ$86)</f>
        <v>1.0868827953096933</v>
      </c>
      <c r="W542" s="563" t="str" cm="1">
        <f t="array" ref="W542:W546">_xlfn.ANCHORARRAY($W$357)</f>
        <v xml:space="preserve">Põhja-Eesti </v>
      </c>
      <c r="X542" s="592">
        <f>SUM(Y542:AH542)</f>
        <v>21.90853386862474</v>
      </c>
      <c r="Y542" s="593">
        <f>SUMPRODUCT('EE Measures'!CV$8:CV$86,'EE Measures'!$IF$8:$IF$86,'EE Measures'!$Y$8:$Y$86,'EE Measures'!$DZ$8:$DZ$86)</f>
        <v>1.0126999290997649</v>
      </c>
      <c r="Z542" s="593">
        <f>SUMPRODUCT('EE Measures'!CW$8:CW$86,'EE Measures'!$IF$8:$IF$86,'EE Measures'!$Y$8:$Y$86,'EE Measures'!$DZ$8:$DZ$86)</f>
        <v>1.2912549939389932</v>
      </c>
      <c r="AA542" s="593">
        <f>SUMPRODUCT('EE Measures'!CX$8:CX$86,'EE Measures'!$IF$8:$IF$86,'EE Measures'!$Y$8:$Y$86,'EE Measures'!$DZ$8:$DZ$86)</f>
        <v>1.407826937366369</v>
      </c>
      <c r="AB542" s="593">
        <f>SUMPRODUCT('EE Measures'!CY$8:CY$86,'EE Measures'!$IF$8:$IF$86,'EE Measures'!$Y$8:$Y$86,'EE Measures'!$DZ$8:$DZ$86)</f>
        <v>1.9826016715614831</v>
      </c>
      <c r="AC542" s="593">
        <f>SUMPRODUCT('EE Measures'!CZ$8:CZ$86,'EE Measures'!$IF$8:$IF$86,'EE Measures'!$Y$8:$Y$86,'EE Measures'!$DZ$8:$DZ$86)</f>
        <v>2.3584183214141348</v>
      </c>
      <c r="AD542" s="593">
        <f>SUMPRODUCT('EE Measures'!DA$8:DA$86,'EE Measures'!$IF$8:$IF$86,'EE Measures'!$Y$8:$Y$86,'EE Measures'!$DZ$8:$DZ$86)</f>
        <v>2.4891512714208903</v>
      </c>
      <c r="AE542" s="593">
        <f>SUMPRODUCT('EE Measures'!DB$8:DB$86,'EE Measures'!$IF$8:$IF$86,'EE Measures'!$Y$8:$Y$86,'EE Measures'!$DZ$8:$DZ$86)</f>
        <v>2.6248480073551135</v>
      </c>
      <c r="AF542" s="593">
        <f>SUMPRODUCT('EE Measures'!DC$8:DC$86,'EE Measures'!$IF$8:$IF$86,'EE Measures'!$Y$8:$Y$86,'EE Measures'!$DZ$8:$DZ$86)</f>
        <v>2.7657368497024959</v>
      </c>
      <c r="AG542" s="593">
        <f>SUMPRODUCT('EE Measures'!DD$8:DD$86,'EE Measures'!$IF$8:$IF$86,'EE Measures'!$Y$8:$Y$86,'EE Measures'!$DZ$8:$DZ$86)</f>
        <v>2.9120333965821947</v>
      </c>
      <c r="AH542" s="593">
        <f>SUMPRODUCT('EE Measures'!DE$8:DE$86,'EE Measures'!$IF$8:$IF$86,'EE Measures'!$Y$8:$Y$86,'EE Measures'!$DZ$8:$DZ$86)</f>
        <v>3.0639624901833016</v>
      </c>
      <c r="AI542" s="593">
        <f>SUMPRODUCT('EE Measures'!DF$8:DF$86,'EE Measures'!$IF$8:$IF$86,'EE Measures'!$Y$8:$Y$86,'EE Measures'!$DZ$8:$DZ$86)</f>
        <v>3.2219025498092178</v>
      </c>
      <c r="AJ542" s="593">
        <f>SUMPRODUCT('EE Measures'!DG$8:DG$86,'EE Measures'!$IF$8:$IF$86,'EE Measures'!$Y$8:$Y$86,'EE Measures'!$DZ$8:$DZ$86)</f>
        <v>3.3859589308182696</v>
      </c>
      <c r="AK542" s="593">
        <f>SUMPRODUCT('EE Measures'!DH$8:DH$86,'EE Measures'!$IF$8:$IF$86,'EE Measures'!$Y$8:$Y$86,'EE Measures'!$DZ$8:$DZ$86)</f>
        <v>3.5563881467182457</v>
      </c>
      <c r="AL542" s="593">
        <f>SUMPRODUCT('EE Measures'!DI$8:DI$86,'EE Measures'!$IF$8:$IF$86,'EE Measures'!$Y$8:$Y$86,'EE Measures'!$DZ$8:$DZ$86)</f>
        <v>3.7334576408145592</v>
      </c>
      <c r="AM542" s="593">
        <f>SUMPRODUCT('EE Measures'!DJ$8:DJ$86,'EE Measures'!$IF$8:$IF$86,'EE Measures'!$Y$8:$Y$86,'EE Measures'!$DZ$8:$DZ$86)</f>
        <v>3.9174462446255376</v>
      </c>
    </row>
    <row r="543" spans="3:40" hidden="1" outlineLevel="1" x14ac:dyDescent="0.3">
      <c r="C543" s="587" t="str">
        <f t="shared" ref="C543:C546" si="1974">C542</f>
        <v>Baseline</v>
      </c>
      <c r="E543" s="563" t="s">
        <v>51</v>
      </c>
      <c r="F543" s="592">
        <f t="shared" ref="F543:F546" si="1975">SUM(G543:P543)</f>
        <v>12.573864637806185</v>
      </c>
      <c r="G543" s="593">
        <f>SUMPRODUCT('EE Measures'!CV$8:CV$86,'EE Measures'!$IF$8:$IF$86,'EE Measures'!$O$8:$O$86,'EE Measures'!$DZ$8:$DZ$86)</f>
        <v>0.32693627598582725</v>
      </c>
      <c r="H543" s="593">
        <f>SUMPRODUCT('EE Measures'!CW$8:CW$86,'EE Measures'!$IF$8:$IF$86,'EE Measures'!$O$8:$O$86,'EE Measures'!$DZ$8:$DZ$86)</f>
        <v>0.42703340487127572</v>
      </c>
      <c r="I543" s="593">
        <f>SUMPRODUCT('EE Measures'!CX$8:CX$86,'EE Measures'!$IF$8:$IF$86,'EE Measures'!$O$8:$O$86,'EE Measures'!$DZ$8:$DZ$86)</f>
        <v>0.53191502108428823</v>
      </c>
      <c r="J543" s="593">
        <f>SUMPRODUCT('EE Measures'!CY$8:CY$86,'EE Measures'!$IF$8:$IF$86,'EE Measures'!$O$8:$O$86,'EE Measures'!$DZ$8:$DZ$86)</f>
        <v>1.0056206135051147</v>
      </c>
      <c r="K543" s="593">
        <f>SUMPRODUCT('EE Measures'!CZ$8:CZ$86,'EE Measures'!$IF$8:$IF$86,'EE Measures'!$O$8:$O$86,'EE Measures'!$DZ$8:$DZ$86)</f>
        <v>1.3453477041224908</v>
      </c>
      <c r="L543" s="593">
        <f>SUMPRODUCT('EE Measures'!DA$8:DA$86,'EE Measures'!$IF$8:$IF$86,'EE Measures'!$O$8:$O$86,'EE Measures'!$DZ$8:$DZ$86)</f>
        <v>1.4849962468762925</v>
      </c>
      <c r="M543" s="593">
        <f>SUMPRODUCT('EE Measures'!DB$8:DB$86,'EE Measures'!$IF$8:$IF$86,'EE Measures'!$O$8:$O$86,'EE Measures'!$DZ$8:$DZ$86)</f>
        <v>1.6302253202152432</v>
      </c>
      <c r="N543" s="593">
        <f>SUMPRODUCT('EE Measures'!DC$8:DC$86,'EE Measures'!$IF$8:$IF$86,'EE Measures'!$O$8:$O$86,'EE Measures'!$DZ$8:$DZ$86)</f>
        <v>1.7812970459213751</v>
      </c>
      <c r="O543" s="593">
        <f>SUMPRODUCT('EE Measures'!DD$8:DD$86,'EE Measures'!$IF$8:$IF$86,'EE Measures'!$O$8:$O$86,'EE Measures'!$DZ$8:$DZ$86)</f>
        <v>1.9384717248884242</v>
      </c>
      <c r="P543" s="593">
        <f>SUMPRODUCT('EE Measures'!DE$8:DE$86,'EE Measures'!$IF$8:$IF$86,'EE Measures'!$O$8:$O$86,'EE Measures'!$DZ$8:$DZ$86)</f>
        <v>2.102021280335852</v>
      </c>
      <c r="Q543" s="593">
        <f>SUMPRODUCT('EE Measures'!DF$8:DF$86,'EE Measures'!$IF$8:$IF$86,'EE Measures'!$O$8:$O$86,'EE Measures'!$DZ$8:$DZ$86)</f>
        <v>2.2721779565912268</v>
      </c>
      <c r="R543" s="593">
        <f>SUMPRODUCT('EE Measures'!DG$8:DG$86,'EE Measures'!$IF$8:$IF$86,'EE Measures'!$O$8:$O$86,'EE Measures'!$DZ$8:$DZ$86)</f>
        <v>2.4492862082833384</v>
      </c>
      <c r="S543" s="593">
        <f>SUMPRODUCT('EE Measures'!DH$8:DH$86,'EE Measures'!$IF$8:$IF$86,'EE Measures'!$O$8:$O$86,'EE Measures'!$DZ$8:$DZ$86)</f>
        <v>2.633656391716257</v>
      </c>
      <c r="T543" s="593">
        <f>SUMPRODUCT('EE Measures'!DI$8:DI$86,'EE Measures'!$IF$8:$IF$86,'EE Measures'!$O$8:$O$86,'EE Measures'!$DZ$8:$DZ$86)</f>
        <v>2.8256126270884501</v>
      </c>
      <c r="U543" s="593">
        <f>SUMPRODUCT('EE Measures'!DJ$8:DJ$86,'EE Measures'!$IF$8:$IF$86,'EE Measures'!$O$8:$O$86,'EE Measures'!$DZ$8:$DZ$86)</f>
        <v>3.0254933904947414</v>
      </c>
      <c r="W543" s="563" t="str">
        <v>Lääne-Eesti</v>
      </c>
      <c r="X543" s="592">
        <f t="shared" ref="X543:X546" si="1976">SUM(Y543:AH543)</f>
        <v>3.7358208247662441</v>
      </c>
      <c r="Y543" s="593">
        <f>SUMPRODUCT('EE Measures'!CV$8:CV$86,'EE Measures'!$IF$8:$IF$86,'EE Measures'!$Z$8:$Z$86,'EE Measures'!$DZ$8:$DZ$86)</f>
        <v>0.14442886180796796</v>
      </c>
      <c r="Z543" s="593">
        <f>SUMPRODUCT('EE Measures'!CW$8:CW$86,'EE Measures'!$IF$8:$IF$86,'EE Measures'!$Z$8:$Z$86,'EE Measures'!$DZ$8:$DZ$86)</f>
        <v>0.19498258821746384</v>
      </c>
      <c r="AA543" s="593">
        <f>SUMPRODUCT('EE Measures'!CX$8:CX$86,'EE Measures'!$IF$8:$IF$86,'EE Measures'!$Z$8:$Z$86,'EE Measures'!$DZ$8:$DZ$86)</f>
        <v>0.21973682210267367</v>
      </c>
      <c r="AB543" s="593">
        <f>SUMPRODUCT('EE Measures'!CY$8:CY$86,'EE Measures'!$IF$8:$IF$86,'EE Measures'!$Z$8:$Z$86,'EE Measures'!$DZ$8:$DZ$86)</f>
        <v>0.3303221977030163</v>
      </c>
      <c r="AC543" s="593">
        <f>SUMPRODUCT('EE Measures'!CZ$8:CZ$86,'EE Measures'!$IF$8:$IF$86,'EE Measures'!$Z$8:$Z$86,'EE Measures'!$DZ$8:$DZ$86)</f>
        <v>0.40471430544901216</v>
      </c>
      <c r="AD543" s="593">
        <f>SUMPRODUCT('EE Measures'!DA$8:DA$86,'EE Measures'!$IF$8:$IF$86,'EE Measures'!$Z$8:$Z$86,'EE Measures'!$DZ$8:$DZ$86)</f>
        <v>0.43118108020926371</v>
      </c>
      <c r="AE543" s="593">
        <f>SUMPRODUCT('EE Measures'!DB$8:DB$86,'EE Measures'!$IF$8:$IF$86,'EE Measures'!$Z$8:$Z$86,'EE Measures'!$DZ$8:$DZ$86)</f>
        <v>0.4586665422510609</v>
      </c>
      <c r="AF543" s="593">
        <f>SUMPRODUCT('EE Measures'!DC$8:DC$86,'EE Measures'!$IF$8:$IF$86,'EE Measures'!$Z$8:$Z$86,'EE Measures'!$DZ$8:$DZ$86)</f>
        <v>0.48721675777408102</v>
      </c>
      <c r="AG543" s="593">
        <f>SUMPRODUCT('EE Measures'!DD$8:DD$86,'EE Measures'!$IF$8:$IF$86,'EE Measures'!$Z$8:$Z$86,'EE Measures'!$DZ$8:$DZ$86)</f>
        <v>0.5168770317987128</v>
      </c>
      <c r="AH543" s="593">
        <f>SUMPRODUCT('EE Measures'!DE$8:DE$86,'EE Measures'!$IF$8:$IF$86,'EE Measures'!$Z$8:$Z$86,'EE Measures'!$DZ$8:$DZ$86)</f>
        <v>0.54769463745299174</v>
      </c>
      <c r="AI543" s="593">
        <f>SUMPRODUCT('EE Measures'!DF$8:DF$86,'EE Measures'!$IF$8:$IF$86,'EE Measures'!$Z$8:$Z$86,'EE Measures'!$DZ$8:$DZ$86)</f>
        <v>0.57974742351113984</v>
      </c>
      <c r="AJ543" s="593">
        <f>SUMPRODUCT('EE Measures'!DG$8:DG$86,'EE Measures'!$IF$8:$IF$86,'EE Measures'!$Z$8:$Z$86,'EE Measures'!$DZ$8:$DZ$86)</f>
        <v>0.613059459760395</v>
      </c>
      <c r="AK543" s="593">
        <f>SUMPRODUCT('EE Measures'!DH$8:DH$86,'EE Measures'!$IF$8:$IF$86,'EE Measures'!$Z$8:$Z$86,'EE Measures'!$DZ$8:$DZ$86)</f>
        <v>0.64768466306859851</v>
      </c>
      <c r="AL543" s="593">
        <f>SUMPRODUCT('EE Measures'!DI$8:DI$86,'EE Measures'!$IF$8:$IF$86,'EE Measures'!$Z$8:$Z$86,'EE Measures'!$DZ$8:$DZ$86)</f>
        <v>0.68367927865545819</v>
      </c>
      <c r="AM543" s="593">
        <f>SUMPRODUCT('EE Measures'!DJ$8:DJ$86,'EE Measures'!$IF$8:$IF$86,'EE Measures'!$Z$8:$Z$86,'EE Measures'!$DZ$8:$DZ$86)</f>
        <v>0.72110197864472381</v>
      </c>
    </row>
    <row r="544" spans="3:40" hidden="1" outlineLevel="1" x14ac:dyDescent="0.3">
      <c r="C544" s="587" t="str">
        <f t="shared" si="1974"/>
        <v>Baseline</v>
      </c>
      <c r="E544" s="563" t="s">
        <v>52</v>
      </c>
      <c r="F544" s="592">
        <f t="shared" si="1975"/>
        <v>20.39140368120783</v>
      </c>
      <c r="G544" s="593">
        <f>SUMPRODUCT('EE Measures'!CV$8:CV$86,'EE Measures'!$IF$8:$IF$86,'EE Measures'!$P$8:$P$86,'EE Measures'!$DZ$8:$DZ$86)</f>
        <v>1.0584757664702868</v>
      </c>
      <c r="H544" s="593">
        <f>SUMPRODUCT('EE Measures'!CW$8:CW$86,'EE Measures'!$IF$8:$IF$86,'EE Measures'!$P$8:$P$86,'EE Measures'!$DZ$8:$DZ$86)</f>
        <v>1.4795366216450017</v>
      </c>
      <c r="I544" s="593">
        <f>SUMPRODUCT('EE Measures'!CX$8:CX$86,'EE Measures'!$IF$8:$IF$86,'EE Measures'!$P$8:$P$86,'EE Measures'!$DZ$8:$DZ$86)</f>
        <v>1.5922055211848056</v>
      </c>
      <c r="J544" s="593">
        <f>SUMPRODUCT('EE Measures'!CY$8:CY$86,'EE Measures'!$IF$8:$IF$86,'EE Measures'!$P$8:$P$86,'EE Measures'!$DZ$8:$DZ$86)</f>
        <v>1.9254897185461139</v>
      </c>
      <c r="K544" s="593">
        <f>SUMPRODUCT('EE Measures'!CZ$8:CZ$86,'EE Measures'!$IF$8:$IF$86,'EE Measures'!$P$8:$P$86,'EE Measures'!$DZ$8:$DZ$86)</f>
        <v>2.1455950471316192</v>
      </c>
      <c r="L544" s="593">
        <f>SUMPRODUCT('EE Measures'!DA$8:DA$86,'EE Measures'!$IF$8:$IF$86,'EE Measures'!$P$8:$P$86,'EE Measures'!$DZ$8:$DZ$86)</f>
        <v>2.2384960613113796</v>
      </c>
      <c r="M544" s="593">
        <f>SUMPRODUCT('EE Measures'!DB$8:DB$86,'EE Measures'!$IF$8:$IF$86,'EE Measures'!$P$8:$P$86,'EE Measures'!$DZ$8:$DZ$86)</f>
        <v>2.3347259764406392</v>
      </c>
      <c r="N544" s="593">
        <f>SUMPRODUCT('EE Measures'!DC$8:DC$86,'EE Measures'!$IF$8:$IF$86,'EE Measures'!$P$8:$P$86,'EE Measures'!$DZ$8:$DZ$86)</f>
        <v>2.4344204755303833</v>
      </c>
      <c r="O544" s="593">
        <f>SUMPRODUCT('EE Measures'!DD$8:DD$86,'EE Measures'!$IF$8:$IF$86,'EE Measures'!$P$8:$P$86,'EE Measures'!$DZ$8:$DZ$86)</f>
        <v>2.5377136126157254</v>
      </c>
      <c r="P544" s="593">
        <f>SUMPRODUCT('EE Measures'!DE$8:DE$86,'EE Measures'!$IF$8:$IF$86,'EE Measures'!$P$8:$P$86,'EE Measures'!$DZ$8:$DZ$86)</f>
        <v>2.6447448803318765</v>
      </c>
      <c r="Q544" s="593">
        <f>SUMPRODUCT('EE Measures'!DF$8:DF$86,'EE Measures'!$IF$8:$IF$86,'EE Measures'!$P$8:$P$86,'EE Measures'!$DZ$8:$DZ$86)</f>
        <v>2.7560694429276094</v>
      </c>
      <c r="R544" s="593">
        <f>SUMPRODUCT('EE Measures'!DG$8:DG$86,'EE Measures'!$IF$8:$IF$86,'EE Measures'!$P$8:$P$86,'EE Measures'!$DZ$8:$DZ$86)</f>
        <v>2.8714480645840137</v>
      </c>
      <c r="S544" s="593">
        <f>SUMPRODUCT('EE Measures'!DH$8:DH$86,'EE Measures'!$IF$8:$IF$86,'EE Measures'!$P$8:$P$86,'EE Measures'!$DZ$8:$DZ$86)</f>
        <v>2.9910395827759761</v>
      </c>
      <c r="T544" s="593">
        <f>SUMPRODUCT('EE Measures'!DI$8:DI$86,'EE Measures'!$IF$8:$IF$86,'EE Measures'!$P$8:$P$86,'EE Measures'!$DZ$8:$DZ$86)</f>
        <v>3.1150092477841023</v>
      </c>
      <c r="U544" s="593">
        <f>SUMPRODUCT('EE Measures'!DJ$8:DJ$86,'EE Measures'!$IF$8:$IF$86,'EE Measures'!$P$8:$P$86,'EE Measures'!$DZ$8:$DZ$86)</f>
        <v>3.2435289810793226</v>
      </c>
      <c r="W544" s="563" t="str">
        <v>Kirde-Eesti</v>
      </c>
      <c r="X544" s="592">
        <f t="shared" si="1976"/>
        <v>3.5586746790100232</v>
      </c>
      <c r="Y544" s="593">
        <f>SUMPRODUCT('EE Measures'!CV$8:CV$86,'EE Measures'!$IF$8:$IF$86,'EE Measures'!$AA$8:$AA$86,'EE Measures'!$DZ$8:$DZ$86)</f>
        <v>0.15261979333103454</v>
      </c>
      <c r="Z544" s="593">
        <f>SUMPRODUCT('EE Measures'!CW$8:CW$86,'EE Measures'!$IF$8:$IF$86,'EE Measures'!$AA$8:$AA$86,'EE Measures'!$DZ$8:$DZ$86)</f>
        <v>0.20003669195905893</v>
      </c>
      <c r="AA544" s="593">
        <f>SUMPRODUCT('EE Measures'!CX$8:CX$86,'EE Measures'!$IF$8:$IF$86,'EE Measures'!$AA$8:$AA$86,'EE Measures'!$DZ$8:$DZ$86)</f>
        <v>0.22015582304373893</v>
      </c>
      <c r="AB544" s="593">
        <f>SUMPRODUCT('EE Measures'!CY$8:CY$86,'EE Measures'!$IF$8:$IF$86,'EE Measures'!$AA$8:$AA$86,'EE Measures'!$DZ$8:$DZ$86)</f>
        <v>0.31830663468039783</v>
      </c>
      <c r="AC544" s="593">
        <f>SUMPRODUCT('EE Measures'!CZ$8:CZ$86,'EE Measures'!$IF$8:$IF$86,'EE Measures'!$AA$8:$AA$86,'EE Measures'!$DZ$8:$DZ$86)</f>
        <v>0.3837417571730759</v>
      </c>
      <c r="AD544" s="593">
        <f>SUMPRODUCT('EE Measures'!DA$8:DA$86,'EE Measures'!$IF$8:$IF$86,'EE Measures'!$AA$8:$AA$86,'EE Measures'!$DZ$8:$DZ$86)</f>
        <v>0.4068629321667826</v>
      </c>
      <c r="AE544" s="593">
        <f>SUMPRODUCT('EE Measures'!DB$8:DB$86,'EE Measures'!$IF$8:$IF$86,'EE Measures'!$AA$8:$AA$86,'EE Measures'!$DZ$8:$DZ$86)</f>
        <v>0.43086860622334727</v>
      </c>
      <c r="AF544" s="593">
        <f>SUMPRODUCT('EE Measures'!DC$8:DC$86,'EE Measures'!$IF$8:$IF$86,'EE Measures'!$AA$8:$AA$86,'EE Measures'!$DZ$8:$DZ$86)</f>
        <v>0.45579890383311056</v>
      </c>
      <c r="AG544" s="593">
        <f>SUMPRODUCT('EE Measures'!DD$8:DD$86,'EE Measures'!$IF$8:$IF$86,'EE Measures'!$AA$8:$AA$86,'EE Measures'!$DZ$8:$DZ$86)</f>
        <v>0.48169275690409785</v>
      </c>
      <c r="AH544" s="593">
        <f>SUMPRODUCT('EE Measures'!DE$8:DE$86,'EE Measures'!$IF$8:$IF$86,'EE Measures'!$AA$8:$AA$86,'EE Measures'!$DZ$8:$DZ$86)</f>
        <v>0.50859077969537902</v>
      </c>
      <c r="AI544" s="593">
        <f>SUMPRODUCT('EE Measures'!DF$8:DF$86,'EE Measures'!$IF$8:$IF$86,'EE Measures'!$AA$8:$AA$86,'EE Measures'!$DZ$8:$DZ$86)</f>
        <v>0.53656359278638788</v>
      </c>
      <c r="AJ544" s="593">
        <f>SUMPRODUCT('EE Measures'!DG$8:DG$86,'EE Measures'!$IF$8:$IF$86,'EE Measures'!$AA$8:$AA$86,'EE Measures'!$DZ$8:$DZ$86)</f>
        <v>0.56562823826845188</v>
      </c>
      <c r="AK544" s="593">
        <f>SUMPRODUCT('EE Measures'!DH$8:DH$86,'EE Measures'!$IF$8:$IF$86,'EE Measures'!$AA$8:$AA$86,'EE Measures'!$DZ$8:$DZ$86)</f>
        <v>0.59583104787388397</v>
      </c>
      <c r="AL544" s="593">
        <f>SUMPRODUCT('EE Measures'!DI$8:DI$86,'EE Measures'!$IF$8:$IF$86,'EE Measures'!$AA$8:$AA$86,'EE Measures'!$DZ$8:$DZ$86)</f>
        <v>0.62722034358383194</v>
      </c>
      <c r="AM544" s="593">
        <f>SUMPRODUCT('EE Measures'!DJ$8:DJ$86,'EE Measures'!$IF$8:$IF$86,'EE Measures'!$AA$8:$AA$86,'EE Measures'!$DZ$8:$DZ$86)</f>
        <v>0.6598465216304743</v>
      </c>
    </row>
    <row r="545" spans="3:39" hidden="1" outlineLevel="1" x14ac:dyDescent="0.3">
      <c r="C545" s="587" t="str">
        <f t="shared" si="1974"/>
        <v>Baseline</v>
      </c>
      <c r="E545" s="563" t="s">
        <v>53</v>
      </c>
      <c r="F545" s="592">
        <f t="shared" si="1975"/>
        <v>2.0544883977276589</v>
      </c>
      <c r="G545" s="593">
        <f>SUMPRODUCT('EE Measures'!CV$8:CV$86,'EE Measures'!$IF$8:$IF$86,'EE Measures'!$Q$8:$Q$86,'EE Measures'!$DZ$8:$DZ$86)</f>
        <v>2.7514027111909579E-2</v>
      </c>
      <c r="H545" s="593">
        <f>SUMPRODUCT('EE Measures'!CW$8:CW$86,'EE Measures'!$IF$8:$IF$86,'EE Measures'!$Q$8:$Q$86,'EE Measures'!$DZ$8:$DZ$86)</f>
        <v>2.8744007861034898E-2</v>
      </c>
      <c r="I545" s="593">
        <f>SUMPRODUCT('EE Measures'!CX$8:CX$86,'EE Measures'!$IF$8:$IF$86,'EE Measures'!$Q$8:$Q$86,'EE Measures'!$DZ$8:$DZ$86)</f>
        <v>3.0068089924450214E-2</v>
      </c>
      <c r="J545" s="593">
        <f>SUMPRODUCT('EE Measures'!CY$8:CY$86,'EE Measures'!$IF$8:$IF$86,'EE Measures'!$Q$8:$Q$86,'EE Measures'!$DZ$8:$DZ$86)</f>
        <v>0.1890648088171227</v>
      </c>
      <c r="K545" s="593">
        <f>SUMPRODUCT('EE Measures'!CZ$8:CZ$86,'EE Measures'!$IF$8:$IF$86,'EE Measures'!$Q$8:$Q$86,'EE Measures'!$DZ$8:$DZ$86)</f>
        <v>0.28031410424971459</v>
      </c>
      <c r="L545" s="593">
        <f>SUMPRODUCT('EE Measures'!DA$8:DA$86,'EE Measures'!$IF$8:$IF$86,'EE Measures'!$Q$8:$Q$86,'EE Measures'!$DZ$8:$DZ$86)</f>
        <v>0.28651538671700844</v>
      </c>
      <c r="M545" s="593">
        <f>SUMPRODUCT('EE Measures'!DB$8:DB$86,'EE Measures'!$IF$8:$IF$86,'EE Measures'!$Q$8:$Q$86,'EE Measures'!$DZ$8:$DZ$86)</f>
        <v>0.29292049942212184</v>
      </c>
      <c r="N545" s="593">
        <f>SUMPRODUCT('EE Measures'!DC$8:DC$86,'EE Measures'!$IF$8:$IF$86,'EE Measures'!$Q$8:$Q$86,'EE Measures'!$DZ$8:$DZ$86)</f>
        <v>0.29953750384321931</v>
      </c>
      <c r="O545" s="593">
        <f>SUMPRODUCT('EE Measures'!DD$8:DD$86,'EE Measures'!$IF$8:$IF$86,'EE Measures'!$Q$8:$Q$86,'EE Measures'!$DZ$8:$DZ$86)</f>
        <v>0.30637362380493383</v>
      </c>
      <c r="P545" s="593">
        <f>SUMPRODUCT('EE Measures'!DE$8:DE$86,'EE Measures'!$IF$8:$IF$86,'EE Measures'!$Q$8:$Q$86,'EE Measures'!$DZ$8:$DZ$86)</f>
        <v>0.3134363459761435</v>
      </c>
      <c r="Q545" s="593">
        <f>SUMPRODUCT('EE Measures'!DF$8:DF$86,'EE Measures'!$IF$8:$IF$86,'EE Measures'!$Q$8:$Q$86,'EE Measures'!$DZ$8:$DZ$86)</f>
        <v>0.32072907030460535</v>
      </c>
      <c r="R545" s="593">
        <f>SUMPRODUCT('EE Measures'!DG$8:DG$86,'EE Measures'!$IF$8:$IF$86,'EE Measures'!$Q$8:$Q$86,'EE Measures'!$DZ$8:$DZ$86)</f>
        <v>0.32826385896225835</v>
      </c>
      <c r="S545" s="593">
        <f>SUMPRODUCT('EE Measures'!DH$8:DH$86,'EE Measures'!$IF$8:$IF$86,'EE Measures'!$Q$8:$Q$86,'EE Measures'!$DZ$8:$DZ$86)</f>
        <v>0.33604908833068969</v>
      </c>
      <c r="T545" s="593">
        <f>SUMPRODUCT('EE Measures'!DI$8:DI$86,'EE Measures'!$IF$8:$IF$86,'EE Measures'!$Q$8:$Q$86,'EE Measures'!$DZ$8:$DZ$86)</f>
        <v>0.34409344030719907</v>
      </c>
      <c r="U545" s="593">
        <f>SUMPRODUCT('EE Measures'!DJ$8:DJ$86,'EE Measures'!$IF$8:$IF$86,'EE Measures'!$Q$8:$Q$86,'EE Measures'!$DZ$8:$DZ$86)</f>
        <v>0.35240591386951248</v>
      </c>
      <c r="W545" s="563" t="str">
        <v>Lõuna-Eesti </v>
      </c>
      <c r="X545" s="592">
        <f t="shared" si="1976"/>
        <v>9.3142548596543353</v>
      </c>
      <c r="Y545" s="593">
        <f>SUMPRODUCT('EE Measures'!CV$8:CV$86,'EE Measures'!$IF$8:$IF$86,'EE Measures'!$AB$8:$AB$86,'EE Measures'!$DZ$8:$DZ$86)</f>
        <v>0.38282711197793645</v>
      </c>
      <c r="Z545" s="593">
        <f>SUMPRODUCT('EE Measures'!CW$8:CW$86,'EE Measures'!$IF$8:$IF$86,'EE Measures'!$AB$8:$AB$86,'EE Measures'!$DZ$8:$DZ$86)</f>
        <v>0.50096670516546504</v>
      </c>
      <c r="AA545" s="593">
        <f>SUMPRODUCT('EE Measures'!CX$8:CX$86,'EE Measures'!$IF$8:$IF$86,'EE Measures'!$AB$8:$AB$86,'EE Measures'!$DZ$8:$DZ$86)</f>
        <v>0.5581306023344681</v>
      </c>
      <c r="AB545" s="593">
        <f>SUMPRODUCT('EE Measures'!CY$8:CY$86,'EE Measures'!$IF$8:$IF$86,'EE Measures'!$AB$8:$AB$86,'EE Measures'!$DZ$8:$DZ$86)</f>
        <v>0.82752911668153295</v>
      </c>
      <c r="AC545" s="593">
        <f>SUMPRODUCT('EE Measures'!CZ$8:CZ$86,'EE Measures'!$IF$8:$IF$86,'EE Measures'!$AB$8:$AB$86,'EE Measures'!$DZ$8:$DZ$86)</f>
        <v>1.0071521375868517</v>
      </c>
      <c r="AD545" s="593">
        <f>SUMPRODUCT('EE Measures'!DA$8:DA$86,'EE Measures'!$IF$8:$IF$86,'EE Measures'!$AB$8:$AB$86,'EE Measures'!$DZ$8:$DZ$86)</f>
        <v>1.0705843385335776</v>
      </c>
      <c r="AE545" s="593">
        <f>SUMPRODUCT('EE Measures'!DB$8:DB$86,'EE Measures'!$IF$8:$IF$86,'EE Measures'!$AB$8:$AB$86,'EE Measures'!$DZ$8:$DZ$86)</f>
        <v>1.1364538696060225</v>
      </c>
      <c r="AF545" s="593">
        <f>SUMPRODUCT('EE Measures'!DC$8:DC$86,'EE Measures'!$IF$8:$IF$86,'EE Measures'!$AB$8:$AB$86,'EE Measures'!$DZ$8:$DZ$86)</f>
        <v>1.2048721858643445</v>
      </c>
      <c r="AG545" s="593">
        <f>SUMPRODUCT('EE Measures'!DD$8:DD$86,'EE Measures'!$IF$8:$IF$86,'EE Measures'!$AB$8:$AB$86,'EE Measures'!$DZ$8:$DZ$86)</f>
        <v>1.2759472176680744</v>
      </c>
      <c r="AH545" s="593">
        <f>SUMPRODUCT('EE Measures'!DE$8:DE$86,'EE Measures'!$IF$8:$IF$86,'EE Measures'!$AB$8:$AB$86,'EE Measures'!$DZ$8:$DZ$86)</f>
        <v>1.3497915742360622</v>
      </c>
      <c r="AI545" s="593">
        <f>SUMPRODUCT('EE Measures'!DF$8:DF$86,'EE Measures'!$IF$8:$IF$86,'EE Measures'!$AB$8:$AB$86,'EE Measures'!$DZ$8:$DZ$86)</f>
        <v>1.4265809542699586</v>
      </c>
      <c r="AJ545" s="593">
        <f>SUMPRODUCT('EE Measures'!DG$8:DG$86,'EE Measures'!$IF$8:$IF$86,'EE Measures'!$AB$8:$AB$86,'EE Measures'!$DZ$8:$DZ$86)</f>
        <v>1.5063817311228156</v>
      </c>
      <c r="AK545" s="593">
        <f>SUMPRODUCT('EE Measures'!DH$8:DH$86,'EE Measures'!$IF$8:$IF$86,'EE Measures'!$AB$8:$AB$86,'EE Measures'!$DZ$8:$DZ$86)</f>
        <v>1.5893223605566276</v>
      </c>
      <c r="AL545" s="593">
        <f>SUMPRODUCT('EE Measures'!DI$8:DI$86,'EE Measures'!$IF$8:$IF$86,'EE Measures'!$AB$8:$AB$86,'EE Measures'!$DZ$8:$DZ$86)</f>
        <v>1.6755368329177205</v>
      </c>
      <c r="AM545" s="593">
        <f>SUMPRODUCT('EE Measures'!DJ$8:DJ$86,'EE Measures'!$IF$8:$IF$86,'EE Measures'!$AB$8:$AB$86,'EE Measures'!$DZ$8:$DZ$86)</f>
        <v>1.7651649070001429</v>
      </c>
    </row>
    <row r="546" spans="3:39" hidden="1" outlineLevel="1" x14ac:dyDescent="0.3">
      <c r="C546" s="587" t="str">
        <f t="shared" si="1974"/>
        <v>Baseline</v>
      </c>
      <c r="E546" s="563" t="s">
        <v>54</v>
      </c>
      <c r="F546" s="592">
        <f t="shared" si="1975"/>
        <v>0.55162166539110014</v>
      </c>
      <c r="G546" s="593">
        <f>SUMPRODUCT('EE Measures'!CV$8:CV$86,'EE Measures'!$IF$8:$IF$86,'EE Measures'!$R$8:$R$86,'EE Measures'!$DZ$8:$DZ$86)</f>
        <v>2.6006736789950479E-2</v>
      </c>
      <c r="H546" s="593">
        <f>SUMPRODUCT('EE Measures'!CW$8:CW$86,'EE Measures'!$IF$8:$IF$86,'EE Measures'!$R$8:$R$86,'EE Measures'!$DZ$8:$DZ$86)</f>
        <v>2.7181602785016017E-2</v>
      </c>
      <c r="I546" s="593">
        <f>SUMPRODUCT('EE Measures'!CX$8:CX$86,'EE Measures'!$IF$8:$IF$86,'EE Measures'!$R$8:$R$86,'EE Measures'!$DZ$8:$DZ$86)</f>
        <v>2.8442815539012508E-2</v>
      </c>
      <c r="J546" s="593">
        <f>SUMPRODUCT('EE Measures'!CY$8:CY$86,'EE Measures'!$IF$8:$IF$86,'EE Measures'!$R$8:$R$86,'EE Measures'!$DZ$8:$DZ$86)</f>
        <v>5.1215876797280908E-2</v>
      </c>
      <c r="K546" s="593">
        <f>SUMPRODUCT('EE Measures'!CZ$8:CZ$86,'EE Measures'!$IF$8:$IF$86,'EE Measures'!$R$8:$R$86,'EE Measures'!$DZ$8:$DZ$86)</f>
        <v>6.446644597374622E-2</v>
      </c>
      <c r="L546" s="593">
        <f>SUMPRODUCT('EE Measures'!DA$8:DA$86,'EE Measures'!$IF$8:$IF$86,'EE Measures'!$R$8:$R$86,'EE Measures'!$DZ$8:$DZ$86)</f>
        <v>6.6496298088442124E-2</v>
      </c>
      <c r="M546" s="593">
        <f>SUMPRODUCT('EE Measures'!DB$8:DB$86,'EE Measures'!$IF$8:$IF$86,'EE Measures'!$R$8:$R$86,'EE Measures'!$DZ$8:$DZ$86)</f>
        <v>6.8599897603210336E-2</v>
      </c>
      <c r="N546" s="593">
        <f>SUMPRODUCT('EE Measures'!DC$8:DC$86,'EE Measures'!$IF$8:$IF$86,'EE Measures'!$R$8:$R$86,'EE Measures'!$DZ$8:$DZ$86)</f>
        <v>7.0781090602209232E-2</v>
      </c>
      <c r="O546" s="593">
        <f>SUMPRODUCT('EE Measures'!DD$8:DD$86,'EE Measures'!$IF$8:$IF$86,'EE Measures'!$R$8:$R$86,'EE Measures'!$DZ$8:$DZ$86)</f>
        <v>7.304280663793189E-2</v>
      </c>
      <c r="P546" s="593">
        <f>SUMPRODUCT('EE Measures'!DE$8:DE$86,'EE Measures'!$IF$8:$IF$86,'EE Measures'!$R$8:$R$86,'EE Measures'!$DZ$8:$DZ$86)</f>
        <v>7.5388094574300513E-2</v>
      </c>
      <c r="Q546" s="593">
        <f>SUMPRODUCT('EE Measures'!DF$8:DF$86,'EE Measures'!$IF$8:$IF$86,'EE Measures'!$R$8:$R$86,'EE Measures'!$DZ$8:$DZ$86)</f>
        <v>7.7816006774511975E-2</v>
      </c>
      <c r="R546" s="593">
        <f>SUMPRODUCT('EE Measures'!DG$8:DG$86,'EE Measures'!$IF$8:$IF$86,'EE Measures'!$R$8:$R$86,'EE Measures'!$DZ$8:$DZ$86)</f>
        <v>8.033364493150294E-2</v>
      </c>
      <c r="S546" s="593">
        <f>SUMPRODUCT('EE Measures'!DH$8:DH$86,'EE Measures'!$IF$8:$IF$86,'EE Measures'!$R$8:$R$86,'EE Measures'!$DZ$8:$DZ$86)</f>
        <v>8.2944483642312272E-2</v>
      </c>
      <c r="T546" s="593">
        <f>SUMPRODUCT('EE Measures'!DI$8:DI$86,'EE Measures'!$IF$8:$IF$86,'EE Measures'!$R$8:$R$86,'EE Measures'!$DZ$8:$DZ$86)</f>
        <v>8.5652138012393866E-2</v>
      </c>
      <c r="U546" s="593">
        <f>SUMPRODUCT('EE Measures'!DJ$8:DJ$86,'EE Measures'!$IF$8:$IF$86,'EE Measures'!$R$8:$R$86,'EE Measures'!$DZ$8:$DZ$86)</f>
        <v>8.8460369352355878E-2</v>
      </c>
      <c r="W546" s="563" t="str">
        <v>Kesk-Eesti</v>
      </c>
      <c r="X546" s="592">
        <f t="shared" si="1976"/>
        <v>3.8467178947774738</v>
      </c>
      <c r="Y546" s="593">
        <f>SUMPRODUCT('EE Measures'!CV$8:CV$86,'EE Measures'!$IF$8:$IF$86,'EE Measures'!$AC$8:$AC$86,'EE Measures'!$DZ$8:$DZ$86)</f>
        <v>0.15603405637827167</v>
      </c>
      <c r="Z546" s="593">
        <f>SUMPRODUCT('EE Measures'!CW$8:CW$86,'EE Measures'!$IF$8:$IF$86,'EE Measures'!$AC$8:$AC$86,'EE Measures'!$DZ$8:$DZ$86)</f>
        <v>0.2057971974206749</v>
      </c>
      <c r="AA546" s="593">
        <f>SUMPRODUCT('EE Measures'!CX$8:CX$86,'EE Measures'!$IF$8:$IF$86,'EE Measures'!$AC$8:$AC$86,'EE Measures'!$DZ$8:$DZ$86)</f>
        <v>0.22966412540731873</v>
      </c>
      <c r="AB546" s="593">
        <f>SUMPRODUCT('EE Measures'!CY$8:CY$86,'EE Measures'!$IF$8:$IF$86,'EE Measures'!$AC$8:$AC$86,'EE Measures'!$DZ$8:$DZ$86)</f>
        <v>0.34111436461854383</v>
      </c>
      <c r="AC546" s="593">
        <f>SUMPRODUCT('EE Measures'!CZ$8:CZ$86,'EE Measures'!$IF$8:$IF$86,'EE Measures'!$AC$8:$AC$86,'EE Measures'!$DZ$8:$DZ$86)</f>
        <v>0.41576324649797758</v>
      </c>
      <c r="AD546" s="593">
        <f>SUMPRODUCT('EE Measures'!DA$8:DA$86,'EE Measures'!$IF$8:$IF$86,'EE Measures'!$AC$8:$AC$86,'EE Measures'!$DZ$8:$DZ$86)</f>
        <v>0.44232369932064064</v>
      </c>
      <c r="AE546" s="593">
        <f>SUMPRODUCT('EE Measures'!DB$8:DB$86,'EE Measures'!$IF$8:$IF$86,'EE Measures'!$AC$8:$AC$86,'EE Measures'!$DZ$8:$DZ$86)</f>
        <v>0.46990554932321582</v>
      </c>
      <c r="AF546" s="593">
        <f>SUMPRODUCT('EE Measures'!DC$8:DC$86,'EE Measures'!$IF$8:$IF$86,'EE Measures'!$AC$8:$AC$86,'EE Measures'!$DZ$8:$DZ$86)</f>
        <v>0.49855534006168811</v>
      </c>
      <c r="AG546" s="593">
        <f>SUMPRODUCT('EE Measures'!DD$8:DD$86,'EE Measures'!$IF$8:$IF$86,'EE Measures'!$AC$8:$AC$86,'EE Measures'!$DZ$8:$DZ$86)</f>
        <v>0.52831837845241669</v>
      </c>
      <c r="AH546" s="593">
        <f>SUMPRODUCT('EE Measures'!DE$8:DE$86,'EE Measures'!$IF$8:$IF$86,'EE Measures'!$AC$8:$AC$86,'EE Measures'!$DZ$8:$DZ$86)</f>
        <v>0.55924193729672567</v>
      </c>
      <c r="AI546" s="593">
        <f>SUMPRODUCT('EE Measures'!DF$8:DF$86,'EE Measures'!$IF$8:$IF$86,'EE Measures'!$AC$8:$AC$86,'EE Measures'!$DZ$8:$DZ$86)</f>
        <v>0.59140122417058005</v>
      </c>
      <c r="AJ546" s="593">
        <f>SUMPRODUCT('EE Measures'!DG$8:DG$86,'EE Measures'!$IF$8:$IF$86,'EE Measures'!$AC$8:$AC$86,'EE Measures'!$DZ$8:$DZ$86)</f>
        <v>0.62482275725816305</v>
      </c>
      <c r="AK546" s="593">
        <f>SUMPRODUCT('EE Measures'!DH$8:DH$86,'EE Measures'!$IF$8:$IF$86,'EE Measures'!$AC$8:$AC$86,'EE Measures'!$DZ$8:$DZ$86)</f>
        <v>0.65956046036362559</v>
      </c>
      <c r="AL546" s="593">
        <f>SUMPRODUCT('EE Measures'!DI$8:DI$86,'EE Measures'!$IF$8:$IF$86,'EE Measures'!$AC$8:$AC$86,'EE Measures'!$DZ$8:$DZ$86)</f>
        <v>0.69567058289454897</v>
      </c>
      <c r="AM546" s="593">
        <f>SUMPRODUCT('EE Measures'!DJ$8:DJ$86,'EE Measures'!$IF$8:$IF$86,'EE Measures'!$AC$8:$AC$86,'EE Measures'!$DZ$8:$DZ$86)</f>
        <v>0.73321179820474791</v>
      </c>
    </row>
    <row r="547" spans="3:39" hidden="1" outlineLevel="1" x14ac:dyDescent="0.3">
      <c r="C547" s="587" t="str">
        <f>E547</f>
        <v>EEO</v>
      </c>
      <c r="E547" s="555" t="str">
        <f>'EE Measures'!$IG$6</f>
        <v>EEO</v>
      </c>
      <c r="F547" s="590">
        <f>SUM(G547:P547)</f>
        <v>109.07915250615838</v>
      </c>
      <c r="G547" s="591">
        <f>SUM(G548:G552)</f>
        <v>3.5239328704024651</v>
      </c>
      <c r="H547" s="591">
        <f>SUM(H548:H552)</f>
        <v>4.1881836356227922</v>
      </c>
      <c r="I547" s="591">
        <f t="shared" ref="I547" si="1977">SUM(I548:I552)</f>
        <v>4.5765660922855798</v>
      </c>
      <c r="J547" s="591">
        <f t="shared" ref="J547" si="1978">SUM(J548:J552)</f>
        <v>5.928376049331149</v>
      </c>
      <c r="K547" s="591">
        <f t="shared" ref="K547" si="1979">SUM(K548:K552)</f>
        <v>8.8492310207915175</v>
      </c>
      <c r="L547" s="591">
        <f t="shared" ref="L547" si="1980">SUM(L548:L552)</f>
        <v>11.207750672883805</v>
      </c>
      <c r="M547" s="591">
        <f t="shared" ref="M547" si="1981">SUM(M548:M552)</f>
        <v>13.871825202696893</v>
      </c>
      <c r="N547" s="591">
        <f t="shared" ref="N547" si="1982">SUM(N548:N552)</f>
        <v>16.355668559482289</v>
      </c>
      <c r="O547" s="591">
        <f t="shared" ref="O547" si="1983">SUM(O548:O552)</f>
        <v>18.96895922359565</v>
      </c>
      <c r="P547" s="591">
        <f t="shared" ref="P547:U547" si="1984">SUM(P548:P552)</f>
        <v>21.608659179066251</v>
      </c>
      <c r="Q547" s="591">
        <f t="shared" si="1984"/>
        <v>24.280450870782442</v>
      </c>
      <c r="R547" s="591">
        <f t="shared" si="1984"/>
        <v>27.077453884597961</v>
      </c>
      <c r="S547" s="591">
        <f t="shared" si="1984"/>
        <v>30.005101768663419</v>
      </c>
      <c r="T547" s="591">
        <f t="shared" si="1984"/>
        <v>33.069043620856519</v>
      </c>
      <c r="U547" s="591">
        <f t="shared" si="1984"/>
        <v>36.275152203460529</v>
      </c>
      <c r="W547" s="555" t="str">
        <f>'EE Measures'!$IG$6</f>
        <v>EEO</v>
      </c>
      <c r="X547" s="590">
        <f>SUM(Y547:AH547)</f>
        <v>109.83092366228021</v>
      </c>
      <c r="Y547" s="591">
        <f t="shared" ref="Y547:Z547" si="1985">SUM(Y548:Y552)</f>
        <v>3.5239328704024651</v>
      </c>
      <c r="Z547" s="591">
        <f t="shared" si="1985"/>
        <v>4.1881836356227931</v>
      </c>
      <c r="AA547" s="591">
        <f t="shared" ref="AA547" si="1986">SUM(AA548:AA552)</f>
        <v>4.567732674222075</v>
      </c>
      <c r="AB547" s="591">
        <f t="shared" ref="AB547" si="1987">SUM(AB548:AB552)</f>
        <v>5.8178201402184753</v>
      </c>
      <c r="AC547" s="591">
        <f t="shared" ref="AC547" si="1988">SUM(AC548:AC552)</f>
        <v>8.8932863980591286</v>
      </c>
      <c r="AD547" s="591">
        <f t="shared" ref="AD547" si="1989">SUM(AD548:AD552)</f>
        <v>11.285802701710207</v>
      </c>
      <c r="AE547" s="591">
        <f t="shared" ref="AE547" si="1990">SUM(AE548:AE552)</f>
        <v>13.988531721070014</v>
      </c>
      <c r="AF547" s="591">
        <f t="shared" ref="AF547" si="1991">SUM(AF548:AF552)</f>
        <v>16.515939136613937</v>
      </c>
      <c r="AG547" s="591">
        <f t="shared" ref="AG547" si="1992">SUM(AG548:AG552)</f>
        <v>19.177942315402039</v>
      </c>
      <c r="AH547" s="591">
        <f t="shared" ref="AH547:AM547" si="1993">SUM(AH548:AH552)</f>
        <v>21.871752068959079</v>
      </c>
      <c r="AI547" s="591">
        <f t="shared" si="1993"/>
        <v>24.603680116205929</v>
      </c>
      <c r="AJ547" s="591">
        <f t="shared" si="1993"/>
        <v>27.466762789886282</v>
      </c>
      <c r="AK547" s="591">
        <f t="shared" si="1993"/>
        <v>30.466714374737485</v>
      </c>
      <c r="AL547" s="591">
        <f t="shared" si="1993"/>
        <v>33.609476430098603</v>
      </c>
      <c r="AM547" s="591">
        <f t="shared" si="1993"/>
        <v>36.901226410091262</v>
      </c>
    </row>
    <row r="548" spans="3:39" hidden="1" outlineLevel="1" x14ac:dyDescent="0.3">
      <c r="C548" s="587" t="str">
        <f>C547</f>
        <v>EEO</v>
      </c>
      <c r="E548" s="563" t="s">
        <v>50</v>
      </c>
      <c r="F548" s="592">
        <f>SUM(G548:P548)</f>
        <v>6.7915188724448488</v>
      </c>
      <c r="G548" s="586">
        <f>SUMPRODUCT('EE Measures'!DK$8:DK$86,'EE Measures'!$IG$8:$IG$86,'EE Measures'!$N$8:$N$86,'EE Measures'!$DZ$8:$DZ$86)</f>
        <v>0.40967694623700107</v>
      </c>
      <c r="H548" s="586">
        <f>SUMPRODUCT('EE Measures'!DL$8:DL$86,'EE Measures'!$IG$8:$IG$86,'EE Measures'!$N$8:$N$86,'EE Measures'!$DZ$8:$DZ$86)</f>
        <v>0.42943766728413441</v>
      </c>
      <c r="I548" s="586">
        <f>SUMPRODUCT('EE Measures'!CX$8:CX$86,'EE Measures'!$IG$8:$IG$86,'EE Measures'!$N$8:$N$86,'EE Measures'!$DZ$8:$DZ$86)</f>
        <v>0.45288286252201115</v>
      </c>
      <c r="J548" s="586">
        <f>SUMPRODUCT('EE Measures'!CY$8:CY$86,'EE Measures'!$IG$8:$IG$86,'EE Measures'!$N$8:$N$86,'EE Measures'!$DZ$8:$DZ$86)</f>
        <v>0.62848296757934097</v>
      </c>
      <c r="K548" s="586">
        <f>SUMPRODUCT('EE Measures'!CZ$8:CZ$86,'EE Measures'!$IG$8:$IG$86,'EE Measures'!$N$8:$N$86,'EE Measures'!$DZ$8:$DZ$86)</f>
        <v>0.7340664666434813</v>
      </c>
      <c r="L548" s="586">
        <f>SUMPRODUCT('EE Measures'!DA$8:DA$86,'EE Measures'!$IG$8:$IG$86,'EE Measures'!$N$8:$N$86,'EE Measures'!$DZ$8:$DZ$86)</f>
        <v>0.76359932865803171</v>
      </c>
      <c r="M548" s="586">
        <f>SUMPRODUCT('EE Measures'!DB$8:DB$86,'EE Measures'!$IG$8:$IG$86,'EE Measures'!$N$8:$N$86,'EE Measures'!$DZ$8:$DZ$86)</f>
        <v>0.79427088107754495</v>
      </c>
      <c r="N548" s="586">
        <f>SUMPRODUCT('EE Measures'!DC$8:DC$86,'EE Measures'!$IG$8:$IG$86,'EE Measures'!$N$8:$N$86,'EE Measures'!$DZ$8:$DZ$86)</f>
        <v>0.82614392133853309</v>
      </c>
      <c r="O548" s="586">
        <f>SUMPRODUCT('EE Measures'!DD$8:DD$86,'EE Measures'!$IG$8:$IG$86,'EE Measures'!$N$8:$N$86,'EE Measures'!$DZ$8:$DZ$86)</f>
        <v>0.85926701345848122</v>
      </c>
      <c r="P548" s="586">
        <f>SUMPRODUCT('EE Measures'!DE$8:DE$86,'EE Measures'!$IG$8:$IG$86,'EE Measures'!$N$8:$N$86,'EE Measures'!$DZ$8:$DZ$86)</f>
        <v>0.89369081764628755</v>
      </c>
      <c r="Q548" s="586">
        <f>SUMPRODUCT('EE Measures'!DF$8:DF$86,'EE Measures'!$IG$8:$IG$86,'EE Measures'!$N$8:$N$86,'EE Measures'!$DZ$8:$DZ$86)</f>
        <v>0.92940326794933004</v>
      </c>
      <c r="R548" s="586">
        <f>SUMPRODUCT('EE Measures'!DG$8:DG$86,'EE Measures'!$IG$8:$IG$86,'EE Measures'!$N$8:$N$86,'EE Measures'!$DZ$8:$DZ$86)</f>
        <v>0.96651934046698107</v>
      </c>
      <c r="S548" s="586">
        <f>SUMPRODUCT('EE Measures'!DH$8:DH$86,'EE Measures'!$IG$8:$IG$86,'EE Measures'!$N$8:$N$86,'EE Measures'!$DZ$8:$DZ$86)</f>
        <v>1.005097132115746</v>
      </c>
      <c r="T548" s="586">
        <f>SUMPRODUCT('EE Measures'!DI$8:DI$86,'EE Measures'!$IG$8:$IG$86,'EE Measures'!$N$8:$N$86,'EE Measures'!$DZ$8:$DZ$86)</f>
        <v>1.0451972256739737</v>
      </c>
      <c r="U548" s="586">
        <f>SUMPRODUCT('EE Measures'!DJ$8:DJ$86,'EE Measures'!$IG$8:$IG$86,'EE Measures'!$N$8:$N$86,'EE Measures'!$DZ$8:$DZ$86)</f>
        <v>1.0868827953096933</v>
      </c>
      <c r="W548" s="563" t="str" cm="1">
        <f t="array" ref="W548:W552">_xlfn.ANCHORARRAY($W$357)</f>
        <v xml:space="preserve">Põhja-Eesti </v>
      </c>
      <c r="X548" s="592">
        <f>SUM(Y548:AH548)</f>
        <v>51.311760230202282</v>
      </c>
      <c r="Y548" s="586">
        <f>SUMPRODUCT('EE Measures'!DK$8:DK$86,'EE Measures'!$IG$8:$IG$86,'EE Measures'!$Y$8:$Y$86,'EE Measures'!$DZ$8:$DZ$86)</f>
        <v>1.7953311581925222</v>
      </c>
      <c r="Z548" s="586">
        <f>SUMPRODUCT('EE Measures'!DL$8:DL$86,'EE Measures'!$IG$8:$IG$86,'EE Measures'!$Y$8:$Y$86,'EE Measures'!$DZ$8:$DZ$86)</f>
        <v>2.129637951330217</v>
      </c>
      <c r="AA548" s="586">
        <f>SUMPRODUCT('EE Measures'!DM$8:DM$86,'EE Measures'!$IG$8:$IG$86,'EE Measures'!$Y$8:$Y$86,'EE Measures'!$DZ$8:$DZ$86)</f>
        <v>2.3099916971162475</v>
      </c>
      <c r="AB548" s="586">
        <f>SUMPRODUCT('EE Measures'!DN$8:DN$86,'EE Measures'!$IG$8:$IG$86,'EE Measures'!$Y$8:$Y$86,'EE Measures'!$DZ$8:$DZ$86)</f>
        <v>2.9209565339017938</v>
      </c>
      <c r="AC548" s="586">
        <f>SUMPRODUCT('EE Measures'!DO$8:DO$86,'EE Measures'!$IG$8:$IG$86,'EE Measures'!$Y$8:$Y$86,'EE Measures'!$DZ$8:$DZ$86)</f>
        <v>4.2910780592180764</v>
      </c>
      <c r="AD548" s="586">
        <f>SUMPRODUCT('EE Measures'!DP$8:DP$86,'EE Measures'!$IG$8:$IG$86,'EE Measures'!$Y$8:$Y$86,'EE Measures'!$DZ$8:$DZ$86)</f>
        <v>5.3150115377101574</v>
      </c>
      <c r="AE548" s="586">
        <f>SUMPRODUCT('EE Measures'!DQ$8:DQ$86,'EE Measures'!$IG$8:$IG$86,'EE Measures'!$Y$8:$Y$86,'EE Measures'!$DZ$8:$DZ$86)</f>
        <v>6.478498349967821</v>
      </c>
      <c r="AF548" s="586">
        <f>SUMPRODUCT('EE Measures'!DR$8:DR$86,'EE Measures'!$IG$8:$IG$86,'EE Measures'!$Y$8:$Y$86,'EE Measures'!$DZ$8:$DZ$86)</f>
        <v>7.5544844873406474</v>
      </c>
      <c r="AG548" s="586">
        <f>SUMPRODUCT('EE Measures'!DS$8:DS$86,'EE Measures'!$IG$8:$IG$86,'EE Measures'!$Y$8:$Y$86,'EE Measures'!$DZ$8:$DZ$86)</f>
        <v>8.687500438895233</v>
      </c>
      <c r="AH548" s="586">
        <f>SUMPRODUCT('EE Measures'!DT$8:DT$86,'EE Measures'!$IG$8:$IG$86,'EE Measures'!$Y$8:$Y$86,'EE Measures'!$DZ$8:$DZ$86)</f>
        <v>9.8292700165295663</v>
      </c>
      <c r="AI548" s="586">
        <f>SUMPRODUCT('EE Measures'!DU$8:DU$86,'EE Measures'!$IG$8:$IG$86,'EE Measures'!$Y$8:$Y$86,'EE Measures'!$DZ$8:$DZ$86)</f>
        <v>10.98224026325947</v>
      </c>
      <c r="AJ548" s="586">
        <f>SUMPRODUCT('EE Measures'!DV$8:DV$86,'EE Measures'!$IG$8:$IG$86,'EE Measures'!$Y$8:$Y$86,'EE Measures'!$DZ$8:$DZ$86)</f>
        <v>12.189735855869507</v>
      </c>
      <c r="AK548" s="586">
        <f>SUMPRODUCT('EE Measures'!DW$8:DW$86,'EE Measures'!$IG$8:$IG$86,'EE Measures'!$Y$8:$Y$86,'EE Measures'!$DZ$8:$DZ$86)</f>
        <v>13.454130062635574</v>
      </c>
      <c r="AL548" s="586">
        <f>SUMPRODUCT('EE Measures'!DX$8:DX$86,'EE Measures'!$IG$8:$IG$86,'EE Measures'!$Y$8:$Y$86,'EE Measures'!$DZ$8:$DZ$86)</f>
        <v>14.777890622822852</v>
      </c>
      <c r="AM548" s="586">
        <f>SUMPRODUCT('EE Measures'!DY$8:DY$86,'EE Measures'!$IG$8:$IG$86,'EE Measures'!$Y$8:$Y$86,'EE Measures'!$DZ$8:$DZ$86)</f>
        <v>16.163583337060576</v>
      </c>
    </row>
    <row r="549" spans="3:39" hidden="1" outlineLevel="1" x14ac:dyDescent="0.3">
      <c r="C549" s="587" t="str">
        <f t="shared" ref="C549:C552" si="1994">C548</f>
        <v>EEO</v>
      </c>
      <c r="E549" s="563" t="s">
        <v>51</v>
      </c>
      <c r="F549" s="592">
        <f t="shared" ref="F549:F552" si="1995">SUM(G549:P549)</f>
        <v>12.571059125287846</v>
      </c>
      <c r="G549" s="586">
        <f>SUMPRODUCT('EE Measures'!DK$8:DK$86,'EE Measures'!$IG$8:$IG$86,'EE Measures'!$O$8:$O$86,'EE Measures'!$DZ$8:$DZ$86)</f>
        <v>0.32693627598582725</v>
      </c>
      <c r="H549" s="586">
        <f>SUMPRODUCT('EE Measures'!DL$8:DL$86,'EE Measures'!$IG$8:$IG$86,'EE Measures'!$O$8:$O$86,'EE Measures'!$DZ$8:$DZ$86)</f>
        <v>0.42422789235293895</v>
      </c>
      <c r="I549" s="586">
        <f>SUMPRODUCT('EE Measures'!CX$8:CX$86,'EE Measures'!$IG$8:$IG$86,'EE Measures'!$O$8:$O$86,'EE Measures'!$DZ$8:$DZ$86)</f>
        <v>0.53191502108428823</v>
      </c>
      <c r="J549" s="586">
        <f>SUMPRODUCT('EE Measures'!CY$8:CY$86,'EE Measures'!$IG$8:$IG$86,'EE Measures'!$O$8:$O$86,'EE Measures'!$DZ$8:$DZ$86)</f>
        <v>1.0056206135051147</v>
      </c>
      <c r="K549" s="586">
        <f>SUMPRODUCT('EE Measures'!CZ$8:CZ$86,'EE Measures'!$IG$8:$IG$86,'EE Measures'!$O$8:$O$86,'EE Measures'!$DZ$8:$DZ$86)</f>
        <v>1.3453477041224908</v>
      </c>
      <c r="L549" s="586">
        <f>SUMPRODUCT('EE Measures'!DA$8:DA$86,'EE Measures'!$IG$8:$IG$86,'EE Measures'!$O$8:$O$86,'EE Measures'!$DZ$8:$DZ$86)</f>
        <v>1.4849962468762925</v>
      </c>
      <c r="M549" s="586">
        <f>SUMPRODUCT('EE Measures'!DB$8:DB$86,'EE Measures'!$IG$8:$IG$86,'EE Measures'!$O$8:$O$86,'EE Measures'!$DZ$8:$DZ$86)</f>
        <v>1.6302253202152432</v>
      </c>
      <c r="N549" s="586">
        <f>SUMPRODUCT('EE Measures'!DC$8:DC$86,'EE Measures'!$IG$8:$IG$86,'EE Measures'!$O$8:$O$86,'EE Measures'!$DZ$8:$DZ$86)</f>
        <v>1.7812970459213751</v>
      </c>
      <c r="O549" s="586">
        <f>SUMPRODUCT('EE Measures'!DD$8:DD$86,'EE Measures'!$IG$8:$IG$86,'EE Measures'!$O$8:$O$86,'EE Measures'!$DZ$8:$DZ$86)</f>
        <v>1.9384717248884242</v>
      </c>
      <c r="P549" s="586">
        <f>SUMPRODUCT('EE Measures'!DE$8:DE$86,'EE Measures'!$IG$8:$IG$86,'EE Measures'!$O$8:$O$86,'EE Measures'!$DZ$8:$DZ$86)</f>
        <v>2.102021280335852</v>
      </c>
      <c r="Q549" s="586">
        <f>SUMPRODUCT('EE Measures'!DF$8:DF$86,'EE Measures'!$IG$8:$IG$86,'EE Measures'!$O$8:$O$86,'EE Measures'!$DZ$8:$DZ$86)</f>
        <v>2.2721779565912268</v>
      </c>
      <c r="R549" s="586">
        <f>SUMPRODUCT('EE Measures'!DG$8:DG$86,'EE Measures'!$IG$8:$IG$86,'EE Measures'!$O$8:$O$86,'EE Measures'!$DZ$8:$DZ$86)</f>
        <v>2.4492862082833384</v>
      </c>
      <c r="S549" s="586">
        <f>SUMPRODUCT('EE Measures'!DH$8:DH$86,'EE Measures'!$IG$8:$IG$86,'EE Measures'!$O$8:$O$86,'EE Measures'!$DZ$8:$DZ$86)</f>
        <v>2.633656391716257</v>
      </c>
      <c r="T549" s="586">
        <f>SUMPRODUCT('EE Measures'!DI$8:DI$86,'EE Measures'!$IG$8:$IG$86,'EE Measures'!$O$8:$O$86,'EE Measures'!$DZ$8:$DZ$86)</f>
        <v>2.8256126270884501</v>
      </c>
      <c r="U549" s="586">
        <f>SUMPRODUCT('EE Measures'!DJ$8:DJ$86,'EE Measures'!$IG$8:$IG$86,'EE Measures'!$O$8:$O$86,'EE Measures'!$DZ$8:$DZ$86)</f>
        <v>3.0254933904947414</v>
      </c>
      <c r="W549" s="563" t="str">
        <v>Lääne-Eesti</v>
      </c>
      <c r="X549" s="592">
        <f t="shared" ref="X549:X552" si="1996">SUM(Y549:AH549)</f>
        <v>11.820512987780811</v>
      </c>
      <c r="Y549" s="586">
        <f>SUMPRODUCT('EE Measures'!DK$8:DK$86,'EE Measures'!$IG$8:$IG$86,'EE Measures'!$Z$8:$Z$86,'EE Measures'!$DZ$8:$DZ$86)</f>
        <v>0.32657010342972681</v>
      </c>
      <c r="Z549" s="586">
        <f>SUMPRODUCT('EE Measures'!DL$8:DL$86,'EE Measures'!$IG$8:$IG$86,'EE Measures'!$Z$8:$Z$86,'EE Measures'!$DZ$8:$DZ$86)</f>
        <v>0.39025852602765221</v>
      </c>
      <c r="AA549" s="586">
        <f>SUMPRODUCT('EE Measures'!DM$8:DM$86,'EE Measures'!$IG$8:$IG$86,'EE Measures'!$Z$8:$Z$86,'EE Measures'!$DZ$8:$DZ$86)</f>
        <v>0.43001459067958658</v>
      </c>
      <c r="AB549" s="586">
        <f>SUMPRODUCT('EE Measures'!DN$8:DN$86,'EE Measures'!$IG$8:$IG$86,'EE Measures'!$Z$8:$Z$86,'EE Measures'!$DZ$8:$DZ$86)</f>
        <v>0.55178791823906781</v>
      </c>
      <c r="AC549" s="586">
        <f>SUMPRODUCT('EE Measures'!DO$8:DO$86,'EE Measures'!$IG$8:$IG$86,'EE Measures'!$Z$8:$Z$86,'EE Measures'!$DZ$8:$DZ$86)</f>
        <v>0.90582688573928971</v>
      </c>
      <c r="AD549" s="586">
        <f>SUMPRODUCT('EE Measures'!DP$8:DP$86,'EE Measures'!$IG$8:$IG$86,'EE Measures'!$Z$8:$Z$86,'EE Measures'!$DZ$8:$DZ$86)</f>
        <v>1.1977618543326372</v>
      </c>
      <c r="AE549" s="586">
        <f>SUMPRODUCT('EE Measures'!DQ$8:DQ$86,'EE Measures'!$IG$8:$IG$86,'EE Measures'!$Z$8:$Z$86,'EE Measures'!$DZ$8:$DZ$86)</f>
        <v>1.5252443317872728</v>
      </c>
      <c r="AF549" s="586">
        <f>SUMPRODUCT('EE Measures'!DR$8:DR$86,'EE Measures'!$IG$8:$IG$86,'EE Measures'!$Z$8:$Z$86,'EE Measures'!$DZ$8:$DZ$86)</f>
        <v>1.8355664162606562</v>
      </c>
      <c r="AG549" s="586">
        <f>SUMPRODUCT('EE Measures'!DS$8:DS$86,'EE Measures'!$IG$8:$IG$86,'EE Measures'!$Z$8:$Z$86,'EE Measures'!$DZ$8:$DZ$86)</f>
        <v>2.1625063137373903</v>
      </c>
      <c r="AH549" s="586">
        <f>SUMPRODUCT('EE Measures'!DT$8:DT$86,'EE Measures'!$IG$8:$IG$86,'EE Measures'!$Z$8:$Z$86,'EE Measures'!$DZ$8:$DZ$86)</f>
        <v>2.4949760475475293</v>
      </c>
      <c r="AI549" s="586">
        <f>SUMPRODUCT('EE Measures'!DU$8:DU$86,'EE Measures'!$IG$8:$IG$86,'EE Measures'!$Z$8:$Z$86,'EE Measures'!$DZ$8:$DZ$86)</f>
        <v>2.8338348838117859</v>
      </c>
      <c r="AJ549" s="586">
        <f>SUMPRODUCT('EE Measures'!DV$8:DV$86,'EE Measures'!$IG$8:$IG$86,'EE Measures'!$Z$8:$Z$86,'EE Measures'!$DZ$8:$DZ$86)</f>
        <v>3.1892421546760432</v>
      </c>
      <c r="AK549" s="586">
        <f>SUMPRODUCT('EE Measures'!DW$8:DW$86,'EE Measures'!$IG$8:$IG$86,'EE Measures'!$Z$8:$Z$86,'EE Measures'!$DZ$8:$DZ$86)</f>
        <v>3.5619193353247169</v>
      </c>
      <c r="AL549" s="586">
        <f>SUMPRODUCT('EE Measures'!DX$8:DX$86,'EE Measures'!$IG$8:$IG$86,'EE Measures'!$Z$8:$Z$86,'EE Measures'!$DZ$8:$DZ$86)</f>
        <v>3.9526165468525143</v>
      </c>
      <c r="AM549" s="586">
        <f>SUMPRODUCT('EE Measures'!DY$8:DY$86,'EE Measures'!$IG$8:$IG$86,'EE Measures'!$Z$8:$Z$86,'EE Measures'!$DZ$8:$DZ$86)</f>
        <v>4.3621136390332413</v>
      </c>
    </row>
    <row r="550" spans="3:39" hidden="1" outlineLevel="1" x14ac:dyDescent="0.3">
      <c r="C550" s="587" t="str">
        <f t="shared" si="1994"/>
        <v>EEO</v>
      </c>
      <c r="E550" s="563" t="s">
        <v>52</v>
      </c>
      <c r="F550" s="592">
        <f t="shared" si="1995"/>
        <v>46.373448681588684</v>
      </c>
      <c r="G550" s="586">
        <f>SUMPRODUCT('EE Measures'!DK$8:DK$86,'EE Measures'!$IG$8:$IG$86,'EE Measures'!$P$8:$P$86,'EE Measures'!$DZ$8:$DZ$86)</f>
        <v>1.0584757664702868</v>
      </c>
      <c r="H550" s="586">
        <f>SUMPRODUCT('EE Measures'!DL$8:DL$86,'EE Measures'!$IG$8:$IG$86,'EE Measures'!$P$8:$P$86,'EE Measures'!$DZ$8:$DZ$86)</f>
        <v>1.4777861132513084</v>
      </c>
      <c r="I550" s="586">
        <f>SUMPRODUCT('EE Measures'!CX$8:CX$86,'EE Measures'!$IG$8:$IG$86,'EE Measures'!$P$8:$P$86,'EE Measures'!$DZ$8:$DZ$86)</f>
        <v>1.5922055211848056</v>
      </c>
      <c r="J550" s="586">
        <f>SUMPRODUCT('EE Measures'!CY$8:CY$86,'EE Measures'!$IG$8:$IG$86,'EE Measures'!$P$8:$P$86,'EE Measures'!$DZ$8:$DZ$86)</f>
        <v>1.9254897185461139</v>
      </c>
      <c r="K550" s="586">
        <f>SUMPRODUCT('EE Measures'!CZ$8:CZ$86,'EE Measures'!$IG$8:$IG$86,'EE Measures'!$P$8:$P$86,'EE Measures'!$DZ$8:$DZ$86)</f>
        <v>3.2717098954996473</v>
      </c>
      <c r="L550" s="586">
        <f>SUMPRODUCT('EE Measures'!DA$8:DA$86,'EE Measures'!$IG$8:$IG$86,'EE Measures'!$P$8:$P$86,'EE Measures'!$DZ$8:$DZ$86)</f>
        <v>4.5545233400234277</v>
      </c>
      <c r="M550" s="586">
        <f>SUMPRODUCT('EE Measures'!DB$8:DB$86,'EE Measures'!$IG$8:$IG$86,'EE Measures'!$P$8:$P$86,'EE Measures'!$DZ$8:$DZ$86)</f>
        <v>5.9073408823611029</v>
      </c>
      <c r="N550" s="586">
        <f>SUMPRODUCT('EE Measures'!DC$8:DC$86,'EE Measures'!$IG$8:$IG$86,'EE Measures'!$P$8:$P$86,'EE Measures'!$DZ$8:$DZ$86)</f>
        <v>7.3332415698022499</v>
      </c>
      <c r="O550" s="586">
        <f>SUMPRODUCT('EE Measures'!DD$8:DD$86,'EE Measures'!$IG$8:$IG$86,'EE Measures'!$P$8:$P$86,'EE Measures'!$DZ$8:$DZ$86)</f>
        <v>8.8354316467941416</v>
      </c>
      <c r="P550" s="586">
        <f>SUMPRODUCT('EE Measures'!DE$8:DE$86,'EE Measures'!$IG$8:$IG$86,'EE Measures'!$P$8:$P$86,'EE Measures'!$DZ$8:$DZ$86)</f>
        <v>10.417244227655605</v>
      </c>
      <c r="Q550" s="586">
        <f>SUMPRODUCT('EE Measures'!DF$8:DF$86,'EE Measures'!$IG$8:$IG$86,'EE Measures'!$P$8:$P$86,'EE Measures'!$DZ$8:$DZ$86)</f>
        <v>12.085932327858879</v>
      </c>
      <c r="R550" s="586">
        <f>SUMPRODUCT('EE Measures'!DG$8:DG$86,'EE Measures'!$IG$8:$IG$86,'EE Measures'!$P$8:$P$86,'EE Measures'!$DZ$8:$DZ$86)</f>
        <v>13.842497520633305</v>
      </c>
      <c r="S550" s="586">
        <f>SUMPRODUCT('EE Measures'!DH$8:DH$86,'EE Measures'!$IG$8:$IG$86,'EE Measures'!$P$8:$P$86,'EE Measures'!$DZ$8:$DZ$86)</f>
        <v>15.690769643269565</v>
      </c>
      <c r="T550" s="586">
        <f>SUMPRODUCT('EE Measures'!DI$8:DI$86,'EE Measures'!$IG$8:$IG$86,'EE Measures'!$P$8:$P$86,'EE Measures'!$DZ$8:$DZ$86)</f>
        <v>17.634729765122845</v>
      </c>
      <c r="U550" s="586">
        <f>SUMPRODUCT('EE Measures'!DJ$8:DJ$86,'EE Measures'!$IG$8:$IG$86,'EE Measures'!$P$8:$P$86,'EE Measures'!$DZ$8:$DZ$86)</f>
        <v>19.678515831253137</v>
      </c>
      <c r="W550" s="563" t="str">
        <v>Kirde-Eesti</v>
      </c>
      <c r="X550" s="592">
        <f t="shared" si="1996"/>
        <v>10.459115390067765</v>
      </c>
      <c r="Y550" s="586">
        <f>SUMPRODUCT('EE Measures'!DK$8:DK$86,'EE Measures'!$IG$8:$IG$86,'EE Measures'!$AA$8:$AA$86,'EE Measures'!$DZ$8:$DZ$86)</f>
        <v>0.31618986249105929</v>
      </c>
      <c r="Z550" s="586">
        <f>SUMPRODUCT('EE Measures'!DL$8:DL$86,'EE Measures'!$IG$8:$IG$86,'EE Measures'!$AA$8:$AA$86,'EE Measures'!$DZ$8:$DZ$86)</f>
        <v>0.37539659907971495</v>
      </c>
      <c r="AA550" s="586">
        <f>SUMPRODUCT('EE Measures'!DM$8:DM$86,'EE Measures'!$IG$8:$IG$86,'EE Measures'!$AA$8:$AA$86,'EE Measures'!$DZ$8:$DZ$86)</f>
        <v>0.40895849599246564</v>
      </c>
      <c r="AB550" s="586">
        <f>SUMPRODUCT('EE Measures'!DN$8:DN$86,'EE Measures'!$IG$8:$IG$86,'EE Measures'!$AA$8:$AA$86,'EE Measures'!$DZ$8:$DZ$86)</f>
        <v>0.51707052509263385</v>
      </c>
      <c r="AC550" s="586">
        <f>SUMPRODUCT('EE Measures'!DO$8:DO$86,'EE Measures'!$IG$8:$IG$86,'EE Measures'!$AA$8:$AA$86,'EE Measures'!$DZ$8:$DZ$86)</f>
        <v>0.81905554184671669</v>
      </c>
      <c r="AD550" s="586">
        <f>SUMPRODUCT('EE Measures'!DP$8:DP$86,'EE Measures'!$IG$8:$IG$86,'EE Measures'!$AA$8:$AA$86,'EE Measures'!$DZ$8:$DZ$86)</f>
        <v>1.0638022314891649</v>
      </c>
      <c r="AE550" s="586">
        <f>SUMPRODUCT('EE Measures'!DQ$8:DQ$86,'EE Measures'!$IG$8:$IG$86,'EE Measures'!$AA$8:$AA$86,'EE Measures'!$DZ$8:$DZ$86)</f>
        <v>1.3394788380710347</v>
      </c>
      <c r="AF550" s="586">
        <f>SUMPRODUCT('EE Measures'!DR$8:DR$86,'EE Measures'!$IG$8:$IG$86,'EE Measures'!$AA$8:$AA$86,'EE Measures'!$DZ$8:$DZ$86)</f>
        <v>1.598707486545289</v>
      </c>
      <c r="AG550" s="586">
        <f>SUMPRODUCT('EE Measures'!DS$8:DS$86,'EE Measures'!$IG$8:$IG$86,'EE Measures'!$AA$8:$AA$86,'EE Measures'!$DZ$8:$DZ$86)</f>
        <v>1.8717762123562944</v>
      </c>
      <c r="AH550" s="586">
        <f>SUMPRODUCT('EE Measures'!DT$8:DT$86,'EE Measures'!$IG$8:$IG$86,'EE Measures'!$AA$8:$AA$86,'EE Measures'!$DZ$8:$DZ$86)</f>
        <v>2.1486795971033916</v>
      </c>
      <c r="AI550" s="586">
        <f>SUMPRODUCT('EE Measures'!DU$8:DU$86,'EE Measures'!$IG$8:$IG$86,'EE Measures'!$AA$8:$AA$86,'EE Measures'!$DZ$8:$DZ$86)</f>
        <v>2.4300983411986898</v>
      </c>
      <c r="AJ550" s="586">
        <f>SUMPRODUCT('EE Measures'!DV$8:DV$86,'EE Measures'!$IG$8:$IG$86,'EE Measures'!$AA$8:$AA$86,'EE Measures'!$DZ$8:$DZ$86)</f>
        <v>2.7251293042042302</v>
      </c>
      <c r="AK550" s="586">
        <f>SUMPRODUCT('EE Measures'!DW$8:DW$86,'EE Measures'!$IG$8:$IG$86,'EE Measures'!$AA$8:$AA$86,'EE Measures'!$DZ$8:$DZ$86)</f>
        <v>3.0343653524537784</v>
      </c>
      <c r="AL550" s="586">
        <f>SUMPRODUCT('EE Measures'!DX$8:DX$86,'EE Measures'!$IG$8:$IG$86,'EE Measures'!$AA$8:$AA$86,'EE Measures'!$DZ$8:$DZ$86)</f>
        <v>3.3584228857331091</v>
      </c>
      <c r="AM550" s="586">
        <f>SUMPRODUCT('EE Measures'!DY$8:DY$86,'EE Measures'!$IG$8:$IG$86,'EE Measures'!$AA$8:$AA$86,'EE Measures'!$DZ$8:$DZ$86)</f>
        <v>3.6979427268525074</v>
      </c>
    </row>
    <row r="551" spans="3:39" hidden="1" outlineLevel="1" x14ac:dyDescent="0.3">
      <c r="C551" s="587" t="str">
        <f t="shared" si="1994"/>
        <v>EEO</v>
      </c>
      <c r="E551" s="563" t="s">
        <v>53</v>
      </c>
      <c r="F551" s="592">
        <f t="shared" si="1995"/>
        <v>42.791571935919066</v>
      </c>
      <c r="G551" s="586">
        <f>SUMPRODUCT('EE Measures'!DK$8:DK$86,'EE Measures'!$IG$8:$IG$86,'EE Measures'!$Q$8:$Q$86,'EE Measures'!$DZ$8:$DZ$86)</f>
        <v>1.7028371449193995</v>
      </c>
      <c r="H551" s="586">
        <f>SUMPRODUCT('EE Measures'!DL$8:DL$86,'EE Measures'!$IG$8:$IG$86,'EE Measures'!$Q$8:$Q$86,'EE Measures'!$DZ$8:$DZ$86)</f>
        <v>1.8296181344225577</v>
      </c>
      <c r="I551" s="586">
        <f>SUMPRODUCT('EE Measures'!CX$8:CX$86,'EE Measures'!$IG$8:$IG$86,'EE Measures'!$Q$8:$Q$86,'EE Measures'!$DZ$8:$DZ$86)</f>
        <v>1.9711198719554619</v>
      </c>
      <c r="J551" s="586">
        <f>SUMPRODUCT('EE Measures'!CY$8:CY$86,'EE Measures'!$IG$8:$IG$86,'EE Measures'!$Q$8:$Q$86,'EE Measures'!$DZ$8:$DZ$86)</f>
        <v>2.3175668729032979</v>
      </c>
      <c r="K551" s="586">
        <f>SUMPRODUCT('EE Measures'!CZ$8:CZ$86,'EE Measures'!$IG$8:$IG$86,'EE Measures'!$Q$8:$Q$86,'EE Measures'!$DZ$8:$DZ$86)</f>
        <v>3.4336405085521515</v>
      </c>
      <c r="L551" s="586">
        <f>SUMPRODUCT('EE Measures'!DA$8:DA$86,'EE Measures'!$IG$8:$IG$86,'EE Measures'!$Q$8:$Q$86,'EE Measures'!$DZ$8:$DZ$86)</f>
        <v>4.3381354592376109</v>
      </c>
      <c r="M551" s="586">
        <f>SUMPRODUCT('EE Measures'!DB$8:DB$86,'EE Measures'!$IG$8:$IG$86,'EE Measures'!$Q$8:$Q$86,'EE Measures'!$DZ$8:$DZ$86)</f>
        <v>5.4713882214397911</v>
      </c>
      <c r="N551" s="586">
        <f>SUMPRODUCT('EE Measures'!DC$8:DC$86,'EE Measures'!$IG$8:$IG$86,'EE Measures'!$Q$8:$Q$86,'EE Measures'!$DZ$8:$DZ$86)</f>
        <v>6.3442049318179219</v>
      </c>
      <c r="O551" s="586">
        <f>SUMPRODUCT('EE Measures'!DD$8:DD$86,'EE Measures'!$IG$8:$IG$86,'EE Measures'!$Q$8:$Q$86,'EE Measures'!$DZ$8:$DZ$86)</f>
        <v>7.2627460318166701</v>
      </c>
      <c r="P551" s="586">
        <f>SUMPRODUCT('EE Measures'!DE$8:DE$86,'EE Measures'!$IG$8:$IG$86,'EE Measures'!$Q$8:$Q$86,'EE Measures'!$DZ$8:$DZ$86)</f>
        <v>8.1203147588542084</v>
      </c>
      <c r="Q551" s="586">
        <f>SUMPRODUCT('EE Measures'!DF$8:DF$86,'EE Measures'!$IG$8:$IG$86,'EE Measures'!$Q$8:$Q$86,'EE Measures'!$DZ$8:$DZ$86)</f>
        <v>8.9151213116084946</v>
      </c>
      <c r="R551" s="586">
        <f>SUMPRODUCT('EE Measures'!DG$8:DG$86,'EE Measures'!$IG$8:$IG$86,'EE Measures'!$Q$8:$Q$86,'EE Measures'!$DZ$8:$DZ$86)</f>
        <v>9.7388171702828323</v>
      </c>
      <c r="S551" s="586">
        <f>SUMPRODUCT('EE Measures'!DH$8:DH$86,'EE Measures'!$IG$8:$IG$86,'EE Measures'!$Q$8:$Q$86,'EE Measures'!$DZ$8:$DZ$86)</f>
        <v>10.592634117919539</v>
      </c>
      <c r="T551" s="586">
        <f>SUMPRODUCT('EE Measures'!DI$8:DI$86,'EE Measures'!$IG$8:$IG$86,'EE Measures'!$Q$8:$Q$86,'EE Measures'!$DZ$8:$DZ$86)</f>
        <v>11.477851864958858</v>
      </c>
      <c r="U551" s="586">
        <f>SUMPRODUCT('EE Measures'!DJ$8:DJ$86,'EE Measures'!$IG$8:$IG$86,'EE Measures'!$Q$8:$Q$86,'EE Measures'!$DZ$8:$DZ$86)</f>
        <v>12.3957998170506</v>
      </c>
      <c r="W551" s="563" t="str">
        <v>Lõuna-Eesti </v>
      </c>
      <c r="X551" s="592">
        <f t="shared" si="1996"/>
        <v>25.927087616465386</v>
      </c>
      <c r="Y551" s="586">
        <f>SUMPRODUCT('EE Measures'!DK$8:DK$86,'EE Measures'!$IG$8:$IG$86,'EE Measures'!$AB$8:$AB$86,'EE Measures'!$DZ$8:$DZ$86)</f>
        <v>0.77806154932434424</v>
      </c>
      <c r="Z551" s="586">
        <f>SUMPRODUCT('EE Measures'!DL$8:DL$86,'EE Measures'!$IG$8:$IG$86,'EE Measures'!$AB$8:$AB$86,'EE Measures'!$DZ$8:$DZ$86)</f>
        <v>0.92451338882094658</v>
      </c>
      <c r="AA551" s="586">
        <f>SUMPRODUCT('EE Measures'!DM$8:DM$86,'EE Measures'!$IG$8:$IG$86,'EE Measures'!$AB$8:$AB$86,'EE Measures'!$DZ$8:$DZ$86)</f>
        <v>1.0140895580412033</v>
      </c>
      <c r="AB551" s="586">
        <f>SUMPRODUCT('EE Measures'!DN$8:DN$86,'EE Measures'!$IG$8:$IG$86,'EE Measures'!$AB$8:$AB$86,'EE Measures'!$DZ$8:$DZ$86)</f>
        <v>1.3044651971603674</v>
      </c>
      <c r="AC551" s="586">
        <f>SUMPRODUCT('EE Measures'!DO$8:DO$86,'EE Measures'!$IG$8:$IG$86,'EE Measures'!$AB$8:$AB$86,'EE Measures'!$DZ$8:$DZ$86)</f>
        <v>2.0554472258359517</v>
      </c>
      <c r="AD551" s="586">
        <f>SUMPRODUCT('EE Measures'!DP$8:DP$86,'EE Measures'!$IG$8:$IG$86,'EE Measures'!$AB$8:$AB$86,'EE Measures'!$DZ$8:$DZ$86)</f>
        <v>2.6520233606268926</v>
      </c>
      <c r="AE551" s="586">
        <f>SUMPRODUCT('EE Measures'!DQ$8:DQ$86,'EE Measures'!$IG$8:$IG$86,'EE Measures'!$AB$8:$AB$86,'EE Measures'!$DZ$8:$DZ$86)</f>
        <v>3.323630713594532</v>
      </c>
      <c r="AF551" s="586">
        <f>SUMPRODUCT('EE Measures'!DR$8:DR$86,'EE Measures'!$IG$8:$IG$86,'EE Measures'!$AB$8:$AB$86,'EE Measures'!$DZ$8:$DZ$86)</f>
        <v>3.955806064132247</v>
      </c>
      <c r="AG551" s="586">
        <f>SUMPRODUCT('EE Measures'!DS$8:DS$86,'EE Measures'!$IG$8:$IG$86,'EE Measures'!$AB$8:$AB$86,'EE Measures'!$DZ$8:$DZ$86)</f>
        <v>4.6217495684171928</v>
      </c>
      <c r="AH551" s="586">
        <f>SUMPRODUCT('EE Measures'!DT$8:DT$86,'EE Measures'!$IG$8:$IG$86,'EE Measures'!$AB$8:$AB$86,'EE Measures'!$DZ$8:$DZ$86)</f>
        <v>5.2973009905117081</v>
      </c>
      <c r="AI551" s="586">
        <f>SUMPRODUCT('EE Measures'!DU$8:DU$86,'EE Measures'!$IG$8:$IG$86,'EE Measures'!$AB$8:$AB$86,'EE Measures'!$DZ$8:$DZ$86)</f>
        <v>5.9841156582737351</v>
      </c>
      <c r="AJ551" s="586">
        <f>SUMPRODUCT('EE Measures'!DV$8:DV$86,'EE Measures'!$IG$8:$IG$86,'EE Measures'!$AB$8:$AB$86,'EE Measures'!$DZ$8:$DZ$86)</f>
        <v>6.7041957016989091</v>
      </c>
      <c r="AK551" s="586">
        <f>SUMPRODUCT('EE Measures'!DW$8:DW$86,'EE Measures'!$IG$8:$IG$86,'EE Measures'!$AB$8:$AB$86,'EE Measures'!$DZ$8:$DZ$86)</f>
        <v>7.4589917198926754</v>
      </c>
      <c r="AL551" s="586">
        <f>SUMPRODUCT('EE Measures'!DX$8:DX$86,'EE Measures'!$IG$8:$IG$86,'EE Measures'!$AB$8:$AB$86,'EE Measures'!$DZ$8:$DZ$86)</f>
        <v>8.2500120038589788</v>
      </c>
      <c r="AM551" s="586">
        <f>SUMPRODUCT('EE Measures'!DY$8:DY$86,'EE Measures'!$IG$8:$IG$86,'EE Measures'!$AB$8:$AB$86,'EE Measures'!$DZ$8:$DZ$86)</f>
        <v>9.0788247234585331</v>
      </c>
    </row>
    <row r="552" spans="3:39" hidden="1" outlineLevel="1" x14ac:dyDescent="0.3">
      <c r="C552" s="587" t="str">
        <f t="shared" si="1994"/>
        <v>EEO</v>
      </c>
      <c r="E552" s="563" t="s">
        <v>54</v>
      </c>
      <c r="F552" s="592">
        <f t="shared" si="1995"/>
        <v>0.55155389091793672</v>
      </c>
      <c r="G552" s="586">
        <f>SUMPRODUCT('EE Measures'!DK$8:DK$86,'EE Measures'!$IG$8:$IG$86,'EE Measures'!$R$8:$R$86,'EE Measures'!$DZ$8:$DZ$86)</f>
        <v>2.6006736789950479E-2</v>
      </c>
      <c r="H552" s="586">
        <f>SUMPRODUCT('EE Measures'!DL$8:DL$86,'EE Measures'!$IG$8:$IG$86,'EE Measures'!$R$8:$R$86,'EE Measures'!$DZ$8:$DZ$86)</f>
        <v>2.7113828311852613E-2</v>
      </c>
      <c r="I552" s="586">
        <f>SUMPRODUCT('EE Measures'!CX$8:CX$86,'EE Measures'!$IG$8:$IG$86,'EE Measures'!$R$8:$R$86,'EE Measures'!$DZ$8:$DZ$86)</f>
        <v>2.8442815539012508E-2</v>
      </c>
      <c r="J552" s="586">
        <f>SUMPRODUCT('EE Measures'!CY$8:CY$86,'EE Measures'!$IG$8:$IG$86,'EE Measures'!$R$8:$R$86,'EE Measures'!$DZ$8:$DZ$86)</f>
        <v>5.1215876797280908E-2</v>
      </c>
      <c r="K552" s="586">
        <f>SUMPRODUCT('EE Measures'!CZ$8:CZ$86,'EE Measures'!$IG$8:$IG$86,'EE Measures'!$R$8:$R$86,'EE Measures'!$DZ$8:$DZ$86)</f>
        <v>6.446644597374622E-2</v>
      </c>
      <c r="L552" s="586">
        <f>SUMPRODUCT('EE Measures'!DA$8:DA$86,'EE Measures'!$IG$8:$IG$86,'EE Measures'!$R$8:$R$86,'EE Measures'!$DZ$8:$DZ$86)</f>
        <v>6.6496298088442124E-2</v>
      </c>
      <c r="M552" s="586">
        <f>SUMPRODUCT('EE Measures'!DB$8:DB$86,'EE Measures'!$IG$8:$IG$86,'EE Measures'!$R$8:$R$86,'EE Measures'!$DZ$8:$DZ$86)</f>
        <v>6.8599897603210336E-2</v>
      </c>
      <c r="N552" s="586">
        <f>SUMPRODUCT('EE Measures'!DC$8:DC$86,'EE Measures'!$IG$8:$IG$86,'EE Measures'!$R$8:$R$86,'EE Measures'!$DZ$8:$DZ$86)</f>
        <v>7.0781090602209232E-2</v>
      </c>
      <c r="O552" s="586">
        <f>SUMPRODUCT('EE Measures'!DD$8:DD$86,'EE Measures'!$IG$8:$IG$86,'EE Measures'!$R$8:$R$86,'EE Measures'!$DZ$8:$DZ$86)</f>
        <v>7.304280663793189E-2</v>
      </c>
      <c r="P552" s="586">
        <f>SUMPRODUCT('EE Measures'!DE$8:DE$86,'EE Measures'!$IG$8:$IG$86,'EE Measures'!$R$8:$R$86,'EE Measures'!$DZ$8:$DZ$86)</f>
        <v>7.5388094574300513E-2</v>
      </c>
      <c r="Q552" s="586">
        <f>SUMPRODUCT('EE Measures'!DF$8:DF$86,'EE Measures'!$IG$8:$IG$86,'EE Measures'!$R$8:$R$86,'EE Measures'!$DZ$8:$DZ$86)</f>
        <v>7.7816006774511975E-2</v>
      </c>
      <c r="R552" s="586">
        <f>SUMPRODUCT('EE Measures'!DG$8:DG$86,'EE Measures'!$IG$8:$IG$86,'EE Measures'!$R$8:$R$86,'EE Measures'!$DZ$8:$DZ$86)</f>
        <v>8.033364493150294E-2</v>
      </c>
      <c r="S552" s="586">
        <f>SUMPRODUCT('EE Measures'!DH$8:DH$86,'EE Measures'!$IG$8:$IG$86,'EE Measures'!$R$8:$R$86,'EE Measures'!$DZ$8:$DZ$86)</f>
        <v>8.2944483642312272E-2</v>
      </c>
      <c r="T552" s="586">
        <f>SUMPRODUCT('EE Measures'!DI$8:DI$86,'EE Measures'!$IG$8:$IG$86,'EE Measures'!$R$8:$R$86,'EE Measures'!$DZ$8:$DZ$86)</f>
        <v>8.5652138012393866E-2</v>
      </c>
      <c r="U552" s="586">
        <f>SUMPRODUCT('EE Measures'!DJ$8:DJ$86,'EE Measures'!$IG$8:$IG$86,'EE Measures'!$R$8:$R$86,'EE Measures'!$DZ$8:$DZ$86)</f>
        <v>8.8460369352355878E-2</v>
      </c>
      <c r="W552" s="563" t="str">
        <v>Kesk-Eesti</v>
      </c>
      <c r="X552" s="592">
        <f t="shared" si="1996"/>
        <v>10.31244743776397</v>
      </c>
      <c r="Y552" s="586">
        <f>SUMPRODUCT('EE Measures'!DK$8:DK$86,'EE Measures'!$IG$8:$IG$86,'EE Measures'!$AC$8:$AC$86,'EE Measures'!$DZ$8:$DZ$86)</f>
        <v>0.30778019696481274</v>
      </c>
      <c r="Z552" s="586">
        <f>SUMPRODUCT('EE Measures'!DL$8:DL$86,'EE Measures'!$IG$8:$IG$86,'EE Measures'!$AC$8:$AC$86,'EE Measures'!$DZ$8:$DZ$86)</f>
        <v>0.36837717036426171</v>
      </c>
      <c r="AA552" s="586">
        <f>SUMPRODUCT('EE Measures'!DM$8:DM$86,'EE Measures'!$IG$8:$IG$86,'EE Measures'!$AC$8:$AC$86,'EE Measures'!$DZ$8:$DZ$86)</f>
        <v>0.40467833239257245</v>
      </c>
      <c r="AB552" s="586">
        <f>SUMPRODUCT('EE Measures'!DN$8:DN$86,'EE Measures'!$IG$8:$IG$86,'EE Measures'!$AC$8:$AC$86,'EE Measures'!$DZ$8:$DZ$86)</f>
        <v>0.5235399658246126</v>
      </c>
      <c r="AC552" s="586">
        <f>SUMPRODUCT('EE Measures'!DO$8:DO$86,'EE Measures'!$IG$8:$IG$86,'EE Measures'!$AC$8:$AC$86,'EE Measures'!$DZ$8:$DZ$86)</f>
        <v>0.82187868541909292</v>
      </c>
      <c r="AD552" s="586">
        <f>SUMPRODUCT('EE Measures'!DP$8:DP$86,'EE Measures'!$IG$8:$IG$86,'EE Measures'!$AC$8:$AC$86,'EE Measures'!$DZ$8:$DZ$86)</f>
        <v>1.0572037175513556</v>
      </c>
      <c r="AE552" s="586">
        <f>SUMPRODUCT('EE Measures'!DQ$8:DQ$86,'EE Measures'!$IG$8:$IG$86,'EE Measures'!$AC$8:$AC$86,'EE Measures'!$DZ$8:$DZ$86)</f>
        <v>1.3216794876493541</v>
      </c>
      <c r="AF552" s="586">
        <f>SUMPRODUCT('EE Measures'!DR$8:DR$86,'EE Measures'!$IG$8:$IG$86,'EE Measures'!$AC$8:$AC$86,'EE Measures'!$DZ$8:$DZ$86)</f>
        <v>1.5713746823351</v>
      </c>
      <c r="AG552" s="586">
        <f>SUMPRODUCT('EE Measures'!DS$8:DS$86,'EE Measures'!$IG$8:$IG$86,'EE Measures'!$AC$8:$AC$86,'EE Measures'!$DZ$8:$DZ$86)</f>
        <v>1.8344097819959262</v>
      </c>
      <c r="AH552" s="586">
        <f>SUMPRODUCT('EE Measures'!DT$8:DT$86,'EE Measures'!$IG$8:$IG$86,'EE Measures'!$AC$8:$AC$86,'EE Measures'!$DZ$8:$DZ$86)</f>
        <v>2.1015254172668816</v>
      </c>
      <c r="AI552" s="586">
        <f>SUMPRODUCT('EE Measures'!DU$8:DU$86,'EE Measures'!$IG$8:$IG$86,'EE Measures'!$AC$8:$AC$86,'EE Measures'!$DZ$8:$DZ$86)</f>
        <v>2.3733909696622457</v>
      </c>
      <c r="AJ552" s="586">
        <f>SUMPRODUCT('EE Measures'!DV$8:DV$86,'EE Measures'!$IG$8:$IG$86,'EE Measures'!$AC$8:$AC$86,'EE Measures'!$DZ$8:$DZ$86)</f>
        <v>2.6584597734375919</v>
      </c>
      <c r="AK552" s="586">
        <f>SUMPRODUCT('EE Measures'!DW$8:DW$86,'EE Measures'!$IG$8:$IG$86,'EE Measures'!$AC$8:$AC$86,'EE Measures'!$DZ$8:$DZ$86)</f>
        <v>2.9573079044307398</v>
      </c>
      <c r="AL552" s="586">
        <f>SUMPRODUCT('EE Measures'!DX$8:DX$86,'EE Measures'!$IG$8:$IG$86,'EE Measures'!$AC$8:$AC$86,'EE Measures'!$DZ$8:$DZ$86)</f>
        <v>3.2705343708311516</v>
      </c>
      <c r="AM552" s="586">
        <f>SUMPRODUCT('EE Measures'!DY$8:DY$86,'EE Measures'!$IG$8:$IG$86,'EE Measures'!$AC$8:$AC$86,'EE Measures'!$DZ$8:$DZ$86)</f>
        <v>3.5987619836864035</v>
      </c>
    </row>
    <row r="553" spans="3:39" hidden="1" outlineLevel="1" x14ac:dyDescent="0.3">
      <c r="C553" s="587" t="str">
        <f>E553</f>
        <v>VA</v>
      </c>
      <c r="E553" s="555" t="str">
        <f>'EE Measures'!$IH$6</f>
        <v>VA</v>
      </c>
      <c r="F553" s="590">
        <f>SUM(G553:P553)</f>
        <v>101.5633230526623</v>
      </c>
      <c r="G553" s="591">
        <f>SUM(G554:G558)</f>
        <v>3.5239328704024651</v>
      </c>
      <c r="H553" s="591">
        <f>SUM(H554:H558)</f>
        <v>4.1939791978245911</v>
      </c>
      <c r="I553" s="591">
        <f t="shared" ref="I553" si="1997">SUM(I554:I558)</f>
        <v>4.5765660922855798</v>
      </c>
      <c r="J553" s="591">
        <f t="shared" ref="J553" si="1998">SUM(J554:J558)</f>
        <v>5.928376049331149</v>
      </c>
      <c r="K553" s="591">
        <f t="shared" ref="K553" si="1999">SUM(K554:K558)</f>
        <v>8.5232504067902468</v>
      </c>
      <c r="L553" s="591">
        <f t="shared" ref="L553" si="2000">SUM(L554:L558)</f>
        <v>10.537321723782949</v>
      </c>
      <c r="M553" s="591">
        <f t="shared" ref="M553" si="2001">SUM(M554:M558)</f>
        <v>12.837647203614655</v>
      </c>
      <c r="N553" s="591">
        <f t="shared" ref="N553" si="2002">SUM(N554:N558)</f>
        <v>14.93758876903517</v>
      </c>
      <c r="O553" s="591">
        <f t="shared" ref="O553" si="2003">SUM(O554:O558)</f>
        <v>17.145935582122949</v>
      </c>
      <c r="P553" s="591">
        <f t="shared" ref="P553:U553" si="2004">SUM(P554:P558)</f>
        <v>19.358725157472541</v>
      </c>
      <c r="Q553" s="591">
        <f t="shared" si="2004"/>
        <v>21.57970108830234</v>
      </c>
      <c r="R553" s="591">
        <f t="shared" si="2004"/>
        <v>23.901623778899481</v>
      </c>
      <c r="S553" s="591">
        <f t="shared" si="2004"/>
        <v>26.328864119573169</v>
      </c>
      <c r="T553" s="591">
        <f t="shared" si="2004"/>
        <v>28.865966628995306</v>
      </c>
      <c r="U553" s="591">
        <f t="shared" si="2004"/>
        <v>31.51765600998916</v>
      </c>
      <c r="W553" s="555" t="str">
        <f>'EE Measures'!$IH$6</f>
        <v>VA</v>
      </c>
      <c r="X553" s="590">
        <f>SUM(Y553:AH553)</f>
        <v>101.56332305266228</v>
      </c>
      <c r="Y553" s="591">
        <f t="shared" ref="Y553:Z553" si="2005">SUM(Y554:Y558)</f>
        <v>3.5239328704024651</v>
      </c>
      <c r="Z553" s="591">
        <f t="shared" si="2005"/>
        <v>4.1939791978245911</v>
      </c>
      <c r="AA553" s="591">
        <f t="shared" ref="AA553" si="2006">SUM(AA554:AA558)</f>
        <v>4.5765660922855789</v>
      </c>
      <c r="AB553" s="591">
        <f t="shared" ref="AB553" si="2007">SUM(AB554:AB558)</f>
        <v>5.928376049331149</v>
      </c>
      <c r="AC553" s="591">
        <f t="shared" ref="AC553" si="2008">SUM(AC554:AC558)</f>
        <v>8.523250406790245</v>
      </c>
      <c r="AD553" s="591">
        <f t="shared" ref="AD553" si="2009">SUM(AD554:AD558)</f>
        <v>10.53732172378295</v>
      </c>
      <c r="AE553" s="591">
        <f t="shared" ref="AE553" si="2010">SUM(AE554:AE558)</f>
        <v>12.837647203614653</v>
      </c>
      <c r="AF553" s="591">
        <f t="shared" ref="AF553" si="2011">SUM(AF554:AF558)</f>
        <v>14.937588769035171</v>
      </c>
      <c r="AG553" s="591">
        <f t="shared" ref="AG553" si="2012">SUM(AG554:AG558)</f>
        <v>17.145935582122952</v>
      </c>
      <c r="AH553" s="591">
        <f t="shared" ref="AH553:AM553" si="2013">SUM(AH554:AH558)</f>
        <v>19.358725157472538</v>
      </c>
      <c r="AI553" s="591">
        <f t="shared" si="2013"/>
        <v>21.57970108830234</v>
      </c>
      <c r="AJ553" s="591">
        <f t="shared" si="2013"/>
        <v>23.901623778899484</v>
      </c>
      <c r="AK553" s="591">
        <f t="shared" si="2013"/>
        <v>26.328864119573172</v>
      </c>
      <c r="AL553" s="591">
        <f t="shared" si="2013"/>
        <v>28.865966628995309</v>
      </c>
      <c r="AM553" s="591">
        <f t="shared" si="2013"/>
        <v>31.51765600998916</v>
      </c>
    </row>
    <row r="554" spans="3:39" hidden="1" outlineLevel="1" x14ac:dyDescent="0.3">
      <c r="C554" s="587" t="str">
        <f>C553</f>
        <v>VA</v>
      </c>
      <c r="E554" s="563" t="s">
        <v>50</v>
      </c>
      <c r="F554" s="592">
        <f>SUM(G554:P554)</f>
        <v>6.792623744700041</v>
      </c>
      <c r="G554" s="593">
        <f>SUMPRODUCT('EE Measures'!CV$8:CV$86,'EE Measures'!$IH$8:$IH$86,'EE Measures'!$N$8:$N$86,'EE Measures'!$DZ$8:$DZ$86)</f>
        <v>0.40967694623700107</v>
      </c>
      <c r="H554" s="593">
        <f>SUMPRODUCT('EE Measures'!CW$8:CW$86,'EE Measures'!$IH$8:$IH$86,'EE Measures'!$N$8:$N$86,'EE Measures'!$DZ$8:$DZ$86)</f>
        <v>0.43054253953932725</v>
      </c>
      <c r="I554" s="593">
        <f>SUMPRODUCT('EE Measures'!CX$8:CX$86,'EE Measures'!$IH$8:$IH$86,'EE Measures'!$N$8:$N$86,'EE Measures'!$DZ$8:$DZ$86)</f>
        <v>0.45288286252201115</v>
      </c>
      <c r="J554" s="593">
        <f>SUMPRODUCT('EE Measures'!CY$8:CY$86,'EE Measures'!$IH$8:$IH$86,'EE Measures'!$N$8:$N$86,'EE Measures'!$DZ$8:$DZ$86)</f>
        <v>0.62848296757934097</v>
      </c>
      <c r="K554" s="593">
        <f>SUMPRODUCT('EE Measures'!CZ$8:CZ$86,'EE Measures'!$IH$8:$IH$86,'EE Measures'!$N$8:$N$86,'EE Measures'!$DZ$8:$DZ$86)</f>
        <v>0.7340664666434813</v>
      </c>
      <c r="L554" s="593">
        <f>SUMPRODUCT('EE Measures'!DA$8:DA$86,'EE Measures'!$IH$8:$IH$86,'EE Measures'!$N$8:$N$86,'EE Measures'!$DZ$8:$DZ$86)</f>
        <v>0.76359932865803171</v>
      </c>
      <c r="M554" s="593">
        <f>SUMPRODUCT('EE Measures'!DB$8:DB$86,'EE Measures'!$IH$8:$IH$86,'EE Measures'!$N$8:$N$86,'EE Measures'!$DZ$8:$DZ$86)</f>
        <v>0.79427088107754495</v>
      </c>
      <c r="N554" s="593">
        <f>SUMPRODUCT('EE Measures'!DC$8:DC$86,'EE Measures'!$IH$8:$IH$86,'EE Measures'!$N$8:$N$86,'EE Measures'!$DZ$8:$DZ$86)</f>
        <v>0.82614392133853309</v>
      </c>
      <c r="O554" s="593">
        <f>SUMPRODUCT('EE Measures'!DD$8:DD$86,'EE Measures'!$IH$8:$IH$86,'EE Measures'!$N$8:$N$86,'EE Measures'!$DZ$8:$DZ$86)</f>
        <v>0.85926701345848122</v>
      </c>
      <c r="P554" s="593">
        <f>SUMPRODUCT('EE Measures'!DE$8:DE$86,'EE Measures'!$IH$8:$IH$86,'EE Measures'!$N$8:$N$86,'EE Measures'!$DZ$8:$DZ$86)</f>
        <v>0.89369081764628755</v>
      </c>
      <c r="Q554" s="593">
        <f>SUMPRODUCT('EE Measures'!DF$8:DF$86,'EE Measures'!$IH$8:$IH$86,'EE Measures'!$N$8:$N$86,'EE Measures'!$DZ$8:$DZ$86)</f>
        <v>0.92940326794933004</v>
      </c>
      <c r="R554" s="593">
        <f>SUMPRODUCT('EE Measures'!DG$8:DG$86,'EE Measures'!$IH$8:$IH$86,'EE Measures'!$N$8:$N$86,'EE Measures'!$DZ$8:$DZ$86)</f>
        <v>0.96651934046698107</v>
      </c>
      <c r="S554" s="593">
        <f>SUMPRODUCT('EE Measures'!DH$8:DH$86,'EE Measures'!$IH$8:$IH$86,'EE Measures'!$N$8:$N$86,'EE Measures'!$DZ$8:$DZ$86)</f>
        <v>1.005097132115746</v>
      </c>
      <c r="T554" s="593">
        <f>SUMPRODUCT('EE Measures'!DI$8:DI$86,'EE Measures'!$IH$8:$IH$86,'EE Measures'!$N$8:$N$86,'EE Measures'!$DZ$8:$DZ$86)</f>
        <v>1.0451972256739737</v>
      </c>
      <c r="U554" s="593">
        <f>SUMPRODUCT('EE Measures'!DJ$8:DJ$86,'EE Measures'!$IH$8:$IH$86,'EE Measures'!$N$8:$N$86,'EE Measures'!$DZ$8:$DZ$86)</f>
        <v>1.0868827953096933</v>
      </c>
      <c r="W554" s="563" t="str" cm="1">
        <f t="array" ref="W554:W558">_xlfn.ANCHORARRAY($W$357)</f>
        <v xml:space="preserve">Põhja-Eesti </v>
      </c>
      <c r="X554" s="592">
        <f>SUM(Y554:AH554)</f>
        <v>48.039050040041609</v>
      </c>
      <c r="Y554" s="593">
        <f>SUMPRODUCT('EE Measures'!CV$8:CV$86,'EE Measures'!$IH$8:$IH$86,'EE Measures'!$Y$8:$Y$86,'EE Measures'!$DZ$8:$DZ$86)</f>
        <v>1.7953311581925222</v>
      </c>
      <c r="Z554" s="593">
        <f>SUMPRODUCT('EE Measures'!CW$8:CW$86,'EE Measures'!$IH$8:$IH$86,'EE Measures'!$Y$8:$Y$86,'EE Measures'!$DZ$8:$DZ$86)</f>
        <v>2.132568929085783</v>
      </c>
      <c r="AA554" s="593">
        <f>SUMPRODUCT('EE Measures'!CX$8:CX$86,'EE Measures'!$IH$8:$IH$86,'EE Measures'!$Y$8:$Y$86,'EE Measures'!$DZ$8:$DZ$86)</f>
        <v>2.3145939518941177</v>
      </c>
      <c r="AB554" s="593">
        <f>SUMPRODUCT('EE Measures'!CY$8:CY$86,'EE Measures'!$IH$8:$IH$86,'EE Measures'!$Y$8:$Y$86,'EE Measures'!$DZ$8:$DZ$86)</f>
        <v>2.976936536779796</v>
      </c>
      <c r="AC554" s="593">
        <f>SUMPRODUCT('EE Measures'!CZ$8:CZ$86,'EE Measures'!$IH$8:$IH$86,'EE Measures'!$Y$8:$Y$86,'EE Measures'!$DZ$8:$DZ$86)</f>
        <v>4.1392126259073603</v>
      </c>
      <c r="AD554" s="593">
        <f>SUMPRODUCT('EE Measures'!DA$8:DA$86,'EE Measures'!$IH$8:$IH$86,'EE Measures'!$Y$8:$Y$86,'EE Measures'!$DZ$8:$DZ$86)</f>
        <v>5.0147285622385089</v>
      </c>
      <c r="AE554" s="593">
        <f>SUMPRODUCT('EE Measures'!DB$8:DB$86,'EE Measures'!$IH$8:$IH$86,'EE Measures'!$Y$8:$Y$86,'EE Measures'!$DZ$8:$DZ$86)</f>
        <v>6.0201967891910533</v>
      </c>
      <c r="AF554" s="593">
        <f>SUMPRODUCT('EE Measures'!DC$8:DC$86,'EE Measures'!$IH$8:$IH$86,'EE Measures'!$Y$8:$Y$86,'EE Measures'!$DZ$8:$DZ$86)</f>
        <v>6.9281180426641225</v>
      </c>
      <c r="AG554" s="593">
        <f>SUMPRODUCT('EE Measures'!DD$8:DD$86,'EE Measures'!$IH$8:$IH$86,'EE Measures'!$Y$8:$Y$86,'EE Measures'!$DZ$8:$DZ$86)</f>
        <v>7.8825676080726064</v>
      </c>
      <c r="AH554" s="593">
        <f>SUMPRODUCT('EE Measures'!DE$8:DE$86,'EE Measures'!$IH$8:$IH$86,'EE Measures'!$Y$8:$Y$86,'EE Measures'!$DZ$8:$DZ$86)</f>
        <v>8.8347958360157381</v>
      </c>
      <c r="AI554" s="593">
        <f>SUMPRODUCT('EE Measures'!DF$8:DF$86,'EE Measures'!$IH$8:$IH$86,'EE Measures'!$Y$8:$Y$86,'EE Measures'!$DZ$8:$DZ$86)</f>
        <v>9.7861736317738117</v>
      </c>
      <c r="AJ554" s="593">
        <f>SUMPRODUCT('EE Measures'!DG$8:DG$86,'EE Measures'!$IH$8:$IH$86,'EE Measures'!$Y$8:$Y$86,'EE Measures'!$DZ$8:$DZ$86)</f>
        <v>10.779954975939335</v>
      </c>
      <c r="AK554" s="593">
        <f>SUMPRODUCT('EE Measures'!DH$8:DH$86,'EE Measures'!$IH$8:$IH$86,'EE Measures'!$Y$8:$Y$86,'EE Measures'!$DZ$8:$DZ$86)</f>
        <v>11.817970998126411</v>
      </c>
      <c r="AL554" s="593">
        <f>SUMPRODUCT('EE Measures'!DI$8:DI$86,'EE Measures'!$IH$8:$IH$86,'EE Measures'!$Y$8:$Y$86,'EE Measures'!$DZ$8:$DZ$86)</f>
        <v>12.902125576208821</v>
      </c>
      <c r="AM554" s="593">
        <f>SUMPRODUCT('EE Measures'!DJ$8:DJ$86,'EE Measures'!$IH$8:$IH$86,'EE Measures'!$Y$8:$Y$86,'EE Measures'!$DZ$8:$DZ$86)</f>
        <v>14.034398086688547</v>
      </c>
    </row>
    <row r="555" spans="3:39" hidden="1" outlineLevel="1" x14ac:dyDescent="0.3">
      <c r="C555" s="587" t="str">
        <f t="shared" ref="C555:C558" si="2014">C554</f>
        <v>VA</v>
      </c>
      <c r="E555" s="563" t="s">
        <v>51</v>
      </c>
      <c r="F555" s="592">
        <f t="shared" ref="F555:F558" si="2015">SUM(G555:P555)</f>
        <v>12.573864637806185</v>
      </c>
      <c r="G555" s="593">
        <f>SUMPRODUCT('EE Measures'!CV$8:CV$86,'EE Measures'!$IH$8:$IH$86,'EE Measures'!$O$8:$O$86,'EE Measures'!$DZ$8:$DZ$86)</f>
        <v>0.32693627598582725</v>
      </c>
      <c r="H555" s="593">
        <f>SUMPRODUCT('EE Measures'!CW$8:CW$86,'EE Measures'!$IH$8:$IH$86,'EE Measures'!$O$8:$O$86,'EE Measures'!$DZ$8:$DZ$86)</f>
        <v>0.42703340487127572</v>
      </c>
      <c r="I555" s="593">
        <f>SUMPRODUCT('EE Measures'!CX$8:CX$86,'EE Measures'!$IH$8:$IH$86,'EE Measures'!$O$8:$O$86,'EE Measures'!$DZ$8:$DZ$86)</f>
        <v>0.53191502108428823</v>
      </c>
      <c r="J555" s="593">
        <f>SUMPRODUCT('EE Measures'!CY$8:CY$86,'EE Measures'!$IH$8:$IH$86,'EE Measures'!$O$8:$O$86,'EE Measures'!$DZ$8:$DZ$86)</f>
        <v>1.0056206135051147</v>
      </c>
      <c r="K555" s="593">
        <f>SUMPRODUCT('EE Measures'!CZ$8:CZ$86,'EE Measures'!$IH$8:$IH$86,'EE Measures'!$O$8:$O$86,'EE Measures'!$DZ$8:$DZ$86)</f>
        <v>1.3453477041224908</v>
      </c>
      <c r="L555" s="593">
        <f>SUMPRODUCT('EE Measures'!DA$8:DA$86,'EE Measures'!$IH$8:$IH$86,'EE Measures'!$O$8:$O$86,'EE Measures'!$DZ$8:$DZ$86)</f>
        <v>1.4849962468762925</v>
      </c>
      <c r="M555" s="593">
        <f>SUMPRODUCT('EE Measures'!DB$8:DB$86,'EE Measures'!$IH$8:$IH$86,'EE Measures'!$O$8:$O$86,'EE Measures'!$DZ$8:$DZ$86)</f>
        <v>1.6302253202152432</v>
      </c>
      <c r="N555" s="593">
        <f>SUMPRODUCT('EE Measures'!DC$8:DC$86,'EE Measures'!$IH$8:$IH$86,'EE Measures'!$O$8:$O$86,'EE Measures'!$DZ$8:$DZ$86)</f>
        <v>1.7812970459213751</v>
      </c>
      <c r="O555" s="593">
        <f>SUMPRODUCT('EE Measures'!DD$8:DD$86,'EE Measures'!$IH$8:$IH$86,'EE Measures'!$O$8:$O$86,'EE Measures'!$DZ$8:$DZ$86)</f>
        <v>1.9384717248884242</v>
      </c>
      <c r="P555" s="593">
        <f>SUMPRODUCT('EE Measures'!DE$8:DE$86,'EE Measures'!$IH$8:$IH$86,'EE Measures'!$O$8:$O$86,'EE Measures'!$DZ$8:$DZ$86)</f>
        <v>2.102021280335852</v>
      </c>
      <c r="Q555" s="593">
        <f>SUMPRODUCT('EE Measures'!DF$8:DF$86,'EE Measures'!$IH$8:$IH$86,'EE Measures'!$O$8:$O$86,'EE Measures'!$DZ$8:$DZ$86)</f>
        <v>2.2721779565912268</v>
      </c>
      <c r="R555" s="593">
        <f>SUMPRODUCT('EE Measures'!DG$8:DG$86,'EE Measures'!$IH$8:$IH$86,'EE Measures'!$O$8:$O$86,'EE Measures'!$DZ$8:$DZ$86)</f>
        <v>2.4492862082833384</v>
      </c>
      <c r="S555" s="593">
        <f>SUMPRODUCT('EE Measures'!DH$8:DH$86,'EE Measures'!$IH$8:$IH$86,'EE Measures'!$O$8:$O$86,'EE Measures'!$DZ$8:$DZ$86)</f>
        <v>2.633656391716257</v>
      </c>
      <c r="T555" s="593">
        <f>SUMPRODUCT('EE Measures'!DI$8:DI$86,'EE Measures'!$IH$8:$IH$86,'EE Measures'!$O$8:$O$86,'EE Measures'!$DZ$8:$DZ$86)</f>
        <v>2.8256126270884501</v>
      </c>
      <c r="U555" s="593">
        <f>SUMPRODUCT('EE Measures'!DJ$8:DJ$86,'EE Measures'!$IH$8:$IH$86,'EE Measures'!$O$8:$O$86,'EE Measures'!$DZ$8:$DZ$86)</f>
        <v>3.0254933904947414</v>
      </c>
      <c r="W555" s="563" t="str">
        <v>Lääne-Eesti</v>
      </c>
      <c r="X555" s="592">
        <f t="shared" ref="X555:X558" si="2016">SUM(Y555:AH555)</f>
        <v>10.649713561956929</v>
      </c>
      <c r="Y555" s="593">
        <f>SUMPRODUCT('EE Measures'!CV$8:CV$86,'EE Measures'!$IH$8:$IH$86,'EE Measures'!$Z$8:$Z$86,'EE Measures'!$DZ$8:$DZ$86)</f>
        <v>0.32657010342972681</v>
      </c>
      <c r="Z555" s="593">
        <f>SUMPRODUCT('EE Measures'!CW$8:CW$86,'EE Measures'!$IH$8:$IH$86,'EE Measures'!$Z$8:$Z$86,'EE Measures'!$DZ$8:$DZ$86)</f>
        <v>0.39078101670460824</v>
      </c>
      <c r="AA555" s="593">
        <f>SUMPRODUCT('EE Measures'!CX$8:CX$86,'EE Measures'!$IH$8:$IH$86,'EE Measures'!$Z$8:$Z$86,'EE Measures'!$DZ$8:$DZ$86)</f>
        <v>0.43076810190375719</v>
      </c>
      <c r="AB555" s="593">
        <f>SUMPRODUCT('EE Measures'!CY$8:CY$86,'EE Measures'!$IH$8:$IH$86,'EE Measures'!$Z$8:$Z$86,'EE Measures'!$DZ$8:$DZ$86)</f>
        <v>0.56173308472909822</v>
      </c>
      <c r="AC555" s="593">
        <f>SUMPRODUCT('EE Measures'!CZ$8:CZ$86,'EE Measures'!$IH$8:$IH$86,'EE Measures'!$Z$8:$Z$86,'EE Measures'!$DZ$8:$DZ$86)</f>
        <v>0.855239581785461</v>
      </c>
      <c r="AD555" s="593">
        <f>SUMPRODUCT('EE Measures'!DA$8:DA$86,'EE Measures'!$IH$8:$IH$86,'EE Measures'!$Z$8:$Z$86,'EE Measures'!$DZ$8:$DZ$86)</f>
        <v>1.0931655718868072</v>
      </c>
      <c r="AE555" s="593">
        <f>SUMPRODUCT('EE Measures'!DB$8:DB$86,'EE Measures'!$IH$8:$IH$86,'EE Measures'!$Z$8:$Z$86,'EE Measures'!$DZ$8:$DZ$86)</f>
        <v>1.363335101827021</v>
      </c>
      <c r="AF555" s="593">
        <f>SUMPRODUCT('EE Measures'!DC$8:DC$86,'EE Measures'!$IH$8:$IH$86,'EE Measures'!$Z$8:$Z$86,'EE Measures'!$DZ$8:$DZ$86)</f>
        <v>1.6128896589003654</v>
      </c>
      <c r="AG555" s="593">
        <f>SUMPRODUCT('EE Measures'!DD$8:DD$86,'EE Measures'!$IH$8:$IH$86,'EE Measures'!$Z$8:$Z$86,'EE Measures'!$DZ$8:$DZ$86)</f>
        <v>1.8754533538214218</v>
      </c>
      <c r="AH555" s="593">
        <f>SUMPRODUCT('EE Measures'!DE$8:DE$86,'EE Measures'!$IH$8:$IH$86,'EE Measures'!$Z$8:$Z$86,'EE Measures'!$DZ$8:$DZ$86)</f>
        <v>2.1397779869686628</v>
      </c>
      <c r="AI555" s="593">
        <f>SUMPRODUCT('EE Measures'!DF$8:DF$86,'EE Measures'!$IH$8:$IH$86,'EE Measures'!$Z$8:$Z$86,'EE Measures'!$DZ$8:$DZ$86)</f>
        <v>2.4063869957350192</v>
      </c>
      <c r="AJ555" s="593">
        <f>SUMPRODUCT('EE Measures'!DG$8:DG$86,'EE Measures'!$IH$8:$IH$86,'EE Measures'!$Z$8:$Z$86,'EE Measures'!$DZ$8:$DZ$86)</f>
        <v>2.6853861577159281</v>
      </c>
      <c r="AK555" s="593">
        <f>SUMPRODUCT('EE Measures'!DH$8:DH$86,'EE Measures'!$IH$8:$IH$86,'EE Measures'!$Z$8:$Z$86,'EE Measures'!$DZ$8:$DZ$86)</f>
        <v>2.9773134728258244</v>
      </c>
      <c r="AL555" s="593">
        <f>SUMPRODUCT('EE Measures'!DI$8:DI$86,'EE Measures'!$IH$8:$IH$86,'EE Measures'!$Z$8:$Z$86,'EE Measures'!$DZ$8:$DZ$86)</f>
        <v>3.2827282965010856</v>
      </c>
      <c r="AM555" s="593">
        <f>SUMPRODUCT('EE Measures'!DJ$8:DJ$86,'EE Measures'!$IH$8:$IH$86,'EE Measures'!$Z$8:$Z$86,'EE Measures'!$DZ$8:$DZ$86)</f>
        <v>3.6022121442076629</v>
      </c>
    </row>
    <row r="556" spans="3:39" hidden="1" outlineLevel="1" x14ac:dyDescent="0.3">
      <c r="C556" s="587" t="str">
        <f t="shared" si="2014"/>
        <v>VA</v>
      </c>
      <c r="E556" s="563" t="s">
        <v>52</v>
      </c>
      <c r="F556" s="592">
        <f t="shared" si="2015"/>
        <v>38.853574174284489</v>
      </c>
      <c r="G556" s="593">
        <f>SUMPRODUCT('EE Measures'!CV$8:CV$86,'EE Measures'!$IH$8:$IH$86,'EE Measures'!$P$8:$P$86,'EE Measures'!$DZ$8:$DZ$86)</f>
        <v>1.0584757664702868</v>
      </c>
      <c r="H556" s="593">
        <f>SUMPRODUCT('EE Measures'!CW$8:CW$86,'EE Measures'!$IH$8:$IH$86,'EE Measures'!$P$8:$P$86,'EE Measures'!$DZ$8:$DZ$86)</f>
        <v>1.4795366216450017</v>
      </c>
      <c r="I556" s="593">
        <f>SUMPRODUCT('EE Measures'!CX$8:CX$86,'EE Measures'!$IH$8:$IH$86,'EE Measures'!$P$8:$P$86,'EE Measures'!$DZ$8:$DZ$86)</f>
        <v>1.5922055211848056</v>
      </c>
      <c r="J556" s="593">
        <f>SUMPRODUCT('EE Measures'!CY$8:CY$86,'EE Measures'!$IH$8:$IH$86,'EE Measures'!$P$8:$P$86,'EE Measures'!$DZ$8:$DZ$86)</f>
        <v>1.9254897185461139</v>
      </c>
      <c r="K556" s="593">
        <f>SUMPRODUCT('EE Measures'!CZ$8:CZ$86,'EE Measures'!$IH$8:$IH$86,'EE Measures'!$P$8:$P$86,'EE Measures'!$DZ$8:$DZ$86)</f>
        <v>2.9457292814983762</v>
      </c>
      <c r="L556" s="593">
        <f>SUMPRODUCT('EE Measures'!DA$8:DA$86,'EE Measures'!$IH$8:$IH$86,'EE Measures'!$P$8:$P$86,'EE Measures'!$DZ$8:$DZ$86)</f>
        <v>3.8840943909225718</v>
      </c>
      <c r="M556" s="593">
        <f>SUMPRODUCT('EE Measures'!DB$8:DB$86,'EE Measures'!$IH$8:$IH$86,'EE Measures'!$P$8:$P$86,'EE Measures'!$DZ$8:$DZ$86)</f>
        <v>4.873162883278864</v>
      </c>
      <c r="N556" s="593">
        <f>SUMPRODUCT('EE Measures'!DC$8:DC$86,'EE Measures'!$IH$8:$IH$86,'EE Measures'!$P$8:$P$86,'EE Measures'!$DZ$8:$DZ$86)</f>
        <v>5.915161779355131</v>
      </c>
      <c r="O556" s="593">
        <f>SUMPRODUCT('EE Measures'!DD$8:DD$86,'EE Measures'!$IH$8:$IH$86,'EE Measures'!$P$8:$P$86,'EE Measures'!$DZ$8:$DZ$86)</f>
        <v>7.0124080053214435</v>
      </c>
      <c r="P556" s="593">
        <f>SUMPRODUCT('EE Measures'!DE$8:DE$86,'EE Measures'!$IH$8:$IH$86,'EE Measures'!$P$8:$P$86,'EE Measures'!$DZ$8:$DZ$86)</f>
        <v>8.1673102060618952</v>
      </c>
      <c r="Q556" s="593">
        <f>SUMPRODUCT('EE Measures'!DF$8:DF$86,'EE Measures'!$IH$8:$IH$86,'EE Measures'!$P$8:$P$86,'EE Measures'!$DZ$8:$DZ$86)</f>
        <v>9.3851825453787754</v>
      </c>
      <c r="R556" s="593">
        <f>SUMPRODUCT('EE Measures'!DG$8:DG$86,'EE Measures'!$IH$8:$IH$86,'EE Measures'!$P$8:$P$86,'EE Measures'!$DZ$8:$DZ$86)</f>
        <v>10.666667414934826</v>
      </c>
      <c r="S556" s="593">
        <f>SUMPRODUCT('EE Measures'!DH$8:DH$86,'EE Measures'!$IH$8:$IH$86,'EE Measures'!$P$8:$P$86,'EE Measures'!$DZ$8:$DZ$86)</f>
        <v>12.014531994179315</v>
      </c>
      <c r="T556" s="593">
        <f>SUMPRODUCT('EE Measures'!DI$8:DI$86,'EE Measures'!$IH$8:$IH$86,'EE Measures'!$P$8:$P$86,'EE Measures'!$DZ$8:$DZ$86)</f>
        <v>13.431652773261632</v>
      </c>
      <c r="U556" s="593">
        <f>SUMPRODUCT('EE Measures'!DJ$8:DJ$86,'EE Measures'!$IH$8:$IH$86,'EE Measures'!$P$8:$P$86,'EE Measures'!$DZ$8:$DZ$86)</f>
        <v>14.92101963778177</v>
      </c>
      <c r="W556" s="563" t="str">
        <v>Kirde-Eesti</v>
      </c>
      <c r="X556" s="592">
        <f t="shared" si="2016"/>
        <v>9.5679662655375957</v>
      </c>
      <c r="Y556" s="593">
        <f>SUMPRODUCT('EE Measures'!CV$8:CV$86,'EE Measures'!$IH$8:$IH$86,'EE Measures'!$AA$8:$AA$86,'EE Measures'!$DZ$8:$DZ$86)</f>
        <v>0.31618986249105929</v>
      </c>
      <c r="Z556" s="593">
        <f>SUMPRODUCT('EE Measures'!CW$8:CW$86,'EE Measures'!$IH$8:$IH$86,'EE Measures'!$AA$8:$AA$86,'EE Measures'!$DZ$8:$DZ$86)</f>
        <v>0.37587145735268856</v>
      </c>
      <c r="AA556" s="593">
        <f>SUMPRODUCT('EE Measures'!CX$8:CX$86,'EE Measures'!$IH$8:$IH$86,'EE Measures'!$AA$8:$AA$86,'EE Measures'!$DZ$8:$DZ$86)</f>
        <v>0.40967029392713139</v>
      </c>
      <c r="AB556" s="593">
        <f>SUMPRODUCT('EE Measures'!CY$8:CY$86,'EE Measures'!$IH$8:$IH$86,'EE Measures'!$AA$8:$AA$86,'EE Measures'!$DZ$8:$DZ$86)</f>
        <v>0.52612280227764918</v>
      </c>
      <c r="AC556" s="593">
        <f>SUMPRODUCT('EE Measures'!CZ$8:CZ$86,'EE Measures'!$IH$8:$IH$86,'EE Measures'!$AA$8:$AA$86,'EE Measures'!$DZ$8:$DZ$86)</f>
        <v>0.77967831682442346</v>
      </c>
      <c r="AD556" s="593">
        <f>SUMPRODUCT('EE Measures'!DA$8:DA$86,'EE Measures'!$IH$8:$IH$86,'EE Measures'!$AA$8:$AA$86,'EE Measures'!$DZ$8:$DZ$86)</f>
        <v>0.98355501492639852</v>
      </c>
      <c r="AE556" s="593">
        <f>SUMPRODUCT('EE Measures'!DB$8:DB$86,'EE Measures'!$IH$8:$IH$86,'EE Measures'!$AA$8:$AA$86,'EE Measures'!$DZ$8:$DZ$86)</f>
        <v>1.2158450396761831</v>
      </c>
      <c r="AF556" s="593">
        <f>SUMPRODUCT('EE Measures'!DC$8:DC$86,'EE Measures'!$IH$8:$IH$86,'EE Measures'!$AA$8:$AA$86,'EE Measures'!$DZ$8:$DZ$86)</f>
        <v>1.4290554857511584</v>
      </c>
      <c r="AG556" s="593">
        <f>SUMPRODUCT('EE Measures'!DD$8:DD$86,'EE Measures'!$IH$8:$IH$86,'EE Measures'!$AA$8:$AA$86,'EE Measures'!$DZ$8:$DZ$86)</f>
        <v>1.6533567796193169</v>
      </c>
      <c r="AH556" s="593">
        <f>SUMPRODUCT('EE Measures'!DE$8:DE$86,'EE Measures'!$IH$8:$IH$86,'EE Measures'!$AA$8:$AA$86,'EE Measures'!$DZ$8:$DZ$86)</f>
        <v>1.878621212691586</v>
      </c>
      <c r="AI556" s="593">
        <f>SUMPRODUCT('EE Measures'!DF$8:DF$86,'EE Measures'!$IH$8:$IH$86,'EE Measures'!$AA$8:$AA$86,'EE Measures'!$DZ$8:$DZ$86)</f>
        <v>2.1052680957397603</v>
      </c>
      <c r="AJ556" s="593">
        <f>SUMPRODUCT('EE Measures'!DG$8:DG$86,'EE Measures'!$IH$8:$IH$86,'EE Measures'!$AA$8:$AA$86,'EE Measures'!$DZ$8:$DZ$86)</f>
        <v>2.342358710547598</v>
      </c>
      <c r="AK556" s="593">
        <f>SUMPRODUCT('EE Measures'!DH$8:DH$86,'EE Measures'!$IH$8:$IH$86,'EE Measures'!$AA$8:$AA$86,'EE Measures'!$DZ$8:$DZ$86)</f>
        <v>2.5903459067989756</v>
      </c>
      <c r="AL556" s="593">
        <f>SUMPRODUCT('EE Measures'!DI$8:DI$86,'EE Measures'!$IH$8:$IH$86,'EE Measures'!$AA$8:$AA$86,'EE Measures'!$DZ$8:$DZ$86)</f>
        <v>2.8497004987942667</v>
      </c>
      <c r="AM556" s="593">
        <f>SUMPRODUCT('EE Measures'!DJ$8:DJ$86,'EE Measures'!$IH$8:$IH$86,'EE Measures'!$AA$8:$AA$86,'EE Measures'!$DZ$8:$DZ$86)</f>
        <v>3.1209119420484392</v>
      </c>
    </row>
    <row r="557" spans="3:39" hidden="1" outlineLevel="1" x14ac:dyDescent="0.3">
      <c r="C557" s="587" t="str">
        <f t="shared" si="2014"/>
        <v>VA</v>
      </c>
      <c r="E557" s="563" t="s">
        <v>53</v>
      </c>
      <c r="F557" s="592">
        <f t="shared" si="2015"/>
        <v>42.79163883048048</v>
      </c>
      <c r="G557" s="593">
        <f>SUMPRODUCT('EE Measures'!CV$8:CV$86,'EE Measures'!$IH$8:$IH$86,'EE Measures'!$Q$8:$Q$86,'EE Measures'!$DZ$8:$DZ$86)</f>
        <v>1.7028371449193995</v>
      </c>
      <c r="H557" s="593">
        <f>SUMPRODUCT('EE Measures'!CW$8:CW$86,'EE Measures'!$IH$8:$IH$86,'EE Measures'!$Q$8:$Q$86,'EE Measures'!$DZ$8:$DZ$86)</f>
        <v>1.8296850289839701</v>
      </c>
      <c r="I557" s="593">
        <f>SUMPRODUCT('EE Measures'!CX$8:CX$86,'EE Measures'!$IH$8:$IH$86,'EE Measures'!$Q$8:$Q$86,'EE Measures'!$DZ$8:$DZ$86)</f>
        <v>1.9711198719554619</v>
      </c>
      <c r="J557" s="593">
        <f>SUMPRODUCT('EE Measures'!CY$8:CY$86,'EE Measures'!$IH$8:$IH$86,'EE Measures'!$Q$8:$Q$86,'EE Measures'!$DZ$8:$DZ$86)</f>
        <v>2.3175668729032979</v>
      </c>
      <c r="K557" s="593">
        <f>SUMPRODUCT('EE Measures'!CZ$8:CZ$86,'EE Measures'!$IH$8:$IH$86,'EE Measures'!$Q$8:$Q$86,'EE Measures'!$DZ$8:$DZ$86)</f>
        <v>3.4336405085521515</v>
      </c>
      <c r="L557" s="593">
        <f>SUMPRODUCT('EE Measures'!DA$8:DA$86,'EE Measures'!$IH$8:$IH$86,'EE Measures'!$Q$8:$Q$86,'EE Measures'!$DZ$8:$DZ$86)</f>
        <v>4.3381354592376109</v>
      </c>
      <c r="M557" s="593">
        <f>SUMPRODUCT('EE Measures'!DB$8:DB$86,'EE Measures'!$IH$8:$IH$86,'EE Measures'!$Q$8:$Q$86,'EE Measures'!$DZ$8:$DZ$86)</f>
        <v>5.4713882214397911</v>
      </c>
      <c r="N557" s="593">
        <f>SUMPRODUCT('EE Measures'!DC$8:DC$86,'EE Measures'!$IH$8:$IH$86,'EE Measures'!$Q$8:$Q$86,'EE Measures'!$DZ$8:$DZ$86)</f>
        <v>6.3442049318179219</v>
      </c>
      <c r="O557" s="593">
        <f>SUMPRODUCT('EE Measures'!DD$8:DD$86,'EE Measures'!$IH$8:$IH$86,'EE Measures'!$Q$8:$Q$86,'EE Measures'!$DZ$8:$DZ$86)</f>
        <v>7.2627460318166701</v>
      </c>
      <c r="P557" s="593">
        <f>SUMPRODUCT('EE Measures'!DE$8:DE$86,'EE Measures'!$IH$8:$IH$86,'EE Measures'!$Q$8:$Q$86,'EE Measures'!$DZ$8:$DZ$86)</f>
        <v>8.1203147588542084</v>
      </c>
      <c r="Q557" s="593">
        <f>SUMPRODUCT('EE Measures'!DF$8:DF$86,'EE Measures'!$IH$8:$IH$86,'EE Measures'!$Q$8:$Q$86,'EE Measures'!$DZ$8:$DZ$86)</f>
        <v>8.9151213116084946</v>
      </c>
      <c r="R557" s="593">
        <f>SUMPRODUCT('EE Measures'!DG$8:DG$86,'EE Measures'!$IH$8:$IH$86,'EE Measures'!$Q$8:$Q$86,'EE Measures'!$DZ$8:$DZ$86)</f>
        <v>9.7388171702828323</v>
      </c>
      <c r="S557" s="593">
        <f>SUMPRODUCT('EE Measures'!DH$8:DH$86,'EE Measures'!$IH$8:$IH$86,'EE Measures'!$Q$8:$Q$86,'EE Measures'!$DZ$8:$DZ$86)</f>
        <v>10.592634117919539</v>
      </c>
      <c r="T557" s="593">
        <f>SUMPRODUCT('EE Measures'!DI$8:DI$86,'EE Measures'!$IH$8:$IH$86,'EE Measures'!$Q$8:$Q$86,'EE Measures'!$DZ$8:$DZ$86)</f>
        <v>11.477851864958858</v>
      </c>
      <c r="U557" s="593">
        <f>SUMPRODUCT('EE Measures'!DJ$8:DJ$86,'EE Measures'!$IH$8:$IH$86,'EE Measures'!$Q$8:$Q$86,'EE Measures'!$DZ$8:$DZ$86)</f>
        <v>12.3957998170506</v>
      </c>
      <c r="W557" s="563" t="str">
        <v>Lõuna-Eesti </v>
      </c>
      <c r="X557" s="592">
        <f t="shared" si="2016"/>
        <v>23.789234589710556</v>
      </c>
      <c r="Y557" s="593">
        <f>SUMPRODUCT('EE Measures'!CV$8:CV$86,'EE Measures'!$IH$8:$IH$86,'EE Measures'!$AB$8:$AB$86,'EE Measures'!$DZ$8:$DZ$86)</f>
        <v>0.77806154932434424</v>
      </c>
      <c r="Z557" s="593">
        <f>SUMPRODUCT('EE Measures'!CW$8:CW$86,'EE Measures'!$IH$8:$IH$86,'EE Measures'!$AB$8:$AB$86,'EE Measures'!$DZ$8:$DZ$86)</f>
        <v>0.9258363339622786</v>
      </c>
      <c r="AA557" s="593">
        <f>SUMPRODUCT('EE Measures'!CX$8:CX$86,'EE Measures'!$IH$8:$IH$86,'EE Measures'!$AB$8:$AB$86,'EE Measures'!$DZ$8:$DZ$86)</f>
        <v>1.0160545101327869</v>
      </c>
      <c r="AB557" s="593">
        <f>SUMPRODUCT('EE Measures'!CY$8:CY$86,'EE Measures'!$IH$8:$IH$86,'EE Measures'!$AB$8:$AB$86,'EE Measures'!$DZ$8:$DZ$86)</f>
        <v>1.3296754231150811</v>
      </c>
      <c r="AC557" s="593">
        <f>SUMPRODUCT('EE Measures'!CZ$8:CZ$86,'EE Measures'!$IH$8:$IH$86,'EE Measures'!$AB$8:$AB$86,'EE Measures'!$DZ$8:$DZ$86)</f>
        <v>1.9618916839887615</v>
      </c>
      <c r="AD557" s="593">
        <f>SUMPRODUCT('EE Measures'!DA$8:DA$86,'EE Measures'!$IH$8:$IH$86,'EE Measures'!$AB$8:$AB$86,'EE Measures'!$DZ$8:$DZ$86)</f>
        <v>2.4600102269175914</v>
      </c>
      <c r="AE557" s="593">
        <f>SUMPRODUCT('EE Measures'!DB$8:DB$86,'EE Measures'!$IH$8:$IH$86,'EE Measures'!$AB$8:$AB$86,'EE Measures'!$DZ$8:$DZ$86)</f>
        <v>3.0269678438293108</v>
      </c>
      <c r="AF557" s="593">
        <f>SUMPRODUCT('EE Measures'!DC$8:DC$86,'EE Measures'!$IH$8:$IH$86,'EE Measures'!$AB$8:$AB$86,'EE Measures'!$DZ$8:$DZ$86)</f>
        <v>3.5480167782723306</v>
      </c>
      <c r="AG557" s="593">
        <f>SUMPRODUCT('EE Measures'!DD$8:DD$86,'EE Measures'!$IH$8:$IH$86,'EE Measures'!$AB$8:$AB$86,'EE Measures'!$DZ$8:$DZ$86)</f>
        <v>4.0960663524902188</v>
      </c>
      <c r="AH557" s="593">
        <f>SUMPRODUCT('EE Measures'!DE$8:DE$86,'EE Measures'!$IH$8:$IH$86,'EE Measures'!$AB$8:$AB$86,'EE Measures'!$DZ$8:$DZ$86)</f>
        <v>4.6466538876778527</v>
      </c>
      <c r="AI557" s="593">
        <f>SUMPRODUCT('EE Measures'!DF$8:DF$86,'EE Measures'!$IH$8:$IH$86,'EE Measures'!$AB$8:$AB$86,'EE Measures'!$DZ$8:$DZ$86)</f>
        <v>5.2007859524104418</v>
      </c>
      <c r="AJ557" s="593">
        <f>SUMPRODUCT('EE Measures'!DG$8:DG$86,'EE Measures'!$IH$8:$IH$86,'EE Measures'!$AB$8:$AB$86,'EE Measures'!$DZ$8:$DZ$86)</f>
        <v>5.7803803587921134</v>
      </c>
      <c r="AK557" s="593">
        <f>SUMPRODUCT('EE Measures'!DH$8:DH$86,'EE Measures'!$IH$8:$IH$86,'EE Measures'!$AB$8:$AB$86,'EE Measures'!$DZ$8:$DZ$86)</f>
        <v>6.3865414357190495</v>
      </c>
      <c r="AL557" s="593">
        <f>SUMPRODUCT('EE Measures'!DI$8:DI$86,'EE Measures'!$IH$8:$IH$86,'EE Measures'!$AB$8:$AB$86,'EE Measures'!$DZ$8:$DZ$86)</f>
        <v>7.0204173932094776</v>
      </c>
      <c r="AM557" s="593">
        <f>SUMPRODUCT('EE Measures'!DJ$8:DJ$86,'EE Measures'!$IH$8:$IH$86,'EE Measures'!$AB$8:$AB$86,'EE Measures'!$DZ$8:$DZ$86)</f>
        <v>7.6832019787734804</v>
      </c>
    </row>
    <row r="558" spans="3:39" hidden="1" outlineLevel="1" x14ac:dyDescent="0.3">
      <c r="C558" s="587" t="str">
        <f t="shared" si="2014"/>
        <v>VA</v>
      </c>
      <c r="E558" s="563" t="s">
        <v>54</v>
      </c>
      <c r="F558" s="592">
        <f t="shared" si="2015"/>
        <v>0.55162166539110014</v>
      </c>
      <c r="G558" s="593">
        <f>SUMPRODUCT('EE Measures'!CV$8:CV$86,'EE Measures'!$IH$8:$IH$86,'EE Measures'!$R$8:$R$86,'EE Measures'!$DZ$8:$DZ$86)</f>
        <v>2.6006736789950479E-2</v>
      </c>
      <c r="H558" s="593">
        <f>SUMPRODUCT('EE Measures'!CW$8:CW$86,'EE Measures'!$IH$8:$IH$86,'EE Measures'!$R$8:$R$86,'EE Measures'!$DZ$8:$DZ$86)</f>
        <v>2.7181602785016017E-2</v>
      </c>
      <c r="I558" s="593">
        <f>SUMPRODUCT('EE Measures'!CX$8:CX$86,'EE Measures'!$IH$8:$IH$86,'EE Measures'!$R$8:$R$86,'EE Measures'!$DZ$8:$DZ$86)</f>
        <v>2.8442815539012508E-2</v>
      </c>
      <c r="J558" s="593">
        <f>SUMPRODUCT('EE Measures'!CY$8:CY$86,'EE Measures'!$IH$8:$IH$86,'EE Measures'!$R$8:$R$86,'EE Measures'!$DZ$8:$DZ$86)</f>
        <v>5.1215876797280908E-2</v>
      </c>
      <c r="K558" s="593">
        <f>SUMPRODUCT('EE Measures'!CZ$8:CZ$86,'EE Measures'!$IH$8:$IH$86,'EE Measures'!$R$8:$R$86,'EE Measures'!$DZ$8:$DZ$86)</f>
        <v>6.446644597374622E-2</v>
      </c>
      <c r="L558" s="593">
        <f>SUMPRODUCT('EE Measures'!DA$8:DA$86,'EE Measures'!$IH$8:$IH$86,'EE Measures'!$R$8:$R$86,'EE Measures'!$DZ$8:$DZ$86)</f>
        <v>6.6496298088442124E-2</v>
      </c>
      <c r="M558" s="593">
        <f>SUMPRODUCT('EE Measures'!DB$8:DB$86,'EE Measures'!$IH$8:$IH$86,'EE Measures'!$R$8:$R$86,'EE Measures'!$DZ$8:$DZ$86)</f>
        <v>6.8599897603210336E-2</v>
      </c>
      <c r="N558" s="593">
        <f>SUMPRODUCT('EE Measures'!DC$8:DC$86,'EE Measures'!$IH$8:$IH$86,'EE Measures'!$R$8:$R$86,'EE Measures'!$DZ$8:$DZ$86)</f>
        <v>7.0781090602209232E-2</v>
      </c>
      <c r="O558" s="593">
        <f>SUMPRODUCT('EE Measures'!DD$8:DD$86,'EE Measures'!$IH$8:$IH$86,'EE Measures'!$R$8:$R$86,'EE Measures'!$DZ$8:$DZ$86)</f>
        <v>7.304280663793189E-2</v>
      </c>
      <c r="P558" s="593">
        <f>SUMPRODUCT('EE Measures'!DE$8:DE$86,'EE Measures'!$IH$8:$IH$86,'EE Measures'!$R$8:$R$86,'EE Measures'!$DZ$8:$DZ$86)</f>
        <v>7.5388094574300513E-2</v>
      </c>
      <c r="Q558" s="593">
        <f>SUMPRODUCT('EE Measures'!DF$8:DF$86,'EE Measures'!$IH$8:$IH$86,'EE Measures'!$R$8:$R$86,'EE Measures'!$DZ$8:$DZ$86)</f>
        <v>7.7816006774511975E-2</v>
      </c>
      <c r="R558" s="593">
        <f>SUMPRODUCT('EE Measures'!DG$8:DG$86,'EE Measures'!$IH$8:$IH$86,'EE Measures'!$R$8:$R$86,'EE Measures'!$DZ$8:$DZ$86)</f>
        <v>8.033364493150294E-2</v>
      </c>
      <c r="S558" s="593">
        <f>SUMPRODUCT('EE Measures'!DH$8:DH$86,'EE Measures'!$IH$8:$IH$86,'EE Measures'!$R$8:$R$86,'EE Measures'!$DZ$8:$DZ$86)</f>
        <v>8.2944483642312272E-2</v>
      </c>
      <c r="T558" s="593">
        <f>SUMPRODUCT('EE Measures'!DI$8:DI$86,'EE Measures'!$IH$8:$IH$86,'EE Measures'!$R$8:$R$86,'EE Measures'!$DZ$8:$DZ$86)</f>
        <v>8.5652138012393866E-2</v>
      </c>
      <c r="U558" s="593">
        <f>SUMPRODUCT('EE Measures'!DJ$8:DJ$86,'EE Measures'!$IH$8:$IH$86,'EE Measures'!$R$8:$R$86,'EE Measures'!$DZ$8:$DZ$86)</f>
        <v>8.8460369352355878E-2</v>
      </c>
      <c r="W558" s="563" t="str">
        <v>Kesk-Eesti</v>
      </c>
      <c r="X558" s="592">
        <f t="shared" si="2016"/>
        <v>9.5173585954156081</v>
      </c>
      <c r="Y558" s="593">
        <f>SUMPRODUCT('EE Measures'!CV$8:CV$86,'EE Measures'!$IH$8:$IH$86,'EE Measures'!$AC$8:$AC$86,'EE Measures'!$DZ$8:$DZ$86)</f>
        <v>0.30778019696481274</v>
      </c>
      <c r="Z558" s="593">
        <f>SUMPRODUCT('EE Measures'!CW$8:CW$86,'EE Measures'!$IH$8:$IH$86,'EE Measures'!$AC$8:$AC$86,'EE Measures'!$DZ$8:$DZ$86)</f>
        <v>0.36892146071923271</v>
      </c>
      <c r="AA558" s="593">
        <f>SUMPRODUCT('EE Measures'!CX$8:CX$86,'EE Measures'!$IH$8:$IH$86,'EE Measures'!$AC$8:$AC$86,'EE Measures'!$DZ$8:$DZ$86)</f>
        <v>0.40547923442778655</v>
      </c>
      <c r="AB558" s="593">
        <f>SUMPRODUCT('EE Measures'!CY$8:CY$86,'EE Measures'!$IH$8:$IH$86,'EE Measures'!$AC$8:$AC$86,'EE Measures'!$DZ$8:$DZ$86)</f>
        <v>0.53390820242952441</v>
      </c>
      <c r="AC558" s="593">
        <f>SUMPRODUCT('EE Measures'!CZ$8:CZ$86,'EE Measures'!$IH$8:$IH$86,'EE Measures'!$AC$8:$AC$86,'EE Measures'!$DZ$8:$DZ$86)</f>
        <v>0.78722819828423884</v>
      </c>
      <c r="AD558" s="593">
        <f>SUMPRODUCT('EE Measures'!DA$8:DA$86,'EE Measures'!$IH$8:$IH$86,'EE Measures'!$AC$8:$AC$86,'EE Measures'!$DZ$8:$DZ$86)</f>
        <v>0.9858623478136439</v>
      </c>
      <c r="AE558" s="593">
        <f>SUMPRODUCT('EE Measures'!DB$8:DB$86,'EE Measures'!$IH$8:$IH$86,'EE Measures'!$AC$8:$AC$86,'EE Measures'!$DZ$8:$DZ$86)</f>
        <v>1.211302429091085</v>
      </c>
      <c r="AF558" s="593">
        <f>SUMPRODUCT('EE Measures'!DC$8:DC$86,'EE Measures'!$IH$8:$IH$86,'EE Measures'!$AC$8:$AC$86,'EE Measures'!$DZ$8:$DZ$86)</f>
        <v>1.4195088034471937</v>
      </c>
      <c r="AG558" s="593">
        <f>SUMPRODUCT('EE Measures'!DD$8:DD$86,'EE Measures'!$IH$8:$IH$86,'EE Measures'!$AC$8:$AC$86,'EE Measures'!$DZ$8:$DZ$86)</f>
        <v>1.6384914881193882</v>
      </c>
      <c r="AH558" s="593">
        <f>SUMPRODUCT('EE Measures'!DE$8:DE$86,'EE Measures'!$IH$8:$IH$86,'EE Measures'!$AC$8:$AC$86,'EE Measures'!$DZ$8:$DZ$86)</f>
        <v>1.8588762341187008</v>
      </c>
      <c r="AI558" s="593">
        <f>SUMPRODUCT('EE Measures'!DF$8:DF$86,'EE Measures'!$IH$8:$IH$86,'EE Measures'!$AC$8:$AC$86,'EE Measures'!$DZ$8:$DZ$86)</f>
        <v>2.0810864126433049</v>
      </c>
      <c r="AJ558" s="593">
        <f>SUMPRODUCT('EE Measures'!DG$8:DG$86,'EE Measures'!$IH$8:$IH$86,'EE Measures'!$AC$8:$AC$86,'EE Measures'!$DZ$8:$DZ$86)</f>
        <v>2.3135435759045091</v>
      </c>
      <c r="AK558" s="593">
        <f>SUMPRODUCT('EE Measures'!DH$8:DH$86,'EE Measures'!$IH$8:$IH$86,'EE Measures'!$AC$8:$AC$86,'EE Measures'!$DZ$8:$DZ$86)</f>
        <v>2.556692306102911</v>
      </c>
      <c r="AL558" s="593">
        <f>SUMPRODUCT('EE Measures'!DI$8:DI$86,'EE Measures'!$IH$8:$IH$86,'EE Measures'!$AC$8:$AC$86,'EE Measures'!$DZ$8:$DZ$86)</f>
        <v>2.810994864281656</v>
      </c>
      <c r="AM558" s="593">
        <f>SUMPRODUCT('EE Measures'!DJ$8:DJ$86,'EE Measures'!$IH$8:$IH$86,'EE Measures'!$AC$8:$AC$86,'EE Measures'!$DZ$8:$DZ$86)</f>
        <v>3.0769318582710303</v>
      </c>
    </row>
    <row r="559" spans="3:39" hidden="1" outlineLevel="1" x14ac:dyDescent="0.3">
      <c r="C559" s="587" t="str">
        <f>E559</f>
        <v>Renowave</v>
      </c>
      <c r="E559" s="555" t="str">
        <f>'EE Measures'!$II$6</f>
        <v>Renowave</v>
      </c>
      <c r="F559" s="590">
        <f>SUM(G559:P559)</f>
        <v>104.57197305894145</v>
      </c>
      <c r="G559" s="591">
        <f>SUM(G560:G564)</f>
        <v>3.5239328704024651</v>
      </c>
      <c r="H559" s="591">
        <f>SUM(H560:H564)</f>
        <v>4.1939791978245911</v>
      </c>
      <c r="I559" s="591">
        <f t="shared" ref="I559" si="2017">SUM(I560:I564)</f>
        <v>4.5765660922855798</v>
      </c>
      <c r="J559" s="591">
        <f t="shared" ref="J559" si="2018">SUM(J560:J564)</f>
        <v>5.928376049331149</v>
      </c>
      <c r="K559" s="591">
        <f t="shared" ref="K559" si="2019">SUM(K560:K564)</f>
        <v>8.6536426523907544</v>
      </c>
      <c r="L559" s="591">
        <f t="shared" ref="L559" si="2020">SUM(L560:L564)</f>
        <v>10.80549330342329</v>
      </c>
      <c r="M559" s="591">
        <f t="shared" ref="M559" si="2021">SUM(M560:M564)</f>
        <v>13.251318403247549</v>
      </c>
      <c r="N559" s="591">
        <f t="shared" ref="N559" si="2022">SUM(N560:N564)</f>
        <v>15.504820685214018</v>
      </c>
      <c r="O559" s="591">
        <f t="shared" ref="O559" si="2023">SUM(O560:O564)</f>
        <v>17.875145038712031</v>
      </c>
      <c r="P559" s="591">
        <f t="shared" ref="P559:U559" si="2024">SUM(P560:P564)</f>
        <v>20.25869876611003</v>
      </c>
      <c r="Q559" s="591">
        <f t="shared" si="2024"/>
        <v>22.660001001294379</v>
      </c>
      <c r="R559" s="591">
        <f t="shared" si="2024"/>
        <v>25.171955821178873</v>
      </c>
      <c r="S559" s="591">
        <f t="shared" si="2024"/>
        <v>27.799359179209265</v>
      </c>
      <c r="T559" s="591">
        <f t="shared" si="2024"/>
        <v>30.547197425739792</v>
      </c>
      <c r="U559" s="591">
        <f t="shared" si="2024"/>
        <v>33.42065448737771</v>
      </c>
      <c r="W559" s="555" t="str">
        <f>'EE Measures'!$II$6</f>
        <v>Renowave</v>
      </c>
      <c r="X559" s="590">
        <f>SUM(Y559:AH559)</f>
        <v>104.57197305894144</v>
      </c>
      <c r="Y559" s="591">
        <f t="shared" ref="Y559:Z559" si="2025">SUM(Y560:Y564)</f>
        <v>3.5239328704024651</v>
      </c>
      <c r="Z559" s="591">
        <f t="shared" si="2025"/>
        <v>4.1939791978245911</v>
      </c>
      <c r="AA559" s="591">
        <f t="shared" ref="AA559" si="2026">SUM(AA560:AA564)</f>
        <v>4.5765660922855789</v>
      </c>
      <c r="AB559" s="591">
        <f t="shared" ref="AB559" si="2027">SUM(AB560:AB564)</f>
        <v>5.928376049331149</v>
      </c>
      <c r="AC559" s="591">
        <f t="shared" ref="AC559" si="2028">SUM(AC560:AC564)</f>
        <v>8.6536426523907544</v>
      </c>
      <c r="AD559" s="591">
        <f t="shared" ref="AD559" si="2029">SUM(AD560:AD564)</f>
        <v>10.805493303423292</v>
      </c>
      <c r="AE559" s="591">
        <f t="shared" ref="AE559" si="2030">SUM(AE560:AE564)</f>
        <v>13.251318403247549</v>
      </c>
      <c r="AF559" s="591">
        <f t="shared" ref="AF559" si="2031">SUM(AF560:AF564)</f>
        <v>15.504820685214019</v>
      </c>
      <c r="AG559" s="591">
        <f t="shared" ref="AG559" si="2032">SUM(AG560:AG564)</f>
        <v>17.875145038712027</v>
      </c>
      <c r="AH559" s="591">
        <f t="shared" ref="AH559:AM559" si="2033">SUM(AH560:AH564)</f>
        <v>20.25869876611003</v>
      </c>
      <c r="AI559" s="591">
        <f t="shared" si="2033"/>
        <v>22.660001001294379</v>
      </c>
      <c r="AJ559" s="591">
        <f t="shared" si="2033"/>
        <v>25.171955821178873</v>
      </c>
      <c r="AK559" s="591">
        <f t="shared" si="2033"/>
        <v>27.799359179209269</v>
      </c>
      <c r="AL559" s="591">
        <f t="shared" si="2033"/>
        <v>30.547197425739789</v>
      </c>
      <c r="AM559" s="591">
        <f t="shared" si="2033"/>
        <v>33.42065448737771</v>
      </c>
    </row>
    <row r="560" spans="3:39" hidden="1" outlineLevel="1" x14ac:dyDescent="0.3">
      <c r="C560" s="587" t="str">
        <f>C559</f>
        <v>Renowave</v>
      </c>
      <c r="E560" s="563" t="s">
        <v>50</v>
      </c>
      <c r="F560" s="592">
        <f>SUM(G560:P560)</f>
        <v>6.792623744700041</v>
      </c>
      <c r="G560" s="593">
        <f>SUMPRODUCT('EE Measures'!CV$8:CV$86,'EE Measures'!$II$8:$II$86,'EE Measures'!$N$8:$N$86,'EE Measures'!$DZ$8:$DZ$86)</f>
        <v>0.40967694623700107</v>
      </c>
      <c r="H560" s="593">
        <f>SUMPRODUCT('EE Measures'!CW$8:CW$86,'EE Measures'!$II$8:$II$86,'EE Measures'!$N$8:$N$86,'EE Measures'!$DZ$8:$DZ$86)</f>
        <v>0.43054253953932725</v>
      </c>
      <c r="I560" s="593">
        <f>SUMPRODUCT('EE Measures'!CX$8:CX$86,'EE Measures'!$II$8:$II$86,'EE Measures'!$N$8:$N$86,'EE Measures'!$DZ$8:$DZ$86)</f>
        <v>0.45288286252201115</v>
      </c>
      <c r="J560" s="593">
        <f>SUMPRODUCT('EE Measures'!CY$8:CY$86,'EE Measures'!$II$8:$II$86,'EE Measures'!$N$8:$N$86,'EE Measures'!$DZ$8:$DZ$86)</f>
        <v>0.62848296757934097</v>
      </c>
      <c r="K560" s="593">
        <f>SUMPRODUCT('EE Measures'!CZ$8:CZ$86,'EE Measures'!$II$8:$II$86,'EE Measures'!$N$8:$N$86,'EE Measures'!$DZ$8:$DZ$86)</f>
        <v>0.7340664666434813</v>
      </c>
      <c r="L560" s="593">
        <f>SUMPRODUCT('EE Measures'!DA$8:DA$86,'EE Measures'!$II$8:$II$86,'EE Measures'!$N$8:$N$86,'EE Measures'!$DZ$8:$DZ$86)</f>
        <v>0.76359932865803171</v>
      </c>
      <c r="M560" s="593">
        <f>SUMPRODUCT('EE Measures'!DB$8:DB$86,'EE Measures'!$II$8:$II$86,'EE Measures'!$N$8:$N$86,'EE Measures'!$DZ$8:$DZ$86)</f>
        <v>0.79427088107754495</v>
      </c>
      <c r="N560" s="593">
        <f>SUMPRODUCT('EE Measures'!DC$8:DC$86,'EE Measures'!$II$8:$II$86,'EE Measures'!$N$8:$N$86,'EE Measures'!$DZ$8:$DZ$86)</f>
        <v>0.82614392133853309</v>
      </c>
      <c r="O560" s="593">
        <f>SUMPRODUCT('EE Measures'!DD$8:DD$86,'EE Measures'!$II$8:$II$86,'EE Measures'!$N$8:$N$86,'EE Measures'!$DZ$8:$DZ$86)</f>
        <v>0.85926701345848122</v>
      </c>
      <c r="P560" s="593">
        <f>SUMPRODUCT('EE Measures'!DE$8:DE$86,'EE Measures'!$II$8:$II$86,'EE Measures'!$N$8:$N$86,'EE Measures'!$DZ$8:$DZ$86)</f>
        <v>0.89369081764628755</v>
      </c>
      <c r="Q560" s="593">
        <f>SUMPRODUCT('EE Measures'!DF$8:DF$86,'EE Measures'!$II$8:$II$86,'EE Measures'!$N$8:$N$86,'EE Measures'!$DZ$8:$DZ$86)</f>
        <v>0.92940326794933004</v>
      </c>
      <c r="R560" s="593">
        <f>SUMPRODUCT('EE Measures'!DG$8:DG$86,'EE Measures'!$II$8:$II$86,'EE Measures'!$N$8:$N$86,'EE Measures'!$DZ$8:$DZ$86)</f>
        <v>0.96651934046698107</v>
      </c>
      <c r="S560" s="593">
        <f>SUMPRODUCT('EE Measures'!DH$8:DH$86,'EE Measures'!$II$8:$II$86,'EE Measures'!$N$8:$N$86,'EE Measures'!$DZ$8:$DZ$86)</f>
        <v>1.005097132115746</v>
      </c>
      <c r="T560" s="593">
        <f>SUMPRODUCT('EE Measures'!DI$8:DI$86,'EE Measures'!$II$8:$II$86,'EE Measures'!$N$8:$N$86,'EE Measures'!$DZ$8:$DZ$86)</f>
        <v>1.0451972256739737</v>
      </c>
      <c r="U560" s="593">
        <f>SUMPRODUCT('EE Measures'!DJ$8:DJ$86,'EE Measures'!$II$8:$II$86,'EE Measures'!$N$8:$N$86,'EE Measures'!$DZ$8:$DZ$86)</f>
        <v>1.0868827953096933</v>
      </c>
      <c r="W560" s="563" t="str" cm="1">
        <f t="array" ref="W560:W564">_xlfn.ANCHORARRAY($W$357)</f>
        <v xml:space="preserve">Põhja-Eesti </v>
      </c>
      <c r="X560" s="592">
        <f>SUM(Y560:AH560)</f>
        <v>49.207517058718032</v>
      </c>
      <c r="Y560" s="593">
        <f>SUMPRODUCT('EE Measures'!CV$8:CV$86,'EE Measures'!$II$8:$II$86,'EE Measures'!$Y$8:$Y$86,'EE Measures'!$DZ$8:$DZ$86)</f>
        <v>1.7953311581925222</v>
      </c>
      <c r="Z560" s="593">
        <f>SUMPRODUCT('EE Measures'!CW$8:CW$86,'EE Measures'!$II$8:$II$86,'EE Measures'!$Y$8:$Y$86,'EE Measures'!$DZ$8:$DZ$86)</f>
        <v>2.132568929085783</v>
      </c>
      <c r="AA560" s="593">
        <f>SUMPRODUCT('EE Measures'!CX$8:CX$86,'EE Measures'!$II$8:$II$86,'EE Measures'!$Y$8:$Y$86,'EE Measures'!$DZ$8:$DZ$86)</f>
        <v>2.3145939518941177</v>
      </c>
      <c r="AB560" s="593">
        <f>SUMPRODUCT('EE Measures'!CY$8:CY$86,'EE Measures'!$II$8:$II$86,'EE Measures'!$Y$8:$Y$86,'EE Measures'!$DZ$8:$DZ$86)</f>
        <v>2.976936536779796</v>
      </c>
      <c r="AC560" s="593">
        <f>SUMPRODUCT('EE Measures'!CZ$8:CZ$86,'EE Measures'!$II$8:$II$86,'EE Measures'!$Y$8:$Y$86,'EE Measures'!$DZ$8:$DZ$86)</f>
        <v>4.1898529589994027</v>
      </c>
      <c r="AD560" s="593">
        <f>SUMPRODUCT('EE Measures'!DA$8:DA$86,'EE Measures'!$II$8:$II$86,'EE Measures'!$Y$8:$Y$86,'EE Measures'!$DZ$8:$DZ$86)</f>
        <v>5.1188781461057342</v>
      </c>
      <c r="AE560" s="593">
        <f>SUMPRODUCT('EE Measures'!DB$8:DB$86,'EE Measures'!$II$8:$II$86,'EE Measures'!$Y$8:$Y$86,'EE Measures'!$DZ$8:$DZ$86)</f>
        <v>6.1808539451708304</v>
      </c>
      <c r="AF560" s="593">
        <f>SUMPRODUCT('EE Measures'!DC$8:DC$86,'EE Measures'!$II$8:$II$86,'EE Measures'!$Y$8:$Y$86,'EE Measures'!$DZ$8:$DZ$86)</f>
        <v>7.1484134524367269</v>
      </c>
      <c r="AG560" s="593">
        <f>SUMPRODUCT('EE Measures'!DD$8:DD$86,'EE Measures'!$II$8:$II$86,'EE Measures'!$Y$8:$Y$86,'EE Measures'!$DZ$8:$DZ$86)</f>
        <v>8.1657701068521327</v>
      </c>
      <c r="AH560" s="593">
        <f>SUMPRODUCT('EE Measures'!DE$8:DE$86,'EE Measures'!$II$8:$II$86,'EE Measures'!$Y$8:$Y$86,'EE Measures'!$DZ$8:$DZ$86)</f>
        <v>9.1843178732009889</v>
      </c>
      <c r="AI560" s="593">
        <f>SUMPRODUCT('EE Measures'!DF$8:DF$86,'EE Measures'!$II$8:$II$86,'EE Measures'!$Y$8:$Y$86,'EE Measures'!$DZ$8:$DZ$86)</f>
        <v>10.205728852878213</v>
      </c>
      <c r="AJ560" s="593">
        <f>SUMPRODUCT('EE Measures'!DG$8:DG$86,'EE Measures'!$II$8:$II$86,'EE Measures'!$Y$8:$Y$86,'EE Measures'!$DZ$8:$DZ$86)</f>
        <v>11.273312824500472</v>
      </c>
      <c r="AK560" s="593">
        <f>SUMPRODUCT('EE Measures'!DH$8:DH$86,'EE Measures'!$II$8:$II$86,'EE Measures'!$Y$8:$Y$86,'EE Measures'!$DZ$8:$DZ$86)</f>
        <v>12.389065999115363</v>
      </c>
      <c r="AL560" s="593">
        <f>SUMPRODUCT('EE Measures'!DI$8:DI$86,'EE Measures'!$II$8:$II$86,'EE Measures'!$Y$8:$Y$86,'EE Measures'!$DZ$8:$DZ$86)</f>
        <v>13.555063848416996</v>
      </c>
      <c r="AM560" s="593">
        <f>SUMPRODUCT('EE Measures'!DJ$8:DJ$86,'EE Measures'!$II$8:$II$86,'EE Measures'!$Y$8:$Y$86,'EE Measures'!$DZ$8:$DZ$86)</f>
        <v>14.773464097284418</v>
      </c>
    </row>
    <row r="561" spans="3:39" hidden="1" outlineLevel="1" x14ac:dyDescent="0.3">
      <c r="C561" s="587" t="str">
        <f t="shared" ref="C561:C564" si="2034">C560</f>
        <v>Renowave</v>
      </c>
      <c r="E561" s="563" t="s">
        <v>51</v>
      </c>
      <c r="F561" s="592">
        <f t="shared" ref="F561:F564" si="2035">SUM(G561:P561)</f>
        <v>12.573864637806185</v>
      </c>
      <c r="G561" s="593">
        <f>SUMPRODUCT('EE Measures'!CV$8:CV$86,'EE Measures'!$II$8:$II$86,'EE Measures'!$O$8:$O$86,'EE Measures'!$DZ$8:$DZ$86)</f>
        <v>0.32693627598582725</v>
      </c>
      <c r="H561" s="593">
        <f>SUMPRODUCT('EE Measures'!CW$8:CW$86,'EE Measures'!$II$8:$II$86,'EE Measures'!$O$8:$O$86,'EE Measures'!$DZ$8:$DZ$86)</f>
        <v>0.42703340487127572</v>
      </c>
      <c r="I561" s="593">
        <f>SUMPRODUCT('EE Measures'!CX$8:CX$86,'EE Measures'!$II$8:$II$86,'EE Measures'!$O$8:$O$86,'EE Measures'!$DZ$8:$DZ$86)</f>
        <v>0.53191502108428823</v>
      </c>
      <c r="J561" s="593">
        <f>SUMPRODUCT('EE Measures'!CY$8:CY$86,'EE Measures'!$II$8:$II$86,'EE Measures'!$O$8:$O$86,'EE Measures'!$DZ$8:$DZ$86)</f>
        <v>1.0056206135051147</v>
      </c>
      <c r="K561" s="593">
        <f>SUMPRODUCT('EE Measures'!CZ$8:CZ$86,'EE Measures'!$II$8:$II$86,'EE Measures'!$O$8:$O$86,'EE Measures'!$DZ$8:$DZ$86)</f>
        <v>1.3453477041224908</v>
      </c>
      <c r="L561" s="593">
        <f>SUMPRODUCT('EE Measures'!DA$8:DA$86,'EE Measures'!$II$8:$II$86,'EE Measures'!$O$8:$O$86,'EE Measures'!$DZ$8:$DZ$86)</f>
        <v>1.4849962468762925</v>
      </c>
      <c r="M561" s="593">
        <f>SUMPRODUCT('EE Measures'!DB$8:DB$86,'EE Measures'!$II$8:$II$86,'EE Measures'!$O$8:$O$86,'EE Measures'!$DZ$8:$DZ$86)</f>
        <v>1.6302253202152432</v>
      </c>
      <c r="N561" s="593">
        <f>SUMPRODUCT('EE Measures'!DC$8:DC$86,'EE Measures'!$II$8:$II$86,'EE Measures'!$O$8:$O$86,'EE Measures'!$DZ$8:$DZ$86)</f>
        <v>1.7812970459213751</v>
      </c>
      <c r="O561" s="593">
        <f>SUMPRODUCT('EE Measures'!DD$8:DD$86,'EE Measures'!$II$8:$II$86,'EE Measures'!$O$8:$O$86,'EE Measures'!$DZ$8:$DZ$86)</f>
        <v>1.9384717248884242</v>
      </c>
      <c r="P561" s="593">
        <f>SUMPRODUCT('EE Measures'!DE$8:DE$86,'EE Measures'!$II$8:$II$86,'EE Measures'!$O$8:$O$86,'EE Measures'!$DZ$8:$DZ$86)</f>
        <v>2.102021280335852</v>
      </c>
      <c r="Q561" s="593">
        <f>SUMPRODUCT('EE Measures'!DF$8:DF$86,'EE Measures'!$II$8:$II$86,'EE Measures'!$O$8:$O$86,'EE Measures'!$DZ$8:$DZ$86)</f>
        <v>2.2721779565912268</v>
      </c>
      <c r="R561" s="593">
        <f>SUMPRODUCT('EE Measures'!DG$8:DG$86,'EE Measures'!$II$8:$II$86,'EE Measures'!$O$8:$O$86,'EE Measures'!$DZ$8:$DZ$86)</f>
        <v>2.4492862082833384</v>
      </c>
      <c r="S561" s="593">
        <f>SUMPRODUCT('EE Measures'!DH$8:DH$86,'EE Measures'!$II$8:$II$86,'EE Measures'!$O$8:$O$86,'EE Measures'!$DZ$8:$DZ$86)</f>
        <v>2.633656391716257</v>
      </c>
      <c r="T561" s="593">
        <f>SUMPRODUCT('EE Measures'!DI$8:DI$86,'EE Measures'!$II$8:$II$86,'EE Measures'!$O$8:$O$86,'EE Measures'!$DZ$8:$DZ$86)</f>
        <v>2.8256126270884501</v>
      </c>
      <c r="U561" s="593">
        <f>SUMPRODUCT('EE Measures'!DJ$8:DJ$86,'EE Measures'!$II$8:$II$86,'EE Measures'!$O$8:$O$86,'EE Measures'!$DZ$8:$DZ$86)</f>
        <v>3.0254933904947414</v>
      </c>
      <c r="W561" s="563" t="str">
        <v>Lääne-Eesti</v>
      </c>
      <c r="X561" s="592">
        <f t="shared" ref="X561:X564" si="2036">SUM(Y561:AH561)</f>
        <v>11.085955459644399</v>
      </c>
      <c r="Y561" s="593">
        <f>SUMPRODUCT('EE Measures'!CV$8:CV$86,'EE Measures'!$II$8:$II$86,'EE Measures'!$Z$8:$Z$86,'EE Measures'!$DZ$8:$DZ$86)</f>
        <v>0.32657010342972681</v>
      </c>
      <c r="Z561" s="593">
        <f>SUMPRODUCT('EE Measures'!CW$8:CW$86,'EE Measures'!$II$8:$II$86,'EE Measures'!$Z$8:$Z$86,'EE Measures'!$DZ$8:$DZ$86)</f>
        <v>0.39078101670460824</v>
      </c>
      <c r="AA561" s="593">
        <f>SUMPRODUCT('EE Measures'!CX$8:CX$86,'EE Measures'!$II$8:$II$86,'EE Measures'!$Z$8:$Z$86,'EE Measures'!$DZ$8:$DZ$86)</f>
        <v>0.43076810190375719</v>
      </c>
      <c r="AB561" s="593">
        <f>SUMPRODUCT('EE Measures'!CY$8:CY$86,'EE Measures'!$II$8:$II$86,'EE Measures'!$Z$8:$Z$86,'EE Measures'!$DZ$8:$DZ$86)</f>
        <v>0.56173308472909822</v>
      </c>
      <c r="AC561" s="593">
        <f>SUMPRODUCT('EE Measures'!CZ$8:CZ$86,'EE Measures'!$II$8:$II$86,'EE Measures'!$Z$8:$Z$86,'EE Measures'!$DZ$8:$DZ$86)</f>
        <v>0.87414592201971231</v>
      </c>
      <c r="AD561" s="593">
        <f>SUMPRODUCT('EE Measures'!DA$8:DA$86,'EE Measures'!$II$8:$II$86,'EE Measures'!$Z$8:$Z$86,'EE Measures'!$DZ$8:$DZ$86)</f>
        <v>1.1320493498483488</v>
      </c>
      <c r="AE561" s="593">
        <f>SUMPRODUCT('EE Measures'!DB$8:DB$86,'EE Measures'!$II$8:$II$86,'EE Measures'!$Z$8:$Z$86,'EE Measures'!$DZ$8:$DZ$86)</f>
        <v>1.423315727280257</v>
      </c>
      <c r="AF561" s="593">
        <f>SUMPRODUCT('EE Measures'!DC$8:DC$86,'EE Measures'!$II$8:$II$86,'EE Measures'!$Z$8:$Z$86,'EE Measures'!$DZ$8:$DZ$86)</f>
        <v>1.6951359577474636</v>
      </c>
      <c r="AG561" s="593">
        <f>SUMPRODUCT('EE Measures'!DD$8:DD$86,'EE Measures'!$II$8:$II$86,'EE Measures'!$Z$8:$Z$86,'EE Measures'!$DZ$8:$DZ$86)</f>
        <v>1.9811857309640466</v>
      </c>
      <c r="AH561" s="593">
        <f>SUMPRODUCT('EE Measures'!DE$8:DE$86,'EE Measures'!$II$8:$II$86,'EE Measures'!$Z$8:$Z$86,'EE Measures'!$DZ$8:$DZ$86)</f>
        <v>2.2702704650173802</v>
      </c>
      <c r="AI561" s="593">
        <f>SUMPRODUCT('EE Measures'!DF$8:DF$86,'EE Measures'!$II$8:$II$86,'EE Measures'!$Z$8:$Z$86,'EE Measures'!$DZ$8:$DZ$86)</f>
        <v>2.5630260475129574</v>
      </c>
      <c r="AJ561" s="593">
        <f>SUMPRODUCT('EE Measures'!DG$8:DG$86,'EE Measures'!$II$8:$II$86,'EE Measures'!$Z$8:$Z$86,'EE Measures'!$DZ$8:$DZ$86)</f>
        <v>2.8695790879871739</v>
      </c>
      <c r="AK561" s="593">
        <f>SUMPRODUCT('EE Measures'!DH$8:DH$86,'EE Measures'!$II$8:$II$86,'EE Measures'!$Z$8:$Z$86,'EE Measures'!$DZ$8:$DZ$86)</f>
        <v>3.1905292187639973</v>
      </c>
      <c r="AL561" s="593">
        <f>SUMPRODUCT('EE Measures'!DI$8:DI$86,'EE Measures'!$II$8:$II$86,'EE Measures'!$Z$8:$Z$86,'EE Measures'!$DZ$8:$DZ$86)</f>
        <v>3.5264998590596246</v>
      </c>
      <c r="AM561" s="593">
        <f>SUMPRODUCT('EE Measures'!DJ$8:DJ$86,'EE Measures'!$II$8:$II$86,'EE Measures'!$Z$8:$Z$86,'EE Measures'!$DZ$8:$DZ$86)</f>
        <v>3.878139109903159</v>
      </c>
    </row>
    <row r="562" spans="3:39" hidden="1" outlineLevel="1" x14ac:dyDescent="0.3">
      <c r="C562" s="587" t="str">
        <f t="shared" si="2034"/>
        <v>Renowave</v>
      </c>
      <c r="E562" s="563" t="s">
        <v>52</v>
      </c>
      <c r="F562" s="592">
        <f t="shared" si="2035"/>
        <v>41.862224180563651</v>
      </c>
      <c r="G562" s="593">
        <f>SUMPRODUCT('EE Measures'!CV$8:CV$86,'EE Measures'!$II$8:$II$86,'EE Measures'!$P$8:$P$86,'EE Measures'!$DZ$8:$DZ$86)</f>
        <v>1.0584757664702868</v>
      </c>
      <c r="H562" s="593">
        <f>SUMPRODUCT('EE Measures'!CW$8:CW$86,'EE Measures'!$II$8:$II$86,'EE Measures'!$P$8:$P$86,'EE Measures'!$DZ$8:$DZ$86)</f>
        <v>1.4795366216450017</v>
      </c>
      <c r="I562" s="593">
        <f>SUMPRODUCT('EE Measures'!CX$8:CX$86,'EE Measures'!$II$8:$II$86,'EE Measures'!$P$8:$P$86,'EE Measures'!$DZ$8:$DZ$86)</f>
        <v>1.5922055211848056</v>
      </c>
      <c r="J562" s="593">
        <f>SUMPRODUCT('EE Measures'!CY$8:CY$86,'EE Measures'!$II$8:$II$86,'EE Measures'!$P$8:$P$86,'EE Measures'!$DZ$8:$DZ$86)</f>
        <v>1.9254897185461139</v>
      </c>
      <c r="K562" s="593">
        <f>SUMPRODUCT('EE Measures'!CZ$8:CZ$86,'EE Measures'!$II$8:$II$86,'EE Measures'!$P$8:$P$86,'EE Measures'!$DZ$8:$DZ$86)</f>
        <v>3.0761215270988846</v>
      </c>
      <c r="L562" s="593">
        <f>SUMPRODUCT('EE Measures'!DA$8:DA$86,'EE Measures'!$II$8:$II$86,'EE Measures'!$P$8:$P$86,'EE Measures'!$DZ$8:$DZ$86)</f>
        <v>4.1522659705629144</v>
      </c>
      <c r="M562" s="593">
        <f>SUMPRODUCT('EE Measures'!DB$8:DB$86,'EE Measures'!$II$8:$II$86,'EE Measures'!$P$8:$P$86,'EE Measures'!$DZ$8:$DZ$86)</f>
        <v>5.2868340829117599</v>
      </c>
      <c r="N562" s="593">
        <f>SUMPRODUCT('EE Measures'!DC$8:DC$86,'EE Measures'!$II$8:$II$86,'EE Measures'!$P$8:$P$86,'EE Measures'!$DZ$8:$DZ$86)</f>
        <v>6.482393695533978</v>
      </c>
      <c r="O562" s="593">
        <f>SUMPRODUCT('EE Measures'!DD$8:DD$86,'EE Measures'!$II$8:$II$86,'EE Measures'!$P$8:$P$86,'EE Measures'!$DZ$8:$DZ$86)</f>
        <v>7.7416174619105229</v>
      </c>
      <c r="P562" s="593">
        <f>SUMPRODUCT('EE Measures'!DE$8:DE$86,'EE Measures'!$II$8:$II$86,'EE Measures'!$P$8:$P$86,'EE Measures'!$DZ$8:$DZ$86)</f>
        <v>9.0672838146993797</v>
      </c>
      <c r="Q562" s="593">
        <f>SUMPRODUCT('EE Measures'!DF$8:DF$86,'EE Measures'!$II$8:$II$86,'EE Measures'!$P$8:$P$86,'EE Measures'!$DZ$8:$DZ$86)</f>
        <v>10.465482458370815</v>
      </c>
      <c r="R562" s="593">
        <f>SUMPRODUCT('EE Measures'!DG$8:DG$86,'EE Measures'!$II$8:$II$86,'EE Measures'!$P$8:$P$86,'EE Measures'!$DZ$8:$DZ$86)</f>
        <v>11.936999457214217</v>
      </c>
      <c r="S562" s="593">
        <f>SUMPRODUCT('EE Measures'!DH$8:DH$86,'EE Measures'!$II$8:$II$86,'EE Measures'!$P$8:$P$86,'EE Measures'!$DZ$8:$DZ$86)</f>
        <v>13.485027053815415</v>
      </c>
      <c r="T562" s="593">
        <f>SUMPRODUCT('EE Measures'!DI$8:DI$86,'EE Measures'!$II$8:$II$86,'EE Measures'!$P$8:$P$86,'EE Measures'!$DZ$8:$DZ$86)</f>
        <v>15.112883570006119</v>
      </c>
      <c r="U562" s="593">
        <f>SUMPRODUCT('EE Measures'!DJ$8:DJ$86,'EE Measures'!$II$8:$II$86,'EE Measures'!$P$8:$P$86,'EE Measures'!$DZ$8:$DZ$86)</f>
        <v>16.824018115170318</v>
      </c>
      <c r="W562" s="563" t="str">
        <v>Kirde-Eesti</v>
      </c>
      <c r="X562" s="592">
        <f t="shared" si="2036"/>
        <v>9.8955827566938517</v>
      </c>
      <c r="Y562" s="593">
        <f>SUMPRODUCT('EE Measures'!CV$8:CV$86,'EE Measures'!$II$8:$II$86,'EE Measures'!$AA$8:$AA$86,'EE Measures'!$DZ$8:$DZ$86)</f>
        <v>0.31618986249105929</v>
      </c>
      <c r="Z562" s="593">
        <f>SUMPRODUCT('EE Measures'!CW$8:CW$86,'EE Measures'!$II$8:$II$86,'EE Measures'!$AA$8:$AA$86,'EE Measures'!$DZ$8:$DZ$86)</f>
        <v>0.37587145735268856</v>
      </c>
      <c r="AA562" s="593">
        <f>SUMPRODUCT('EE Measures'!CX$8:CX$86,'EE Measures'!$II$8:$II$86,'EE Measures'!$AA$8:$AA$86,'EE Measures'!$DZ$8:$DZ$86)</f>
        <v>0.40967029392713139</v>
      </c>
      <c r="AB562" s="593">
        <f>SUMPRODUCT('EE Measures'!CY$8:CY$86,'EE Measures'!$II$8:$II$86,'EE Measures'!$AA$8:$AA$86,'EE Measures'!$DZ$8:$DZ$86)</f>
        <v>0.52612280227764918</v>
      </c>
      <c r="AC562" s="593">
        <f>SUMPRODUCT('EE Measures'!CZ$8:CZ$86,'EE Measures'!$II$8:$II$86,'EE Measures'!$AA$8:$AA$86,'EE Measures'!$DZ$8:$DZ$86)</f>
        <v>0.79387692745991378</v>
      </c>
      <c r="AD562" s="593">
        <f>SUMPRODUCT('EE Measures'!DA$8:DA$86,'EE Measures'!$II$8:$II$86,'EE Measures'!$AA$8:$AA$86,'EE Measures'!$DZ$8:$DZ$86)</f>
        <v>1.0127566275321314</v>
      </c>
      <c r="AE562" s="593">
        <f>SUMPRODUCT('EE Measures'!DB$8:DB$86,'EE Measures'!$II$8:$II$86,'EE Measures'!$AA$8:$AA$86,'EE Measures'!$DZ$8:$DZ$86)</f>
        <v>1.2608903279726889</v>
      </c>
      <c r="AF562" s="593">
        <f>SUMPRODUCT('EE Measures'!DC$8:DC$86,'EE Measures'!$II$8:$II$86,'EE Measures'!$AA$8:$AA$86,'EE Measures'!$DZ$8:$DZ$86)</f>
        <v>1.4908222348454396</v>
      </c>
      <c r="AG562" s="593">
        <f>SUMPRODUCT('EE Measures'!DD$8:DD$86,'EE Measures'!$II$8:$II$86,'EE Measures'!$AA$8:$AA$86,'EE Measures'!$DZ$8:$DZ$86)</f>
        <v>1.7327615103081904</v>
      </c>
      <c r="AH562" s="593">
        <f>SUMPRODUCT('EE Measures'!DE$8:DE$86,'EE Measures'!$II$8:$II$86,'EE Measures'!$AA$8:$AA$86,'EE Measures'!$DZ$8:$DZ$86)</f>
        <v>1.9766207125269579</v>
      </c>
      <c r="AI562" s="593">
        <f>SUMPRODUCT('EE Measures'!DF$8:DF$86,'EE Measures'!$II$8:$II$86,'EE Measures'!$AA$8:$AA$86,'EE Measures'!$DZ$8:$DZ$86)</f>
        <v>2.2229036020805473</v>
      </c>
      <c r="AJ562" s="593">
        <f>SUMPRODUCT('EE Measures'!DG$8:DG$86,'EE Measures'!$II$8:$II$86,'EE Measures'!$AA$8:$AA$86,'EE Measures'!$DZ$8:$DZ$86)</f>
        <v>2.4806871054843134</v>
      </c>
      <c r="AK562" s="593">
        <f>SUMPRODUCT('EE Measures'!DH$8:DH$86,'EE Measures'!$II$8:$II$86,'EE Measures'!$AA$8:$AA$86,'EE Measures'!$DZ$8:$DZ$86)</f>
        <v>2.7504703581958285</v>
      </c>
      <c r="AL562" s="593">
        <f>SUMPRODUCT('EE Measures'!DI$8:DI$86,'EE Measures'!$II$8:$II$86,'EE Measures'!$AA$8:$AA$86,'EE Measures'!$DZ$8:$DZ$86)</f>
        <v>3.0327722862417028</v>
      </c>
      <c r="AM562" s="593">
        <f>SUMPRODUCT('EE Measures'!DJ$8:DJ$86,'EE Measures'!$II$8:$II$86,'EE Measures'!$AA$8:$AA$86,'EE Measures'!$DZ$8:$DZ$86)</f>
        <v>3.3281323507156371</v>
      </c>
    </row>
    <row r="563" spans="3:39" hidden="1" outlineLevel="1" x14ac:dyDescent="0.3">
      <c r="C563" s="587" t="str">
        <f t="shared" si="2034"/>
        <v>Renowave</v>
      </c>
      <c r="E563" s="563" t="s">
        <v>53</v>
      </c>
      <c r="F563" s="592">
        <f t="shared" si="2035"/>
        <v>42.79163883048048</v>
      </c>
      <c r="G563" s="593">
        <f>SUMPRODUCT('EE Measures'!CV$8:CV$86,'EE Measures'!$II$8:$II$86,'EE Measures'!$Q$8:$Q$86,'EE Measures'!$DZ$8:$DZ$86)</f>
        <v>1.7028371449193995</v>
      </c>
      <c r="H563" s="593">
        <f>SUMPRODUCT('EE Measures'!CW$8:CW$86,'EE Measures'!$II$8:$II$86,'EE Measures'!$Q$8:$Q$86,'EE Measures'!$DZ$8:$DZ$86)</f>
        <v>1.8296850289839701</v>
      </c>
      <c r="I563" s="593">
        <f>SUMPRODUCT('EE Measures'!CX$8:CX$86,'EE Measures'!$II$8:$II$86,'EE Measures'!$Q$8:$Q$86,'EE Measures'!$DZ$8:$DZ$86)</f>
        <v>1.9711198719554619</v>
      </c>
      <c r="J563" s="593">
        <f>SUMPRODUCT('EE Measures'!CY$8:CY$86,'EE Measures'!$II$8:$II$86,'EE Measures'!$Q$8:$Q$86,'EE Measures'!$DZ$8:$DZ$86)</f>
        <v>2.3175668729032979</v>
      </c>
      <c r="K563" s="593">
        <f>SUMPRODUCT('EE Measures'!CZ$8:CZ$86,'EE Measures'!$II$8:$II$86,'EE Measures'!$Q$8:$Q$86,'EE Measures'!$DZ$8:$DZ$86)</f>
        <v>3.4336405085521515</v>
      </c>
      <c r="L563" s="593">
        <f>SUMPRODUCT('EE Measures'!DA$8:DA$86,'EE Measures'!$II$8:$II$86,'EE Measures'!$Q$8:$Q$86,'EE Measures'!$DZ$8:$DZ$86)</f>
        <v>4.3381354592376109</v>
      </c>
      <c r="M563" s="593">
        <f>SUMPRODUCT('EE Measures'!DB$8:DB$86,'EE Measures'!$II$8:$II$86,'EE Measures'!$Q$8:$Q$86,'EE Measures'!$DZ$8:$DZ$86)</f>
        <v>5.4713882214397911</v>
      </c>
      <c r="N563" s="593">
        <f>SUMPRODUCT('EE Measures'!DC$8:DC$86,'EE Measures'!$II$8:$II$86,'EE Measures'!$Q$8:$Q$86,'EE Measures'!$DZ$8:$DZ$86)</f>
        <v>6.3442049318179219</v>
      </c>
      <c r="O563" s="593">
        <f>SUMPRODUCT('EE Measures'!DD$8:DD$86,'EE Measures'!$II$8:$II$86,'EE Measures'!$Q$8:$Q$86,'EE Measures'!$DZ$8:$DZ$86)</f>
        <v>7.2627460318166701</v>
      </c>
      <c r="P563" s="593">
        <f>SUMPRODUCT('EE Measures'!DE$8:DE$86,'EE Measures'!$II$8:$II$86,'EE Measures'!$Q$8:$Q$86,'EE Measures'!$DZ$8:$DZ$86)</f>
        <v>8.1203147588542084</v>
      </c>
      <c r="Q563" s="593">
        <f>SUMPRODUCT('EE Measures'!DF$8:DF$86,'EE Measures'!$II$8:$II$86,'EE Measures'!$Q$8:$Q$86,'EE Measures'!$DZ$8:$DZ$86)</f>
        <v>8.9151213116084946</v>
      </c>
      <c r="R563" s="593">
        <f>SUMPRODUCT('EE Measures'!DG$8:DG$86,'EE Measures'!$II$8:$II$86,'EE Measures'!$Q$8:$Q$86,'EE Measures'!$DZ$8:$DZ$86)</f>
        <v>9.7388171702828323</v>
      </c>
      <c r="S563" s="593">
        <f>SUMPRODUCT('EE Measures'!DH$8:DH$86,'EE Measures'!$II$8:$II$86,'EE Measures'!$Q$8:$Q$86,'EE Measures'!$DZ$8:$DZ$86)</f>
        <v>10.592634117919539</v>
      </c>
      <c r="T563" s="593">
        <f>SUMPRODUCT('EE Measures'!DI$8:DI$86,'EE Measures'!$II$8:$II$86,'EE Measures'!$Q$8:$Q$86,'EE Measures'!$DZ$8:$DZ$86)</f>
        <v>11.477851864958858</v>
      </c>
      <c r="U563" s="593">
        <f>SUMPRODUCT('EE Measures'!DJ$8:DJ$86,'EE Measures'!$II$8:$II$86,'EE Measures'!$Q$8:$Q$86,'EE Measures'!$DZ$8:$DZ$86)</f>
        <v>12.3957998170506</v>
      </c>
      <c r="W563" s="563" t="str">
        <v>Lõuna-Eesti </v>
      </c>
      <c r="X563" s="592">
        <f t="shared" si="2036"/>
        <v>24.574989742609496</v>
      </c>
      <c r="Y563" s="593">
        <f>SUMPRODUCT('EE Measures'!CV$8:CV$86,'EE Measures'!$II$8:$II$86,'EE Measures'!$AB$8:$AB$86,'EE Measures'!$DZ$8:$DZ$86)</f>
        <v>0.77806154932434424</v>
      </c>
      <c r="Z563" s="593">
        <f>SUMPRODUCT('EE Measures'!CW$8:CW$86,'EE Measures'!$II$8:$II$86,'EE Measures'!$AB$8:$AB$86,'EE Measures'!$DZ$8:$DZ$86)</f>
        <v>0.9258363339622786</v>
      </c>
      <c r="AA563" s="593">
        <f>SUMPRODUCT('EE Measures'!CX$8:CX$86,'EE Measures'!$II$8:$II$86,'EE Measures'!$AB$8:$AB$86,'EE Measures'!$DZ$8:$DZ$86)</f>
        <v>1.0160545101327869</v>
      </c>
      <c r="AB563" s="593">
        <f>SUMPRODUCT('EE Measures'!CY$8:CY$86,'EE Measures'!$II$8:$II$86,'EE Measures'!$AB$8:$AB$86,'EE Measures'!$DZ$8:$DZ$86)</f>
        <v>1.3296754231150811</v>
      </c>
      <c r="AC563" s="593">
        <f>SUMPRODUCT('EE Measures'!CZ$8:CZ$86,'EE Measures'!$II$8:$II$86,'EE Measures'!$AB$8:$AB$86,'EE Measures'!$DZ$8:$DZ$86)</f>
        <v>1.9959456213576259</v>
      </c>
      <c r="AD563" s="593">
        <f>SUMPRODUCT('EE Measures'!DA$8:DA$86,'EE Measures'!$II$8:$II$86,'EE Measures'!$AB$8:$AB$86,'EE Measures'!$DZ$8:$DZ$86)</f>
        <v>2.5300473532445729</v>
      </c>
      <c r="AE563" s="593">
        <f>SUMPRODUCT('EE Measures'!DB$8:DB$86,'EE Measures'!$II$8:$II$86,'EE Measures'!$AB$8:$AB$86,'EE Measures'!$DZ$8:$DZ$86)</f>
        <v>3.135004430351191</v>
      </c>
      <c r="AF563" s="593">
        <f>SUMPRODUCT('EE Measures'!DC$8:DC$86,'EE Measures'!$II$8:$II$86,'EE Measures'!$AB$8:$AB$86,'EE Measures'!$DZ$8:$DZ$86)</f>
        <v>3.6961581041480782</v>
      </c>
      <c r="AG563" s="593">
        <f>SUMPRODUCT('EE Measures'!DD$8:DD$86,'EE Measures'!$II$8:$II$86,'EE Measures'!$AB$8:$AB$86,'EE Measures'!$DZ$8:$DZ$86)</f>
        <v>4.2865106005289331</v>
      </c>
      <c r="AH563" s="593">
        <f>SUMPRODUCT('EE Measures'!DE$8:DE$86,'EE Measures'!$II$8:$II$86,'EE Measures'!$AB$8:$AB$86,'EE Measures'!$DZ$8:$DZ$86)</f>
        <v>4.8816958164446067</v>
      </c>
      <c r="AI563" s="593">
        <f>SUMPRODUCT('EE Measures'!DF$8:DF$86,'EE Measures'!$II$8:$II$86,'EE Measures'!$AB$8:$AB$86,'EE Measures'!$DZ$8:$DZ$86)</f>
        <v>5.4829228648257091</v>
      </c>
      <c r="AJ563" s="593">
        <f>SUMPRODUCT('EE Measures'!DG$8:DG$86,'EE Measures'!$II$8:$II$86,'EE Measures'!$AB$8:$AB$86,'EE Measures'!$DZ$8:$DZ$86)</f>
        <v>6.1121470800891906</v>
      </c>
      <c r="AK563" s="593">
        <f>SUMPRODUCT('EE Measures'!DH$8:DH$86,'EE Measures'!$II$8:$II$86,'EE Measures'!$AB$8:$AB$86,'EE Measures'!$DZ$8:$DZ$86)</f>
        <v>6.7705838028970327</v>
      </c>
      <c r="AL563" s="593">
        <f>SUMPRODUCT('EE Measures'!DI$8:DI$86,'EE Measures'!$II$8:$II$86,'EE Measures'!$AB$8:$AB$86,'EE Measures'!$DZ$8:$DZ$86)</f>
        <v>7.4594966343964959</v>
      </c>
      <c r="AM563" s="593">
        <f>SUMPRODUCT('EE Measures'!DJ$8:DJ$86,'EE Measures'!$II$8:$II$86,'EE Measures'!$AB$8:$AB$86,'EE Measures'!$DZ$8:$DZ$86)</f>
        <v>8.1801992554411456</v>
      </c>
    </row>
    <row r="564" spans="3:39" hidden="1" outlineLevel="1" x14ac:dyDescent="0.3">
      <c r="C564" s="587" t="str">
        <f t="shared" si="2034"/>
        <v>Renowave</v>
      </c>
      <c r="E564" s="563" t="s">
        <v>54</v>
      </c>
      <c r="F564" s="592">
        <f t="shared" si="2035"/>
        <v>0.55162166539110014</v>
      </c>
      <c r="G564" s="593">
        <f>SUMPRODUCT('EE Measures'!CV$8:CV$86,'EE Measures'!$II$8:$II$86,'EE Measures'!$R$8:$R$86,'EE Measures'!$DZ$8:$DZ$86)</f>
        <v>2.6006736789950479E-2</v>
      </c>
      <c r="H564" s="593">
        <f>SUMPRODUCT('EE Measures'!CW$8:CW$86,'EE Measures'!$II$8:$II$86,'EE Measures'!$R$8:$R$86,'EE Measures'!$DZ$8:$DZ$86)</f>
        <v>2.7181602785016017E-2</v>
      </c>
      <c r="I564" s="593">
        <f>SUMPRODUCT('EE Measures'!CX$8:CX$86,'EE Measures'!$II$8:$II$86,'EE Measures'!$R$8:$R$86,'EE Measures'!$DZ$8:$DZ$86)</f>
        <v>2.8442815539012508E-2</v>
      </c>
      <c r="J564" s="593">
        <f>SUMPRODUCT('EE Measures'!CY$8:CY$86,'EE Measures'!$II$8:$II$86,'EE Measures'!$R$8:$R$86,'EE Measures'!$DZ$8:$DZ$86)</f>
        <v>5.1215876797280908E-2</v>
      </c>
      <c r="K564" s="593">
        <f>SUMPRODUCT('EE Measures'!CZ$8:CZ$86,'EE Measures'!$II$8:$II$86,'EE Measures'!$R$8:$R$86,'EE Measures'!$DZ$8:$DZ$86)</f>
        <v>6.446644597374622E-2</v>
      </c>
      <c r="L564" s="593">
        <f>SUMPRODUCT('EE Measures'!DA$8:DA$86,'EE Measures'!$II$8:$II$86,'EE Measures'!$R$8:$R$86,'EE Measures'!$DZ$8:$DZ$86)</f>
        <v>6.6496298088442124E-2</v>
      </c>
      <c r="M564" s="593">
        <f>SUMPRODUCT('EE Measures'!DB$8:DB$86,'EE Measures'!$II$8:$II$86,'EE Measures'!$R$8:$R$86,'EE Measures'!$DZ$8:$DZ$86)</f>
        <v>6.8599897603210336E-2</v>
      </c>
      <c r="N564" s="593">
        <f>SUMPRODUCT('EE Measures'!DC$8:DC$86,'EE Measures'!$II$8:$II$86,'EE Measures'!$R$8:$R$86,'EE Measures'!$DZ$8:$DZ$86)</f>
        <v>7.0781090602209232E-2</v>
      </c>
      <c r="O564" s="593">
        <f>SUMPRODUCT('EE Measures'!DD$8:DD$86,'EE Measures'!$II$8:$II$86,'EE Measures'!$R$8:$R$86,'EE Measures'!$DZ$8:$DZ$86)</f>
        <v>7.304280663793189E-2</v>
      </c>
      <c r="P564" s="593">
        <f>SUMPRODUCT('EE Measures'!DE$8:DE$86,'EE Measures'!$II$8:$II$86,'EE Measures'!$R$8:$R$86,'EE Measures'!$DZ$8:$DZ$86)</f>
        <v>7.5388094574300513E-2</v>
      </c>
      <c r="Q564" s="593">
        <f>SUMPRODUCT('EE Measures'!DF$8:DF$86,'EE Measures'!$II$8:$II$86,'EE Measures'!$R$8:$R$86,'EE Measures'!$DZ$8:$DZ$86)</f>
        <v>7.7816006774511975E-2</v>
      </c>
      <c r="R564" s="593">
        <f>SUMPRODUCT('EE Measures'!DG$8:DG$86,'EE Measures'!$II$8:$II$86,'EE Measures'!$R$8:$R$86,'EE Measures'!$DZ$8:$DZ$86)</f>
        <v>8.033364493150294E-2</v>
      </c>
      <c r="S564" s="593">
        <f>SUMPRODUCT('EE Measures'!DH$8:DH$86,'EE Measures'!$II$8:$II$86,'EE Measures'!$R$8:$R$86,'EE Measures'!$DZ$8:$DZ$86)</f>
        <v>8.2944483642312272E-2</v>
      </c>
      <c r="T564" s="593">
        <f>SUMPRODUCT('EE Measures'!DI$8:DI$86,'EE Measures'!$II$8:$II$86,'EE Measures'!$R$8:$R$86,'EE Measures'!$DZ$8:$DZ$86)</f>
        <v>8.5652138012393866E-2</v>
      </c>
      <c r="U564" s="593">
        <f>SUMPRODUCT('EE Measures'!DJ$8:DJ$86,'EE Measures'!$II$8:$II$86,'EE Measures'!$R$8:$R$86,'EE Measures'!$DZ$8:$DZ$86)</f>
        <v>8.8460369352355878E-2</v>
      </c>
      <c r="W564" s="563" t="str">
        <v>Kesk-Eesti</v>
      </c>
      <c r="X564" s="592">
        <f t="shared" si="2036"/>
        <v>9.8079280412756713</v>
      </c>
      <c r="Y564" s="593">
        <f>SUMPRODUCT('EE Measures'!CV$8:CV$86,'EE Measures'!$II$8:$II$86,'EE Measures'!$AC$8:$AC$86,'EE Measures'!$DZ$8:$DZ$86)</f>
        <v>0.30778019696481274</v>
      </c>
      <c r="Z564" s="593">
        <f>SUMPRODUCT('EE Measures'!CW$8:CW$86,'EE Measures'!$II$8:$II$86,'EE Measures'!$AC$8:$AC$86,'EE Measures'!$DZ$8:$DZ$86)</f>
        <v>0.36892146071923271</v>
      </c>
      <c r="AA564" s="593">
        <f>SUMPRODUCT('EE Measures'!CX$8:CX$86,'EE Measures'!$II$8:$II$86,'EE Measures'!$AC$8:$AC$86,'EE Measures'!$DZ$8:$DZ$86)</f>
        <v>0.40547923442778655</v>
      </c>
      <c r="AB564" s="593">
        <f>SUMPRODUCT('EE Measures'!CY$8:CY$86,'EE Measures'!$II$8:$II$86,'EE Measures'!$AC$8:$AC$86,'EE Measures'!$DZ$8:$DZ$86)</f>
        <v>0.53390820242952441</v>
      </c>
      <c r="AC564" s="593">
        <f>SUMPRODUCT('EE Measures'!CZ$8:CZ$86,'EE Measures'!$II$8:$II$86,'EE Measures'!$AC$8:$AC$86,'EE Measures'!$DZ$8:$DZ$86)</f>
        <v>0.79982122255409949</v>
      </c>
      <c r="AD564" s="593">
        <f>SUMPRODUCT('EE Measures'!DA$8:DA$86,'EE Measures'!$II$8:$II$86,'EE Measures'!$AC$8:$AC$86,'EE Measures'!$DZ$8:$DZ$86)</f>
        <v>1.011761826692505</v>
      </c>
      <c r="AE564" s="593">
        <f>SUMPRODUCT('EE Measures'!DB$8:DB$86,'EE Measures'!$II$8:$II$86,'EE Measures'!$AC$8:$AC$86,'EE Measures'!$DZ$8:$DZ$86)</f>
        <v>1.2512539724725806</v>
      </c>
      <c r="AF564" s="593">
        <f>SUMPRODUCT('EE Measures'!DC$8:DC$86,'EE Measures'!$II$8:$II$86,'EE Measures'!$AC$8:$AC$86,'EE Measures'!$DZ$8:$DZ$86)</f>
        <v>1.4742909360363097</v>
      </c>
      <c r="AG564" s="593">
        <f>SUMPRODUCT('EE Measures'!DD$8:DD$86,'EE Measures'!$II$8:$II$86,'EE Measures'!$AC$8:$AC$86,'EE Measures'!$DZ$8:$DZ$86)</f>
        <v>1.708917090058728</v>
      </c>
      <c r="AH564" s="593">
        <f>SUMPRODUCT('EE Measures'!DE$8:DE$86,'EE Measures'!$II$8:$II$86,'EE Measures'!$AC$8:$AC$86,'EE Measures'!$DZ$8:$DZ$86)</f>
        <v>1.9457938989200927</v>
      </c>
      <c r="AI564" s="593">
        <f>SUMPRODUCT('EE Measures'!DF$8:DF$86,'EE Measures'!$II$8:$II$86,'EE Measures'!$AC$8:$AC$86,'EE Measures'!$DZ$8:$DZ$86)</f>
        <v>2.1854196339969518</v>
      </c>
      <c r="AJ564" s="593">
        <f>SUMPRODUCT('EE Measures'!DG$8:DG$86,'EE Measures'!$II$8:$II$86,'EE Measures'!$AC$8:$AC$86,'EE Measures'!$DZ$8:$DZ$86)</f>
        <v>2.4362297231177239</v>
      </c>
      <c r="AK564" s="593">
        <f>SUMPRODUCT('EE Measures'!DH$8:DH$86,'EE Measures'!$II$8:$II$86,'EE Measures'!$AC$8:$AC$86,'EE Measures'!$DZ$8:$DZ$86)</f>
        <v>2.6987098002370491</v>
      </c>
      <c r="AL564" s="593">
        <f>SUMPRODUCT('EE Measures'!DI$8:DI$86,'EE Measures'!$II$8:$II$86,'EE Measures'!$AC$8:$AC$86,'EE Measures'!$DZ$8:$DZ$86)</f>
        <v>2.9733647976249746</v>
      </c>
      <c r="AM564" s="593">
        <f>SUMPRODUCT('EE Measures'!DJ$8:DJ$86,'EE Measures'!$II$8:$II$86,'EE Measures'!$AC$8:$AC$86,'EE Measures'!$DZ$8:$DZ$86)</f>
        <v>3.2607196740333513</v>
      </c>
    </row>
    <row r="565" spans="3:39" hidden="1" outlineLevel="1" x14ac:dyDescent="0.3">
      <c r="C565" s="587" t="str">
        <f>E565</f>
        <v>EET</v>
      </c>
      <c r="E565" s="555" t="str">
        <f>'EE Measures'!$IJ$6</f>
        <v>EET</v>
      </c>
      <c r="F565" s="590">
        <f>SUM(G565:P565)</f>
        <v>162.66904870179155</v>
      </c>
      <c r="G565" s="591">
        <f>SUM(G566:G570)</f>
        <v>6.0369175471136991</v>
      </c>
      <c r="H565" s="591">
        <f>SUM(H566:H570)</f>
        <v>6.8953907295089936</v>
      </c>
      <c r="I565" s="591">
        <f t="shared" ref="I565" si="2037">SUM(I566:I570)</f>
        <v>7.4881437653320964</v>
      </c>
      <c r="J565" s="591">
        <f t="shared" ref="J565" si="2038">SUM(J566:J570)</f>
        <v>9.1211291454604098</v>
      </c>
      <c r="K565" s="591">
        <f t="shared" ref="K565" si="2039">SUM(K566:K570)</f>
        <v>13.253240013243902</v>
      </c>
      <c r="L565" s="591">
        <f t="shared" ref="L565" si="2040">SUM(L566:L570)</f>
        <v>16.614751832563851</v>
      </c>
      <c r="M565" s="591">
        <f t="shared" ref="M565" si="2041">SUM(M566:M570)</f>
        <v>20.605348786641155</v>
      </c>
      <c r="N565" s="591">
        <f t="shared" ref="N565" si="2042">SUM(N566:N570)</f>
        <v>24.004589910997225</v>
      </c>
      <c r="O565" s="591">
        <f t="shared" ref="O565" si="2043">SUM(O566:O570)</f>
        <v>27.580494194140559</v>
      </c>
      <c r="P565" s="591">
        <f t="shared" ref="P565:U565" si="2044">SUM(P566:P570)</f>
        <v>31.069042776789644</v>
      </c>
      <c r="Q565" s="591">
        <f t="shared" si="2044"/>
        <v>34.471289450258169</v>
      </c>
      <c r="R565" s="591">
        <f t="shared" si="2044"/>
        <v>38.017453745880339</v>
      </c>
      <c r="S565" s="591">
        <f t="shared" si="2044"/>
        <v>41.713741663956448</v>
      </c>
      <c r="T565" s="591">
        <f t="shared" si="2044"/>
        <v>45.566604265972792</v>
      </c>
      <c r="U565" s="591">
        <f t="shared" si="2044"/>
        <v>49.582746864760793</v>
      </c>
      <c r="W565" s="555" t="str">
        <f>'EE Measures'!$IJ$6</f>
        <v>EET</v>
      </c>
      <c r="X565" s="590">
        <f>SUM(Y565:AH565)</f>
        <v>162.66904870179152</v>
      </c>
      <c r="Y565" s="591">
        <f t="shared" ref="Y565:Z565" si="2045">SUM(Y566:Y570)</f>
        <v>6.0369175471136991</v>
      </c>
      <c r="Z565" s="591">
        <f t="shared" si="2045"/>
        <v>6.8953907295089945</v>
      </c>
      <c r="AA565" s="591">
        <f t="shared" ref="AA565" si="2046">SUM(AA566:AA570)</f>
        <v>7.4881437653320972</v>
      </c>
      <c r="AB565" s="591">
        <f t="shared" ref="AB565" si="2047">SUM(AB566:AB570)</f>
        <v>9.1211291454604098</v>
      </c>
      <c r="AC565" s="591">
        <f t="shared" ref="AC565" si="2048">SUM(AC566:AC570)</f>
        <v>13.253240013243898</v>
      </c>
      <c r="AD565" s="591">
        <f t="shared" ref="AD565" si="2049">SUM(AD566:AD570)</f>
        <v>16.614751832563854</v>
      </c>
      <c r="AE565" s="591">
        <f t="shared" ref="AE565" si="2050">SUM(AE566:AE570)</f>
        <v>20.605348786641155</v>
      </c>
      <c r="AF565" s="591">
        <f t="shared" ref="AF565" si="2051">SUM(AF566:AF570)</f>
        <v>24.004589910997218</v>
      </c>
      <c r="AG565" s="591">
        <f t="shared" ref="AG565" si="2052">SUM(AG566:AG570)</f>
        <v>27.580494194140552</v>
      </c>
      <c r="AH565" s="591">
        <f t="shared" ref="AH565:AM565" si="2053">SUM(AH566:AH570)</f>
        <v>31.069042776789647</v>
      </c>
      <c r="AI565" s="591">
        <f t="shared" si="2053"/>
        <v>34.471289450258169</v>
      </c>
      <c r="AJ565" s="591">
        <f t="shared" si="2053"/>
        <v>38.017453745880346</v>
      </c>
      <c r="AK565" s="591">
        <f t="shared" si="2053"/>
        <v>41.713741663956441</v>
      </c>
      <c r="AL565" s="591">
        <f t="shared" si="2053"/>
        <v>45.566604265972792</v>
      </c>
      <c r="AM565" s="591">
        <f t="shared" si="2053"/>
        <v>49.582746864760793</v>
      </c>
    </row>
    <row r="566" spans="3:39" hidden="1" outlineLevel="1" x14ac:dyDescent="0.3">
      <c r="C566" s="587" t="str">
        <f>C565</f>
        <v>EET</v>
      </c>
      <c r="E566" s="563" t="s">
        <v>50</v>
      </c>
      <c r="F566" s="592">
        <f>SUM(G566:P566)</f>
        <v>6.792623744700041</v>
      </c>
      <c r="G566" s="593">
        <f>SUMPRODUCT('EE Measures'!CV$8:CV$86,'EE Measures'!$IJ$8:$IJ$86,'EE Measures'!$N$8:$N$86,'EE Measures'!$DZ$8:$DZ$86)</f>
        <v>0.40967694623700107</v>
      </c>
      <c r="H566" s="593">
        <f>SUMPRODUCT('EE Measures'!CW$8:CW$86,'EE Measures'!$IJ$8:$IJ$86,'EE Measures'!$N$8:$N$86,'EE Measures'!$DZ$8:$DZ$86)</f>
        <v>0.43054253953932725</v>
      </c>
      <c r="I566" s="593">
        <f>SUMPRODUCT('EE Measures'!CX$8:CX$86,'EE Measures'!$IJ$8:$IJ$86,'EE Measures'!$N$8:$N$86,'EE Measures'!$DZ$8:$DZ$86)</f>
        <v>0.45288286252201115</v>
      </c>
      <c r="J566" s="593">
        <f>SUMPRODUCT('EE Measures'!CY$8:CY$86,'EE Measures'!$IJ$8:$IJ$86,'EE Measures'!$N$8:$N$86,'EE Measures'!$DZ$8:$DZ$86)</f>
        <v>0.62848296757934097</v>
      </c>
      <c r="K566" s="593">
        <f>SUMPRODUCT('EE Measures'!CZ$8:CZ$86,'EE Measures'!$IJ$8:$IJ$86,'EE Measures'!$N$8:$N$86,'EE Measures'!$DZ$8:$DZ$86)</f>
        <v>0.7340664666434813</v>
      </c>
      <c r="L566" s="593">
        <f>SUMPRODUCT('EE Measures'!DA$8:DA$86,'EE Measures'!$IJ$8:$IJ$86,'EE Measures'!$N$8:$N$86,'EE Measures'!$DZ$8:$DZ$86)</f>
        <v>0.76359932865803171</v>
      </c>
      <c r="M566" s="593">
        <f>SUMPRODUCT('EE Measures'!DB$8:DB$86,'EE Measures'!$IJ$8:$IJ$86,'EE Measures'!$N$8:$N$86,'EE Measures'!$DZ$8:$DZ$86)</f>
        <v>0.79427088107754495</v>
      </c>
      <c r="N566" s="593">
        <f>SUMPRODUCT('EE Measures'!DC$8:DC$86,'EE Measures'!$IJ$8:$IJ$86,'EE Measures'!$N$8:$N$86,'EE Measures'!$DZ$8:$DZ$86)</f>
        <v>0.82614392133853309</v>
      </c>
      <c r="O566" s="593">
        <f>SUMPRODUCT('EE Measures'!DD$8:DD$86,'EE Measures'!$IJ$8:$IJ$86,'EE Measures'!$N$8:$N$86,'EE Measures'!$DZ$8:$DZ$86)</f>
        <v>0.85926701345848122</v>
      </c>
      <c r="P566" s="593">
        <f>SUMPRODUCT('EE Measures'!DE$8:DE$86,'EE Measures'!$IJ$8:$IJ$86,'EE Measures'!$N$8:$N$86,'EE Measures'!$DZ$8:$DZ$86)</f>
        <v>0.89369081764628755</v>
      </c>
      <c r="Q566" s="593">
        <f>SUMPRODUCT('EE Measures'!DF$8:DF$86,'EE Measures'!$IJ$8:$IJ$86,'EE Measures'!$N$8:$N$86,'EE Measures'!$DZ$8:$DZ$86)</f>
        <v>0.92940326794933004</v>
      </c>
      <c r="R566" s="593">
        <f>SUMPRODUCT('EE Measures'!DG$8:DG$86,'EE Measures'!$IJ$8:$IJ$86,'EE Measures'!$N$8:$N$86,'EE Measures'!$DZ$8:$DZ$86)</f>
        <v>0.96651934046698107</v>
      </c>
      <c r="S566" s="593">
        <f>SUMPRODUCT('EE Measures'!DH$8:DH$86,'EE Measures'!$IJ$8:$IJ$86,'EE Measures'!$N$8:$N$86,'EE Measures'!$DZ$8:$DZ$86)</f>
        <v>1.005097132115746</v>
      </c>
      <c r="T566" s="593">
        <f>SUMPRODUCT('EE Measures'!DI$8:DI$86,'EE Measures'!$IJ$8:$IJ$86,'EE Measures'!$N$8:$N$86,'EE Measures'!$DZ$8:$DZ$86)</f>
        <v>1.0451972256739737</v>
      </c>
      <c r="U566" s="593">
        <f>SUMPRODUCT('EE Measures'!DJ$8:DJ$86,'EE Measures'!$IJ$8:$IJ$86,'EE Measures'!$N$8:$N$86,'EE Measures'!$DZ$8:$DZ$86)</f>
        <v>1.0868827953096933</v>
      </c>
      <c r="W566" s="563" t="str" cm="1">
        <f t="array" ref="W566:W570">_xlfn.ANCHORARRAY($W$357)</f>
        <v xml:space="preserve">Põhja-Eesti </v>
      </c>
      <c r="X566" s="592">
        <f>SUM(Y566:AH566)</f>
        <v>76.584736935337105</v>
      </c>
      <c r="Y566" s="593">
        <f>SUMPRODUCT('EE Measures'!CV$8:CV$86,'EE Measures'!$IJ$8:$IJ$86,'EE Measures'!$Y$8:$Y$86,'EE Measures'!$DZ$8:$DZ$86)</f>
        <v>2.9692780018316585</v>
      </c>
      <c r="Z566" s="593">
        <f>SUMPRODUCT('EE Measures'!CW$8:CW$86,'EE Measures'!$IJ$8:$IJ$86,'EE Measures'!$Y$8:$Y$86,'EE Measures'!$DZ$8:$DZ$86)</f>
        <v>3.3945398318059676</v>
      </c>
      <c r="AA566" s="593">
        <f>SUMPRODUCT('EE Measures'!CX$8:CX$86,'EE Measures'!$IJ$8:$IJ$86,'EE Measures'!$Y$8:$Y$86,'EE Measures'!$DZ$8:$DZ$86)</f>
        <v>3.6747444736857409</v>
      </c>
      <c r="AB566" s="593">
        <f>SUMPRODUCT('EE Measures'!CY$8:CY$86,'EE Measures'!$IJ$8:$IJ$86,'EE Measures'!$Y$8:$Y$86,'EE Measures'!$DZ$8:$DZ$86)</f>
        <v>4.4684388346072659</v>
      </c>
      <c r="AC566" s="593">
        <f>SUMPRODUCT('EE Measures'!CZ$8:CZ$86,'EE Measures'!$IJ$8:$IJ$86,'EE Measures'!$Y$8:$Y$86,'EE Measures'!$DZ$8:$DZ$86)</f>
        <v>6.3488386615937902</v>
      </c>
      <c r="AD566" s="593">
        <f>SUMPRODUCT('EE Measures'!DA$8:DA$86,'EE Measures'!$IJ$8:$IJ$86,'EE Measures'!$Y$8:$Y$86,'EE Measures'!$DZ$8:$DZ$86)</f>
        <v>7.8538146735704251</v>
      </c>
      <c r="AE566" s="593">
        <f>SUMPRODUCT('EE Measures'!DB$8:DB$86,'EE Measures'!$IJ$8:$IJ$86,'EE Measures'!$Y$8:$Y$86,'EE Measures'!$DZ$8:$DZ$86)</f>
        <v>9.6488972903252783</v>
      </c>
      <c r="AF566" s="593">
        <f>SUMPRODUCT('EE Measures'!DC$8:DC$86,'EE Measures'!$IJ$8:$IJ$86,'EE Measures'!$Y$8:$Y$86,'EE Measures'!$DZ$8:$DZ$86)</f>
        <v>11.163789461802628</v>
      </c>
      <c r="AG566" s="593">
        <f>SUMPRODUCT('EE Measures'!DD$8:DD$86,'EE Measures'!$IJ$8:$IJ$86,'EE Measures'!$Y$8:$Y$86,'EE Measures'!$DZ$8:$DZ$86)</f>
        <v>12.757096792777705</v>
      </c>
      <c r="AH566" s="593">
        <f>SUMPRODUCT('EE Measures'!DE$8:DE$86,'EE Measures'!$IJ$8:$IJ$86,'EE Measures'!$Y$8:$Y$86,'EE Measures'!$DZ$8:$DZ$86)</f>
        <v>14.305298913336639</v>
      </c>
      <c r="AI566" s="593">
        <f>SUMPRODUCT('EE Measures'!DF$8:DF$86,'EE Measures'!$IJ$8:$IJ$86,'EE Measures'!$Y$8:$Y$86,'EE Measures'!$DZ$8:$DZ$86)</f>
        <v>15.808510181322184</v>
      </c>
      <c r="AJ566" s="593">
        <f>SUMPRODUCT('EE Measures'!DG$8:DG$86,'EE Measures'!$IJ$8:$IJ$86,'EE Measures'!$Y$8:$Y$86,'EE Measures'!$DZ$8:$DZ$86)</f>
        <v>17.374198939563829</v>
      </c>
      <c r="AK566" s="593">
        <f>SUMPRODUCT('EE Measures'!DH$8:DH$86,'EE Measures'!$IJ$8:$IJ$86,'EE Measures'!$Y$8:$Y$86,'EE Measures'!$DZ$8:$DZ$86)</f>
        <v>19.005053593727428</v>
      </c>
      <c r="AL566" s="593">
        <f>SUMPRODUCT('EE Measures'!DI$8:DI$86,'EE Measures'!$IJ$8:$IJ$86,'EE Measures'!$Y$8:$Y$86,'EE Measures'!$DZ$8:$DZ$86)</f>
        <v>20.703868667753966</v>
      </c>
      <c r="AM566" s="593">
        <f>SUMPRODUCT('EE Measures'!DJ$8:DJ$86,'EE Measures'!$IJ$8:$IJ$86,'EE Measures'!$Y$8:$Y$86,'EE Measures'!$DZ$8:$DZ$86)</f>
        <v>22.473548784880535</v>
      </c>
    </row>
    <row r="567" spans="3:39" hidden="1" outlineLevel="1" x14ac:dyDescent="0.3">
      <c r="C567" s="587" t="str">
        <f t="shared" ref="C567:C570" si="2054">C566</f>
        <v>EET</v>
      </c>
      <c r="E567" s="563" t="s">
        <v>51</v>
      </c>
      <c r="F567" s="592">
        <f t="shared" ref="F567:F570" si="2055">SUM(G567:P567)</f>
        <v>12.573864637806185</v>
      </c>
      <c r="G567" s="593">
        <f>SUMPRODUCT('EE Measures'!CV$8:CV$86,'EE Measures'!$IJ$8:$IJ$86,'EE Measures'!$O$8:$O$86,'EE Measures'!$DZ$8:$DZ$86)</f>
        <v>0.32693627598582725</v>
      </c>
      <c r="H567" s="593">
        <f>SUMPRODUCT('EE Measures'!CW$8:CW$86,'EE Measures'!$IJ$8:$IJ$86,'EE Measures'!$O$8:$O$86,'EE Measures'!$DZ$8:$DZ$86)</f>
        <v>0.42703340487127572</v>
      </c>
      <c r="I567" s="593">
        <f>SUMPRODUCT('EE Measures'!CX$8:CX$86,'EE Measures'!$IJ$8:$IJ$86,'EE Measures'!$O$8:$O$86,'EE Measures'!$DZ$8:$DZ$86)</f>
        <v>0.53191502108428823</v>
      </c>
      <c r="J567" s="593">
        <f>SUMPRODUCT('EE Measures'!CY$8:CY$86,'EE Measures'!$IJ$8:$IJ$86,'EE Measures'!$O$8:$O$86,'EE Measures'!$DZ$8:$DZ$86)</f>
        <v>1.0056206135051147</v>
      </c>
      <c r="K567" s="593">
        <f>SUMPRODUCT('EE Measures'!CZ$8:CZ$86,'EE Measures'!$IJ$8:$IJ$86,'EE Measures'!$O$8:$O$86,'EE Measures'!$DZ$8:$DZ$86)</f>
        <v>1.3453477041224908</v>
      </c>
      <c r="L567" s="593">
        <f>SUMPRODUCT('EE Measures'!DA$8:DA$86,'EE Measures'!$IJ$8:$IJ$86,'EE Measures'!$O$8:$O$86,'EE Measures'!$DZ$8:$DZ$86)</f>
        <v>1.4849962468762925</v>
      </c>
      <c r="M567" s="593">
        <f>SUMPRODUCT('EE Measures'!DB$8:DB$86,'EE Measures'!$IJ$8:$IJ$86,'EE Measures'!$O$8:$O$86,'EE Measures'!$DZ$8:$DZ$86)</f>
        <v>1.6302253202152432</v>
      </c>
      <c r="N567" s="593">
        <f>SUMPRODUCT('EE Measures'!DC$8:DC$86,'EE Measures'!$IJ$8:$IJ$86,'EE Measures'!$O$8:$O$86,'EE Measures'!$DZ$8:$DZ$86)</f>
        <v>1.7812970459213751</v>
      </c>
      <c r="O567" s="593">
        <f>SUMPRODUCT('EE Measures'!DD$8:DD$86,'EE Measures'!$IJ$8:$IJ$86,'EE Measures'!$O$8:$O$86,'EE Measures'!$DZ$8:$DZ$86)</f>
        <v>1.9384717248884242</v>
      </c>
      <c r="P567" s="593">
        <f>SUMPRODUCT('EE Measures'!DE$8:DE$86,'EE Measures'!$IJ$8:$IJ$86,'EE Measures'!$O$8:$O$86,'EE Measures'!$DZ$8:$DZ$86)</f>
        <v>2.102021280335852</v>
      </c>
      <c r="Q567" s="593">
        <f>SUMPRODUCT('EE Measures'!DF$8:DF$86,'EE Measures'!$IJ$8:$IJ$86,'EE Measures'!$O$8:$O$86,'EE Measures'!$DZ$8:$DZ$86)</f>
        <v>2.2721779565912268</v>
      </c>
      <c r="R567" s="593">
        <f>SUMPRODUCT('EE Measures'!DG$8:DG$86,'EE Measures'!$IJ$8:$IJ$86,'EE Measures'!$O$8:$O$86,'EE Measures'!$DZ$8:$DZ$86)</f>
        <v>2.4492862082833384</v>
      </c>
      <c r="S567" s="593">
        <f>SUMPRODUCT('EE Measures'!DH$8:DH$86,'EE Measures'!$IJ$8:$IJ$86,'EE Measures'!$O$8:$O$86,'EE Measures'!$DZ$8:$DZ$86)</f>
        <v>2.633656391716257</v>
      </c>
      <c r="T567" s="593">
        <f>SUMPRODUCT('EE Measures'!DI$8:DI$86,'EE Measures'!$IJ$8:$IJ$86,'EE Measures'!$O$8:$O$86,'EE Measures'!$DZ$8:$DZ$86)</f>
        <v>2.8256126270884501</v>
      </c>
      <c r="U567" s="593">
        <f>SUMPRODUCT('EE Measures'!DJ$8:DJ$86,'EE Measures'!$IJ$8:$IJ$86,'EE Measures'!$O$8:$O$86,'EE Measures'!$DZ$8:$DZ$86)</f>
        <v>3.0254933904947414</v>
      </c>
      <c r="W567" s="563" t="str">
        <v>Lääne-Eesti</v>
      </c>
      <c r="X567" s="592">
        <f t="shared" ref="X567:X570" si="2056">SUM(Y567:AH567)</f>
        <v>17.2931321488721</v>
      </c>
      <c r="Y567" s="593">
        <f>SUMPRODUCT('EE Measures'!CV$8:CV$86,'EE Measures'!$IJ$8:$IJ$86,'EE Measures'!$Z$8:$Z$86,'EE Measures'!$DZ$8:$DZ$86)</f>
        <v>0.59978196586236499</v>
      </c>
      <c r="Z567" s="593">
        <f>SUMPRODUCT('EE Measures'!CW$8:CW$86,'EE Measures'!$IJ$8:$IJ$86,'EE Measures'!$Z$8:$Z$86,'EE Measures'!$DZ$8:$DZ$86)</f>
        <v>0.68447865943532482</v>
      </c>
      <c r="AA567" s="593">
        <f>SUMPRODUCT('EE Measures'!CX$8:CX$86,'EE Measures'!$IJ$8:$IJ$86,'EE Measures'!$Z$8:$Z$86,'EE Measures'!$DZ$8:$DZ$86)</f>
        <v>0.74731502160538243</v>
      </c>
      <c r="AB567" s="593">
        <f>SUMPRODUCT('EE Measures'!CY$8:CY$86,'EE Measures'!$IJ$8:$IJ$86,'EE Measures'!$Z$8:$Z$86,'EE Measures'!$DZ$8:$DZ$86)</f>
        <v>0.90884941526822105</v>
      </c>
      <c r="AC567" s="593">
        <f>SUMPRODUCT('EE Measures'!CZ$8:CZ$86,'EE Measures'!$IJ$8:$IJ$86,'EE Measures'!$Z$8:$Z$86,'EE Measures'!$DZ$8:$DZ$86)</f>
        <v>1.369484368728394</v>
      </c>
      <c r="AD567" s="593">
        <f>SUMPRODUCT('EE Measures'!DA$8:DA$86,'EE Measures'!$IJ$8:$IJ$86,'EE Measures'!$Z$8:$Z$86,'EE Measures'!$DZ$8:$DZ$86)</f>
        <v>1.7539041805269666</v>
      </c>
      <c r="AE567" s="593">
        <f>SUMPRODUCT('EE Measures'!DB$8:DB$86,'EE Measures'!$IJ$8:$IJ$86,'EE Measures'!$Z$8:$Z$86,'EE Measures'!$DZ$8:$DZ$86)</f>
        <v>2.2078401384024935</v>
      </c>
      <c r="AF567" s="593">
        <f>SUMPRODUCT('EE Measures'!DC$8:DC$86,'EE Measures'!$IJ$8:$IJ$86,'EE Measures'!$Z$8:$Z$86,'EE Measures'!$DZ$8:$DZ$86)</f>
        <v>2.5986546305818718</v>
      </c>
      <c r="AG567" s="593">
        <f>SUMPRODUCT('EE Measures'!DD$8:DD$86,'EE Measures'!$IJ$8:$IJ$86,'EE Measures'!$Z$8:$Z$86,'EE Measures'!$DZ$8:$DZ$86)</f>
        <v>3.0098992652794978</v>
      </c>
      <c r="AH567" s="593">
        <f>SUMPRODUCT('EE Measures'!DE$8:DE$86,'EE Measures'!$IJ$8:$IJ$86,'EE Measures'!$Z$8:$Z$86,'EE Measures'!$DZ$8:$DZ$86)</f>
        <v>3.4129245031815847</v>
      </c>
      <c r="AI567" s="593">
        <f>SUMPRODUCT('EE Measures'!DF$8:DF$86,'EE Measures'!$IJ$8:$IJ$86,'EE Measures'!$Z$8:$Z$86,'EE Measures'!$DZ$8:$DZ$86)</f>
        <v>3.8079613462377555</v>
      </c>
      <c r="AJ567" s="593">
        <f>SUMPRODUCT('EE Measures'!DG$8:DG$86,'EE Measures'!$IJ$8:$IJ$86,'EE Measures'!$Z$8:$Z$86,'EE Measures'!$DZ$8:$DZ$86)</f>
        <v>4.2200601375463469</v>
      </c>
      <c r="AK567" s="593">
        <f>SUMPRODUCT('EE Measures'!DH$8:DH$86,'EE Measures'!$IJ$8:$IJ$86,'EE Measures'!$Z$8:$Z$86,'EE Measures'!$DZ$8:$DZ$86)</f>
        <v>4.6499583903029835</v>
      </c>
      <c r="AL567" s="593">
        <f>SUMPRODUCT('EE Measures'!DI$8:DI$86,'EE Measures'!$IJ$8:$IJ$86,'EE Measures'!$Z$8:$Z$86,'EE Measures'!$DZ$8:$DZ$86)</f>
        <v>5.0984227394065735</v>
      </c>
      <c r="AM567" s="593">
        <f>SUMPRODUCT('EE Measures'!DJ$8:DJ$86,'EE Measures'!$IJ$8:$IJ$86,'EE Measures'!$Z$8:$Z$86,'EE Measures'!$DZ$8:$DZ$86)</f>
        <v>5.5662500323758612</v>
      </c>
    </row>
    <row r="568" spans="3:39" hidden="1" outlineLevel="1" x14ac:dyDescent="0.3">
      <c r="C568" s="587" t="str">
        <f t="shared" si="2054"/>
        <v>EET</v>
      </c>
      <c r="E568" s="563" t="s">
        <v>52</v>
      </c>
      <c r="F568" s="592">
        <f t="shared" si="2055"/>
        <v>38.853574174284489</v>
      </c>
      <c r="G568" s="593">
        <f>SUMPRODUCT('EE Measures'!CV$8:CV$86,'EE Measures'!$IJ$8:$IJ$86,'EE Measures'!$P$8:$P$86,'EE Measures'!$DZ$8:$DZ$86)</f>
        <v>1.0584757664702868</v>
      </c>
      <c r="H568" s="593">
        <f>SUMPRODUCT('EE Measures'!CW$8:CW$86,'EE Measures'!$IJ$8:$IJ$86,'EE Measures'!$P$8:$P$86,'EE Measures'!$DZ$8:$DZ$86)</f>
        <v>1.4795366216450017</v>
      </c>
      <c r="I568" s="593">
        <f>SUMPRODUCT('EE Measures'!CX$8:CX$86,'EE Measures'!$IJ$8:$IJ$86,'EE Measures'!$P$8:$P$86,'EE Measures'!$DZ$8:$DZ$86)</f>
        <v>1.5922055211848056</v>
      </c>
      <c r="J568" s="593">
        <f>SUMPRODUCT('EE Measures'!CY$8:CY$86,'EE Measures'!$IJ$8:$IJ$86,'EE Measures'!$P$8:$P$86,'EE Measures'!$DZ$8:$DZ$86)</f>
        <v>1.9254897185461139</v>
      </c>
      <c r="K568" s="593">
        <f>SUMPRODUCT('EE Measures'!CZ$8:CZ$86,'EE Measures'!$IJ$8:$IJ$86,'EE Measures'!$P$8:$P$86,'EE Measures'!$DZ$8:$DZ$86)</f>
        <v>2.9457292814983762</v>
      </c>
      <c r="L568" s="593">
        <f>SUMPRODUCT('EE Measures'!DA$8:DA$86,'EE Measures'!$IJ$8:$IJ$86,'EE Measures'!$P$8:$P$86,'EE Measures'!$DZ$8:$DZ$86)</f>
        <v>3.8840943909225718</v>
      </c>
      <c r="M568" s="593">
        <f>SUMPRODUCT('EE Measures'!DB$8:DB$86,'EE Measures'!$IJ$8:$IJ$86,'EE Measures'!$P$8:$P$86,'EE Measures'!$DZ$8:$DZ$86)</f>
        <v>4.873162883278864</v>
      </c>
      <c r="N568" s="593">
        <f>SUMPRODUCT('EE Measures'!DC$8:DC$86,'EE Measures'!$IJ$8:$IJ$86,'EE Measures'!$P$8:$P$86,'EE Measures'!$DZ$8:$DZ$86)</f>
        <v>5.915161779355131</v>
      </c>
      <c r="O568" s="593">
        <f>SUMPRODUCT('EE Measures'!DD$8:DD$86,'EE Measures'!$IJ$8:$IJ$86,'EE Measures'!$P$8:$P$86,'EE Measures'!$DZ$8:$DZ$86)</f>
        <v>7.0124080053214435</v>
      </c>
      <c r="P568" s="593">
        <f>SUMPRODUCT('EE Measures'!DE$8:DE$86,'EE Measures'!$IJ$8:$IJ$86,'EE Measures'!$P$8:$P$86,'EE Measures'!$DZ$8:$DZ$86)</f>
        <v>8.1673102060618952</v>
      </c>
      <c r="Q568" s="593">
        <f>SUMPRODUCT('EE Measures'!DF$8:DF$86,'EE Measures'!$IJ$8:$IJ$86,'EE Measures'!$P$8:$P$86,'EE Measures'!$DZ$8:$DZ$86)</f>
        <v>9.3851825453787754</v>
      </c>
      <c r="R568" s="593">
        <f>SUMPRODUCT('EE Measures'!DG$8:DG$86,'EE Measures'!$IJ$8:$IJ$86,'EE Measures'!$P$8:$P$86,'EE Measures'!$DZ$8:$DZ$86)</f>
        <v>10.666667414934826</v>
      </c>
      <c r="S568" s="593">
        <f>SUMPRODUCT('EE Measures'!DH$8:DH$86,'EE Measures'!$IJ$8:$IJ$86,'EE Measures'!$P$8:$P$86,'EE Measures'!$DZ$8:$DZ$86)</f>
        <v>12.014531994179315</v>
      </c>
      <c r="T568" s="593">
        <f>SUMPRODUCT('EE Measures'!DI$8:DI$86,'EE Measures'!$IJ$8:$IJ$86,'EE Measures'!$P$8:$P$86,'EE Measures'!$DZ$8:$DZ$86)</f>
        <v>13.431652773261632</v>
      </c>
      <c r="U568" s="593">
        <f>SUMPRODUCT('EE Measures'!DJ$8:DJ$86,'EE Measures'!$IJ$8:$IJ$86,'EE Measures'!$P$8:$P$86,'EE Measures'!$DZ$8:$DZ$86)</f>
        <v>14.92101963778177</v>
      </c>
      <c r="W568" s="563" t="str">
        <v>Kirde-Eesti</v>
      </c>
      <c r="X568" s="592">
        <f t="shared" si="2056"/>
        <v>15.534020016161056</v>
      </c>
      <c r="Y568" s="593">
        <f>SUMPRODUCT('EE Measures'!CV$8:CV$86,'EE Measures'!$IJ$8:$IJ$86,'EE Measures'!$AA$8:$AA$86,'EE Measures'!$DZ$8:$DZ$86)</f>
        <v>0.5615449662310964</v>
      </c>
      <c r="Z568" s="593">
        <f>SUMPRODUCT('EE Measures'!CW$8:CW$86,'EE Measures'!$IJ$8:$IJ$86,'EE Measures'!$AA$8:$AA$86,'EE Measures'!$DZ$8:$DZ$86)</f>
        <v>0.63962360544313301</v>
      </c>
      <c r="AA568" s="593">
        <f>SUMPRODUCT('EE Measures'!CX$8:CX$86,'EE Measures'!$IJ$8:$IJ$86,'EE Measures'!$AA$8:$AA$86,'EE Measures'!$DZ$8:$DZ$86)</f>
        <v>0.69394200025222008</v>
      </c>
      <c r="AB568" s="593">
        <f>SUMPRODUCT('EE Measures'!CY$8:CY$86,'EE Measures'!$IJ$8:$IJ$86,'EE Measures'!$AA$8:$AA$86,'EE Measures'!$DZ$8:$DZ$86)</f>
        <v>0.8378470536735263</v>
      </c>
      <c r="AC568" s="593">
        <f>SUMPRODUCT('EE Measures'!CZ$8:CZ$86,'EE Measures'!$IJ$8:$IJ$86,'EE Measures'!$AA$8:$AA$86,'EE Measures'!$DZ$8:$DZ$86)</f>
        <v>1.241490559985224</v>
      </c>
      <c r="AD568" s="593">
        <f>SUMPRODUCT('EE Measures'!DA$8:DA$86,'EE Measures'!$IJ$8:$IJ$86,'EE Measures'!$AA$8:$AA$86,'EE Measures'!$DZ$8:$DZ$86)</f>
        <v>1.5769245283307605</v>
      </c>
      <c r="AE568" s="593">
        <f>SUMPRODUCT('EE Measures'!DB$8:DB$86,'EE Measures'!$IJ$8:$IJ$86,'EE Measures'!$AA$8:$AA$86,'EE Measures'!$DZ$8:$DZ$86)</f>
        <v>1.9742441040983798</v>
      </c>
      <c r="AF568" s="593">
        <f>SUMPRODUCT('EE Measures'!DC$8:DC$86,'EE Measures'!$IJ$8:$IJ$86,'EE Measures'!$AA$8:$AA$86,'EE Measures'!$DZ$8:$DZ$86)</f>
        <v>2.3143115823814542</v>
      </c>
      <c r="AG568" s="593">
        <f>SUMPRODUCT('EE Measures'!DD$8:DD$86,'EE Measures'!$IJ$8:$IJ$86,'EE Measures'!$AA$8:$AA$86,'EE Measures'!$DZ$8:$DZ$86)</f>
        <v>2.6721342653951541</v>
      </c>
      <c r="AH568" s="593">
        <f>SUMPRODUCT('EE Measures'!DE$8:DE$86,'EE Measures'!$IJ$8:$IJ$86,'EE Measures'!$AA$8:$AA$86,'EE Measures'!$DZ$8:$DZ$86)</f>
        <v>3.0219573503701072</v>
      </c>
      <c r="AI568" s="593">
        <f>SUMPRODUCT('EE Measures'!DF$8:DF$86,'EE Measures'!$IJ$8:$IJ$86,'EE Measures'!$AA$8:$AA$86,'EE Measures'!$DZ$8:$DZ$86)</f>
        <v>3.3639375294352321</v>
      </c>
      <c r="AJ568" s="593">
        <f>SUMPRODUCT('EE Measures'!DG$8:DG$86,'EE Measures'!$IJ$8:$IJ$86,'EE Measures'!$AA$8:$AA$86,'EE Measures'!$DZ$8:$DZ$86)</f>
        <v>3.7205568977557606</v>
      </c>
      <c r="AK568" s="593">
        <f>SUMPRODUCT('EE Measures'!DH$8:DH$86,'EE Measures'!$IJ$8:$IJ$86,'EE Measures'!$AA$8:$AA$86,'EE Measures'!$DZ$8:$DZ$86)</f>
        <v>4.0924474758662353</v>
      </c>
      <c r="AL568" s="593">
        <f>SUMPRODUCT('EE Measures'!DI$8:DI$86,'EE Measures'!$IJ$8:$IJ$86,'EE Measures'!$AA$8:$AA$86,'EE Measures'!$DZ$8:$DZ$86)</f>
        <v>4.4802662232569919</v>
      </c>
      <c r="AM568" s="593">
        <f>SUMPRODUCT('EE Measures'!DJ$8:DJ$86,'EE Measures'!$IJ$8:$IJ$86,'EE Measures'!$AA$8:$AA$86,'EE Measures'!$DZ$8:$DZ$86)</f>
        <v>4.8846959721788421</v>
      </c>
    </row>
    <row r="569" spans="3:39" hidden="1" outlineLevel="1" x14ac:dyDescent="0.3">
      <c r="C569" s="587" t="str">
        <f t="shared" si="2054"/>
        <v>EET</v>
      </c>
      <c r="E569" s="563" t="s">
        <v>53</v>
      </c>
      <c r="F569" s="592">
        <f t="shared" si="2055"/>
        <v>103.89736447960973</v>
      </c>
      <c r="G569" s="593">
        <f>SUMPRODUCT('EE Measures'!CV$8:CV$86,'EE Measures'!$IJ$8:$IJ$86,'EE Measures'!$Q$8:$Q$86,'EE Measures'!$DZ$8:$DZ$86)</f>
        <v>4.2158218216306338</v>
      </c>
      <c r="H569" s="593">
        <f>SUMPRODUCT('EE Measures'!CW$8:CW$86,'EE Measures'!$IJ$8:$IJ$86,'EE Measures'!$Q$8:$Q$86,'EE Measures'!$DZ$8:$DZ$86)</f>
        <v>4.5310965606683729</v>
      </c>
      <c r="I569" s="593">
        <f>SUMPRODUCT('EE Measures'!CX$8:CX$86,'EE Measures'!$IJ$8:$IJ$86,'EE Measures'!$Q$8:$Q$86,'EE Measures'!$DZ$8:$DZ$86)</f>
        <v>4.8826975450019789</v>
      </c>
      <c r="J569" s="593">
        <f>SUMPRODUCT('EE Measures'!CY$8:CY$86,'EE Measures'!$IJ$8:$IJ$86,'EE Measures'!$Q$8:$Q$86,'EE Measures'!$DZ$8:$DZ$86)</f>
        <v>5.5103199690325599</v>
      </c>
      <c r="K569" s="593">
        <f>SUMPRODUCT('EE Measures'!CZ$8:CZ$86,'EE Measures'!$IJ$8:$IJ$86,'EE Measures'!$Q$8:$Q$86,'EE Measures'!$DZ$8:$DZ$86)</f>
        <v>8.163630115005807</v>
      </c>
      <c r="L569" s="593">
        <f>SUMPRODUCT('EE Measures'!DA$8:DA$86,'EE Measures'!$IJ$8:$IJ$86,'EE Measures'!$Q$8:$Q$86,'EE Measures'!$DZ$8:$DZ$86)</f>
        <v>10.415565568018515</v>
      </c>
      <c r="M569" s="593">
        <f>SUMPRODUCT('EE Measures'!DB$8:DB$86,'EE Measures'!$IJ$8:$IJ$86,'EE Measures'!$Q$8:$Q$86,'EE Measures'!$DZ$8:$DZ$86)</f>
        <v>13.239089804466294</v>
      </c>
      <c r="N569" s="593">
        <f>SUMPRODUCT('EE Measures'!DC$8:DC$86,'EE Measures'!$IJ$8:$IJ$86,'EE Measures'!$Q$8:$Q$86,'EE Measures'!$DZ$8:$DZ$86)</f>
        <v>15.411206073779976</v>
      </c>
      <c r="O569" s="593">
        <f>SUMPRODUCT('EE Measures'!DD$8:DD$86,'EE Measures'!$IJ$8:$IJ$86,'EE Measures'!$Q$8:$Q$86,'EE Measures'!$DZ$8:$DZ$86)</f>
        <v>17.697304643834279</v>
      </c>
      <c r="P569" s="593">
        <f>SUMPRODUCT('EE Measures'!DE$8:DE$86,'EE Measures'!$IJ$8:$IJ$86,'EE Measures'!$Q$8:$Q$86,'EE Measures'!$DZ$8:$DZ$86)</f>
        <v>19.830632378171309</v>
      </c>
      <c r="Q569" s="593">
        <f>SUMPRODUCT('EE Measures'!DF$8:DF$86,'EE Measures'!$IJ$8:$IJ$86,'EE Measures'!$Q$8:$Q$86,'EE Measures'!$DZ$8:$DZ$86)</f>
        <v>21.806709673564324</v>
      </c>
      <c r="R569" s="593">
        <f>SUMPRODUCT('EE Measures'!DG$8:DG$86,'EE Measures'!$IJ$8:$IJ$86,'EE Measures'!$Q$8:$Q$86,'EE Measures'!$DZ$8:$DZ$86)</f>
        <v>23.854647137263694</v>
      </c>
      <c r="S569" s="593">
        <f>SUMPRODUCT('EE Measures'!DH$8:DH$86,'EE Measures'!$IJ$8:$IJ$86,'EE Measures'!$Q$8:$Q$86,'EE Measures'!$DZ$8:$DZ$86)</f>
        <v>25.977511662302813</v>
      </c>
      <c r="T569" s="593">
        <f>SUMPRODUCT('EE Measures'!DI$8:DI$86,'EE Measures'!$IJ$8:$IJ$86,'EE Measures'!$Q$8:$Q$86,'EE Measures'!$DZ$8:$DZ$86)</f>
        <v>28.178489501936344</v>
      </c>
      <c r="U569" s="593">
        <f>SUMPRODUCT('EE Measures'!DJ$8:DJ$86,'EE Measures'!$IJ$8:$IJ$86,'EE Measures'!$Q$8:$Q$86,'EE Measures'!$DZ$8:$DZ$86)</f>
        <v>30.460890671822234</v>
      </c>
      <c r="W569" s="563" t="str">
        <v>Lõuna-Eesti </v>
      </c>
      <c r="X569" s="592">
        <f t="shared" si="2056"/>
        <v>38.205013157360412</v>
      </c>
      <c r="Y569" s="593">
        <f>SUMPRODUCT('EE Measures'!CV$8:CV$86,'EE Measures'!$IJ$8:$IJ$86,'EE Measures'!$AB$8:$AB$86,'EE Measures'!$DZ$8:$DZ$86)</f>
        <v>1.3709132053439559</v>
      </c>
      <c r="Z569" s="593">
        <f>SUMPRODUCT('EE Measures'!CW$8:CW$86,'EE Measures'!$IJ$8:$IJ$86,'EE Measures'!$AB$8:$AB$86,'EE Measures'!$DZ$8:$DZ$86)</f>
        <v>1.5631407771574986</v>
      </c>
      <c r="AA569" s="593">
        <f>SUMPRODUCT('EE Measures'!CX$8:CX$86,'EE Measures'!$IJ$8:$IJ$86,'EE Measures'!$AB$8:$AB$86,'EE Measures'!$DZ$8:$DZ$86)</f>
        <v>1.7029403718302651</v>
      </c>
      <c r="AB569" s="593">
        <f>SUMPRODUCT('EE Measures'!CY$8:CY$86,'EE Measures'!$IJ$8:$IJ$86,'EE Measures'!$AB$8:$AB$86,'EE Measures'!$DZ$8:$DZ$86)</f>
        <v>2.082894882765403</v>
      </c>
      <c r="AC569" s="593">
        <f>SUMPRODUCT('EE Measures'!CZ$8:CZ$86,'EE Measures'!$IJ$8:$IJ$86,'EE Measures'!$AB$8:$AB$86,'EE Measures'!$DZ$8:$DZ$86)</f>
        <v>3.0777688308448488</v>
      </c>
      <c r="AD569" s="593">
        <f>SUMPRODUCT('EE Measures'!DA$8:DA$86,'EE Measures'!$IJ$8:$IJ$86,'EE Measures'!$AB$8:$AB$86,'EE Measures'!$DZ$8:$DZ$86)</f>
        <v>3.893769269590905</v>
      </c>
      <c r="AE569" s="593">
        <f>SUMPRODUCT('EE Measures'!DB$8:DB$86,'EE Measures'!$IJ$8:$IJ$86,'EE Measures'!$AB$8:$AB$86,'EE Measures'!$DZ$8:$DZ$86)</f>
        <v>4.8594878705690476</v>
      </c>
      <c r="AF569" s="593">
        <f>SUMPRODUCT('EE Measures'!DC$8:DC$86,'EE Measures'!$IJ$8:$IJ$86,'EE Measures'!$AB$8:$AB$86,'EE Measures'!$DZ$8:$DZ$86)</f>
        <v>5.687061513387361</v>
      </c>
      <c r="AG569" s="593">
        <f>SUMPRODUCT('EE Measures'!DD$8:DD$86,'EE Measures'!$IJ$8:$IJ$86,'EE Measures'!$AB$8:$AB$86,'EE Measures'!$DZ$8:$DZ$86)</f>
        <v>6.5577388848767662</v>
      </c>
      <c r="AH569" s="593">
        <f>SUMPRODUCT('EE Measures'!DE$8:DE$86,'EE Measures'!$IJ$8:$IJ$86,'EE Measures'!$AB$8:$AB$86,'EE Measures'!$DZ$8:$DZ$86)</f>
        <v>7.4092975509943617</v>
      </c>
      <c r="AI569" s="593">
        <f>SUMPRODUCT('EE Measures'!DF$8:DF$86,'EE Measures'!$IJ$8:$IJ$86,'EE Measures'!$AB$8:$AB$86,'EE Measures'!$DZ$8:$DZ$86)</f>
        <v>8.2421095147613528</v>
      </c>
      <c r="AJ569" s="593">
        <f>SUMPRODUCT('EE Measures'!DG$8:DG$86,'EE Measures'!$IJ$8:$IJ$86,'EE Measures'!$AB$8:$AB$86,'EE Measures'!$DZ$8:$DZ$86)</f>
        <v>9.1105213061567092</v>
      </c>
      <c r="AK569" s="593">
        <f>SUMPRODUCT('EE Measures'!DH$8:DH$86,'EE Measures'!$IJ$8:$IJ$86,'EE Measures'!$AB$8:$AB$86,'EE Measures'!$DZ$8:$DZ$86)</f>
        <v>10.016070184689866</v>
      </c>
      <c r="AL569" s="593">
        <f>SUMPRODUCT('EE Measures'!DI$8:DI$86,'EE Measures'!$IJ$8:$IJ$86,'EE Measures'!$AB$8:$AB$86,'EE Measures'!$DZ$8:$DZ$86)</f>
        <v>10.960354143091728</v>
      </c>
      <c r="AM569" s="593">
        <f>SUMPRODUCT('EE Measures'!DJ$8:DJ$86,'EE Measures'!$IJ$8:$IJ$86,'EE Measures'!$AB$8:$AB$86,'EE Measures'!$DZ$8:$DZ$86)</f>
        <v>11.945034185172874</v>
      </c>
    </row>
    <row r="570" spans="3:39" hidden="1" outlineLevel="1" x14ac:dyDescent="0.3">
      <c r="C570" s="587" t="str">
        <f t="shared" si="2054"/>
        <v>EET</v>
      </c>
      <c r="E570" s="563" t="s">
        <v>54</v>
      </c>
      <c r="F570" s="592">
        <f t="shared" si="2055"/>
        <v>0.55162166539110014</v>
      </c>
      <c r="G570" s="593">
        <f>SUMPRODUCT('EE Measures'!CV$8:CV$86,'EE Measures'!$IJ$8:$IJ$86,'EE Measures'!$R$8:$R$86,'EE Measures'!$DZ$8:$DZ$86)</f>
        <v>2.6006736789950479E-2</v>
      </c>
      <c r="H570" s="593">
        <f>SUMPRODUCT('EE Measures'!CW$8:CW$86,'EE Measures'!$IJ$8:$IJ$86,'EE Measures'!$R$8:$R$86,'EE Measures'!$DZ$8:$DZ$86)</f>
        <v>2.7181602785016017E-2</v>
      </c>
      <c r="I570" s="593">
        <f>SUMPRODUCT('EE Measures'!CX$8:CX$86,'EE Measures'!$IJ$8:$IJ$86,'EE Measures'!$R$8:$R$86,'EE Measures'!$DZ$8:$DZ$86)</f>
        <v>2.8442815539012508E-2</v>
      </c>
      <c r="J570" s="593">
        <f>SUMPRODUCT('EE Measures'!CY$8:CY$86,'EE Measures'!$IJ$8:$IJ$86,'EE Measures'!$R$8:$R$86,'EE Measures'!$DZ$8:$DZ$86)</f>
        <v>5.1215876797280908E-2</v>
      </c>
      <c r="K570" s="593">
        <f>SUMPRODUCT('EE Measures'!CZ$8:CZ$86,'EE Measures'!$IJ$8:$IJ$86,'EE Measures'!$R$8:$R$86,'EE Measures'!$DZ$8:$DZ$86)</f>
        <v>6.446644597374622E-2</v>
      </c>
      <c r="L570" s="593">
        <f>SUMPRODUCT('EE Measures'!DA$8:DA$86,'EE Measures'!$IJ$8:$IJ$86,'EE Measures'!$R$8:$R$86,'EE Measures'!$DZ$8:$DZ$86)</f>
        <v>6.6496298088442124E-2</v>
      </c>
      <c r="M570" s="593">
        <f>SUMPRODUCT('EE Measures'!DB$8:DB$86,'EE Measures'!$IJ$8:$IJ$86,'EE Measures'!$R$8:$R$86,'EE Measures'!$DZ$8:$DZ$86)</f>
        <v>6.8599897603210336E-2</v>
      </c>
      <c r="N570" s="593">
        <f>SUMPRODUCT('EE Measures'!DC$8:DC$86,'EE Measures'!$IJ$8:$IJ$86,'EE Measures'!$R$8:$R$86,'EE Measures'!$DZ$8:$DZ$86)</f>
        <v>7.0781090602209232E-2</v>
      </c>
      <c r="O570" s="593">
        <f>SUMPRODUCT('EE Measures'!DD$8:DD$86,'EE Measures'!$IJ$8:$IJ$86,'EE Measures'!$R$8:$R$86,'EE Measures'!$DZ$8:$DZ$86)</f>
        <v>7.304280663793189E-2</v>
      </c>
      <c r="P570" s="593">
        <f>SUMPRODUCT('EE Measures'!DE$8:DE$86,'EE Measures'!$IJ$8:$IJ$86,'EE Measures'!$R$8:$R$86,'EE Measures'!$DZ$8:$DZ$86)</f>
        <v>7.5388094574300513E-2</v>
      </c>
      <c r="Q570" s="593">
        <f>SUMPRODUCT('EE Measures'!DF$8:DF$86,'EE Measures'!$IJ$8:$IJ$86,'EE Measures'!$R$8:$R$86,'EE Measures'!$DZ$8:$DZ$86)</f>
        <v>7.7816006774511975E-2</v>
      </c>
      <c r="R570" s="593">
        <f>SUMPRODUCT('EE Measures'!DG$8:DG$86,'EE Measures'!$IJ$8:$IJ$86,'EE Measures'!$R$8:$R$86,'EE Measures'!$DZ$8:$DZ$86)</f>
        <v>8.033364493150294E-2</v>
      </c>
      <c r="S570" s="593">
        <f>SUMPRODUCT('EE Measures'!DH$8:DH$86,'EE Measures'!$IJ$8:$IJ$86,'EE Measures'!$R$8:$R$86,'EE Measures'!$DZ$8:$DZ$86)</f>
        <v>8.2944483642312272E-2</v>
      </c>
      <c r="T570" s="593">
        <f>SUMPRODUCT('EE Measures'!DI$8:DI$86,'EE Measures'!$IJ$8:$IJ$86,'EE Measures'!$R$8:$R$86,'EE Measures'!$DZ$8:$DZ$86)</f>
        <v>8.5652138012393866E-2</v>
      </c>
      <c r="U570" s="593">
        <f>SUMPRODUCT('EE Measures'!DJ$8:DJ$86,'EE Measures'!$IJ$8:$IJ$86,'EE Measures'!$R$8:$R$86,'EE Measures'!$DZ$8:$DZ$86)</f>
        <v>8.8460369352355878E-2</v>
      </c>
      <c r="W570" s="563" t="str">
        <v>Kesk-Eesti</v>
      </c>
      <c r="X570" s="592">
        <f t="shared" si="2056"/>
        <v>15.052146444060856</v>
      </c>
      <c r="Y570" s="593">
        <f>SUMPRODUCT('EE Measures'!CV$8:CV$86,'EE Measures'!$IJ$8:$IJ$86,'EE Measures'!$AC$8:$AC$86,'EE Measures'!$DZ$8:$DZ$86)</f>
        <v>0.53539940784462425</v>
      </c>
      <c r="Z570" s="593">
        <f>SUMPRODUCT('EE Measures'!CW$8:CW$86,'EE Measures'!$IJ$8:$IJ$86,'EE Measures'!$AC$8:$AC$86,'EE Measures'!$DZ$8:$DZ$86)</f>
        <v>0.61360785566706932</v>
      </c>
      <c r="AA570" s="593">
        <f>SUMPRODUCT('EE Measures'!CX$8:CX$86,'EE Measures'!$IJ$8:$IJ$86,'EE Measures'!$AC$8:$AC$86,'EE Measures'!$DZ$8:$DZ$86)</f>
        <v>0.66920189795848839</v>
      </c>
      <c r="AB570" s="593">
        <f>SUMPRODUCT('EE Measures'!CY$8:CY$86,'EE Measures'!$IJ$8:$IJ$86,'EE Measures'!$AC$8:$AC$86,'EE Measures'!$DZ$8:$DZ$86)</f>
        <v>0.82309895914599518</v>
      </c>
      <c r="AC570" s="593">
        <f>SUMPRODUCT('EE Measures'!CZ$8:CZ$86,'EE Measures'!$IJ$8:$IJ$86,'EE Measures'!$AC$8:$AC$86,'EE Measures'!$DZ$8:$DZ$86)</f>
        <v>1.2156575920916435</v>
      </c>
      <c r="AD570" s="593">
        <f>SUMPRODUCT('EE Measures'!DA$8:DA$86,'EE Measures'!$IJ$8:$IJ$86,'EE Measures'!$AC$8:$AC$86,'EE Measures'!$DZ$8:$DZ$86)</f>
        <v>1.5363391805447952</v>
      </c>
      <c r="AE570" s="593">
        <f>SUMPRODUCT('EE Measures'!DB$8:DB$86,'EE Measures'!$IJ$8:$IJ$86,'EE Measures'!$AC$8:$AC$86,'EE Measures'!$DZ$8:$DZ$86)</f>
        <v>1.9148793832459567</v>
      </c>
      <c r="AF570" s="593">
        <f>SUMPRODUCT('EE Measures'!DC$8:DC$86,'EE Measures'!$IJ$8:$IJ$86,'EE Measures'!$AC$8:$AC$86,'EE Measures'!$DZ$8:$DZ$86)</f>
        <v>2.2407727228439076</v>
      </c>
      <c r="AG570" s="593">
        <f>SUMPRODUCT('EE Measures'!DD$8:DD$86,'EE Measures'!$IJ$8:$IJ$86,'EE Measures'!$AC$8:$AC$86,'EE Measures'!$DZ$8:$DZ$86)</f>
        <v>2.583624985811428</v>
      </c>
      <c r="AH570" s="593">
        <f>SUMPRODUCT('EE Measures'!DE$8:DE$86,'EE Measures'!$IJ$8:$IJ$86,'EE Measures'!$AC$8:$AC$86,'EE Measures'!$DZ$8:$DZ$86)</f>
        <v>2.9195644589069496</v>
      </c>
      <c r="AI570" s="593">
        <f>SUMPRODUCT('EE Measures'!DF$8:DF$86,'EE Measures'!$IJ$8:$IJ$86,'EE Measures'!$AC$8:$AC$86,'EE Measures'!$DZ$8:$DZ$86)</f>
        <v>3.2487708785016434</v>
      </c>
      <c r="AJ570" s="593">
        <f>SUMPRODUCT('EE Measures'!DG$8:DG$86,'EE Measures'!$IJ$8:$IJ$86,'EE Measures'!$AC$8:$AC$86,'EE Measures'!$DZ$8:$DZ$86)</f>
        <v>3.592116464857698</v>
      </c>
      <c r="AK570" s="593">
        <f>SUMPRODUCT('EE Measures'!DH$8:DH$86,'EE Measures'!$IJ$8:$IJ$86,'EE Measures'!$AC$8:$AC$86,'EE Measures'!$DZ$8:$DZ$86)</f>
        <v>3.9502120193699302</v>
      </c>
      <c r="AL570" s="593">
        <f>SUMPRODUCT('EE Measures'!DI$8:DI$86,'EE Measures'!$IJ$8:$IJ$86,'EE Measures'!$AC$8:$AC$86,'EE Measures'!$DZ$8:$DZ$86)</f>
        <v>4.3236924924635378</v>
      </c>
      <c r="AM570" s="593">
        <f>SUMPRODUCT('EE Measures'!DJ$8:DJ$86,'EE Measures'!$IJ$8:$IJ$86,'EE Measures'!$AC$8:$AC$86,'EE Measures'!$DZ$8:$DZ$86)</f>
        <v>4.7132178901526807</v>
      </c>
    </row>
    <row r="571" spans="3:39" hidden="1" outlineLevel="1" x14ac:dyDescent="0.3">
      <c r="C571" s="587" t="str">
        <f>E571</f>
        <v>CEER1</v>
      </c>
      <c r="E571" s="555" t="str">
        <f>'EE Measures'!$IK$6</f>
        <v>CEER1</v>
      </c>
      <c r="F571" s="590">
        <f>SUM(G571:P571)</f>
        <v>143.45049800357003</v>
      </c>
      <c r="G571" s="591">
        <f>SUM(G572:G576)</f>
        <v>6.0369175471136991</v>
      </c>
      <c r="H571" s="591">
        <f>SUM(H572:H576)</f>
        <v>6.8953907295089936</v>
      </c>
      <c r="I571" s="591">
        <f t="shared" ref="I571" si="2057">SUM(I572:I576)</f>
        <v>7.4881437653320964</v>
      </c>
      <c r="J571" s="591">
        <f t="shared" ref="J571" si="2058">SUM(J572:J576)</f>
        <v>9.1211291454604098</v>
      </c>
      <c r="K571" s="591">
        <f t="shared" ref="K571" si="2059">SUM(K572:K576)</f>
        <v>12.389453992097437</v>
      </c>
      <c r="L571" s="591">
        <f t="shared" ref="L571" si="2060">SUM(L572:L576)</f>
        <v>14.857915878465773</v>
      </c>
      <c r="M571" s="591">
        <f t="shared" ref="M571" si="2061">SUM(M572:M576)</f>
        <v>17.924657602685656</v>
      </c>
      <c r="N571" s="591">
        <f t="shared" ref="N571" si="2062">SUM(N572:N576)</f>
        <v>20.367656561422542</v>
      </c>
      <c r="O571" s="591">
        <f t="shared" ref="O571" si="2063">SUM(O572:O576)</f>
        <v>22.95330792276236</v>
      </c>
      <c r="P571" s="591">
        <f t="shared" ref="P571:U571" si="2064">SUM(P572:P576)</f>
        <v>25.415924858721041</v>
      </c>
      <c r="Q571" s="591">
        <f t="shared" si="2064"/>
        <v>27.752607349224306</v>
      </c>
      <c r="R571" s="591">
        <f t="shared" si="2064"/>
        <v>30.193726545629325</v>
      </c>
      <c r="S571" s="591">
        <f t="shared" si="2064"/>
        <v>32.743759395609452</v>
      </c>
      <c r="T571" s="591">
        <f t="shared" si="2064"/>
        <v>35.407359697691106</v>
      </c>
      <c r="U571" s="591">
        <f t="shared" si="2064"/>
        <v>38.189364754940151</v>
      </c>
      <c r="V571" s="555"/>
      <c r="W571" s="555" t="str">
        <f>'EE Measures'!$IK$6</f>
        <v>CEER1</v>
      </c>
      <c r="X571" s="590">
        <f>SUM(Y571:AH571)</f>
        <v>143.45049800357</v>
      </c>
      <c r="Y571" s="591">
        <f t="shared" ref="Y571:Z571" si="2065">SUM(Y572:Y576)</f>
        <v>6.0369175471136991</v>
      </c>
      <c r="Z571" s="591">
        <f t="shared" si="2065"/>
        <v>6.8953907295089945</v>
      </c>
      <c r="AA571" s="591">
        <f t="shared" ref="AA571" si="2066">SUM(AA572:AA576)</f>
        <v>7.4881437653320972</v>
      </c>
      <c r="AB571" s="591">
        <f t="shared" ref="AB571" si="2067">SUM(AB572:AB576)</f>
        <v>9.1211291454604098</v>
      </c>
      <c r="AC571" s="591">
        <f t="shared" ref="AC571" si="2068">SUM(AC572:AC576)</f>
        <v>12.389453992097437</v>
      </c>
      <c r="AD571" s="591">
        <f t="shared" ref="AD571" si="2069">SUM(AD572:AD576)</f>
        <v>14.857915878465775</v>
      </c>
      <c r="AE571" s="591">
        <f t="shared" ref="AE571" si="2070">SUM(AE572:AE576)</f>
        <v>17.924657602685656</v>
      </c>
      <c r="AF571" s="591">
        <f t="shared" ref="AF571" si="2071">SUM(AF572:AF576)</f>
        <v>20.367656561422542</v>
      </c>
      <c r="AG571" s="591">
        <f t="shared" ref="AG571" si="2072">SUM(AG572:AG576)</f>
        <v>22.953307922762356</v>
      </c>
      <c r="AH571" s="591">
        <f t="shared" ref="AH571:AM571" si="2073">SUM(AH572:AH576)</f>
        <v>25.415924858721041</v>
      </c>
      <c r="AI571" s="591">
        <f t="shared" si="2073"/>
        <v>27.752607349224309</v>
      </c>
      <c r="AJ571" s="591">
        <f t="shared" si="2073"/>
        <v>30.193726545629325</v>
      </c>
      <c r="AK571" s="591">
        <f t="shared" si="2073"/>
        <v>32.743759395609459</v>
      </c>
      <c r="AL571" s="591">
        <f t="shared" si="2073"/>
        <v>35.407359697691106</v>
      </c>
      <c r="AM571" s="591">
        <f t="shared" si="2073"/>
        <v>38.189364754940158</v>
      </c>
    </row>
    <row r="572" spans="3:39" hidden="1" outlineLevel="1" x14ac:dyDescent="0.3">
      <c r="C572" s="587" t="str">
        <f>C571</f>
        <v>CEER1</v>
      </c>
      <c r="E572" s="563" t="s">
        <v>50</v>
      </c>
      <c r="F572" s="592">
        <f>SUM(G572:P572)</f>
        <v>6.792623744700041</v>
      </c>
      <c r="G572" s="593">
        <f>SUMPRODUCT('EE Measures'!CV$8:CV$86,'EE Measures'!$IK$8:$IK$86,'EE Measures'!$N$8:$N$86,'EE Measures'!$DZ$8:$DZ$86)</f>
        <v>0.40967694623700107</v>
      </c>
      <c r="H572" s="593">
        <f>SUMPRODUCT('EE Measures'!CW$8:CW$86,'EE Measures'!$IK$8:$IK$86,'EE Measures'!$N$8:$N$86,'EE Measures'!$DZ$8:$DZ$86)</f>
        <v>0.43054253953932725</v>
      </c>
      <c r="I572" s="593">
        <f>SUMPRODUCT('EE Measures'!CX$8:CX$86,'EE Measures'!$IK$8:$IK$86,'EE Measures'!$N$8:$N$86,'EE Measures'!$DZ$8:$DZ$86)</f>
        <v>0.45288286252201115</v>
      </c>
      <c r="J572" s="593">
        <f>SUMPRODUCT('EE Measures'!CY$8:CY$86,'EE Measures'!$IK$8:$IK$86,'EE Measures'!$N$8:$N$86,'EE Measures'!$DZ$8:$DZ$86)</f>
        <v>0.62848296757934097</v>
      </c>
      <c r="K572" s="593">
        <f>SUMPRODUCT('EE Measures'!CZ$8:CZ$86,'EE Measures'!$IK$8:$IK$86,'EE Measures'!$N$8:$N$86,'EE Measures'!$DZ$8:$DZ$86)</f>
        <v>0.7340664666434813</v>
      </c>
      <c r="L572" s="593">
        <f>SUMPRODUCT('EE Measures'!DA$8:DA$86,'EE Measures'!$IK$8:$IK$86,'EE Measures'!$N$8:$N$86,'EE Measures'!$DZ$8:$DZ$86)</f>
        <v>0.76359932865803171</v>
      </c>
      <c r="M572" s="593">
        <f>SUMPRODUCT('EE Measures'!DB$8:DB$86,'EE Measures'!$IK$8:$IK$86,'EE Measures'!$N$8:$N$86,'EE Measures'!$DZ$8:$DZ$86)</f>
        <v>0.79427088107754495</v>
      </c>
      <c r="N572" s="593">
        <f>SUMPRODUCT('EE Measures'!DC$8:DC$86,'EE Measures'!$IK$8:$IK$86,'EE Measures'!$N$8:$N$86,'EE Measures'!$DZ$8:$DZ$86)</f>
        <v>0.82614392133853309</v>
      </c>
      <c r="O572" s="593">
        <f>SUMPRODUCT('EE Measures'!DD$8:DD$86,'EE Measures'!$IK$8:$IK$86,'EE Measures'!$N$8:$N$86,'EE Measures'!$DZ$8:$DZ$86)</f>
        <v>0.85926701345848122</v>
      </c>
      <c r="P572" s="593">
        <f>SUMPRODUCT('EE Measures'!DE$8:DE$86,'EE Measures'!$IK$8:$IK$86,'EE Measures'!$N$8:$N$86,'EE Measures'!$DZ$8:$DZ$86)</f>
        <v>0.89369081764628755</v>
      </c>
      <c r="Q572" s="593">
        <f>SUMPRODUCT('EE Measures'!DF$8:DF$86,'EE Measures'!$IK$8:$IK$86,'EE Measures'!$N$8:$N$86,'EE Measures'!$DZ$8:$DZ$86)</f>
        <v>0.92940326794933004</v>
      </c>
      <c r="R572" s="593">
        <f>SUMPRODUCT('EE Measures'!DG$8:DG$86,'EE Measures'!$IK$8:$IK$86,'EE Measures'!$N$8:$N$86,'EE Measures'!$DZ$8:$DZ$86)</f>
        <v>0.96651934046698107</v>
      </c>
      <c r="S572" s="593">
        <f>SUMPRODUCT('EE Measures'!DH$8:DH$86,'EE Measures'!$IK$8:$IK$86,'EE Measures'!$N$8:$N$86,'EE Measures'!$DZ$8:$DZ$86)</f>
        <v>1.005097132115746</v>
      </c>
      <c r="T572" s="593">
        <f>SUMPRODUCT('EE Measures'!DI$8:DI$86,'EE Measures'!$IK$8:$IK$86,'EE Measures'!$N$8:$N$86,'EE Measures'!$DZ$8:$DZ$86)</f>
        <v>1.0451972256739737</v>
      </c>
      <c r="U572" s="593">
        <f>SUMPRODUCT('EE Measures'!DJ$8:DJ$86,'EE Measures'!$IK$8:$IK$86,'EE Measures'!$N$8:$N$86,'EE Measures'!$DZ$8:$DZ$86)</f>
        <v>1.0868827953096933</v>
      </c>
      <c r="W572" s="563" t="str" cm="1">
        <f t="array" ref="W572:W576">_xlfn.ANCHORARRAY($W$357)</f>
        <v xml:space="preserve">Põhja-Eesti </v>
      </c>
      <c r="X572" s="592">
        <f>SUM(Y572:AH572)</f>
        <v>67.606744693449514</v>
      </c>
      <c r="Y572" s="593">
        <f>SUMPRODUCT('EE Measures'!CV$8:CV$86,'EE Measures'!$IK$8:$IK$86,'EE Measures'!$Y$8:$Y$86,'EE Measures'!$DZ$8:$DZ$86)</f>
        <v>2.9692780018316585</v>
      </c>
      <c r="Z572" s="593">
        <f>SUMPRODUCT('EE Measures'!CW$8:CW$86,'EE Measures'!$IK$8:$IK$86,'EE Measures'!$Y$8:$Y$86,'EE Measures'!$DZ$8:$DZ$86)</f>
        <v>3.3945398318059676</v>
      </c>
      <c r="AA572" s="593">
        <f>SUMPRODUCT('EE Measures'!CX$8:CX$86,'EE Measures'!$IK$8:$IK$86,'EE Measures'!$Y$8:$Y$86,'EE Measures'!$DZ$8:$DZ$86)</f>
        <v>3.6747444736857409</v>
      </c>
      <c r="AB572" s="593">
        <f>SUMPRODUCT('EE Measures'!CY$8:CY$86,'EE Measures'!$IK$8:$IK$86,'EE Measures'!$Y$8:$Y$86,'EE Measures'!$DZ$8:$DZ$86)</f>
        <v>4.4684388346072659</v>
      </c>
      <c r="AC572" s="593">
        <f>SUMPRODUCT('EE Measures'!CZ$8:CZ$86,'EE Measures'!$IK$8:$IK$86,'EE Measures'!$Y$8:$Y$86,'EE Measures'!$DZ$8:$DZ$86)</f>
        <v>5.9453189415962999</v>
      </c>
      <c r="AD572" s="593">
        <f>SUMPRODUCT('EE Measures'!DA$8:DA$86,'EE Measures'!$IK$8:$IK$86,'EE Measures'!$Y$8:$Y$86,'EE Measures'!$DZ$8:$DZ$86)</f>
        <v>7.0331045267006438</v>
      </c>
      <c r="AE572" s="593">
        <f>SUMPRODUCT('EE Measures'!DB$8:DB$86,'EE Measures'!$IK$8:$IK$86,'EE Measures'!$Y$8:$Y$86,'EE Measures'!$DZ$8:$DZ$86)</f>
        <v>8.3966059479465773</v>
      </c>
      <c r="AF572" s="593">
        <f>SUMPRODUCT('EE Measures'!DC$8:DC$86,'EE Measures'!$IK$8:$IK$86,'EE Measures'!$Y$8:$Y$86,'EE Measures'!$DZ$8:$DZ$86)</f>
        <v>9.4647872888778295</v>
      </c>
      <c r="AG572" s="593">
        <f>SUMPRODUCT('EE Measures'!DD$8:DD$86,'EE Measures'!$IK$8:$IK$86,'EE Measures'!$Y$8:$Y$86,'EE Measures'!$DZ$8:$DZ$86)</f>
        <v>10.595495582648653</v>
      </c>
      <c r="AH572" s="593">
        <f>SUMPRODUCT('EE Measures'!DE$8:DE$86,'EE Measures'!$IK$8:$IK$86,'EE Measures'!$Y$8:$Y$86,'EE Measures'!$DZ$8:$DZ$86)</f>
        <v>11.664431263748869</v>
      </c>
      <c r="AI572" s="593">
        <f>SUMPRODUCT('EE Measures'!DF$8:DF$86,'EE Measures'!$IK$8:$IK$86,'EE Measures'!$Y$8:$Y$86,'EE Measures'!$DZ$8:$DZ$86)</f>
        <v>12.669861657509559</v>
      </c>
      <c r="AJ572" s="593">
        <f>SUMPRODUCT('EE Measures'!DG$8:DG$86,'EE Measures'!$IK$8:$IK$86,'EE Measures'!$Y$8:$Y$86,'EE Measures'!$DZ$8:$DZ$86)</f>
        <v>13.719325936419075</v>
      </c>
      <c r="AK572" s="593">
        <f>SUMPRODUCT('EE Measures'!DH$8:DH$86,'EE Measures'!$IK$8:$IK$86,'EE Measures'!$Y$8:$Y$86,'EE Measures'!$DZ$8:$DZ$86)</f>
        <v>14.814704775044603</v>
      </c>
      <c r="AL572" s="593">
        <f>SUMPRODUCT('EE Measures'!DI$8:DI$86,'EE Measures'!$IK$8:$IK$86,'EE Measures'!$Y$8:$Y$86,'EE Measures'!$DZ$8:$DZ$86)</f>
        <v>15.957953101607128</v>
      </c>
      <c r="AM572" s="593">
        <f>SUMPRODUCT('EE Measures'!DJ$8:DJ$86,'EE Measures'!$IK$8:$IK$86,'EE Measures'!$Y$8:$Y$86,'EE Measures'!$DZ$8:$DZ$86)</f>
        <v>17.151102894083134</v>
      </c>
    </row>
    <row r="573" spans="3:39" hidden="1" outlineLevel="1" x14ac:dyDescent="0.3">
      <c r="C573" s="587" t="str">
        <f t="shared" ref="C573:C576" si="2074">C572</f>
        <v>CEER1</v>
      </c>
      <c r="E573" s="563" t="s">
        <v>51</v>
      </c>
      <c r="F573" s="592">
        <f t="shared" ref="F573:F576" si="2075">SUM(G573:P573)</f>
        <v>12.573864637806185</v>
      </c>
      <c r="G573" s="593">
        <f>SUMPRODUCT('EE Measures'!CV$8:CV$86,'EE Measures'!$IK$8:$IK$86,'EE Measures'!$O$8:$O$86,'EE Measures'!$DZ$8:$DZ$86)</f>
        <v>0.32693627598582725</v>
      </c>
      <c r="H573" s="593">
        <f>SUMPRODUCT('EE Measures'!CW$8:CW$86,'EE Measures'!$IK$8:$IK$86,'EE Measures'!$O$8:$O$86,'EE Measures'!$DZ$8:$DZ$86)</f>
        <v>0.42703340487127572</v>
      </c>
      <c r="I573" s="593">
        <f>SUMPRODUCT('EE Measures'!CX$8:CX$86,'EE Measures'!$IK$8:$IK$86,'EE Measures'!$O$8:$O$86,'EE Measures'!$DZ$8:$DZ$86)</f>
        <v>0.53191502108428823</v>
      </c>
      <c r="J573" s="593">
        <f>SUMPRODUCT('EE Measures'!CY$8:CY$86,'EE Measures'!$IK$8:$IK$86,'EE Measures'!$O$8:$O$86,'EE Measures'!$DZ$8:$DZ$86)</f>
        <v>1.0056206135051147</v>
      </c>
      <c r="K573" s="593">
        <f>SUMPRODUCT('EE Measures'!CZ$8:CZ$86,'EE Measures'!$IK$8:$IK$86,'EE Measures'!$O$8:$O$86,'EE Measures'!$DZ$8:$DZ$86)</f>
        <v>1.3453477041224908</v>
      </c>
      <c r="L573" s="593">
        <f>SUMPRODUCT('EE Measures'!DA$8:DA$86,'EE Measures'!$IK$8:$IK$86,'EE Measures'!$O$8:$O$86,'EE Measures'!$DZ$8:$DZ$86)</f>
        <v>1.4849962468762925</v>
      </c>
      <c r="M573" s="593">
        <f>SUMPRODUCT('EE Measures'!DB$8:DB$86,'EE Measures'!$IK$8:$IK$86,'EE Measures'!$O$8:$O$86,'EE Measures'!$DZ$8:$DZ$86)</f>
        <v>1.6302253202152432</v>
      </c>
      <c r="N573" s="593">
        <f>SUMPRODUCT('EE Measures'!DC$8:DC$86,'EE Measures'!$IK$8:$IK$86,'EE Measures'!$O$8:$O$86,'EE Measures'!$DZ$8:$DZ$86)</f>
        <v>1.7812970459213751</v>
      </c>
      <c r="O573" s="593">
        <f>SUMPRODUCT('EE Measures'!DD$8:DD$86,'EE Measures'!$IK$8:$IK$86,'EE Measures'!$O$8:$O$86,'EE Measures'!$DZ$8:$DZ$86)</f>
        <v>1.9384717248884242</v>
      </c>
      <c r="P573" s="593">
        <f>SUMPRODUCT('EE Measures'!DE$8:DE$86,'EE Measures'!$IK$8:$IK$86,'EE Measures'!$O$8:$O$86,'EE Measures'!$DZ$8:$DZ$86)</f>
        <v>2.102021280335852</v>
      </c>
      <c r="Q573" s="593">
        <f>SUMPRODUCT('EE Measures'!DF$8:DF$86,'EE Measures'!$IK$8:$IK$86,'EE Measures'!$O$8:$O$86,'EE Measures'!$DZ$8:$DZ$86)</f>
        <v>2.2721779565912268</v>
      </c>
      <c r="R573" s="593">
        <f>SUMPRODUCT('EE Measures'!DG$8:DG$86,'EE Measures'!$IK$8:$IK$86,'EE Measures'!$O$8:$O$86,'EE Measures'!$DZ$8:$DZ$86)</f>
        <v>2.4492862082833384</v>
      </c>
      <c r="S573" s="593">
        <f>SUMPRODUCT('EE Measures'!DH$8:DH$86,'EE Measures'!$IK$8:$IK$86,'EE Measures'!$O$8:$O$86,'EE Measures'!$DZ$8:$DZ$86)</f>
        <v>2.633656391716257</v>
      </c>
      <c r="T573" s="593">
        <f>SUMPRODUCT('EE Measures'!DI$8:DI$86,'EE Measures'!$IK$8:$IK$86,'EE Measures'!$O$8:$O$86,'EE Measures'!$DZ$8:$DZ$86)</f>
        <v>2.8256126270884501</v>
      </c>
      <c r="U573" s="593">
        <f>SUMPRODUCT('EE Measures'!DJ$8:DJ$86,'EE Measures'!$IK$8:$IK$86,'EE Measures'!$O$8:$O$86,'EE Measures'!$DZ$8:$DZ$86)</f>
        <v>3.0254933904947414</v>
      </c>
      <c r="W573" s="563" t="str">
        <v>Lääne-Eesti</v>
      </c>
      <c r="X573" s="592">
        <f t="shared" ref="X573:X576" si="2076">SUM(Y573:AH573)</f>
        <v>15.203690029237343</v>
      </c>
      <c r="Y573" s="593">
        <f>SUMPRODUCT('EE Measures'!CV$8:CV$86,'EE Measures'!$IK$8:$IK$86,'EE Measures'!$Z$8:$Z$86,'EE Measures'!$DZ$8:$DZ$86)</f>
        <v>0.59978196586236499</v>
      </c>
      <c r="Z573" s="593">
        <f>SUMPRODUCT('EE Measures'!CW$8:CW$86,'EE Measures'!$IK$8:$IK$86,'EE Measures'!$Z$8:$Z$86,'EE Measures'!$DZ$8:$DZ$86)</f>
        <v>0.68447865943532482</v>
      </c>
      <c r="AA573" s="593">
        <f>SUMPRODUCT('EE Measures'!CX$8:CX$86,'EE Measures'!$IK$8:$IK$86,'EE Measures'!$Z$8:$Z$86,'EE Measures'!$DZ$8:$DZ$86)</f>
        <v>0.74731502160538243</v>
      </c>
      <c r="AB573" s="593">
        <f>SUMPRODUCT('EE Measures'!CY$8:CY$86,'EE Measures'!$IK$8:$IK$86,'EE Measures'!$Z$8:$Z$86,'EE Measures'!$DZ$8:$DZ$86)</f>
        <v>0.90884941526822105</v>
      </c>
      <c r="AC573" s="593">
        <f>SUMPRODUCT('EE Measures'!CZ$8:CZ$86,'EE Measures'!$IK$8:$IK$86,'EE Measures'!$Z$8:$Z$86,'EE Measures'!$DZ$8:$DZ$86)</f>
        <v>1.2755734946320367</v>
      </c>
      <c r="AD573" s="593">
        <f>SUMPRODUCT('EE Measures'!DA$8:DA$86,'EE Measures'!$IK$8:$IK$86,'EE Measures'!$Z$8:$Z$86,'EE Measures'!$DZ$8:$DZ$86)</f>
        <v>1.5629008578819907</v>
      </c>
      <c r="AE573" s="593">
        <f>SUMPRODUCT('EE Measures'!DB$8:DB$86,'EE Measures'!$IK$8:$IK$86,'EE Measures'!$Z$8:$Z$86,'EE Measures'!$DZ$8:$DZ$86)</f>
        <v>1.916395213265214</v>
      </c>
      <c r="AF573" s="593">
        <f>SUMPRODUCT('EE Measures'!DC$8:DC$86,'EE Measures'!$IK$8:$IK$86,'EE Measures'!$Z$8:$Z$86,'EE Measures'!$DZ$8:$DZ$86)</f>
        <v>2.2032469931262089</v>
      </c>
      <c r="AG573" s="593">
        <f>SUMPRODUCT('EE Measures'!DD$8:DD$86,'EE Measures'!$IK$8:$IK$86,'EE Measures'!$Z$8:$Z$86,'EE Measures'!$DZ$8:$DZ$86)</f>
        <v>2.5068312638142261</v>
      </c>
      <c r="AH573" s="593">
        <f>SUMPRODUCT('EE Measures'!DE$8:DE$86,'EE Measures'!$IK$8:$IK$86,'EE Measures'!$Z$8:$Z$86,'EE Measures'!$DZ$8:$DZ$86)</f>
        <v>2.7983171443463766</v>
      </c>
      <c r="AI573" s="593">
        <f>SUMPRODUCT('EE Measures'!DF$8:DF$86,'EE Measures'!$IK$8:$IK$86,'EE Measures'!$Z$8:$Z$86,'EE Measures'!$DZ$8:$DZ$86)</f>
        <v>3.0775057780332609</v>
      </c>
      <c r="AJ573" s="593">
        <f>SUMPRODUCT('EE Measures'!DG$8:DG$86,'EE Measures'!$IK$8:$IK$86,'EE Measures'!$Z$8:$Z$86,'EE Measures'!$DZ$8:$DZ$86)</f>
        <v>3.3694639921122711</v>
      </c>
      <c r="AK573" s="593">
        <f>SUMPRODUCT('EE Measures'!DH$8:DH$86,'EE Measures'!$IK$8:$IK$86,'EE Measures'!$Z$8:$Z$86,'EE Measures'!$DZ$8:$DZ$86)</f>
        <v>3.6747413170615815</v>
      </c>
      <c r="AL573" s="593">
        <f>SUMPRODUCT('EE Measures'!DI$8:DI$86,'EE Measures'!$IK$8:$IK$86,'EE Measures'!$Z$8:$Z$86,'EE Measures'!$DZ$8:$DZ$86)</f>
        <v>3.9939089892306709</v>
      </c>
      <c r="AM573" s="593">
        <f>SUMPRODUCT('EE Measures'!DJ$8:DJ$86,'EE Measures'!$IK$8:$IK$86,'EE Measures'!$Z$8:$Z$86,'EE Measures'!$DZ$8:$DZ$86)</f>
        <v>4.3275607659914144</v>
      </c>
    </row>
    <row r="574" spans="3:39" hidden="1" outlineLevel="1" x14ac:dyDescent="0.3">
      <c r="C574" s="587" t="str">
        <f t="shared" si="2074"/>
        <v>CEER1</v>
      </c>
      <c r="E574" s="563" t="s">
        <v>52</v>
      </c>
      <c r="F574" s="592">
        <f t="shared" si="2075"/>
        <v>38.853574174284489</v>
      </c>
      <c r="G574" s="593">
        <f>SUMPRODUCT('EE Measures'!CV$8:CV$86,'EE Measures'!$IK$8:$IK$86,'EE Measures'!$P$8:$P$86,'EE Measures'!$DZ$8:$DZ$86)</f>
        <v>1.0584757664702868</v>
      </c>
      <c r="H574" s="593">
        <f>SUMPRODUCT('EE Measures'!CW$8:CW$86,'EE Measures'!$IK$8:$IK$86,'EE Measures'!$P$8:$P$86,'EE Measures'!$DZ$8:$DZ$86)</f>
        <v>1.4795366216450017</v>
      </c>
      <c r="I574" s="593">
        <f>SUMPRODUCT('EE Measures'!CX$8:CX$86,'EE Measures'!$IK$8:$IK$86,'EE Measures'!$P$8:$P$86,'EE Measures'!$DZ$8:$DZ$86)</f>
        <v>1.5922055211848056</v>
      </c>
      <c r="J574" s="593">
        <f>SUMPRODUCT('EE Measures'!CY$8:CY$86,'EE Measures'!$IK$8:$IK$86,'EE Measures'!$P$8:$P$86,'EE Measures'!$DZ$8:$DZ$86)</f>
        <v>1.9254897185461139</v>
      </c>
      <c r="K574" s="593">
        <f>SUMPRODUCT('EE Measures'!CZ$8:CZ$86,'EE Measures'!$IK$8:$IK$86,'EE Measures'!$P$8:$P$86,'EE Measures'!$DZ$8:$DZ$86)</f>
        <v>2.9457292814983762</v>
      </c>
      <c r="L574" s="593">
        <f>SUMPRODUCT('EE Measures'!DA$8:DA$86,'EE Measures'!$IK$8:$IK$86,'EE Measures'!$P$8:$P$86,'EE Measures'!$DZ$8:$DZ$86)</f>
        <v>3.8840943909225718</v>
      </c>
      <c r="M574" s="593">
        <f>SUMPRODUCT('EE Measures'!DB$8:DB$86,'EE Measures'!$IK$8:$IK$86,'EE Measures'!$P$8:$P$86,'EE Measures'!$DZ$8:$DZ$86)</f>
        <v>4.873162883278864</v>
      </c>
      <c r="N574" s="593">
        <f>SUMPRODUCT('EE Measures'!DC$8:DC$86,'EE Measures'!$IK$8:$IK$86,'EE Measures'!$P$8:$P$86,'EE Measures'!$DZ$8:$DZ$86)</f>
        <v>5.915161779355131</v>
      </c>
      <c r="O574" s="593">
        <f>SUMPRODUCT('EE Measures'!DD$8:DD$86,'EE Measures'!$IK$8:$IK$86,'EE Measures'!$P$8:$P$86,'EE Measures'!$DZ$8:$DZ$86)</f>
        <v>7.0124080053214435</v>
      </c>
      <c r="P574" s="593">
        <f>SUMPRODUCT('EE Measures'!DE$8:DE$86,'EE Measures'!$IK$8:$IK$86,'EE Measures'!$P$8:$P$86,'EE Measures'!$DZ$8:$DZ$86)</f>
        <v>8.1673102060618952</v>
      </c>
      <c r="Q574" s="593">
        <f>SUMPRODUCT('EE Measures'!DF$8:DF$86,'EE Measures'!$IK$8:$IK$86,'EE Measures'!$P$8:$P$86,'EE Measures'!$DZ$8:$DZ$86)</f>
        <v>9.3851825453787754</v>
      </c>
      <c r="R574" s="593">
        <f>SUMPRODUCT('EE Measures'!DG$8:DG$86,'EE Measures'!$IK$8:$IK$86,'EE Measures'!$P$8:$P$86,'EE Measures'!$DZ$8:$DZ$86)</f>
        <v>10.666667414934826</v>
      </c>
      <c r="S574" s="593">
        <f>SUMPRODUCT('EE Measures'!DH$8:DH$86,'EE Measures'!$IK$8:$IK$86,'EE Measures'!$P$8:$P$86,'EE Measures'!$DZ$8:$DZ$86)</f>
        <v>12.014531994179315</v>
      </c>
      <c r="T574" s="593">
        <f>SUMPRODUCT('EE Measures'!DI$8:DI$86,'EE Measures'!$IK$8:$IK$86,'EE Measures'!$P$8:$P$86,'EE Measures'!$DZ$8:$DZ$86)</f>
        <v>13.431652773261632</v>
      </c>
      <c r="U574" s="593">
        <f>SUMPRODUCT('EE Measures'!DJ$8:DJ$86,'EE Measures'!$IK$8:$IK$86,'EE Measures'!$P$8:$P$86,'EE Measures'!$DZ$8:$DZ$86)</f>
        <v>14.92101963778177</v>
      </c>
      <c r="W574" s="563" t="str">
        <v>Kirde-Eesti</v>
      </c>
      <c r="X574" s="592">
        <f t="shared" si="2076"/>
        <v>13.657618005438749</v>
      </c>
      <c r="Y574" s="593">
        <f>SUMPRODUCT('EE Measures'!CV$8:CV$86,'EE Measures'!$IK$8:$IK$86,'EE Measures'!$AA$8:$AA$86,'EE Measures'!$DZ$8:$DZ$86)</f>
        <v>0.5615449662310964</v>
      </c>
      <c r="Z574" s="593">
        <f>SUMPRODUCT('EE Measures'!CW$8:CW$86,'EE Measures'!$IK$8:$IK$86,'EE Measures'!$AA$8:$AA$86,'EE Measures'!$DZ$8:$DZ$86)</f>
        <v>0.63962360544313301</v>
      </c>
      <c r="AA574" s="593">
        <f>SUMPRODUCT('EE Measures'!CX$8:CX$86,'EE Measures'!$IK$8:$IK$86,'EE Measures'!$AA$8:$AA$86,'EE Measures'!$DZ$8:$DZ$86)</f>
        <v>0.69394200025222008</v>
      </c>
      <c r="AB574" s="593">
        <f>SUMPRODUCT('EE Measures'!CY$8:CY$86,'EE Measures'!$IK$8:$IK$86,'EE Measures'!$AA$8:$AA$86,'EE Measures'!$DZ$8:$DZ$86)</f>
        <v>0.8378470536735263</v>
      </c>
      <c r="AC574" s="593">
        <f>SUMPRODUCT('EE Measures'!CZ$8:CZ$86,'EE Measures'!$IK$8:$IK$86,'EE Measures'!$AA$8:$AA$86,'EE Measures'!$DZ$8:$DZ$86)</f>
        <v>1.1571548651472652</v>
      </c>
      <c r="AD574" s="593">
        <f>SUMPRODUCT('EE Measures'!DA$8:DA$86,'EE Measures'!$IK$8:$IK$86,'EE Measures'!$AA$8:$AA$86,'EE Measures'!$DZ$8:$DZ$86)</f>
        <v>1.4053959584327227</v>
      </c>
      <c r="AE574" s="593">
        <f>SUMPRODUCT('EE Measures'!DB$8:DB$86,'EE Measures'!$IK$8:$IK$86,'EE Measures'!$AA$8:$AA$86,'EE Measures'!$DZ$8:$DZ$86)</f>
        <v>1.7125149858790163</v>
      </c>
      <c r="AF574" s="593">
        <f>SUMPRODUCT('EE Measures'!DC$8:DC$86,'EE Measures'!$IK$8:$IK$86,'EE Measures'!$AA$8:$AA$86,'EE Measures'!$DZ$8:$DZ$86)</f>
        <v>1.959219819367479</v>
      </c>
      <c r="AG574" s="593">
        <f>SUMPRODUCT('EE Measures'!DD$8:DD$86,'EE Measures'!$IK$8:$IK$86,'EE Measures'!$AA$8:$AA$86,'EE Measures'!$DZ$8:$DZ$86)</f>
        <v>2.2203592195065913</v>
      </c>
      <c r="AH574" s="593">
        <f>SUMPRODUCT('EE Measures'!DE$8:DE$86,'EE Measures'!$IK$8:$IK$86,'EE Measures'!$AA$8:$AA$86,'EE Measures'!$DZ$8:$DZ$86)</f>
        <v>2.4700155315057</v>
      </c>
      <c r="AI574" s="593">
        <f>SUMPRODUCT('EE Measures'!DF$8:DF$86,'EE Measures'!$IK$8:$IK$86,'EE Measures'!$AA$8:$AA$86,'EE Measures'!$DZ$8:$DZ$86)</f>
        <v>2.7079594173629959</v>
      </c>
      <c r="AJ574" s="593">
        <f>SUMPRODUCT('EE Measures'!DG$8:DG$86,'EE Measures'!$IK$8:$IK$86,'EE Measures'!$AA$8:$AA$86,'EE Measures'!$DZ$8:$DZ$86)</f>
        <v>2.9566877756552925</v>
      </c>
      <c r="AK574" s="593">
        <f>SUMPRODUCT('EE Measures'!DH$8:DH$86,'EE Measures'!$IK$8:$IK$86,'EE Measures'!$AA$8:$AA$86,'EE Measures'!$DZ$8:$DZ$86)</f>
        <v>3.2166638109706671</v>
      </c>
      <c r="AL574" s="593">
        <f>SUMPRODUCT('EE Measures'!DI$8:DI$86,'EE Measures'!$IK$8:$IK$86,'EE Measures'!$AA$8:$AA$86,'EE Measures'!$DZ$8:$DZ$86)</f>
        <v>3.4883690071413405</v>
      </c>
      <c r="AM574" s="593">
        <f>SUMPRODUCT('EE Measures'!DJ$8:DJ$86,'EE Measures'!$IK$8:$IK$86,'EE Measures'!$AA$8:$AA$86,'EE Measures'!$DZ$8:$DZ$86)</f>
        <v>3.772303813400014</v>
      </c>
    </row>
    <row r="575" spans="3:39" hidden="1" outlineLevel="1" x14ac:dyDescent="0.3">
      <c r="C575" s="587" t="str">
        <f t="shared" si="2074"/>
        <v>CEER1</v>
      </c>
      <c r="E575" s="563" t="s">
        <v>53</v>
      </c>
      <c r="F575" s="592">
        <f t="shared" si="2075"/>
        <v>84.678813781388186</v>
      </c>
      <c r="G575" s="593">
        <f>SUMPRODUCT('EE Measures'!CV$8:CV$86,'EE Measures'!$IK$8:$IK$86,'EE Measures'!$Q$8:$Q$86,'EE Measures'!$DZ$8:$DZ$86)</f>
        <v>4.2158218216306338</v>
      </c>
      <c r="H575" s="593">
        <f>SUMPRODUCT('EE Measures'!CW$8:CW$86,'EE Measures'!$IK$8:$IK$86,'EE Measures'!$Q$8:$Q$86,'EE Measures'!$DZ$8:$DZ$86)</f>
        <v>4.5310965606683729</v>
      </c>
      <c r="I575" s="593">
        <f>SUMPRODUCT('EE Measures'!CX$8:CX$86,'EE Measures'!$IK$8:$IK$86,'EE Measures'!$Q$8:$Q$86,'EE Measures'!$DZ$8:$DZ$86)</f>
        <v>4.8826975450019789</v>
      </c>
      <c r="J575" s="593">
        <f>SUMPRODUCT('EE Measures'!CY$8:CY$86,'EE Measures'!$IK$8:$IK$86,'EE Measures'!$Q$8:$Q$86,'EE Measures'!$DZ$8:$DZ$86)</f>
        <v>5.5103199690325599</v>
      </c>
      <c r="K575" s="593">
        <f>SUMPRODUCT('EE Measures'!CZ$8:CZ$86,'EE Measures'!$IK$8:$IK$86,'EE Measures'!$Q$8:$Q$86,'EE Measures'!$DZ$8:$DZ$86)</f>
        <v>7.299844093859341</v>
      </c>
      <c r="L575" s="593">
        <f>SUMPRODUCT('EE Measures'!DA$8:DA$86,'EE Measures'!$IK$8:$IK$86,'EE Measures'!$Q$8:$Q$86,'EE Measures'!$DZ$8:$DZ$86)</f>
        <v>8.6587296139204355</v>
      </c>
      <c r="M575" s="593">
        <f>SUMPRODUCT('EE Measures'!DB$8:DB$86,'EE Measures'!$IK$8:$IK$86,'EE Measures'!$Q$8:$Q$86,'EE Measures'!$DZ$8:$DZ$86)</f>
        <v>10.558398620510793</v>
      </c>
      <c r="N575" s="593">
        <f>SUMPRODUCT('EE Measures'!DC$8:DC$86,'EE Measures'!$IK$8:$IK$86,'EE Measures'!$Q$8:$Q$86,'EE Measures'!$DZ$8:$DZ$86)</f>
        <v>11.774272724205293</v>
      </c>
      <c r="O575" s="593">
        <f>SUMPRODUCT('EE Measures'!DD$8:DD$86,'EE Measures'!$IK$8:$IK$86,'EE Measures'!$Q$8:$Q$86,'EE Measures'!$DZ$8:$DZ$86)</f>
        <v>13.070118372456077</v>
      </c>
      <c r="P575" s="593">
        <f>SUMPRODUCT('EE Measures'!DE$8:DE$86,'EE Measures'!$IK$8:$IK$86,'EE Measures'!$Q$8:$Q$86,'EE Measures'!$DZ$8:$DZ$86)</f>
        <v>14.177514460102707</v>
      </c>
      <c r="Q575" s="593">
        <f>SUMPRODUCT('EE Measures'!DF$8:DF$86,'EE Measures'!$IK$8:$IK$86,'EE Measures'!$Q$8:$Q$86,'EE Measures'!$DZ$8:$DZ$86)</f>
        <v>15.088027572530462</v>
      </c>
      <c r="R575" s="593">
        <f>SUMPRODUCT('EE Measures'!DG$8:DG$86,'EE Measures'!$IK$8:$IK$86,'EE Measures'!$Q$8:$Q$86,'EE Measures'!$DZ$8:$DZ$86)</f>
        <v>16.030919937012676</v>
      </c>
      <c r="S575" s="593">
        <f>SUMPRODUCT('EE Measures'!DH$8:DH$86,'EE Measures'!$IK$8:$IK$86,'EE Measures'!$Q$8:$Q$86,'EE Measures'!$DZ$8:$DZ$86)</f>
        <v>17.007529393955821</v>
      </c>
      <c r="T575" s="593">
        <f>SUMPRODUCT('EE Measures'!DI$8:DI$86,'EE Measures'!$IK$8:$IK$86,'EE Measures'!$Q$8:$Q$86,'EE Measures'!$DZ$8:$DZ$86)</f>
        <v>18.019244933654655</v>
      </c>
      <c r="U575" s="593">
        <f>SUMPRODUCT('EE Measures'!DJ$8:DJ$86,'EE Measures'!$IK$8:$IK$86,'EE Measures'!$Q$8:$Q$86,'EE Measures'!$DZ$8:$DZ$86)</f>
        <v>19.067508562001589</v>
      </c>
      <c r="W575" s="563" t="str">
        <v>Lõuna-Eesti </v>
      </c>
      <c r="X575" s="592">
        <f t="shared" si="2076"/>
        <v>33.671062069903485</v>
      </c>
      <c r="Y575" s="593">
        <f>SUMPRODUCT('EE Measures'!CV$8:CV$86,'EE Measures'!$IK$8:$IK$86,'EE Measures'!$AB$8:$AB$86,'EE Measures'!$DZ$8:$DZ$86)</f>
        <v>1.3709132053439559</v>
      </c>
      <c r="Z575" s="593">
        <f>SUMPRODUCT('EE Measures'!CW$8:CW$86,'EE Measures'!$IK$8:$IK$86,'EE Measures'!$AB$8:$AB$86,'EE Measures'!$DZ$8:$DZ$86)</f>
        <v>1.5631407771574986</v>
      </c>
      <c r="AA575" s="593">
        <f>SUMPRODUCT('EE Measures'!CX$8:CX$86,'EE Measures'!$IK$8:$IK$86,'EE Measures'!$AB$8:$AB$86,'EE Measures'!$DZ$8:$DZ$86)</f>
        <v>1.7029403718302651</v>
      </c>
      <c r="AB575" s="593">
        <f>SUMPRODUCT('EE Measures'!CY$8:CY$86,'EE Measures'!$IK$8:$IK$86,'EE Measures'!$AB$8:$AB$86,'EE Measures'!$DZ$8:$DZ$86)</f>
        <v>2.082894882765403</v>
      </c>
      <c r="AC575" s="593">
        <f>SUMPRODUCT('EE Measures'!CZ$8:CZ$86,'EE Measures'!$IK$8:$IK$86,'EE Measures'!$AB$8:$AB$86,'EE Measures'!$DZ$8:$DZ$86)</f>
        <v>2.873988450554803</v>
      </c>
      <c r="AD575" s="593">
        <f>SUMPRODUCT('EE Measures'!DA$8:DA$86,'EE Measures'!$IK$8:$IK$86,'EE Measures'!$AB$8:$AB$86,'EE Measures'!$DZ$8:$DZ$86)</f>
        <v>3.4793047030560564</v>
      </c>
      <c r="AE575" s="593">
        <f>SUMPRODUCT('EE Measures'!DB$8:DB$86,'EE Measures'!$IK$8:$IK$86,'EE Measures'!$AB$8:$AB$86,'EE Measures'!$DZ$8:$DZ$86)</f>
        <v>4.2270716754312962</v>
      </c>
      <c r="AF575" s="593">
        <f>SUMPRODUCT('EE Measures'!DC$8:DC$86,'EE Measures'!$IK$8:$IK$86,'EE Measures'!$AB$8:$AB$86,'EE Measures'!$DZ$8:$DZ$86)</f>
        <v>4.8290531144065554</v>
      </c>
      <c r="AG575" s="593">
        <f>SUMPRODUCT('EE Measures'!DD$8:DD$86,'EE Measures'!$IK$8:$IK$86,'EE Measures'!$AB$8:$AB$86,'EE Measures'!$DZ$8:$DZ$86)</f>
        <v>5.466114622651709</v>
      </c>
      <c r="AH575" s="593">
        <f>SUMPRODUCT('EE Measures'!DE$8:DE$86,'EE Measures'!$IK$8:$IK$86,'EE Measures'!$AB$8:$AB$86,'EE Measures'!$DZ$8:$DZ$86)</f>
        <v>6.0756402667059453</v>
      </c>
      <c r="AI575" s="593">
        <f>SUMPRODUCT('EE Measures'!DF$8:DF$86,'EE Measures'!$IK$8:$IK$86,'EE Measures'!$AB$8:$AB$86,'EE Measures'!$DZ$8:$DZ$86)</f>
        <v>6.6570692847986015</v>
      </c>
      <c r="AJ575" s="593">
        <f>SUMPRODUCT('EE Measures'!DG$8:DG$86,'EE Measures'!$IK$8:$IK$86,'EE Measures'!$AB$8:$AB$86,'EE Measures'!$DZ$8:$DZ$86)</f>
        <v>7.2647839763992135</v>
      </c>
      <c r="AK575" s="593">
        <f>SUMPRODUCT('EE Measures'!DH$8:DH$86,'EE Measures'!$IK$8:$IK$86,'EE Measures'!$AB$8:$AB$86,'EE Measures'!$DZ$8:$DZ$86)</f>
        <v>7.8999136909640049</v>
      </c>
      <c r="AL575" s="593">
        <f>SUMPRODUCT('EE Measures'!DI$8:DI$86,'EE Measures'!$IK$8:$IK$86,'EE Measures'!$AB$8:$AB$86,'EE Measures'!$DZ$8:$DZ$86)</f>
        <v>8.5636324193061686</v>
      </c>
      <c r="AM575" s="593">
        <f>SUMPRODUCT('EE Measures'!DJ$8:DJ$86,'EE Measures'!$IK$8:$IK$86,'EE Measures'!$AB$8:$AB$86,'EE Measures'!$DZ$8:$DZ$86)</f>
        <v>9.257160473061278</v>
      </c>
    </row>
    <row r="576" spans="3:39" hidden="1" outlineLevel="1" x14ac:dyDescent="0.3">
      <c r="C576" s="587" t="str">
        <f t="shared" si="2074"/>
        <v>CEER1</v>
      </c>
      <c r="E576" s="563" t="s">
        <v>54</v>
      </c>
      <c r="F576" s="592">
        <f t="shared" si="2075"/>
        <v>0.55162166539110014</v>
      </c>
      <c r="G576" s="593">
        <f>SUMPRODUCT('EE Measures'!CV$8:CV$86,'EE Measures'!$IK$8:$IK$86,'EE Measures'!$R$8:$R$86,'EE Measures'!$DZ$8:$DZ$86)</f>
        <v>2.6006736789950479E-2</v>
      </c>
      <c r="H576" s="593">
        <f>SUMPRODUCT('EE Measures'!CW$8:CW$86,'EE Measures'!$IK$8:$IK$86,'EE Measures'!$R$8:$R$86,'EE Measures'!$DZ$8:$DZ$86)</f>
        <v>2.7181602785016017E-2</v>
      </c>
      <c r="I576" s="593">
        <f>SUMPRODUCT('EE Measures'!CX$8:CX$86,'EE Measures'!$IK$8:$IK$86,'EE Measures'!$R$8:$R$86,'EE Measures'!$DZ$8:$DZ$86)</f>
        <v>2.8442815539012508E-2</v>
      </c>
      <c r="J576" s="593">
        <f>SUMPRODUCT('EE Measures'!CY$8:CY$86,'EE Measures'!$IK$8:$IK$86,'EE Measures'!$R$8:$R$86,'EE Measures'!$DZ$8:$DZ$86)</f>
        <v>5.1215876797280908E-2</v>
      </c>
      <c r="K576" s="593">
        <f>SUMPRODUCT('EE Measures'!CZ$8:CZ$86,'EE Measures'!$IK$8:$IK$86,'EE Measures'!$R$8:$R$86,'EE Measures'!$DZ$8:$DZ$86)</f>
        <v>6.446644597374622E-2</v>
      </c>
      <c r="L576" s="593">
        <f>SUMPRODUCT('EE Measures'!DA$8:DA$86,'EE Measures'!$IK$8:$IK$86,'EE Measures'!$R$8:$R$86,'EE Measures'!$DZ$8:$DZ$86)</f>
        <v>6.6496298088442124E-2</v>
      </c>
      <c r="M576" s="593">
        <f>SUMPRODUCT('EE Measures'!DB$8:DB$86,'EE Measures'!$IK$8:$IK$86,'EE Measures'!$R$8:$R$86,'EE Measures'!$DZ$8:$DZ$86)</f>
        <v>6.8599897603210336E-2</v>
      </c>
      <c r="N576" s="593">
        <f>SUMPRODUCT('EE Measures'!DC$8:DC$86,'EE Measures'!$IK$8:$IK$86,'EE Measures'!$R$8:$R$86,'EE Measures'!$DZ$8:$DZ$86)</f>
        <v>7.0781090602209232E-2</v>
      </c>
      <c r="O576" s="593">
        <f>SUMPRODUCT('EE Measures'!DD$8:DD$86,'EE Measures'!$IK$8:$IK$86,'EE Measures'!$R$8:$R$86,'EE Measures'!$DZ$8:$DZ$86)</f>
        <v>7.304280663793189E-2</v>
      </c>
      <c r="P576" s="593">
        <f>SUMPRODUCT('EE Measures'!DE$8:DE$86,'EE Measures'!$IK$8:$IK$86,'EE Measures'!$R$8:$R$86,'EE Measures'!$DZ$8:$DZ$86)</f>
        <v>7.5388094574300513E-2</v>
      </c>
      <c r="Q576" s="593">
        <f>SUMPRODUCT('EE Measures'!DF$8:DF$86,'EE Measures'!$IK$8:$IK$86,'EE Measures'!$R$8:$R$86,'EE Measures'!$DZ$8:$DZ$86)</f>
        <v>7.7816006774511975E-2</v>
      </c>
      <c r="R576" s="593">
        <f>SUMPRODUCT('EE Measures'!DG$8:DG$86,'EE Measures'!$IK$8:$IK$86,'EE Measures'!$R$8:$R$86,'EE Measures'!$DZ$8:$DZ$86)</f>
        <v>8.033364493150294E-2</v>
      </c>
      <c r="S576" s="593">
        <f>SUMPRODUCT('EE Measures'!DH$8:DH$86,'EE Measures'!$IK$8:$IK$86,'EE Measures'!$R$8:$R$86,'EE Measures'!$DZ$8:$DZ$86)</f>
        <v>8.2944483642312272E-2</v>
      </c>
      <c r="T576" s="593">
        <f>SUMPRODUCT('EE Measures'!DI$8:DI$86,'EE Measures'!$IK$8:$IK$86,'EE Measures'!$R$8:$R$86,'EE Measures'!$DZ$8:$DZ$86)</f>
        <v>8.5652138012393866E-2</v>
      </c>
      <c r="U576" s="593">
        <f>SUMPRODUCT('EE Measures'!DJ$8:DJ$86,'EE Measures'!$IK$8:$IK$86,'EE Measures'!$R$8:$R$86,'EE Measures'!$DZ$8:$DZ$86)</f>
        <v>8.8460369352355878E-2</v>
      </c>
      <c r="W576" s="563" t="str">
        <v>Kesk-Eesti</v>
      </c>
      <c r="X576" s="592">
        <f t="shared" si="2076"/>
        <v>13.311383205540917</v>
      </c>
      <c r="Y576" s="593">
        <f>SUMPRODUCT('EE Measures'!CV$8:CV$86,'EE Measures'!$IK$8:$IK$86,'EE Measures'!$AC$8:$AC$86,'EE Measures'!$DZ$8:$DZ$86)</f>
        <v>0.53539940784462425</v>
      </c>
      <c r="Z576" s="593">
        <f>SUMPRODUCT('EE Measures'!CW$8:CW$86,'EE Measures'!$IK$8:$IK$86,'EE Measures'!$AC$8:$AC$86,'EE Measures'!$DZ$8:$DZ$86)</f>
        <v>0.61360785566706932</v>
      </c>
      <c r="AA576" s="593">
        <f>SUMPRODUCT('EE Measures'!CX$8:CX$86,'EE Measures'!$IK$8:$IK$86,'EE Measures'!$AC$8:$AC$86,'EE Measures'!$DZ$8:$DZ$86)</f>
        <v>0.66920189795848839</v>
      </c>
      <c r="AB576" s="593">
        <f>SUMPRODUCT('EE Measures'!CY$8:CY$86,'EE Measures'!$IK$8:$IK$86,'EE Measures'!$AC$8:$AC$86,'EE Measures'!$DZ$8:$DZ$86)</f>
        <v>0.82309895914599518</v>
      </c>
      <c r="AC576" s="593">
        <f>SUMPRODUCT('EE Measures'!CZ$8:CZ$86,'EE Measures'!$IK$8:$IK$86,'EE Measures'!$AC$8:$AC$86,'EE Measures'!$DZ$8:$DZ$86)</f>
        <v>1.1374182401670305</v>
      </c>
      <c r="AD576" s="593">
        <f>SUMPRODUCT('EE Measures'!DA$8:DA$86,'EE Measures'!$IK$8:$IK$86,'EE Measures'!$AC$8:$AC$86,'EE Measures'!$DZ$8:$DZ$86)</f>
        <v>1.3772098323943622</v>
      </c>
      <c r="AE576" s="593">
        <f>SUMPRODUCT('EE Measures'!DB$8:DB$86,'EE Measures'!$IK$8:$IK$86,'EE Measures'!$AC$8:$AC$86,'EE Measures'!$DZ$8:$DZ$86)</f>
        <v>1.6720697801635525</v>
      </c>
      <c r="AF576" s="593">
        <f>SUMPRODUCT('EE Measures'!DC$8:DC$86,'EE Measures'!$IK$8:$IK$86,'EE Measures'!$AC$8:$AC$86,'EE Measures'!$DZ$8:$DZ$86)</f>
        <v>1.9113493456444668</v>
      </c>
      <c r="AG576" s="593">
        <f>SUMPRODUCT('EE Measures'!DD$8:DD$86,'EE Measures'!$IK$8:$IK$86,'EE Measures'!$AC$8:$AC$86,'EE Measures'!$DZ$8:$DZ$86)</f>
        <v>2.164507234141178</v>
      </c>
      <c r="AH576" s="593">
        <f>SUMPRODUCT('EE Measures'!DE$8:DE$86,'EE Measures'!$IK$8:$IK$86,'EE Measures'!$AC$8:$AC$86,'EE Measures'!$DZ$8:$DZ$86)</f>
        <v>2.4075206524141501</v>
      </c>
      <c r="AI576" s="593">
        <f>SUMPRODUCT('EE Measures'!DF$8:DF$86,'EE Measures'!$IK$8:$IK$86,'EE Measures'!$AC$8:$AC$86,'EE Measures'!$DZ$8:$DZ$86)</f>
        <v>2.640211211519889</v>
      </c>
      <c r="AJ576" s="593">
        <f>SUMPRODUCT('EE Measures'!DG$8:DG$86,'EE Measures'!$IK$8:$IK$86,'EE Measures'!$AC$8:$AC$86,'EE Measures'!$DZ$8:$DZ$86)</f>
        <v>2.8834648650434715</v>
      </c>
      <c r="AK576" s="593">
        <f>SUMPRODUCT('EE Measures'!DH$8:DH$86,'EE Measures'!$IK$8:$IK$86,'EE Measures'!$AC$8:$AC$86,'EE Measures'!$DZ$8:$DZ$86)</f>
        <v>3.1377358015685997</v>
      </c>
      <c r="AL576" s="593">
        <f>SUMPRODUCT('EE Measures'!DI$8:DI$86,'EE Measures'!$IK$8:$IK$86,'EE Measures'!$AC$8:$AC$86,'EE Measures'!$DZ$8:$DZ$86)</f>
        <v>3.4034961804057979</v>
      </c>
      <c r="AM576" s="593">
        <f>SUMPRODUCT('EE Measures'!DJ$8:DJ$86,'EE Measures'!$IK$8:$IK$86,'EE Measures'!$AC$8:$AC$86,'EE Measures'!$DZ$8:$DZ$86)</f>
        <v>3.6812368084043108</v>
      </c>
    </row>
    <row r="577" spans="3:40" hidden="1" outlineLevel="1" x14ac:dyDescent="0.3">
      <c r="C577" s="587" t="str">
        <f>E577</f>
        <v>CEER2</v>
      </c>
      <c r="E577" s="555" t="str">
        <f>'EE Measures'!$IL$6</f>
        <v>CEER2</v>
      </c>
      <c r="F577" s="590">
        <f>SUM(G577:P577)</f>
        <v>162.66904870179155</v>
      </c>
      <c r="G577" s="591">
        <f>SUM(G578:G582)</f>
        <v>6.0369175471136991</v>
      </c>
      <c r="H577" s="591">
        <f>SUM(H578:H582)</f>
        <v>6.8953907295089936</v>
      </c>
      <c r="I577" s="591">
        <f t="shared" ref="I577" si="2077">SUM(I578:I582)</f>
        <v>7.4881437653320964</v>
      </c>
      <c r="J577" s="591">
        <f t="shared" ref="J577" si="2078">SUM(J578:J582)</f>
        <v>9.1211291454604098</v>
      </c>
      <c r="K577" s="591">
        <f t="shared" ref="K577" si="2079">SUM(K578:K582)</f>
        <v>13.253240013243902</v>
      </c>
      <c r="L577" s="591">
        <f t="shared" ref="L577" si="2080">SUM(L578:L582)</f>
        <v>16.614751832563851</v>
      </c>
      <c r="M577" s="591">
        <f t="shared" ref="M577" si="2081">SUM(M578:M582)</f>
        <v>20.605348786641155</v>
      </c>
      <c r="N577" s="591">
        <f t="shared" ref="N577" si="2082">SUM(N578:N582)</f>
        <v>24.004589910997225</v>
      </c>
      <c r="O577" s="591">
        <f t="shared" ref="O577" si="2083">SUM(O578:O582)</f>
        <v>27.580494194140559</v>
      </c>
      <c r="P577" s="591">
        <f t="shared" ref="P577:U577" si="2084">SUM(P578:P582)</f>
        <v>31.069042776789644</v>
      </c>
      <c r="Q577" s="591">
        <f t="shared" si="2084"/>
        <v>34.471289450258169</v>
      </c>
      <c r="R577" s="591">
        <f t="shared" si="2084"/>
        <v>38.017453745880339</v>
      </c>
      <c r="S577" s="591">
        <f t="shared" si="2084"/>
        <v>41.713741663956448</v>
      </c>
      <c r="T577" s="591">
        <f t="shared" si="2084"/>
        <v>45.566604265972792</v>
      </c>
      <c r="U577" s="591">
        <f t="shared" si="2084"/>
        <v>49.582746864760793</v>
      </c>
      <c r="W577" s="555" t="str">
        <f>'EE Measures'!$IL$6</f>
        <v>CEER2</v>
      </c>
      <c r="X577" s="590">
        <f>SUM(Y577:AH577)</f>
        <v>162.66904870179152</v>
      </c>
      <c r="Y577" s="591">
        <f t="shared" ref="Y577:Z577" si="2085">SUM(Y578:Y582)</f>
        <v>6.0369175471136991</v>
      </c>
      <c r="Z577" s="591">
        <f t="shared" si="2085"/>
        <v>6.8953907295089945</v>
      </c>
      <c r="AA577" s="591">
        <f t="shared" ref="AA577" si="2086">SUM(AA578:AA582)</f>
        <v>7.4881437653320972</v>
      </c>
      <c r="AB577" s="591">
        <f t="shared" ref="AB577" si="2087">SUM(AB578:AB582)</f>
        <v>9.1211291454604098</v>
      </c>
      <c r="AC577" s="591">
        <f t="shared" ref="AC577" si="2088">SUM(AC578:AC582)</f>
        <v>13.253240013243898</v>
      </c>
      <c r="AD577" s="591">
        <f t="shared" ref="AD577" si="2089">SUM(AD578:AD582)</f>
        <v>16.614751832563854</v>
      </c>
      <c r="AE577" s="591">
        <f t="shared" ref="AE577" si="2090">SUM(AE578:AE582)</f>
        <v>20.605348786641155</v>
      </c>
      <c r="AF577" s="591">
        <f t="shared" ref="AF577" si="2091">SUM(AF578:AF582)</f>
        <v>24.004589910997218</v>
      </c>
      <c r="AG577" s="591">
        <f t="shared" ref="AG577" si="2092">SUM(AG578:AG582)</f>
        <v>27.580494194140552</v>
      </c>
      <c r="AH577" s="591">
        <f t="shared" ref="AH577:AM577" si="2093">SUM(AH578:AH582)</f>
        <v>31.069042776789647</v>
      </c>
      <c r="AI577" s="591">
        <f t="shared" si="2093"/>
        <v>34.471289450258169</v>
      </c>
      <c r="AJ577" s="591">
        <f t="shared" si="2093"/>
        <v>38.017453745880346</v>
      </c>
      <c r="AK577" s="591">
        <f t="shared" si="2093"/>
        <v>41.713741663956441</v>
      </c>
      <c r="AL577" s="591">
        <f t="shared" si="2093"/>
        <v>45.566604265972792</v>
      </c>
      <c r="AM577" s="591">
        <f t="shared" si="2093"/>
        <v>49.582746864760793</v>
      </c>
    </row>
    <row r="578" spans="3:40" hidden="1" outlineLevel="1" x14ac:dyDescent="0.3">
      <c r="C578" s="587" t="str">
        <f>C577</f>
        <v>CEER2</v>
      </c>
      <c r="E578" s="563" t="s">
        <v>50</v>
      </c>
      <c r="F578" s="592">
        <f>SUM(G578:P578)</f>
        <v>6.792623744700041</v>
      </c>
      <c r="G578" s="593">
        <f>SUMPRODUCT('EE Measures'!CV$8:CV$86,'EE Measures'!$IL$8:$IL$86,'EE Measures'!$N$8:$N$86,'EE Measures'!$DZ$8:$DZ$86)</f>
        <v>0.40967694623700107</v>
      </c>
      <c r="H578" s="593">
        <f>SUMPRODUCT('EE Measures'!CW$8:CW$86,'EE Measures'!$IL$8:$IL$86,'EE Measures'!$N$8:$N$86,'EE Measures'!$DZ$8:$DZ$86)</f>
        <v>0.43054253953932725</v>
      </c>
      <c r="I578" s="593">
        <f>SUMPRODUCT('EE Measures'!CX$8:CX$86,'EE Measures'!$IL$8:$IL$86,'EE Measures'!$N$8:$N$86,'EE Measures'!$DZ$8:$DZ$86)</f>
        <v>0.45288286252201115</v>
      </c>
      <c r="J578" s="593">
        <f>SUMPRODUCT('EE Measures'!CY$8:CY$86,'EE Measures'!$IL$8:$IL$86,'EE Measures'!$N$8:$N$86,'EE Measures'!$DZ$8:$DZ$86)</f>
        <v>0.62848296757934097</v>
      </c>
      <c r="K578" s="593">
        <f>SUMPRODUCT('EE Measures'!CZ$8:CZ$86,'EE Measures'!$IL$8:$IL$86,'EE Measures'!$N$8:$N$86,'EE Measures'!$DZ$8:$DZ$86)</f>
        <v>0.7340664666434813</v>
      </c>
      <c r="L578" s="593">
        <f>SUMPRODUCT('EE Measures'!DA$8:DA$86,'EE Measures'!$IL$8:$IL$86,'EE Measures'!$N$8:$N$86,'EE Measures'!$DZ$8:$DZ$86)</f>
        <v>0.76359932865803171</v>
      </c>
      <c r="M578" s="593">
        <f>SUMPRODUCT('EE Measures'!DB$8:DB$86,'EE Measures'!$IL$8:$IL$86,'EE Measures'!$N$8:$N$86,'EE Measures'!$DZ$8:$DZ$86)</f>
        <v>0.79427088107754495</v>
      </c>
      <c r="N578" s="593">
        <f>SUMPRODUCT('EE Measures'!DC$8:DC$86,'EE Measures'!$IL$8:$IL$86,'EE Measures'!$N$8:$N$86,'EE Measures'!$DZ$8:$DZ$86)</f>
        <v>0.82614392133853309</v>
      </c>
      <c r="O578" s="593">
        <f>SUMPRODUCT('EE Measures'!DD$8:DD$86,'EE Measures'!$IL$8:$IL$86,'EE Measures'!$N$8:$N$86,'EE Measures'!$DZ$8:$DZ$86)</f>
        <v>0.85926701345848122</v>
      </c>
      <c r="P578" s="593">
        <f>SUMPRODUCT('EE Measures'!DE$8:DE$86,'EE Measures'!$IL$8:$IL$86,'EE Measures'!$N$8:$N$86,'EE Measures'!$DZ$8:$DZ$86)</f>
        <v>0.89369081764628755</v>
      </c>
      <c r="Q578" s="593">
        <f>SUMPRODUCT('EE Measures'!DF$8:DF$86,'EE Measures'!$IL$8:$IL$86,'EE Measures'!$N$8:$N$86,'EE Measures'!$DZ$8:$DZ$86)</f>
        <v>0.92940326794933004</v>
      </c>
      <c r="R578" s="593">
        <f>SUMPRODUCT('EE Measures'!DG$8:DG$86,'EE Measures'!$IL$8:$IL$86,'EE Measures'!$N$8:$N$86,'EE Measures'!$DZ$8:$DZ$86)</f>
        <v>0.96651934046698107</v>
      </c>
      <c r="S578" s="593">
        <f>SUMPRODUCT('EE Measures'!DH$8:DH$86,'EE Measures'!$IL$8:$IL$86,'EE Measures'!$N$8:$N$86,'EE Measures'!$DZ$8:$DZ$86)</f>
        <v>1.005097132115746</v>
      </c>
      <c r="T578" s="593">
        <f>SUMPRODUCT('EE Measures'!DI$8:DI$86,'EE Measures'!$IL$8:$IL$86,'EE Measures'!$N$8:$N$86,'EE Measures'!$DZ$8:$DZ$86)</f>
        <v>1.0451972256739737</v>
      </c>
      <c r="U578" s="593">
        <f>SUMPRODUCT('EE Measures'!DJ$8:DJ$86,'EE Measures'!$IL$8:$IL$86,'EE Measures'!$N$8:$N$86,'EE Measures'!$DZ$8:$DZ$86)</f>
        <v>1.0868827953096933</v>
      </c>
      <c r="W578" s="563" t="str" cm="1">
        <f t="array" ref="W578:W582">_xlfn.ANCHORARRAY($W$357)</f>
        <v xml:space="preserve">Põhja-Eesti </v>
      </c>
      <c r="X578" s="592">
        <f>SUM(Y578:AH578)</f>
        <v>76.584736935337105</v>
      </c>
      <c r="Y578" s="593">
        <f>SUMPRODUCT('EE Measures'!CV$8:CV$86,'EE Measures'!$IL$8:$IL$86,'EE Measures'!$Y$8:$Y$86,'EE Measures'!$DZ$8:$DZ$86)</f>
        <v>2.9692780018316585</v>
      </c>
      <c r="Z578" s="593">
        <f>SUMPRODUCT('EE Measures'!CW$8:CW$86,'EE Measures'!$IL$8:$IL$86,'EE Measures'!$Y$8:$Y$86,'EE Measures'!$DZ$8:$DZ$86)</f>
        <v>3.3945398318059676</v>
      </c>
      <c r="AA578" s="593">
        <f>SUMPRODUCT('EE Measures'!CX$8:CX$86,'EE Measures'!$IL$8:$IL$86,'EE Measures'!$Y$8:$Y$86,'EE Measures'!$DZ$8:$DZ$86)</f>
        <v>3.6747444736857409</v>
      </c>
      <c r="AB578" s="593">
        <f>SUMPRODUCT('EE Measures'!CY$8:CY$86,'EE Measures'!$IL$8:$IL$86,'EE Measures'!$Y$8:$Y$86,'EE Measures'!$DZ$8:$DZ$86)</f>
        <v>4.4684388346072659</v>
      </c>
      <c r="AC578" s="593">
        <f>SUMPRODUCT('EE Measures'!CZ$8:CZ$86,'EE Measures'!$IL$8:$IL$86,'EE Measures'!$Y$8:$Y$86,'EE Measures'!$DZ$8:$DZ$86)</f>
        <v>6.3488386615937902</v>
      </c>
      <c r="AD578" s="593">
        <f>SUMPRODUCT('EE Measures'!DA$8:DA$86,'EE Measures'!$IL$8:$IL$86,'EE Measures'!$Y$8:$Y$86,'EE Measures'!$DZ$8:$DZ$86)</f>
        <v>7.8538146735704251</v>
      </c>
      <c r="AE578" s="593">
        <f>SUMPRODUCT('EE Measures'!DB$8:DB$86,'EE Measures'!$IL$8:$IL$86,'EE Measures'!$Y$8:$Y$86,'EE Measures'!$DZ$8:$DZ$86)</f>
        <v>9.6488972903252783</v>
      </c>
      <c r="AF578" s="593">
        <f>SUMPRODUCT('EE Measures'!DC$8:DC$86,'EE Measures'!$IL$8:$IL$86,'EE Measures'!$Y$8:$Y$86,'EE Measures'!$DZ$8:$DZ$86)</f>
        <v>11.163789461802628</v>
      </c>
      <c r="AG578" s="593">
        <f>SUMPRODUCT('EE Measures'!DD$8:DD$86,'EE Measures'!$IL$8:$IL$86,'EE Measures'!$Y$8:$Y$86,'EE Measures'!$DZ$8:$DZ$86)</f>
        <v>12.757096792777705</v>
      </c>
      <c r="AH578" s="593">
        <f>SUMPRODUCT('EE Measures'!DE$8:DE$86,'EE Measures'!$IL$8:$IL$86,'EE Measures'!$Y$8:$Y$86,'EE Measures'!$DZ$8:$DZ$86)</f>
        <v>14.305298913336639</v>
      </c>
      <c r="AI578" s="593">
        <f>SUMPRODUCT('EE Measures'!DF$8:DF$86,'EE Measures'!$IL$8:$IL$86,'EE Measures'!$Y$8:$Y$86,'EE Measures'!$DZ$8:$DZ$86)</f>
        <v>15.808510181322184</v>
      </c>
      <c r="AJ578" s="593">
        <f>SUMPRODUCT('EE Measures'!DG$8:DG$86,'EE Measures'!$IL$8:$IL$86,'EE Measures'!$Y$8:$Y$86,'EE Measures'!$DZ$8:$DZ$86)</f>
        <v>17.374198939563829</v>
      </c>
      <c r="AK578" s="593">
        <f>SUMPRODUCT('EE Measures'!DH$8:DH$86,'EE Measures'!$IL$8:$IL$86,'EE Measures'!$Y$8:$Y$86,'EE Measures'!$DZ$8:$DZ$86)</f>
        <v>19.005053593727428</v>
      </c>
      <c r="AL578" s="593">
        <f>SUMPRODUCT('EE Measures'!DI$8:DI$86,'EE Measures'!$IL$8:$IL$86,'EE Measures'!$Y$8:$Y$86,'EE Measures'!$DZ$8:$DZ$86)</f>
        <v>20.703868667753966</v>
      </c>
      <c r="AM578" s="593">
        <f>SUMPRODUCT('EE Measures'!DJ$8:DJ$86,'EE Measures'!$IL$8:$IL$86,'EE Measures'!$Y$8:$Y$86,'EE Measures'!$DZ$8:$DZ$86)</f>
        <v>22.473548784880535</v>
      </c>
    </row>
    <row r="579" spans="3:40" hidden="1" outlineLevel="1" x14ac:dyDescent="0.3">
      <c r="C579" s="587" t="str">
        <f t="shared" ref="C579:C582" si="2094">C578</f>
        <v>CEER2</v>
      </c>
      <c r="E579" s="563" t="s">
        <v>51</v>
      </c>
      <c r="F579" s="592">
        <f t="shared" ref="F579:F582" si="2095">SUM(G579:P579)</f>
        <v>12.573864637806185</v>
      </c>
      <c r="G579" s="593">
        <f>SUMPRODUCT('EE Measures'!CV$8:CV$86,'EE Measures'!$IL$8:$IL$86,'EE Measures'!$O$8:$O$86,'EE Measures'!$DZ$8:$DZ$86)</f>
        <v>0.32693627598582725</v>
      </c>
      <c r="H579" s="593">
        <f>SUMPRODUCT('EE Measures'!CW$8:CW$86,'EE Measures'!$IL$8:$IL$86,'EE Measures'!$O$8:$O$86,'EE Measures'!$DZ$8:$DZ$86)</f>
        <v>0.42703340487127572</v>
      </c>
      <c r="I579" s="593">
        <f>SUMPRODUCT('EE Measures'!CX$8:CX$86,'EE Measures'!$IL$8:$IL$86,'EE Measures'!$O$8:$O$86,'EE Measures'!$DZ$8:$DZ$86)</f>
        <v>0.53191502108428823</v>
      </c>
      <c r="J579" s="593">
        <f>SUMPRODUCT('EE Measures'!CY$8:CY$86,'EE Measures'!$IL$8:$IL$86,'EE Measures'!$O$8:$O$86,'EE Measures'!$DZ$8:$DZ$86)</f>
        <v>1.0056206135051147</v>
      </c>
      <c r="K579" s="593">
        <f>SUMPRODUCT('EE Measures'!CZ$8:CZ$86,'EE Measures'!$IL$8:$IL$86,'EE Measures'!$O$8:$O$86,'EE Measures'!$DZ$8:$DZ$86)</f>
        <v>1.3453477041224908</v>
      </c>
      <c r="L579" s="593">
        <f>SUMPRODUCT('EE Measures'!DA$8:DA$86,'EE Measures'!$IL$8:$IL$86,'EE Measures'!$O$8:$O$86,'EE Measures'!$DZ$8:$DZ$86)</f>
        <v>1.4849962468762925</v>
      </c>
      <c r="M579" s="593">
        <f>SUMPRODUCT('EE Measures'!DB$8:DB$86,'EE Measures'!$IL$8:$IL$86,'EE Measures'!$O$8:$O$86,'EE Measures'!$DZ$8:$DZ$86)</f>
        <v>1.6302253202152432</v>
      </c>
      <c r="N579" s="593">
        <f>SUMPRODUCT('EE Measures'!DC$8:DC$86,'EE Measures'!$IL$8:$IL$86,'EE Measures'!$O$8:$O$86,'EE Measures'!$DZ$8:$DZ$86)</f>
        <v>1.7812970459213751</v>
      </c>
      <c r="O579" s="593">
        <f>SUMPRODUCT('EE Measures'!DD$8:DD$86,'EE Measures'!$IL$8:$IL$86,'EE Measures'!$O$8:$O$86,'EE Measures'!$DZ$8:$DZ$86)</f>
        <v>1.9384717248884242</v>
      </c>
      <c r="P579" s="593">
        <f>SUMPRODUCT('EE Measures'!DE$8:DE$86,'EE Measures'!$IL$8:$IL$86,'EE Measures'!$O$8:$O$86,'EE Measures'!$DZ$8:$DZ$86)</f>
        <v>2.102021280335852</v>
      </c>
      <c r="Q579" s="593">
        <f>SUMPRODUCT('EE Measures'!DF$8:DF$86,'EE Measures'!$IL$8:$IL$86,'EE Measures'!$O$8:$O$86,'EE Measures'!$DZ$8:$DZ$86)</f>
        <v>2.2721779565912268</v>
      </c>
      <c r="R579" s="593">
        <f>SUMPRODUCT('EE Measures'!DG$8:DG$86,'EE Measures'!$IL$8:$IL$86,'EE Measures'!$O$8:$O$86,'EE Measures'!$DZ$8:$DZ$86)</f>
        <v>2.4492862082833384</v>
      </c>
      <c r="S579" s="593">
        <f>SUMPRODUCT('EE Measures'!DH$8:DH$86,'EE Measures'!$IL$8:$IL$86,'EE Measures'!$O$8:$O$86,'EE Measures'!$DZ$8:$DZ$86)</f>
        <v>2.633656391716257</v>
      </c>
      <c r="T579" s="593">
        <f>SUMPRODUCT('EE Measures'!DI$8:DI$86,'EE Measures'!$IL$8:$IL$86,'EE Measures'!$O$8:$O$86,'EE Measures'!$DZ$8:$DZ$86)</f>
        <v>2.8256126270884501</v>
      </c>
      <c r="U579" s="593">
        <f>SUMPRODUCT('EE Measures'!DJ$8:DJ$86,'EE Measures'!$IL$8:$IL$86,'EE Measures'!$O$8:$O$86,'EE Measures'!$DZ$8:$DZ$86)</f>
        <v>3.0254933904947414</v>
      </c>
      <c r="W579" s="563" t="str">
        <v>Lääne-Eesti</v>
      </c>
      <c r="X579" s="592">
        <f t="shared" ref="X579:X582" si="2096">SUM(Y579:AH579)</f>
        <v>17.2931321488721</v>
      </c>
      <c r="Y579" s="593">
        <f>SUMPRODUCT('EE Measures'!CV$8:CV$86,'EE Measures'!$IL$8:$IL$86,'EE Measures'!$Z$8:$Z$86,'EE Measures'!$DZ$8:$DZ$86)</f>
        <v>0.59978196586236499</v>
      </c>
      <c r="Z579" s="593">
        <f>SUMPRODUCT('EE Measures'!CW$8:CW$86,'EE Measures'!$IL$8:$IL$86,'EE Measures'!$Z$8:$Z$86,'EE Measures'!$DZ$8:$DZ$86)</f>
        <v>0.68447865943532482</v>
      </c>
      <c r="AA579" s="593">
        <f>SUMPRODUCT('EE Measures'!CX$8:CX$86,'EE Measures'!$IL$8:$IL$86,'EE Measures'!$Z$8:$Z$86,'EE Measures'!$DZ$8:$DZ$86)</f>
        <v>0.74731502160538243</v>
      </c>
      <c r="AB579" s="593">
        <f>SUMPRODUCT('EE Measures'!CY$8:CY$86,'EE Measures'!$IL$8:$IL$86,'EE Measures'!$Z$8:$Z$86,'EE Measures'!$DZ$8:$DZ$86)</f>
        <v>0.90884941526822105</v>
      </c>
      <c r="AC579" s="593">
        <f>SUMPRODUCT('EE Measures'!CZ$8:CZ$86,'EE Measures'!$IL$8:$IL$86,'EE Measures'!$Z$8:$Z$86,'EE Measures'!$DZ$8:$DZ$86)</f>
        <v>1.369484368728394</v>
      </c>
      <c r="AD579" s="593">
        <f>SUMPRODUCT('EE Measures'!DA$8:DA$86,'EE Measures'!$IL$8:$IL$86,'EE Measures'!$Z$8:$Z$86,'EE Measures'!$DZ$8:$DZ$86)</f>
        <v>1.7539041805269666</v>
      </c>
      <c r="AE579" s="593">
        <f>SUMPRODUCT('EE Measures'!DB$8:DB$86,'EE Measures'!$IL$8:$IL$86,'EE Measures'!$Z$8:$Z$86,'EE Measures'!$DZ$8:$DZ$86)</f>
        <v>2.2078401384024935</v>
      </c>
      <c r="AF579" s="593">
        <f>SUMPRODUCT('EE Measures'!DC$8:DC$86,'EE Measures'!$IL$8:$IL$86,'EE Measures'!$Z$8:$Z$86,'EE Measures'!$DZ$8:$DZ$86)</f>
        <v>2.5986546305818718</v>
      </c>
      <c r="AG579" s="593">
        <f>SUMPRODUCT('EE Measures'!DD$8:DD$86,'EE Measures'!$IL$8:$IL$86,'EE Measures'!$Z$8:$Z$86,'EE Measures'!$DZ$8:$DZ$86)</f>
        <v>3.0098992652794978</v>
      </c>
      <c r="AH579" s="593">
        <f>SUMPRODUCT('EE Measures'!DE$8:DE$86,'EE Measures'!$IL$8:$IL$86,'EE Measures'!$Z$8:$Z$86,'EE Measures'!$DZ$8:$DZ$86)</f>
        <v>3.4129245031815847</v>
      </c>
      <c r="AI579" s="593">
        <f>SUMPRODUCT('EE Measures'!DF$8:DF$86,'EE Measures'!$IL$8:$IL$86,'EE Measures'!$Z$8:$Z$86,'EE Measures'!$DZ$8:$DZ$86)</f>
        <v>3.8079613462377555</v>
      </c>
      <c r="AJ579" s="593">
        <f>SUMPRODUCT('EE Measures'!DG$8:DG$86,'EE Measures'!$IL$8:$IL$86,'EE Measures'!$Z$8:$Z$86,'EE Measures'!$DZ$8:$DZ$86)</f>
        <v>4.2200601375463469</v>
      </c>
      <c r="AK579" s="593">
        <f>SUMPRODUCT('EE Measures'!DH$8:DH$86,'EE Measures'!$IL$8:$IL$86,'EE Measures'!$Z$8:$Z$86,'EE Measures'!$DZ$8:$DZ$86)</f>
        <v>4.6499583903029835</v>
      </c>
      <c r="AL579" s="593">
        <f>SUMPRODUCT('EE Measures'!DI$8:DI$86,'EE Measures'!$IL$8:$IL$86,'EE Measures'!$Z$8:$Z$86,'EE Measures'!$DZ$8:$DZ$86)</f>
        <v>5.0984227394065735</v>
      </c>
      <c r="AM579" s="593">
        <f>SUMPRODUCT('EE Measures'!DJ$8:DJ$86,'EE Measures'!$IL$8:$IL$86,'EE Measures'!$Z$8:$Z$86,'EE Measures'!$DZ$8:$DZ$86)</f>
        <v>5.5662500323758612</v>
      </c>
    </row>
    <row r="580" spans="3:40" hidden="1" outlineLevel="1" x14ac:dyDescent="0.3">
      <c r="C580" s="587" t="str">
        <f t="shared" si="2094"/>
        <v>CEER2</v>
      </c>
      <c r="E580" s="563" t="s">
        <v>52</v>
      </c>
      <c r="F580" s="592">
        <f t="shared" si="2095"/>
        <v>38.853574174284489</v>
      </c>
      <c r="G580" s="593">
        <f>SUMPRODUCT('EE Measures'!CV$8:CV$86,'EE Measures'!$IL$8:$IL$86,'EE Measures'!$P$8:$P$86,'EE Measures'!$DZ$8:$DZ$86)</f>
        <v>1.0584757664702868</v>
      </c>
      <c r="H580" s="593">
        <f>SUMPRODUCT('EE Measures'!CW$8:CW$86,'EE Measures'!$IL$8:$IL$86,'EE Measures'!$P$8:$P$86,'EE Measures'!$DZ$8:$DZ$86)</f>
        <v>1.4795366216450017</v>
      </c>
      <c r="I580" s="593">
        <f>SUMPRODUCT('EE Measures'!CX$8:CX$86,'EE Measures'!$IL$8:$IL$86,'EE Measures'!$P$8:$P$86,'EE Measures'!$DZ$8:$DZ$86)</f>
        <v>1.5922055211848056</v>
      </c>
      <c r="J580" s="593">
        <f>SUMPRODUCT('EE Measures'!CY$8:CY$86,'EE Measures'!$IL$8:$IL$86,'EE Measures'!$P$8:$P$86,'EE Measures'!$DZ$8:$DZ$86)</f>
        <v>1.9254897185461139</v>
      </c>
      <c r="K580" s="593">
        <f>SUMPRODUCT('EE Measures'!CZ$8:CZ$86,'EE Measures'!$IL$8:$IL$86,'EE Measures'!$P$8:$P$86,'EE Measures'!$DZ$8:$DZ$86)</f>
        <v>2.9457292814983762</v>
      </c>
      <c r="L580" s="593">
        <f>SUMPRODUCT('EE Measures'!DA$8:DA$86,'EE Measures'!$IL$8:$IL$86,'EE Measures'!$P$8:$P$86,'EE Measures'!$DZ$8:$DZ$86)</f>
        <v>3.8840943909225718</v>
      </c>
      <c r="M580" s="593">
        <f>SUMPRODUCT('EE Measures'!DB$8:DB$86,'EE Measures'!$IL$8:$IL$86,'EE Measures'!$P$8:$P$86,'EE Measures'!$DZ$8:$DZ$86)</f>
        <v>4.873162883278864</v>
      </c>
      <c r="N580" s="593">
        <f>SUMPRODUCT('EE Measures'!DC$8:DC$86,'EE Measures'!$IL$8:$IL$86,'EE Measures'!$P$8:$P$86,'EE Measures'!$DZ$8:$DZ$86)</f>
        <v>5.915161779355131</v>
      </c>
      <c r="O580" s="593">
        <f>SUMPRODUCT('EE Measures'!DD$8:DD$86,'EE Measures'!$IL$8:$IL$86,'EE Measures'!$P$8:$P$86,'EE Measures'!$DZ$8:$DZ$86)</f>
        <v>7.0124080053214435</v>
      </c>
      <c r="P580" s="593">
        <f>SUMPRODUCT('EE Measures'!DE$8:DE$86,'EE Measures'!$IL$8:$IL$86,'EE Measures'!$P$8:$P$86,'EE Measures'!$DZ$8:$DZ$86)</f>
        <v>8.1673102060618952</v>
      </c>
      <c r="Q580" s="593">
        <f>SUMPRODUCT('EE Measures'!DF$8:DF$86,'EE Measures'!$IL$8:$IL$86,'EE Measures'!$P$8:$P$86,'EE Measures'!$DZ$8:$DZ$86)</f>
        <v>9.3851825453787754</v>
      </c>
      <c r="R580" s="593">
        <f>SUMPRODUCT('EE Measures'!DG$8:DG$86,'EE Measures'!$IL$8:$IL$86,'EE Measures'!$P$8:$P$86,'EE Measures'!$DZ$8:$DZ$86)</f>
        <v>10.666667414934826</v>
      </c>
      <c r="S580" s="593">
        <f>SUMPRODUCT('EE Measures'!DH$8:DH$86,'EE Measures'!$IL$8:$IL$86,'EE Measures'!$P$8:$P$86,'EE Measures'!$DZ$8:$DZ$86)</f>
        <v>12.014531994179315</v>
      </c>
      <c r="T580" s="593">
        <f>SUMPRODUCT('EE Measures'!DI$8:DI$86,'EE Measures'!$IL$8:$IL$86,'EE Measures'!$P$8:$P$86,'EE Measures'!$DZ$8:$DZ$86)</f>
        <v>13.431652773261632</v>
      </c>
      <c r="U580" s="593">
        <f>SUMPRODUCT('EE Measures'!DJ$8:DJ$86,'EE Measures'!$IL$8:$IL$86,'EE Measures'!$P$8:$P$86,'EE Measures'!$DZ$8:$DZ$86)</f>
        <v>14.92101963778177</v>
      </c>
      <c r="W580" s="563" t="str">
        <v>Kirde-Eesti</v>
      </c>
      <c r="X580" s="592">
        <f t="shared" si="2096"/>
        <v>15.534020016161056</v>
      </c>
      <c r="Y580" s="593">
        <f>SUMPRODUCT('EE Measures'!CV$8:CV$86,'EE Measures'!$IL$8:$IL$86,'EE Measures'!$AA$8:$AA$86,'EE Measures'!$DZ$8:$DZ$86)</f>
        <v>0.5615449662310964</v>
      </c>
      <c r="Z580" s="593">
        <f>SUMPRODUCT('EE Measures'!CW$8:CW$86,'EE Measures'!$IL$8:$IL$86,'EE Measures'!$AA$8:$AA$86,'EE Measures'!$DZ$8:$DZ$86)</f>
        <v>0.63962360544313301</v>
      </c>
      <c r="AA580" s="593">
        <f>SUMPRODUCT('EE Measures'!CX$8:CX$86,'EE Measures'!$IL$8:$IL$86,'EE Measures'!$AA$8:$AA$86,'EE Measures'!$DZ$8:$DZ$86)</f>
        <v>0.69394200025222008</v>
      </c>
      <c r="AB580" s="593">
        <f>SUMPRODUCT('EE Measures'!CY$8:CY$86,'EE Measures'!$IL$8:$IL$86,'EE Measures'!$AA$8:$AA$86,'EE Measures'!$DZ$8:$DZ$86)</f>
        <v>0.8378470536735263</v>
      </c>
      <c r="AC580" s="593">
        <f>SUMPRODUCT('EE Measures'!CZ$8:CZ$86,'EE Measures'!$IL$8:$IL$86,'EE Measures'!$AA$8:$AA$86,'EE Measures'!$DZ$8:$DZ$86)</f>
        <v>1.241490559985224</v>
      </c>
      <c r="AD580" s="593">
        <f>SUMPRODUCT('EE Measures'!DA$8:DA$86,'EE Measures'!$IL$8:$IL$86,'EE Measures'!$AA$8:$AA$86,'EE Measures'!$DZ$8:$DZ$86)</f>
        <v>1.5769245283307605</v>
      </c>
      <c r="AE580" s="593">
        <f>SUMPRODUCT('EE Measures'!DB$8:DB$86,'EE Measures'!$IL$8:$IL$86,'EE Measures'!$AA$8:$AA$86,'EE Measures'!$DZ$8:$DZ$86)</f>
        <v>1.9742441040983798</v>
      </c>
      <c r="AF580" s="593">
        <f>SUMPRODUCT('EE Measures'!DC$8:DC$86,'EE Measures'!$IL$8:$IL$86,'EE Measures'!$AA$8:$AA$86,'EE Measures'!$DZ$8:$DZ$86)</f>
        <v>2.3143115823814542</v>
      </c>
      <c r="AG580" s="593">
        <f>SUMPRODUCT('EE Measures'!DD$8:DD$86,'EE Measures'!$IL$8:$IL$86,'EE Measures'!$AA$8:$AA$86,'EE Measures'!$DZ$8:$DZ$86)</f>
        <v>2.6721342653951541</v>
      </c>
      <c r="AH580" s="593">
        <f>SUMPRODUCT('EE Measures'!DE$8:DE$86,'EE Measures'!$IL$8:$IL$86,'EE Measures'!$AA$8:$AA$86,'EE Measures'!$DZ$8:$DZ$86)</f>
        <v>3.0219573503701072</v>
      </c>
      <c r="AI580" s="593">
        <f>SUMPRODUCT('EE Measures'!DF$8:DF$86,'EE Measures'!$IL$8:$IL$86,'EE Measures'!$AA$8:$AA$86,'EE Measures'!$DZ$8:$DZ$86)</f>
        <v>3.3639375294352321</v>
      </c>
      <c r="AJ580" s="593">
        <f>SUMPRODUCT('EE Measures'!DG$8:DG$86,'EE Measures'!$IL$8:$IL$86,'EE Measures'!$AA$8:$AA$86,'EE Measures'!$DZ$8:$DZ$86)</f>
        <v>3.7205568977557606</v>
      </c>
      <c r="AK580" s="593">
        <f>SUMPRODUCT('EE Measures'!DH$8:DH$86,'EE Measures'!$IL$8:$IL$86,'EE Measures'!$AA$8:$AA$86,'EE Measures'!$DZ$8:$DZ$86)</f>
        <v>4.0924474758662353</v>
      </c>
      <c r="AL580" s="593">
        <f>SUMPRODUCT('EE Measures'!DI$8:DI$86,'EE Measures'!$IL$8:$IL$86,'EE Measures'!$AA$8:$AA$86,'EE Measures'!$DZ$8:$DZ$86)</f>
        <v>4.4802662232569919</v>
      </c>
      <c r="AM580" s="593">
        <f>SUMPRODUCT('EE Measures'!DJ$8:DJ$86,'EE Measures'!$IL$8:$IL$86,'EE Measures'!$AA$8:$AA$86,'EE Measures'!$DZ$8:$DZ$86)</f>
        <v>4.8846959721788421</v>
      </c>
    </row>
    <row r="581" spans="3:40" hidden="1" outlineLevel="1" x14ac:dyDescent="0.3">
      <c r="C581" s="587" t="str">
        <f t="shared" si="2094"/>
        <v>CEER2</v>
      </c>
      <c r="E581" s="563" t="s">
        <v>53</v>
      </c>
      <c r="F581" s="592">
        <f t="shared" si="2095"/>
        <v>103.89736447960973</v>
      </c>
      <c r="G581" s="593">
        <f>SUMPRODUCT('EE Measures'!CV$8:CV$86,'EE Measures'!$IL$8:$IL$86,'EE Measures'!$Q$8:$Q$86,'EE Measures'!$DZ$8:$DZ$86)</f>
        <v>4.2158218216306338</v>
      </c>
      <c r="H581" s="593">
        <f>SUMPRODUCT('EE Measures'!CW$8:CW$86,'EE Measures'!$IL$8:$IL$86,'EE Measures'!$Q$8:$Q$86,'EE Measures'!$DZ$8:$DZ$86)</f>
        <v>4.5310965606683729</v>
      </c>
      <c r="I581" s="593">
        <f>SUMPRODUCT('EE Measures'!CX$8:CX$86,'EE Measures'!$IL$8:$IL$86,'EE Measures'!$Q$8:$Q$86,'EE Measures'!$DZ$8:$DZ$86)</f>
        <v>4.8826975450019789</v>
      </c>
      <c r="J581" s="593">
        <f>SUMPRODUCT('EE Measures'!CY$8:CY$86,'EE Measures'!$IL$8:$IL$86,'EE Measures'!$Q$8:$Q$86,'EE Measures'!$DZ$8:$DZ$86)</f>
        <v>5.5103199690325599</v>
      </c>
      <c r="K581" s="593">
        <f>SUMPRODUCT('EE Measures'!CZ$8:CZ$86,'EE Measures'!$IL$8:$IL$86,'EE Measures'!$Q$8:$Q$86,'EE Measures'!$DZ$8:$DZ$86)</f>
        <v>8.163630115005807</v>
      </c>
      <c r="L581" s="593">
        <f>SUMPRODUCT('EE Measures'!DA$8:DA$86,'EE Measures'!$IL$8:$IL$86,'EE Measures'!$Q$8:$Q$86,'EE Measures'!$DZ$8:$DZ$86)</f>
        <v>10.415565568018515</v>
      </c>
      <c r="M581" s="593">
        <f>SUMPRODUCT('EE Measures'!DB$8:DB$86,'EE Measures'!$IL$8:$IL$86,'EE Measures'!$Q$8:$Q$86,'EE Measures'!$DZ$8:$DZ$86)</f>
        <v>13.239089804466294</v>
      </c>
      <c r="N581" s="593">
        <f>SUMPRODUCT('EE Measures'!DC$8:DC$86,'EE Measures'!$IL$8:$IL$86,'EE Measures'!$Q$8:$Q$86,'EE Measures'!$DZ$8:$DZ$86)</f>
        <v>15.411206073779976</v>
      </c>
      <c r="O581" s="593">
        <f>SUMPRODUCT('EE Measures'!DD$8:DD$86,'EE Measures'!$IL$8:$IL$86,'EE Measures'!$Q$8:$Q$86,'EE Measures'!$DZ$8:$DZ$86)</f>
        <v>17.697304643834279</v>
      </c>
      <c r="P581" s="593">
        <f>SUMPRODUCT('EE Measures'!DE$8:DE$86,'EE Measures'!$IL$8:$IL$86,'EE Measures'!$Q$8:$Q$86,'EE Measures'!$DZ$8:$DZ$86)</f>
        <v>19.830632378171309</v>
      </c>
      <c r="Q581" s="593">
        <f>SUMPRODUCT('EE Measures'!DF$8:DF$86,'EE Measures'!$IL$8:$IL$86,'EE Measures'!$Q$8:$Q$86,'EE Measures'!$DZ$8:$DZ$86)</f>
        <v>21.806709673564324</v>
      </c>
      <c r="R581" s="593">
        <f>SUMPRODUCT('EE Measures'!DG$8:DG$86,'EE Measures'!$IL$8:$IL$86,'EE Measures'!$Q$8:$Q$86,'EE Measures'!$DZ$8:$DZ$86)</f>
        <v>23.854647137263694</v>
      </c>
      <c r="S581" s="593">
        <f>SUMPRODUCT('EE Measures'!DH$8:DH$86,'EE Measures'!$IL$8:$IL$86,'EE Measures'!$Q$8:$Q$86,'EE Measures'!$DZ$8:$DZ$86)</f>
        <v>25.977511662302813</v>
      </c>
      <c r="T581" s="593">
        <f>SUMPRODUCT('EE Measures'!DI$8:DI$86,'EE Measures'!$IL$8:$IL$86,'EE Measures'!$Q$8:$Q$86,'EE Measures'!$DZ$8:$DZ$86)</f>
        <v>28.178489501936344</v>
      </c>
      <c r="U581" s="593">
        <f>SUMPRODUCT('EE Measures'!DJ$8:DJ$86,'EE Measures'!$IL$8:$IL$86,'EE Measures'!$Q$8:$Q$86,'EE Measures'!$DZ$8:$DZ$86)</f>
        <v>30.460890671822234</v>
      </c>
      <c r="W581" s="563" t="str">
        <v>Lõuna-Eesti </v>
      </c>
      <c r="X581" s="592">
        <f t="shared" si="2096"/>
        <v>38.205013157360412</v>
      </c>
      <c r="Y581" s="593">
        <f>SUMPRODUCT('EE Measures'!CV$8:CV$86,'EE Measures'!$IL$8:$IL$86,'EE Measures'!$AB$8:$AB$86,'EE Measures'!$DZ$8:$DZ$86)</f>
        <v>1.3709132053439559</v>
      </c>
      <c r="Z581" s="593">
        <f>SUMPRODUCT('EE Measures'!CW$8:CW$86,'EE Measures'!$IL$8:$IL$86,'EE Measures'!$AB$8:$AB$86,'EE Measures'!$DZ$8:$DZ$86)</f>
        <v>1.5631407771574986</v>
      </c>
      <c r="AA581" s="593">
        <f>SUMPRODUCT('EE Measures'!CX$8:CX$86,'EE Measures'!$IL$8:$IL$86,'EE Measures'!$AB$8:$AB$86,'EE Measures'!$DZ$8:$DZ$86)</f>
        <v>1.7029403718302651</v>
      </c>
      <c r="AB581" s="593">
        <f>SUMPRODUCT('EE Measures'!CY$8:CY$86,'EE Measures'!$IL$8:$IL$86,'EE Measures'!$AB$8:$AB$86,'EE Measures'!$DZ$8:$DZ$86)</f>
        <v>2.082894882765403</v>
      </c>
      <c r="AC581" s="593">
        <f>SUMPRODUCT('EE Measures'!CZ$8:CZ$86,'EE Measures'!$IL$8:$IL$86,'EE Measures'!$AB$8:$AB$86,'EE Measures'!$DZ$8:$DZ$86)</f>
        <v>3.0777688308448488</v>
      </c>
      <c r="AD581" s="593">
        <f>SUMPRODUCT('EE Measures'!DA$8:DA$86,'EE Measures'!$IL$8:$IL$86,'EE Measures'!$AB$8:$AB$86,'EE Measures'!$DZ$8:$DZ$86)</f>
        <v>3.893769269590905</v>
      </c>
      <c r="AE581" s="593">
        <f>SUMPRODUCT('EE Measures'!DB$8:DB$86,'EE Measures'!$IL$8:$IL$86,'EE Measures'!$AB$8:$AB$86,'EE Measures'!$DZ$8:$DZ$86)</f>
        <v>4.8594878705690476</v>
      </c>
      <c r="AF581" s="593">
        <f>SUMPRODUCT('EE Measures'!DC$8:DC$86,'EE Measures'!$IL$8:$IL$86,'EE Measures'!$AB$8:$AB$86,'EE Measures'!$DZ$8:$DZ$86)</f>
        <v>5.687061513387361</v>
      </c>
      <c r="AG581" s="593">
        <f>SUMPRODUCT('EE Measures'!DD$8:DD$86,'EE Measures'!$IL$8:$IL$86,'EE Measures'!$AB$8:$AB$86,'EE Measures'!$DZ$8:$DZ$86)</f>
        <v>6.5577388848767662</v>
      </c>
      <c r="AH581" s="593">
        <f>SUMPRODUCT('EE Measures'!DE$8:DE$86,'EE Measures'!$IL$8:$IL$86,'EE Measures'!$AB$8:$AB$86,'EE Measures'!$DZ$8:$DZ$86)</f>
        <v>7.4092975509943617</v>
      </c>
      <c r="AI581" s="593">
        <f>SUMPRODUCT('EE Measures'!DF$8:DF$86,'EE Measures'!$IL$8:$IL$86,'EE Measures'!$AB$8:$AB$86,'EE Measures'!$DZ$8:$DZ$86)</f>
        <v>8.2421095147613528</v>
      </c>
      <c r="AJ581" s="593">
        <f>SUMPRODUCT('EE Measures'!DG$8:DG$86,'EE Measures'!$IL$8:$IL$86,'EE Measures'!$AB$8:$AB$86,'EE Measures'!$DZ$8:$DZ$86)</f>
        <v>9.1105213061567092</v>
      </c>
      <c r="AK581" s="593">
        <f>SUMPRODUCT('EE Measures'!DH$8:DH$86,'EE Measures'!$IL$8:$IL$86,'EE Measures'!$AB$8:$AB$86,'EE Measures'!$DZ$8:$DZ$86)</f>
        <v>10.016070184689866</v>
      </c>
      <c r="AL581" s="593">
        <f>SUMPRODUCT('EE Measures'!DI$8:DI$86,'EE Measures'!$IL$8:$IL$86,'EE Measures'!$AB$8:$AB$86,'EE Measures'!$DZ$8:$DZ$86)</f>
        <v>10.960354143091728</v>
      </c>
      <c r="AM581" s="593">
        <f>SUMPRODUCT('EE Measures'!DJ$8:DJ$86,'EE Measures'!$IL$8:$IL$86,'EE Measures'!$AB$8:$AB$86,'EE Measures'!$DZ$8:$DZ$86)</f>
        <v>11.945034185172874</v>
      </c>
    </row>
    <row r="582" spans="3:40" hidden="1" outlineLevel="1" x14ac:dyDescent="0.3">
      <c r="C582" s="587" t="str">
        <f t="shared" si="2094"/>
        <v>CEER2</v>
      </c>
      <c r="E582" s="563" t="s">
        <v>54</v>
      </c>
      <c r="F582" s="592">
        <f t="shared" si="2095"/>
        <v>0.55162166539110014</v>
      </c>
      <c r="G582" s="593">
        <f>SUMPRODUCT('EE Measures'!CV$8:CV$86,'EE Measures'!$IL$8:$IL$86,'EE Measures'!$R$8:$R$86,'EE Measures'!$DZ$8:$DZ$86)</f>
        <v>2.6006736789950479E-2</v>
      </c>
      <c r="H582" s="593">
        <f>SUMPRODUCT('EE Measures'!CW$8:CW$86,'EE Measures'!$IL$8:$IL$86,'EE Measures'!$R$8:$R$86,'EE Measures'!$DZ$8:$DZ$86)</f>
        <v>2.7181602785016017E-2</v>
      </c>
      <c r="I582" s="593">
        <f>SUMPRODUCT('EE Measures'!CX$8:CX$86,'EE Measures'!$IL$8:$IL$86,'EE Measures'!$R$8:$R$86,'EE Measures'!$DZ$8:$DZ$86)</f>
        <v>2.8442815539012508E-2</v>
      </c>
      <c r="J582" s="593">
        <f>SUMPRODUCT('EE Measures'!CY$8:CY$86,'EE Measures'!$IL$8:$IL$86,'EE Measures'!$R$8:$R$86,'EE Measures'!$DZ$8:$DZ$86)</f>
        <v>5.1215876797280908E-2</v>
      </c>
      <c r="K582" s="593">
        <f>SUMPRODUCT('EE Measures'!CZ$8:CZ$86,'EE Measures'!$IL$8:$IL$86,'EE Measures'!$R$8:$R$86,'EE Measures'!$DZ$8:$DZ$86)</f>
        <v>6.446644597374622E-2</v>
      </c>
      <c r="L582" s="593">
        <f>SUMPRODUCT('EE Measures'!DA$8:DA$86,'EE Measures'!$IL$8:$IL$86,'EE Measures'!$R$8:$R$86,'EE Measures'!$DZ$8:$DZ$86)</f>
        <v>6.6496298088442124E-2</v>
      </c>
      <c r="M582" s="593">
        <f>SUMPRODUCT('EE Measures'!DB$8:DB$86,'EE Measures'!$IL$8:$IL$86,'EE Measures'!$R$8:$R$86,'EE Measures'!$DZ$8:$DZ$86)</f>
        <v>6.8599897603210336E-2</v>
      </c>
      <c r="N582" s="593">
        <f>SUMPRODUCT('EE Measures'!DC$8:DC$86,'EE Measures'!$IL$8:$IL$86,'EE Measures'!$R$8:$R$86,'EE Measures'!$DZ$8:$DZ$86)</f>
        <v>7.0781090602209232E-2</v>
      </c>
      <c r="O582" s="593">
        <f>SUMPRODUCT('EE Measures'!DD$8:DD$86,'EE Measures'!$IL$8:$IL$86,'EE Measures'!$R$8:$R$86,'EE Measures'!$DZ$8:$DZ$86)</f>
        <v>7.304280663793189E-2</v>
      </c>
      <c r="P582" s="593">
        <f>SUMPRODUCT('EE Measures'!DE$8:DE$86,'EE Measures'!$IL$8:$IL$86,'EE Measures'!$R$8:$R$86,'EE Measures'!$DZ$8:$DZ$86)</f>
        <v>7.5388094574300513E-2</v>
      </c>
      <c r="Q582" s="593">
        <f>SUMPRODUCT('EE Measures'!DF$8:DF$86,'EE Measures'!$IL$8:$IL$86,'EE Measures'!$R$8:$R$86,'EE Measures'!$DZ$8:$DZ$86)</f>
        <v>7.7816006774511975E-2</v>
      </c>
      <c r="R582" s="593">
        <f>SUMPRODUCT('EE Measures'!DG$8:DG$86,'EE Measures'!$IL$8:$IL$86,'EE Measures'!$R$8:$R$86,'EE Measures'!$DZ$8:$DZ$86)</f>
        <v>8.033364493150294E-2</v>
      </c>
      <c r="S582" s="593">
        <f>SUMPRODUCT('EE Measures'!DH$8:DH$86,'EE Measures'!$IL$8:$IL$86,'EE Measures'!$R$8:$R$86,'EE Measures'!$DZ$8:$DZ$86)</f>
        <v>8.2944483642312272E-2</v>
      </c>
      <c r="T582" s="593">
        <f>SUMPRODUCT('EE Measures'!DI$8:DI$86,'EE Measures'!$IL$8:$IL$86,'EE Measures'!$R$8:$R$86,'EE Measures'!$DZ$8:$DZ$86)</f>
        <v>8.5652138012393866E-2</v>
      </c>
      <c r="U582" s="593">
        <f>SUMPRODUCT('EE Measures'!DJ$8:DJ$86,'EE Measures'!$IL$8:$IL$86,'EE Measures'!$R$8:$R$86,'EE Measures'!$DZ$8:$DZ$86)</f>
        <v>8.8460369352355878E-2</v>
      </c>
      <c r="W582" s="563" t="str">
        <v>Kesk-Eesti</v>
      </c>
      <c r="X582" s="592">
        <f t="shared" si="2096"/>
        <v>15.052146444060856</v>
      </c>
      <c r="Y582" s="593">
        <f>SUMPRODUCT('EE Measures'!CV$8:CV$86,'EE Measures'!$IL$8:$IL$86,'EE Measures'!$AC$8:$AC$86,'EE Measures'!$DZ$8:$DZ$86)</f>
        <v>0.53539940784462425</v>
      </c>
      <c r="Z582" s="593">
        <f>SUMPRODUCT('EE Measures'!CW$8:CW$86,'EE Measures'!$IL$8:$IL$86,'EE Measures'!$AC$8:$AC$86,'EE Measures'!$DZ$8:$DZ$86)</f>
        <v>0.61360785566706932</v>
      </c>
      <c r="AA582" s="593">
        <f>SUMPRODUCT('EE Measures'!CX$8:CX$86,'EE Measures'!$IL$8:$IL$86,'EE Measures'!$AC$8:$AC$86,'EE Measures'!$DZ$8:$DZ$86)</f>
        <v>0.66920189795848839</v>
      </c>
      <c r="AB582" s="593">
        <f>SUMPRODUCT('EE Measures'!CY$8:CY$86,'EE Measures'!$IL$8:$IL$86,'EE Measures'!$AC$8:$AC$86,'EE Measures'!$DZ$8:$DZ$86)</f>
        <v>0.82309895914599518</v>
      </c>
      <c r="AC582" s="593">
        <f>SUMPRODUCT('EE Measures'!CZ$8:CZ$86,'EE Measures'!$IL$8:$IL$86,'EE Measures'!$AC$8:$AC$86,'EE Measures'!$DZ$8:$DZ$86)</f>
        <v>1.2156575920916435</v>
      </c>
      <c r="AD582" s="593">
        <f>SUMPRODUCT('EE Measures'!DA$8:DA$86,'EE Measures'!$IL$8:$IL$86,'EE Measures'!$AC$8:$AC$86,'EE Measures'!$DZ$8:$DZ$86)</f>
        <v>1.5363391805447952</v>
      </c>
      <c r="AE582" s="593">
        <f>SUMPRODUCT('EE Measures'!DB$8:DB$86,'EE Measures'!$IL$8:$IL$86,'EE Measures'!$AC$8:$AC$86,'EE Measures'!$DZ$8:$DZ$86)</f>
        <v>1.9148793832459567</v>
      </c>
      <c r="AF582" s="593">
        <f>SUMPRODUCT('EE Measures'!DC$8:DC$86,'EE Measures'!$IL$8:$IL$86,'EE Measures'!$AC$8:$AC$86,'EE Measures'!$DZ$8:$DZ$86)</f>
        <v>2.2407727228439076</v>
      </c>
      <c r="AG582" s="593">
        <f>SUMPRODUCT('EE Measures'!DD$8:DD$86,'EE Measures'!$IL$8:$IL$86,'EE Measures'!$AC$8:$AC$86,'EE Measures'!$DZ$8:$DZ$86)</f>
        <v>2.583624985811428</v>
      </c>
      <c r="AH582" s="593">
        <f>SUMPRODUCT('EE Measures'!DE$8:DE$86,'EE Measures'!$IL$8:$IL$86,'EE Measures'!$AC$8:$AC$86,'EE Measures'!$DZ$8:$DZ$86)</f>
        <v>2.9195644589069496</v>
      </c>
      <c r="AI582" s="593">
        <f>SUMPRODUCT('EE Measures'!DF$8:DF$86,'EE Measures'!$IL$8:$IL$86,'EE Measures'!$AC$8:$AC$86,'EE Measures'!$DZ$8:$DZ$86)</f>
        <v>3.2487708785016434</v>
      </c>
      <c r="AJ582" s="593">
        <f>SUMPRODUCT('EE Measures'!DG$8:DG$86,'EE Measures'!$IL$8:$IL$86,'EE Measures'!$AC$8:$AC$86,'EE Measures'!$DZ$8:$DZ$86)</f>
        <v>3.592116464857698</v>
      </c>
      <c r="AK582" s="593">
        <f>SUMPRODUCT('EE Measures'!DH$8:DH$86,'EE Measures'!$IL$8:$IL$86,'EE Measures'!$AC$8:$AC$86,'EE Measures'!$DZ$8:$DZ$86)</f>
        <v>3.9502120193699302</v>
      </c>
      <c r="AL582" s="593">
        <f>SUMPRODUCT('EE Measures'!DI$8:DI$86,'EE Measures'!$IL$8:$IL$86,'EE Measures'!$AC$8:$AC$86,'EE Measures'!$DZ$8:$DZ$86)</f>
        <v>4.3236924924635378</v>
      </c>
      <c r="AM582" s="593">
        <f>SUMPRODUCT('EE Measures'!DJ$8:DJ$86,'EE Measures'!$IL$8:$IL$86,'EE Measures'!$AC$8:$AC$86,'EE Measures'!$DZ$8:$DZ$86)</f>
        <v>4.7132178901526807</v>
      </c>
    </row>
    <row r="583" spans="3:40" hidden="1" outlineLevel="1" x14ac:dyDescent="0.3"/>
    <row r="584" spans="3:40" ht="15" hidden="1" outlineLevel="1" x14ac:dyDescent="0.3">
      <c r="C584" s="5" t="s">
        <v>431</v>
      </c>
      <c r="D584" s="5"/>
      <c r="E584" s="5"/>
      <c r="F584" s="5"/>
      <c r="G584" s="5"/>
      <c r="H584" s="5"/>
      <c r="I584" s="5"/>
      <c r="J584" s="5"/>
      <c r="K584" s="5"/>
      <c r="L584" s="5"/>
      <c r="M584" s="5"/>
      <c r="N584" s="5"/>
      <c r="O584" s="5"/>
      <c r="P584" s="5"/>
      <c r="Q584" s="5"/>
      <c r="R584" s="5"/>
      <c r="S584" s="5"/>
      <c r="T584" s="5"/>
      <c r="U584" s="5"/>
      <c r="W584" s="5" t="str">
        <f>C584&amp;" per region"</f>
        <v>Private cost savings (MEUR) (incl. tax) per region</v>
      </c>
      <c r="X584" s="5"/>
      <c r="Y584" s="5"/>
      <c r="Z584" s="5"/>
      <c r="AA584" s="5"/>
      <c r="AB584" s="5"/>
      <c r="AC584" s="5"/>
      <c r="AD584" s="5"/>
      <c r="AE584" s="5"/>
      <c r="AF584" s="5"/>
      <c r="AG584" s="5"/>
      <c r="AH584" s="5"/>
      <c r="AI584" s="5"/>
      <c r="AJ584" s="5"/>
      <c r="AK584" s="5"/>
      <c r="AL584" s="5"/>
      <c r="AM584" s="5"/>
      <c r="AN584" s="5"/>
    </row>
    <row r="585" spans="3:40" hidden="1" outlineLevel="1" x14ac:dyDescent="0.3">
      <c r="W585" s="587"/>
      <c r="AA585" s="587"/>
      <c r="AD585" s="587"/>
      <c r="AG585" s="587"/>
    </row>
    <row r="586" spans="3:40" ht="27" hidden="1" outlineLevel="1" x14ac:dyDescent="0.3">
      <c r="E586" s="625"/>
      <c r="F586" s="625" t="s">
        <v>386</v>
      </c>
      <c r="G586" s="625">
        <v>2021</v>
      </c>
      <c r="H586" s="625">
        <v>2022</v>
      </c>
      <c r="I586" s="625">
        <v>2023</v>
      </c>
      <c r="J586" s="625">
        <v>2024</v>
      </c>
      <c r="K586" s="625">
        <v>2025</v>
      </c>
      <c r="L586" s="625">
        <v>2026</v>
      </c>
      <c r="M586" s="625">
        <v>2027</v>
      </c>
      <c r="N586" s="625">
        <v>2028</v>
      </c>
      <c r="O586" s="625">
        <v>2029</v>
      </c>
      <c r="P586" s="625">
        <v>2030</v>
      </c>
      <c r="Q586" s="625">
        <v>2031</v>
      </c>
      <c r="R586" s="625">
        <v>2032</v>
      </c>
      <c r="S586" s="625">
        <v>2033</v>
      </c>
      <c r="T586" s="625">
        <v>2034</v>
      </c>
      <c r="U586" s="625">
        <v>2035</v>
      </c>
      <c r="W586" s="625"/>
      <c r="X586" s="625" t="s">
        <v>386</v>
      </c>
      <c r="Y586" s="625">
        <v>2021</v>
      </c>
      <c r="Z586" s="625">
        <v>2022</v>
      </c>
      <c r="AA586" s="625">
        <v>2023</v>
      </c>
      <c r="AB586" s="625">
        <v>2024</v>
      </c>
      <c r="AC586" s="625">
        <v>2025</v>
      </c>
      <c r="AD586" s="625">
        <v>2026</v>
      </c>
      <c r="AE586" s="625">
        <v>2027</v>
      </c>
      <c r="AF586" s="625">
        <v>2028</v>
      </c>
      <c r="AG586" s="625">
        <v>2029</v>
      </c>
      <c r="AH586" s="625">
        <v>2030</v>
      </c>
      <c r="AI586" s="625">
        <v>2031</v>
      </c>
      <c r="AJ586" s="625">
        <v>2032</v>
      </c>
      <c r="AK586" s="625">
        <v>2033</v>
      </c>
      <c r="AL586" s="625">
        <v>2034</v>
      </c>
      <c r="AM586" s="625">
        <v>2035</v>
      </c>
    </row>
    <row r="587" spans="3:40" hidden="1" outlineLevel="1" x14ac:dyDescent="0.3">
      <c r="C587" s="587" t="str">
        <f>E587</f>
        <v>Baseline</v>
      </c>
      <c r="E587" s="555" t="str">
        <f>'EE Measures'!$IF$6</f>
        <v>Baseline</v>
      </c>
      <c r="F587" s="590">
        <f>SUM(G587:P587)</f>
        <v>446.52684804047948</v>
      </c>
      <c r="G587" s="591">
        <f>SUM(G588:G592)</f>
        <v>12.615775421888975</v>
      </c>
      <c r="H587" s="591">
        <f>SUM(H588:H592)</f>
        <v>15.239418679667427</v>
      </c>
      <c r="I587" s="591">
        <f t="shared" ref="I587:P587" si="2097">SUM(I588:I592)</f>
        <v>17.535547852502265</v>
      </c>
      <c r="J587" s="591">
        <f t="shared" si="2097"/>
        <v>34.671872812952977</v>
      </c>
      <c r="K587" s="591">
        <f t="shared" si="2097"/>
        <v>49.128494268830252</v>
      </c>
      <c r="L587" s="591">
        <f t="shared" si="2097"/>
        <v>55.418951651276295</v>
      </c>
      <c r="M587" s="591">
        <f t="shared" si="2097"/>
        <v>61.433251347035082</v>
      </c>
      <c r="N587" s="591">
        <f t="shared" si="2097"/>
        <v>64.06476661742127</v>
      </c>
      <c r="O587" s="591">
        <f t="shared" si="2097"/>
        <v>66.80250030485449</v>
      </c>
      <c r="P587" s="591">
        <f t="shared" si="2097"/>
        <v>69.61626908405043</v>
      </c>
      <c r="Q587" s="591">
        <f t="shared" ref="Q587:U587" si="2098">SUM(Q588:Q592)</f>
        <v>72.544830849946976</v>
      </c>
      <c r="R587" s="591">
        <f t="shared" si="2098"/>
        <v>75.584102232414821</v>
      </c>
      <c r="S587" s="591">
        <f t="shared" si="2098"/>
        <v>78.738619667852035</v>
      </c>
      <c r="T587" s="591">
        <f t="shared" si="2098"/>
        <v>82.0131099826</v>
      </c>
      <c r="U587" s="591">
        <f t="shared" si="2098"/>
        <v>85.412498353804054</v>
      </c>
      <c r="W587" s="555" t="str">
        <f>'EE Measures'!$IF$6</f>
        <v>Baseline</v>
      </c>
      <c r="X587" s="590">
        <f>SUM(Y587:AH587)</f>
        <v>446.52684804047948</v>
      </c>
      <c r="Y587" s="591">
        <f t="shared" ref="Y587:Z587" si="2099">SUM(Y588:Y592)</f>
        <v>12.615775421888975</v>
      </c>
      <c r="Z587" s="591">
        <f t="shared" si="2099"/>
        <v>15.239418679667429</v>
      </c>
      <c r="AA587" s="591">
        <f t="shared" ref="AA587" si="2100">SUM(AA588:AA592)</f>
        <v>17.535547852502269</v>
      </c>
      <c r="AB587" s="591">
        <f t="shared" ref="AB587" si="2101">SUM(AB588:AB592)</f>
        <v>34.671872812952977</v>
      </c>
      <c r="AC587" s="591">
        <f t="shared" ref="AC587" si="2102">SUM(AC588:AC592)</f>
        <v>49.128494268830259</v>
      </c>
      <c r="AD587" s="591">
        <f t="shared" ref="AD587" si="2103">SUM(AD588:AD592)</f>
        <v>55.418951651276295</v>
      </c>
      <c r="AE587" s="591">
        <f t="shared" ref="AE587" si="2104">SUM(AE588:AE592)</f>
        <v>61.433251347035082</v>
      </c>
      <c r="AF587" s="591">
        <f t="shared" ref="AF587" si="2105">SUM(AF588:AF592)</f>
        <v>64.06476661742127</v>
      </c>
      <c r="AG587" s="591">
        <f t="shared" ref="AG587" si="2106">SUM(AG588:AG592)</f>
        <v>66.802500304854476</v>
      </c>
      <c r="AH587" s="591">
        <f t="shared" ref="AH587:AM587" si="2107">SUM(AH588:AH592)</f>
        <v>69.616269084050415</v>
      </c>
      <c r="AI587" s="591">
        <f t="shared" si="2107"/>
        <v>72.544830849946976</v>
      </c>
      <c r="AJ587" s="591">
        <f t="shared" si="2107"/>
        <v>75.584102232414821</v>
      </c>
      <c r="AK587" s="591">
        <f t="shared" si="2107"/>
        <v>78.738619667852021</v>
      </c>
      <c r="AL587" s="591">
        <f t="shared" si="2107"/>
        <v>82.013109982599985</v>
      </c>
      <c r="AM587" s="591">
        <f t="shared" si="2107"/>
        <v>85.412498353804025</v>
      </c>
    </row>
    <row r="588" spans="3:40" hidden="1" outlineLevel="1" x14ac:dyDescent="0.3">
      <c r="C588" s="587" t="str">
        <f>C587</f>
        <v>Baseline</v>
      </c>
      <c r="E588" s="563" t="s">
        <v>50</v>
      </c>
      <c r="F588" s="592">
        <f>SUM(G588:P588)</f>
        <v>175.38615296566522</v>
      </c>
      <c r="G588" s="593">
        <f t="shared" ref="G588:H592" si="2108">G496-G542</f>
        <v>7.0147307332195599</v>
      </c>
      <c r="H588" s="593">
        <f t="shared" si="2108"/>
        <v>7.5958143959530089</v>
      </c>
      <c r="I588" s="593">
        <f t="shared" ref="I588:P588" si="2109">I496-I542</f>
        <v>7.9494260964930676</v>
      </c>
      <c r="J588" s="593">
        <f t="shared" si="2109"/>
        <v>10.583805771129795</v>
      </c>
      <c r="K588" s="593">
        <f t="shared" si="2109"/>
        <v>16.164258092896041</v>
      </c>
      <c r="L588" s="593">
        <f t="shared" si="2109"/>
        <v>20.773617223068676</v>
      </c>
      <c r="M588" s="593">
        <f t="shared" si="2109"/>
        <v>25.042715784715298</v>
      </c>
      <c r="N588" s="593">
        <f t="shared" si="2109"/>
        <v>25.878900988838687</v>
      </c>
      <c r="O588" s="593">
        <f t="shared" si="2109"/>
        <v>26.752479973140826</v>
      </c>
      <c r="P588" s="593">
        <f t="shared" si="2109"/>
        <v>27.630403906210262</v>
      </c>
      <c r="Q588" s="593">
        <f t="shared" ref="Q588:U588" si="2110">Q496-Q542</f>
        <v>28.548705647547813</v>
      </c>
      <c r="R588" s="593">
        <f t="shared" si="2110"/>
        <v>29.500121269806886</v>
      </c>
      <c r="S588" s="593">
        <f t="shared" si="2110"/>
        <v>30.485920064490124</v>
      </c>
      <c r="T588" s="593">
        <f t="shared" si="2110"/>
        <v>31.507422348623351</v>
      </c>
      <c r="U588" s="593">
        <f t="shared" si="2110"/>
        <v>32.566001571078807</v>
      </c>
      <c r="W588" s="563" t="str" cm="1">
        <f t="array" ref="W588:W592">_xlfn.ANCHORARRAY($W$357)</f>
        <v xml:space="preserve">Põhja-Eesti </v>
      </c>
      <c r="X588" s="592">
        <f>SUM(Y588:AH588)</f>
        <v>218.09106100079961</v>
      </c>
      <c r="Y588" s="593">
        <f>Y496-Y542</f>
        <v>6.6892006789645952</v>
      </c>
      <c r="Z588" s="593">
        <f>Z496-Z542</f>
        <v>7.913214445378161</v>
      </c>
      <c r="AA588" s="593">
        <f t="shared" ref="AA588:AH588" si="2111">AA496-AA542</f>
        <v>8.9376283051966645</v>
      </c>
      <c r="AB588" s="593">
        <f t="shared" si="2111"/>
        <v>16.86504527947055</v>
      </c>
      <c r="AC588" s="593">
        <f t="shared" si="2111"/>
        <v>23.73594342176607</v>
      </c>
      <c r="AD588" s="593">
        <f t="shared" si="2111"/>
        <v>26.86201789898799</v>
      </c>
      <c r="AE588" s="593">
        <f t="shared" si="2111"/>
        <v>29.843815549885804</v>
      </c>
      <c r="AF588" s="593">
        <f t="shared" si="2111"/>
        <v>31.098002407997992</v>
      </c>
      <c r="AG588" s="593">
        <f t="shared" si="2111"/>
        <v>32.402985259366837</v>
      </c>
      <c r="AH588" s="593">
        <f t="shared" si="2111"/>
        <v>33.743207753784951</v>
      </c>
      <c r="AI588" s="593">
        <f t="shared" ref="AI588:AM588" si="2112">AI496-AI542</f>
        <v>35.138280912705312</v>
      </c>
      <c r="AJ588" s="593">
        <f t="shared" si="2112"/>
        <v>36.585984955338965</v>
      </c>
      <c r="AK588" s="593">
        <f t="shared" si="2112"/>
        <v>38.088467832501046</v>
      </c>
      <c r="AL588" s="593">
        <f t="shared" si="2112"/>
        <v>39.647967418938997</v>
      </c>
      <c r="AM588" s="593">
        <f t="shared" si="2112"/>
        <v>41.266815267954918</v>
      </c>
    </row>
    <row r="589" spans="3:40" hidden="1" outlineLevel="1" x14ac:dyDescent="0.3">
      <c r="C589" s="587" t="str">
        <f t="shared" ref="C589:C592" si="2113">C588</f>
        <v>Baseline</v>
      </c>
      <c r="E589" s="563" t="s">
        <v>51</v>
      </c>
      <c r="F589" s="592">
        <f t="shared" ref="F589:F592" si="2114">SUM(G589:P589)</f>
        <v>86.124234424952675</v>
      </c>
      <c r="G589" s="593">
        <f t="shared" si="2108"/>
        <v>1.9943705046770852</v>
      </c>
      <c r="H589" s="593">
        <f t="shared" si="2108"/>
        <v>2.9452529805558334</v>
      </c>
      <c r="I589" s="593">
        <f t="shared" ref="I589:P589" si="2115">I497-I543</f>
        <v>4.0079020007009891</v>
      </c>
      <c r="J589" s="593">
        <f t="shared" si="2115"/>
        <v>7.0240783921021661</v>
      </c>
      <c r="K589" s="593">
        <f t="shared" si="2115"/>
        <v>9.2198261596828122</v>
      </c>
      <c r="L589" s="593">
        <f t="shared" si="2115"/>
        <v>10.163602583847014</v>
      </c>
      <c r="M589" s="593">
        <f t="shared" si="2115"/>
        <v>11.145154761456038</v>
      </c>
      <c r="N589" s="593">
        <f t="shared" si="2115"/>
        <v>12.14939040794685</v>
      </c>
      <c r="O589" s="593">
        <f t="shared" si="2115"/>
        <v>13.193970948591542</v>
      </c>
      <c r="P589" s="593">
        <f t="shared" si="2115"/>
        <v>14.280685685392339</v>
      </c>
      <c r="Q589" s="593">
        <f t="shared" ref="Q589:U589" si="2116">Q497-Q543</f>
        <v>15.410710356831663</v>
      </c>
      <c r="R589" s="593">
        <f t="shared" si="2116"/>
        <v>16.586642049493413</v>
      </c>
      <c r="S589" s="593">
        <f t="shared" si="2116"/>
        <v>17.810520010585698</v>
      </c>
      <c r="T589" s="593">
        <f t="shared" si="2116"/>
        <v>19.08447355750938</v>
      </c>
      <c r="U589" s="593">
        <f t="shared" si="2116"/>
        <v>20.410725940875679</v>
      </c>
      <c r="W589" s="563" t="str">
        <v>Lääne-Eesti</v>
      </c>
      <c r="X589" s="592">
        <f t="shared" ref="X589:X592" si="2117">SUM(Y589:AH589)</f>
        <v>42.583422534885784</v>
      </c>
      <c r="Y589" s="593">
        <f t="shared" ref="Y589" si="2118">Y497-Y543</f>
        <v>1.0150288746716596</v>
      </c>
      <c r="Z589" s="593">
        <f t="shared" ref="Z589:AH589" si="2119">Z497-Z543</f>
        <v>1.2853906581133023</v>
      </c>
      <c r="AA589" s="593">
        <f t="shared" si="2119"/>
        <v>1.5394000393737193</v>
      </c>
      <c r="AB589" s="593">
        <f t="shared" si="2119"/>
        <v>3.3594040934637239</v>
      </c>
      <c r="AC589" s="593">
        <f t="shared" si="2119"/>
        <v>4.8029728559029747</v>
      </c>
      <c r="AD589" s="593">
        <f t="shared" si="2119"/>
        <v>5.3646174896893521</v>
      </c>
      <c r="AE589" s="593">
        <f t="shared" si="2119"/>
        <v>5.9048041862534122</v>
      </c>
      <c r="AF589" s="593">
        <f t="shared" si="2119"/>
        <v>6.1645161283935073</v>
      </c>
      <c r="AG589" s="593">
        <f t="shared" si="2119"/>
        <v>6.4346186184044241</v>
      </c>
      <c r="AH589" s="593">
        <f t="shared" si="2119"/>
        <v>6.7126695906197078</v>
      </c>
      <c r="AI589" s="593">
        <f t="shared" ref="AI589:AM589" si="2120">AI497-AI543</f>
        <v>7.0019682163590637</v>
      </c>
      <c r="AJ589" s="593">
        <f t="shared" si="2120"/>
        <v>7.3022336880183003</v>
      </c>
      <c r="AK589" s="593">
        <f t="shared" si="2120"/>
        <v>7.6139180332855174</v>
      </c>
      <c r="AL589" s="593">
        <f t="shared" si="2120"/>
        <v>7.9374923164392674</v>
      </c>
      <c r="AM589" s="593">
        <f t="shared" si="2120"/>
        <v>8.2734474356859007</v>
      </c>
    </row>
    <row r="590" spans="3:40" hidden="1" outlineLevel="1" x14ac:dyDescent="0.3">
      <c r="C590" s="587" t="str">
        <f t="shared" si="2113"/>
        <v>Baseline</v>
      </c>
      <c r="E590" s="563" t="s">
        <v>52</v>
      </c>
      <c r="F590" s="592">
        <f t="shared" si="2114"/>
        <v>53.350144729393691</v>
      </c>
      <c r="G590" s="593">
        <f t="shared" si="2108"/>
        <v>2.5301893657963501</v>
      </c>
      <c r="H590" s="593">
        <f t="shared" si="2108"/>
        <v>2.7966430199217065</v>
      </c>
      <c r="I590" s="593">
        <f t="shared" ref="I590:P590" si="2121">I498-I544</f>
        <v>3.0765195289919216</v>
      </c>
      <c r="J590" s="593">
        <f t="shared" si="2121"/>
        <v>4.6806678030516427</v>
      </c>
      <c r="K590" s="593">
        <f t="shared" si="2121"/>
        <v>5.7358442920579016</v>
      </c>
      <c r="L590" s="593">
        <f t="shared" si="2121"/>
        <v>6.1059487163093022</v>
      </c>
      <c r="M590" s="593">
        <f t="shared" si="2121"/>
        <v>6.4905050313394188</v>
      </c>
      <c r="N590" s="593">
        <f t="shared" si="2121"/>
        <v>6.8902327280107505</v>
      </c>
      <c r="O590" s="593">
        <f t="shared" si="2121"/>
        <v>7.3057781884033197</v>
      </c>
      <c r="P590" s="593">
        <f t="shared" si="2121"/>
        <v>7.7378160555113755</v>
      </c>
      <c r="Q590" s="593">
        <f t="shared" ref="Q590:U590" si="2122">Q498-Q544</f>
        <v>8.1866516523243451</v>
      </c>
      <c r="R590" s="593">
        <f t="shared" si="2122"/>
        <v>8.6533874195770704</v>
      </c>
      <c r="S590" s="593">
        <f t="shared" si="2122"/>
        <v>9.1387938732197291</v>
      </c>
      <c r="T590" s="593">
        <f t="shared" si="2122"/>
        <v>9.6436749581778187</v>
      </c>
      <c r="U590" s="593">
        <f t="shared" si="2122"/>
        <v>10.168869464633744</v>
      </c>
      <c r="W590" s="563" t="str">
        <v>Kirde-Eesti</v>
      </c>
      <c r="X590" s="592">
        <f t="shared" si="2117"/>
        <v>44.42533894188395</v>
      </c>
      <c r="Y590" s="593">
        <f t="shared" ref="Y590" si="2123">Y498-Y544</f>
        <v>1.2434285722947511</v>
      </c>
      <c r="Z590" s="593">
        <f t="shared" ref="Z590:AH590" si="2124">Z498-Z544</f>
        <v>1.5059712640992231</v>
      </c>
      <c r="AA590" s="593">
        <f t="shared" si="2124"/>
        <v>1.7173981821154047</v>
      </c>
      <c r="AB590" s="593">
        <f t="shared" si="2124"/>
        <v>3.3110640348028575</v>
      </c>
      <c r="AC590" s="593">
        <f t="shared" si="2124"/>
        <v>4.7873262853416136</v>
      </c>
      <c r="AD590" s="593">
        <f t="shared" si="2124"/>
        <v>5.5103478734272073</v>
      </c>
      <c r="AE590" s="593">
        <f t="shared" si="2124"/>
        <v>6.1956671281551072</v>
      </c>
      <c r="AF590" s="593">
        <f t="shared" si="2124"/>
        <v>6.4505594853962815</v>
      </c>
      <c r="AG590" s="593">
        <f t="shared" si="2124"/>
        <v>6.7158825350953162</v>
      </c>
      <c r="AH590" s="593">
        <f t="shared" si="2124"/>
        <v>6.9876935811561856</v>
      </c>
      <c r="AI590" s="593">
        <f t="shared" ref="AI590:AM590" si="2125">AI498-AI544</f>
        <v>7.2707988287851872</v>
      </c>
      <c r="AJ590" s="593">
        <f t="shared" si="2125"/>
        <v>7.5645193444126271</v>
      </c>
      <c r="AK590" s="593">
        <f t="shared" si="2125"/>
        <v>7.8692862806231334</v>
      </c>
      <c r="AL590" s="593">
        <f t="shared" si="2125"/>
        <v>8.1855487800372835</v>
      </c>
      <c r="AM590" s="593">
        <f t="shared" si="2125"/>
        <v>8.5137747262951038</v>
      </c>
    </row>
    <row r="591" spans="3:40" hidden="1" outlineLevel="1" x14ac:dyDescent="0.3">
      <c r="C591" s="587" t="str">
        <f t="shared" si="2113"/>
        <v>Baseline</v>
      </c>
      <c r="E591" s="563" t="s">
        <v>53</v>
      </c>
      <c r="F591" s="592">
        <f t="shared" si="2114"/>
        <v>120.89504996238711</v>
      </c>
      <c r="G591" s="593">
        <f t="shared" si="2108"/>
        <v>0.92040670108240963</v>
      </c>
      <c r="H591" s="593">
        <f t="shared" si="2108"/>
        <v>1.7369358765027825</v>
      </c>
      <c r="I591" s="593">
        <f t="shared" ref="I591:P591" si="2126">I499-I545</f>
        <v>2.3276372269105106</v>
      </c>
      <c r="J591" s="593">
        <f t="shared" si="2126"/>
        <v>11.395481677144799</v>
      </c>
      <c r="K591" s="593">
        <f t="shared" si="2126"/>
        <v>16.55240435271941</v>
      </c>
      <c r="L591" s="593">
        <f t="shared" si="2126"/>
        <v>16.884495416772239</v>
      </c>
      <c r="M591" s="593">
        <f t="shared" si="2126"/>
        <v>17.227265342240393</v>
      </c>
      <c r="N591" s="593">
        <f t="shared" si="2126"/>
        <v>17.581063299919531</v>
      </c>
      <c r="O591" s="593">
        <f t="shared" si="2126"/>
        <v>17.946232394955008</v>
      </c>
      <c r="P591" s="593">
        <f t="shared" si="2126"/>
        <v>18.323127674140018</v>
      </c>
      <c r="Q591" s="593">
        <f t="shared" ref="Q591:U591" si="2127">Q499-Q545</f>
        <v>18.712970954632084</v>
      </c>
      <c r="R591" s="593">
        <f t="shared" si="2127"/>
        <v>19.115168998512406</v>
      </c>
      <c r="S591" s="593">
        <f t="shared" si="2127"/>
        <v>19.530126845682556</v>
      </c>
      <c r="T591" s="593">
        <f t="shared" si="2127"/>
        <v>19.958263384636936</v>
      </c>
      <c r="U591" s="593">
        <f t="shared" si="2127"/>
        <v>20.400011847419439</v>
      </c>
      <c r="W591" s="563" t="str">
        <v>Lõuna-Eesti </v>
      </c>
      <c r="X591" s="592">
        <f t="shared" si="2117"/>
        <v>99.603531551553473</v>
      </c>
      <c r="Y591" s="593">
        <f t="shared" ref="Y591" si="2128">Y499-Y545</f>
        <v>2.5952219000400953</v>
      </c>
      <c r="Z591" s="593">
        <f t="shared" ref="Z591:AH591" si="2129">Z499-Z545</f>
        <v>3.2075106774870932</v>
      </c>
      <c r="AA591" s="593">
        <f t="shared" si="2129"/>
        <v>3.7748075408994382</v>
      </c>
      <c r="AB591" s="593">
        <f t="shared" si="2129"/>
        <v>7.8607862190708628</v>
      </c>
      <c r="AC591" s="593">
        <f t="shared" si="2129"/>
        <v>11.137938669722633</v>
      </c>
      <c r="AD591" s="593">
        <f t="shared" si="2129"/>
        <v>12.450224457703577</v>
      </c>
      <c r="AE591" s="593">
        <f t="shared" si="2129"/>
        <v>13.712207216977106</v>
      </c>
      <c r="AF591" s="593">
        <f t="shared" si="2129"/>
        <v>14.318333832827676</v>
      </c>
      <c r="AG591" s="593">
        <f t="shared" si="2129"/>
        <v>14.948753169720598</v>
      </c>
      <c r="AH591" s="593">
        <f t="shared" si="2129"/>
        <v>15.597747867104387</v>
      </c>
      <c r="AI591" s="593">
        <f t="shared" ref="AI591:AM591" si="2130">AI499-AI545</f>
        <v>16.273003411954779</v>
      </c>
      <c r="AJ591" s="593">
        <f t="shared" si="2130"/>
        <v>16.973897975489635</v>
      </c>
      <c r="AK591" s="593">
        <f t="shared" si="2130"/>
        <v>17.701488799940396</v>
      </c>
      <c r="AL591" s="593">
        <f t="shared" si="2130"/>
        <v>18.456877675364389</v>
      </c>
      <c r="AM591" s="593">
        <f t="shared" si="2130"/>
        <v>19.241212805645532</v>
      </c>
    </row>
    <row r="592" spans="3:40" hidden="1" outlineLevel="1" x14ac:dyDescent="0.3">
      <c r="C592" s="587" t="str">
        <f t="shared" si="2113"/>
        <v>Baseline</v>
      </c>
      <c r="E592" s="563" t="s">
        <v>54</v>
      </c>
      <c r="F592" s="592">
        <f t="shared" si="2114"/>
        <v>10.771265958080768</v>
      </c>
      <c r="G592" s="593">
        <f t="shared" si="2108"/>
        <v>0.15607811711356981</v>
      </c>
      <c r="H592" s="593">
        <f t="shared" si="2108"/>
        <v>0.16477240673409629</v>
      </c>
      <c r="I592" s="593">
        <f t="shared" ref="I592:P592" si="2131">I500-I546</f>
        <v>0.17406299940577868</v>
      </c>
      <c r="J592" s="593">
        <f t="shared" si="2131"/>
        <v>0.98783916952456907</v>
      </c>
      <c r="K592" s="593">
        <f t="shared" si="2131"/>
        <v>1.4561613714740878</v>
      </c>
      <c r="L592" s="593">
        <f t="shared" si="2131"/>
        <v>1.491287711279061</v>
      </c>
      <c r="M592" s="593">
        <f t="shared" si="2131"/>
        <v>1.5276104272839335</v>
      </c>
      <c r="N592" s="593">
        <f t="shared" si="2131"/>
        <v>1.5651791927054508</v>
      </c>
      <c r="O592" s="593">
        <f t="shared" si="2131"/>
        <v>1.6040387997637959</v>
      </c>
      <c r="P592" s="593">
        <f t="shared" si="2131"/>
        <v>1.6442357627964248</v>
      </c>
      <c r="Q592" s="593">
        <f t="shared" ref="Q592:U592" si="2132">Q500-Q546</f>
        <v>1.6857922386110702</v>
      </c>
      <c r="R592" s="593">
        <f t="shared" si="2132"/>
        <v>1.7287824950250492</v>
      </c>
      <c r="S592" s="593">
        <f t="shared" si="2132"/>
        <v>1.7732588738739343</v>
      </c>
      <c r="T592" s="593">
        <f t="shared" si="2132"/>
        <v>1.8192757336524987</v>
      </c>
      <c r="U592" s="593">
        <f t="shared" si="2132"/>
        <v>1.866889529796375</v>
      </c>
      <c r="W592" s="563" t="str">
        <v>Kesk-Eesti</v>
      </c>
      <c r="X592" s="592">
        <f t="shared" si="2117"/>
        <v>41.823494011356622</v>
      </c>
      <c r="Y592" s="593">
        <f t="shared" ref="Y592" si="2133">Y500-Y546</f>
        <v>1.0728953959178742</v>
      </c>
      <c r="Z592" s="593">
        <f t="shared" ref="Z592:AH592" si="2134">Z500-Z546</f>
        <v>1.3273316345896495</v>
      </c>
      <c r="AA592" s="593">
        <f t="shared" si="2134"/>
        <v>1.5663137849170408</v>
      </c>
      <c r="AB592" s="593">
        <f t="shared" si="2134"/>
        <v>3.2755731861449786</v>
      </c>
      <c r="AC592" s="593">
        <f t="shared" si="2134"/>
        <v>4.6643130360969618</v>
      </c>
      <c r="AD592" s="593">
        <f t="shared" si="2134"/>
        <v>5.2317439314681637</v>
      </c>
      <c r="AE592" s="593">
        <f t="shared" si="2134"/>
        <v>5.7767572657636483</v>
      </c>
      <c r="AF592" s="593">
        <f t="shared" si="2134"/>
        <v>6.0333547628058151</v>
      </c>
      <c r="AG592" s="593">
        <f t="shared" si="2134"/>
        <v>6.3002607222673053</v>
      </c>
      <c r="AH592" s="593">
        <f t="shared" si="2134"/>
        <v>6.5749502913851883</v>
      </c>
      <c r="AI592" s="593">
        <f t="shared" ref="AI592:AM592" si="2135">AI500-AI546</f>
        <v>6.8607794801426376</v>
      </c>
      <c r="AJ592" s="593">
        <f t="shared" si="2135"/>
        <v>7.1574662691552922</v>
      </c>
      <c r="AK592" s="593">
        <f t="shared" si="2135"/>
        <v>7.4654587215019372</v>
      </c>
      <c r="AL592" s="593">
        <f t="shared" si="2135"/>
        <v>7.7852237918200435</v>
      </c>
      <c r="AM592" s="593">
        <f t="shared" si="2135"/>
        <v>8.1172481182225731</v>
      </c>
    </row>
    <row r="593" spans="3:39" hidden="1" outlineLevel="1" x14ac:dyDescent="0.3">
      <c r="C593" s="587" t="str">
        <f>E593</f>
        <v>EEO</v>
      </c>
      <c r="E593" s="555" t="str">
        <f>'EE Measures'!$IG$6</f>
        <v>EEO</v>
      </c>
      <c r="F593" s="590">
        <f>SUM(G593:P593)</f>
        <v>1298.8547560952234</v>
      </c>
      <c r="G593" s="591">
        <f>SUM(G594:G598)</f>
        <v>12.615775421888975</v>
      </c>
      <c r="H593" s="591">
        <f>SUM(H594:H598)</f>
        <v>15.599430792056131</v>
      </c>
      <c r="I593" s="591">
        <f t="shared" ref="I593:P593" si="2136">SUM(I594:I598)</f>
        <v>18.278361633230478</v>
      </c>
      <c r="J593" s="591">
        <f t="shared" si="2136"/>
        <v>37.818777487844919</v>
      </c>
      <c r="K593" s="591">
        <f t="shared" si="2136"/>
        <v>90.929102626202535</v>
      </c>
      <c r="L593" s="591">
        <f t="shared" si="2136"/>
        <v>131.11452642824855</v>
      </c>
      <c r="M593" s="591">
        <f t="shared" si="2136"/>
        <v>186.67533846705692</v>
      </c>
      <c r="N593" s="591">
        <f t="shared" si="2136"/>
        <v>226.30218215667318</v>
      </c>
      <c r="O593" s="591">
        <f t="shared" si="2136"/>
        <v>267.93425499348825</v>
      </c>
      <c r="P593" s="591">
        <f t="shared" si="2136"/>
        <v>311.58700608853343</v>
      </c>
      <c r="Q593" s="591">
        <f t="shared" ref="Q593:U593" si="2137">SUM(Q594:Q598)</f>
        <v>354.63907535492234</v>
      </c>
      <c r="R593" s="591">
        <f t="shared" si="2137"/>
        <v>399.83718338152727</v>
      </c>
      <c r="S593" s="591">
        <f t="shared" si="2137"/>
        <v>447.27252035369889</v>
      </c>
      <c r="T593" s="591">
        <f t="shared" si="2137"/>
        <v>497.03982512489296</v>
      </c>
      <c r="U593" s="591">
        <f t="shared" si="2137"/>
        <v>549.25463052727935</v>
      </c>
      <c r="W593" s="555" t="str">
        <f>'EE Measures'!$IG$6</f>
        <v>EEO</v>
      </c>
      <c r="X593" s="590">
        <f>SUM(Y593:AH593)</f>
        <v>1297.7324761402219</v>
      </c>
      <c r="Y593" s="591">
        <f t="shared" ref="Y593:Z593" si="2138">SUM(Y594:Y598)</f>
        <v>12.615775421888975</v>
      </c>
      <c r="Z593" s="591">
        <f t="shared" si="2138"/>
        <v>15.599430792056129</v>
      </c>
      <c r="AA593" s="591">
        <f t="shared" ref="AA593" si="2139">SUM(AA594:AA598)</f>
        <v>18.287195051293985</v>
      </c>
      <c r="AB593" s="591">
        <f t="shared" ref="AB593" si="2140">SUM(AB594:AB598)</f>
        <v>37.929333396957588</v>
      </c>
      <c r="AC593" s="591">
        <f t="shared" ref="AC593" si="2141">SUM(AC594:AC598)</f>
        <v>90.868394571726867</v>
      </c>
      <c r="AD593" s="591">
        <f t="shared" ref="AD593" si="2142">SUM(AD594:AD598)</f>
        <v>131.00260487463845</v>
      </c>
      <c r="AE593" s="591">
        <f t="shared" ref="AE593" si="2143">SUM(AE594:AE598)</f>
        <v>186.50695169004564</v>
      </c>
      <c r="AF593" s="591">
        <f t="shared" ref="AF593" si="2144">SUM(AF594:AF598)</f>
        <v>226.07179620881899</v>
      </c>
      <c r="AG593" s="591">
        <f t="shared" ref="AG593" si="2145">SUM(AG594:AG598)</f>
        <v>267.63606573548753</v>
      </c>
      <c r="AH593" s="591">
        <f t="shared" ref="AH593:AM593" si="2146">SUM(AH594:AH598)</f>
        <v>311.21492839730797</v>
      </c>
      <c r="AI593" s="591">
        <f t="shared" si="2146"/>
        <v>354.18631860899194</v>
      </c>
      <c r="AJ593" s="591">
        <f t="shared" si="2146"/>
        <v>399.29704313555965</v>
      </c>
      <c r="AK593" s="591">
        <f t="shared" si="2146"/>
        <v>446.63797809187696</v>
      </c>
      <c r="AL593" s="591">
        <f t="shared" si="2146"/>
        <v>496.30353522103331</v>
      </c>
      <c r="AM593" s="591">
        <f t="shared" si="2146"/>
        <v>548.40890665054769</v>
      </c>
    </row>
    <row r="594" spans="3:39" hidden="1" outlineLevel="1" x14ac:dyDescent="0.3">
      <c r="C594" s="587" t="str">
        <f>C593</f>
        <v>EEO</v>
      </c>
      <c r="E594" s="563" t="s">
        <v>50</v>
      </c>
      <c r="F594" s="592">
        <f>SUM(G594:P594)</f>
        <v>272.50061942239631</v>
      </c>
      <c r="G594" s="593">
        <f t="shared" ref="G594:H598" si="2147">G502-G548</f>
        <v>7.0147307332195599</v>
      </c>
      <c r="H594" s="593">
        <f t="shared" si="2147"/>
        <v>7.5897568228024275</v>
      </c>
      <c r="I594" s="593">
        <f t="shared" ref="I594:P594" si="2148">I502-I548</f>
        <v>7.9362846625698049</v>
      </c>
      <c r="J594" s="593">
        <f t="shared" si="2148"/>
        <v>13.064475766601468</v>
      </c>
      <c r="K594" s="593">
        <f t="shared" si="2148"/>
        <v>24.317842976394207</v>
      </c>
      <c r="L594" s="593">
        <f t="shared" si="2148"/>
        <v>32.720833850408262</v>
      </c>
      <c r="M594" s="593">
        <f t="shared" si="2148"/>
        <v>39.535423394502615</v>
      </c>
      <c r="N594" s="593">
        <f t="shared" si="2148"/>
        <v>43.044228600137416</v>
      </c>
      <c r="O594" s="593">
        <f t="shared" si="2148"/>
        <v>46.734568419128578</v>
      </c>
      <c r="P594" s="593">
        <f t="shared" si="2148"/>
        <v>50.542474196632007</v>
      </c>
      <c r="Q594" s="593">
        <f t="shared" ref="Q594:U594" si="2149">Q502-Q548</f>
        <v>54.546342018350607</v>
      </c>
      <c r="R594" s="593">
        <f t="shared" si="2149"/>
        <v>58.735386518296913</v>
      </c>
      <c r="S594" s="593">
        <f t="shared" si="2149"/>
        <v>63.117469707885697</v>
      </c>
      <c r="T594" s="593">
        <f t="shared" si="2149"/>
        <v>67.700763388998539</v>
      </c>
      <c r="U594" s="593">
        <f t="shared" si="2149"/>
        <v>72.493760874252374</v>
      </c>
      <c r="W594" s="563" t="str" cm="1">
        <f t="array" ref="W594:W598">_xlfn.ANCHORARRAY($W$357)</f>
        <v xml:space="preserve">Põhja-Eesti </v>
      </c>
      <c r="X594" s="592">
        <f>SUM(Y594:AH594)</f>
        <v>564.87065097703362</v>
      </c>
      <c r="Y594" s="593">
        <f>Y502-Y548</f>
        <v>6.6892006789645952</v>
      </c>
      <c r="Z594" s="593">
        <f>Z502-Z548</f>
        <v>8.0802526497709888</v>
      </c>
      <c r="AA594" s="593">
        <f t="shared" ref="AA594:AH594" si="2150">AA502-AA548</f>
        <v>9.2862699989376001</v>
      </c>
      <c r="AB594" s="593">
        <f t="shared" si="2150"/>
        <v>18.478092271081781</v>
      </c>
      <c r="AC594" s="593">
        <f t="shared" si="2150"/>
        <v>42.490105160251659</v>
      </c>
      <c r="AD594" s="593">
        <f t="shared" si="2150"/>
        <v>58.662714493185305</v>
      </c>
      <c r="AE594" s="593">
        <f t="shared" si="2150"/>
        <v>81.96745203215211</v>
      </c>
      <c r="AF594" s="593">
        <f t="shared" si="2150"/>
        <v>97.023938676772801</v>
      </c>
      <c r="AG594" s="593">
        <f t="shared" si="2150"/>
        <v>112.8252416210229</v>
      </c>
      <c r="AH594" s="593">
        <f t="shared" si="2150"/>
        <v>129.36738339489392</v>
      </c>
      <c r="AI594" s="593">
        <f t="shared" ref="AI594:AM594" si="2151">AI502-AI548</f>
        <v>144.92553457444706</v>
      </c>
      <c r="AJ594" s="593">
        <f t="shared" si="2151"/>
        <v>161.25024477873848</v>
      </c>
      <c r="AK594" s="593">
        <f t="shared" si="2151"/>
        <v>178.37411860014902</v>
      </c>
      <c r="AL594" s="593">
        <f t="shared" si="2151"/>
        <v>196.33103308654319</v>
      </c>
      <c r="AM594" s="593">
        <f t="shared" si="2151"/>
        <v>215.16132522932372</v>
      </c>
    </row>
    <row r="595" spans="3:39" hidden="1" outlineLevel="1" x14ac:dyDescent="0.3">
      <c r="C595" s="587" t="str">
        <f t="shared" ref="C595:C598" si="2152">C594</f>
        <v>EEO</v>
      </c>
      <c r="E595" s="563" t="s">
        <v>51</v>
      </c>
      <c r="F595" s="592">
        <f t="shared" ref="F595:F598" si="2153">SUM(G595:P595)</f>
        <v>474.66051030760707</v>
      </c>
      <c r="G595" s="593">
        <f t="shared" si="2147"/>
        <v>1.9943705046770852</v>
      </c>
      <c r="H595" s="593">
        <f t="shared" si="2147"/>
        <v>2.9278516763299911</v>
      </c>
      <c r="I595" s="593">
        <f t="shared" ref="I595:P595" si="2154">I503-I549</f>
        <v>3.9820082038236833</v>
      </c>
      <c r="J595" s="593">
        <f t="shared" si="2154"/>
        <v>6.6411142171805615</v>
      </c>
      <c r="K595" s="593">
        <f t="shared" si="2154"/>
        <v>25.95714625008512</v>
      </c>
      <c r="L595" s="593">
        <f t="shared" si="2154"/>
        <v>44.746270335733961</v>
      </c>
      <c r="M595" s="593">
        <f t="shared" si="2154"/>
        <v>64.581738125100387</v>
      </c>
      <c r="N595" s="593">
        <f t="shared" si="2154"/>
        <v>85.493377612080252</v>
      </c>
      <c r="O595" s="593">
        <f t="shared" si="2154"/>
        <v>107.54621606395031</v>
      </c>
      <c r="P595" s="593">
        <f t="shared" si="2154"/>
        <v>130.79041731864569</v>
      </c>
      <c r="Q595" s="593">
        <f t="shared" ref="Q595:U595" si="2155">Q503-Q549</f>
        <v>155.24891460071646</v>
      </c>
      <c r="R595" s="593">
        <f t="shared" si="2155"/>
        <v>180.99436097784107</v>
      </c>
      <c r="S595" s="593">
        <f t="shared" si="2155"/>
        <v>208.08212573214297</v>
      </c>
      <c r="T595" s="593">
        <f t="shared" si="2155"/>
        <v>236.5697493409115</v>
      </c>
      <c r="U595" s="593">
        <f t="shared" si="2155"/>
        <v>266.51303378029968</v>
      </c>
      <c r="W595" s="563" t="str">
        <v>Lääne-Eesti</v>
      </c>
      <c r="X595" s="592">
        <f t="shared" ref="X595:X598" si="2156">SUM(Y595:AH595)</f>
        <v>184.69294984603906</v>
      </c>
      <c r="Y595" s="593">
        <f t="shared" ref="Y595" si="2157">Y503-Y549</f>
        <v>1.0150288746716596</v>
      </c>
      <c r="Z595" s="593">
        <f t="shared" ref="Z595:AH595" si="2158">Z503-Z549</f>
        <v>1.3251105373718373</v>
      </c>
      <c r="AA595" s="593">
        <f t="shared" si="2158"/>
        <v>1.6222314125539965</v>
      </c>
      <c r="AB595" s="593">
        <f t="shared" si="2158"/>
        <v>3.6576277912279487</v>
      </c>
      <c r="AC595" s="593">
        <f t="shared" si="2158"/>
        <v>10.088139254577051</v>
      </c>
      <c r="AD595" s="593">
        <f t="shared" si="2158"/>
        <v>15.597315371542049</v>
      </c>
      <c r="AE595" s="593">
        <f t="shared" si="2158"/>
        <v>28.687201972568385</v>
      </c>
      <c r="AF595" s="593">
        <f t="shared" si="2158"/>
        <v>34.593098475382632</v>
      </c>
      <c r="AG595" s="593">
        <f t="shared" si="2158"/>
        <v>40.798112868084708</v>
      </c>
      <c r="AH595" s="593">
        <f t="shared" si="2158"/>
        <v>47.309083288058794</v>
      </c>
      <c r="AI595" s="593">
        <f t="shared" ref="AI595:AM595" si="2159">AI503-AI549</f>
        <v>53.918064748384211</v>
      </c>
      <c r="AJ595" s="593">
        <f t="shared" si="2159"/>
        <v>60.855102595956645</v>
      </c>
      <c r="AK595" s="593">
        <f t="shared" si="2159"/>
        <v>68.134036056460587</v>
      </c>
      <c r="AL595" s="593">
        <f t="shared" si="2159"/>
        <v>75.769239132678749</v>
      </c>
      <c r="AM595" s="593">
        <f t="shared" si="2159"/>
        <v>83.779537677849774</v>
      </c>
    </row>
    <row r="596" spans="3:39" hidden="1" outlineLevel="1" x14ac:dyDescent="0.3">
      <c r="C596" s="587" t="str">
        <f t="shared" si="2152"/>
        <v>EEO</v>
      </c>
      <c r="E596" s="563" t="s">
        <v>52</v>
      </c>
      <c r="F596" s="592">
        <f t="shared" si="2153"/>
        <v>240.18575397961024</v>
      </c>
      <c r="G596" s="593">
        <f t="shared" si="2147"/>
        <v>2.5301893657963501</v>
      </c>
      <c r="H596" s="593">
        <f t="shared" si="2147"/>
        <v>2.7865415800835476</v>
      </c>
      <c r="I596" s="593">
        <f t="shared" ref="I596:P596" si="2160">I504-I550</f>
        <v>3.057564505770344</v>
      </c>
      <c r="J596" s="593">
        <f t="shared" si="2160"/>
        <v>4.4541265103953656</v>
      </c>
      <c r="K596" s="593">
        <f t="shared" si="2160"/>
        <v>13.943156122855868</v>
      </c>
      <c r="L596" s="593">
        <f t="shared" si="2160"/>
        <v>22.8995014178901</v>
      </c>
      <c r="M596" s="593">
        <f t="shared" si="2160"/>
        <v>32.308902837878932</v>
      </c>
      <c r="N596" s="593">
        <f t="shared" si="2160"/>
        <v>42.19057186441367</v>
      </c>
      <c r="O596" s="593">
        <f t="shared" si="2160"/>
        <v>52.564352286489672</v>
      </c>
      <c r="P596" s="593">
        <f t="shared" si="2160"/>
        <v>63.450847488036416</v>
      </c>
      <c r="Q596" s="593">
        <f t="shared" ref="Q596:U596" si="2161">Q504-Q550</f>
        <v>74.895129018825415</v>
      </c>
      <c r="R596" s="593">
        <f t="shared" si="2161"/>
        <v>86.903622647424854</v>
      </c>
      <c r="S596" s="593">
        <f t="shared" si="2161"/>
        <v>99.499907604693519</v>
      </c>
      <c r="T596" s="593">
        <f t="shared" si="2161"/>
        <v>112.70846592101952</v>
      </c>
      <c r="U596" s="593">
        <f t="shared" si="2161"/>
        <v>126.57581972510754</v>
      </c>
      <c r="W596" s="563" t="str">
        <v>Kirde-Eesti</v>
      </c>
      <c r="X596" s="592">
        <f t="shared" si="2156"/>
        <v>111.76552157644939</v>
      </c>
      <c r="Y596" s="593">
        <f t="shared" ref="Y596" si="2162">Y504-Y550</f>
        <v>1.2434285722947511</v>
      </c>
      <c r="Z596" s="593">
        <f t="shared" ref="Z596:AH596" si="2163">Z504-Z550</f>
        <v>1.5416433636053917</v>
      </c>
      <c r="AA596" s="593">
        <f t="shared" si="2163"/>
        <v>1.7916299460672336</v>
      </c>
      <c r="AB596" s="593">
        <f t="shared" si="2163"/>
        <v>3.714631122066641</v>
      </c>
      <c r="AC596" s="593">
        <f t="shared" si="2163"/>
        <v>8.3250304000430706</v>
      </c>
      <c r="AD596" s="593">
        <f t="shared" si="2163"/>
        <v>11.981648404330665</v>
      </c>
      <c r="AE596" s="593">
        <f t="shared" si="2163"/>
        <v>15.600859677801147</v>
      </c>
      <c r="AF596" s="593">
        <f t="shared" si="2163"/>
        <v>18.945386499371143</v>
      </c>
      <c r="AG596" s="593">
        <f t="shared" si="2163"/>
        <v>22.46450088427093</v>
      </c>
      <c r="AH596" s="593">
        <f t="shared" si="2163"/>
        <v>26.156762706598414</v>
      </c>
      <c r="AI596" s="593">
        <f t="shared" ref="AI596:AM596" si="2164">AI504-AI550</f>
        <v>29.977619336594</v>
      </c>
      <c r="AJ596" s="593">
        <f t="shared" si="2164"/>
        <v>33.991224508939737</v>
      </c>
      <c r="AK596" s="593">
        <f t="shared" si="2164"/>
        <v>38.205829195682995</v>
      </c>
      <c r="AL596" s="593">
        <f t="shared" si="2164"/>
        <v>42.630007176743717</v>
      </c>
      <c r="AM596" s="593">
        <f t="shared" si="2164"/>
        <v>47.273505070367982</v>
      </c>
    </row>
    <row r="597" spans="3:39" hidden="1" outlineLevel="1" x14ac:dyDescent="0.3">
      <c r="C597" s="587" t="str">
        <f t="shared" si="2152"/>
        <v>EEO</v>
      </c>
      <c r="E597" s="563" t="s">
        <v>53</v>
      </c>
      <c r="F597" s="592">
        <f t="shared" si="2153"/>
        <v>293.19859462157342</v>
      </c>
      <c r="G597" s="593">
        <f t="shared" si="2147"/>
        <v>0.92040670108240952</v>
      </c>
      <c r="H597" s="593">
        <f t="shared" si="2147"/>
        <v>2.1308774044644307</v>
      </c>
      <c r="I597" s="593">
        <f t="shared" ref="I597:P597" si="2165">I505-I551</f>
        <v>3.1292565621172375</v>
      </c>
      <c r="J597" s="593">
        <f t="shared" si="2165"/>
        <v>12.679631766001975</v>
      </c>
      <c r="K597" s="593">
        <f t="shared" si="2165"/>
        <v>25.246572356914289</v>
      </c>
      <c r="L597" s="593">
        <f t="shared" si="2165"/>
        <v>29.247475063284462</v>
      </c>
      <c r="M597" s="593">
        <f t="shared" si="2165"/>
        <v>47.99188405475315</v>
      </c>
      <c r="N597" s="593">
        <f t="shared" si="2165"/>
        <v>52.530323982740356</v>
      </c>
      <c r="O597" s="593">
        <f t="shared" si="2165"/>
        <v>57.228491758758885</v>
      </c>
      <c r="P597" s="593">
        <f t="shared" si="2165"/>
        <v>62.093674971456224</v>
      </c>
      <c r="Q597" s="593">
        <f t="shared" ref="Q597:U597" si="2166">Q505-Q551</f>
        <v>65.134776593626214</v>
      </c>
      <c r="R597" s="593">
        <f t="shared" si="2166"/>
        <v>68.282161194200043</v>
      </c>
      <c r="S597" s="593">
        <f t="shared" si="2166"/>
        <v>71.540093088708929</v>
      </c>
      <c r="T597" s="593">
        <f t="shared" si="2166"/>
        <v>74.912997462214378</v>
      </c>
      <c r="U597" s="593">
        <f t="shared" si="2166"/>
        <v>78.405466212719574</v>
      </c>
      <c r="W597" s="563" t="str">
        <v>Lõuna-Eesti </v>
      </c>
      <c r="X597" s="592">
        <f t="shared" si="2156"/>
        <v>302.44231012904072</v>
      </c>
      <c r="Y597" s="593">
        <f t="shared" ref="Y597" si="2167">Y505-Y551</f>
        <v>2.5952219000400953</v>
      </c>
      <c r="Z597" s="593">
        <f t="shared" ref="Z597:AH597" si="2168">Z505-Z551</f>
        <v>3.2926364976976141</v>
      </c>
      <c r="AA597" s="593">
        <f t="shared" si="2168"/>
        <v>3.9527240999846343</v>
      </c>
      <c r="AB597" s="593">
        <f t="shared" si="2168"/>
        <v>8.5246937933078684</v>
      </c>
      <c r="AC597" s="593">
        <f t="shared" si="2168"/>
        <v>20.933859071121432</v>
      </c>
      <c r="AD597" s="593">
        <f t="shared" si="2168"/>
        <v>31.13315534723651</v>
      </c>
      <c r="AE597" s="593">
        <f t="shared" si="2168"/>
        <v>41.767150586477072</v>
      </c>
      <c r="AF597" s="593">
        <f t="shared" si="2168"/>
        <v>52.232408249582534</v>
      </c>
      <c r="AG597" s="593">
        <f t="shared" si="2168"/>
        <v>63.232821451776381</v>
      </c>
      <c r="AH597" s="593">
        <f t="shared" si="2168"/>
        <v>74.777639131816557</v>
      </c>
      <c r="AI597" s="593">
        <f t="shared" ref="AI597:AM597" si="2169">AI505-AI551</f>
        <v>86.416845211498668</v>
      </c>
      <c r="AJ597" s="593">
        <f t="shared" si="2169"/>
        <v>98.639652072504973</v>
      </c>
      <c r="AK597" s="593">
        <f t="shared" si="2169"/>
        <v>111.47085053952311</v>
      </c>
      <c r="AL597" s="593">
        <f t="shared" si="2169"/>
        <v>124.93619483289126</v>
      </c>
      <c r="AM597" s="593">
        <f t="shared" si="2169"/>
        <v>139.06724454120547</v>
      </c>
    </row>
    <row r="598" spans="3:39" hidden="1" outlineLevel="1" x14ac:dyDescent="0.3">
      <c r="C598" s="587" t="str">
        <f t="shared" si="2152"/>
        <v>EEO</v>
      </c>
      <c r="E598" s="563" t="s">
        <v>54</v>
      </c>
      <c r="F598" s="592">
        <f t="shared" si="2153"/>
        <v>18.309277764036334</v>
      </c>
      <c r="G598" s="593">
        <f t="shared" si="2147"/>
        <v>0.15607811711356981</v>
      </c>
      <c r="H598" s="593">
        <f t="shared" si="2147"/>
        <v>0.16440330837573311</v>
      </c>
      <c r="I598" s="593">
        <f t="shared" ref="I598:P598" si="2170">I506-I552</f>
        <v>0.17324769894941153</v>
      </c>
      <c r="J598" s="593">
        <f t="shared" si="2170"/>
        <v>0.97942922766554552</v>
      </c>
      <c r="K598" s="593">
        <f t="shared" si="2170"/>
        <v>1.4643849199530534</v>
      </c>
      <c r="L598" s="593">
        <f t="shared" si="2170"/>
        <v>1.5004457609317692</v>
      </c>
      <c r="M598" s="593">
        <f t="shared" si="2170"/>
        <v>2.2573900548218306</v>
      </c>
      <c r="N598" s="593">
        <f t="shared" si="2170"/>
        <v>3.0436800973015008</v>
      </c>
      <c r="O598" s="593">
        <f t="shared" si="2170"/>
        <v>3.8606264651608009</v>
      </c>
      <c r="P598" s="593">
        <f t="shared" si="2170"/>
        <v>4.7095921137631205</v>
      </c>
      <c r="Q598" s="593">
        <f t="shared" ref="Q598:U598" si="2171">Q506-Q552</f>
        <v>4.8139131234036707</v>
      </c>
      <c r="R598" s="593">
        <f t="shared" si="2171"/>
        <v>4.9216520437643432</v>
      </c>
      <c r="S598" s="593">
        <f t="shared" si="2171"/>
        <v>5.0329242202677502</v>
      </c>
      <c r="T598" s="593">
        <f t="shared" si="2171"/>
        <v>5.147849011749015</v>
      </c>
      <c r="U598" s="593">
        <f t="shared" si="2171"/>
        <v>5.2665499349002385</v>
      </c>
      <c r="W598" s="563" t="str">
        <v>Kesk-Eesti</v>
      </c>
      <c r="X598" s="592">
        <f t="shared" si="2156"/>
        <v>133.96104361165931</v>
      </c>
      <c r="Y598" s="593">
        <f t="shared" ref="Y598" si="2172">Y506-Y552</f>
        <v>1.072895395917874</v>
      </c>
      <c r="Z598" s="593">
        <f t="shared" ref="Z598:AH598" si="2173">Z506-Z552</f>
        <v>1.3597877436102981</v>
      </c>
      <c r="AA598" s="593">
        <f t="shared" si="2173"/>
        <v>1.6343395937505221</v>
      </c>
      <c r="AB598" s="593">
        <f t="shared" si="2173"/>
        <v>3.554288419273349</v>
      </c>
      <c r="AC598" s="593">
        <f t="shared" si="2173"/>
        <v>9.0312606857336561</v>
      </c>
      <c r="AD598" s="593">
        <f t="shared" si="2173"/>
        <v>13.627771258343898</v>
      </c>
      <c r="AE598" s="593">
        <f t="shared" si="2173"/>
        <v>18.484287421046922</v>
      </c>
      <c r="AF598" s="593">
        <f t="shared" si="2173"/>
        <v>23.276964307709886</v>
      </c>
      <c r="AG598" s="593">
        <f t="shared" si="2173"/>
        <v>28.315388910332615</v>
      </c>
      <c r="AH598" s="593">
        <f t="shared" si="2173"/>
        <v>33.604059875940287</v>
      </c>
      <c r="AI598" s="593">
        <f t="shared" ref="AI598:AM598" si="2174">AI506-AI552</f>
        <v>38.948254738067995</v>
      </c>
      <c r="AJ598" s="593">
        <f t="shared" si="2174"/>
        <v>44.560819179419802</v>
      </c>
      <c r="AK598" s="593">
        <f t="shared" si="2174"/>
        <v>50.453143700061275</v>
      </c>
      <c r="AL598" s="593">
        <f t="shared" si="2174"/>
        <v>56.637060992176366</v>
      </c>
      <c r="AM598" s="593">
        <f t="shared" si="2174"/>
        <v>63.127294131800738</v>
      </c>
    </row>
    <row r="599" spans="3:39" hidden="1" outlineLevel="1" x14ac:dyDescent="0.3">
      <c r="C599" s="587" t="str">
        <f>E599</f>
        <v>VA</v>
      </c>
      <c r="E599" s="555" t="str">
        <f>'EE Measures'!$IH$6</f>
        <v>VA</v>
      </c>
      <c r="F599" s="590">
        <f>SUM(G599:P599)</f>
        <v>1212.057027520518</v>
      </c>
      <c r="G599" s="591">
        <f>SUM(G600:G604)</f>
        <v>12.615775421888975</v>
      </c>
      <c r="H599" s="591">
        <f>SUM(H600:H604)</f>
        <v>15.633719290009731</v>
      </c>
      <c r="I599" s="591">
        <f t="shared" ref="I599:P599" si="2175">SUM(I600:I604)</f>
        <v>18.337991236926303</v>
      </c>
      <c r="J599" s="591">
        <f t="shared" si="2175"/>
        <v>38.582672455411405</v>
      </c>
      <c r="K599" s="591">
        <f t="shared" si="2175"/>
        <v>85.77069478728329</v>
      </c>
      <c r="L599" s="591">
        <f t="shared" si="2175"/>
        <v>119.99974120659374</v>
      </c>
      <c r="M599" s="591">
        <f t="shared" si="2175"/>
        <v>170.79213031243864</v>
      </c>
      <c r="N599" s="591">
        <f t="shared" si="2175"/>
        <v>207.48827563496189</v>
      </c>
      <c r="O599" s="591">
        <f t="shared" si="2175"/>
        <v>248.77135003633805</v>
      </c>
      <c r="P599" s="591">
        <f t="shared" si="2175"/>
        <v>294.0646771386659</v>
      </c>
      <c r="Q599" s="591">
        <f t="shared" ref="Q599:U599" si="2176">SUM(Q600:Q604)</f>
        <v>338.783689448117</v>
      </c>
      <c r="R599" s="591">
        <f t="shared" si="2176"/>
        <v>385.69156615931064</v>
      </c>
      <c r="S599" s="591">
        <f t="shared" si="2176"/>
        <v>434.88645865547323</v>
      </c>
      <c r="T599" s="591">
        <f t="shared" si="2176"/>
        <v>486.47067726146429</v>
      </c>
      <c r="U599" s="591">
        <f t="shared" si="2176"/>
        <v>540.54535667561095</v>
      </c>
      <c r="W599" s="555" t="str">
        <f>'EE Measures'!$IH$6</f>
        <v>VA</v>
      </c>
      <c r="X599" s="590">
        <f>SUM(Y599:AH599)</f>
        <v>1211.6865187216385</v>
      </c>
      <c r="Y599" s="591">
        <f t="shared" ref="Y599:Z599" si="2177">SUM(Y600:Y604)</f>
        <v>12.615775421888975</v>
      </c>
      <c r="Z599" s="591">
        <f t="shared" si="2177"/>
        <v>15.633719290009735</v>
      </c>
      <c r="AA599" s="591">
        <f t="shared" ref="AA599" si="2178">SUM(AA600:AA604)</f>
        <v>18.337991236926307</v>
      </c>
      <c r="AB599" s="591">
        <f t="shared" ref="AB599" si="2179">SUM(AB600:AB604)</f>
        <v>38.582672455411419</v>
      </c>
      <c r="AC599" s="591">
        <f t="shared" ref="AC599" si="2180">SUM(AC600:AC604)</f>
        <v>85.754042110075247</v>
      </c>
      <c r="AD599" s="591">
        <f t="shared" ref="AD599" si="2181">SUM(AD600:AD604)</f>
        <v>119.96587168181</v>
      </c>
      <c r="AE599" s="591">
        <f t="shared" ref="AE599" si="2182">SUM(AE600:AE604)</f>
        <v>170.74045005380054</v>
      </c>
      <c r="AF599" s="591">
        <f t="shared" ref="AF599" si="2183">SUM(AF600:AF604)</f>
        <v>207.41816026423942</v>
      </c>
      <c r="AG599" s="591">
        <f t="shared" ref="AG599" si="2184">SUM(AG600:AG604)</f>
        <v>248.68214387014368</v>
      </c>
      <c r="AH599" s="591">
        <f t="shared" ref="AH599:AM599" si="2185">SUM(AH600:AH604)</f>
        <v>293.95569233733323</v>
      </c>
      <c r="AI599" s="591">
        <f t="shared" si="2185"/>
        <v>338.65416194761019</v>
      </c>
      <c r="AJ599" s="591">
        <f t="shared" si="2185"/>
        <v>385.54073481863134</v>
      </c>
      <c r="AK599" s="591">
        <f t="shared" si="2185"/>
        <v>434.71352899972538</v>
      </c>
      <c r="AL599" s="591">
        <f t="shared" si="2185"/>
        <v>486.27482016684667</v>
      </c>
      <c r="AM599" s="591">
        <f t="shared" si="2185"/>
        <v>540.32570700550991</v>
      </c>
    </row>
    <row r="600" spans="3:39" hidden="1" outlineLevel="1" x14ac:dyDescent="0.3">
      <c r="C600" s="587" t="str">
        <f>C599</f>
        <v>VA</v>
      </c>
      <c r="E600" s="563" t="s">
        <v>50</v>
      </c>
      <c r="F600" s="592">
        <f>SUM(G600:P600)</f>
        <v>326.68039629386072</v>
      </c>
      <c r="G600" s="593">
        <f t="shared" ref="G600:H604" si="2186">G508-G554</f>
        <v>7.0147307332195599</v>
      </c>
      <c r="H600" s="593">
        <f t="shared" si="2186"/>
        <v>7.5958143959530089</v>
      </c>
      <c r="I600" s="593">
        <f t="shared" ref="I600:P600" si="2187">I508-I554</f>
        <v>7.9494260964930676</v>
      </c>
      <c r="J600" s="593">
        <f t="shared" si="2187"/>
        <v>13.202240307164178</v>
      </c>
      <c r="K600" s="593">
        <f t="shared" si="2187"/>
        <v>23.838658613080653</v>
      </c>
      <c r="L600" s="593">
        <f t="shared" si="2187"/>
        <v>33.066079933884282</v>
      </c>
      <c r="M600" s="593">
        <f t="shared" si="2187"/>
        <v>42.465340679153201</v>
      </c>
      <c r="N600" s="593">
        <f t="shared" si="2187"/>
        <v>50.997565045666207</v>
      </c>
      <c r="O600" s="593">
        <f t="shared" si="2187"/>
        <v>62.925508099808802</v>
      </c>
      <c r="P600" s="593">
        <f t="shared" si="2187"/>
        <v>77.625032389437791</v>
      </c>
      <c r="Q600" s="593">
        <f t="shared" ref="Q600:U600" si="2188">Q508-Q554</f>
        <v>93.268837724321941</v>
      </c>
      <c r="R600" s="593">
        <f t="shared" si="2188"/>
        <v>109.88010256874756</v>
      </c>
      <c r="S600" s="593">
        <f t="shared" si="2188"/>
        <v>127.51010438449289</v>
      </c>
      <c r="T600" s="593">
        <f t="shared" si="2188"/>
        <v>146.21259832179703</v>
      </c>
      <c r="U600" s="593">
        <f t="shared" si="2188"/>
        <v>166.04628815605545</v>
      </c>
      <c r="W600" s="563" t="str" cm="1">
        <f t="array" ref="W600:W604">_xlfn.ANCHORARRAY($W$357)</f>
        <v xml:space="preserve">Põhja-Eesti </v>
      </c>
      <c r="X600" s="592">
        <f>SUM(Y600:AH600)</f>
        <v>561.33039878153681</v>
      </c>
      <c r="Y600" s="593">
        <f>Y508-Y554</f>
        <v>6.6892006789645952</v>
      </c>
      <c r="Z600" s="593">
        <f>Z508-Z554</f>
        <v>8.0974129250768598</v>
      </c>
      <c r="AA600" s="593">
        <f t="shared" ref="AA600:AH600" si="2189">AA508-AA554</f>
        <v>9.3124916647204259</v>
      </c>
      <c r="AB600" s="593">
        <f t="shared" si="2189"/>
        <v>18.805474884585191</v>
      </c>
      <c r="AC600" s="593">
        <f t="shared" si="2189"/>
        <v>41.26156906748929</v>
      </c>
      <c r="AD600" s="593">
        <f t="shared" si="2189"/>
        <v>56.373134400639074</v>
      </c>
      <c r="AE600" s="593">
        <f t="shared" si="2189"/>
        <v>79.354211726265973</v>
      </c>
      <c r="AF600" s="593">
        <f t="shared" si="2189"/>
        <v>95.162249932786466</v>
      </c>
      <c r="AG600" s="593">
        <f t="shared" si="2189"/>
        <v>113.17668519994304</v>
      </c>
      <c r="AH600" s="593">
        <f t="shared" si="2189"/>
        <v>133.09796830106592</v>
      </c>
      <c r="AI600" s="593">
        <f t="shared" ref="AI600:AM600" si="2190">AI508-AI554</f>
        <v>152.20922100361835</v>
      </c>
      <c r="AJ600" s="593">
        <f t="shared" si="2190"/>
        <v>172.2744169828934</v>
      </c>
      <c r="AK600" s="593">
        <f t="shared" si="2190"/>
        <v>193.33730642752542</v>
      </c>
      <c r="AL600" s="593">
        <f t="shared" si="2190"/>
        <v>215.44353431460189</v>
      </c>
      <c r="AM600" s="593">
        <f t="shared" si="2190"/>
        <v>238.63402039940266</v>
      </c>
    </row>
    <row r="601" spans="3:39" hidden="1" outlineLevel="1" x14ac:dyDescent="0.3">
      <c r="C601" s="587" t="str">
        <f t="shared" ref="C601:C604" si="2191">C600</f>
        <v>VA</v>
      </c>
      <c r="E601" s="563" t="s">
        <v>51</v>
      </c>
      <c r="F601" s="592">
        <f t="shared" ref="F601:F604" si="2192">SUM(G601:P601)</f>
        <v>438.53905437738729</v>
      </c>
      <c r="G601" s="593">
        <f t="shared" si="2186"/>
        <v>1.9943705046770852</v>
      </c>
      <c r="H601" s="593">
        <f t="shared" si="2186"/>
        <v>2.9452529805558334</v>
      </c>
      <c r="I601" s="593">
        <f t="shared" ref="I601:P601" si="2193">I509-I555</f>
        <v>4.0079020007009891</v>
      </c>
      <c r="J601" s="593">
        <f t="shared" si="2193"/>
        <v>7.0240783921021661</v>
      </c>
      <c r="K601" s="593">
        <f t="shared" si="2193"/>
        <v>25.884981058123216</v>
      </c>
      <c r="L601" s="593">
        <f t="shared" si="2193"/>
        <v>42.680549228806662</v>
      </c>
      <c r="M601" s="593">
        <f t="shared" si="2193"/>
        <v>60.224808173059301</v>
      </c>
      <c r="N601" s="593">
        <f t="shared" si="2193"/>
        <v>78.531119490869912</v>
      </c>
      <c r="O601" s="593">
        <f t="shared" si="2193"/>
        <v>97.645776029288243</v>
      </c>
      <c r="P601" s="593">
        <f t="shared" si="2193"/>
        <v>117.60021651920383</v>
      </c>
      <c r="Q601" s="593">
        <f t="shared" ref="Q601:U601" si="2194">Q509-Q555</f>
        <v>138.38735025259379</v>
      </c>
      <c r="R601" s="593">
        <f t="shared" si="2194"/>
        <v>160.06734660276376</v>
      </c>
      <c r="S601" s="593">
        <f t="shared" si="2194"/>
        <v>182.67430839582406</v>
      </c>
      <c r="T601" s="593">
        <f t="shared" si="2194"/>
        <v>206.24355410237109</v>
      </c>
      <c r="U601" s="593">
        <f t="shared" si="2194"/>
        <v>230.76017117722876</v>
      </c>
      <c r="W601" s="563" t="str">
        <v>Lääne-Eesti</v>
      </c>
      <c r="X601" s="592">
        <f t="shared" ref="X601:X604" si="2195">SUM(Y601:AH601)</f>
        <v>156.64083039572026</v>
      </c>
      <c r="Y601" s="593">
        <f t="shared" ref="Y601" si="2196">Y509-Y555</f>
        <v>1.0150288746716596</v>
      </c>
      <c r="Z601" s="593">
        <f t="shared" ref="Z601:AH601" si="2197">Z509-Z555</f>
        <v>1.3282590468895248</v>
      </c>
      <c r="AA601" s="593">
        <f t="shared" si="2197"/>
        <v>1.6266417378953986</v>
      </c>
      <c r="AB601" s="593">
        <f t="shared" si="2197"/>
        <v>3.7174905735827388</v>
      </c>
      <c r="AC601" s="593">
        <f t="shared" si="2197"/>
        <v>8.8920511775619087</v>
      </c>
      <c r="AD601" s="593">
        <f t="shared" si="2197"/>
        <v>12.909079303686017</v>
      </c>
      <c r="AE601" s="593">
        <f t="shared" si="2197"/>
        <v>24.544036209870942</v>
      </c>
      <c r="AF601" s="593">
        <f t="shared" si="2197"/>
        <v>29.083402744719692</v>
      </c>
      <c r="AG601" s="593">
        <f t="shared" si="2197"/>
        <v>34.069111968224384</v>
      </c>
      <c r="AH601" s="593">
        <f t="shared" si="2197"/>
        <v>39.455728758617994</v>
      </c>
      <c r="AI601" s="593">
        <f t="shared" ref="AI601:AM601" si="2198">AI509-AI555</f>
        <v>44.867295372666597</v>
      </c>
      <c r="AJ601" s="593">
        <f t="shared" si="2198"/>
        <v>50.533033539383496</v>
      </c>
      <c r="AK601" s="593">
        <f t="shared" si="2198"/>
        <v>56.463875838761801</v>
      </c>
      <c r="AL601" s="593">
        <f t="shared" si="2198"/>
        <v>62.671199561801224</v>
      </c>
      <c r="AM601" s="593">
        <f t="shared" si="2198"/>
        <v>69.170524707631316</v>
      </c>
    </row>
    <row r="602" spans="3:39" hidden="1" outlineLevel="1" x14ac:dyDescent="0.3">
      <c r="C602" s="587" t="str">
        <f t="shared" si="2191"/>
        <v>VA</v>
      </c>
      <c r="E602" s="563" t="s">
        <v>52</v>
      </c>
      <c r="F602" s="592">
        <f t="shared" si="2192"/>
        <v>135.61029456276782</v>
      </c>
      <c r="G602" s="593">
        <f t="shared" si="2186"/>
        <v>2.5301893657963501</v>
      </c>
      <c r="H602" s="593">
        <f t="shared" si="2186"/>
        <v>2.7966430199217065</v>
      </c>
      <c r="I602" s="593">
        <f t="shared" ref="I602:P602" si="2199">I510-I556</f>
        <v>3.0765195289919216</v>
      </c>
      <c r="J602" s="593">
        <f t="shared" si="2199"/>
        <v>4.6806678030516427</v>
      </c>
      <c r="K602" s="593">
        <f t="shared" si="2199"/>
        <v>9.3792538818801923</v>
      </c>
      <c r="L602" s="593">
        <f t="shared" si="2199"/>
        <v>13.550777373318157</v>
      </c>
      <c r="M602" s="593">
        <f t="shared" si="2199"/>
        <v>17.90092839197996</v>
      </c>
      <c r="N602" s="593">
        <f t="shared" si="2199"/>
        <v>22.436651876237704</v>
      </c>
      <c r="O602" s="593">
        <f t="shared" si="2199"/>
        <v>27.16507671004646</v>
      </c>
      <c r="P602" s="593">
        <f t="shared" si="2199"/>
        <v>32.093586611543714</v>
      </c>
      <c r="Q602" s="593">
        <f t="shared" ref="Q602:U602" si="2200">Q510-Q556</f>
        <v>37.239950365003914</v>
      </c>
      <c r="R602" s="593">
        <f t="shared" si="2200"/>
        <v>42.605423154209596</v>
      </c>
      <c r="S602" s="593">
        <f t="shared" si="2200"/>
        <v>48.198410300671583</v>
      </c>
      <c r="T602" s="593">
        <f t="shared" si="2200"/>
        <v>54.02761844603593</v>
      </c>
      <c r="U602" s="593">
        <f t="shared" si="2200"/>
        <v>60.145690744397314</v>
      </c>
      <c r="W602" s="563" t="str">
        <v>Kirde-Eesti</v>
      </c>
      <c r="X602" s="592">
        <f t="shared" si="2195"/>
        <v>114.79119562718344</v>
      </c>
      <c r="Y602" s="593">
        <f t="shared" ref="Y602" si="2201">Y510-Y556</f>
        <v>1.2434285722947511</v>
      </c>
      <c r="Z602" s="593">
        <f t="shared" ref="Z602:AH602" si="2202">Z510-Z556</f>
        <v>1.5444687798428944</v>
      </c>
      <c r="AA602" s="593">
        <f t="shared" si="2202"/>
        <v>1.7957446924047273</v>
      </c>
      <c r="AB602" s="593">
        <f t="shared" si="2202"/>
        <v>3.7684309450220979</v>
      </c>
      <c r="AC602" s="593">
        <f t="shared" si="2202"/>
        <v>8.1957022608018395</v>
      </c>
      <c r="AD602" s="593">
        <f t="shared" si="2202"/>
        <v>11.774101780479674</v>
      </c>
      <c r="AE602" s="593">
        <f t="shared" si="2202"/>
        <v>15.503363486740074</v>
      </c>
      <c r="AF602" s="593">
        <f t="shared" si="2202"/>
        <v>19.230061637028058</v>
      </c>
      <c r="AG602" s="593">
        <f t="shared" si="2202"/>
        <v>23.499313182975428</v>
      </c>
      <c r="AH602" s="593">
        <f t="shared" si="2202"/>
        <v>28.236580289593896</v>
      </c>
      <c r="AI602" s="593">
        <f t="shared" ref="AI602:AM602" si="2203">AI510-AI556</f>
        <v>33.151600335113123</v>
      </c>
      <c r="AJ602" s="593">
        <f t="shared" si="2203"/>
        <v>38.312013506470876</v>
      </c>
      <c r="AK602" s="593">
        <f t="shared" si="2203"/>
        <v>43.728977631455898</v>
      </c>
      <c r="AL602" s="593">
        <f t="shared" si="2203"/>
        <v>49.414129770234609</v>
      </c>
      <c r="AM602" s="593">
        <f t="shared" si="2203"/>
        <v>55.37550211121782</v>
      </c>
    </row>
    <row r="603" spans="3:39" hidden="1" outlineLevel="1" x14ac:dyDescent="0.3">
      <c r="C603" s="587" t="str">
        <f t="shared" si="2191"/>
        <v>VA</v>
      </c>
      <c r="E603" s="563" t="s">
        <v>53</v>
      </c>
      <c r="F603" s="592">
        <f t="shared" si="2192"/>
        <v>292.97411993870429</v>
      </c>
      <c r="G603" s="593">
        <f t="shared" si="2186"/>
        <v>0.92040670108240952</v>
      </c>
      <c r="H603" s="593">
        <f t="shared" si="2186"/>
        <v>2.1312364868450873</v>
      </c>
      <c r="I603" s="593">
        <f t="shared" ref="I603:P603" si="2204">I511-I557</f>
        <v>3.1300806113345483</v>
      </c>
      <c r="J603" s="593">
        <f t="shared" si="2204"/>
        <v>12.687846783568855</v>
      </c>
      <c r="K603" s="593">
        <f t="shared" si="2204"/>
        <v>25.21163986272515</v>
      </c>
      <c r="L603" s="593">
        <f t="shared" si="2204"/>
        <v>29.211046959305591</v>
      </c>
      <c r="M603" s="593">
        <f t="shared" si="2204"/>
        <v>47.953869084504426</v>
      </c>
      <c r="N603" s="593">
        <f t="shared" si="2204"/>
        <v>52.490631453632446</v>
      </c>
      <c r="O603" s="593">
        <f t="shared" si="2204"/>
        <v>57.187026173421593</v>
      </c>
      <c r="P603" s="593">
        <f t="shared" si="2204"/>
        <v>62.050335822284168</v>
      </c>
      <c r="Q603" s="593">
        <f t="shared" ref="Q603:U603" si="2205">Q511-Q557</f>
        <v>65.089336634090245</v>
      </c>
      <c r="R603" s="593">
        <f t="shared" si="2205"/>
        <v>68.234502338969691</v>
      </c>
      <c r="S603" s="593">
        <f t="shared" si="2205"/>
        <v>71.490091331933726</v>
      </c>
      <c r="T603" s="593">
        <f t="shared" si="2205"/>
        <v>74.860522628776323</v>
      </c>
      <c r="U603" s="593">
        <f t="shared" si="2205"/>
        <v>78.350381699342563</v>
      </c>
      <c r="W603" s="563" t="str">
        <v>Lõuna-Eesti </v>
      </c>
      <c r="X603" s="592">
        <f t="shared" si="2195"/>
        <v>264.22385413324679</v>
      </c>
      <c r="Y603" s="593">
        <f t="shared" ref="Y603" si="2206">Y511-Y557</f>
        <v>2.5952219000400953</v>
      </c>
      <c r="Z603" s="593">
        <f t="shared" ref="Z603:AH603" si="2207">Z511-Z557</f>
        <v>3.3005322434271234</v>
      </c>
      <c r="AA603" s="593">
        <f t="shared" si="2207"/>
        <v>3.9641162516633912</v>
      </c>
      <c r="AB603" s="593">
        <f t="shared" si="2207"/>
        <v>8.6749853032412467</v>
      </c>
      <c r="AC603" s="593">
        <f t="shared" si="2207"/>
        <v>19.220832666381359</v>
      </c>
      <c r="AD603" s="593">
        <f t="shared" si="2207"/>
        <v>27.215151235004605</v>
      </c>
      <c r="AE603" s="593">
        <f t="shared" si="2207"/>
        <v>35.808405112072698</v>
      </c>
      <c r="AF603" s="593">
        <f t="shared" si="2207"/>
        <v>44.52046264264736</v>
      </c>
      <c r="AG603" s="593">
        <f t="shared" si="2207"/>
        <v>54.196608902796719</v>
      </c>
      <c r="AH603" s="593">
        <f t="shared" si="2207"/>
        <v>64.727537875972175</v>
      </c>
      <c r="AI603" s="593">
        <f t="shared" ref="AI603:AM603" si="2208">AI511-AI557</f>
        <v>75.276673757616763</v>
      </c>
      <c r="AJ603" s="593">
        <f t="shared" si="2208"/>
        <v>86.33359465180645</v>
      </c>
      <c r="AK603" s="593">
        <f t="shared" si="2208"/>
        <v>97.920628460410256</v>
      </c>
      <c r="AL603" s="593">
        <f t="shared" si="2208"/>
        <v>110.0610299895333</v>
      </c>
      <c r="AM603" s="593">
        <f t="shared" si="2208"/>
        <v>122.77966571595918</v>
      </c>
    </row>
    <row r="604" spans="3:39" hidden="1" outlineLevel="1" x14ac:dyDescent="0.3">
      <c r="C604" s="587" t="str">
        <f t="shared" si="2191"/>
        <v>VA</v>
      </c>
      <c r="E604" s="563" t="s">
        <v>54</v>
      </c>
      <c r="F604" s="592">
        <f t="shared" si="2192"/>
        <v>18.253162347797911</v>
      </c>
      <c r="G604" s="593">
        <f t="shared" si="2186"/>
        <v>0.15607811711356981</v>
      </c>
      <c r="H604" s="593">
        <f t="shared" si="2186"/>
        <v>0.16477240673409629</v>
      </c>
      <c r="I604" s="593">
        <f t="shared" ref="I604:P604" si="2209">I512-I558</f>
        <v>0.17406299940577868</v>
      </c>
      <c r="J604" s="593">
        <f t="shared" si="2209"/>
        <v>0.98783916952456907</v>
      </c>
      <c r="K604" s="593">
        <f t="shared" si="2209"/>
        <v>1.4561613714740878</v>
      </c>
      <c r="L604" s="593">
        <f t="shared" si="2209"/>
        <v>1.491287711279061</v>
      </c>
      <c r="M604" s="593">
        <f t="shared" si="2209"/>
        <v>2.2471839837417726</v>
      </c>
      <c r="N604" s="593">
        <f t="shared" si="2209"/>
        <v>3.0323077685556497</v>
      </c>
      <c r="O604" s="593">
        <f t="shared" si="2209"/>
        <v>3.8479630237729268</v>
      </c>
      <c r="P604" s="593">
        <f t="shared" si="2209"/>
        <v>4.6955057961963984</v>
      </c>
      <c r="Q604" s="593">
        <f t="shared" ref="Q604:U604" si="2210">Q512-Q558</f>
        <v>4.7982144721071425</v>
      </c>
      <c r="R604" s="593">
        <f t="shared" si="2210"/>
        <v>4.9041914946201022</v>
      </c>
      <c r="S604" s="593">
        <f t="shared" si="2210"/>
        <v>5.013544242550938</v>
      </c>
      <c r="T604" s="593">
        <f t="shared" si="2210"/>
        <v>5.1263837624839121</v>
      </c>
      <c r="U604" s="593">
        <f t="shared" si="2210"/>
        <v>5.2428248985868304</v>
      </c>
      <c r="W604" s="563" t="str">
        <v>Kesk-Eesti</v>
      </c>
      <c r="X604" s="592">
        <f t="shared" si="2195"/>
        <v>114.70023978395119</v>
      </c>
      <c r="Y604" s="593">
        <f t="shared" ref="Y604" si="2211">Y512-Y558</f>
        <v>1.072895395917874</v>
      </c>
      <c r="Z604" s="593">
        <f t="shared" ref="Z604:AH604" si="2212">Z512-Z558</f>
        <v>1.3630462947733322</v>
      </c>
      <c r="AA604" s="593">
        <f t="shared" si="2212"/>
        <v>1.6389968902423635</v>
      </c>
      <c r="AB604" s="593">
        <f t="shared" si="2212"/>
        <v>3.6162907489801399</v>
      </c>
      <c r="AC604" s="593">
        <f t="shared" si="2212"/>
        <v>8.1838869378408585</v>
      </c>
      <c r="AD604" s="593">
        <f t="shared" si="2212"/>
        <v>11.694404962000645</v>
      </c>
      <c r="AE604" s="593">
        <f t="shared" si="2212"/>
        <v>15.530433518850845</v>
      </c>
      <c r="AF604" s="593">
        <f t="shared" si="2212"/>
        <v>19.421983307057801</v>
      </c>
      <c r="AG604" s="593">
        <f t="shared" si="2212"/>
        <v>23.740424616204113</v>
      </c>
      <c r="AH604" s="593">
        <f t="shared" si="2212"/>
        <v>28.437877112083221</v>
      </c>
      <c r="AI604" s="593">
        <f t="shared" ref="AI604:AM604" si="2213">AI512-AI558</f>
        <v>33.149371478595327</v>
      </c>
      <c r="AJ604" s="593">
        <f t="shared" si="2213"/>
        <v>38.087676138077136</v>
      </c>
      <c r="AK604" s="593">
        <f t="shared" si="2213"/>
        <v>43.262740641572066</v>
      </c>
      <c r="AL604" s="593">
        <f t="shared" si="2213"/>
        <v>48.684926530675618</v>
      </c>
      <c r="AM604" s="593">
        <f t="shared" si="2213"/>
        <v>54.3659940712989</v>
      </c>
    </row>
    <row r="605" spans="3:39" hidden="1" outlineLevel="1" x14ac:dyDescent="0.3">
      <c r="C605" s="587" t="str">
        <f>E605</f>
        <v>Renowave</v>
      </c>
      <c r="E605" s="555" t="str">
        <f>'EE Measures'!$II$6</f>
        <v>Renowave</v>
      </c>
      <c r="F605" s="590">
        <f>SUM(G605:P605)</f>
        <v>1607.021833548122</v>
      </c>
      <c r="G605" s="591">
        <f>SUM(G606:G610)</f>
        <v>12.615775421888975</v>
      </c>
      <c r="H605" s="591">
        <f>SUM(H606:H610)</f>
        <v>15.633719290009731</v>
      </c>
      <c r="I605" s="591">
        <f t="shared" ref="I605:P605" si="2214">SUM(I606:I610)</f>
        <v>18.337991236926303</v>
      </c>
      <c r="J605" s="591">
        <f t="shared" si="2214"/>
        <v>37.273455187394212</v>
      </c>
      <c r="K605" s="591">
        <f t="shared" si="2214"/>
        <v>105.04409732307212</v>
      </c>
      <c r="L605" s="591">
        <f t="shared" si="2214"/>
        <v>159.04016154193525</v>
      </c>
      <c r="M605" s="591">
        <f t="shared" si="2214"/>
        <v>229.58074938846866</v>
      </c>
      <c r="N605" s="591">
        <f t="shared" si="2214"/>
        <v>284.68840283136967</v>
      </c>
      <c r="O605" s="591">
        <f t="shared" si="2214"/>
        <v>342.30994887985588</v>
      </c>
      <c r="P605" s="591">
        <f t="shared" si="2214"/>
        <v>402.49753244720108</v>
      </c>
      <c r="Q605" s="591">
        <f t="shared" ref="Q605:U605" si="2215">SUM(Q606:Q610)</f>
        <v>462.55666966199249</v>
      </c>
      <c r="R605" s="591">
        <f t="shared" si="2215"/>
        <v>525.30188464435571</v>
      </c>
      <c r="S605" s="591">
        <f t="shared" si="2215"/>
        <v>590.83962154589199</v>
      </c>
      <c r="T605" s="591">
        <f t="shared" si="2215"/>
        <v>659.28023436681235</v>
      </c>
      <c r="U605" s="591">
        <f t="shared" si="2215"/>
        <v>730.69948069678503</v>
      </c>
      <c r="W605" s="555" t="str">
        <f>'EE Measures'!$II$6</f>
        <v>Renowave</v>
      </c>
      <c r="X605" s="590">
        <f>SUM(Y605:AH605)</f>
        <v>1606.6513247492426</v>
      </c>
      <c r="Y605" s="591">
        <f t="shared" ref="Y605:Z605" si="2216">SUM(Y606:Y610)</f>
        <v>12.615775421888975</v>
      </c>
      <c r="Z605" s="591">
        <f t="shared" si="2216"/>
        <v>15.633719290009735</v>
      </c>
      <c r="AA605" s="591">
        <f t="shared" ref="AA605" si="2217">SUM(AA606:AA610)</f>
        <v>18.337991236926307</v>
      </c>
      <c r="AB605" s="591">
        <f t="shared" ref="AB605" si="2218">SUM(AB606:AB610)</f>
        <v>37.273455187394227</v>
      </c>
      <c r="AC605" s="591">
        <f t="shared" ref="AC605" si="2219">SUM(AC606:AC610)</f>
        <v>105.02744464586411</v>
      </c>
      <c r="AD605" s="591">
        <f t="shared" ref="AD605" si="2220">SUM(AD606:AD610)</f>
        <v>159.00629201715154</v>
      </c>
      <c r="AE605" s="591">
        <f t="shared" ref="AE605" si="2221">SUM(AE606:AE610)</f>
        <v>229.5290691298305</v>
      </c>
      <c r="AF605" s="591">
        <f t="shared" ref="AF605" si="2222">SUM(AF606:AF610)</f>
        <v>284.61828746064714</v>
      </c>
      <c r="AG605" s="591">
        <f t="shared" ref="AG605" si="2223">SUM(AG606:AG610)</f>
        <v>342.22074271366148</v>
      </c>
      <c r="AH605" s="591">
        <f t="shared" ref="AH605:AM605" si="2224">SUM(AH606:AH610)</f>
        <v>402.38854764586853</v>
      </c>
      <c r="AI605" s="591">
        <f t="shared" si="2224"/>
        <v>462.42714216148562</v>
      </c>
      <c r="AJ605" s="591">
        <f t="shared" si="2224"/>
        <v>525.15105330367635</v>
      </c>
      <c r="AK605" s="591">
        <f t="shared" si="2224"/>
        <v>590.66669189014419</v>
      </c>
      <c r="AL605" s="591">
        <f t="shared" si="2224"/>
        <v>659.08437727219484</v>
      </c>
      <c r="AM605" s="591">
        <f t="shared" si="2224"/>
        <v>730.47983102668434</v>
      </c>
    </row>
    <row r="606" spans="3:39" hidden="1" outlineLevel="1" x14ac:dyDescent="0.3">
      <c r="C606" s="587" t="str">
        <f>C605</f>
        <v>Renowave</v>
      </c>
      <c r="E606" s="563" t="s">
        <v>50</v>
      </c>
      <c r="F606" s="592">
        <f>SUM(G606:P606)</f>
        <v>217.14136052098502</v>
      </c>
      <c r="G606" s="593">
        <f t="shared" ref="G606:H610" si="2225">G514-G560</f>
        <v>7.0147307332195599</v>
      </c>
      <c r="H606" s="593">
        <f t="shared" si="2225"/>
        <v>7.5958143959530089</v>
      </c>
      <c r="I606" s="593">
        <f t="shared" ref="I606:P606" si="2226">I514-I560</f>
        <v>7.9494260964930676</v>
      </c>
      <c r="J606" s="593">
        <f t="shared" si="2226"/>
        <v>11.893023039146986</v>
      </c>
      <c r="K606" s="593">
        <f t="shared" si="2226"/>
        <v>19.912076517413485</v>
      </c>
      <c r="L606" s="593">
        <f t="shared" si="2226"/>
        <v>26.114536535801022</v>
      </c>
      <c r="M606" s="593">
        <f t="shared" si="2226"/>
        <v>31.335380581979095</v>
      </c>
      <c r="N606" s="593">
        <f t="shared" si="2226"/>
        <v>33.169481188921914</v>
      </c>
      <c r="O606" s="593">
        <f t="shared" si="2226"/>
        <v>35.094075433386841</v>
      </c>
      <c r="P606" s="593">
        <f t="shared" si="2226"/>
        <v>37.06281599867004</v>
      </c>
      <c r="Q606" s="593">
        <f t="shared" ref="Q606:U606" si="2227">Q514-Q560</f>
        <v>39.128954367969428</v>
      </c>
      <c r="R606" s="593">
        <f t="shared" si="2227"/>
        <v>41.283661126121885</v>
      </c>
      <c r="S606" s="593">
        <f t="shared" si="2227"/>
        <v>43.53058796606804</v>
      </c>
      <c r="T606" s="593">
        <f t="shared" si="2227"/>
        <v>45.873530641300775</v>
      </c>
      <c r="U606" s="593">
        <f t="shared" si="2227"/>
        <v>48.316434510129078</v>
      </c>
      <c r="W606" s="563" t="str" cm="1">
        <f t="array" ref="W606:W610">_xlfn.ANCHORARRAY($W$357)</f>
        <v xml:space="preserve">Põhja-Eesti </v>
      </c>
      <c r="X606" s="592">
        <f>SUM(Y606:AH606)</f>
        <v>689.19669374594605</v>
      </c>
      <c r="Y606" s="593">
        <f>Y514-Y560</f>
        <v>6.6892006789645952</v>
      </c>
      <c r="Z606" s="593">
        <f>Z514-Z560</f>
        <v>8.0974129250768598</v>
      </c>
      <c r="AA606" s="593">
        <f t="shared" ref="AA606:AH606" si="2228">AA514-AA560</f>
        <v>9.3124916647204259</v>
      </c>
      <c r="AB606" s="593">
        <f t="shared" si="2228"/>
        <v>18.137125817934667</v>
      </c>
      <c r="AC606" s="593">
        <f t="shared" si="2228"/>
        <v>47.556372443377178</v>
      </c>
      <c r="AD606" s="593">
        <f t="shared" si="2228"/>
        <v>69.49096640899009</v>
      </c>
      <c r="AE606" s="593">
        <f t="shared" si="2228"/>
        <v>99.117155806968071</v>
      </c>
      <c r="AF606" s="593">
        <f t="shared" si="2228"/>
        <v>120.71229003310243</v>
      </c>
      <c r="AG606" s="593">
        <f t="shared" si="2228"/>
        <v>143.2724246583976</v>
      </c>
      <c r="AH606" s="593">
        <f t="shared" si="2228"/>
        <v>166.81125330841414</v>
      </c>
      <c r="AI606" s="593">
        <f t="shared" ref="AI606:AM606" si="2229">AI514-AI560</f>
        <v>189.57386216434892</v>
      </c>
      <c r="AJ606" s="593">
        <f t="shared" si="2229"/>
        <v>213.33871882837633</v>
      </c>
      <c r="AK606" s="593">
        <f t="shared" si="2229"/>
        <v>238.14525434219505</v>
      </c>
      <c r="AL606" s="593">
        <f t="shared" si="2229"/>
        <v>264.03434306460514</v>
      </c>
      <c r="AM606" s="593">
        <f t="shared" si="2229"/>
        <v>291.02636049598254</v>
      </c>
    </row>
    <row r="607" spans="3:39" hidden="1" outlineLevel="1" x14ac:dyDescent="0.3">
      <c r="C607" s="587" t="str">
        <f t="shared" ref="C607:C610" si="2230">C606</f>
        <v>Renowave</v>
      </c>
      <c r="E607" s="563" t="s">
        <v>51</v>
      </c>
      <c r="F607" s="592">
        <f t="shared" ref="F607:F610" si="2231">SUM(G607:P607)</f>
        <v>888.56455684246998</v>
      </c>
      <c r="G607" s="593">
        <f t="shared" si="2225"/>
        <v>1.9943705046770852</v>
      </c>
      <c r="H607" s="593">
        <f t="shared" si="2225"/>
        <v>2.9452529805558334</v>
      </c>
      <c r="I607" s="593">
        <f t="shared" ref="I607:P607" si="2232">I515-I561</f>
        <v>4.0079020007009891</v>
      </c>
      <c r="J607" s="593">
        <f t="shared" si="2232"/>
        <v>7.0240783921021661</v>
      </c>
      <c r="K607" s="593">
        <f t="shared" si="2232"/>
        <v>46.68620935321632</v>
      </c>
      <c r="L607" s="593">
        <f t="shared" si="2232"/>
        <v>83.762407658240235</v>
      </c>
      <c r="M607" s="593">
        <f t="shared" si="2232"/>
        <v>122.60472457398731</v>
      </c>
      <c r="N607" s="593">
        <f t="shared" si="2232"/>
        <v>163.27021975603799</v>
      </c>
      <c r="O607" s="593">
        <f t="shared" si="2232"/>
        <v>205.84947864190744</v>
      </c>
      <c r="P607" s="593">
        <f t="shared" si="2232"/>
        <v>250.41991298104458</v>
      </c>
      <c r="Q607" s="593">
        <f t="shared" ref="Q607:U607" si="2233">Q515-Q561</f>
        <v>296.97172222400923</v>
      </c>
      <c r="R607" s="593">
        <f t="shared" si="2233"/>
        <v>345.64764483979144</v>
      </c>
      <c r="S607" s="593">
        <f t="shared" si="2233"/>
        <v>396.53192510924225</v>
      </c>
      <c r="T607" s="593">
        <f t="shared" si="2233"/>
        <v>449.71189562190051</v>
      </c>
      <c r="U607" s="593">
        <f t="shared" si="2233"/>
        <v>505.18769275058185</v>
      </c>
      <c r="W607" s="563" t="str">
        <v>Lääne-Eesti</v>
      </c>
      <c r="X607" s="592">
        <f t="shared" ref="X607:X610" si="2234">SUM(Y607:AH607)</f>
        <v>217.28141982174287</v>
      </c>
      <c r="Y607" s="593">
        <f t="shared" ref="Y607" si="2235">Y515-Y561</f>
        <v>1.0150288746716596</v>
      </c>
      <c r="Z607" s="593">
        <f t="shared" ref="Z607:AH607" si="2236">Z515-Z561</f>
        <v>1.3282590468895248</v>
      </c>
      <c r="AA607" s="593">
        <f t="shared" si="2236"/>
        <v>1.6266417378953986</v>
      </c>
      <c r="AB607" s="593">
        <f t="shared" si="2236"/>
        <v>3.6087003440054048</v>
      </c>
      <c r="AC607" s="593">
        <f t="shared" si="2236"/>
        <v>11.829645906098127</v>
      </c>
      <c r="AD607" s="593">
        <f t="shared" si="2236"/>
        <v>18.722390623285886</v>
      </c>
      <c r="AE607" s="593">
        <f t="shared" si="2236"/>
        <v>33.294767523353578</v>
      </c>
      <c r="AF607" s="593">
        <f t="shared" si="2236"/>
        <v>40.726492220502216</v>
      </c>
      <c r="AG607" s="593">
        <f t="shared" si="2236"/>
        <v>48.501117664306804</v>
      </c>
      <c r="AH607" s="593">
        <f t="shared" si="2236"/>
        <v>56.628375880734261</v>
      </c>
      <c r="AI607" s="593">
        <f t="shared" ref="AI607:AM607" si="2237">AI515-AI561</f>
        <v>64.891148017121495</v>
      </c>
      <c r="AJ607" s="593">
        <f t="shared" si="2237"/>
        <v>73.526864297787895</v>
      </c>
      <c r="AK607" s="593">
        <f t="shared" si="2237"/>
        <v>82.550370577302743</v>
      </c>
      <c r="AL607" s="593">
        <f t="shared" si="2237"/>
        <v>91.97705897793054</v>
      </c>
      <c r="AM607" s="593">
        <f t="shared" si="2237"/>
        <v>101.8239437955616</v>
      </c>
    </row>
    <row r="608" spans="3:39" hidden="1" outlineLevel="1" x14ac:dyDescent="0.3">
      <c r="C608" s="587" t="str">
        <f t="shared" si="2230"/>
        <v>Renowave</v>
      </c>
      <c r="E608" s="563" t="s">
        <v>52</v>
      </c>
      <c r="F608" s="592">
        <f t="shared" si="2231"/>
        <v>190.08863389816466</v>
      </c>
      <c r="G608" s="593">
        <f t="shared" si="2225"/>
        <v>2.5301893657963501</v>
      </c>
      <c r="H608" s="593">
        <f t="shared" si="2225"/>
        <v>2.7966430199217065</v>
      </c>
      <c r="I608" s="593">
        <f t="shared" ref="I608:P608" si="2238">I516-I562</f>
        <v>3.0765195289919216</v>
      </c>
      <c r="J608" s="593">
        <f t="shared" si="2238"/>
        <v>4.6806678030516427</v>
      </c>
      <c r="K608" s="593">
        <f t="shared" si="2238"/>
        <v>11.778010218243082</v>
      </c>
      <c r="L608" s="593">
        <f t="shared" si="2238"/>
        <v>18.460882677309332</v>
      </c>
      <c r="M608" s="593">
        <f t="shared" si="2238"/>
        <v>25.439591164256051</v>
      </c>
      <c r="N608" s="593">
        <f t="shared" si="2238"/>
        <v>32.725762664221662</v>
      </c>
      <c r="O608" s="593">
        <f t="shared" si="2238"/>
        <v>40.331405607367046</v>
      </c>
      <c r="P608" s="593">
        <f t="shared" si="2238"/>
        <v>48.268961849005876</v>
      </c>
      <c r="Q608" s="593">
        <f t="shared" ref="Q608:U608" si="2239">Q516-Q562</f>
        <v>56.568441963816468</v>
      </c>
      <c r="R608" s="593">
        <f t="shared" si="2239"/>
        <v>65.231884844852516</v>
      </c>
      <c r="S608" s="593">
        <f t="shared" si="2239"/>
        <v>74.273472896097132</v>
      </c>
      <c r="T608" s="593">
        <f t="shared" si="2239"/>
        <v>83.707901712350889</v>
      </c>
      <c r="U608" s="593">
        <f t="shared" si="2239"/>
        <v>93.602146838144748</v>
      </c>
      <c r="W608" s="563" t="str">
        <v>Kirde-Eesti</v>
      </c>
      <c r="X608" s="592">
        <f t="shared" si="2234"/>
        <v>156.40798444324207</v>
      </c>
      <c r="Y608" s="593">
        <f t="shared" ref="Y608" si="2240">Y516-Y562</f>
        <v>1.2434285722947511</v>
      </c>
      <c r="Z608" s="593">
        <f t="shared" ref="Z608:AH608" si="2241">Z516-Z562</f>
        <v>1.5444687798428944</v>
      </c>
      <c r="AA608" s="593">
        <f t="shared" si="2241"/>
        <v>1.7957446924047273</v>
      </c>
      <c r="AB608" s="593">
        <f t="shared" si="2241"/>
        <v>3.6028374835951396</v>
      </c>
      <c r="AC608" s="593">
        <f t="shared" si="2241"/>
        <v>10.18469860012156</v>
      </c>
      <c r="AD608" s="593">
        <f t="shared" si="2241"/>
        <v>15.913989485258593</v>
      </c>
      <c r="AE608" s="593">
        <f t="shared" si="2241"/>
        <v>21.772073320501566</v>
      </c>
      <c r="AF608" s="593">
        <f t="shared" si="2241"/>
        <v>27.43793586472697</v>
      </c>
      <c r="AG608" s="593">
        <f t="shared" si="2241"/>
        <v>33.36262818322524</v>
      </c>
      <c r="AH608" s="593">
        <f t="shared" si="2241"/>
        <v>39.550179461270623</v>
      </c>
      <c r="AI608" s="593">
        <f t="shared" ref="AI608:AM608" si="2242">AI516-AI562</f>
        <v>45.948228383115882</v>
      </c>
      <c r="AJ608" s="593">
        <f t="shared" si="2242"/>
        <v>52.629977961671976</v>
      </c>
      <c r="AK608" s="593">
        <f t="shared" si="2242"/>
        <v>59.606548883857577</v>
      </c>
      <c r="AL608" s="593">
        <f t="shared" si="2242"/>
        <v>66.889466714831684</v>
      </c>
      <c r="AM608" s="593">
        <f t="shared" si="2242"/>
        <v>74.481269655286013</v>
      </c>
    </row>
    <row r="609" spans="3:39" hidden="1" outlineLevel="1" x14ac:dyDescent="0.3">
      <c r="C609" s="587" t="str">
        <f t="shared" si="2230"/>
        <v>Renowave</v>
      </c>
      <c r="E609" s="563" t="s">
        <v>53</v>
      </c>
      <c r="F609" s="592">
        <f t="shared" si="2231"/>
        <v>292.97411993870429</v>
      </c>
      <c r="G609" s="593">
        <f t="shared" si="2225"/>
        <v>0.92040670108240952</v>
      </c>
      <c r="H609" s="593">
        <f t="shared" si="2225"/>
        <v>2.1312364868450873</v>
      </c>
      <c r="I609" s="593">
        <f t="shared" ref="I609:P609" si="2243">I517-I563</f>
        <v>3.1300806113345483</v>
      </c>
      <c r="J609" s="593">
        <f t="shared" si="2243"/>
        <v>12.687846783568855</v>
      </c>
      <c r="K609" s="593">
        <f t="shared" si="2243"/>
        <v>25.21163986272515</v>
      </c>
      <c r="L609" s="593">
        <f t="shared" si="2243"/>
        <v>29.211046959305591</v>
      </c>
      <c r="M609" s="593">
        <f t="shared" si="2243"/>
        <v>47.953869084504426</v>
      </c>
      <c r="N609" s="593">
        <f t="shared" si="2243"/>
        <v>52.490631453632446</v>
      </c>
      <c r="O609" s="593">
        <f t="shared" si="2243"/>
        <v>57.187026173421593</v>
      </c>
      <c r="P609" s="593">
        <f t="shared" si="2243"/>
        <v>62.050335822284168</v>
      </c>
      <c r="Q609" s="593">
        <f t="shared" ref="Q609:U609" si="2244">Q517-Q563</f>
        <v>65.089336634090245</v>
      </c>
      <c r="R609" s="593">
        <f t="shared" si="2244"/>
        <v>68.234502338969691</v>
      </c>
      <c r="S609" s="593">
        <f t="shared" si="2244"/>
        <v>71.490091331933726</v>
      </c>
      <c r="T609" s="593">
        <f t="shared" si="2244"/>
        <v>74.860522628776323</v>
      </c>
      <c r="U609" s="593">
        <f t="shared" si="2244"/>
        <v>78.350381699342563</v>
      </c>
      <c r="W609" s="563" t="str">
        <v>Lõuna-Eesti </v>
      </c>
      <c r="X609" s="592">
        <f t="shared" si="2234"/>
        <v>377.39289705534117</v>
      </c>
      <c r="Y609" s="593">
        <f t="shared" ref="Y609" si="2245">Y517-Y563</f>
        <v>2.5952219000400953</v>
      </c>
      <c r="Z609" s="593">
        <f t="shared" ref="Z609:AH609" si="2246">Z517-Z563</f>
        <v>3.3005322434271234</v>
      </c>
      <c r="AA609" s="593">
        <f t="shared" si="2246"/>
        <v>3.9641162516633912</v>
      </c>
      <c r="AB609" s="593">
        <f t="shared" si="2246"/>
        <v>8.4203301434529205</v>
      </c>
      <c r="AC609" s="593">
        <f t="shared" si="2246"/>
        <v>24.748040913307996</v>
      </c>
      <c r="AD609" s="593">
        <f t="shared" si="2246"/>
        <v>38.183776180186001</v>
      </c>
      <c r="AE609" s="593">
        <f t="shared" si="2246"/>
        <v>52.298321740689836</v>
      </c>
      <c r="AF609" s="593">
        <f t="shared" si="2246"/>
        <v>66.358884322422526</v>
      </c>
      <c r="AG609" s="593">
        <f t="shared" si="2246"/>
        <v>81.071275247876315</v>
      </c>
      <c r="AH609" s="593">
        <f t="shared" si="2246"/>
        <v>96.452398112274963</v>
      </c>
      <c r="AI609" s="593">
        <f t="shared" ref="AI609:AM609" si="2247">AI517-AI563</f>
        <v>112.03475030258394</v>
      </c>
      <c r="AJ609" s="593">
        <f t="shared" si="2247"/>
        <v>128.3237957719995</v>
      </c>
      <c r="AK609" s="593">
        <f t="shared" si="2247"/>
        <v>145.3477688046836</v>
      </c>
      <c r="AL609" s="593">
        <f t="shared" si="2247"/>
        <v>163.13594603521631</v>
      </c>
      <c r="AM609" s="593">
        <f t="shared" si="2247"/>
        <v>181.71233739381717</v>
      </c>
    </row>
    <row r="610" spans="3:39" hidden="1" outlineLevel="1" x14ac:dyDescent="0.3">
      <c r="C610" s="587" t="str">
        <f t="shared" si="2230"/>
        <v>Renowave</v>
      </c>
      <c r="E610" s="563" t="s">
        <v>54</v>
      </c>
      <c r="F610" s="592">
        <f t="shared" si="2231"/>
        <v>18.253162347797911</v>
      </c>
      <c r="G610" s="593">
        <f t="shared" si="2225"/>
        <v>0.15607811711356981</v>
      </c>
      <c r="H610" s="593">
        <f t="shared" si="2225"/>
        <v>0.16477240673409629</v>
      </c>
      <c r="I610" s="593">
        <f t="shared" ref="I610:P610" si="2248">I518-I564</f>
        <v>0.17406299940577868</v>
      </c>
      <c r="J610" s="593">
        <f t="shared" si="2248"/>
        <v>0.98783916952456907</v>
      </c>
      <c r="K610" s="593">
        <f t="shared" si="2248"/>
        <v>1.4561613714740878</v>
      </c>
      <c r="L610" s="593">
        <f t="shared" si="2248"/>
        <v>1.491287711279061</v>
      </c>
      <c r="M610" s="593">
        <f t="shared" si="2248"/>
        <v>2.2471839837417726</v>
      </c>
      <c r="N610" s="593">
        <f t="shared" si="2248"/>
        <v>3.0323077685556497</v>
      </c>
      <c r="O610" s="593">
        <f t="shared" si="2248"/>
        <v>3.8479630237729268</v>
      </c>
      <c r="P610" s="593">
        <f t="shared" si="2248"/>
        <v>4.6955057961963984</v>
      </c>
      <c r="Q610" s="593">
        <f t="shared" ref="Q610:U610" si="2249">Q518-Q564</f>
        <v>4.7982144721071425</v>
      </c>
      <c r="R610" s="593">
        <f t="shared" si="2249"/>
        <v>4.9041914946201022</v>
      </c>
      <c r="S610" s="593">
        <f t="shared" si="2249"/>
        <v>5.013544242550938</v>
      </c>
      <c r="T610" s="593">
        <f t="shared" si="2249"/>
        <v>5.1263837624839121</v>
      </c>
      <c r="U610" s="593">
        <f t="shared" si="2249"/>
        <v>5.2428248985868304</v>
      </c>
      <c r="W610" s="563" t="str">
        <v>Kesk-Eesti</v>
      </c>
      <c r="X610" s="592">
        <f t="shared" si="2234"/>
        <v>166.37232968297036</v>
      </c>
      <c r="Y610" s="593">
        <f t="shared" ref="Y610" si="2250">Y518-Y564</f>
        <v>1.072895395917874</v>
      </c>
      <c r="Z610" s="593">
        <f t="shared" ref="Z610:AH610" si="2251">Z518-Z564</f>
        <v>1.3630462947733322</v>
      </c>
      <c r="AA610" s="593">
        <f t="shared" si="2251"/>
        <v>1.6389968902423635</v>
      </c>
      <c r="AB610" s="593">
        <f t="shared" si="2251"/>
        <v>3.5044613984060899</v>
      </c>
      <c r="AC610" s="593">
        <f t="shared" si="2251"/>
        <v>10.708686782959228</v>
      </c>
      <c r="AD610" s="593">
        <f t="shared" si="2251"/>
        <v>16.695169319430963</v>
      </c>
      <c r="AE610" s="593">
        <f t="shared" si="2251"/>
        <v>23.04675073831746</v>
      </c>
      <c r="AF610" s="593">
        <f t="shared" si="2251"/>
        <v>29.382685019892996</v>
      </c>
      <c r="AG610" s="593">
        <f t="shared" si="2251"/>
        <v>36.013296959855566</v>
      </c>
      <c r="AH610" s="593">
        <f t="shared" si="2251"/>
        <v>42.946340883174507</v>
      </c>
      <c r="AI610" s="593">
        <f t="shared" ref="AI610:AM610" si="2252">AI518-AI564</f>
        <v>49.97915329431536</v>
      </c>
      <c r="AJ610" s="593">
        <f t="shared" si="2252"/>
        <v>57.331696443840706</v>
      </c>
      <c r="AK610" s="593">
        <f t="shared" si="2252"/>
        <v>65.016749282105309</v>
      </c>
      <c r="AL610" s="593">
        <f t="shared" si="2252"/>
        <v>73.047562479611173</v>
      </c>
      <c r="AM610" s="593">
        <f t="shared" si="2252"/>
        <v>81.435919686036982</v>
      </c>
    </row>
    <row r="611" spans="3:39" hidden="1" outlineLevel="1" x14ac:dyDescent="0.3">
      <c r="C611" s="587" t="str">
        <f>E611</f>
        <v>EET</v>
      </c>
      <c r="E611" s="555" t="str">
        <f>'EE Measures'!$IJ$6</f>
        <v>EET</v>
      </c>
      <c r="F611" s="590">
        <f>SUM(G611:P611)</f>
        <v>1589.0557296530287</v>
      </c>
      <c r="G611" s="591">
        <f>SUM(G612:G616)</f>
        <v>12.615775421888975</v>
      </c>
      <c r="H611" s="591">
        <f>SUM(H612:H616)</f>
        <v>16.225170205523188</v>
      </c>
      <c r="I611" s="591">
        <f t="shared" ref="I611:P611" si="2253">SUM(I612:I616)</f>
        <v>19.54165631356236</v>
      </c>
      <c r="J611" s="591">
        <f t="shared" si="2253"/>
        <v>39.212002847030298</v>
      </c>
      <c r="K611" s="591">
        <f t="shared" si="2253"/>
        <v>99.938676273439071</v>
      </c>
      <c r="L611" s="591">
        <f t="shared" si="2253"/>
        <v>139.69317600371127</v>
      </c>
      <c r="M611" s="591">
        <f t="shared" si="2253"/>
        <v>253.56998341287567</v>
      </c>
      <c r="N611" s="591">
        <f t="shared" si="2253"/>
        <v>293.73415570660342</v>
      </c>
      <c r="O611" s="591">
        <f t="shared" si="2253"/>
        <v>335.5347636991317</v>
      </c>
      <c r="P611" s="591">
        <f t="shared" si="2253"/>
        <v>378.99036976926271</v>
      </c>
      <c r="Q611" s="591">
        <f t="shared" ref="Q611:U611" si="2254">SUM(Q612:Q616)</f>
        <v>413.40725196477058</v>
      </c>
      <c r="R611" s="591">
        <f t="shared" si="2254"/>
        <v>449.23993834861341</v>
      </c>
      <c r="S611" s="591">
        <f t="shared" si="2254"/>
        <v>486.54360584646167</v>
      </c>
      <c r="T611" s="591">
        <f t="shared" si="2254"/>
        <v>525.37544680357394</v>
      </c>
      <c r="U611" s="591">
        <f t="shared" si="2254"/>
        <v>565.79640965559429</v>
      </c>
      <c r="W611" s="555" t="str">
        <f>'EE Measures'!$IJ$6</f>
        <v>EET</v>
      </c>
      <c r="X611" s="590">
        <f>SUM(Y611:AH611)</f>
        <v>1588.1294576558298</v>
      </c>
      <c r="Y611" s="591">
        <f t="shared" ref="Y611:Z611" si="2255">SUM(Y612:Y616)</f>
        <v>12.615775421888975</v>
      </c>
      <c r="Z611" s="591">
        <f t="shared" si="2255"/>
        <v>16.225170205523192</v>
      </c>
      <c r="AA611" s="591">
        <f t="shared" ref="AA611" si="2256">SUM(AA612:AA616)</f>
        <v>19.541656313562363</v>
      </c>
      <c r="AB611" s="591">
        <f t="shared" ref="AB611" si="2257">SUM(AB612:AB616)</f>
        <v>39.212002847030305</v>
      </c>
      <c r="AC611" s="591">
        <f t="shared" ref="AC611" si="2258">SUM(AC612:AC616)</f>
        <v>99.897044580418992</v>
      </c>
      <c r="AD611" s="591">
        <f t="shared" ref="AD611" si="2259">SUM(AD612:AD616)</f>
        <v>139.60850219175191</v>
      </c>
      <c r="AE611" s="591">
        <f t="shared" ref="AE611" si="2260">SUM(AE612:AE616)</f>
        <v>253.44078276628028</v>
      </c>
      <c r="AF611" s="591">
        <f t="shared" ref="AF611" si="2261">SUM(AF612:AF616)</f>
        <v>293.55886727979714</v>
      </c>
      <c r="AG611" s="591">
        <f t="shared" ref="AG611" si="2262">SUM(AG612:AG616)</f>
        <v>335.31174828364578</v>
      </c>
      <c r="AH611" s="591">
        <f t="shared" ref="AH611:AM611" si="2263">SUM(AH612:AH616)</f>
        <v>378.71790776593099</v>
      </c>
      <c r="AI611" s="591">
        <f t="shared" si="2263"/>
        <v>413.08343321350327</v>
      </c>
      <c r="AJ611" s="591">
        <f t="shared" si="2263"/>
        <v>448.86285999691523</v>
      </c>
      <c r="AK611" s="591">
        <f t="shared" si="2263"/>
        <v>486.11128170709219</v>
      </c>
      <c r="AL611" s="591">
        <f t="shared" si="2263"/>
        <v>524.88580406702999</v>
      </c>
      <c r="AM611" s="591">
        <f t="shared" si="2263"/>
        <v>565.24728548034182</v>
      </c>
    </row>
    <row r="612" spans="3:39" hidden="1" outlineLevel="1" x14ac:dyDescent="0.3">
      <c r="C612" s="587" t="str">
        <f>C611</f>
        <v>EET</v>
      </c>
      <c r="E612" s="563" t="s">
        <v>50</v>
      </c>
      <c r="F612" s="592">
        <f>SUM(G612:P612)</f>
        <v>217.14136052098502</v>
      </c>
      <c r="G612" s="593">
        <f t="shared" ref="G612:H616" si="2264">G520-G566</f>
        <v>7.0147307332195599</v>
      </c>
      <c r="H612" s="593">
        <f t="shared" si="2264"/>
        <v>7.5958143959530089</v>
      </c>
      <c r="I612" s="593">
        <f t="shared" ref="I612:P612" si="2265">I520-I566</f>
        <v>7.9494260964930676</v>
      </c>
      <c r="J612" s="593">
        <f t="shared" si="2265"/>
        <v>11.893023039146986</v>
      </c>
      <c r="K612" s="593">
        <f t="shared" si="2265"/>
        <v>19.912076517413485</v>
      </c>
      <c r="L612" s="593">
        <f t="shared" si="2265"/>
        <v>26.114536535801022</v>
      </c>
      <c r="M612" s="593">
        <f t="shared" si="2265"/>
        <v>31.335380581979095</v>
      </c>
      <c r="N612" s="593">
        <f t="shared" si="2265"/>
        <v>33.169481188921914</v>
      </c>
      <c r="O612" s="593">
        <f t="shared" si="2265"/>
        <v>35.094075433386841</v>
      </c>
      <c r="P612" s="593">
        <f t="shared" si="2265"/>
        <v>37.06281599867004</v>
      </c>
      <c r="Q612" s="593">
        <f t="shared" ref="Q612:U612" si="2266">Q520-Q566</f>
        <v>39.128954367969428</v>
      </c>
      <c r="R612" s="593">
        <f t="shared" si="2266"/>
        <v>41.283661126121885</v>
      </c>
      <c r="S612" s="593">
        <f t="shared" si="2266"/>
        <v>43.53058796606804</v>
      </c>
      <c r="T612" s="593">
        <f t="shared" si="2266"/>
        <v>45.873530641300775</v>
      </c>
      <c r="U612" s="593">
        <f t="shared" si="2266"/>
        <v>48.316434510129078</v>
      </c>
      <c r="W612" s="563" t="str" cm="1">
        <f t="array" ref="W612:W616">_xlfn.ANCHORARRAY($W$357)</f>
        <v xml:space="preserve">Põhja-Eesti </v>
      </c>
      <c r="X612" s="592">
        <f>SUM(Y612:AH612)</f>
        <v>834.97892352806775</v>
      </c>
      <c r="Y612" s="593">
        <f>Y520-Y566</f>
        <v>6.6892006789645952</v>
      </c>
      <c r="Z612" s="593">
        <f>Z520-Z566</f>
        <v>8.3737106446249072</v>
      </c>
      <c r="AA612" s="593">
        <f t="shared" ref="AA612:AH612" si="2267">AA520-AA566</f>
        <v>9.8747867040060662</v>
      </c>
      <c r="AB612" s="593">
        <f t="shared" si="2267"/>
        <v>19.042723025655054</v>
      </c>
      <c r="AC612" s="593">
        <f t="shared" si="2267"/>
        <v>54.387810225043644</v>
      </c>
      <c r="AD612" s="593">
        <f t="shared" si="2267"/>
        <v>75.405358952625932</v>
      </c>
      <c r="AE612" s="593">
        <f t="shared" si="2267"/>
        <v>133.17045543274156</v>
      </c>
      <c r="AF612" s="593">
        <f t="shared" si="2267"/>
        <v>154.04397324349532</v>
      </c>
      <c r="AG612" s="593">
        <f t="shared" si="2267"/>
        <v>175.73562698951267</v>
      </c>
      <c r="AH612" s="593">
        <f t="shared" si="2267"/>
        <v>198.25527763139809</v>
      </c>
      <c r="AI612" s="593">
        <f t="shared" ref="AI612:AM612" si="2268">AI520-AI566</f>
        <v>212.89586134288822</v>
      </c>
      <c r="AJ612" s="593">
        <f t="shared" si="2268"/>
        <v>228.12233206926203</v>
      </c>
      <c r="AK612" s="593">
        <f t="shared" si="2268"/>
        <v>243.95736227103305</v>
      </c>
      <c r="AL612" s="593">
        <f t="shared" si="2268"/>
        <v>260.42445163110875</v>
      </c>
      <c r="AM612" s="593">
        <f t="shared" si="2268"/>
        <v>277.5433831766976</v>
      </c>
    </row>
    <row r="613" spans="3:39" hidden="1" outlineLevel="1" x14ac:dyDescent="0.3">
      <c r="C613" s="587" t="str">
        <f t="shared" ref="C613:C616" si="2269">C612</f>
        <v>EET</v>
      </c>
      <c r="E613" s="563" t="s">
        <v>51</v>
      </c>
      <c r="F613" s="592">
        <f t="shared" ref="F613:F616" si="2270">SUM(G613:P613)</f>
        <v>396.98518215498808</v>
      </c>
      <c r="G613" s="593">
        <f t="shared" si="2264"/>
        <v>1.9943705046770852</v>
      </c>
      <c r="H613" s="593">
        <f t="shared" si="2264"/>
        <v>2.9452529805558334</v>
      </c>
      <c r="I613" s="593">
        <f t="shared" ref="I613:P613" si="2271">I521-I567</f>
        <v>4.0079020007009891</v>
      </c>
      <c r="J613" s="593">
        <f t="shared" si="2271"/>
        <v>7.0240783921021661</v>
      </c>
      <c r="K613" s="593">
        <f t="shared" si="2271"/>
        <v>24.029589613630524</v>
      </c>
      <c r="L613" s="593">
        <f t="shared" si="2271"/>
        <v>38.898061654672418</v>
      </c>
      <c r="M613" s="593">
        <f t="shared" si="2271"/>
        <v>54.441406106708968</v>
      </c>
      <c r="N613" s="593">
        <f t="shared" si="2271"/>
        <v>70.670401190120344</v>
      </c>
      <c r="O613" s="593">
        <f t="shared" si="2271"/>
        <v>87.628779312394485</v>
      </c>
      <c r="P613" s="593">
        <f t="shared" si="2271"/>
        <v>105.34534039942527</v>
      </c>
      <c r="Q613" s="593">
        <f t="shared" ref="Q613:U613" si="2272">Q521-Q567</f>
        <v>123.81496215048814</v>
      </c>
      <c r="R613" s="593">
        <f t="shared" si="2272"/>
        <v>143.0918724892145</v>
      </c>
      <c r="S613" s="593">
        <f t="shared" si="2272"/>
        <v>163.20737186565125</v>
      </c>
      <c r="T613" s="593">
        <f t="shared" si="2272"/>
        <v>184.19389152339639</v>
      </c>
      <c r="U613" s="593">
        <f t="shared" si="2272"/>
        <v>206.04307768164705</v>
      </c>
      <c r="W613" s="563" t="str">
        <v>Lääne-Eesti</v>
      </c>
      <c r="X613" s="592">
        <f t="shared" ref="X613:X616" si="2273">SUM(Y613:AH613)</f>
        <v>275.27020672827695</v>
      </c>
      <c r="Y613" s="593">
        <f t="shared" ref="Y613" si="2274">Y521-Y567</f>
        <v>1.0150288746716596</v>
      </c>
      <c r="Z613" s="593">
        <f t="shared" ref="Z613:AH613" si="2275">Z521-Z567</f>
        <v>1.3925616300538586</v>
      </c>
      <c r="AA613" s="593">
        <f t="shared" si="2275"/>
        <v>1.7575042856779173</v>
      </c>
      <c r="AB613" s="593">
        <f t="shared" si="2275"/>
        <v>3.8194593754519244</v>
      </c>
      <c r="AC613" s="593">
        <f t="shared" si="2275"/>
        <v>9.1863172584924939</v>
      </c>
      <c r="AD613" s="593">
        <f t="shared" si="2275"/>
        <v>13.182798224618855</v>
      </c>
      <c r="AE613" s="593">
        <f t="shared" si="2275"/>
        <v>53.920669685448772</v>
      </c>
      <c r="AF613" s="593">
        <f t="shared" si="2275"/>
        <v>58.660951922231661</v>
      </c>
      <c r="AG613" s="593">
        <f t="shared" si="2275"/>
        <v>63.598403535199722</v>
      </c>
      <c r="AH613" s="593">
        <f t="shared" si="2275"/>
        <v>68.736511936430091</v>
      </c>
      <c r="AI613" s="593">
        <f t="shared" ref="AI613:AM613" si="2276">AI521-AI567</f>
        <v>73.629556212283532</v>
      </c>
      <c r="AJ613" s="593">
        <f t="shared" si="2276"/>
        <v>78.7220646573533</v>
      </c>
      <c r="AK613" s="593">
        <f t="shared" si="2276"/>
        <v>84.021692879406928</v>
      </c>
      <c r="AL613" s="593">
        <f t="shared" si="2276"/>
        <v>89.536372490143947</v>
      </c>
      <c r="AM613" s="593">
        <f t="shared" si="2276"/>
        <v>95.27912402824002</v>
      </c>
    </row>
    <row r="614" spans="3:39" hidden="1" outlineLevel="1" x14ac:dyDescent="0.3">
      <c r="C614" s="587" t="str">
        <f t="shared" si="2269"/>
        <v>EET</v>
      </c>
      <c r="E614" s="563" t="s">
        <v>52</v>
      </c>
      <c r="F614" s="592">
        <f t="shared" si="2270"/>
        <v>135.61029456276782</v>
      </c>
      <c r="G614" s="593">
        <f t="shared" si="2264"/>
        <v>2.5301893657963501</v>
      </c>
      <c r="H614" s="593">
        <f t="shared" si="2264"/>
        <v>2.7966430199217065</v>
      </c>
      <c r="I614" s="593">
        <f t="shared" ref="I614:P614" si="2277">I522-I568</f>
        <v>3.0765195289919216</v>
      </c>
      <c r="J614" s="593">
        <f t="shared" si="2277"/>
        <v>4.6806678030516427</v>
      </c>
      <c r="K614" s="593">
        <f t="shared" si="2277"/>
        <v>9.3792538818801923</v>
      </c>
      <c r="L614" s="593">
        <f t="shared" si="2277"/>
        <v>13.550777373318157</v>
      </c>
      <c r="M614" s="593">
        <f t="shared" si="2277"/>
        <v>17.90092839197996</v>
      </c>
      <c r="N614" s="593">
        <f t="shared" si="2277"/>
        <v>22.436651876237704</v>
      </c>
      <c r="O614" s="593">
        <f t="shared" si="2277"/>
        <v>27.16507671004646</v>
      </c>
      <c r="P614" s="593">
        <f t="shared" si="2277"/>
        <v>32.093586611543714</v>
      </c>
      <c r="Q614" s="593">
        <f t="shared" ref="Q614:U614" si="2278">Q522-Q568</f>
        <v>37.239950365003914</v>
      </c>
      <c r="R614" s="593">
        <f t="shared" si="2278"/>
        <v>42.605423154209596</v>
      </c>
      <c r="S614" s="593">
        <f t="shared" si="2278"/>
        <v>48.198410300671583</v>
      </c>
      <c r="T614" s="593">
        <f t="shared" si="2278"/>
        <v>54.02761844603593</v>
      </c>
      <c r="U614" s="593">
        <f t="shared" si="2278"/>
        <v>60.145690744397314</v>
      </c>
      <c r="W614" s="563" t="str">
        <v>Kirde-Eesti</v>
      </c>
      <c r="X614" s="592">
        <f t="shared" si="2273"/>
        <v>106.61581544770318</v>
      </c>
      <c r="Y614" s="593">
        <f t="shared" ref="Y614" si="2279">Y522-Y568</f>
        <v>1.2434285722947509</v>
      </c>
      <c r="Z614" s="593">
        <f t="shared" ref="Z614:AH614" si="2280">Z522-Z568</f>
        <v>1.6022150534584017</v>
      </c>
      <c r="AA614" s="593">
        <f t="shared" si="2280"/>
        <v>1.9132644578387106</v>
      </c>
      <c r="AB614" s="593">
        <f t="shared" si="2280"/>
        <v>3.7921074646431263</v>
      </c>
      <c r="AC614" s="593">
        <f t="shared" si="2280"/>
        <v>8.1727103196686333</v>
      </c>
      <c r="AD614" s="593">
        <f t="shared" si="2280"/>
        <v>11.526757383356406</v>
      </c>
      <c r="AE614" s="593">
        <f t="shared" si="2280"/>
        <v>14.890455725957429</v>
      </c>
      <c r="AF614" s="593">
        <f t="shared" si="2280"/>
        <v>17.93793479808317</v>
      </c>
      <c r="AG614" s="593">
        <f t="shared" si="2280"/>
        <v>21.115339041390222</v>
      </c>
      <c r="AH614" s="593">
        <f t="shared" si="2280"/>
        <v>24.42160263101233</v>
      </c>
      <c r="AI614" s="593">
        <f t="shared" ref="AI614:AM614" si="2281">AI522-AI568</f>
        <v>27.675785600553318</v>
      </c>
      <c r="AJ614" s="593">
        <f t="shared" si="2281"/>
        <v>31.066173766192446</v>
      </c>
      <c r="AK614" s="593">
        <f t="shared" si="2281"/>
        <v>34.598079506451988</v>
      </c>
      <c r="AL614" s="593">
        <f t="shared" si="2281"/>
        <v>38.27700886013838</v>
      </c>
      <c r="AM614" s="593">
        <f t="shared" si="2281"/>
        <v>42.105279708530759</v>
      </c>
    </row>
    <row r="615" spans="3:39" hidden="1" outlineLevel="1" x14ac:dyDescent="0.3">
      <c r="C615" s="587" t="str">
        <f t="shared" si="2269"/>
        <v>EET</v>
      </c>
      <c r="E615" s="563" t="s">
        <v>53</v>
      </c>
      <c r="F615" s="592">
        <f t="shared" si="2270"/>
        <v>821.06573006648978</v>
      </c>
      <c r="G615" s="593">
        <f t="shared" si="2264"/>
        <v>0.92040670108240974</v>
      </c>
      <c r="H615" s="593">
        <f t="shared" si="2264"/>
        <v>2.7226874023585452</v>
      </c>
      <c r="I615" s="593">
        <f t="shared" ref="I615:P615" si="2282">I523-I569</f>
        <v>4.3337456879706044</v>
      </c>
      <c r="J615" s="593">
        <f t="shared" si="2282"/>
        <v>14.626394443204935</v>
      </c>
      <c r="K615" s="593">
        <f t="shared" si="2282"/>
        <v>45.161594889040785</v>
      </c>
      <c r="L615" s="593">
        <f t="shared" si="2282"/>
        <v>59.638512728640613</v>
      </c>
      <c r="M615" s="593">
        <f t="shared" si="2282"/>
        <v>147.64508434846587</v>
      </c>
      <c r="N615" s="593">
        <f t="shared" si="2282"/>
        <v>164.42531368276781</v>
      </c>
      <c r="O615" s="593">
        <f t="shared" si="2282"/>
        <v>181.79886921953096</v>
      </c>
      <c r="P615" s="593">
        <f t="shared" si="2282"/>
        <v>199.79312096342727</v>
      </c>
      <c r="Q615" s="593">
        <f t="shared" ref="Q615:U615" si="2283">Q523-Q569</f>
        <v>208.42517060920193</v>
      </c>
      <c r="R615" s="593">
        <f t="shared" si="2283"/>
        <v>217.35479008444733</v>
      </c>
      <c r="S615" s="593">
        <f t="shared" si="2283"/>
        <v>226.59369147151983</v>
      </c>
      <c r="T615" s="593">
        <f t="shared" si="2283"/>
        <v>236.15402243035695</v>
      </c>
      <c r="U615" s="593">
        <f t="shared" si="2283"/>
        <v>246.04838182083407</v>
      </c>
      <c r="W615" s="563" t="str">
        <v>Lõuna-Eesti </v>
      </c>
      <c r="X615" s="592">
        <f t="shared" si="2273"/>
        <v>264.21251972208626</v>
      </c>
      <c r="Y615" s="593">
        <f t="shared" ref="Y615" si="2284">Y523-Y569</f>
        <v>2.5952219000400953</v>
      </c>
      <c r="Z615" s="593">
        <f t="shared" ref="Z615:AH615" si="2285">Z523-Z569</f>
        <v>3.4400645923371687</v>
      </c>
      <c r="AA615" s="593">
        <f t="shared" si="2285"/>
        <v>4.2480793178093199</v>
      </c>
      <c r="AB615" s="593">
        <f t="shared" si="2285"/>
        <v>8.8776632903435129</v>
      </c>
      <c r="AC615" s="593">
        <f t="shared" si="2285"/>
        <v>20.05347971400835</v>
      </c>
      <c r="AD615" s="593">
        <f t="shared" si="2285"/>
        <v>28.15124274914286</v>
      </c>
      <c r="AE615" s="593">
        <f t="shared" si="2285"/>
        <v>36.64540356011495</v>
      </c>
      <c r="AF615" s="593">
        <f t="shared" si="2285"/>
        <v>44.791521597445133</v>
      </c>
      <c r="AG615" s="593">
        <f t="shared" si="2285"/>
        <v>53.283595455330229</v>
      </c>
      <c r="AH615" s="593">
        <f t="shared" si="2285"/>
        <v>62.126247545514694</v>
      </c>
      <c r="AI615" s="593">
        <f t="shared" ref="AI615:AM615" si="2286">AI523-AI569</f>
        <v>70.18212268289885</v>
      </c>
      <c r="AJ615" s="593">
        <f t="shared" si="2286"/>
        <v>78.579727645193145</v>
      </c>
      <c r="AK615" s="593">
        <f t="shared" si="2286"/>
        <v>87.332566871480736</v>
      </c>
      <c r="AL615" s="593">
        <f t="shared" si="2286"/>
        <v>96.454641551344224</v>
      </c>
      <c r="AM615" s="593">
        <f t="shared" si="2286"/>
        <v>105.96332171961838</v>
      </c>
    </row>
    <row r="616" spans="3:39" hidden="1" outlineLevel="1" x14ac:dyDescent="0.3">
      <c r="C616" s="587" t="str">
        <f t="shared" si="2269"/>
        <v>EET</v>
      </c>
      <c r="E616" s="563" t="s">
        <v>54</v>
      </c>
      <c r="F616" s="592">
        <f t="shared" si="2270"/>
        <v>18.253162347797911</v>
      </c>
      <c r="G616" s="593">
        <f t="shared" si="2264"/>
        <v>0.15607811711356981</v>
      </c>
      <c r="H616" s="593">
        <f t="shared" si="2264"/>
        <v>0.16477240673409629</v>
      </c>
      <c r="I616" s="593">
        <f t="shared" ref="I616:P616" si="2287">I524-I570</f>
        <v>0.17406299940577868</v>
      </c>
      <c r="J616" s="593">
        <f t="shared" si="2287"/>
        <v>0.98783916952456907</v>
      </c>
      <c r="K616" s="593">
        <f t="shared" si="2287"/>
        <v>1.4561613714740878</v>
      </c>
      <c r="L616" s="593">
        <f t="shared" si="2287"/>
        <v>1.491287711279061</v>
      </c>
      <c r="M616" s="593">
        <f t="shared" si="2287"/>
        <v>2.2471839837417726</v>
      </c>
      <c r="N616" s="593">
        <f t="shared" si="2287"/>
        <v>3.0323077685556497</v>
      </c>
      <c r="O616" s="593">
        <f t="shared" si="2287"/>
        <v>3.8479630237729268</v>
      </c>
      <c r="P616" s="593">
        <f t="shared" si="2287"/>
        <v>4.6955057961963984</v>
      </c>
      <c r="Q616" s="593">
        <f t="shared" ref="Q616:U616" si="2288">Q524-Q570</f>
        <v>4.7982144721071425</v>
      </c>
      <c r="R616" s="593">
        <f t="shared" si="2288"/>
        <v>4.9041914946201022</v>
      </c>
      <c r="S616" s="593">
        <f t="shared" si="2288"/>
        <v>5.013544242550938</v>
      </c>
      <c r="T616" s="593">
        <f t="shared" si="2288"/>
        <v>5.1263837624839121</v>
      </c>
      <c r="U616" s="593">
        <f t="shared" si="2288"/>
        <v>5.2428248985868304</v>
      </c>
      <c r="W616" s="563" t="str">
        <v>Kesk-Eesti</v>
      </c>
      <c r="X616" s="592">
        <f t="shared" si="2273"/>
        <v>107.05199222969571</v>
      </c>
      <c r="Y616" s="593">
        <f t="shared" ref="Y616" si="2289">Y524-Y570</f>
        <v>1.0728953959178742</v>
      </c>
      <c r="Z616" s="593">
        <f t="shared" ref="Z616:AH616" si="2290">Z524-Z570</f>
        <v>1.4166182850488567</v>
      </c>
      <c r="AA616" s="593">
        <f t="shared" si="2290"/>
        <v>1.7480215482303476</v>
      </c>
      <c r="AB616" s="593">
        <f t="shared" si="2290"/>
        <v>3.6800496909366824</v>
      </c>
      <c r="AC616" s="593">
        <f t="shared" si="2290"/>
        <v>8.0967270632058739</v>
      </c>
      <c r="AD616" s="593">
        <f t="shared" si="2290"/>
        <v>11.342344882007852</v>
      </c>
      <c r="AE616" s="593">
        <f t="shared" si="2290"/>
        <v>14.813798362017568</v>
      </c>
      <c r="AF616" s="593">
        <f t="shared" si="2290"/>
        <v>18.124485718541834</v>
      </c>
      <c r="AG616" s="593">
        <f t="shared" si="2290"/>
        <v>21.57878326221298</v>
      </c>
      <c r="AH616" s="593">
        <f t="shared" si="2290"/>
        <v>25.178268021575843</v>
      </c>
      <c r="AI616" s="593">
        <f t="shared" ref="AI616:AM616" si="2291">AI524-AI570</f>
        <v>28.70010737487933</v>
      </c>
      <c r="AJ616" s="593">
        <f t="shared" si="2291"/>
        <v>32.372561858914317</v>
      </c>
      <c r="AK616" s="593">
        <f t="shared" si="2291"/>
        <v>36.201580178719517</v>
      </c>
      <c r="AL616" s="593">
        <f t="shared" si="2291"/>
        <v>40.193329534294612</v>
      </c>
      <c r="AM616" s="593">
        <f t="shared" si="2291"/>
        <v>44.356176847255085</v>
      </c>
    </row>
    <row r="617" spans="3:39" hidden="1" outlineLevel="1" x14ac:dyDescent="0.3">
      <c r="C617" s="587" t="str">
        <f>E617</f>
        <v>CEER1</v>
      </c>
      <c r="E617" s="555" t="str">
        <f>'EE Measures'!$IK$6</f>
        <v>CEER1</v>
      </c>
      <c r="F617" s="590">
        <f>SUM(G617:P617)</f>
        <v>1483.8584001861752</v>
      </c>
      <c r="G617" s="591">
        <f>SUM(G618:G622)</f>
        <v>12.615775421888975</v>
      </c>
      <c r="H617" s="591">
        <f>SUM(H618:H622)</f>
        <v>16.225170205523188</v>
      </c>
      <c r="I617" s="591">
        <f t="shared" ref="I617:P617" si="2292">SUM(I618:I622)</f>
        <v>19.54165631356236</v>
      </c>
      <c r="J617" s="591">
        <f t="shared" si="2292"/>
        <v>39.212002847030298</v>
      </c>
      <c r="K617" s="591">
        <f t="shared" si="2292"/>
        <v>99.49955500972878</v>
      </c>
      <c r="L617" s="591">
        <f t="shared" si="2292"/>
        <v>140.34507816375512</v>
      </c>
      <c r="M617" s="591">
        <f t="shared" si="2292"/>
        <v>220.03973710319889</v>
      </c>
      <c r="N617" s="591">
        <f t="shared" si="2292"/>
        <v>263.59124544048836</v>
      </c>
      <c r="O617" s="591">
        <f t="shared" si="2292"/>
        <v>310.97022637699507</v>
      </c>
      <c r="P617" s="591">
        <f t="shared" si="2292"/>
        <v>361.81795330400422</v>
      </c>
      <c r="Q617" s="591">
        <f t="shared" ref="Q617:U617" si="2293">SUM(Q618:Q622)</f>
        <v>409.17884293745317</v>
      </c>
      <c r="R617" s="591">
        <f t="shared" si="2293"/>
        <v>458.71235748373925</v>
      </c>
      <c r="S617" s="591">
        <f t="shared" si="2293"/>
        <v>510.51169276378886</v>
      </c>
      <c r="T617" s="591">
        <f t="shared" si="2293"/>
        <v>564.67382390278397</v>
      </c>
      <c r="U617" s="591">
        <f t="shared" si="2293"/>
        <v>621.27604176554996</v>
      </c>
      <c r="V617" s="555"/>
      <c r="W617" s="555" t="str">
        <f>'EE Measures'!$IK$6</f>
        <v>CEER1</v>
      </c>
      <c r="X617" s="590">
        <f>SUM(Y617:AH617)</f>
        <v>1482.9321281889768</v>
      </c>
      <c r="Y617" s="591">
        <f t="shared" ref="Y617:Z617" si="2294">SUM(Y618:Y622)</f>
        <v>12.615775421888975</v>
      </c>
      <c r="Z617" s="591">
        <f t="shared" si="2294"/>
        <v>16.225170205523192</v>
      </c>
      <c r="AA617" s="591">
        <f t="shared" ref="AA617" si="2295">SUM(AA618:AA622)</f>
        <v>19.541656313562363</v>
      </c>
      <c r="AB617" s="591">
        <f t="shared" ref="AB617" si="2296">SUM(AB618:AB622)</f>
        <v>39.212002847030305</v>
      </c>
      <c r="AC617" s="591">
        <f t="shared" ref="AC617" si="2297">SUM(AC618:AC622)</f>
        <v>99.457923316708701</v>
      </c>
      <c r="AD617" s="591">
        <f t="shared" ref="AD617" si="2298">SUM(AD618:AD622)</f>
        <v>140.26040435179576</v>
      </c>
      <c r="AE617" s="591">
        <f t="shared" ref="AE617" si="2299">SUM(AE618:AE622)</f>
        <v>219.91053645660358</v>
      </c>
      <c r="AF617" s="591">
        <f t="shared" ref="AF617" si="2300">SUM(AF618:AF622)</f>
        <v>263.41595701368209</v>
      </c>
      <c r="AG617" s="591">
        <f t="shared" ref="AG617" si="2301">SUM(AG618:AG622)</f>
        <v>310.74721096150915</v>
      </c>
      <c r="AH617" s="591">
        <f t="shared" ref="AH617:AM617" si="2302">SUM(AH618:AH622)</f>
        <v>361.54549130067261</v>
      </c>
      <c r="AI617" s="591">
        <f t="shared" si="2302"/>
        <v>408.85502418618597</v>
      </c>
      <c r="AJ617" s="591">
        <f t="shared" si="2302"/>
        <v>458.33527913204108</v>
      </c>
      <c r="AK617" s="591">
        <f t="shared" si="2302"/>
        <v>510.07936862441937</v>
      </c>
      <c r="AL617" s="591">
        <f t="shared" si="2302"/>
        <v>564.18418116623968</v>
      </c>
      <c r="AM617" s="591">
        <f t="shared" si="2302"/>
        <v>620.72691759029738</v>
      </c>
    </row>
    <row r="618" spans="3:39" hidden="1" outlineLevel="1" x14ac:dyDescent="0.3">
      <c r="C618" s="587" t="str">
        <f>C617</f>
        <v>CEER1</v>
      </c>
      <c r="E618" s="563" t="s">
        <v>50</v>
      </c>
      <c r="F618" s="592">
        <f>SUM(G618:P618)</f>
        <v>262.33057933268901</v>
      </c>
      <c r="G618" s="593">
        <f t="shared" ref="G618:H622" si="2303">G526-G572</f>
        <v>7.0147307332195599</v>
      </c>
      <c r="H618" s="593">
        <f t="shared" si="2303"/>
        <v>7.5958143959530089</v>
      </c>
      <c r="I618" s="593">
        <f t="shared" ref="I618:P618" si="2304">I526-I572</f>
        <v>7.9494260964930676</v>
      </c>
      <c r="J618" s="593">
        <f t="shared" si="2304"/>
        <v>11.893023039146986</v>
      </c>
      <c r="K618" s="593">
        <f t="shared" si="2304"/>
        <v>20.031252298179968</v>
      </c>
      <c r="L618" s="593">
        <f t="shared" si="2304"/>
        <v>27.188285926034965</v>
      </c>
      <c r="M618" s="593">
        <f t="shared" si="2304"/>
        <v>34.560244115252637</v>
      </c>
      <c r="N618" s="593">
        <f t="shared" si="2304"/>
        <v>40.19448362669597</v>
      </c>
      <c r="O618" s="593">
        <f t="shared" si="2304"/>
        <v>48.087300237504152</v>
      </c>
      <c r="P618" s="593">
        <f t="shared" si="2304"/>
        <v>57.816018864208687</v>
      </c>
      <c r="Q618" s="593">
        <f t="shared" ref="Q618:U618" si="2305">Q526-Q572</f>
        <v>68.16871079192336</v>
      </c>
      <c r="R618" s="593">
        <f t="shared" si="2305"/>
        <v>79.158928850328991</v>
      </c>
      <c r="S618" s="593">
        <f t="shared" si="2305"/>
        <v>90.820486977299325</v>
      </c>
      <c r="T618" s="593">
        <f t="shared" si="2305"/>
        <v>103.18883689984665</v>
      </c>
      <c r="U618" s="593">
        <f t="shared" si="2305"/>
        <v>116.30271498137982</v>
      </c>
      <c r="W618" s="563" t="str" cm="1">
        <f t="array" ref="W618:W622">_xlfn.ANCHORARRAY($W$357)</f>
        <v xml:space="preserve">Põhja-Eesti </v>
      </c>
      <c r="X618" s="592">
        <f>SUM(Y618:AH618)</f>
        <v>720.04300075133699</v>
      </c>
      <c r="Y618" s="593">
        <f>Y526-Y572</f>
        <v>6.6892006789645952</v>
      </c>
      <c r="Z618" s="593">
        <f>Z526-Z572</f>
        <v>8.3737106446249072</v>
      </c>
      <c r="AA618" s="593">
        <f t="shared" ref="AA618:AH618" si="2306">AA526-AA572</f>
        <v>9.8747867040060662</v>
      </c>
      <c r="AB618" s="593">
        <f t="shared" si="2306"/>
        <v>19.042723025655054</v>
      </c>
      <c r="AC618" s="593">
        <f t="shared" si="2306"/>
        <v>50.472440289889406</v>
      </c>
      <c r="AD618" s="593">
        <f t="shared" si="2306"/>
        <v>69.469689219331826</v>
      </c>
      <c r="AE618" s="593">
        <f t="shared" si="2306"/>
        <v>107.49431992457701</v>
      </c>
      <c r="AF618" s="593">
        <f t="shared" si="2306"/>
        <v>127.32872946821206</v>
      </c>
      <c r="AG618" s="593">
        <f t="shared" si="2306"/>
        <v>148.99419926429604</v>
      </c>
      <c r="AH618" s="593">
        <f t="shared" si="2306"/>
        <v>172.30320153178002</v>
      </c>
      <c r="AI618" s="593">
        <f t="shared" ref="AI618:AM618" si="2307">AI526-AI572</f>
        <v>192.25114478372529</v>
      </c>
      <c r="AJ618" s="593">
        <f t="shared" si="2307"/>
        <v>213.11885722892936</v>
      </c>
      <c r="AK618" s="593">
        <f t="shared" si="2307"/>
        <v>234.94643168732438</v>
      </c>
      <c r="AL618" s="593">
        <f t="shared" si="2307"/>
        <v>257.77561876550658</v>
      </c>
      <c r="AM618" s="593">
        <f t="shared" si="2307"/>
        <v>281.63670588637149</v>
      </c>
    </row>
    <row r="619" spans="3:39" hidden="1" outlineLevel="1" x14ac:dyDescent="0.3">
      <c r="C619" s="587" t="str">
        <f t="shared" ref="C619:C622" si="2308">C618</f>
        <v>CEER1</v>
      </c>
      <c r="E619" s="563" t="s">
        <v>51</v>
      </c>
      <c r="F619" s="592">
        <f t="shared" ref="F619:F622" si="2309">SUM(G619:P619)</f>
        <v>501.78160041573977</v>
      </c>
      <c r="G619" s="593">
        <f t="shared" si="2303"/>
        <v>1.9943705046770852</v>
      </c>
      <c r="H619" s="593">
        <f t="shared" si="2303"/>
        <v>2.9452529805558334</v>
      </c>
      <c r="I619" s="593">
        <f t="shared" ref="I619:P619" si="2310">I527-I573</f>
        <v>4.0079020007009891</v>
      </c>
      <c r="J619" s="593">
        <f t="shared" si="2310"/>
        <v>7.0240783921021661</v>
      </c>
      <c r="K619" s="593">
        <f t="shared" si="2310"/>
        <v>29.811714070468465</v>
      </c>
      <c r="L619" s="593">
        <f t="shared" si="2310"/>
        <v>49.124780937479962</v>
      </c>
      <c r="M619" s="593">
        <f t="shared" si="2310"/>
        <v>69.280029696854356</v>
      </c>
      <c r="N619" s="593">
        <f t="shared" si="2310"/>
        <v>90.294148211446142</v>
      </c>
      <c r="O619" s="593">
        <f t="shared" si="2310"/>
        <v>112.21672584483309</v>
      </c>
      <c r="P619" s="593">
        <f t="shared" si="2310"/>
        <v>135.0825977766217</v>
      </c>
      <c r="Q619" s="593">
        <f t="shared" ref="Q619:U619" si="2311">Q527-Q573</f>
        <v>158.88217214756733</v>
      </c>
      <c r="R619" s="593">
        <f t="shared" si="2311"/>
        <v>183.68324143569581</v>
      </c>
      <c r="S619" s="593">
        <f t="shared" si="2311"/>
        <v>209.52351320371142</v>
      </c>
      <c r="T619" s="593">
        <f t="shared" si="2311"/>
        <v>236.44201892103581</v>
      </c>
      <c r="U619" s="593">
        <f t="shared" si="2311"/>
        <v>264.41526834052695</v>
      </c>
      <c r="W619" s="563" t="str">
        <v>Lääne-Eesti</v>
      </c>
      <c r="X619" s="592">
        <f t="shared" ref="X619:X622" si="2312">SUM(Y619:AH619)</f>
        <v>218.09337037957027</v>
      </c>
      <c r="Y619" s="593">
        <f t="shared" ref="Y619" si="2313">Y527-Y573</f>
        <v>1.0150288746716596</v>
      </c>
      <c r="Z619" s="593">
        <f t="shared" ref="Z619:AH619" si="2314">Z527-Z573</f>
        <v>1.3925616300538586</v>
      </c>
      <c r="AA619" s="593">
        <f t="shared" si="2314"/>
        <v>1.7575042856779173</v>
      </c>
      <c r="AB619" s="593">
        <f t="shared" si="2314"/>
        <v>3.8194593754519244</v>
      </c>
      <c r="AC619" s="593">
        <f t="shared" si="2314"/>
        <v>9.9797748259800656</v>
      </c>
      <c r="AD619" s="593">
        <f t="shared" si="2314"/>
        <v>14.641535312012573</v>
      </c>
      <c r="AE619" s="593">
        <f t="shared" si="2314"/>
        <v>37.914248751524411</v>
      </c>
      <c r="AF619" s="593">
        <f t="shared" si="2314"/>
        <v>43.292877588551903</v>
      </c>
      <c r="AG619" s="593">
        <f t="shared" si="2314"/>
        <v>49.067913618783777</v>
      </c>
      <c r="AH619" s="593">
        <f t="shared" si="2314"/>
        <v>55.212466116862174</v>
      </c>
      <c r="AI619" s="593">
        <f t="shared" ref="AI619:AM619" si="2315">AI527-AI573</f>
        <v>61.318372991801702</v>
      </c>
      <c r="AJ619" s="593">
        <f t="shared" si="2315"/>
        <v>67.69732999480172</v>
      </c>
      <c r="AK619" s="593">
        <f t="shared" si="2315"/>
        <v>74.360676197295561</v>
      </c>
      <c r="AL619" s="593">
        <f t="shared" si="2315"/>
        <v>81.32019446942877</v>
      </c>
      <c r="AM619" s="593">
        <f t="shared" si="2315"/>
        <v>88.589086025000995</v>
      </c>
    </row>
    <row r="620" spans="3:39" hidden="1" outlineLevel="1" x14ac:dyDescent="0.3">
      <c r="C620" s="587" t="str">
        <f t="shared" si="2308"/>
        <v>CEER1</v>
      </c>
      <c r="E620" s="563" t="s">
        <v>52</v>
      </c>
      <c r="F620" s="592">
        <f t="shared" si="2309"/>
        <v>150.40033318676865</v>
      </c>
      <c r="G620" s="593">
        <f t="shared" si="2303"/>
        <v>2.5301893657963501</v>
      </c>
      <c r="H620" s="593">
        <f t="shared" si="2303"/>
        <v>2.7966430199217065</v>
      </c>
      <c r="I620" s="593">
        <f t="shared" ref="I620:P620" si="2316">I528-I574</f>
        <v>3.0765195289919216</v>
      </c>
      <c r="J620" s="593">
        <f t="shared" si="2316"/>
        <v>4.6806678030516427</v>
      </c>
      <c r="K620" s="593">
        <f t="shared" si="2316"/>
        <v>9.9999341418725116</v>
      </c>
      <c r="L620" s="593">
        <f t="shared" si="2316"/>
        <v>14.839849315855512</v>
      </c>
      <c r="M620" s="593">
        <f t="shared" si="2316"/>
        <v>19.908504609449707</v>
      </c>
      <c r="N620" s="593">
        <f t="shared" si="2316"/>
        <v>25.215322149588808</v>
      </c>
      <c r="O620" s="593">
        <f t="shared" si="2316"/>
        <v>30.770020429763409</v>
      </c>
      <c r="P620" s="593">
        <f t="shared" si="2316"/>
        <v>36.582682822477068</v>
      </c>
      <c r="Q620" s="593">
        <f t="shared" ref="Q620:U620" si="2317">Q528-Q574</f>
        <v>42.675860372577873</v>
      </c>
      <c r="R620" s="593">
        <f t="shared" si="2317"/>
        <v>49.052493353438784</v>
      </c>
      <c r="S620" s="593">
        <f t="shared" si="2317"/>
        <v>55.724110278916704</v>
      </c>
      <c r="T620" s="593">
        <f t="shared" si="2317"/>
        <v>62.702672824432113</v>
      </c>
      <c r="U620" s="593">
        <f t="shared" si="2317"/>
        <v>70.039297067828983</v>
      </c>
      <c r="W620" s="563" t="str">
        <v>Kirde-Eesti</v>
      </c>
      <c r="X620" s="592">
        <f t="shared" si="2312"/>
        <v>122.40597060558071</v>
      </c>
      <c r="Y620" s="593">
        <f t="shared" ref="Y620" si="2318">Y528-Y574</f>
        <v>1.2434285722947509</v>
      </c>
      <c r="Z620" s="593">
        <f t="shared" ref="Z620:AH620" si="2319">Z528-Z574</f>
        <v>1.6022150534584017</v>
      </c>
      <c r="AA620" s="593">
        <f t="shared" si="2319"/>
        <v>1.9132644578387106</v>
      </c>
      <c r="AB620" s="593">
        <f t="shared" si="2319"/>
        <v>3.7921074646431263</v>
      </c>
      <c r="AC620" s="593">
        <f t="shared" si="2319"/>
        <v>8.6622417726083434</v>
      </c>
      <c r="AD620" s="593">
        <f t="shared" si="2319"/>
        <v>12.593115865991443</v>
      </c>
      <c r="AE620" s="593">
        <f t="shared" si="2319"/>
        <v>16.703814011114133</v>
      </c>
      <c r="AF620" s="593">
        <f t="shared" si="2319"/>
        <v>20.726349234715769</v>
      </c>
      <c r="AG620" s="593">
        <f t="shared" si="2319"/>
        <v>25.1731657758586</v>
      </c>
      <c r="AH620" s="593">
        <f t="shared" si="2319"/>
        <v>29.996268397057442</v>
      </c>
      <c r="AI620" s="593">
        <f t="shared" ref="AI620:AM620" si="2320">AI528-AI574</f>
        <v>34.935580267475629</v>
      </c>
      <c r="AJ620" s="593">
        <f t="shared" si="2320"/>
        <v>40.105427143165336</v>
      </c>
      <c r="AK620" s="593">
        <f t="shared" si="2320"/>
        <v>45.515802260917773</v>
      </c>
      <c r="AL620" s="593">
        <f t="shared" si="2320"/>
        <v>51.177109369366164</v>
      </c>
      <c r="AM620" s="593">
        <f t="shared" si="2320"/>
        <v>57.094258713787191</v>
      </c>
    </row>
    <row r="621" spans="3:39" hidden="1" outlineLevel="1" x14ac:dyDescent="0.3">
      <c r="C621" s="587" t="str">
        <f t="shared" si="2308"/>
        <v>CEER1</v>
      </c>
      <c r="E621" s="563" t="s">
        <v>53</v>
      </c>
      <c r="F621" s="592">
        <f t="shared" si="2309"/>
        <v>551.09272490317983</v>
      </c>
      <c r="G621" s="593">
        <f t="shared" si="2303"/>
        <v>0.92040670108240974</v>
      </c>
      <c r="H621" s="593">
        <f t="shared" si="2303"/>
        <v>2.7226874023585452</v>
      </c>
      <c r="I621" s="593">
        <f t="shared" ref="I621:P621" si="2321">I529-I575</f>
        <v>4.3337456879706044</v>
      </c>
      <c r="J621" s="593">
        <f t="shared" si="2321"/>
        <v>14.626394443204935</v>
      </c>
      <c r="K621" s="593">
        <f t="shared" si="2321"/>
        <v>38.20049312773375</v>
      </c>
      <c r="L621" s="593">
        <f t="shared" si="2321"/>
        <v>47.700874273105605</v>
      </c>
      <c r="M621" s="593">
        <f t="shared" si="2321"/>
        <v>94.043774697900432</v>
      </c>
      <c r="N621" s="593">
        <f t="shared" si="2321"/>
        <v>104.85498368420178</v>
      </c>
      <c r="O621" s="593">
        <f t="shared" si="2321"/>
        <v>116.04821684112144</v>
      </c>
      <c r="P621" s="593">
        <f t="shared" si="2321"/>
        <v>127.64114804450037</v>
      </c>
      <c r="Q621" s="593">
        <f t="shared" ref="Q621:U621" si="2322">Q529-Q575</f>
        <v>134.65388515327751</v>
      </c>
      <c r="R621" s="593">
        <f t="shared" si="2322"/>
        <v>141.91350234965566</v>
      </c>
      <c r="S621" s="593">
        <f t="shared" si="2322"/>
        <v>149.43003806131046</v>
      </c>
      <c r="T621" s="593">
        <f t="shared" si="2322"/>
        <v>157.21391149498544</v>
      </c>
      <c r="U621" s="593">
        <f t="shared" si="2322"/>
        <v>165.2759364772273</v>
      </c>
      <c r="W621" s="563" t="str">
        <v>Lõuna-Eesti </v>
      </c>
      <c r="X621" s="592">
        <f t="shared" si="2312"/>
        <v>296.46272271057387</v>
      </c>
      <c r="Y621" s="593">
        <f t="shared" ref="Y621" si="2323">Y529-Y575</f>
        <v>2.5952219000400953</v>
      </c>
      <c r="Z621" s="593">
        <f t="shared" ref="Z621:AH621" si="2324">Z529-Z575</f>
        <v>3.4400645923371687</v>
      </c>
      <c r="AA621" s="593">
        <f t="shared" si="2324"/>
        <v>4.2480793178093199</v>
      </c>
      <c r="AB621" s="593">
        <f t="shared" si="2324"/>
        <v>8.8776632903435129</v>
      </c>
      <c r="AC621" s="593">
        <f t="shared" si="2324"/>
        <v>21.385735572572827</v>
      </c>
      <c r="AD621" s="593">
        <f t="shared" si="2324"/>
        <v>30.647624534393014</v>
      </c>
      <c r="AE621" s="593">
        <f t="shared" si="2324"/>
        <v>40.583917061172599</v>
      </c>
      <c r="AF621" s="593">
        <f t="shared" si="2324"/>
        <v>50.539773850895237</v>
      </c>
      <c r="AG621" s="593">
        <f t="shared" si="2324"/>
        <v>61.311743869189563</v>
      </c>
      <c r="AH621" s="593">
        <f t="shared" si="2324"/>
        <v>72.832898721820513</v>
      </c>
      <c r="AI621" s="593">
        <f t="shared" ref="AI621:AM621" si="2325">AI529-AI575</f>
        <v>84.138660828634812</v>
      </c>
      <c r="AJ621" s="593">
        <f t="shared" si="2325"/>
        <v>95.9615426436023</v>
      </c>
      <c r="AK621" s="593">
        <f t="shared" si="2325"/>
        <v>108.32347602625829</v>
      </c>
      <c r="AL621" s="593">
        <f t="shared" si="2325"/>
        <v>121.24726806762976</v>
      </c>
      <c r="AM621" s="593">
        <f t="shared" si="2325"/>
        <v>134.75243983023219</v>
      </c>
    </row>
    <row r="622" spans="3:39" hidden="1" outlineLevel="1" x14ac:dyDescent="0.3">
      <c r="C622" s="587" t="str">
        <f t="shared" si="2308"/>
        <v>CEER1</v>
      </c>
      <c r="E622" s="563" t="s">
        <v>54</v>
      </c>
      <c r="F622" s="592">
        <f t="shared" si="2309"/>
        <v>18.253162347797911</v>
      </c>
      <c r="G622" s="593">
        <f t="shared" si="2303"/>
        <v>0.15607811711356981</v>
      </c>
      <c r="H622" s="593">
        <f t="shared" si="2303"/>
        <v>0.16477240673409629</v>
      </c>
      <c r="I622" s="593">
        <f t="shared" ref="I622:P622" si="2326">I530-I576</f>
        <v>0.17406299940577868</v>
      </c>
      <c r="J622" s="593">
        <f t="shared" si="2326"/>
        <v>0.98783916952456907</v>
      </c>
      <c r="K622" s="593">
        <f t="shared" si="2326"/>
        <v>1.4561613714740878</v>
      </c>
      <c r="L622" s="593">
        <f t="shared" si="2326"/>
        <v>1.491287711279061</v>
      </c>
      <c r="M622" s="593">
        <f t="shared" si="2326"/>
        <v>2.2471839837417726</v>
      </c>
      <c r="N622" s="593">
        <f t="shared" si="2326"/>
        <v>3.0323077685556497</v>
      </c>
      <c r="O622" s="593">
        <f t="shared" si="2326"/>
        <v>3.8479630237729268</v>
      </c>
      <c r="P622" s="593">
        <f t="shared" si="2326"/>
        <v>4.6955057961963984</v>
      </c>
      <c r="Q622" s="593">
        <f t="shared" ref="Q622:U622" si="2327">Q530-Q576</f>
        <v>4.7982144721071425</v>
      </c>
      <c r="R622" s="593">
        <f t="shared" si="2327"/>
        <v>4.9041914946201022</v>
      </c>
      <c r="S622" s="593">
        <f t="shared" si="2327"/>
        <v>5.013544242550938</v>
      </c>
      <c r="T622" s="593">
        <f t="shared" si="2327"/>
        <v>5.1263837624839121</v>
      </c>
      <c r="U622" s="593">
        <f t="shared" si="2327"/>
        <v>5.2428248985868304</v>
      </c>
      <c r="W622" s="563" t="str">
        <v>Kesk-Eesti</v>
      </c>
      <c r="X622" s="592">
        <f t="shared" si="2312"/>
        <v>125.92706374191485</v>
      </c>
      <c r="Y622" s="593">
        <f t="shared" ref="Y622" si="2328">Y530-Y576</f>
        <v>1.0728953959178742</v>
      </c>
      <c r="Z622" s="593">
        <f t="shared" ref="Z622:AH622" si="2329">Z530-Z576</f>
        <v>1.4166182850488567</v>
      </c>
      <c r="AA622" s="593">
        <f t="shared" si="2329"/>
        <v>1.7480215482303476</v>
      </c>
      <c r="AB622" s="593">
        <f t="shared" si="2329"/>
        <v>3.6800496909366824</v>
      </c>
      <c r="AC622" s="593">
        <f t="shared" si="2329"/>
        <v>8.9577308556580633</v>
      </c>
      <c r="AD622" s="593">
        <f t="shared" si="2329"/>
        <v>12.908439420066902</v>
      </c>
      <c r="AE622" s="593">
        <f t="shared" si="2329"/>
        <v>17.214236708215417</v>
      </c>
      <c r="AF622" s="593">
        <f t="shared" si="2329"/>
        <v>21.528226871307094</v>
      </c>
      <c r="AG622" s="593">
        <f t="shared" si="2329"/>
        <v>26.200188433381193</v>
      </c>
      <c r="AH622" s="593">
        <f t="shared" si="2329"/>
        <v>31.200656533152419</v>
      </c>
      <c r="AI622" s="593">
        <f t="shared" ref="AI622:AM622" si="2330">AI530-AI576</f>
        <v>36.211265314548463</v>
      </c>
      <c r="AJ622" s="593">
        <f t="shared" si="2330"/>
        <v>41.452122121542416</v>
      </c>
      <c r="AK622" s="593">
        <f t="shared" si="2330"/>
        <v>46.932982452623371</v>
      </c>
      <c r="AL622" s="593">
        <f t="shared" si="2330"/>
        <v>52.663990494308436</v>
      </c>
      <c r="AM622" s="593">
        <f t="shared" si="2330"/>
        <v>58.654427134905518</v>
      </c>
    </row>
    <row r="623" spans="3:39" hidden="1" outlineLevel="1" x14ac:dyDescent="0.3">
      <c r="C623" s="587" t="str">
        <f>E623</f>
        <v>CEER2</v>
      </c>
      <c r="E623" s="555" t="str">
        <f>'EE Measures'!$IL$6</f>
        <v>CEER2</v>
      </c>
      <c r="F623" s="590">
        <f>SUM(G623:P623)</f>
        <v>1900.4092591604497</v>
      </c>
      <c r="G623" s="591">
        <f>SUM(G624:G628)</f>
        <v>12.615775421888975</v>
      </c>
      <c r="H623" s="591">
        <f>SUM(H624:H628)</f>
        <v>16.225170205523188</v>
      </c>
      <c r="I623" s="591">
        <f t="shared" ref="I623:P623" si="2331">SUM(I624:I628)</f>
        <v>19.54165631356236</v>
      </c>
      <c r="J623" s="591">
        <f t="shared" si="2331"/>
        <v>39.212002847030298</v>
      </c>
      <c r="K623" s="591">
        <f t="shared" si="2331"/>
        <v>119.68244847737688</v>
      </c>
      <c r="L623" s="591">
        <f t="shared" si="2331"/>
        <v>178.75964204898335</v>
      </c>
      <c r="M623" s="591">
        <f t="shared" si="2331"/>
        <v>277.26468978479329</v>
      </c>
      <c r="N623" s="591">
        <f t="shared" si="2331"/>
        <v>341.14654084348177</v>
      </c>
      <c r="O623" s="591">
        <f t="shared" si="2331"/>
        <v>410.66640587777624</v>
      </c>
      <c r="P623" s="591">
        <f t="shared" si="2331"/>
        <v>485.29492734003338</v>
      </c>
      <c r="Q623" s="591">
        <f t="shared" ref="Q623:U623" si="2332">SUM(Q624:Q628)</f>
        <v>552.44839328264243</v>
      </c>
      <c r="R623" s="591">
        <f t="shared" si="2332"/>
        <v>622.6685882302379</v>
      </c>
      <c r="S623" s="591">
        <f t="shared" si="2332"/>
        <v>696.08590049981194</v>
      </c>
      <c r="T623" s="591">
        <f t="shared" si="2332"/>
        <v>772.83598112156153</v>
      </c>
      <c r="U623" s="591">
        <f t="shared" si="2332"/>
        <v>853.03674375501498</v>
      </c>
      <c r="W623" s="555" t="str">
        <f>'EE Measures'!$IL$6</f>
        <v>CEER2</v>
      </c>
      <c r="X623" s="590">
        <f>SUM(Y623:AH623)</f>
        <v>1899.4829871632512</v>
      </c>
      <c r="Y623" s="591">
        <f t="shared" ref="Y623:Z623" si="2333">SUM(Y624:Y628)</f>
        <v>12.615775421888975</v>
      </c>
      <c r="Z623" s="591">
        <f t="shared" si="2333"/>
        <v>16.225170205523192</v>
      </c>
      <c r="AA623" s="591">
        <f t="shared" ref="AA623" si="2334">SUM(AA624:AA628)</f>
        <v>19.541656313562363</v>
      </c>
      <c r="AB623" s="591">
        <f t="shared" ref="AB623" si="2335">SUM(AB624:AB628)</f>
        <v>39.212002847030305</v>
      </c>
      <c r="AC623" s="591">
        <f t="shared" ref="AC623" si="2336">SUM(AC624:AC628)</f>
        <v>119.64081678435677</v>
      </c>
      <c r="AD623" s="591">
        <f t="shared" ref="AD623" si="2337">SUM(AD624:AD628)</f>
        <v>178.67496823702396</v>
      </c>
      <c r="AE623" s="591">
        <f t="shared" ref="AE623" si="2338">SUM(AE624:AE628)</f>
        <v>277.13548913819795</v>
      </c>
      <c r="AF623" s="591">
        <f t="shared" ref="AF623" si="2339">SUM(AF624:AF628)</f>
        <v>340.9712524166755</v>
      </c>
      <c r="AG623" s="591">
        <f t="shared" ref="AG623" si="2340">SUM(AG624:AG628)</f>
        <v>410.44339046229044</v>
      </c>
      <c r="AH623" s="591">
        <f t="shared" ref="AH623:AM623" si="2341">SUM(AH624:AH628)</f>
        <v>485.02246533670177</v>
      </c>
      <c r="AI623" s="591">
        <f t="shared" si="2341"/>
        <v>552.12457453137529</v>
      </c>
      <c r="AJ623" s="591">
        <f t="shared" si="2341"/>
        <v>622.29150987853939</v>
      </c>
      <c r="AK623" s="591">
        <f t="shared" si="2341"/>
        <v>695.65357636044268</v>
      </c>
      <c r="AL623" s="591">
        <f t="shared" si="2341"/>
        <v>772.34633838501748</v>
      </c>
      <c r="AM623" s="591">
        <f t="shared" si="2341"/>
        <v>852.4876195797624</v>
      </c>
    </row>
    <row r="624" spans="3:39" hidden="1" outlineLevel="1" x14ac:dyDescent="0.3">
      <c r="C624" s="587" t="str">
        <f>C623</f>
        <v>CEER2</v>
      </c>
      <c r="E624" s="563" t="s">
        <v>50</v>
      </c>
      <c r="F624" s="592">
        <f>SUM(G624:P624)</f>
        <v>312.86621833118778</v>
      </c>
      <c r="G624" s="593">
        <f t="shared" ref="G624:H628" si="2342">G532-G578</f>
        <v>7.0147307332195599</v>
      </c>
      <c r="H624" s="593">
        <f t="shared" si="2342"/>
        <v>7.5958143959530089</v>
      </c>
      <c r="I624" s="593">
        <f t="shared" ref="I624:P624" si="2343">I532-I578</f>
        <v>7.9494260964930676</v>
      </c>
      <c r="J624" s="593">
        <f t="shared" si="2343"/>
        <v>11.893023039146986</v>
      </c>
      <c r="K624" s="593">
        <f t="shared" si="2343"/>
        <v>22.308753705431407</v>
      </c>
      <c r="L624" s="593">
        <f t="shared" si="2343"/>
        <v>31.329432400937577</v>
      </c>
      <c r="M624" s="593">
        <f t="shared" si="2343"/>
        <v>40.510004835109974</v>
      </c>
      <c r="N624" s="593">
        <f t="shared" si="2343"/>
        <v>48.813417859012191</v>
      </c>
      <c r="O624" s="593">
        <f t="shared" si="2343"/>
        <v>60.500505575476666</v>
      </c>
      <c r="P624" s="593">
        <f t="shared" si="2343"/>
        <v>74.951109690407364</v>
      </c>
      <c r="Q624" s="593">
        <f t="shared" ref="Q624:U624" si="2344">Q532-Q578</f>
        <v>90.333051011231163</v>
      </c>
      <c r="R624" s="593">
        <f t="shared" si="2344"/>
        <v>106.67012657373182</v>
      </c>
      <c r="S624" s="593">
        <f t="shared" si="2344"/>
        <v>124.01309125071984</v>
      </c>
      <c r="T624" s="593">
        <f t="shared" si="2344"/>
        <v>142.41515734086957</v>
      </c>
      <c r="U624" s="593">
        <f t="shared" si="2344"/>
        <v>161.93446475998903</v>
      </c>
      <c r="W624" s="563" t="str" cm="1">
        <f t="array" ref="W624:W628">_xlfn.ANCHORARRAY($W$357)</f>
        <v xml:space="preserve">Põhja-Eesti </v>
      </c>
      <c r="X624" s="592">
        <f>SUM(Y624:AH624)</f>
        <v>939.75754072969266</v>
      </c>
      <c r="Y624" s="593">
        <f>Y532-Y578</f>
        <v>6.6892006789645952</v>
      </c>
      <c r="Z624" s="593">
        <f>Z532-Z578</f>
        <v>8.3737106446249072</v>
      </c>
      <c r="AA624" s="593">
        <f t="shared" ref="AA624:AH624" si="2345">AA532-AA578</f>
        <v>9.8747867040060662</v>
      </c>
      <c r="AB624" s="593">
        <f t="shared" si="2345"/>
        <v>19.042723025655054</v>
      </c>
      <c r="AC624" s="593">
        <f t="shared" si="2345"/>
        <v>61.674292379378969</v>
      </c>
      <c r="AD624" s="593">
        <f t="shared" si="2345"/>
        <v>90.100430308310393</v>
      </c>
      <c r="AE624" s="593">
        <f t="shared" si="2345"/>
        <v>137.84146904689399</v>
      </c>
      <c r="AF624" s="593">
        <f t="shared" si="2345"/>
        <v>168.16085582066336</v>
      </c>
      <c r="AG624" s="593">
        <f t="shared" si="2345"/>
        <v>201.22880424479226</v>
      </c>
      <c r="AH624" s="593">
        <f t="shared" si="2345"/>
        <v>236.77126787640299</v>
      </c>
      <c r="AI624" s="593">
        <f t="shared" ref="AI624:AM624" si="2346">AI532-AI578</f>
        <v>265.11316911630911</v>
      </c>
      <c r="AJ624" s="593">
        <f t="shared" si="2346"/>
        <v>294.75865511000239</v>
      </c>
      <c r="AK624" s="593">
        <f t="shared" si="2346"/>
        <v>325.76416004428489</v>
      </c>
      <c r="AL624" s="593">
        <f t="shared" si="2346"/>
        <v>358.18844416892478</v>
      </c>
      <c r="AM624" s="593">
        <f t="shared" si="2346"/>
        <v>392.07528207300788</v>
      </c>
    </row>
    <row r="625" spans="2:60" hidden="1" outlineLevel="1" x14ac:dyDescent="0.3">
      <c r="C625" s="587" t="str">
        <f t="shared" ref="C625:C628" si="2347">C624</f>
        <v>CEER2</v>
      </c>
      <c r="E625" s="563" t="s">
        <v>51</v>
      </c>
      <c r="F625" s="592">
        <f t="shared" ref="F625:F628" si="2348">SUM(G625:P625)</f>
        <v>672.15247652757625</v>
      </c>
      <c r="G625" s="593">
        <f t="shared" si="2342"/>
        <v>1.9943705046770852</v>
      </c>
      <c r="H625" s="593">
        <f t="shared" si="2342"/>
        <v>2.9452529805558334</v>
      </c>
      <c r="I625" s="593">
        <f t="shared" ref="I625:P625" si="2349">I533-I579</f>
        <v>4.0079020007009891</v>
      </c>
      <c r="J625" s="593">
        <f t="shared" si="2349"/>
        <v>7.0240783921021661</v>
      </c>
      <c r="K625" s="593">
        <f t="shared" si="2349"/>
        <v>37.418818992888518</v>
      </c>
      <c r="L625" s="593">
        <f t="shared" si="2349"/>
        <v>64.632979991430361</v>
      </c>
      <c r="M625" s="593">
        <f t="shared" si="2349"/>
        <v>92.991978168890725</v>
      </c>
      <c r="N625" s="593">
        <f t="shared" si="2349"/>
        <v>122.52309324451937</v>
      </c>
      <c r="O625" s="593">
        <f t="shared" si="2349"/>
        <v>153.28641238409745</v>
      </c>
      <c r="P625" s="593">
        <f t="shared" si="2349"/>
        <v>185.3275898677137</v>
      </c>
      <c r="Q625" s="593">
        <f t="shared" ref="Q625:U625" si="2350">Q533-Q579</f>
        <v>218.62896336620059</v>
      </c>
      <c r="R625" s="593">
        <f t="shared" si="2350"/>
        <v>253.28268530124777</v>
      </c>
      <c r="S625" s="593">
        <f t="shared" si="2350"/>
        <v>289.33795297741989</v>
      </c>
      <c r="T625" s="593">
        <f t="shared" si="2350"/>
        <v>326.84563549483204</v>
      </c>
      <c r="U625" s="593">
        <f t="shared" si="2350"/>
        <v>365.75535167241208</v>
      </c>
      <c r="W625" s="563" t="str">
        <v>Lääne-Eesti</v>
      </c>
      <c r="X625" s="592">
        <f t="shared" ref="X625:X628" si="2351">SUM(Y625:AH625)</f>
        <v>262.57426493906007</v>
      </c>
      <c r="Y625" s="593">
        <f t="shared" ref="Y625" si="2352">Y533-Y579</f>
        <v>1.0150288746716596</v>
      </c>
      <c r="Z625" s="593">
        <f t="shared" ref="Z625:AH625" si="2353">Z533-Z579</f>
        <v>1.3925616300538586</v>
      </c>
      <c r="AA625" s="593">
        <f t="shared" si="2353"/>
        <v>1.7575042856779173</v>
      </c>
      <c r="AB625" s="593">
        <f t="shared" si="2353"/>
        <v>3.8194593754519244</v>
      </c>
      <c r="AC625" s="593">
        <f t="shared" si="2353"/>
        <v>12.00614067259073</v>
      </c>
      <c r="AD625" s="593">
        <f t="shared" si="2353"/>
        <v>18.6693040628791</v>
      </c>
      <c r="AE625" s="593">
        <f t="shared" si="2353"/>
        <v>44.014699396477766</v>
      </c>
      <c r="AF625" s="593">
        <f t="shared" si="2353"/>
        <v>51.616262306693976</v>
      </c>
      <c r="AG625" s="593">
        <f t="shared" si="2353"/>
        <v>59.789412368678988</v>
      </c>
      <c r="AH625" s="593">
        <f t="shared" si="2353"/>
        <v>68.493891965884103</v>
      </c>
      <c r="AI625" s="593">
        <f t="shared" ref="AI625:AM625" si="2354">AI533-AI579</f>
        <v>77.123764993781364</v>
      </c>
      <c r="AJ625" s="593">
        <f t="shared" si="2354"/>
        <v>86.138564823428482</v>
      </c>
      <c r="AK625" s="593">
        <f t="shared" si="2354"/>
        <v>95.554127070351257</v>
      </c>
      <c r="AL625" s="593">
        <f t="shared" si="2354"/>
        <v>105.38690313945001</v>
      </c>
      <c r="AM625" s="593">
        <f t="shared" si="2354"/>
        <v>115.65897395823964</v>
      </c>
    </row>
    <row r="626" spans="2:60" hidden="1" outlineLevel="1" x14ac:dyDescent="0.3">
      <c r="C626" s="587" t="str">
        <f t="shared" si="2347"/>
        <v>CEER2</v>
      </c>
      <c r="E626" s="563" t="s">
        <v>52</v>
      </c>
      <c r="F626" s="592">
        <f t="shared" si="2348"/>
        <v>226.06327475607327</v>
      </c>
      <c r="G626" s="593">
        <f t="shared" si="2342"/>
        <v>2.5301893657963501</v>
      </c>
      <c r="H626" s="593">
        <f t="shared" si="2342"/>
        <v>2.7966430199217065</v>
      </c>
      <c r="I626" s="593">
        <f t="shared" ref="I626:P626" si="2355">I534-I580</f>
        <v>3.0765195289919216</v>
      </c>
      <c r="J626" s="593">
        <f t="shared" si="2355"/>
        <v>4.6806678030516427</v>
      </c>
      <c r="K626" s="593">
        <f t="shared" si="2355"/>
        <v>13.337119518542092</v>
      </c>
      <c r="L626" s="593">
        <f t="shared" si="2355"/>
        <v>21.667429216695751</v>
      </c>
      <c r="M626" s="593">
        <f t="shared" si="2355"/>
        <v>30.385886947745341</v>
      </c>
      <c r="N626" s="593">
        <f t="shared" si="2355"/>
        <v>39.508194793279344</v>
      </c>
      <c r="O626" s="593">
        <f t="shared" si="2355"/>
        <v>49.050614640067295</v>
      </c>
      <c r="P626" s="593">
        <f t="shared" si="2355"/>
        <v>59.030009921981858</v>
      </c>
      <c r="Q626" s="593">
        <f t="shared" ref="Q626:U626" si="2356">Q534-Q580</f>
        <v>69.485664408304643</v>
      </c>
      <c r="R626" s="593">
        <f t="shared" si="2356"/>
        <v>80.421334895844751</v>
      </c>
      <c r="S626" s="593">
        <f t="shared" si="2356"/>
        <v>91.856286298564129</v>
      </c>
      <c r="T626" s="593">
        <f t="shared" si="2356"/>
        <v>103.81049722392953</v>
      </c>
      <c r="U626" s="593">
        <f t="shared" si="2356"/>
        <v>116.38209660574958</v>
      </c>
      <c r="W626" s="563" t="str">
        <v>Kirde-Eesti</v>
      </c>
      <c r="X626" s="592">
        <f t="shared" si="2351"/>
        <v>156.43643333113789</v>
      </c>
      <c r="Y626" s="593">
        <f t="shared" ref="Y626" si="2357">Y534-Y580</f>
        <v>1.2434285722947509</v>
      </c>
      <c r="Z626" s="593">
        <f t="shared" ref="Z626:AH626" si="2358">Z534-Z580</f>
        <v>1.6022150534584017</v>
      </c>
      <c r="AA626" s="593">
        <f t="shared" si="2358"/>
        <v>1.9132644578387106</v>
      </c>
      <c r="AB626" s="593">
        <f t="shared" si="2358"/>
        <v>3.7921074646431263</v>
      </c>
      <c r="AC626" s="593">
        <f t="shared" si="2358"/>
        <v>10.208320389372908</v>
      </c>
      <c r="AD626" s="593">
        <f t="shared" si="2358"/>
        <v>15.646264089128749</v>
      </c>
      <c r="AE626" s="593">
        <f t="shared" si="2358"/>
        <v>21.3067167905837</v>
      </c>
      <c r="AF626" s="593">
        <f t="shared" si="2358"/>
        <v>27.039314226064345</v>
      </c>
      <c r="AG626" s="593">
        <f t="shared" si="2358"/>
        <v>33.391780963393394</v>
      </c>
      <c r="AH626" s="593">
        <f t="shared" si="2358"/>
        <v>40.29302132435982</v>
      </c>
      <c r="AI626" s="593">
        <f t="shared" ref="AI626:AM626" si="2359">AI534-AI580</f>
        <v>47.323114594430578</v>
      </c>
      <c r="AJ626" s="593">
        <f t="shared" si="2359"/>
        <v>54.679289854572666</v>
      </c>
      <c r="AK626" s="593">
        <f t="shared" si="2359"/>
        <v>62.375560976177113</v>
      </c>
      <c r="AL626" s="593">
        <f t="shared" si="2359"/>
        <v>70.42651519612113</v>
      </c>
      <c r="AM626" s="593">
        <f t="shared" si="2359"/>
        <v>78.83835045603773</v>
      </c>
    </row>
    <row r="627" spans="2:60" hidden="1" outlineLevel="1" x14ac:dyDescent="0.3">
      <c r="C627" s="587" t="str">
        <f t="shared" si="2347"/>
        <v>CEER2</v>
      </c>
      <c r="E627" s="563" t="s">
        <v>53</v>
      </c>
      <c r="F627" s="592">
        <f t="shared" si="2348"/>
        <v>671.07412719781451</v>
      </c>
      <c r="G627" s="593">
        <f t="shared" si="2342"/>
        <v>0.92040670108240974</v>
      </c>
      <c r="H627" s="593">
        <f t="shared" si="2342"/>
        <v>2.7226874023585452</v>
      </c>
      <c r="I627" s="593">
        <f t="shared" ref="I627:P627" si="2360">I535-I581</f>
        <v>4.3337456879706044</v>
      </c>
      <c r="J627" s="593">
        <f t="shared" si="2360"/>
        <v>14.626394443204935</v>
      </c>
      <c r="K627" s="593">
        <f t="shared" si="2360"/>
        <v>45.161594889040785</v>
      </c>
      <c r="L627" s="593">
        <f t="shared" si="2360"/>
        <v>59.638512728640613</v>
      </c>
      <c r="M627" s="593">
        <f t="shared" si="2360"/>
        <v>111.1296358493055</v>
      </c>
      <c r="N627" s="593">
        <f t="shared" si="2360"/>
        <v>127.26952717811521</v>
      </c>
      <c r="O627" s="593">
        <f t="shared" si="2360"/>
        <v>143.9809102543619</v>
      </c>
      <c r="P627" s="593">
        <f t="shared" si="2360"/>
        <v>161.29071206373408</v>
      </c>
      <c r="Q627" s="593">
        <f t="shared" ref="Q627:U627" si="2361">Q535-Q581</f>
        <v>169.20250002479895</v>
      </c>
      <c r="R627" s="593">
        <f t="shared" si="2361"/>
        <v>177.39024996479333</v>
      </c>
      <c r="S627" s="593">
        <f t="shared" si="2361"/>
        <v>185.86502573055728</v>
      </c>
      <c r="T627" s="593">
        <f t="shared" si="2361"/>
        <v>194.63830729944658</v>
      </c>
      <c r="U627" s="593">
        <f t="shared" si="2361"/>
        <v>203.72200581827744</v>
      </c>
      <c r="W627" s="563" t="str">
        <v>Lõuna-Eesti </v>
      </c>
      <c r="X627" s="592">
        <f t="shared" si="2351"/>
        <v>380.51641587966844</v>
      </c>
      <c r="Y627" s="593">
        <f t="shared" ref="Y627" si="2362">Y535-Y581</f>
        <v>2.5952219000400953</v>
      </c>
      <c r="Z627" s="593">
        <f t="shared" ref="Z627:AH627" si="2363">Z535-Z581</f>
        <v>3.4400645923371687</v>
      </c>
      <c r="AA627" s="593">
        <f t="shared" si="2363"/>
        <v>4.2480793178093199</v>
      </c>
      <c r="AB627" s="593">
        <f t="shared" si="2363"/>
        <v>8.8776632903435129</v>
      </c>
      <c r="AC627" s="593">
        <f t="shared" si="2363"/>
        <v>25.264447189946118</v>
      </c>
      <c r="AD627" s="593">
        <f t="shared" si="2363"/>
        <v>38.276474253403791</v>
      </c>
      <c r="AE627" s="593">
        <f t="shared" si="2363"/>
        <v>52.088034536171357</v>
      </c>
      <c r="AF627" s="593">
        <f t="shared" si="2363"/>
        <v>66.227572801109559</v>
      </c>
      <c r="AG627" s="593">
        <f t="shared" si="2363"/>
        <v>81.548361263995162</v>
      </c>
      <c r="AH627" s="593">
        <f t="shared" si="2363"/>
        <v>97.950496734512356</v>
      </c>
      <c r="AI627" s="593">
        <f t="shared" ref="AI627:AM627" si="2364">AI535-AI581</f>
        <v>113.93312212115863</v>
      </c>
      <c r="AJ627" s="593">
        <f t="shared" si="2364"/>
        <v>130.64142941671344</v>
      </c>
      <c r="AK627" s="593">
        <f t="shared" si="2364"/>
        <v>148.10584529887336</v>
      </c>
      <c r="AL627" s="593">
        <f t="shared" si="2364"/>
        <v>166.35800267226315</v>
      </c>
      <c r="AM627" s="593">
        <f t="shared" si="2364"/>
        <v>185.42869596348098</v>
      </c>
    </row>
    <row r="628" spans="2:60" hidden="1" outlineLevel="1" x14ac:dyDescent="0.3">
      <c r="C628" s="587" t="str">
        <f t="shared" si="2347"/>
        <v>CEER2</v>
      </c>
      <c r="E628" s="563" t="s">
        <v>54</v>
      </c>
      <c r="F628" s="592">
        <f t="shared" si="2348"/>
        <v>18.253162347797911</v>
      </c>
      <c r="G628" s="593">
        <f t="shared" si="2342"/>
        <v>0.15607811711356981</v>
      </c>
      <c r="H628" s="593">
        <f t="shared" si="2342"/>
        <v>0.16477240673409629</v>
      </c>
      <c r="I628" s="593">
        <f t="shared" ref="I628:P628" si="2365">I536-I582</f>
        <v>0.17406299940577868</v>
      </c>
      <c r="J628" s="593">
        <f t="shared" si="2365"/>
        <v>0.98783916952456907</v>
      </c>
      <c r="K628" s="593">
        <f t="shared" si="2365"/>
        <v>1.4561613714740878</v>
      </c>
      <c r="L628" s="593">
        <f t="shared" si="2365"/>
        <v>1.491287711279061</v>
      </c>
      <c r="M628" s="593">
        <f t="shared" si="2365"/>
        <v>2.2471839837417726</v>
      </c>
      <c r="N628" s="593">
        <f t="shared" si="2365"/>
        <v>3.0323077685556497</v>
      </c>
      <c r="O628" s="593">
        <f t="shared" si="2365"/>
        <v>3.8479630237729268</v>
      </c>
      <c r="P628" s="593">
        <f t="shared" si="2365"/>
        <v>4.6955057961963984</v>
      </c>
      <c r="Q628" s="593">
        <f t="shared" ref="Q628:U628" si="2366">Q536-Q582</f>
        <v>4.7982144721071425</v>
      </c>
      <c r="R628" s="593">
        <f t="shared" si="2366"/>
        <v>4.9041914946201022</v>
      </c>
      <c r="S628" s="593">
        <f t="shared" si="2366"/>
        <v>5.013544242550938</v>
      </c>
      <c r="T628" s="593">
        <f t="shared" si="2366"/>
        <v>5.1263837624839121</v>
      </c>
      <c r="U628" s="593">
        <f t="shared" si="2366"/>
        <v>5.2428248985868304</v>
      </c>
      <c r="W628" s="563" t="str">
        <v>Kesk-Eesti</v>
      </c>
      <c r="X628" s="592">
        <f t="shared" si="2351"/>
        <v>160.19833228369237</v>
      </c>
      <c r="Y628" s="593">
        <f t="shared" ref="Y628" si="2367">Y536-Y582</f>
        <v>1.0728953959178742</v>
      </c>
      <c r="Z628" s="593">
        <f t="shared" ref="Z628:AH628" si="2368">Z536-Z582</f>
        <v>1.4166182850488567</v>
      </c>
      <c r="AA628" s="593">
        <f t="shared" si="2368"/>
        <v>1.7480215482303476</v>
      </c>
      <c r="AB628" s="593">
        <f t="shared" si="2368"/>
        <v>3.6800496909366824</v>
      </c>
      <c r="AC628" s="593">
        <f t="shared" si="2368"/>
        <v>10.487616153068066</v>
      </c>
      <c r="AD628" s="593">
        <f t="shared" si="2368"/>
        <v>15.982495523301948</v>
      </c>
      <c r="AE628" s="593">
        <f t="shared" si="2368"/>
        <v>21.884569368071112</v>
      </c>
      <c r="AF628" s="593">
        <f t="shared" si="2368"/>
        <v>27.927247262144252</v>
      </c>
      <c r="AG628" s="593">
        <f t="shared" si="2368"/>
        <v>34.485031621430657</v>
      </c>
      <c r="AH628" s="593">
        <f t="shared" si="2368"/>
        <v>41.513787435542568</v>
      </c>
      <c r="AI628" s="593">
        <f t="shared" ref="AI628:AM628" si="2369">AI536-AI582</f>
        <v>48.631403705695547</v>
      </c>
      <c r="AJ628" s="593">
        <f t="shared" si="2369"/>
        <v>56.073570673822488</v>
      </c>
      <c r="AK628" s="593">
        <f t="shared" si="2369"/>
        <v>63.853882970756104</v>
      </c>
      <c r="AL628" s="593">
        <f t="shared" si="2369"/>
        <v>71.986473208258417</v>
      </c>
      <c r="AM628" s="593">
        <f t="shared" si="2369"/>
        <v>80.48631712899612</v>
      </c>
    </row>
    <row r="629" spans="2:60" x14ac:dyDescent="0.3"/>
    <row r="631" spans="2:60" ht="19.5" collapsed="1" thickBot="1" x14ac:dyDescent="0.35">
      <c r="B631" s="1" t="s">
        <v>432</v>
      </c>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row>
    <row r="632" spans="2:60" hidden="1" outlineLevel="1" x14ac:dyDescent="0.3">
      <c r="W632"/>
      <c r="X632"/>
      <c r="Y632"/>
      <c r="Z632"/>
      <c r="AA632"/>
      <c r="AB632"/>
      <c r="AC632"/>
      <c r="AD632"/>
      <c r="AE632"/>
      <c r="AF632"/>
      <c r="AG632"/>
      <c r="AH632"/>
    </row>
    <row r="633" spans="2:60" ht="15" hidden="1" outlineLevel="1" x14ac:dyDescent="0.3">
      <c r="C633" s="5" t="s">
        <v>433</v>
      </c>
      <c r="D633" s="5"/>
      <c r="E633" s="5"/>
      <c r="F633" s="5"/>
      <c r="G633" s="5"/>
      <c r="H633" s="5"/>
      <c r="I633" s="5"/>
      <c r="J633" s="5"/>
      <c r="K633" s="5"/>
      <c r="L633" s="5"/>
      <c r="M633" s="5"/>
      <c r="N633" s="5"/>
      <c r="O633" s="5"/>
      <c r="P633" s="5"/>
      <c r="Q633" s="5"/>
      <c r="R633" s="5"/>
      <c r="S633" s="5"/>
      <c r="T633" s="5"/>
      <c r="U633" s="5"/>
      <c r="W633" s="5" t="s">
        <v>325</v>
      </c>
      <c r="X633" s="5"/>
      <c r="Y633" s="5"/>
      <c r="Z633" s="5"/>
      <c r="AA633" s="5"/>
      <c r="AB633" s="5"/>
      <c r="AC633" s="5"/>
      <c r="AD633" s="5"/>
      <c r="AE633" s="5"/>
      <c r="AF633" s="5"/>
      <c r="AG633" s="5"/>
      <c r="AH633" s="5"/>
      <c r="AI633" s="5"/>
      <c r="AJ633"/>
      <c r="AK633"/>
      <c r="AL633"/>
      <c r="AM633"/>
      <c r="AN633"/>
      <c r="AO633"/>
      <c r="AP633"/>
      <c r="AQ633"/>
      <c r="AR633"/>
      <c r="AS633"/>
      <c r="AT633"/>
      <c r="AU633"/>
      <c r="AV633"/>
      <c r="AW633"/>
      <c r="AX633"/>
      <c r="AY633"/>
      <c r="AZ633"/>
      <c r="BA633"/>
    </row>
    <row r="634" spans="2:60" hidden="1" outlineLevel="1" x14ac:dyDescent="0.3">
      <c r="W634"/>
      <c r="X634"/>
      <c r="Y634"/>
      <c r="Z634"/>
      <c r="AA634"/>
      <c r="AB634"/>
      <c r="AC634"/>
      <c r="AD634"/>
      <c r="AE634"/>
      <c r="AF634"/>
      <c r="AG634"/>
      <c r="AH634"/>
      <c r="AJ634"/>
      <c r="AK634"/>
      <c r="AL634"/>
      <c r="AM634"/>
      <c r="AN634"/>
      <c r="AO634"/>
      <c r="AP634"/>
      <c r="AQ634"/>
      <c r="AR634"/>
      <c r="AS634"/>
      <c r="AT634"/>
      <c r="AU634"/>
      <c r="AV634"/>
      <c r="AW634"/>
      <c r="AX634"/>
      <c r="AY634"/>
      <c r="AZ634"/>
      <c r="BA634"/>
    </row>
    <row r="635" spans="2:60" hidden="1" outlineLevel="1" x14ac:dyDescent="0.3">
      <c r="W635"/>
      <c r="X635"/>
      <c r="Y635"/>
      <c r="Z635" s="2063" t="s">
        <v>327</v>
      </c>
      <c r="AA635" s="2063"/>
      <c r="AB635" s="2063"/>
      <c r="AC635" s="2063"/>
      <c r="AD635" s="2063"/>
      <c r="AE635" s="2064" t="s">
        <v>328</v>
      </c>
      <c r="AF635" s="2064"/>
      <c r="AG635" s="2064"/>
      <c r="AH635" s="2064"/>
      <c r="AI635" s="2064"/>
      <c r="AJ635"/>
      <c r="AK635"/>
      <c r="AL635"/>
      <c r="AM635"/>
      <c r="AN635"/>
      <c r="AO635"/>
      <c r="AP635"/>
      <c r="AQ635"/>
      <c r="AR635"/>
      <c r="AS635"/>
      <c r="AT635"/>
      <c r="AU635"/>
      <c r="AV635"/>
      <c r="AW635"/>
      <c r="AX635"/>
      <c r="AY635"/>
      <c r="AZ635"/>
      <c r="BA635"/>
    </row>
    <row r="636" spans="2:60" ht="47.25" hidden="1" outlineLevel="1" x14ac:dyDescent="0.3">
      <c r="E636" s="625"/>
      <c r="F636" s="625"/>
      <c r="G636" s="625">
        <v>2021</v>
      </c>
      <c r="H636" s="625">
        <v>2022</v>
      </c>
      <c r="I636" s="625">
        <v>2023</v>
      </c>
      <c r="J636" s="625">
        <v>2024</v>
      </c>
      <c r="K636" s="625">
        <v>2025</v>
      </c>
      <c r="L636" s="625">
        <v>2026</v>
      </c>
      <c r="M636" s="625">
        <v>2027</v>
      </c>
      <c r="N636" s="625">
        <v>2028</v>
      </c>
      <c r="O636" s="625">
        <v>2029</v>
      </c>
      <c r="P636" s="625">
        <v>2030</v>
      </c>
      <c r="Q636" s="625">
        <v>2031</v>
      </c>
      <c r="R636" s="625">
        <v>2032</v>
      </c>
      <c r="S636" s="625">
        <v>2033</v>
      </c>
      <c r="T636" s="625">
        <v>2034</v>
      </c>
      <c r="U636" s="625">
        <v>2035</v>
      </c>
      <c r="W636" s="1151"/>
      <c r="X636" s="1151"/>
      <c r="Y636" s="1151"/>
      <c r="Z636" s="1151" t="s">
        <v>329</v>
      </c>
      <c r="AA636" s="1151" t="s">
        <v>330</v>
      </c>
      <c r="AB636" s="1151" t="s">
        <v>331</v>
      </c>
      <c r="AC636" s="1151" t="s">
        <v>332</v>
      </c>
      <c r="AD636" s="1151" t="s">
        <v>333</v>
      </c>
      <c r="AE636" s="1151" t="s">
        <v>329</v>
      </c>
      <c r="AF636" s="1151" t="s">
        <v>334</v>
      </c>
      <c r="AG636" s="1151" t="s">
        <v>331</v>
      </c>
      <c r="AH636" s="1151" t="s">
        <v>335</v>
      </c>
      <c r="AI636" s="1151" t="s">
        <v>336</v>
      </c>
      <c r="AJ636"/>
      <c r="AK636"/>
      <c r="AL636"/>
      <c r="AM636"/>
      <c r="AN636"/>
      <c r="AO636"/>
      <c r="AP636"/>
      <c r="AQ636"/>
      <c r="AR636"/>
      <c r="AS636"/>
      <c r="AT636"/>
      <c r="AU636"/>
      <c r="AV636"/>
      <c r="AW636"/>
      <c r="AX636"/>
      <c r="AY636"/>
      <c r="AZ636"/>
      <c r="BA636"/>
    </row>
    <row r="637" spans="2:60" hidden="1" outlineLevel="1" x14ac:dyDescent="0.3">
      <c r="C637" s="587" t="str">
        <f>E637</f>
        <v>Baseline</v>
      </c>
      <c r="E637" s="555" t="str">
        <f>'EE Measures'!$IF$6</f>
        <v>Baseline</v>
      </c>
      <c r="F637" s="229"/>
      <c r="G637" s="591">
        <f t="shared" ref="G637:P637" si="2370">SUM(G638:G642)</f>
        <v>2480.7693281045208</v>
      </c>
      <c r="H637" s="591">
        <f t="shared" si="2370"/>
        <v>2581.5454639536229</v>
      </c>
      <c r="I637" s="591">
        <f t="shared" si="2370"/>
        <v>2661.5406045065993</v>
      </c>
      <c r="J637" s="591">
        <f t="shared" si="2370"/>
        <v>2818.4649067763703</v>
      </c>
      <c r="K637" s="591">
        <f t="shared" si="2370"/>
        <v>2939.4612436664988</v>
      </c>
      <c r="L637" s="591">
        <f t="shared" si="2370"/>
        <v>3027.6541227397288</v>
      </c>
      <c r="M637" s="591">
        <f t="shared" si="2370"/>
        <v>3120.6792922961708</v>
      </c>
      <c r="N637" s="591">
        <f t="shared" si="2370"/>
        <v>3220.7854828367022</v>
      </c>
      <c r="O637" s="591">
        <f t="shared" si="2370"/>
        <v>3324.9343369367243</v>
      </c>
      <c r="P637" s="591">
        <f t="shared" si="2370"/>
        <v>3432.4835931557172</v>
      </c>
      <c r="Q637" s="591">
        <f t="shared" ref="Q637:U637" si="2371">SUM(Q638:Q642)</f>
        <v>3544.6296029343384</v>
      </c>
      <c r="R637" s="591">
        <f t="shared" si="2371"/>
        <v>3661.0526059952836</v>
      </c>
      <c r="S637" s="591">
        <f t="shared" si="2371"/>
        <v>3781.9270370163354</v>
      </c>
      <c r="T637" s="591">
        <f t="shared" si="2371"/>
        <v>3907.4347223076538</v>
      </c>
      <c r="U637" s="591">
        <f t="shared" si="2371"/>
        <v>4037.7652004472657</v>
      </c>
      <c r="W637" s="2065" t="s">
        <v>337</v>
      </c>
      <c r="X637" s="1148" t="s">
        <v>51</v>
      </c>
      <c r="Y637" s="1149" t="s">
        <v>55</v>
      </c>
      <c r="Z637" s="1150">
        <f>Assumptions!D480</f>
        <v>77.22351864547089</v>
      </c>
      <c r="AA637" s="1150">
        <f t="shared" ref="AA637:AA663" si="2372">(AB637-Z637)/10</f>
        <v>2.4075619630275371</v>
      </c>
      <c r="AB637" s="1150">
        <f>Assumptions!M480</f>
        <v>101.29913827574626</v>
      </c>
      <c r="AC637" s="1150">
        <f t="shared" ref="AC637:AC663" si="2373">AB637-Z637</f>
        <v>24.075619630275369</v>
      </c>
      <c r="AD637" s="886">
        <f t="shared" ref="AD637:AD663" si="2374">AC637/Z637</f>
        <v>0.311765379933091</v>
      </c>
      <c r="AE637" s="1150">
        <f>Assumptions!D490</f>
        <v>77.22351864547089</v>
      </c>
      <c r="AF637" s="1150">
        <f>((AG637-AE637)/10)-AA637</f>
        <v>0.62464352300312509</v>
      </c>
      <c r="AG637" s="1150">
        <f>Assumptions!M490</f>
        <v>107.54557350577751</v>
      </c>
      <c r="AH637" s="1150">
        <f>(AG637-AE637)-AC637</f>
        <v>6.2464352300312527</v>
      </c>
      <c r="AI637" s="887">
        <f>((AG637-AE637)/AE637)-AD637</f>
        <v>8.0887731349154224E-2</v>
      </c>
      <c r="AJ637"/>
      <c r="AK637"/>
      <c r="AL637"/>
      <c r="AM637"/>
      <c r="AN637"/>
      <c r="AO637"/>
      <c r="AP637"/>
      <c r="AQ637"/>
      <c r="AR637"/>
      <c r="AS637"/>
      <c r="AT637"/>
      <c r="AU637"/>
      <c r="AV637"/>
      <c r="AW637"/>
      <c r="AX637"/>
      <c r="AY637"/>
      <c r="AZ637"/>
      <c r="BA637"/>
    </row>
    <row r="638" spans="2:60" hidden="1" outlineLevel="1" x14ac:dyDescent="0.3">
      <c r="C638" s="587" t="str">
        <f>C637</f>
        <v>Baseline</v>
      </c>
      <c r="E638" s="563" t="s">
        <v>50</v>
      </c>
      <c r="F638" s="229"/>
      <c r="G638" s="593" cm="1">
        <f t="array" ref="G638">INDEX(G$9:G$56,MATCH($C638&amp;$E638,$C$9:$C$56&amp;$E$9:$E$56,0))*INDEX(Assumptions!D$495:D$500,MATCH($E638,Assumptions!$B$495:$B$500,0))</f>
        <v>289.29334260405022</v>
      </c>
      <c r="H638" s="593" cm="1">
        <f t="array" ref="H638">INDEX(H$9:H$56,MATCH($C638&amp;$E638,$C$9:$C$56&amp;$E$9:$E$56,0))*INDEX(Assumptions!E$495:E$500,MATCH($E638,Assumptions!$B$495:$B$500,0))</f>
        <v>325.92893814752739</v>
      </c>
      <c r="I638" s="593" cm="1">
        <f t="array" ref="I638">INDEX(I$9:I$56,MATCH($C638&amp;$E638,$C$9:$C$56&amp;$E$9:$E$56,0))*INDEX(Assumptions!F$495:F$500,MATCH($E638,Assumptions!$B$495:$B$500,0))</f>
        <v>338.8294538218048</v>
      </c>
      <c r="J638" s="593" cm="1">
        <f t="array" ref="J638">INDEX(J$9:J$56,MATCH($C638&amp;$E638,$C$9:$C$56&amp;$E$9:$E$56,0))*INDEX(Assumptions!G$495:G$500,MATCH($E638,Assumptions!$B$495:$B$500,0))</f>
        <v>363.8261052153083</v>
      </c>
      <c r="K638" s="593" cm="1">
        <f t="array" ref="K638">INDEX(K$9:K$56,MATCH($C638&amp;$E638,$C$9:$C$56&amp;$E$9:$E$56,0))*INDEX(Assumptions!H$495:H$500,MATCH($E638,Assumptions!$B$495:$B$500,0))</f>
        <v>380.5497179740093</v>
      </c>
      <c r="L638" s="593" cm="1">
        <f t="array" ref="L638">INDEX(L$9:L$56,MATCH($C638&amp;$E638,$C$9:$C$56&amp;$E$9:$E$56,0))*INDEX(Assumptions!I$495:I$500,MATCH($E638,Assumptions!$B$495:$B$500,0))</f>
        <v>392.33886657883721</v>
      </c>
      <c r="M638" s="593" cm="1">
        <f t="array" ref="M638">INDEX(M$9:M$56,MATCH($C638&amp;$E638,$C$9:$C$56&amp;$E$9:$E$56,0))*INDEX(Assumptions!J$495:J$500,MATCH($E638,Assumptions!$B$495:$B$500,0))</f>
        <v>405.62993762122431</v>
      </c>
      <c r="N638" s="593" cm="1">
        <f t="array" ref="N638">INDEX(N$9:N$56,MATCH($C638&amp;$E638,$C$9:$C$56&amp;$E$9:$E$56,0))*INDEX(Assumptions!K$495:K$500,MATCH($E638,Assumptions!$B$495:$B$500,0))</f>
        <v>423.00395772884656</v>
      </c>
      <c r="O638" s="593" cm="1">
        <f t="array" ref="O638">INDEX(O$9:O$56,MATCH($C638&amp;$E638,$C$9:$C$56&amp;$E$9:$E$56,0))*INDEX(Assumptions!L$495:L$500,MATCH($E638,Assumptions!$B$495:$B$500,0))</f>
        <v>441.32587662488879</v>
      </c>
      <c r="P638" s="593" cm="1">
        <f t="array" ref="P638">INDEX(P$9:P$56,MATCH($C638&amp;$E638,$C$9:$C$56&amp;$E$9:$E$56,0))*INDEX(Assumptions!M$495:M$500,MATCH($E638,Assumptions!$B$495:$B$500,0))</f>
        <v>459.83621421839649</v>
      </c>
      <c r="Q638" s="593" cm="1">
        <f t="array" ref="Q638">INDEX(Q$9:Q$56,MATCH($C638&amp;$E638,$C$9:$C$56&amp;$E$9:$E$56,0))*INDEX(Assumptions!N$495:N$500,MATCH($E638,Assumptions!$B$495:$B$500,0))</f>
        <v>479.38280443566805</v>
      </c>
      <c r="R638" s="593" cm="1">
        <f t="array" ref="R638">INDEX(R$9:R$56,MATCH($C638&amp;$E638,$C$9:$C$56&amp;$E$9:$E$56,0))*INDEX(Assumptions!O$495:O$500,MATCH($E638,Assumptions!$B$495:$B$500,0))</f>
        <v>499.79915411902005</v>
      </c>
      <c r="S638" s="593" cm="1">
        <f t="array" ref="S638">INDEX(S$9:S$56,MATCH($C638&amp;$E638,$C$9:$C$56&amp;$E$9:$E$56,0))*INDEX(Assumptions!P$495:P$500,MATCH($E638,Assumptions!$B$495:$B$500,0))</f>
        <v>521.12460336391825</v>
      </c>
      <c r="T638" s="593" cm="1">
        <f t="array" ref="T638">INDEX(T$9:T$56,MATCH($C638&amp;$E638,$C$9:$C$56&amp;$E$9:$E$56,0))*INDEX(Assumptions!Q$495:Q$500,MATCH($E638,Assumptions!$B$495:$B$500,0))</f>
        <v>543.40028030074313</v>
      </c>
      <c r="U638" s="593" cm="1">
        <f t="array" ref="U638">INDEX(U$9:U$56,MATCH($C638&amp;$E638,$C$9:$C$56&amp;$E$9:$E$56,0))*INDEX(Assumptions!R$495:R$500,MATCH($E638,Assumptions!$B$495:$B$500,0))</f>
        <v>566.66918246994999</v>
      </c>
      <c r="W638" s="2066"/>
      <c r="X638" s="1148" t="s">
        <v>338</v>
      </c>
      <c r="Y638" s="1149" t="s">
        <v>55</v>
      </c>
      <c r="Z638" s="1150">
        <f>Assumptions!D478</f>
        <v>64.623518645470881</v>
      </c>
      <c r="AA638" s="1150">
        <f t="shared" si="2372"/>
        <v>2.0235477514026883</v>
      </c>
      <c r="AB638" s="1150">
        <f>Assumptions!M478</f>
        <v>84.858996159497764</v>
      </c>
      <c r="AC638" s="1150">
        <f t="shared" si="2373"/>
        <v>20.235477514026883</v>
      </c>
      <c r="AD638" s="886">
        <f t="shared" si="2374"/>
        <v>0.31312868655512432</v>
      </c>
      <c r="AE638" s="1150">
        <f>Assumptions!D489</f>
        <v>64.623518645470881</v>
      </c>
      <c r="AF638" s="1150">
        <f>((AG638-AE638)/10)-AA638</f>
        <v>0.16391226348854104</v>
      </c>
      <c r="AG638" s="1150">
        <f>Assumptions!M489</f>
        <v>86.498118794383174</v>
      </c>
      <c r="AH638" s="1150">
        <f>(AG638-AE638)-AC638</f>
        <v>1.6391226348854104</v>
      </c>
      <c r="AI638" s="887">
        <f>((AG638-AE638)/AE638)-AD638</f>
        <v>2.5364181171838529E-2</v>
      </c>
      <c r="AJ638"/>
      <c r="AK638"/>
      <c r="AL638"/>
      <c r="AM638"/>
      <c r="AN638"/>
      <c r="AO638"/>
      <c r="AP638"/>
      <c r="AQ638"/>
      <c r="AR638"/>
      <c r="AS638"/>
      <c r="AT638"/>
      <c r="AU638"/>
      <c r="AV638"/>
      <c r="AW638"/>
      <c r="AX638"/>
      <c r="AY638"/>
      <c r="AZ638"/>
      <c r="BA638"/>
    </row>
    <row r="639" spans="2:60" hidden="1" outlineLevel="1" x14ac:dyDescent="0.3">
      <c r="C639" s="587" t="str">
        <f>C638</f>
        <v>Baseline</v>
      </c>
      <c r="E639" s="563" t="s">
        <v>51</v>
      </c>
      <c r="F639" s="229"/>
      <c r="G639" s="593" cm="1">
        <f t="array" ref="G639">INDEX(G$9:G$56,MATCH($C639&amp;$E639,$C$9:$C$56&amp;$E$9:$E$56,0))*INDEX(Assumptions!D$495:D$500,MATCH($E639,Assumptions!$B$495:$B$500,0))</f>
        <v>852.6657193657868</v>
      </c>
      <c r="H639" s="593" cm="1">
        <f t="array" ref="H639">INDEX(H$9:H$56,MATCH($C639&amp;$E639,$C$9:$C$56&amp;$E$9:$E$56,0))*INDEX(Assumptions!E$495:E$500,MATCH($E639,Assumptions!$B$495:$B$500,0))</f>
        <v>879.15951841502385</v>
      </c>
      <c r="I639" s="593" cm="1">
        <f t="array" ref="I639">INDEX(I$9:I$56,MATCH($C639&amp;$E639,$C$9:$C$56&amp;$E$9:$E$56,0))*INDEX(Assumptions!F$495:F$500,MATCH($E639,Assumptions!$B$495:$B$500,0))</f>
        <v>906.54462506413802</v>
      </c>
      <c r="J639" s="593" cm="1">
        <f t="array" ref="J639">INDEX(J$9:J$56,MATCH($C639&amp;$E639,$C$9:$C$56&amp;$E$9:$E$56,0))*INDEX(Assumptions!G$495:G$500,MATCH($E639,Assumptions!$B$495:$B$500,0))</f>
        <v>943.19427723321326</v>
      </c>
      <c r="K639" s="593" cm="1">
        <f t="array" ref="K639">INDEX(K$9:K$56,MATCH($C639&amp;$E639,$C$9:$C$56&amp;$E$9:$E$56,0))*INDEX(Assumptions!H$495:H$500,MATCH($E639,Assumptions!$B$495:$B$500,0))</f>
        <v>977.11494388676726</v>
      </c>
      <c r="L639" s="593" cm="1">
        <f t="array" ref="L639">INDEX(L$9:L$56,MATCH($C639&amp;$E639,$C$9:$C$56&amp;$E$9:$E$56,0))*INDEX(Assumptions!I$495:I$500,MATCH($E639,Assumptions!$B$495:$B$500,0))</f>
        <v>1007.9613590235666</v>
      </c>
      <c r="M639" s="593" cm="1">
        <f t="array" ref="M639">INDEX(M$9:M$56,MATCH($C639&amp;$E639,$C$9:$C$56&amp;$E$9:$E$56,0))*INDEX(Assumptions!J$495:J$500,MATCH($E639,Assumptions!$B$495:$B$500,0))</f>
        <v>1040.329208142068</v>
      </c>
      <c r="N639" s="593" cm="1">
        <f t="array" ref="N639">INDEX(N$9:N$56,MATCH($C639&amp;$E639,$C$9:$C$56&amp;$E$9:$E$56,0))*INDEX(Assumptions!K$495:K$500,MATCH($E639,Assumptions!$B$495:$B$500,0))</f>
        <v>1073.8617131978617</v>
      </c>
      <c r="O639" s="593" cm="1">
        <f t="array" ref="O639">INDEX(O$9:O$56,MATCH($C639&amp;$E639,$C$9:$C$56&amp;$E$9:$E$56,0))*INDEX(Assumptions!L$495:L$500,MATCH($E639,Assumptions!$B$495:$B$500,0))</f>
        <v>1108.586601058417</v>
      </c>
      <c r="P639" s="593" cm="1">
        <f t="array" ref="P639">INDEX(P$9:P$56,MATCH($C639&amp;$E639,$C$9:$C$56&amp;$E$9:$E$56,0))*INDEX(Assumptions!M$495:M$500,MATCH($E639,Assumptions!$B$495:$B$500,0))</f>
        <v>1144.5493080119741</v>
      </c>
      <c r="Q639" s="593" cm="1">
        <f t="array" ref="Q639">INDEX(Q$9:Q$56,MATCH($C639&amp;$E639,$C$9:$C$56&amp;$E$9:$E$56,0))*INDEX(Assumptions!N$495:N$500,MATCH($E639,Assumptions!$B$495:$B$500,0))</f>
        <v>1181.4170408305049</v>
      </c>
      <c r="R639" s="593" cm="1">
        <f t="array" ref="R639">INDEX(R$9:R$56,MATCH($C639&amp;$E639,$C$9:$C$56&amp;$E$9:$E$56,0))*INDEX(Assumptions!O$495:O$500,MATCH($E639,Assumptions!$B$495:$B$500,0))</f>
        <v>1219.594257907919</v>
      </c>
      <c r="S639" s="593" cm="1">
        <f t="array" ref="S639">INDEX(S$9:S$56,MATCH($C639&amp;$E639,$C$9:$C$56&amp;$E$9:$E$56,0))*INDEX(Assumptions!P$495:P$500,MATCH($E639,Assumptions!$B$495:$B$500,0))</f>
        <v>1259.1308345573407</v>
      </c>
      <c r="T639" s="593" cm="1">
        <f t="array" ref="T639">INDEX(T$9:T$56,MATCH($C639&amp;$E639,$C$9:$C$56&amp;$E$9:$E$56,0))*INDEX(Assumptions!Q$495:Q$500,MATCH($E639,Assumptions!$B$495:$B$500,0))</f>
        <v>1300.0786601726411</v>
      </c>
      <c r="U639" s="593" cm="1">
        <f t="array" ref="U639">INDEX(U$9:U$56,MATCH($C639&amp;$E639,$C$9:$C$56&amp;$E$9:$E$56,0))*INDEX(Assumptions!R$495:R$500,MATCH($E639,Assumptions!$B$495:$B$500,0))</f>
        <v>1342.4917229394407</v>
      </c>
      <c r="W639" s="2065" t="s">
        <v>339</v>
      </c>
      <c r="X639" s="2068" t="str">
        <f>Assumptions!A451</f>
        <v>Households</v>
      </c>
      <c r="Y639" s="1149" t="str">
        <f>Assumptions!B451</f>
        <v>Total</v>
      </c>
      <c r="Z639" s="1150" cm="1">
        <f t="array" ref="Z639:Z652">Assumptions!D451:D464</f>
        <v>99.16</v>
      </c>
      <c r="AA639" s="1150">
        <f t="shared" si="2372"/>
        <v>3.3386535724678681</v>
      </c>
      <c r="AB639" s="1150" cm="1">
        <f t="array" ref="AB639:AB652">Assumptions!M451:M464</f>
        <v>132.54653572467868</v>
      </c>
      <c r="AC639" s="1150">
        <f t="shared" si="2373"/>
        <v>33.38653572467868</v>
      </c>
      <c r="AD639" s="886">
        <f t="shared" si="2374"/>
        <v>0.3366935833469008</v>
      </c>
      <c r="AE639" s="1150">
        <f>Assumptions!D492</f>
        <v>99.16</v>
      </c>
      <c r="AF639" s="1150">
        <f>((AG639-AE639)/10)-AA639</f>
        <v>0.14681174625120841</v>
      </c>
      <c r="AG639" s="1150">
        <f>Assumptions!M492</f>
        <v>134.01465318719076</v>
      </c>
      <c r="AH639" s="1150">
        <f>(AG639-AE639)-AC639</f>
        <v>1.4681174625120832</v>
      </c>
      <c r="AI639" s="887">
        <f>((AG639-AE639)/AE639)-AD639</f>
        <v>1.4805541170956837E-2</v>
      </c>
      <c r="AJ639"/>
      <c r="AK639"/>
      <c r="AL639"/>
      <c r="AM639"/>
      <c r="AN639"/>
      <c r="AO639"/>
      <c r="AP639"/>
      <c r="AQ639"/>
      <c r="AR639"/>
      <c r="AS639"/>
      <c r="AT639"/>
      <c r="AU639"/>
      <c r="AV639"/>
      <c r="AW639"/>
      <c r="AX639"/>
      <c r="AY639"/>
      <c r="AZ639"/>
      <c r="BA639"/>
    </row>
    <row r="640" spans="2:60" hidden="1" outlineLevel="1" x14ac:dyDescent="0.3">
      <c r="C640" s="587" t="str">
        <f>C639</f>
        <v>Baseline</v>
      </c>
      <c r="E640" s="563" t="s">
        <v>52</v>
      </c>
      <c r="F640" s="229"/>
      <c r="G640" s="593" cm="1">
        <f t="array" ref="G640">INDEX(G$9:G$56,MATCH($C640&amp;$E640,$C$9:$C$56&amp;$E$9:$E$56,0))*INDEX(Assumptions!D$495:D$500,MATCH($E640,Assumptions!$B$495:$B$500,0))</f>
        <v>381.21863430277921</v>
      </c>
      <c r="H640" s="593" cm="1">
        <f t="array" ref="H640">INDEX(H$9:H$56,MATCH($C640&amp;$E640,$C$9:$C$56&amp;$E$9:$E$56,0))*INDEX(Assumptions!E$495:E$500,MATCH($E640,Assumptions!$B$495:$B$500,0))</f>
        <v>394.09687684434823</v>
      </c>
      <c r="I640" s="593" cm="1">
        <f t="array" ref="I640">INDEX(I$9:I$56,MATCH($C640&amp;$E640,$C$9:$C$56&amp;$E$9:$E$56,0))*INDEX(Assumptions!F$495:F$500,MATCH($E640,Assumptions!$B$495:$B$500,0))</f>
        <v>407.8121531100723</v>
      </c>
      <c r="J640" s="593" cm="1">
        <f t="array" ref="J640">INDEX(J$9:J$56,MATCH($C640&amp;$E640,$C$9:$C$56&amp;$E$9:$E$56,0))*INDEX(Assumptions!G$495:G$500,MATCH($E640,Assumptions!$B$495:$B$500,0))</f>
        <v>428.92231753694591</v>
      </c>
      <c r="K640" s="593" cm="1">
        <f t="array" ref="K640">INDEX(K$9:K$56,MATCH($C640&amp;$E640,$C$9:$C$56&amp;$E$9:$E$56,0))*INDEX(Assumptions!H$495:H$500,MATCH($E640,Assumptions!$B$495:$B$500,0))</f>
        <v>447.26984196831756</v>
      </c>
      <c r="L640" s="593" cm="1">
        <f t="array" ref="L640">INDEX(L$9:L$56,MATCH($C640&amp;$E640,$C$9:$C$56&amp;$E$9:$E$56,0))*INDEX(Assumptions!I$495:I$500,MATCH($E640,Assumptions!$B$495:$B$500,0))</f>
        <v>462.7347835163992</v>
      </c>
      <c r="M640" s="593" cm="1">
        <f t="array" ref="M640">INDEX(M$9:M$56,MATCH($C640&amp;$E640,$C$9:$C$56&amp;$E$9:$E$56,0))*INDEX(Assumptions!J$495:J$500,MATCH($E640,Assumptions!$B$495:$B$500,0))</f>
        <v>478.8602279289953</v>
      </c>
      <c r="N640" s="593" cm="1">
        <f t="array" ref="N640">INDEX(N$9:N$56,MATCH($C640&amp;$E640,$C$9:$C$56&amp;$E$9:$E$56,0))*INDEX(Assumptions!K$495:K$500,MATCH($E640,Assumptions!$B$495:$B$500,0))</f>
        <v>495.63102389071707</v>
      </c>
      <c r="O640" s="593" cm="1">
        <f t="array" ref="O640">INDEX(O$9:O$56,MATCH($C640&amp;$E640,$C$9:$C$56&amp;$E$9:$E$56,0))*INDEX(Assumptions!L$495:L$500,MATCH($E640,Assumptions!$B$495:$B$500,0))</f>
        <v>513.07500622774455</v>
      </c>
      <c r="P640" s="593" cm="1">
        <f t="array" ref="P640">INDEX(P$9:P$56,MATCH($C640&amp;$E640,$C$9:$C$56&amp;$E$9:$E$56,0))*INDEX(Assumptions!M$495:M$500,MATCH($E640,Assumptions!$B$495:$B$500,0))</f>
        <v>531.22127429839838</v>
      </c>
      <c r="Q640" s="593" cm="1">
        <f t="array" ref="Q640">INDEX(Q$9:Q$56,MATCH($C640&amp;$E640,$C$9:$C$56&amp;$E$9:$E$56,0))*INDEX(Assumptions!N$495:N$500,MATCH($E640,Assumptions!$B$495:$B$500,0))</f>
        <v>550.29951005151804</v>
      </c>
      <c r="R640" s="593" cm="1">
        <f t="array" ref="R640">INDEX(R$9:R$56,MATCH($C640&amp;$E640,$C$9:$C$56&amp;$E$9:$E$56,0))*INDEX(Assumptions!O$495:O$500,MATCH($E640,Assumptions!$B$495:$B$500,0))</f>
        <v>570.15561963448602</v>
      </c>
      <c r="S640" s="593" cm="1">
        <f t="array" ref="S640">INDEX(S$9:S$56,MATCH($C640&amp;$E640,$C$9:$C$56&amp;$E$9:$E$56,0))*INDEX(Assumptions!P$495:P$500,MATCH($E640,Assumptions!$B$495:$B$500,0))</f>
        <v>590.82360986604624</v>
      </c>
      <c r="T640" s="593" cm="1">
        <f t="array" ref="T640">INDEX(T$9:T$56,MATCH($C640&amp;$E640,$C$9:$C$56&amp;$E$9:$E$56,0))*INDEX(Assumptions!Q$495:Q$500,MATCH($E640,Assumptions!$B$495:$B$500,0))</f>
        <v>612.33904552110585</v>
      </c>
      <c r="U640" s="593" cm="1">
        <f t="array" ref="U640">INDEX(U$9:U$56,MATCH($C640&amp;$E640,$C$9:$C$56&amp;$E$9:$E$56,0))*INDEX(Assumptions!R$495:R$500,MATCH($E640,Assumptions!$B$495:$B$500,0))</f>
        <v>634.73912271743791</v>
      </c>
      <c r="W640" s="2067"/>
      <c r="X640" s="2069"/>
      <c r="Y640" s="1149" t="str">
        <f>Assumptions!B452</f>
        <v>&lt;1000 kWh</v>
      </c>
      <c r="Z640" s="1150">
        <v>100.05999999999999</v>
      </c>
      <c r="AA640" s="1150">
        <f t="shared" si="2372"/>
        <v>3.3660831590124998</v>
      </c>
      <c r="AB640" s="1150">
        <v>133.72083159012499</v>
      </c>
      <c r="AC640" s="1150">
        <f t="shared" si="2373"/>
        <v>33.660831590124999</v>
      </c>
      <c r="AD640" s="886">
        <f t="shared" si="2374"/>
        <v>0.33640647201803919</v>
      </c>
      <c r="AE640" s="1150"/>
      <c r="AF640" s="1150"/>
      <c r="AG640" s="1150"/>
      <c r="AH640" s="1150"/>
      <c r="AI640" s="887"/>
      <c r="AJ640"/>
      <c r="AK640"/>
      <c r="AL640"/>
      <c r="AM640"/>
      <c r="AN640"/>
      <c r="AO640"/>
      <c r="AP640"/>
      <c r="AQ640"/>
      <c r="AR640"/>
      <c r="AS640"/>
      <c r="AT640"/>
      <c r="AU640"/>
      <c r="AV640"/>
      <c r="AW640"/>
      <c r="AX640"/>
      <c r="AY640"/>
      <c r="AZ640"/>
      <c r="BA640"/>
    </row>
    <row r="641" spans="3:53" hidden="1" outlineLevel="1" x14ac:dyDescent="0.3">
      <c r="C641" s="587" t="str">
        <f>C640</f>
        <v>Baseline</v>
      </c>
      <c r="E641" s="563" t="s">
        <v>53</v>
      </c>
      <c r="F641" s="229"/>
      <c r="G641" s="593" cm="1">
        <f t="array" ref="G641">INDEX(G$9:G$56,MATCH($C641&amp;$E641,$C$9:$C$56&amp;$E$9:$E$56,0))*INDEX(Assumptions!D$495:D$500,MATCH($E641,Assumptions!$B$495:$B$500,0))</f>
        <v>871.04745251271333</v>
      </c>
      <c r="H641" s="593" cm="1">
        <f t="array" ref="H641">INDEX(H$9:H$56,MATCH($C641&amp;$E641,$C$9:$C$56&amp;$E$9:$E$56,0))*INDEX(Assumptions!E$495:E$500,MATCH($E641,Assumptions!$B$495:$B$500,0))</f>
        <v>894.12012667710303</v>
      </c>
      <c r="I641" s="593" cm="1">
        <f t="array" ref="I641">INDEX(I$9:I$56,MATCH($C641&amp;$E641,$C$9:$C$56&amp;$E$9:$E$56,0))*INDEX(Assumptions!F$495:F$500,MATCH($E641,Assumptions!$B$495:$B$500,0))</f>
        <v>918.36785384360257</v>
      </c>
      <c r="J641" s="593" cm="1">
        <f t="array" ref="J641">INDEX(J$9:J$56,MATCH($C641&amp;$E641,$C$9:$C$56&amp;$E$9:$E$56,0))*INDEX(Assumptions!G$495:G$500,MATCH($E641,Assumptions!$B$495:$B$500,0))</f>
        <v>986.85785751586263</v>
      </c>
      <c r="K641" s="593" cm="1">
        <f t="array" ref="K641">INDEX(K$9:K$56,MATCH($C641&amp;$E641,$C$9:$C$56&amp;$E$9:$E$56,0))*INDEX(Assumptions!H$495:H$500,MATCH($E641,Assumptions!$B$495:$B$500,0))</f>
        <v>1035.1189036815044</v>
      </c>
      <c r="L641" s="593" cm="1">
        <f t="array" ref="L641">INDEX(L$9:L$56,MATCH($C641&amp;$E641,$C$9:$C$56&amp;$E$9:$E$56,0))*INDEX(Assumptions!I$495:I$500,MATCH($E641,Assumptions!$B$495:$B$500,0))</f>
        <v>1063.3281642416114</v>
      </c>
      <c r="M641" s="593" cm="1">
        <f t="array" ref="M641">INDEX(M$9:M$56,MATCH($C641&amp;$E641,$C$9:$C$56&amp;$E$9:$E$56,0))*INDEX(Assumptions!J$495:J$500,MATCH($E641,Assumptions!$B$495:$B$500,0))</f>
        <v>1092.6295813300108</v>
      </c>
      <c r="N641" s="593" cm="1">
        <f t="array" ref="N641">INDEX(N$9:N$56,MATCH($C641&amp;$E641,$C$9:$C$56&amp;$E$9:$E$56,0))*INDEX(Assumptions!K$495:K$500,MATCH($E641,Assumptions!$B$495:$B$500,0))</f>
        <v>1123.0611106431363</v>
      </c>
      <c r="O641" s="593" cm="1">
        <f t="array" ref="O641">INDEX(O$9:O$56,MATCH($C641&amp;$E641,$C$9:$C$56&amp;$E$9:$E$56,0))*INDEX(Assumptions!L$495:L$500,MATCH($E641,Assumptions!$B$495:$B$500,0))</f>
        <v>1154.6621559748753</v>
      </c>
      <c r="P641" s="593" cm="1">
        <f t="array" ref="P641">INDEX(P$9:P$56,MATCH($C641&amp;$E641,$C$9:$C$56&amp;$E$9:$E$56,0))*INDEX(Assumptions!M$495:M$500,MATCH($E641,Assumptions!$B$495:$B$500,0))</f>
        <v>1187.4736216630806</v>
      </c>
      <c r="Q641" s="593" cm="1">
        <f t="array" ref="Q641">INDEX(Q$9:Q$56,MATCH($C641&amp;$E641,$C$9:$C$56&amp;$E$9:$E$56,0))*INDEX(Assumptions!N$495:N$500,MATCH($E641,Assumptions!$B$495:$B$500,0))</f>
        <v>1221.9453050174327</v>
      </c>
      <c r="R641" s="593" cm="1">
        <f t="array" ref="R641">INDEX(R$9:R$56,MATCH($C641&amp;$E641,$C$9:$C$56&amp;$E$9:$E$56,0))*INDEX(Assumptions!O$495:O$500,MATCH($E641,Assumptions!$B$495:$B$500,0))</f>
        <v>1257.6716885142771</v>
      </c>
      <c r="S641" s="593" cm="1">
        <f t="array" ref="S641">INDEX(S$9:S$56,MATCH($C641&amp;$E641,$C$9:$C$56&amp;$E$9:$E$56,0))*INDEX(Assumptions!P$495:P$500,MATCH($E641,Assumptions!$B$495:$B$500,0))</f>
        <v>1294.7020427555747</v>
      </c>
      <c r="T641" s="593" cm="1">
        <f t="array" ref="T641">INDEX(T$9:T$56,MATCH($C641&amp;$E641,$C$9:$C$56&amp;$E$9:$E$56,0))*INDEX(Assumptions!Q$495:Q$500,MATCH($E641,Assumptions!$B$495:$B$500,0))</f>
        <v>1333.0876122640748</v>
      </c>
      <c r="U641" s="593" cm="1">
        <f t="array" ref="U641">INDEX(U$9:U$56,MATCH($C641&amp;$E641,$C$9:$C$56&amp;$E$9:$E$56,0))*INDEX(Assumptions!R$495:R$500,MATCH($E641,Assumptions!$B$495:$B$500,0))</f>
        <v>1372.8816949433865</v>
      </c>
      <c r="W641" s="2067"/>
      <c r="X641" s="2069"/>
      <c r="Y641" s="1149" t="str">
        <f>Assumptions!B453</f>
        <v>1000-2500 kWh</v>
      </c>
      <c r="Z641" s="1150">
        <v>96.960000000000008</v>
      </c>
      <c r="AA641" s="1150">
        <f t="shared" si="2372"/>
        <v>3.2716034720254354</v>
      </c>
      <c r="AB641" s="1150">
        <v>129.67603472025436</v>
      </c>
      <c r="AC641" s="1150">
        <f t="shared" si="2373"/>
        <v>32.716034720254356</v>
      </c>
      <c r="AD641" s="886">
        <f t="shared" si="2374"/>
        <v>0.33741784983760681</v>
      </c>
      <c r="AE641" s="1150"/>
      <c r="AF641" s="1150"/>
      <c r="AG641" s="1150"/>
      <c r="AH641" s="1150"/>
      <c r="AI641" s="887"/>
      <c r="AJ641"/>
      <c r="AK641"/>
      <c r="AL641"/>
      <c r="AM641"/>
      <c r="AN641"/>
      <c r="AO641"/>
      <c r="AP641"/>
      <c r="AQ641"/>
      <c r="AR641"/>
      <c r="AS641"/>
      <c r="AT641"/>
      <c r="AU641"/>
      <c r="AV641"/>
      <c r="AW641"/>
      <c r="AX641"/>
      <c r="AY641"/>
      <c r="AZ641"/>
      <c r="BA641"/>
    </row>
    <row r="642" spans="3:53" hidden="1" outlineLevel="1" x14ac:dyDescent="0.3">
      <c r="C642" s="587" t="str">
        <f>C641</f>
        <v>Baseline</v>
      </c>
      <c r="E642" s="563" t="s">
        <v>54</v>
      </c>
      <c r="F642" s="229"/>
      <c r="G642" s="593" cm="1">
        <f t="array" ref="G642">INDEX(G$9:G$56,MATCH($C642&amp;$E642,$C$9:$C$56&amp;$E$9:$E$56,0))*INDEX(Assumptions!D$495:D$500,MATCH($E642,Assumptions!$B$495:$B$500,0))</f>
        <v>86.544179319191272</v>
      </c>
      <c r="H642" s="593" cm="1">
        <f t="array" ref="H642">INDEX(H$9:H$56,MATCH($C642&amp;$E642,$C$9:$C$56&amp;$E$9:$E$56,0))*INDEX(Assumptions!E$495:E$500,MATCH($E642,Assumptions!$B$495:$B$500,0))</f>
        <v>88.24000386962004</v>
      </c>
      <c r="I642" s="593" cm="1">
        <f t="array" ref="I642">INDEX(I$9:I$56,MATCH($C642&amp;$E642,$C$9:$C$56&amp;$E$9:$E$56,0))*INDEX(Assumptions!F$495:F$500,MATCH($E642,Assumptions!$B$495:$B$500,0))</f>
        <v>89.986518666981524</v>
      </c>
      <c r="J642" s="593" cm="1">
        <f t="array" ref="J642">INDEX(J$9:J$56,MATCH($C642&amp;$E642,$C$9:$C$56&amp;$E$9:$E$56,0))*INDEX(Assumptions!G$495:G$500,MATCH($E642,Assumptions!$B$495:$B$500,0))</f>
        <v>95.664349275039967</v>
      </c>
      <c r="K642" s="593" cm="1">
        <f t="array" ref="K642">INDEX(K$9:K$56,MATCH($C642&amp;$E642,$C$9:$C$56&amp;$E$9:$E$56,0))*INDEX(Assumptions!H$495:H$500,MATCH($E642,Assumptions!$B$495:$B$500,0))</f>
        <v>99.407836155900313</v>
      </c>
      <c r="L642" s="593" cm="1">
        <f t="array" ref="L642">INDEX(L$9:L$56,MATCH($C642&amp;$E642,$C$9:$C$56&amp;$E$9:$E$56,0))*INDEX(Assumptions!I$495:I$500,MATCH($E642,Assumptions!$B$495:$B$500,0))</f>
        <v>101.29094937931467</v>
      </c>
      <c r="M642" s="593" cm="1">
        <f t="array" ref="M642">INDEX(M$9:M$56,MATCH($C642&amp;$E642,$C$9:$C$56&amp;$E$9:$E$56,0))*INDEX(Assumptions!J$495:J$500,MATCH($E642,Assumptions!$B$495:$B$500,0))</f>
        <v>103.23033727387244</v>
      </c>
      <c r="N642" s="593" cm="1">
        <f t="array" ref="N642">INDEX(N$9:N$56,MATCH($C642&amp;$E642,$C$9:$C$56&amp;$E$9:$E$56,0))*INDEX(Assumptions!K$495:K$500,MATCH($E642,Assumptions!$B$495:$B$500,0))</f>
        <v>105.22767737613997</v>
      </c>
      <c r="O642" s="593" cm="1">
        <f t="array" ref="O642">INDEX(O$9:O$56,MATCH($C642&amp;$E642,$C$9:$C$56&amp;$E$9:$E$56,0))*INDEX(Assumptions!L$495:L$500,MATCH($E642,Assumptions!$B$495:$B$500,0))</f>
        <v>107.28469705079796</v>
      </c>
      <c r="P642" s="593" cm="1">
        <f t="array" ref="P642">INDEX(P$9:P$56,MATCH($C642&amp;$E642,$C$9:$C$56&amp;$E$9:$E$56,0))*INDEX(Assumptions!M$495:M$500,MATCH($E642,Assumptions!$B$495:$B$500,0))</f>
        <v>109.40317496386803</v>
      </c>
      <c r="Q642" s="593" cm="1">
        <f t="array" ref="Q642">INDEX(Q$9:Q$56,MATCH($C642&amp;$E642,$C$9:$C$56&amp;$E$9:$E$56,0))*INDEX(Assumptions!N$495:N$500,MATCH($E642,Assumptions!$B$495:$B$500,0))</f>
        <v>111.58494259921477</v>
      </c>
      <c r="R642" s="593" cm="1">
        <f t="array" ref="R642">INDEX(R$9:R$56,MATCH($C642&amp;$E642,$C$9:$C$56&amp;$E$9:$E$56,0))*INDEX(Assumptions!O$495:O$500,MATCH($E642,Assumptions!$B$495:$B$500,0))</f>
        <v>113.83188581958179</v>
      </c>
      <c r="S642" s="593" cm="1">
        <f t="array" ref="S642">INDEX(S$9:S$56,MATCH($C642&amp;$E642,$C$9:$C$56&amp;$E$9:$E$56,0))*INDEX(Assumptions!P$495:P$500,MATCH($E642,Assumptions!$B$495:$B$500,0))</f>
        <v>116.14594647345565</v>
      </c>
      <c r="T642" s="593" cm="1">
        <f t="array" ref="T642">INDEX(T$9:T$56,MATCH($C642&amp;$E642,$C$9:$C$56&amp;$E$9:$E$56,0))*INDEX(Assumptions!Q$495:Q$500,MATCH($E642,Assumptions!$B$495:$B$500,0))</f>
        <v>118.52912404908882</v>
      </c>
      <c r="U642" s="593" cm="1">
        <f t="array" ref="U642">INDEX(U$9:U$56,MATCH($C642&amp;$E642,$C$9:$C$56&amp;$E$9:$E$56,0))*INDEX(Assumptions!R$495:R$500,MATCH($E642,Assumptions!$B$495:$B$500,0))</f>
        <v>120.98347737705082</v>
      </c>
      <c r="W642" s="2067"/>
      <c r="X642" s="2069"/>
      <c r="Y642" s="1149" t="str">
        <f>Assumptions!B454</f>
        <v>2500-5000 kWh</v>
      </c>
      <c r="Z642" s="1150">
        <v>93.759999999999991</v>
      </c>
      <c r="AA642" s="1150">
        <f t="shared" si="2372"/>
        <v>3.1740760532000749</v>
      </c>
      <c r="AB642" s="1150">
        <v>125.50076053200074</v>
      </c>
      <c r="AC642" s="1150">
        <f t="shared" si="2373"/>
        <v>31.740760532000749</v>
      </c>
      <c r="AD642" s="886">
        <f t="shared" si="2374"/>
        <v>0.3385320022611002</v>
      </c>
      <c r="AE642" s="1150"/>
      <c r="AF642" s="1150"/>
      <c r="AG642" s="1150"/>
      <c r="AH642" s="1150"/>
      <c r="AI642" s="887"/>
      <c r="AJ642"/>
      <c r="AK642"/>
      <c r="AL642"/>
      <c r="AM642"/>
      <c r="AN642"/>
      <c r="AO642"/>
      <c r="AP642"/>
      <c r="AQ642"/>
      <c r="AR642"/>
      <c r="AS642"/>
      <c r="AT642"/>
      <c r="AU642"/>
      <c r="AV642"/>
      <c r="AW642"/>
      <c r="AX642"/>
      <c r="AY642"/>
      <c r="AZ642"/>
      <c r="BA642"/>
    </row>
    <row r="643" spans="3:53" hidden="1" outlineLevel="1" x14ac:dyDescent="0.3">
      <c r="C643" s="587" t="str">
        <f>E643</f>
        <v>EEO</v>
      </c>
      <c r="E643" s="555" t="str">
        <f>'EE Measures'!$IG$6</f>
        <v>EEO</v>
      </c>
      <c r="F643" s="229"/>
      <c r="G643" s="591">
        <f t="shared" ref="G643" si="2375">SUM(G644:G648)</f>
        <v>2479.0940049867131</v>
      </c>
      <c r="H643" s="591">
        <f t="shared" ref="H643:P643" si="2376">SUM(H644:H648)</f>
        <v>2579.3502223221576</v>
      </c>
      <c r="I643" s="591">
        <f t="shared" si="2376"/>
        <v>2658.7971093401443</v>
      </c>
      <c r="J643" s="591">
        <f t="shared" si="2376"/>
        <v>2812.4256050698259</v>
      </c>
      <c r="K643" s="591">
        <f t="shared" si="2376"/>
        <v>2953.6973343141958</v>
      </c>
      <c r="L643" s="591">
        <f t="shared" si="2376"/>
        <v>3007.0478385218926</v>
      </c>
      <c r="M643" s="591">
        <f t="shared" si="2376"/>
        <v>3049.347342326198</v>
      </c>
      <c r="N643" s="591">
        <f t="shared" si="2376"/>
        <v>3111.5212089919792</v>
      </c>
      <c r="O643" s="591">
        <f t="shared" si="2376"/>
        <v>3175.7737492784959</v>
      </c>
      <c r="P643" s="591">
        <f t="shared" si="2376"/>
        <v>3241.5227510147492</v>
      </c>
      <c r="Q643" s="591">
        <f t="shared" ref="Q643:U643" si="2377">SUM(Q644:Q648)</f>
        <v>3312.7363955707806</v>
      </c>
      <c r="R643" s="591">
        <f t="shared" si="2377"/>
        <v>3386.1433406081715</v>
      </c>
      <c r="S643" s="591">
        <f t="shared" si="2377"/>
        <v>3461.8290045219942</v>
      </c>
      <c r="T643" s="591">
        <f t="shared" si="2377"/>
        <v>3539.8827453765612</v>
      </c>
      <c r="U643" s="591">
        <f t="shared" si="2377"/>
        <v>3620.3809410804956</v>
      </c>
      <c r="W643" s="2067"/>
      <c r="X643" s="2069"/>
      <c r="Y643" s="1149" t="str">
        <f>Assumptions!B455</f>
        <v>5000-15000 kWh</v>
      </c>
      <c r="Z643" s="1150">
        <v>101.66</v>
      </c>
      <c r="AA643" s="1150">
        <f t="shared" si="2372"/>
        <v>3.4148468684251809</v>
      </c>
      <c r="AB643" s="1150">
        <v>135.80846868425181</v>
      </c>
      <c r="AC643" s="1150">
        <f t="shared" si="2373"/>
        <v>34.14846868425181</v>
      </c>
      <c r="AD643" s="886">
        <f t="shared" si="2374"/>
        <v>0.33590860401585493</v>
      </c>
      <c r="AE643" s="1150"/>
      <c r="AF643" s="1150"/>
      <c r="AG643" s="1150"/>
      <c r="AH643" s="1150"/>
      <c r="AI643" s="887"/>
      <c r="AJ643"/>
      <c r="AK643"/>
      <c r="AL643"/>
      <c r="AM643"/>
      <c r="AN643"/>
      <c r="AO643"/>
      <c r="AP643"/>
      <c r="AQ643"/>
      <c r="AR643"/>
      <c r="AS643"/>
      <c r="AT643"/>
      <c r="AU643"/>
      <c r="AV643"/>
      <c r="AW643"/>
      <c r="AX643"/>
      <c r="AY643"/>
      <c r="AZ643"/>
      <c r="BA643"/>
    </row>
    <row r="644" spans="3:53" hidden="1" outlineLevel="1" x14ac:dyDescent="0.3">
      <c r="C644" s="587" t="str">
        <f>C643</f>
        <v>EEO</v>
      </c>
      <c r="E644" s="563" t="s">
        <v>50</v>
      </c>
      <c r="F644" s="229"/>
      <c r="G644" s="586" cm="1">
        <f t="array" ref="G644">INDEX(G$9:G$56,MATCH($C644&amp;$E644,$C$9:$C$56&amp;$E$9:$E$56,0))*INDEX(Assumptions!D$502:D$507,MATCH($E644,Assumptions!$B$502:$B$507,0))</f>
        <v>289.29334260405022</v>
      </c>
      <c r="H644" s="586" cm="1">
        <f t="array" ref="H644">INDEX(H$9:H$56,MATCH($C644&amp;$E644,$C$9:$C$56&amp;$E$9:$E$56,0))*INDEX(Assumptions!E$502:E$507,MATCH($E644,Assumptions!$B$502:$B$507,0))</f>
        <v>325.92893814752739</v>
      </c>
      <c r="I644" s="586" cm="1">
        <f t="array" ref="I644">INDEX(I$9:I$56,MATCH($C644&amp;$E644,$C$9:$C$56&amp;$E$9:$E$56,0))*INDEX(Assumptions!F$502:F$507,MATCH($E644,Assumptions!$B$502:$B$507,0))</f>
        <v>338.8294538218048</v>
      </c>
      <c r="J644" s="586" cm="1">
        <f t="array" ref="J644">INDEX(J$9:J$56,MATCH($C644&amp;$E644,$C$9:$C$56&amp;$E$9:$E$56,0))*INDEX(Assumptions!G$502:G$507,MATCH($E644,Assumptions!$B$502:$B$507,0))</f>
        <v>361.20767067927386</v>
      </c>
      <c r="K644" s="586" cm="1">
        <f t="array" ref="K644">INDEX(K$9:K$56,MATCH($C644&amp;$E644,$C$9:$C$56&amp;$E$9:$E$56,0))*INDEX(Assumptions!H$502:H$507,MATCH($E644,Assumptions!$B$502:$B$507,0))</f>
        <v>372.4925795300968</v>
      </c>
      <c r="L644" s="586" cm="1">
        <f t="array" ref="L644">INDEX(L$9:L$56,MATCH($C644&amp;$E644,$C$9:$C$56&amp;$E$9:$E$56,0))*INDEX(Assumptions!I$502:I$507,MATCH($E644,Assumptions!$B$502:$B$507,0))</f>
        <v>380.50485157813119</v>
      </c>
      <c r="M644" s="586" cm="1">
        <f t="array" ref="M644">INDEX(M$9:M$56,MATCH($C644&amp;$E644,$C$9:$C$56&amp;$E$9:$E$56,0))*INDEX(Assumptions!J$502:J$507,MATCH($E644,Assumptions!$B$502:$B$507,0))</f>
        <v>391.26941627744895</v>
      </c>
      <c r="N644" s="586" cm="1">
        <f t="array" ref="N644">INDEX(N$9:N$56,MATCH($C644&amp;$E644,$C$9:$C$56&amp;$E$9:$E$56,0))*INDEX(Assumptions!K$502:K$507,MATCH($E644,Assumptions!$B$502:$B$507,0))</f>
        <v>405.99213238986056</v>
      </c>
      <c r="O644" s="586" cm="1">
        <f t="array" ref="O644">INDEX(O$9:O$56,MATCH($C644&amp;$E644,$C$9:$C$56&amp;$E$9:$E$56,0))*INDEX(Assumptions!L$502:L$507,MATCH($E644,Assumptions!$B$502:$B$507,0))</f>
        <v>421.52106549602678</v>
      </c>
      <c r="P644" s="586" cm="1">
        <f t="array" ref="P644">INDEX(P$9:P$56,MATCH($C644&amp;$E644,$C$9:$C$56&amp;$E$9:$E$56,0))*INDEX(Assumptions!M$502:M$507,MATCH($E644,Assumptions!$B$502:$B$507,0))</f>
        <v>437.12778855513324</v>
      </c>
      <c r="Q644" s="586" cm="1">
        <f t="array" ref="Q644">INDEX(Q$9:Q$56,MATCH($C644&amp;$E644,$C$9:$C$56&amp;$E$9:$E$56,0))*INDEX(Assumptions!N$502:N$507,MATCH($E644,Assumptions!$B$502:$B$507,0))</f>
        <v>453.6186718472423</v>
      </c>
      <c r="R644" s="586" cm="1">
        <f t="array" ref="R644">INDEX(R$9:R$56,MATCH($C644&amp;$E644,$C$9:$C$56&amp;$E$9:$E$56,0))*INDEX(Assumptions!O$502:O$507,MATCH($E644,Assumptions!$B$502:$B$507,0))</f>
        <v>470.83018689425722</v>
      </c>
      <c r="S644" s="586" cm="1">
        <f t="array" ref="S644">INDEX(S$9:S$56,MATCH($C644&amp;$E644,$C$9:$C$56&amp;$E$9:$E$56,0))*INDEX(Assumptions!P$502:P$507,MATCH($E644,Assumptions!$B$502:$B$507,0))</f>
        <v>488.79523521465615</v>
      </c>
      <c r="T644" s="586" cm="1">
        <f t="array" ref="T644">INDEX(T$9:T$56,MATCH($C644&amp;$E644,$C$9:$C$56&amp;$E$9:$E$56,0))*INDEX(Assumptions!Q$502:Q$507,MATCH($E644,Assumptions!$B$502:$B$507,0))</f>
        <v>507.54825426215297</v>
      </c>
      <c r="U644" s="586" cm="1">
        <f t="array" ref="U644">INDEX(U$9:U$56,MATCH($C644&amp;$E644,$C$9:$C$56&amp;$E$9:$E$56,0))*INDEX(Assumptions!R$502:R$507,MATCH($E644,Assumptions!$B$502:$B$507,0))</f>
        <v>527.12528946959537</v>
      </c>
      <c r="W644" s="2067"/>
      <c r="X644" s="2070"/>
      <c r="Y644" s="1149" t="str">
        <f>Assumptions!B456</f>
        <v>&gt;15000 kWh</v>
      </c>
      <c r="Z644" s="1150">
        <v>100.46</v>
      </c>
      <c r="AA644" s="1150">
        <f t="shared" si="2372"/>
        <v>3.3782740863656686</v>
      </c>
      <c r="AB644" s="1150">
        <v>134.24274086365668</v>
      </c>
      <c r="AC644" s="1150">
        <f t="shared" si="2373"/>
        <v>33.782740863656684</v>
      </c>
      <c r="AD644" s="886">
        <f t="shared" si="2374"/>
        <v>0.33628051825260491</v>
      </c>
      <c r="AE644" s="1150"/>
      <c r="AF644" s="1150"/>
      <c r="AG644" s="1150"/>
      <c r="AH644" s="1150"/>
      <c r="AI644" s="887"/>
      <c r="AJ644"/>
      <c r="AK644"/>
      <c r="AL644"/>
      <c r="AM644"/>
      <c r="AN644"/>
      <c r="AO644"/>
      <c r="AP644"/>
      <c r="AQ644"/>
      <c r="AR644"/>
      <c r="AS644"/>
      <c r="AT644"/>
      <c r="AU644"/>
      <c r="AV644"/>
      <c r="AW644"/>
      <c r="AX644"/>
      <c r="AY644"/>
      <c r="AZ644"/>
      <c r="BA644"/>
    </row>
    <row r="645" spans="3:53" hidden="1" outlineLevel="1" x14ac:dyDescent="0.3">
      <c r="C645" s="587" t="str">
        <f>C644</f>
        <v>EEO</v>
      </c>
      <c r="E645" s="563" t="s">
        <v>51</v>
      </c>
      <c r="F645" s="229"/>
      <c r="G645" s="586" cm="1">
        <f t="array" ref="G645">INDEX(G$9:G$56,MATCH($C645&amp;$E645,$C$9:$C$56&amp;$E$9:$E$56,0))*INDEX(Assumptions!D$502:D$507,MATCH($E645,Assumptions!$B$502:$B$507,0))</f>
        <v>852.6657193657868</v>
      </c>
      <c r="H645" s="586" cm="1">
        <f t="array" ref="H645">INDEX(H$9:H$56,MATCH($C645&amp;$E645,$C$9:$C$56&amp;$E$9:$E$56,0))*INDEX(Assumptions!E$502:E$507,MATCH($E645,Assumptions!$B$502:$B$507,0))</f>
        <v>879.15951841502385</v>
      </c>
      <c r="I645" s="586" cm="1">
        <f t="array" ref="I645">INDEX(I$9:I$56,MATCH($C645&amp;$E645,$C$9:$C$56&amp;$E$9:$E$56,0))*INDEX(Assumptions!F$502:F$507,MATCH($E645,Assumptions!$B$502:$B$507,0))</f>
        <v>906.54462506413802</v>
      </c>
      <c r="J645" s="586" cm="1">
        <f t="array" ref="J645">INDEX(J$9:J$56,MATCH($C645&amp;$E645,$C$9:$C$56&amp;$E$9:$E$56,0))*INDEX(Assumptions!G$502:G$507,MATCH($E645,Assumptions!$B$502:$B$507,0))</f>
        <v>943.19427723321326</v>
      </c>
      <c r="K645" s="586" cm="1">
        <f t="array" ref="K645">INDEX(K$9:K$56,MATCH($C645&amp;$E645,$C$9:$C$56&amp;$E$9:$E$56,0))*INDEX(Assumptions!H$502:H$507,MATCH($E645,Assumptions!$B$502:$B$507,0))</f>
        <v>1012.7011838017469</v>
      </c>
      <c r="L645" s="586" cm="1">
        <f t="array" ref="L645">INDEX(L$9:L$56,MATCH($C645&amp;$E645,$C$9:$C$56&amp;$E$9:$E$56,0))*INDEX(Assumptions!I$502:I$507,MATCH($E645,Assumptions!$B$502:$B$507,0))</f>
        <v>1026.6168754982884</v>
      </c>
      <c r="M645" s="586" cm="1">
        <f t="array" ref="M645">INDEX(M$9:M$56,MATCH($C645&amp;$E645,$C$9:$C$56&amp;$E$9:$E$56,0))*INDEX(Assumptions!J$502:J$507,MATCH($E645,Assumptions!$B$502:$B$507,0))</f>
        <v>1041.0978410126629</v>
      </c>
      <c r="N645" s="586" cm="1">
        <f t="array" ref="N645">INDEX(N$9:N$56,MATCH($C645&amp;$E645,$C$9:$C$56&amp;$E$9:$E$56,0))*INDEX(Assumptions!K$502:K$507,MATCH($E645,Assumptions!$B$502:$B$507,0))</f>
        <v>1055.7262992463868</v>
      </c>
      <c r="O645" s="586" cm="1">
        <f t="array" ref="O645">INDEX(O$9:O$56,MATCH($C645&amp;$E645,$C$9:$C$56&amp;$E$9:$E$56,0))*INDEX(Assumptions!L$502:L$507,MATCH($E645,Assumptions!$B$502:$B$507,0))</f>
        <v>1070.484024960427</v>
      </c>
      <c r="P645" s="586" cm="1">
        <f t="array" ref="P645">INDEX(P$9:P$56,MATCH($C645&amp;$E645,$C$9:$C$56&amp;$E$9:$E$56,0))*INDEX(Assumptions!M$502:M$507,MATCH($E645,Assumptions!$B$502:$B$507,0))</f>
        <v>1085.3695493666544</v>
      </c>
      <c r="Q645" s="586" cm="1">
        <f t="array" ref="Q645">INDEX(Q$9:Q$56,MATCH($C645&amp;$E645,$C$9:$C$56&amp;$E$9:$E$56,0))*INDEX(Assumptions!N$502:N$507,MATCH($E645,Assumptions!$B$502:$B$507,0))</f>
        <v>1100.1457658890818</v>
      </c>
      <c r="R645" s="586" cm="1">
        <f t="array" ref="R645">INDEX(R$9:R$56,MATCH($C645&amp;$E645,$C$9:$C$56&amp;$E$9:$E$56,0))*INDEX(Assumptions!O$502:O$507,MATCH($E645,Assumptions!$B$502:$B$507,0))</f>
        <v>1115.0370605861265</v>
      </c>
      <c r="S645" s="586" cm="1">
        <f t="array" ref="S645">INDEX(S$9:S$56,MATCH($C645&amp;$E645,$C$9:$C$56&amp;$E$9:$E$56,0))*INDEX(Assumptions!P$502:P$507,MATCH($E645,Assumptions!$B$502:$B$507,0))</f>
        <v>1130.0417309330098</v>
      </c>
      <c r="T645" s="586" cm="1">
        <f t="array" ref="T645">INDEX(T$9:T$56,MATCH($C645&amp;$E645,$C$9:$C$56&amp;$E$9:$E$56,0))*INDEX(Assumptions!Q$502:Q$507,MATCH($E645,Assumptions!$B$502:$B$507,0))</f>
        <v>1145.158074604137</v>
      </c>
      <c r="U645" s="586" cm="1">
        <f t="array" ref="U645">INDEX(U$9:U$56,MATCH($C645&amp;$E645,$C$9:$C$56&amp;$E$9:$E$56,0))*INDEX(Assumptions!R$502:R$507,MATCH($E645,Assumptions!$B$502:$B$507,0))</f>
        <v>1160.388390483047</v>
      </c>
      <c r="W645" s="2067"/>
      <c r="X645" s="2068" t="s">
        <v>338</v>
      </c>
      <c r="Y645" s="1149" t="str">
        <f>Assumptions!B457</f>
        <v>Total</v>
      </c>
      <c r="Z645" s="1150">
        <v>78.600000000000009</v>
      </c>
      <c r="AA645" s="1150">
        <f t="shared" si="2372"/>
        <v>2.7120399065149399</v>
      </c>
      <c r="AB645" s="1150">
        <v>105.72039906514941</v>
      </c>
      <c r="AC645" s="1150">
        <f t="shared" si="2373"/>
        <v>27.1203990651494</v>
      </c>
      <c r="AD645" s="886">
        <f t="shared" si="2374"/>
        <v>0.34504324510368189</v>
      </c>
      <c r="AE645" s="1150">
        <f>Assumptions!D491</f>
        <v>78.600000000000009</v>
      </c>
      <c r="AF645" s="1150">
        <f>((AG645-AE645)/10)-AA645</f>
        <v>0.14620707368625707</v>
      </c>
      <c r="AG645" s="1150">
        <f>Assumptions!M491</f>
        <v>107.18246980201198</v>
      </c>
      <c r="AH645" s="1150">
        <f>(AG645-AE645)-AC645</f>
        <v>1.4620707368625716</v>
      </c>
      <c r="AI645" s="887">
        <f>((AG645-AE645)/AE645)-AD645</f>
        <v>1.8601408865936031E-2</v>
      </c>
      <c r="AJ645"/>
      <c r="AK645"/>
      <c r="AL645"/>
      <c r="AM645"/>
      <c r="AN645"/>
      <c r="AO645"/>
      <c r="AP645"/>
      <c r="AQ645"/>
      <c r="AR645"/>
      <c r="AS645"/>
      <c r="AT645"/>
      <c r="AU645"/>
      <c r="AV645"/>
      <c r="AW645"/>
      <c r="AX645"/>
      <c r="AY645"/>
      <c r="AZ645"/>
      <c r="BA645"/>
    </row>
    <row r="646" spans="3:53" hidden="1" outlineLevel="1" x14ac:dyDescent="0.3">
      <c r="C646" s="587" t="str">
        <f>C645</f>
        <v>EEO</v>
      </c>
      <c r="E646" s="563" t="s">
        <v>52</v>
      </c>
      <c r="F646" s="229"/>
      <c r="G646" s="586" cm="1">
        <f t="array" ref="G646">INDEX(G$9:G$56,MATCH($C646&amp;$E646,$C$9:$C$56&amp;$E$9:$E$56,0))*INDEX(Assumptions!D$502:D$507,MATCH($E646,Assumptions!$B$502:$B$507,0))</f>
        <v>381.21863430277921</v>
      </c>
      <c r="H646" s="586" cm="1">
        <f t="array" ref="H646">INDEX(H$9:H$56,MATCH($C646&amp;$E646,$C$9:$C$56&amp;$E$9:$E$56,0))*INDEX(Assumptions!E$502:E$507,MATCH($E646,Assumptions!$B$502:$B$507,0))</f>
        <v>394.09687684434823</v>
      </c>
      <c r="I646" s="586" cm="1">
        <f t="array" ref="I646">INDEX(I$9:I$56,MATCH($C646&amp;$E646,$C$9:$C$56&amp;$E$9:$E$56,0))*INDEX(Assumptions!F$502:F$507,MATCH($E646,Assumptions!$B$502:$B$507,0))</f>
        <v>407.8121531100723</v>
      </c>
      <c r="J646" s="586" cm="1">
        <f t="array" ref="J646">INDEX(J$9:J$56,MATCH($C646&amp;$E646,$C$9:$C$56&amp;$E$9:$E$56,0))*INDEX(Assumptions!G$502:G$507,MATCH($E646,Assumptions!$B$502:$B$507,0))</f>
        <v>428.92231753694591</v>
      </c>
      <c r="K646" s="586" cm="1">
        <f t="array" ref="K646">INDEX(K$9:K$56,MATCH($C646&amp;$E646,$C$9:$C$56&amp;$E$9:$E$56,0))*INDEX(Assumptions!H$502:H$507,MATCH($E646,Assumptions!$B$502:$B$507,0))</f>
        <v>445.78939305925536</v>
      </c>
      <c r="L646" s="586" cm="1">
        <f t="array" ref="L646">INDEX(L$9:L$56,MATCH($C646&amp;$E646,$C$9:$C$56&amp;$E$9:$E$56,0))*INDEX(Assumptions!I$502:I$507,MATCH($E646,Assumptions!$B$502:$B$507,0))</f>
        <v>451.68516943960083</v>
      </c>
      <c r="M646" s="586" cm="1">
        <f t="array" ref="M646">INDEX(M$9:M$56,MATCH($C646&amp;$E646,$C$9:$C$56&amp;$E$9:$E$56,0))*INDEX(Assumptions!J$502:J$507,MATCH($E646,Assumptions!$B$502:$B$507,0))</f>
        <v>457.74481145294226</v>
      </c>
      <c r="N646" s="586" cm="1">
        <f t="array" ref="N646">INDEX(N$9:N$56,MATCH($C646&amp;$E646,$C$9:$C$56&amp;$E$9:$E$56,0))*INDEX(Assumptions!K$502:K$507,MATCH($E646,Assumptions!$B$502:$B$507,0))</f>
        <v>463.93535349399343</v>
      </c>
      <c r="O646" s="586" cm="1">
        <f t="array" ref="O646">INDEX(O$9:O$56,MATCH($C646&amp;$E646,$C$9:$C$56&amp;$E$9:$E$56,0))*INDEX(Assumptions!L$502:L$507,MATCH($E646,Assumptions!$B$502:$B$507,0))</f>
        <v>470.2628962068564</v>
      </c>
      <c r="P646" s="586" cm="1">
        <f t="array" ref="P646">INDEX(P$9:P$56,MATCH($C646&amp;$E646,$C$9:$C$56&amp;$E$9:$E$56,0))*INDEX(Assumptions!M$502:M$507,MATCH($E646,Assumptions!$B$502:$B$507,0))</f>
        <v>476.73397306043518</v>
      </c>
      <c r="Q646" s="586" cm="1">
        <f t="array" ref="Q646">INDEX(Q$9:Q$56,MATCH($C646&amp;$E646,$C$9:$C$56&amp;$E$9:$E$56,0))*INDEX(Assumptions!N$502:N$507,MATCH($E646,Assumptions!$B$502:$B$507,0))</f>
        <v>483.52489037206743</v>
      </c>
      <c r="R646" s="586" cm="1">
        <f t="array" ref="R646">INDEX(R$9:R$56,MATCH($C646&amp;$E646,$C$9:$C$56&amp;$E$9:$E$56,0))*INDEX(Assumptions!O$502:O$507,MATCH($E646,Assumptions!$B$502:$B$507,0))</f>
        <v>490.47781444530176</v>
      </c>
      <c r="S646" s="586" cm="1">
        <f t="array" ref="S646">INDEX(S$9:S$56,MATCH($C646&amp;$E646,$C$9:$C$56&amp;$E$9:$E$56,0))*INDEX(Assumptions!P$502:P$507,MATCH($E646,Assumptions!$B$502:$B$507,0))</f>
        <v>497.60088402981523</v>
      </c>
      <c r="T646" s="586" cm="1">
        <f t="array" ref="T646">INDEX(T$9:T$56,MATCH($C646&amp;$E646,$C$9:$C$56&amp;$E$9:$E$56,0))*INDEX(Assumptions!Q$502:Q$507,MATCH($E646,Assumptions!$B$502:$B$507,0))</f>
        <v>504.90280589472974</v>
      </c>
      <c r="U646" s="586" cm="1">
        <f t="array" ref="U646">INDEX(U$9:U$56,MATCH($C646&amp;$E646,$C$9:$C$56&amp;$E$9:$E$56,0))*INDEX(Assumptions!R$502:R$507,MATCH($E646,Assumptions!$B$502:$B$507,0))</f>
        <v>512.37178793131102</v>
      </c>
      <c r="W646" s="2067"/>
      <c r="X646" s="2069"/>
      <c r="Y646" s="1149" t="str">
        <f>Assumptions!B458</f>
        <v>&lt; 20MWh</v>
      </c>
      <c r="Z646" s="1150">
        <v>86</v>
      </c>
      <c r="AA646" s="1150">
        <f t="shared" si="2372"/>
        <v>2.9375720625485826</v>
      </c>
      <c r="AB646" s="1150">
        <v>115.37572062548583</v>
      </c>
      <c r="AC646" s="1150">
        <f t="shared" si="2373"/>
        <v>29.375720625485826</v>
      </c>
      <c r="AD646" s="886">
        <f t="shared" si="2374"/>
        <v>0.34157814680797471</v>
      </c>
      <c r="AE646" s="1150"/>
      <c r="AF646" s="1150"/>
      <c r="AG646" s="1150"/>
      <c r="AH646" s="1150"/>
      <c r="AI646" s="887"/>
      <c r="AJ646"/>
      <c r="AK646"/>
      <c r="AL646"/>
      <c r="AM646"/>
      <c r="AN646"/>
      <c r="AO646"/>
      <c r="AP646"/>
      <c r="AQ646"/>
      <c r="AR646"/>
      <c r="AS646"/>
      <c r="AT646"/>
      <c r="AU646"/>
      <c r="AV646"/>
      <c r="AW646"/>
      <c r="AX646"/>
      <c r="AY646"/>
      <c r="AZ646"/>
      <c r="BA646"/>
    </row>
    <row r="647" spans="3:53" hidden="1" outlineLevel="1" x14ac:dyDescent="0.3">
      <c r="C647" s="587" t="str">
        <f>C646</f>
        <v>EEO</v>
      </c>
      <c r="E647" s="563" t="s">
        <v>53</v>
      </c>
      <c r="F647" s="229"/>
      <c r="G647" s="586" cm="1">
        <f t="array" ref="G647">INDEX(G$9:G$56,MATCH($C647&amp;$E647,$C$9:$C$56&amp;$E$9:$E$56,0))*INDEX(Assumptions!D$502:D$507,MATCH($E647,Assumptions!$B$502:$B$507,0))</f>
        <v>869.37212939490587</v>
      </c>
      <c r="H647" s="586" cm="1">
        <f t="array" ref="H647">INDEX(H$9:H$56,MATCH($C647&amp;$E647,$C$9:$C$56&amp;$E$9:$E$56,0))*INDEX(Assumptions!E$502:E$507,MATCH($E647,Assumptions!$B$502:$B$507,0))</f>
        <v>891.92488504563789</v>
      </c>
      <c r="I647" s="586" cm="1">
        <f t="array" ref="I647">INDEX(I$9:I$56,MATCH($C647&amp;$E647,$C$9:$C$56&amp;$E$9:$E$56,0))*INDEX(Assumptions!F$502:F$507,MATCH($E647,Assumptions!$B$502:$B$507,0))</f>
        <v>915.62435867714748</v>
      </c>
      <c r="J647" s="586" cm="1">
        <f t="array" ref="J647">INDEX(J$9:J$56,MATCH($C647&amp;$E647,$C$9:$C$56&amp;$E$9:$E$56,0))*INDEX(Assumptions!G$502:G$507,MATCH($E647,Assumptions!$B$502:$B$507,0))</f>
        <v>983.43699034535257</v>
      </c>
      <c r="K647" s="586" cm="1">
        <f t="array" ref="K647">INDEX(K$9:K$56,MATCH($C647&amp;$E647,$C$9:$C$56&amp;$E$9:$E$56,0))*INDEX(Assumptions!H$502:H$507,MATCH($E647,Assumptions!$B$502:$B$507,0))</f>
        <v>1023.3063417671962</v>
      </c>
      <c r="L647" s="586" cm="1">
        <f t="array" ref="L647">INDEX(L$9:L$56,MATCH($C647&amp;$E647,$C$9:$C$56&amp;$E$9:$E$56,0))*INDEX(Assumptions!I$502:I$507,MATCH($E647,Assumptions!$B$502:$B$507,0))</f>
        <v>1046.9499926265573</v>
      </c>
      <c r="M647" s="586" cm="1">
        <f t="array" ref="M647">INDEX(M$9:M$56,MATCH($C647&amp;$E647,$C$9:$C$56&amp;$E$9:$E$56,0))*INDEX(Assumptions!J$502:J$507,MATCH($E647,Assumptions!$B$502:$B$507,0))</f>
        <v>1056.724509865729</v>
      </c>
      <c r="N647" s="586" cm="1">
        <f t="array" ref="N647">INDEX(N$9:N$56,MATCH($C647&amp;$E647,$C$9:$C$56&amp;$E$9:$E$56,0))*INDEX(Assumptions!K$502:K$507,MATCH($E647,Assumptions!$B$502:$B$507,0))</f>
        <v>1082.1068750614488</v>
      </c>
      <c r="O647" s="586" cm="1">
        <f t="array" ref="O647">INDEX(O$9:O$56,MATCH($C647&amp;$E647,$C$9:$C$56&amp;$E$9:$E$56,0))*INDEX(Assumptions!L$502:L$507,MATCH($E647,Assumptions!$B$502:$B$507,0))</f>
        <v>1108.4649897883969</v>
      </c>
      <c r="P647" s="586" cm="1">
        <f t="array" ref="P647">INDEX(P$9:P$56,MATCH($C647&amp;$E647,$C$9:$C$56&amp;$E$9:$E$56,0))*INDEX(Assumptions!M$502:M$507,MATCH($E647,Assumptions!$B$502:$B$507,0))</f>
        <v>1135.9395351020585</v>
      </c>
      <c r="Q647" s="586" cm="1">
        <f t="array" ref="Q647">INDEX(Q$9:Q$56,MATCH($C647&amp;$E647,$C$9:$C$56&amp;$E$9:$E$56,0))*INDEX(Assumptions!N$502:N$507,MATCH($E647,Assumptions!$B$502:$B$507,0))</f>
        <v>1166.9745470966707</v>
      </c>
      <c r="R647" s="586" cm="1">
        <f t="array" ref="R647">INDEX(R$9:R$56,MATCH($C647&amp;$E647,$C$9:$C$56&amp;$E$9:$E$56,0))*INDEX(Assumptions!O$502:O$507,MATCH($E647,Assumptions!$B$502:$B$507,0))</f>
        <v>1199.1418018624993</v>
      </c>
      <c r="S647" s="586" cm="1">
        <f t="array" ref="S647">INDEX(S$9:S$56,MATCH($C647&amp;$E647,$C$9:$C$56&amp;$E$9:$E$56,0))*INDEX(Assumptions!P$502:P$507,MATCH($E647,Assumptions!$B$502:$B$507,0))</f>
        <v>1232.4854932397348</v>
      </c>
      <c r="T647" s="586" cm="1">
        <f t="array" ref="T647">INDEX(T$9:T$56,MATCH($C647&amp;$E647,$C$9:$C$56&amp;$E$9:$E$56,0))*INDEX(Assumptions!Q$502:Q$507,MATCH($E647,Assumptions!$B$502:$B$507,0))</f>
        <v>1267.0515945952836</v>
      </c>
      <c r="U647" s="586" cm="1">
        <f t="array" ref="U647">INDEX(U$9:U$56,MATCH($C647&amp;$E647,$C$9:$C$56&amp;$E$9:$E$56,0))*INDEX(Assumptions!R$502:R$507,MATCH($E647,Assumptions!$B$502:$B$507,0))</f>
        <v>1302.8879311882822</v>
      </c>
      <c r="W647" s="2067"/>
      <c r="X647" s="2069"/>
      <c r="Y647" s="1149" t="str">
        <f>Assumptions!B459</f>
        <v>20-500 MWh</v>
      </c>
      <c r="Z647" s="1150">
        <v>85</v>
      </c>
      <c r="AA647" s="1150">
        <f t="shared" si="2372"/>
        <v>2.9070947441656556</v>
      </c>
      <c r="AB647" s="1150">
        <v>114.07094744165656</v>
      </c>
      <c r="AC647" s="1150">
        <f t="shared" si="2373"/>
        <v>29.070947441656557</v>
      </c>
      <c r="AD647" s="886">
        <f t="shared" si="2374"/>
        <v>0.34201114637243007</v>
      </c>
      <c r="AE647" s="1150"/>
      <c r="AF647" s="1150"/>
      <c r="AG647" s="1150"/>
      <c r="AH647" s="1150"/>
      <c r="AI647" s="887"/>
      <c r="AJ647"/>
      <c r="AK647"/>
      <c r="AL647"/>
      <c r="AM647"/>
      <c r="AN647"/>
      <c r="AO647"/>
      <c r="AP647"/>
      <c r="AQ647"/>
      <c r="AR647"/>
      <c r="AS647"/>
      <c r="AT647"/>
      <c r="AU647"/>
      <c r="AV647"/>
      <c r="AW647"/>
      <c r="AX647"/>
      <c r="AY647"/>
      <c r="AZ647"/>
      <c r="BA647"/>
    </row>
    <row r="648" spans="3:53" hidden="1" outlineLevel="1" x14ac:dyDescent="0.3">
      <c r="C648" s="587" t="str">
        <f>C647</f>
        <v>EEO</v>
      </c>
      <c r="E648" s="563" t="s">
        <v>54</v>
      </c>
      <c r="F648" s="229"/>
      <c r="G648" s="586" cm="1">
        <f t="array" ref="G648">INDEX(G$9:G$56,MATCH($C648&amp;$E648,$C$9:$C$56&amp;$E$9:$E$56,0))*INDEX(Assumptions!D$502:D$507,MATCH($E648,Assumptions!$B$502:$B$507,0))</f>
        <v>86.544179319191272</v>
      </c>
      <c r="H648" s="586" cm="1">
        <f t="array" ref="H648">INDEX(H$9:H$56,MATCH($C648&amp;$E648,$C$9:$C$56&amp;$E$9:$E$56,0))*INDEX(Assumptions!E$502:E$507,MATCH($E648,Assumptions!$B$502:$B$507,0))</f>
        <v>88.24000386962004</v>
      </c>
      <c r="I648" s="586" cm="1">
        <f t="array" ref="I648">INDEX(I$9:I$56,MATCH($C648&amp;$E648,$C$9:$C$56&amp;$E$9:$E$56,0))*INDEX(Assumptions!F$502:F$507,MATCH($E648,Assumptions!$B$502:$B$507,0))</f>
        <v>89.986518666981524</v>
      </c>
      <c r="J648" s="586" cm="1">
        <f t="array" ref="J648">INDEX(J$9:J$56,MATCH($C648&amp;$E648,$C$9:$C$56&amp;$E$9:$E$56,0))*INDEX(Assumptions!G$502:G$507,MATCH($E648,Assumptions!$B$502:$B$507,0))</f>
        <v>95.664349275039967</v>
      </c>
      <c r="K648" s="586" cm="1">
        <f t="array" ref="K648">INDEX(K$9:K$56,MATCH($C648&amp;$E648,$C$9:$C$56&amp;$E$9:$E$56,0))*INDEX(Assumptions!H$502:H$507,MATCH($E648,Assumptions!$B$502:$B$507,0))</f>
        <v>99.407836155900313</v>
      </c>
      <c r="L648" s="586" cm="1">
        <f t="array" ref="L648">INDEX(L$9:L$56,MATCH($C648&amp;$E648,$C$9:$C$56&amp;$E$9:$E$56,0))*INDEX(Assumptions!I$502:I$507,MATCH($E648,Assumptions!$B$502:$B$507,0))</f>
        <v>101.29094937931467</v>
      </c>
      <c r="M648" s="586" cm="1">
        <f t="array" ref="M648">INDEX(M$9:M$56,MATCH($C648&amp;$E648,$C$9:$C$56&amp;$E$9:$E$56,0))*INDEX(Assumptions!J$502:J$507,MATCH($E648,Assumptions!$B$502:$B$507,0))</f>
        <v>102.51076371741459</v>
      </c>
      <c r="N648" s="586" cm="1">
        <f t="array" ref="N648">INDEX(N$9:N$56,MATCH($C648&amp;$E648,$C$9:$C$56&amp;$E$9:$E$56,0))*INDEX(Assumptions!K$502:K$507,MATCH($E648,Assumptions!$B$502:$B$507,0))</f>
        <v>103.76054880028975</v>
      </c>
      <c r="O648" s="586" cm="1">
        <f t="array" ref="O648">INDEX(O$9:O$56,MATCH($C648&amp;$E648,$C$9:$C$56&amp;$E$9:$E$56,0))*INDEX(Assumptions!L$502:L$507,MATCH($E648,Assumptions!$B$502:$B$507,0))</f>
        <v>105.04077282678884</v>
      </c>
      <c r="P648" s="586" cm="1">
        <f t="array" ref="P648">INDEX(P$9:P$56,MATCH($C648&amp;$E648,$C$9:$C$56&amp;$E$9:$E$56,0))*INDEX(Assumptions!M$502:M$507,MATCH($E648,Assumptions!$B$502:$B$507,0))</f>
        <v>106.35190493046805</v>
      </c>
      <c r="Q648" s="586" cm="1">
        <f t="array" ref="Q648">INDEX(Q$9:Q$56,MATCH($C648&amp;$E648,$C$9:$C$56&amp;$E$9:$E$56,0))*INDEX(Assumptions!N$502:N$507,MATCH($E648,Assumptions!$B$502:$B$507,0))</f>
        <v>108.47252036571871</v>
      </c>
      <c r="R648" s="586" cm="1">
        <f t="array" ref="R648">INDEX(R$9:R$56,MATCH($C648&amp;$E648,$C$9:$C$56&amp;$E$9:$E$56,0))*INDEX(Assumptions!O$502:O$507,MATCH($E648,Assumptions!$B$502:$B$507,0))</f>
        <v>110.65647681998674</v>
      </c>
      <c r="S648" s="586" cm="1">
        <f t="array" ref="S648">INDEX(S$9:S$56,MATCH($C648&amp;$E648,$C$9:$C$56&amp;$E$9:$E$56,0))*INDEX(Assumptions!P$502:P$507,MATCH($E648,Assumptions!$B$502:$B$507,0))</f>
        <v>112.90566110477864</v>
      </c>
      <c r="T648" s="586" cm="1">
        <f t="array" ref="T648">INDEX(T$9:T$56,MATCH($C648&amp;$E648,$C$9:$C$56&amp;$E$9:$E$56,0))*INDEX(Assumptions!Q$502:Q$507,MATCH($E648,Assumptions!$B$502:$B$507,0))</f>
        <v>115.2220160202574</v>
      </c>
      <c r="U648" s="586" cm="1">
        <f t="array" ref="U648">INDEX(U$9:U$56,MATCH($C648&amp;$E648,$C$9:$C$56&amp;$E$9:$E$56,0))*INDEX(Assumptions!R$502:R$507,MATCH($E648,Assumptions!$B$502:$B$507,0))</f>
        <v>117.60754200826035</v>
      </c>
      <c r="W648" s="2067"/>
      <c r="X648" s="2069"/>
      <c r="Y648" s="1149" t="str">
        <f>Assumptions!B460</f>
        <v>500-2000 MWh</v>
      </c>
      <c r="Z648" s="1150">
        <v>83.3</v>
      </c>
      <c r="AA648" s="1150">
        <f t="shared" si="2372"/>
        <v>2.8552833029146854</v>
      </c>
      <c r="AB648" s="1150">
        <v>111.85283302914685</v>
      </c>
      <c r="AC648" s="1150">
        <f t="shared" si="2373"/>
        <v>28.552833029146854</v>
      </c>
      <c r="AD648" s="886">
        <f t="shared" si="2374"/>
        <v>0.34277110479167894</v>
      </c>
      <c r="AE648" s="1150"/>
      <c r="AF648" s="1150"/>
      <c r="AG648" s="1150"/>
      <c r="AH648" s="1150"/>
      <c r="AI648" s="887"/>
      <c r="AJ648"/>
      <c r="AK648"/>
      <c r="AL648"/>
      <c r="AM648"/>
      <c r="AN648"/>
      <c r="AO648"/>
      <c r="AP648"/>
      <c r="AQ648"/>
      <c r="AR648"/>
      <c r="AS648"/>
      <c r="AT648"/>
      <c r="AU648"/>
      <c r="AV648"/>
      <c r="AW648"/>
      <c r="AX648"/>
      <c r="AY648"/>
      <c r="AZ648"/>
      <c r="BA648"/>
    </row>
    <row r="649" spans="3:53" hidden="1" outlineLevel="1" x14ac:dyDescent="0.3">
      <c r="C649" s="587" t="str">
        <f>E649</f>
        <v>VA</v>
      </c>
      <c r="E649" s="555" t="str">
        <f>'EE Measures'!$IH$6</f>
        <v>VA</v>
      </c>
      <c r="F649" s="229"/>
      <c r="G649" s="591">
        <f t="shared" ref="G649" si="2378">SUM(G650:G654)</f>
        <v>2479.0940049867131</v>
      </c>
      <c r="H649" s="591">
        <f t="shared" ref="H649:P649" si="2379">SUM(H650:H654)</f>
        <v>2579.3502223221576</v>
      </c>
      <c r="I649" s="591">
        <f t="shared" si="2379"/>
        <v>2658.7971093401443</v>
      </c>
      <c r="J649" s="591">
        <f t="shared" si="2379"/>
        <v>2812.4256050698259</v>
      </c>
      <c r="K649" s="591">
        <f t="shared" si="2379"/>
        <v>2900.4174144727713</v>
      </c>
      <c r="L649" s="591">
        <f t="shared" si="2379"/>
        <v>2958.978762396061</v>
      </c>
      <c r="M649" s="591">
        <f t="shared" si="2379"/>
        <v>3005.2559755807779</v>
      </c>
      <c r="N649" s="591">
        <f t="shared" si="2379"/>
        <v>3069.5378743829783</v>
      </c>
      <c r="O649" s="591">
        <f t="shared" si="2379"/>
        <v>3133.2836144224434</v>
      </c>
      <c r="P649" s="591">
        <f t="shared" si="2379"/>
        <v>3196.5018811865953</v>
      </c>
      <c r="Q649" s="591">
        <f t="shared" ref="Q649:U649" si="2380">SUM(Q650:Q654)</f>
        <v>3265.0094041166913</v>
      </c>
      <c r="R649" s="591">
        <f t="shared" si="2380"/>
        <v>3335.626657374306</v>
      </c>
      <c r="S649" s="591">
        <f t="shared" si="2380"/>
        <v>3408.4306466369885</v>
      </c>
      <c r="T649" s="591">
        <f t="shared" si="2380"/>
        <v>3483.5016497962374</v>
      </c>
      <c r="U649" s="591">
        <f t="shared" si="2380"/>
        <v>3560.9286750545293</v>
      </c>
      <c r="W649" s="2067"/>
      <c r="X649" s="2069"/>
      <c r="Y649" s="1149" t="str">
        <f>Assumptions!B461</f>
        <v>2000-20000 MWh</v>
      </c>
      <c r="Z649" s="1150">
        <v>72.5</v>
      </c>
      <c r="AA649" s="1150">
        <f t="shared" si="2372"/>
        <v>2.526128264379099</v>
      </c>
      <c r="AB649" s="1150">
        <v>97.761282643790992</v>
      </c>
      <c r="AC649" s="1150">
        <f t="shared" si="2373"/>
        <v>25.261282643790992</v>
      </c>
      <c r="AD649" s="886">
        <f t="shared" si="2374"/>
        <v>0.34843148474194469</v>
      </c>
      <c r="AE649" s="1150"/>
      <c r="AF649" s="1150"/>
      <c r="AG649" s="1150"/>
      <c r="AH649" s="1150"/>
      <c r="AI649" s="887"/>
      <c r="AJ649"/>
      <c r="AK649"/>
      <c r="AL649"/>
      <c r="AM649"/>
      <c r="AN649"/>
      <c r="AO649"/>
      <c r="AP649"/>
      <c r="AQ649"/>
      <c r="AR649"/>
      <c r="AS649"/>
      <c r="AT649"/>
      <c r="AU649"/>
      <c r="AV649"/>
      <c r="AW649"/>
      <c r="AX649"/>
      <c r="AY649"/>
      <c r="AZ649"/>
      <c r="BA649"/>
    </row>
    <row r="650" spans="3:53" hidden="1" outlineLevel="1" x14ac:dyDescent="0.3">
      <c r="C650" s="587" t="str">
        <f>C649</f>
        <v>VA</v>
      </c>
      <c r="E650" s="563" t="s">
        <v>50</v>
      </c>
      <c r="F650" s="229"/>
      <c r="G650" s="593" cm="1">
        <f t="array" ref="G650">INDEX(G$9:G$56,MATCH($C650&amp;$E650,$C$9:$C$56&amp;$E$9:$E$56,0))*INDEX(Assumptions!D$495:D$500,MATCH($E650,Assumptions!$B$495:$B$500,0))</f>
        <v>289.29334260405022</v>
      </c>
      <c r="H650" s="593" cm="1">
        <f t="array" ref="H650">INDEX(H$9:H$56,MATCH($C650&amp;$E650,$C$9:$C$56&amp;$E$9:$E$56,0))*INDEX(Assumptions!E$495:E$500,MATCH($E650,Assumptions!$B$495:$B$500,0))</f>
        <v>325.92893814752739</v>
      </c>
      <c r="I650" s="593" cm="1">
        <f t="array" ref="I650">INDEX(I$9:I$56,MATCH($C650&amp;$E650,$C$9:$C$56&amp;$E$9:$E$56,0))*INDEX(Assumptions!F$495:F$500,MATCH($E650,Assumptions!$B$495:$B$500,0))</f>
        <v>338.8294538218048</v>
      </c>
      <c r="J650" s="593" cm="1">
        <f t="array" ref="J650">INDEX(J$9:J$56,MATCH($C650&amp;$E650,$C$9:$C$56&amp;$E$9:$E$56,0))*INDEX(Assumptions!G$495:G$500,MATCH($E650,Assumptions!$B$495:$B$500,0))</f>
        <v>361.20767067927386</v>
      </c>
      <c r="K650" s="593" cm="1">
        <f t="array" ref="K650">INDEX(K$9:K$56,MATCH($C650&amp;$E650,$C$9:$C$56&amp;$E$9:$E$56,0))*INDEX(Assumptions!H$495:H$500,MATCH($E650,Assumptions!$B$495:$B$500,0))</f>
        <v>372.87531745382472</v>
      </c>
      <c r="L650" s="593" cm="1">
        <f t="array" ref="L650">INDEX(L$9:L$56,MATCH($C650&amp;$E650,$C$9:$C$56&amp;$E$9:$E$56,0))*INDEX(Assumptions!I$495:I$500,MATCH($E650,Assumptions!$B$495:$B$500,0))</f>
        <v>380.04640386802157</v>
      </c>
      <c r="M650" s="593" cm="1">
        <f t="array" ref="M650">INDEX(M$9:M$56,MATCH($C650&amp;$E650,$C$9:$C$56&amp;$E$9:$E$56,0))*INDEX(Assumptions!J$495:J$500,MATCH($E650,Assumptions!$B$495:$B$500,0))</f>
        <v>388.20731272678637</v>
      </c>
      <c r="N650" s="593" cm="1">
        <f t="array" ref="N650">INDEX(N$9:N$56,MATCH($C650&amp;$E650,$C$9:$C$56&amp;$E$9:$E$56,0))*INDEX(Assumptions!K$495:K$500,MATCH($E650,Assumptions!$B$495:$B$500,0))</f>
        <v>397.88529367201903</v>
      </c>
      <c r="O650" s="593" cm="1">
        <f t="array" ref="O650">INDEX(O$9:O$56,MATCH($C650&amp;$E650,$C$9:$C$56&amp;$E$9:$E$56,0))*INDEX(Assumptions!L$495:L$500,MATCH($E650,Assumptions!$B$495:$B$500,0))</f>
        <v>405.15284849822081</v>
      </c>
      <c r="P650" s="593" cm="1">
        <f t="array" ref="P650">INDEX(P$9:P$56,MATCH($C650&amp;$E650,$C$9:$C$56&amp;$E$9:$E$56,0))*INDEX(Assumptions!M$495:M$500,MATCH($E650,Assumptions!$B$495:$B$500,0))</f>
        <v>409.84158573516891</v>
      </c>
      <c r="Q650" s="593" cm="1">
        <f t="array" ref="Q650">INDEX(Q$9:Q$56,MATCH($C650&amp;$E650,$C$9:$C$56&amp;$E$9:$E$56,0))*INDEX(Assumptions!N$495:N$500,MATCH($E650,Assumptions!$B$495:$B$500,0))</f>
        <v>414.66267235889387</v>
      </c>
      <c r="R650" s="593" cm="1">
        <f t="array" ref="R650">INDEX(R$9:R$56,MATCH($C650&amp;$E650,$C$9:$C$56&amp;$E$9:$E$56,0))*INDEX(Assumptions!O$495:O$500,MATCH($E650,Assumptions!$B$495:$B$500,0))</f>
        <v>419.41917282007938</v>
      </c>
      <c r="S650" s="593" cm="1">
        <f t="array" ref="S650">INDEX(S$9:S$56,MATCH($C650&amp;$E650,$C$9:$C$56&amp;$E$9:$E$56,0))*INDEX(Assumptions!P$495:P$500,MATCH($E650,Assumptions!$B$495:$B$500,0))</f>
        <v>424.10041904391545</v>
      </c>
      <c r="T650" s="593" cm="1">
        <f t="array" ref="T650">INDEX(T$9:T$56,MATCH($C650&amp;$E650,$C$9:$C$56&amp;$E$9:$E$56,0))*INDEX(Assumptions!Q$495:Q$500,MATCH($E650,Assumptions!$B$495:$B$500,0))</f>
        <v>428.69510432756942</v>
      </c>
      <c r="U650" s="593" cm="1">
        <f t="array" ref="U650">INDEX(U$9:U$56,MATCH($C650&amp;$E650,$C$9:$C$56&amp;$E$9:$E$56,0))*INDEX(Assumptions!R$495:R$500,MATCH($E650,Assumptions!$B$495:$B$500,0))</f>
        <v>433.18889588497331</v>
      </c>
      <c r="W650" s="2067"/>
      <c r="X650" s="2069"/>
      <c r="Y650" s="1149" t="str">
        <f>Assumptions!B462</f>
        <v>20000-70000 MWh</v>
      </c>
      <c r="Z650" s="1150">
        <v>77.899999999999991</v>
      </c>
      <c r="AA650" s="1150">
        <f t="shared" si="2372"/>
        <v>2.6907057836468922</v>
      </c>
      <c r="AB650" s="1150">
        <v>104.80705783646891</v>
      </c>
      <c r="AC650" s="1150">
        <f t="shared" si="2373"/>
        <v>26.907057836468923</v>
      </c>
      <c r="AD650" s="886">
        <f t="shared" si="2374"/>
        <v>0.34540510701500549</v>
      </c>
      <c r="AE650" s="1150"/>
      <c r="AF650" s="1150"/>
      <c r="AG650" s="1150"/>
      <c r="AH650" s="1150"/>
      <c r="AI650" s="887"/>
      <c r="AJ650"/>
      <c r="AK650"/>
      <c r="AL650"/>
      <c r="AM650"/>
      <c r="AN650"/>
      <c r="AO650"/>
      <c r="AP650"/>
      <c r="AQ650"/>
      <c r="AR650"/>
      <c r="AS650"/>
      <c r="AT650"/>
      <c r="AU650"/>
      <c r="AV650"/>
      <c r="AW650"/>
      <c r="AX650"/>
      <c r="AY650"/>
      <c r="AZ650"/>
      <c r="BA650"/>
    </row>
    <row r="651" spans="3:53" hidden="1" outlineLevel="1" x14ac:dyDescent="0.3">
      <c r="C651" s="587" t="str">
        <f>C650</f>
        <v>VA</v>
      </c>
      <c r="E651" s="563" t="s">
        <v>51</v>
      </c>
      <c r="F651" s="229"/>
      <c r="G651" s="593" cm="1">
        <f t="array" ref="G651">INDEX(G$9:G$56,MATCH($C651&amp;$E651,$C$9:$C$56&amp;$E$9:$E$56,0))*INDEX(Assumptions!D$495:D$500,MATCH($E651,Assumptions!$B$495:$B$500,0))</f>
        <v>852.6657193657868</v>
      </c>
      <c r="H651" s="593" cm="1">
        <f t="array" ref="H651">INDEX(H$9:H$56,MATCH($C651&amp;$E651,$C$9:$C$56&amp;$E$9:$E$56,0))*INDEX(Assumptions!E$495:E$500,MATCH($E651,Assumptions!$B$495:$B$500,0))</f>
        <v>879.15951841502385</v>
      </c>
      <c r="I651" s="593" cm="1">
        <f t="array" ref="I651">INDEX(I$9:I$56,MATCH($C651&amp;$E651,$C$9:$C$56&amp;$E$9:$E$56,0))*INDEX(Assumptions!F$495:F$500,MATCH($E651,Assumptions!$B$495:$B$500,0))</f>
        <v>906.54462506413802</v>
      </c>
      <c r="J651" s="593" cm="1">
        <f t="array" ref="J651">INDEX(J$9:J$56,MATCH($C651&amp;$E651,$C$9:$C$56&amp;$E$9:$E$56,0))*INDEX(Assumptions!G$495:G$500,MATCH($E651,Assumptions!$B$495:$B$500,0))</f>
        <v>943.19427723321326</v>
      </c>
      <c r="K651" s="593" cm="1">
        <f t="array" ref="K651">INDEX(K$9:K$56,MATCH($C651&amp;$E651,$C$9:$C$56&amp;$E$9:$E$56,0))*INDEX(Assumptions!H$495:H$500,MATCH($E651,Assumptions!$B$495:$B$500,0))</f>
        <v>962.00162095172163</v>
      </c>
      <c r="L651" s="593" cm="1">
        <f t="array" ref="L651">INDEX(L$9:L$56,MATCH($C651&amp;$E651,$C$9:$C$56&amp;$E$9:$E$56,0))*INDEX(Assumptions!I$495:I$500,MATCH($E651,Assumptions!$B$495:$B$500,0))</f>
        <v>977.04705999238854</v>
      </c>
      <c r="M651" s="593" cm="1">
        <f t="array" ref="M651">INDEX(M$9:M$56,MATCH($C651&amp;$E651,$C$9:$C$56&amp;$E$9:$E$56,0))*INDEX(Assumptions!J$495:J$500,MATCH($E651,Assumptions!$B$495:$B$500,0))</f>
        <v>992.90202160933131</v>
      </c>
      <c r="N651" s="593" cm="1">
        <f t="array" ref="N651">INDEX(N$9:N$56,MATCH($C651&amp;$E651,$C$9:$C$56&amp;$E$9:$E$56,0))*INDEX(Assumptions!K$495:K$500,MATCH($E651,Assumptions!$B$495:$B$500,0))</f>
        <v>1009.1812934105552</v>
      </c>
      <c r="O651" s="593" cm="1">
        <f t="array" ref="O651">INDEX(O$9:O$56,MATCH($C651&amp;$E651,$C$9:$C$56&amp;$E$9:$E$56,0))*INDEX(Assumptions!L$495:L$500,MATCH($E651,Assumptions!$B$495:$B$500,0))</f>
        <v>1025.8839899956411</v>
      </c>
      <c r="P651" s="593" cm="1">
        <f t="array" ref="P651">INDEX(P$9:P$56,MATCH($C651&amp;$E651,$C$9:$C$56&amp;$E$9:$E$56,0))*INDEX(Assumptions!M$495:M$500,MATCH($E651,Assumptions!$B$495:$B$500,0))</f>
        <v>1043.0259170022637</v>
      </c>
      <c r="Q651" s="593" cm="1">
        <f t="array" ref="Q651">INDEX(Q$9:Q$56,MATCH($C651&amp;$E651,$C$9:$C$56&amp;$E$9:$E$56,0))*INDEX(Assumptions!N$495:N$500,MATCH($E651,Assumptions!$B$495:$B$500,0))</f>
        <v>1060.2825660590208</v>
      </c>
      <c r="R651" s="593" cm="1">
        <f t="array" ref="R651">INDEX(R$9:R$56,MATCH($C651&amp;$E651,$C$9:$C$56&amp;$E$9:$E$56,0))*INDEX(Assumptions!O$495:O$500,MATCH($E651,Assumptions!$B$495:$B$500,0))</f>
        <v>1078.0008413222376</v>
      </c>
      <c r="S651" s="593" cm="1">
        <f t="array" ref="S651">INDEX(S$9:S$56,MATCH($C651&amp;$E651,$C$9:$C$56&amp;$E$9:$E$56,0))*INDEX(Assumptions!P$495:P$500,MATCH($E651,Assumptions!$B$495:$B$500,0))</f>
        <v>1096.1985722213685</v>
      </c>
      <c r="T651" s="593" cm="1">
        <f t="array" ref="T651">INDEX(T$9:T$56,MATCH($C651&amp;$E651,$C$9:$C$56&amp;$E$9:$E$56,0))*INDEX(Assumptions!Q$495:Q$500,MATCH($E651,Assumptions!$B$495:$B$500,0))</f>
        <v>1114.8944763453567</v>
      </c>
      <c r="U651" s="593" cm="1">
        <f t="array" ref="U651">INDEX(U$9:U$56,MATCH($C651&amp;$E651,$C$9:$C$56&amp;$E$9:$E$56,0))*INDEX(Assumptions!R$495:R$500,MATCH($E651,Assumptions!$B$495:$B$500,0))</f>
        <v>1134.1594951920413</v>
      </c>
      <c r="W651" s="2067"/>
      <c r="X651" s="2069"/>
      <c r="Y651" s="1149" t="str">
        <f>Assumptions!B463</f>
        <v>70000-150000 MWh</v>
      </c>
      <c r="Z651" s="1150">
        <v>81.900000000000006</v>
      </c>
      <c r="AA651" s="1150">
        <f t="shared" si="2372"/>
        <v>2.8126150571785913</v>
      </c>
      <c r="AB651" s="1150">
        <v>110.02615057178592</v>
      </c>
      <c r="AC651" s="1150">
        <f t="shared" si="2373"/>
        <v>28.126150571785914</v>
      </c>
      <c r="AD651" s="886">
        <f t="shared" si="2374"/>
        <v>0.34342064190214788</v>
      </c>
      <c r="AE651" s="1150"/>
      <c r="AF651" s="1150"/>
      <c r="AG651" s="1150"/>
      <c r="AH651" s="1150"/>
      <c r="AI651" s="887"/>
      <c r="AJ651"/>
      <c r="AK651"/>
      <c r="AL651"/>
      <c r="AM651"/>
      <c r="AN651"/>
      <c r="AO651"/>
      <c r="AP651"/>
      <c r="AQ651"/>
      <c r="AR651"/>
      <c r="AS651"/>
      <c r="AT651"/>
      <c r="AU651"/>
      <c r="AV651"/>
      <c r="AW651"/>
      <c r="AX651"/>
      <c r="AY651"/>
      <c r="AZ651"/>
      <c r="BA651"/>
    </row>
    <row r="652" spans="3:53" hidden="1" outlineLevel="1" x14ac:dyDescent="0.3">
      <c r="C652" s="587" t="str">
        <f>C651</f>
        <v>VA</v>
      </c>
      <c r="E652" s="563" t="s">
        <v>52</v>
      </c>
      <c r="F652" s="229"/>
      <c r="G652" s="593" cm="1">
        <f t="array" ref="G652">INDEX(G$9:G$56,MATCH($C652&amp;$E652,$C$9:$C$56&amp;$E$9:$E$56,0))*INDEX(Assumptions!D$495:D$500,MATCH($E652,Assumptions!$B$495:$B$500,0))</f>
        <v>381.21863430277921</v>
      </c>
      <c r="H652" s="593" cm="1">
        <f t="array" ref="H652">INDEX(H$9:H$56,MATCH($C652&amp;$E652,$C$9:$C$56&amp;$E$9:$E$56,0))*INDEX(Assumptions!E$495:E$500,MATCH($E652,Assumptions!$B$495:$B$500,0))</f>
        <v>394.09687684434823</v>
      </c>
      <c r="I652" s="593" cm="1">
        <f t="array" ref="I652">INDEX(I$9:I$56,MATCH($C652&amp;$E652,$C$9:$C$56&amp;$E$9:$E$56,0))*INDEX(Assumptions!F$495:F$500,MATCH($E652,Assumptions!$B$495:$B$500,0))</f>
        <v>407.8121531100723</v>
      </c>
      <c r="J652" s="593" cm="1">
        <f t="array" ref="J652">INDEX(J$9:J$56,MATCH($C652&amp;$E652,$C$9:$C$56&amp;$E$9:$E$56,0))*INDEX(Assumptions!G$495:G$500,MATCH($E652,Assumptions!$B$495:$B$500,0))</f>
        <v>428.92231753694591</v>
      </c>
      <c r="K652" s="593" cm="1">
        <f t="array" ref="K652">INDEX(K$9:K$56,MATCH($C652&amp;$E652,$C$9:$C$56&amp;$E$9:$E$56,0))*INDEX(Assumptions!H$495:H$500,MATCH($E652,Assumptions!$B$495:$B$500,0))</f>
        <v>442.82629814412854</v>
      </c>
      <c r="L652" s="593" cm="1">
        <f t="array" ref="L652">INDEX(L$9:L$56,MATCH($C652&amp;$E652,$C$9:$C$56&amp;$E$9:$E$56,0))*INDEX(Assumptions!I$495:I$500,MATCH($E652,Assumptions!$B$495:$B$500,0))</f>
        <v>453.64435652977909</v>
      </c>
      <c r="M652" s="593" cm="1">
        <f t="array" ref="M652">INDEX(M$9:M$56,MATCH($C652&amp;$E652,$C$9:$C$56&amp;$E$9:$E$56,0))*INDEX(Assumptions!J$495:J$500,MATCH($E652,Assumptions!$B$495:$B$500,0))</f>
        <v>464.91136766151652</v>
      </c>
      <c r="N652" s="593" cm="1">
        <f t="array" ref="N652">INDEX(N$9:N$56,MATCH($C652&amp;$E652,$C$9:$C$56&amp;$E$9:$E$56,0))*INDEX(Assumptions!K$495:K$500,MATCH($E652,Assumptions!$B$495:$B$500,0))</f>
        <v>476.60386343866543</v>
      </c>
      <c r="O652" s="593" cm="1">
        <f t="array" ref="O652">INDEX(O$9:O$56,MATCH($C652&amp;$E652,$C$9:$C$56&amp;$E$9:$E$56,0))*INDEX(Assumptions!L$495:L$500,MATCH($E652,Assumptions!$B$495:$B$500,0))</f>
        <v>488.74101331339568</v>
      </c>
      <c r="P652" s="593" cm="1">
        <f t="array" ref="P652">INDEX(P$9:P$56,MATCH($C652&amp;$E652,$C$9:$C$56&amp;$E$9:$E$56,0))*INDEX(Assumptions!M$495:M$500,MATCH($E652,Assumptions!$B$495:$B$500,0))</f>
        <v>501.34293841663606</v>
      </c>
      <c r="Q652" s="593" cm="1">
        <f t="array" ref="Q652">INDEX(Q$9:Q$56,MATCH($C652&amp;$E652,$C$9:$C$56&amp;$E$9:$E$56,0))*INDEX(Assumptions!N$495:N$500,MATCH($E652,Assumptions!$B$495:$B$500,0))</f>
        <v>514.61709823638739</v>
      </c>
      <c r="R652" s="593" cm="1">
        <f t="array" ref="R652">INDEX(R$9:R$56,MATCH($C652&amp;$E652,$C$9:$C$56&amp;$E$9:$E$56,0))*INDEX(Assumptions!O$495:O$500,MATCH($E652,Assumptions!$B$495:$B$500,0))</f>
        <v>528.40836454950261</v>
      </c>
      <c r="S652" s="593" cm="1">
        <f t="array" ref="S652">INDEX(S$9:S$56,MATCH($C652&amp;$E652,$C$9:$C$56&amp;$E$9:$E$56,0))*INDEX(Assumptions!P$495:P$500,MATCH($E652,Assumptions!$B$495:$B$500,0))</f>
        <v>542.74050102719104</v>
      </c>
      <c r="T652" s="593" cm="1">
        <f t="array" ref="T652">INDEX(T$9:T$56,MATCH($C652&amp;$E652,$C$9:$C$56&amp;$E$9:$E$56,0))*INDEX(Assumptions!Q$495:Q$500,MATCH($E652,Assumptions!$B$495:$B$500,0))</f>
        <v>557.63845850777022</v>
      </c>
      <c r="U652" s="593" cm="1">
        <f t="array" ref="U652">INDEX(U$9:U$56,MATCH($C652&amp;$E652,$C$9:$C$56&amp;$E$9:$E$56,0))*INDEX(Assumptions!R$495:R$500,MATCH($E652,Assumptions!$B$495:$B$500,0))</f>
        <v>573.08481078097202</v>
      </c>
      <c r="W652" s="2066"/>
      <c r="X652" s="2070"/>
      <c r="Y652" s="1149" t="str">
        <f>Assumptions!B464</f>
        <v>&gt;150000 MWh</v>
      </c>
      <c r="Z652" s="1150">
        <v>55.1</v>
      </c>
      <c r="AA652" s="1150">
        <f t="shared" si="2372"/>
        <v>0</v>
      </c>
      <c r="AB652" s="1150">
        <v>55.1</v>
      </c>
      <c r="AC652" s="1150">
        <f t="shared" si="2373"/>
        <v>0</v>
      </c>
      <c r="AD652" s="886">
        <f t="shared" si="2374"/>
        <v>0</v>
      </c>
      <c r="AE652" s="1150"/>
      <c r="AF652" s="1150"/>
      <c r="AG652" s="1150"/>
      <c r="AH652" s="1150"/>
      <c r="AI652" s="887"/>
      <c r="AJ652"/>
      <c r="AK652"/>
      <c r="AL652"/>
      <c r="AM652"/>
      <c r="AN652"/>
      <c r="AO652"/>
      <c r="AP652"/>
      <c r="AQ652"/>
      <c r="AR652"/>
      <c r="AS652"/>
      <c r="AT652"/>
      <c r="AU652"/>
      <c r="AV652"/>
      <c r="AW652"/>
      <c r="AX652"/>
      <c r="AY652"/>
      <c r="AZ652"/>
      <c r="BA652"/>
    </row>
    <row r="653" spans="3:53" hidden="1" outlineLevel="1" x14ac:dyDescent="0.3">
      <c r="C653" s="587" t="str">
        <f>C652</f>
        <v>VA</v>
      </c>
      <c r="E653" s="563" t="s">
        <v>53</v>
      </c>
      <c r="F653" s="229"/>
      <c r="G653" s="593" cm="1">
        <f t="array" ref="G653">INDEX(G$9:G$56,MATCH($C653&amp;$E653,$C$9:$C$56&amp;$E$9:$E$56,0))*INDEX(Assumptions!D$495:D$500,MATCH($E653,Assumptions!$B$495:$B$500,0))</f>
        <v>869.37212939490587</v>
      </c>
      <c r="H653" s="593" cm="1">
        <f t="array" ref="H653">INDEX(H$9:H$56,MATCH($C653&amp;$E653,$C$9:$C$56&amp;$E$9:$E$56,0))*INDEX(Assumptions!E$495:E$500,MATCH($E653,Assumptions!$B$495:$B$500,0))</f>
        <v>891.92488504563789</v>
      </c>
      <c r="I653" s="593" cm="1">
        <f t="array" ref="I653">INDEX(I$9:I$56,MATCH($C653&amp;$E653,$C$9:$C$56&amp;$E$9:$E$56,0))*INDEX(Assumptions!F$495:F$500,MATCH($E653,Assumptions!$B$495:$B$500,0))</f>
        <v>915.62435867714748</v>
      </c>
      <c r="J653" s="593" cm="1">
        <f t="array" ref="J653">INDEX(J$9:J$56,MATCH($C653&amp;$E653,$C$9:$C$56&amp;$E$9:$E$56,0))*INDEX(Assumptions!G$495:G$500,MATCH($E653,Assumptions!$B$495:$B$500,0))</f>
        <v>983.43699034535257</v>
      </c>
      <c r="K653" s="593" cm="1">
        <f t="array" ref="K653">INDEX(K$9:K$56,MATCH($C653&amp;$E653,$C$9:$C$56&amp;$E$9:$E$56,0))*INDEX(Assumptions!H$495:H$500,MATCH($E653,Assumptions!$B$495:$B$500,0))</f>
        <v>1023.3063417671962</v>
      </c>
      <c r="L653" s="593" cm="1">
        <f t="array" ref="L653">INDEX(L$9:L$56,MATCH($C653&amp;$E653,$C$9:$C$56&amp;$E$9:$E$56,0))*INDEX(Assumptions!I$495:I$500,MATCH($E653,Assumptions!$B$495:$B$500,0))</f>
        <v>1046.9499926265573</v>
      </c>
      <c r="M653" s="593" cm="1">
        <f t="array" ref="M653">INDEX(M$9:M$56,MATCH($C653&amp;$E653,$C$9:$C$56&amp;$E$9:$E$56,0))*INDEX(Assumptions!J$495:J$500,MATCH($E653,Assumptions!$B$495:$B$500,0))</f>
        <v>1056.724509865729</v>
      </c>
      <c r="N653" s="593" cm="1">
        <f t="array" ref="N653">INDEX(N$9:N$56,MATCH($C653&amp;$E653,$C$9:$C$56&amp;$E$9:$E$56,0))*INDEX(Assumptions!K$495:K$500,MATCH($E653,Assumptions!$B$495:$B$500,0))</f>
        <v>1082.1068750614488</v>
      </c>
      <c r="O653" s="593" cm="1">
        <f t="array" ref="O653">INDEX(O$9:O$56,MATCH($C653&amp;$E653,$C$9:$C$56&amp;$E$9:$E$56,0))*INDEX(Assumptions!L$495:L$500,MATCH($E653,Assumptions!$B$495:$B$500,0))</f>
        <v>1108.4649897883969</v>
      </c>
      <c r="P653" s="593" cm="1">
        <f t="array" ref="P653">INDEX(P$9:P$56,MATCH($C653&amp;$E653,$C$9:$C$56&amp;$E$9:$E$56,0))*INDEX(Assumptions!M$495:M$500,MATCH($E653,Assumptions!$B$495:$B$500,0))</f>
        <v>1135.9395351020585</v>
      </c>
      <c r="Q653" s="593" cm="1">
        <f t="array" ref="Q653">INDEX(Q$9:Q$56,MATCH($C653&amp;$E653,$C$9:$C$56&amp;$E$9:$E$56,0))*INDEX(Assumptions!N$495:N$500,MATCH($E653,Assumptions!$B$495:$B$500,0))</f>
        <v>1166.9745470966707</v>
      </c>
      <c r="R653" s="593" cm="1">
        <f t="array" ref="R653">INDEX(R$9:R$56,MATCH($C653&amp;$E653,$C$9:$C$56&amp;$E$9:$E$56,0))*INDEX(Assumptions!O$495:O$500,MATCH($E653,Assumptions!$B$495:$B$500,0))</f>
        <v>1199.1418018624993</v>
      </c>
      <c r="S653" s="593" cm="1">
        <f t="array" ref="S653">INDEX(S$9:S$56,MATCH($C653&amp;$E653,$C$9:$C$56&amp;$E$9:$E$56,0))*INDEX(Assumptions!P$495:P$500,MATCH($E653,Assumptions!$B$495:$B$500,0))</f>
        <v>1232.4854932397348</v>
      </c>
      <c r="T653" s="593" cm="1">
        <f t="array" ref="T653">INDEX(T$9:T$56,MATCH($C653&amp;$E653,$C$9:$C$56&amp;$E$9:$E$56,0))*INDEX(Assumptions!Q$495:Q$500,MATCH($E653,Assumptions!$B$495:$B$500,0))</f>
        <v>1267.0515945952836</v>
      </c>
      <c r="U653" s="593" cm="1">
        <f t="array" ref="U653">INDEX(U$9:U$56,MATCH($C653&amp;$E653,$C$9:$C$56&amp;$E$9:$E$56,0))*INDEX(Assumptions!R$495:R$500,MATCH($E653,Assumptions!$B$495:$B$500,0))</f>
        <v>1302.8879311882822</v>
      </c>
      <c r="W653" s="2065" t="s">
        <v>340</v>
      </c>
      <c r="X653" s="2068" t="str">
        <f>Assumptions!A430</f>
        <v>Households</v>
      </c>
      <c r="Y653" s="1149" t="str">
        <f>Assumptions!B430</f>
        <v>Total</v>
      </c>
      <c r="Z653" s="1150" cm="1">
        <f t="array" ref="Z653:Z663">Assumptions!D430:D440</f>
        <v>40.649763033175354</v>
      </c>
      <c r="AA653" s="1150">
        <f t="shared" si="2372"/>
        <v>1.545425506419783</v>
      </c>
      <c r="AB653" s="1150" cm="1">
        <f t="array" ref="AB653:AB663">Assumptions!M430:M440</f>
        <v>56.104018097373185</v>
      </c>
      <c r="AC653" s="1150">
        <f t="shared" si="2373"/>
        <v>15.454255064197831</v>
      </c>
      <c r="AD653" s="886">
        <f t="shared" si="2374"/>
        <v>0.38018069260539605</v>
      </c>
      <c r="AE653" s="1384"/>
      <c r="AF653" s="1384"/>
      <c r="AG653" s="1384"/>
      <c r="AH653" s="1384"/>
      <c r="AI653" s="1385"/>
      <c r="AJ653"/>
      <c r="AK653"/>
      <c r="AL653"/>
      <c r="AM653"/>
      <c r="AN653"/>
      <c r="AO653"/>
      <c r="AP653"/>
      <c r="AQ653"/>
      <c r="AR653"/>
      <c r="AS653"/>
      <c r="AT653"/>
      <c r="AU653"/>
      <c r="AV653"/>
      <c r="AW653"/>
      <c r="AX653"/>
      <c r="AY653"/>
      <c r="AZ653"/>
      <c r="BA653"/>
    </row>
    <row r="654" spans="3:53" hidden="1" outlineLevel="1" x14ac:dyDescent="0.3">
      <c r="C654" s="587" t="str">
        <f>C653</f>
        <v>VA</v>
      </c>
      <c r="E654" s="563" t="s">
        <v>54</v>
      </c>
      <c r="F654" s="229"/>
      <c r="G654" s="593" cm="1">
        <f t="array" ref="G654">INDEX(G$9:G$56,MATCH($C654&amp;$E654,$C$9:$C$56&amp;$E$9:$E$56,0))*INDEX(Assumptions!D$495:D$500,MATCH($E654,Assumptions!$B$495:$B$500,0))</f>
        <v>86.544179319191272</v>
      </c>
      <c r="H654" s="593" cm="1">
        <f t="array" ref="H654">INDEX(H$9:H$56,MATCH($C654&amp;$E654,$C$9:$C$56&amp;$E$9:$E$56,0))*INDEX(Assumptions!E$495:E$500,MATCH($E654,Assumptions!$B$495:$B$500,0))</f>
        <v>88.24000386962004</v>
      </c>
      <c r="I654" s="593" cm="1">
        <f t="array" ref="I654">INDEX(I$9:I$56,MATCH($C654&amp;$E654,$C$9:$C$56&amp;$E$9:$E$56,0))*INDEX(Assumptions!F$495:F$500,MATCH($E654,Assumptions!$B$495:$B$500,0))</f>
        <v>89.986518666981524</v>
      </c>
      <c r="J654" s="593" cm="1">
        <f t="array" ref="J654">INDEX(J$9:J$56,MATCH($C654&amp;$E654,$C$9:$C$56&amp;$E$9:$E$56,0))*INDEX(Assumptions!G$495:G$500,MATCH($E654,Assumptions!$B$495:$B$500,0))</f>
        <v>95.664349275039967</v>
      </c>
      <c r="K654" s="593" cm="1">
        <f t="array" ref="K654">INDEX(K$9:K$56,MATCH($C654&amp;$E654,$C$9:$C$56&amp;$E$9:$E$56,0))*INDEX(Assumptions!H$495:H$500,MATCH($E654,Assumptions!$B$495:$B$500,0))</f>
        <v>99.407836155900313</v>
      </c>
      <c r="L654" s="593" cm="1">
        <f t="array" ref="L654">INDEX(L$9:L$56,MATCH($C654&amp;$E654,$C$9:$C$56&amp;$E$9:$E$56,0))*INDEX(Assumptions!I$495:I$500,MATCH($E654,Assumptions!$B$495:$B$500,0))</f>
        <v>101.29094937931467</v>
      </c>
      <c r="M654" s="593" cm="1">
        <f t="array" ref="M654">INDEX(M$9:M$56,MATCH($C654&amp;$E654,$C$9:$C$56&amp;$E$9:$E$56,0))*INDEX(Assumptions!J$495:J$500,MATCH($E654,Assumptions!$B$495:$B$500,0))</f>
        <v>102.51076371741459</v>
      </c>
      <c r="N654" s="593" cm="1">
        <f t="array" ref="N654">INDEX(N$9:N$56,MATCH($C654&amp;$E654,$C$9:$C$56&amp;$E$9:$E$56,0))*INDEX(Assumptions!K$495:K$500,MATCH($E654,Assumptions!$B$495:$B$500,0))</f>
        <v>103.76054880028975</v>
      </c>
      <c r="O654" s="593" cm="1">
        <f t="array" ref="O654">INDEX(O$9:O$56,MATCH($C654&amp;$E654,$C$9:$C$56&amp;$E$9:$E$56,0))*INDEX(Assumptions!L$495:L$500,MATCH($E654,Assumptions!$B$495:$B$500,0))</f>
        <v>105.04077282678884</v>
      </c>
      <c r="P654" s="593" cm="1">
        <f t="array" ref="P654">INDEX(P$9:P$56,MATCH($C654&amp;$E654,$C$9:$C$56&amp;$E$9:$E$56,0))*INDEX(Assumptions!M$495:M$500,MATCH($E654,Assumptions!$B$495:$B$500,0))</f>
        <v>106.35190493046805</v>
      </c>
      <c r="Q654" s="593" cm="1">
        <f t="array" ref="Q654">INDEX(Q$9:Q$56,MATCH($C654&amp;$E654,$C$9:$C$56&amp;$E$9:$E$56,0))*INDEX(Assumptions!N$495:N$500,MATCH($E654,Assumptions!$B$495:$B$500,0))</f>
        <v>108.47252036571871</v>
      </c>
      <c r="R654" s="593" cm="1">
        <f t="array" ref="R654">INDEX(R$9:R$56,MATCH($C654&amp;$E654,$C$9:$C$56&amp;$E$9:$E$56,0))*INDEX(Assumptions!O$495:O$500,MATCH($E654,Assumptions!$B$495:$B$500,0))</f>
        <v>110.65647681998674</v>
      </c>
      <c r="S654" s="593" cm="1">
        <f t="array" ref="S654">INDEX(S$9:S$56,MATCH($C654&amp;$E654,$C$9:$C$56&amp;$E$9:$E$56,0))*INDEX(Assumptions!P$495:P$500,MATCH($E654,Assumptions!$B$495:$B$500,0))</f>
        <v>112.90566110477864</v>
      </c>
      <c r="T654" s="593" cm="1">
        <f t="array" ref="T654">INDEX(T$9:T$56,MATCH($C654&amp;$E654,$C$9:$C$56&amp;$E$9:$E$56,0))*INDEX(Assumptions!Q$495:Q$500,MATCH($E654,Assumptions!$B$495:$B$500,0))</f>
        <v>115.2220160202574</v>
      </c>
      <c r="U654" s="593" cm="1">
        <f t="array" ref="U654">INDEX(U$9:U$56,MATCH($C654&amp;$E654,$C$9:$C$56&amp;$E$9:$E$56,0))*INDEX(Assumptions!R$495:R$500,MATCH($E654,Assumptions!$B$495:$B$500,0))</f>
        <v>117.60754200826035</v>
      </c>
      <c r="W654" s="2067"/>
      <c r="X654" s="2069"/>
      <c r="Y654" s="1149" t="str">
        <f>Assumptions!B431</f>
        <v>&lt;20 GJ</v>
      </c>
      <c r="Z654" s="1150">
        <v>41.449763033175358</v>
      </c>
      <c r="AA654" s="1150">
        <f t="shared" si="2372"/>
        <v>1.569807361126123</v>
      </c>
      <c r="AB654" s="1150">
        <v>57.147836644436588</v>
      </c>
      <c r="AC654" s="1150">
        <f t="shared" si="2373"/>
        <v>15.698073611261229</v>
      </c>
      <c r="AD654" s="886">
        <f t="shared" si="2374"/>
        <v>0.37872529207698685</v>
      </c>
      <c r="AE654" s="1384"/>
      <c r="AF654" s="1384"/>
      <c r="AG654" s="1384"/>
      <c r="AH654" s="1384"/>
      <c r="AI654" s="1385"/>
      <c r="AJ654"/>
      <c r="AK654"/>
      <c r="AL654"/>
      <c r="AM654"/>
      <c r="AN654"/>
      <c r="AO654"/>
      <c r="AP654"/>
      <c r="AQ654"/>
      <c r="AR654"/>
      <c r="AS654"/>
      <c r="AT654"/>
      <c r="AU654"/>
      <c r="AV654"/>
      <c r="AW654"/>
      <c r="AX654"/>
      <c r="AY654"/>
      <c r="AZ654"/>
      <c r="BA654"/>
    </row>
    <row r="655" spans="3:53" hidden="1" outlineLevel="1" x14ac:dyDescent="0.3">
      <c r="C655" s="587" t="str">
        <f>E655</f>
        <v>Renowave</v>
      </c>
      <c r="E655" s="555" t="str">
        <f>'EE Measures'!$II$6</f>
        <v>Renowave</v>
      </c>
      <c r="F655" s="229"/>
      <c r="G655" s="591">
        <f t="shared" ref="G655" si="2381">SUM(G656:G660)</f>
        <v>2479.0940049867131</v>
      </c>
      <c r="H655" s="591">
        <f t="shared" ref="H655:P655" si="2382">SUM(H656:H660)</f>
        <v>2579.3502223221576</v>
      </c>
      <c r="I655" s="591">
        <f t="shared" si="2382"/>
        <v>2658.7971093401443</v>
      </c>
      <c r="J655" s="591">
        <f t="shared" si="2382"/>
        <v>2813.7348223378431</v>
      </c>
      <c r="K655" s="591">
        <f t="shared" si="2382"/>
        <v>2882.5654516547766</v>
      </c>
      <c r="L655" s="591">
        <f t="shared" si="2382"/>
        <v>2921.2728180948602</v>
      </c>
      <c r="M655" s="591">
        <f t="shared" si="2382"/>
        <v>2947.7061521839819</v>
      </c>
      <c r="N655" s="591">
        <f t="shared" si="2382"/>
        <v>2993.4718245660083</v>
      </c>
      <c r="O655" s="591">
        <f t="shared" si="2382"/>
        <v>3040.7650001402567</v>
      </c>
      <c r="P655" s="591">
        <f t="shared" si="2382"/>
        <v>3088.9651920935239</v>
      </c>
      <c r="Q655" s="591">
        <f t="shared" ref="Q655:U655" si="2383">SUM(Q656:Q660)</f>
        <v>3141.9982891141021</v>
      </c>
      <c r="R655" s="591">
        <f t="shared" si="2383"/>
        <v>3196.6332948145705</v>
      </c>
      <c r="S655" s="591">
        <f t="shared" si="2383"/>
        <v>3252.9385147361995</v>
      </c>
      <c r="T655" s="591">
        <f t="shared" si="2383"/>
        <v>3310.9857586117218</v>
      </c>
      <c r="U655" s="591">
        <f t="shared" si="2383"/>
        <v>3370.88877004492</v>
      </c>
      <c r="W655" s="2067"/>
      <c r="X655" s="2069"/>
      <c r="Y655" s="1149" t="str">
        <f>Assumptions!B432</f>
        <v>20-200 GJ</v>
      </c>
      <c r="Z655" s="1150">
        <v>41.84976303317535</v>
      </c>
      <c r="AA655" s="1150">
        <f t="shared" si="2372"/>
        <v>1.5819982884792929</v>
      </c>
      <c r="AB655" s="1150">
        <v>57.669745917968278</v>
      </c>
      <c r="AC655" s="1150">
        <f t="shared" si="2373"/>
        <v>15.819982884792928</v>
      </c>
      <c r="AD655" s="886">
        <f t="shared" si="2374"/>
        <v>0.37801845788832861</v>
      </c>
      <c r="AE655" s="1384"/>
      <c r="AF655" s="1384"/>
      <c r="AG655" s="1384"/>
      <c r="AH655" s="1384"/>
      <c r="AI655" s="1385"/>
      <c r="AJ655"/>
      <c r="AK655"/>
      <c r="AL655"/>
      <c r="AM655"/>
      <c r="AN655"/>
      <c r="AO655"/>
      <c r="AP655"/>
      <c r="AQ655"/>
      <c r="AR655"/>
      <c r="AS655"/>
      <c r="AT655"/>
      <c r="AU655"/>
      <c r="AV655"/>
      <c r="AW655"/>
      <c r="AX655"/>
      <c r="AY655"/>
      <c r="AZ655"/>
      <c r="BA655"/>
    </row>
    <row r="656" spans="3:53" hidden="1" outlineLevel="1" x14ac:dyDescent="0.3">
      <c r="C656" s="587" t="str">
        <f>C655</f>
        <v>Renowave</v>
      </c>
      <c r="E656" s="563" t="s">
        <v>50</v>
      </c>
      <c r="F656" s="229"/>
      <c r="G656" s="593" cm="1">
        <f t="array" ref="G656">INDEX(G$9:G$56,MATCH($C656&amp;$E656,$C$9:$C$56&amp;$E$9:$E$56,0))*INDEX(Assumptions!D$495:D$500,MATCH($E656,Assumptions!$B$495:$B$500,0))</f>
        <v>289.29334260405022</v>
      </c>
      <c r="H656" s="593" cm="1">
        <f t="array" ref="H656">INDEX(H$9:H$56,MATCH($C656&amp;$E656,$C$9:$C$56&amp;$E$9:$E$56,0))*INDEX(Assumptions!E$495:E$500,MATCH($E656,Assumptions!$B$495:$B$500,0))</f>
        <v>325.92893814752739</v>
      </c>
      <c r="I656" s="593" cm="1">
        <f t="array" ref="I656">INDEX(I$9:I$56,MATCH($C656&amp;$E656,$C$9:$C$56&amp;$E$9:$E$56,0))*INDEX(Assumptions!F$495:F$500,MATCH($E656,Assumptions!$B$495:$B$500,0))</f>
        <v>338.8294538218048</v>
      </c>
      <c r="J656" s="593" cm="1">
        <f t="array" ref="J656">INDEX(J$9:J$56,MATCH($C656&amp;$E656,$C$9:$C$56&amp;$E$9:$E$56,0))*INDEX(Assumptions!G$495:G$500,MATCH($E656,Assumptions!$B$495:$B$500,0))</f>
        <v>362.51688794729108</v>
      </c>
      <c r="K656" s="593" cm="1">
        <f t="array" ref="K656">INDEX(K$9:K$56,MATCH($C656&amp;$E656,$C$9:$C$56&amp;$E$9:$E$56,0))*INDEX(Assumptions!H$495:H$500,MATCH($E656,Assumptions!$B$495:$B$500,0))</f>
        <v>376.80189954949185</v>
      </c>
      <c r="L656" s="593" cm="1">
        <f t="array" ref="L656">INDEX(L$9:L$56,MATCH($C656&amp;$E656,$C$9:$C$56&amp;$E$9:$E$56,0))*INDEX(Assumptions!I$495:I$500,MATCH($E656,Assumptions!$B$495:$B$500,0))</f>
        <v>386.9979472661048</v>
      </c>
      <c r="M656" s="593" cm="1">
        <f t="array" ref="M656">INDEX(M$9:M$56,MATCH($C656&amp;$E656,$C$9:$C$56&amp;$E$9:$E$56,0))*INDEX(Assumptions!J$495:J$500,MATCH($E656,Assumptions!$B$495:$B$500,0))</f>
        <v>399.33727282396046</v>
      </c>
      <c r="N656" s="593" cm="1">
        <f t="array" ref="N656">INDEX(N$9:N$56,MATCH($C656&amp;$E656,$C$9:$C$56&amp;$E$9:$E$56,0))*INDEX(Assumptions!K$495:K$500,MATCH($E656,Assumptions!$B$495:$B$500,0))</f>
        <v>415.71337752876326</v>
      </c>
      <c r="O656" s="593" cm="1">
        <f t="array" ref="O656">INDEX(O$9:O$56,MATCH($C656&amp;$E656,$C$9:$C$56&amp;$E$9:$E$56,0))*INDEX(Assumptions!L$495:L$500,MATCH($E656,Assumptions!$B$495:$B$500,0))</f>
        <v>432.98428116464277</v>
      </c>
      <c r="P656" s="593" cm="1">
        <f t="array" ref="P656">INDEX(P$9:P$56,MATCH($C656&amp;$E656,$C$9:$C$56&amp;$E$9:$E$56,0))*INDEX(Assumptions!M$495:M$500,MATCH($E656,Assumptions!$B$495:$B$500,0))</f>
        <v>450.40380212593669</v>
      </c>
      <c r="Q656" s="593" cm="1">
        <f t="array" ref="Q656">INDEX(Q$9:Q$56,MATCH($C656&amp;$E656,$C$9:$C$56&amp;$E$9:$E$56,0))*INDEX(Assumptions!N$495:N$500,MATCH($E656,Assumptions!$B$495:$B$500,0))</f>
        <v>468.80255571524634</v>
      </c>
      <c r="R656" s="593" cm="1">
        <f t="array" ref="R656">INDEX(R$9:R$56,MATCH($C656&amp;$E656,$C$9:$C$56&amp;$E$9:$E$56,0))*INDEX(Assumptions!O$495:O$500,MATCH($E656,Assumptions!$B$495:$B$500,0))</f>
        <v>488.01561426270501</v>
      </c>
      <c r="S656" s="593" cm="1">
        <f t="array" ref="S656">INDEX(S$9:S$56,MATCH($C656&amp;$E656,$C$9:$C$56&amp;$E$9:$E$56,0))*INDEX(Assumptions!P$495:P$500,MATCH($E656,Assumptions!$B$495:$B$500,0))</f>
        <v>508.0799354623403</v>
      </c>
      <c r="T656" s="593" cm="1">
        <f t="array" ref="T656">INDEX(T$9:T$56,MATCH($C656&amp;$E656,$C$9:$C$56&amp;$E$9:$E$56,0))*INDEX(Assumptions!Q$495:Q$500,MATCH($E656,Assumptions!$B$495:$B$500,0))</f>
        <v>529.03417200806564</v>
      </c>
      <c r="U656" s="593" cm="1">
        <f t="array" ref="U656">INDEX(U$9:U$56,MATCH($C656&amp;$E656,$C$9:$C$56&amp;$E$9:$E$56,0))*INDEX(Assumptions!R$495:R$500,MATCH($E656,Assumptions!$B$495:$B$500,0))</f>
        <v>550.91874953089973</v>
      </c>
      <c r="W656" s="2067"/>
      <c r="X656" s="2070"/>
      <c r="Y656" s="1149" t="str">
        <f>Assumptions!B433</f>
        <v>&gt;200 GJ</v>
      </c>
      <c r="Z656" s="1150">
        <v>38.649763033175354</v>
      </c>
      <c r="AA656" s="1150">
        <f t="shared" si="2372"/>
        <v>1.4844708696539342</v>
      </c>
      <c r="AB656" s="1150">
        <v>53.494471729714697</v>
      </c>
      <c r="AC656" s="1150">
        <f t="shared" si="2373"/>
        <v>14.844708696539342</v>
      </c>
      <c r="AD656" s="886">
        <f t="shared" si="2374"/>
        <v>0.38408278684133873</v>
      </c>
      <c r="AE656" s="1384"/>
      <c r="AF656" s="1384"/>
      <c r="AG656" s="1384"/>
      <c r="AH656" s="1384"/>
      <c r="AI656" s="1385"/>
      <c r="AJ656"/>
      <c r="AK656"/>
      <c r="AL656"/>
      <c r="AM656"/>
      <c r="AN656"/>
      <c r="AO656"/>
      <c r="AP656"/>
      <c r="AQ656"/>
      <c r="AR656"/>
      <c r="AS656"/>
      <c r="AT656"/>
      <c r="AU656"/>
      <c r="AV656"/>
      <c r="AW656"/>
      <c r="AX656"/>
      <c r="AY656"/>
      <c r="AZ656"/>
      <c r="BA656"/>
    </row>
    <row r="657" spans="3:53" hidden="1" outlineLevel="1" x14ac:dyDescent="0.3">
      <c r="C657" s="587" t="str">
        <f>C656</f>
        <v>Renowave</v>
      </c>
      <c r="E657" s="563" t="s">
        <v>51</v>
      </c>
      <c r="F657" s="229"/>
      <c r="G657" s="593" cm="1">
        <f t="array" ref="G657">INDEX(G$9:G$56,MATCH($C657&amp;$E657,$C$9:$C$56&amp;$E$9:$E$56,0))*INDEX(Assumptions!D$495:D$500,MATCH($E657,Assumptions!$B$495:$B$500,0))</f>
        <v>852.6657193657868</v>
      </c>
      <c r="H657" s="593" cm="1">
        <f t="array" ref="H657">INDEX(H$9:H$56,MATCH($C657&amp;$E657,$C$9:$C$56&amp;$E$9:$E$56,0))*INDEX(Assumptions!E$495:E$500,MATCH($E657,Assumptions!$B$495:$B$500,0))</f>
        <v>879.15951841502385</v>
      </c>
      <c r="I657" s="593" cm="1">
        <f t="array" ref="I657">INDEX(I$9:I$56,MATCH($C657&amp;$E657,$C$9:$C$56&amp;$E$9:$E$56,0))*INDEX(Assumptions!F$495:F$500,MATCH($E657,Assumptions!$B$495:$B$500,0))</f>
        <v>906.54462506413802</v>
      </c>
      <c r="J657" s="593" cm="1">
        <f t="array" ref="J657">INDEX(J$9:J$56,MATCH($C657&amp;$E657,$C$9:$C$56&amp;$E$9:$E$56,0))*INDEX(Assumptions!G$495:G$500,MATCH($E657,Assumptions!$B$495:$B$500,0))</f>
        <v>943.19427723321326</v>
      </c>
      <c r="K657" s="593" cm="1">
        <f t="array" ref="K657">INDEX(K$9:K$56,MATCH($C657&amp;$E657,$C$9:$C$56&amp;$E$9:$E$56,0))*INDEX(Assumptions!H$495:H$500,MATCH($E657,Assumptions!$B$495:$B$500,0))</f>
        <v>942.75222462002307</v>
      </c>
      <c r="L657" s="593" cm="1">
        <f t="array" ref="L657">INDEX(L$9:L$56,MATCH($C657&amp;$E657,$C$9:$C$56&amp;$E$9:$E$56,0))*INDEX(Assumptions!I$495:I$500,MATCH($E657,Assumptions!$B$495:$B$500,0))</f>
        <v>937.56784917673633</v>
      </c>
      <c r="M657" s="593" cm="1">
        <f t="array" ref="M657">INDEX(M$9:M$56,MATCH($C657&amp;$E657,$C$9:$C$56&amp;$E$9:$E$56,0))*INDEX(Assumptions!J$495:J$500,MATCH($E657,Assumptions!$B$495:$B$500,0))</f>
        <v>932.17457208726989</v>
      </c>
      <c r="N657" s="593" cm="1">
        <f t="array" ref="N657">INDEX(N$9:N$56,MATCH($C657&amp;$E657,$C$9:$C$56&amp;$E$9:$E$56,0))*INDEX(Assumptions!K$495:K$500,MATCH($E657,Assumptions!$B$495:$B$500,0))</f>
        <v>926.14350244100387</v>
      </c>
      <c r="O657" s="593" cm="1">
        <f t="array" ref="O657">INDEX(O$9:O$56,MATCH($C657&amp;$E657,$C$9:$C$56&amp;$E$9:$E$56,0))*INDEX(Assumptions!L$495:L$500,MATCH($E657,Assumptions!$B$495:$B$500,0))</f>
        <v>919.42948140094268</v>
      </c>
      <c r="P657" s="593" cm="1">
        <f t="array" ref="P657">INDEX(P$9:P$56,MATCH($C657&amp;$E657,$C$9:$C$56&amp;$E$9:$E$56,0))*INDEX(Assumptions!M$495:M$500,MATCH($E657,Assumptions!$B$495:$B$500,0))</f>
        <v>912.00236036452429</v>
      </c>
      <c r="Q657" s="593" cm="1">
        <f t="array" ref="Q657">INDEX(Q$9:Q$56,MATCH($C657&amp;$E657,$C$9:$C$56&amp;$E$9:$E$56,0))*INDEX(Assumptions!N$495:N$500,MATCH($E657,Assumptions!$B$495:$B$500,0))</f>
        <v>903.54035921188381</v>
      </c>
      <c r="R657" s="593" cm="1">
        <f t="array" ref="R657">INDEX(R$9:R$56,MATCH($C657&amp;$E657,$C$9:$C$56&amp;$E$9:$E$56,0))*INDEX(Assumptions!O$495:O$500,MATCH($E657,Assumptions!$B$495:$B$500,0))</f>
        <v>894.30783105279886</v>
      </c>
      <c r="S657" s="593" cm="1">
        <f t="array" ref="S657">INDEX(S$9:S$56,MATCH($C657&amp;$E657,$C$9:$C$56&amp;$E$9:$E$56,0))*INDEX(Assumptions!P$495:P$500,MATCH($E657,Assumptions!$B$495:$B$500,0))</f>
        <v>884.27248155721657</v>
      </c>
      <c r="T657" s="593" cm="1">
        <f t="array" ref="T657">INDEX(T$9:T$56,MATCH($C657&amp;$E657,$C$9:$C$56&amp;$E$9:$E$56,0))*INDEX(Assumptions!Q$495:Q$500,MATCH($E657,Assumptions!$B$495:$B$500,0))</f>
        <v>873.4010315434042</v>
      </c>
      <c r="U657" s="593" cm="1">
        <f t="array" ref="U657">INDEX(U$9:U$56,MATCH($C657&amp;$E657,$C$9:$C$56&amp;$E$9:$E$56,0))*INDEX(Assumptions!R$495:R$500,MATCH($E657,Assumptions!$B$495:$B$500,0))</f>
        <v>861.74919110764176</v>
      </c>
      <c r="W657" s="2067"/>
      <c r="X657" s="2068" t="s">
        <v>338</v>
      </c>
      <c r="Y657" s="1149" t="str">
        <f>Assumptions!B434</f>
        <v>Total</v>
      </c>
      <c r="Z657" s="1150">
        <v>39.749763033175356</v>
      </c>
      <c r="AA657" s="1150">
        <f t="shared" si="2372"/>
        <v>1.5179959198751511</v>
      </c>
      <c r="AB657" s="1150">
        <v>54.929722231926867</v>
      </c>
      <c r="AC657" s="1150">
        <f t="shared" si="2373"/>
        <v>15.179959198751511</v>
      </c>
      <c r="AD657" s="886">
        <f t="shared" si="2374"/>
        <v>0.3818880426049896</v>
      </c>
      <c r="AE657" s="1384"/>
      <c r="AF657" s="1384"/>
      <c r="AG657" s="1384"/>
      <c r="AH657" s="1384"/>
      <c r="AI657" s="1385"/>
      <c r="AJ657"/>
      <c r="AK657"/>
      <c r="AL657"/>
      <c r="AM657"/>
      <c r="AN657"/>
      <c r="AO657"/>
      <c r="AP657"/>
      <c r="AQ657"/>
      <c r="AR657"/>
      <c r="AS657"/>
      <c r="AT657"/>
      <c r="AU657"/>
      <c r="AV657"/>
      <c r="AW657"/>
      <c r="AX657"/>
      <c r="AY657"/>
      <c r="AZ657"/>
      <c r="BA657"/>
    </row>
    <row r="658" spans="3:53" hidden="1" outlineLevel="1" x14ac:dyDescent="0.3">
      <c r="C658" s="587" t="str">
        <f>C657</f>
        <v>Renowave</v>
      </c>
      <c r="E658" s="563" t="s">
        <v>52</v>
      </c>
      <c r="F658" s="229"/>
      <c r="G658" s="593" cm="1">
        <f t="array" ref="G658">INDEX(G$9:G$56,MATCH($C658&amp;$E658,$C$9:$C$56&amp;$E$9:$E$56,0))*INDEX(Assumptions!D$495:D$500,MATCH($E658,Assumptions!$B$495:$B$500,0))</f>
        <v>381.21863430277921</v>
      </c>
      <c r="H658" s="593" cm="1">
        <f t="array" ref="H658">INDEX(H$9:H$56,MATCH($C658&amp;$E658,$C$9:$C$56&amp;$E$9:$E$56,0))*INDEX(Assumptions!E$495:E$500,MATCH($E658,Assumptions!$B$495:$B$500,0))</f>
        <v>394.09687684434823</v>
      </c>
      <c r="I658" s="593" cm="1">
        <f t="array" ref="I658">INDEX(I$9:I$56,MATCH($C658&amp;$E658,$C$9:$C$56&amp;$E$9:$E$56,0))*INDEX(Assumptions!F$495:F$500,MATCH($E658,Assumptions!$B$495:$B$500,0))</f>
        <v>407.8121531100723</v>
      </c>
      <c r="J658" s="593" cm="1">
        <f t="array" ref="J658">INDEX(J$9:J$56,MATCH($C658&amp;$E658,$C$9:$C$56&amp;$E$9:$E$56,0))*INDEX(Assumptions!G$495:G$500,MATCH($E658,Assumptions!$B$495:$B$500,0))</f>
        <v>428.92231753694591</v>
      </c>
      <c r="K658" s="593" cm="1">
        <f t="array" ref="K658">INDEX(K$9:K$56,MATCH($C658&amp;$E658,$C$9:$C$56&amp;$E$9:$E$56,0))*INDEX(Assumptions!H$495:H$500,MATCH($E658,Assumptions!$B$495:$B$500,0))</f>
        <v>440.29714956216515</v>
      </c>
      <c r="L658" s="593" cm="1">
        <f t="array" ref="L658">INDEX(L$9:L$56,MATCH($C658&amp;$E658,$C$9:$C$56&amp;$E$9:$E$56,0))*INDEX(Assumptions!I$495:I$500,MATCH($E658,Assumptions!$B$495:$B$500,0))</f>
        <v>448.46607964614765</v>
      </c>
      <c r="M658" s="593" cm="1">
        <f t="array" ref="M658">INDEX(M$9:M$56,MATCH($C658&amp;$E658,$C$9:$C$56&amp;$E$9:$E$56,0))*INDEX(Assumptions!J$495:J$500,MATCH($E658,Assumptions!$B$495:$B$500,0))</f>
        <v>456.95903368960762</v>
      </c>
      <c r="N658" s="593" cm="1">
        <f t="array" ref="N658">INDEX(N$9:N$56,MATCH($C658&amp;$E658,$C$9:$C$56&amp;$E$9:$E$56,0))*INDEX(Assumptions!K$495:K$500,MATCH($E658,Assumptions!$B$495:$B$500,0))</f>
        <v>465.74752073450264</v>
      </c>
      <c r="O658" s="593" cm="1">
        <f t="array" ref="O658">INDEX(O$9:O$56,MATCH($C658&amp;$E658,$C$9:$C$56&amp;$E$9:$E$56,0))*INDEX(Assumptions!L$495:L$500,MATCH($E658,Assumptions!$B$495:$B$500,0))</f>
        <v>474.84547495948601</v>
      </c>
      <c r="P658" s="593" cm="1">
        <f t="array" ref="P658">INDEX(P$9:P$56,MATCH($C658&amp;$E658,$C$9:$C$56&amp;$E$9:$E$56,0))*INDEX(Assumptions!M$495:M$500,MATCH($E658,Assumptions!$B$495:$B$500,0))</f>
        <v>484.26758957053642</v>
      </c>
      <c r="Q658" s="593" cm="1">
        <f t="array" ref="Q658">INDEX(Q$9:Q$56,MATCH($C658&amp;$E658,$C$9:$C$56&amp;$E$9:$E$56,0))*INDEX(Assumptions!N$495:N$500,MATCH($E658,Assumptions!$B$495:$B$500,0))</f>
        <v>494.20830672458283</v>
      </c>
      <c r="R658" s="593" cm="1">
        <f t="array" ref="R658">INDEX(R$9:R$56,MATCH($C658&amp;$E658,$C$9:$C$56&amp;$E$9:$E$56,0))*INDEX(Assumptions!O$495:O$500,MATCH($E658,Assumptions!$B$495:$B$500,0))</f>
        <v>504.51157081658033</v>
      </c>
      <c r="S658" s="593" cm="1">
        <f t="array" ref="S658">INDEX(S$9:S$56,MATCH($C658&amp;$E658,$C$9:$C$56&amp;$E$9:$E$56,0))*INDEX(Assumptions!P$495:P$500,MATCH($E658,Assumptions!$B$495:$B$500,0))</f>
        <v>515.19494337212939</v>
      </c>
      <c r="T658" s="593" cm="1">
        <f t="array" ref="T658">INDEX(T$9:T$56,MATCH($C658&amp;$E658,$C$9:$C$56&amp;$E$9:$E$56,0))*INDEX(Assumptions!Q$495:Q$500,MATCH($E658,Assumptions!$B$495:$B$500,0))</f>
        <v>526.27694444471069</v>
      </c>
      <c r="U658" s="593" cm="1">
        <f t="array" ref="U658">INDEX(U$9:U$56,MATCH($C658&amp;$E658,$C$9:$C$56&amp;$E$9:$E$56,0))*INDEX(Assumptions!R$495:R$500,MATCH($E658,Assumptions!$B$495:$B$500,0))</f>
        <v>537.72535620983592</v>
      </c>
      <c r="W658" s="2067"/>
      <c r="X658" s="2069"/>
      <c r="Y658" s="1149" t="str">
        <f>Assumptions!B435</f>
        <v>&lt;1000 GJ</v>
      </c>
      <c r="Z658" s="1150">
        <v>42.84976303317535</v>
      </c>
      <c r="AA658" s="1150">
        <f t="shared" si="2372"/>
        <v>1.6124756068622168</v>
      </c>
      <c r="AB658" s="1150">
        <v>58.974519101797519</v>
      </c>
      <c r="AC658" s="1150">
        <f t="shared" si="2373"/>
        <v>16.124756068622169</v>
      </c>
      <c r="AD658" s="886">
        <f t="shared" si="2374"/>
        <v>0.37630910715044052</v>
      </c>
      <c r="AE658" s="1384"/>
      <c r="AF658" s="1384"/>
      <c r="AG658" s="1384"/>
      <c r="AH658" s="1384"/>
      <c r="AI658" s="1385"/>
      <c r="AJ658"/>
      <c r="AK658"/>
      <c r="AL658"/>
      <c r="AM658"/>
      <c r="AN658"/>
      <c r="AO658"/>
      <c r="AP658"/>
      <c r="AQ658"/>
      <c r="AR658"/>
      <c r="AS658"/>
      <c r="AT658"/>
      <c r="AU658"/>
      <c r="AV658"/>
      <c r="AW658"/>
      <c r="AX658"/>
      <c r="AY658"/>
      <c r="AZ658"/>
      <c r="BA658"/>
    </row>
    <row r="659" spans="3:53" hidden="1" outlineLevel="1" x14ac:dyDescent="0.3">
      <c r="C659" s="587" t="str">
        <f>C658</f>
        <v>Renowave</v>
      </c>
      <c r="E659" s="563" t="s">
        <v>53</v>
      </c>
      <c r="F659" s="229"/>
      <c r="G659" s="593" cm="1">
        <f t="array" ref="G659">INDEX(G$9:G$56,MATCH($C659&amp;$E659,$C$9:$C$56&amp;$E$9:$E$56,0))*INDEX(Assumptions!D$495:D$500,MATCH($E659,Assumptions!$B$495:$B$500,0))</f>
        <v>869.37212939490587</v>
      </c>
      <c r="H659" s="593" cm="1">
        <f t="array" ref="H659">INDEX(H$9:H$56,MATCH($C659&amp;$E659,$C$9:$C$56&amp;$E$9:$E$56,0))*INDEX(Assumptions!E$495:E$500,MATCH($E659,Assumptions!$B$495:$B$500,0))</f>
        <v>891.92488504563789</v>
      </c>
      <c r="I659" s="593" cm="1">
        <f t="array" ref="I659">INDEX(I$9:I$56,MATCH($C659&amp;$E659,$C$9:$C$56&amp;$E$9:$E$56,0))*INDEX(Assumptions!F$495:F$500,MATCH($E659,Assumptions!$B$495:$B$500,0))</f>
        <v>915.62435867714748</v>
      </c>
      <c r="J659" s="593" cm="1">
        <f t="array" ref="J659">INDEX(J$9:J$56,MATCH($C659&amp;$E659,$C$9:$C$56&amp;$E$9:$E$56,0))*INDEX(Assumptions!G$495:G$500,MATCH($E659,Assumptions!$B$495:$B$500,0))</f>
        <v>983.43699034535257</v>
      </c>
      <c r="K659" s="593" cm="1">
        <f t="array" ref="K659">INDEX(K$9:K$56,MATCH($C659&amp;$E659,$C$9:$C$56&amp;$E$9:$E$56,0))*INDEX(Assumptions!H$495:H$500,MATCH($E659,Assumptions!$B$495:$B$500,0))</f>
        <v>1023.3063417671962</v>
      </c>
      <c r="L659" s="593" cm="1">
        <f t="array" ref="L659">INDEX(L$9:L$56,MATCH($C659&amp;$E659,$C$9:$C$56&amp;$E$9:$E$56,0))*INDEX(Assumptions!I$495:I$500,MATCH($E659,Assumptions!$B$495:$B$500,0))</f>
        <v>1046.9499926265573</v>
      </c>
      <c r="M659" s="593" cm="1">
        <f t="array" ref="M659">INDEX(M$9:M$56,MATCH($C659&amp;$E659,$C$9:$C$56&amp;$E$9:$E$56,0))*INDEX(Assumptions!J$495:J$500,MATCH($E659,Assumptions!$B$495:$B$500,0))</f>
        <v>1056.724509865729</v>
      </c>
      <c r="N659" s="593" cm="1">
        <f t="array" ref="N659">INDEX(N$9:N$56,MATCH($C659&amp;$E659,$C$9:$C$56&amp;$E$9:$E$56,0))*INDEX(Assumptions!K$495:K$500,MATCH($E659,Assumptions!$B$495:$B$500,0))</f>
        <v>1082.1068750614488</v>
      </c>
      <c r="O659" s="593" cm="1">
        <f t="array" ref="O659">INDEX(O$9:O$56,MATCH($C659&amp;$E659,$C$9:$C$56&amp;$E$9:$E$56,0))*INDEX(Assumptions!L$495:L$500,MATCH($E659,Assumptions!$B$495:$B$500,0))</f>
        <v>1108.4649897883969</v>
      </c>
      <c r="P659" s="593" cm="1">
        <f t="array" ref="P659">INDEX(P$9:P$56,MATCH($C659&amp;$E659,$C$9:$C$56&amp;$E$9:$E$56,0))*INDEX(Assumptions!M$495:M$500,MATCH($E659,Assumptions!$B$495:$B$500,0))</f>
        <v>1135.9395351020585</v>
      </c>
      <c r="Q659" s="593" cm="1">
        <f t="array" ref="Q659">INDEX(Q$9:Q$56,MATCH($C659&amp;$E659,$C$9:$C$56&amp;$E$9:$E$56,0))*INDEX(Assumptions!N$495:N$500,MATCH($E659,Assumptions!$B$495:$B$500,0))</f>
        <v>1166.9745470966707</v>
      </c>
      <c r="R659" s="593" cm="1">
        <f t="array" ref="R659">INDEX(R$9:R$56,MATCH($C659&amp;$E659,$C$9:$C$56&amp;$E$9:$E$56,0))*INDEX(Assumptions!O$495:O$500,MATCH($E659,Assumptions!$B$495:$B$500,0))</f>
        <v>1199.1418018624993</v>
      </c>
      <c r="S659" s="593" cm="1">
        <f t="array" ref="S659">INDEX(S$9:S$56,MATCH($C659&amp;$E659,$C$9:$C$56&amp;$E$9:$E$56,0))*INDEX(Assumptions!P$495:P$500,MATCH($E659,Assumptions!$B$495:$B$500,0))</f>
        <v>1232.4854932397348</v>
      </c>
      <c r="T659" s="593" cm="1">
        <f t="array" ref="T659">INDEX(T$9:T$56,MATCH($C659&amp;$E659,$C$9:$C$56&amp;$E$9:$E$56,0))*INDEX(Assumptions!Q$495:Q$500,MATCH($E659,Assumptions!$B$495:$B$500,0))</f>
        <v>1267.0515945952836</v>
      </c>
      <c r="U659" s="593" cm="1">
        <f t="array" ref="U659">INDEX(U$9:U$56,MATCH($C659&amp;$E659,$C$9:$C$56&amp;$E$9:$E$56,0))*INDEX(Assumptions!R$495:R$500,MATCH($E659,Assumptions!$B$495:$B$500,0))</f>
        <v>1302.8879311882822</v>
      </c>
      <c r="W659" s="2067"/>
      <c r="X659" s="2069"/>
      <c r="Y659" s="1149" t="str">
        <f>Assumptions!B436</f>
        <v>1000-10000 GJ</v>
      </c>
      <c r="Z659" s="1150">
        <v>47.649763033175354</v>
      </c>
      <c r="AA659" s="1150">
        <f t="shared" si="2372"/>
        <v>1.7587667351002529</v>
      </c>
      <c r="AB659" s="1150">
        <v>65.237430384177884</v>
      </c>
      <c r="AC659" s="1150">
        <f t="shared" si="2373"/>
        <v>17.58766735100253</v>
      </c>
      <c r="AD659" s="886">
        <f t="shared" si="2374"/>
        <v>0.3691029342319585</v>
      </c>
      <c r="AE659" s="1384"/>
      <c r="AF659" s="1384"/>
      <c r="AG659" s="1384"/>
      <c r="AH659" s="1384"/>
      <c r="AI659" s="1385"/>
      <c r="AJ659"/>
      <c r="AK659"/>
      <c r="AL659"/>
      <c r="AM659"/>
      <c r="AN659"/>
      <c r="AO659"/>
      <c r="AP659"/>
      <c r="AQ659"/>
      <c r="AR659"/>
      <c r="AS659"/>
      <c r="AT659"/>
      <c r="AU659"/>
      <c r="AV659"/>
      <c r="AW659"/>
      <c r="AX659"/>
      <c r="AY659"/>
      <c r="AZ659"/>
      <c r="BA659"/>
    </row>
    <row r="660" spans="3:53" hidden="1" outlineLevel="1" x14ac:dyDescent="0.3">
      <c r="C660" s="587" t="str">
        <f>C659</f>
        <v>Renowave</v>
      </c>
      <c r="E660" s="563" t="s">
        <v>54</v>
      </c>
      <c r="F660" s="229"/>
      <c r="G660" s="593" cm="1">
        <f t="array" ref="G660">INDEX(G$9:G$56,MATCH($C660&amp;$E660,$C$9:$C$56&amp;$E$9:$E$56,0))*INDEX(Assumptions!D$495:D$500,MATCH($E660,Assumptions!$B$495:$B$500,0))</f>
        <v>86.544179319191272</v>
      </c>
      <c r="H660" s="593" cm="1">
        <f t="array" ref="H660">INDEX(H$9:H$56,MATCH($C660&amp;$E660,$C$9:$C$56&amp;$E$9:$E$56,0))*INDEX(Assumptions!E$495:E$500,MATCH($E660,Assumptions!$B$495:$B$500,0))</f>
        <v>88.24000386962004</v>
      </c>
      <c r="I660" s="593" cm="1">
        <f t="array" ref="I660">INDEX(I$9:I$56,MATCH($C660&amp;$E660,$C$9:$C$56&amp;$E$9:$E$56,0))*INDEX(Assumptions!F$495:F$500,MATCH($E660,Assumptions!$B$495:$B$500,0))</f>
        <v>89.986518666981524</v>
      </c>
      <c r="J660" s="593" cm="1">
        <f t="array" ref="J660">INDEX(J$9:J$56,MATCH($C660&amp;$E660,$C$9:$C$56&amp;$E$9:$E$56,0))*INDEX(Assumptions!G$495:G$500,MATCH($E660,Assumptions!$B$495:$B$500,0))</f>
        <v>95.664349275039967</v>
      </c>
      <c r="K660" s="593" cm="1">
        <f t="array" ref="K660">INDEX(K$9:K$56,MATCH($C660&amp;$E660,$C$9:$C$56&amp;$E$9:$E$56,0))*INDEX(Assumptions!H$495:H$500,MATCH($E660,Assumptions!$B$495:$B$500,0))</f>
        <v>99.407836155900313</v>
      </c>
      <c r="L660" s="593" cm="1">
        <f t="array" ref="L660">INDEX(L$9:L$56,MATCH($C660&amp;$E660,$C$9:$C$56&amp;$E$9:$E$56,0))*INDEX(Assumptions!I$495:I$500,MATCH($E660,Assumptions!$B$495:$B$500,0))</f>
        <v>101.29094937931467</v>
      </c>
      <c r="M660" s="593" cm="1">
        <f t="array" ref="M660">INDEX(M$9:M$56,MATCH($C660&amp;$E660,$C$9:$C$56&amp;$E$9:$E$56,0))*INDEX(Assumptions!J$495:J$500,MATCH($E660,Assumptions!$B$495:$B$500,0))</f>
        <v>102.51076371741459</v>
      </c>
      <c r="N660" s="593" cm="1">
        <f t="array" ref="N660">INDEX(N$9:N$56,MATCH($C660&amp;$E660,$C$9:$C$56&amp;$E$9:$E$56,0))*INDEX(Assumptions!K$495:K$500,MATCH($E660,Assumptions!$B$495:$B$500,0))</f>
        <v>103.76054880028975</v>
      </c>
      <c r="O660" s="593" cm="1">
        <f t="array" ref="O660">INDEX(O$9:O$56,MATCH($C660&amp;$E660,$C$9:$C$56&amp;$E$9:$E$56,0))*INDEX(Assumptions!L$495:L$500,MATCH($E660,Assumptions!$B$495:$B$500,0))</f>
        <v>105.04077282678884</v>
      </c>
      <c r="P660" s="593" cm="1">
        <f t="array" ref="P660">INDEX(P$9:P$56,MATCH($C660&amp;$E660,$C$9:$C$56&amp;$E$9:$E$56,0))*INDEX(Assumptions!M$495:M$500,MATCH($E660,Assumptions!$B$495:$B$500,0))</f>
        <v>106.35190493046805</v>
      </c>
      <c r="Q660" s="593" cm="1">
        <f t="array" ref="Q660">INDEX(Q$9:Q$56,MATCH($C660&amp;$E660,$C$9:$C$56&amp;$E$9:$E$56,0))*INDEX(Assumptions!N$495:N$500,MATCH($E660,Assumptions!$B$495:$B$500,0))</f>
        <v>108.47252036571871</v>
      </c>
      <c r="R660" s="593" cm="1">
        <f t="array" ref="R660">INDEX(R$9:R$56,MATCH($C660&amp;$E660,$C$9:$C$56&amp;$E$9:$E$56,0))*INDEX(Assumptions!O$495:O$500,MATCH($E660,Assumptions!$B$495:$B$500,0))</f>
        <v>110.65647681998674</v>
      </c>
      <c r="S660" s="593" cm="1">
        <f t="array" ref="S660">INDEX(S$9:S$56,MATCH($C660&amp;$E660,$C$9:$C$56&amp;$E$9:$E$56,0))*INDEX(Assumptions!P$495:P$500,MATCH($E660,Assumptions!$B$495:$B$500,0))</f>
        <v>112.90566110477864</v>
      </c>
      <c r="T660" s="593" cm="1">
        <f t="array" ref="T660">INDEX(T$9:T$56,MATCH($C660&amp;$E660,$C$9:$C$56&amp;$E$9:$E$56,0))*INDEX(Assumptions!Q$495:Q$500,MATCH($E660,Assumptions!$B$495:$B$500,0))</f>
        <v>115.2220160202574</v>
      </c>
      <c r="U660" s="593" cm="1">
        <f t="array" ref="U660">INDEX(U$9:U$56,MATCH($C660&amp;$E660,$C$9:$C$56&amp;$E$9:$E$56,0))*INDEX(Assumptions!R$495:R$500,MATCH($E660,Assumptions!$B$495:$B$500,0))</f>
        <v>117.60754200826035</v>
      </c>
      <c r="W660" s="2067"/>
      <c r="X660" s="2069"/>
      <c r="Y660" s="1149" t="str">
        <f>Assumptions!B437</f>
        <v>10000-100000 GJ</v>
      </c>
      <c r="Z660" s="1150">
        <v>42.749763033175348</v>
      </c>
      <c r="AA660" s="1150">
        <f t="shared" si="2372"/>
        <v>1.6094278750239241</v>
      </c>
      <c r="AB660" s="1150">
        <v>58.844041783414589</v>
      </c>
      <c r="AC660" s="1150">
        <f t="shared" si="2373"/>
        <v>16.094278750239241</v>
      </c>
      <c r="AD660" s="886">
        <f t="shared" si="2374"/>
        <v>0.37647644357114923</v>
      </c>
      <c r="AE660" s="1384"/>
      <c r="AF660" s="1384"/>
      <c r="AG660" s="1384"/>
      <c r="AH660" s="1384"/>
      <c r="AI660" s="1385"/>
      <c r="AJ660"/>
      <c r="AK660"/>
      <c r="AL660"/>
      <c r="AM660"/>
      <c r="AN660"/>
      <c r="AO660"/>
      <c r="AP660"/>
      <c r="AQ660"/>
      <c r="AR660"/>
      <c r="AS660"/>
      <c r="AT660"/>
      <c r="AU660"/>
      <c r="AV660"/>
      <c r="AW660"/>
      <c r="AX660"/>
      <c r="AY660"/>
      <c r="AZ660"/>
      <c r="BA660"/>
    </row>
    <row r="661" spans="3:53" hidden="1" outlineLevel="1" x14ac:dyDescent="0.3">
      <c r="C661" s="587" t="str">
        <f>E661</f>
        <v>EET</v>
      </c>
      <c r="E661" s="555" t="str">
        <f>'EE Measures'!$IJ$6</f>
        <v>EET</v>
      </c>
      <c r="F661" s="229"/>
      <c r="G661" s="591">
        <f t="shared" ref="G661" si="2384">SUM(G662:G666)</f>
        <v>2476.5810203100023</v>
      </c>
      <c r="H661" s="591">
        <f t="shared" ref="H661:P661" si="2385">SUM(H662:H666)</f>
        <v>2576.0573598749597</v>
      </c>
      <c r="I661" s="591">
        <f t="shared" si="2385"/>
        <v>2654.6818665904616</v>
      </c>
      <c r="J661" s="591">
        <f t="shared" si="2385"/>
        <v>2808.6035215820775</v>
      </c>
      <c r="K661" s="591">
        <f t="shared" si="2385"/>
        <v>2881.5194433801621</v>
      </c>
      <c r="L661" s="591">
        <f t="shared" si="2385"/>
        <v>2933.2078974901624</v>
      </c>
      <c r="M661" s="591">
        <f t="shared" si="2385"/>
        <v>2914.7104208973142</v>
      </c>
      <c r="N661" s="591">
        <f t="shared" si="2385"/>
        <v>2974.2249931693746</v>
      </c>
      <c r="O661" s="591">
        <f t="shared" si="2385"/>
        <v>3036.0856421476324</v>
      </c>
      <c r="P661" s="591">
        <f t="shared" si="2385"/>
        <v>3099.8658709366814</v>
      </c>
      <c r="Q661" s="591">
        <f t="shared" ref="Q661:U661" si="2386">SUM(Q662:Q666)</f>
        <v>3177.4942532380824</v>
      </c>
      <c r="R661" s="591">
        <f t="shared" si="2386"/>
        <v>3257.9624552180221</v>
      </c>
      <c r="S661" s="591">
        <f t="shared" si="2386"/>
        <v>3341.3886219016167</v>
      </c>
      <c r="T661" s="591">
        <f t="shared" si="2386"/>
        <v>3427.8962426171497</v>
      </c>
      <c r="U661" s="591">
        <f t="shared" si="2386"/>
        <v>3517.6125312197742</v>
      </c>
      <c r="W661" s="2067"/>
      <c r="X661" s="2069"/>
      <c r="Y661" s="1149" t="str">
        <f>Assumptions!B438</f>
        <v>100000-1000000 GJ</v>
      </c>
      <c r="Z661" s="1150">
        <v>32.585308056872037</v>
      </c>
      <c r="AA661" s="1150">
        <f t="shared" si="2372"/>
        <v>0.953940065385536</v>
      </c>
      <c r="AB661" s="1150">
        <v>42.124708710727397</v>
      </c>
      <c r="AC661" s="1150">
        <f t="shared" si="2373"/>
        <v>9.5394006538553597</v>
      </c>
      <c r="AD661" s="886">
        <f t="shared" si="2374"/>
        <v>0.29275158722470818</v>
      </c>
      <c r="AE661" s="1384"/>
      <c r="AF661" s="1384"/>
      <c r="AG661" s="1384"/>
      <c r="AH661" s="1384"/>
      <c r="AI661" s="1385"/>
      <c r="AJ661"/>
      <c r="AK661"/>
      <c r="AL661"/>
      <c r="AM661"/>
      <c r="AN661"/>
      <c r="AO661"/>
      <c r="AP661"/>
      <c r="AQ661"/>
      <c r="AR661"/>
      <c r="AS661"/>
      <c r="AT661"/>
      <c r="AU661"/>
      <c r="AV661"/>
      <c r="AW661"/>
      <c r="AX661"/>
      <c r="AY661"/>
      <c r="AZ661"/>
      <c r="BA661"/>
    </row>
    <row r="662" spans="3:53" hidden="1" outlineLevel="1" x14ac:dyDescent="0.3">
      <c r="C662" s="587" t="str">
        <f>C661</f>
        <v>EET</v>
      </c>
      <c r="E662" s="563" t="s">
        <v>50</v>
      </c>
      <c r="F662" s="229"/>
      <c r="G662" s="593" cm="1">
        <f t="array" ref="G662">INDEX(G$9:G$56,MATCH($C662&amp;$E662,$C$9:$C$56&amp;$E$9:$E$56,0))*INDEX(Assumptions!D$495:D$500,MATCH($E662,Assumptions!$B$495:$B$500,0))</f>
        <v>289.29334260405022</v>
      </c>
      <c r="H662" s="593" cm="1">
        <f t="array" ref="H662">INDEX(H$9:H$56,MATCH($C662&amp;$E662,$C$9:$C$56&amp;$E$9:$E$56,0))*INDEX(Assumptions!E$495:E$500,MATCH($E662,Assumptions!$B$495:$B$500,0))</f>
        <v>325.92893814752739</v>
      </c>
      <c r="I662" s="593" cm="1">
        <f t="array" ref="I662">INDEX(I$9:I$56,MATCH($C662&amp;$E662,$C$9:$C$56&amp;$E$9:$E$56,0))*INDEX(Assumptions!F$495:F$500,MATCH($E662,Assumptions!$B$495:$B$500,0))</f>
        <v>338.8294538218048</v>
      </c>
      <c r="J662" s="593" cm="1">
        <f t="array" ref="J662">INDEX(J$9:J$56,MATCH($C662&amp;$E662,$C$9:$C$56&amp;$E$9:$E$56,0))*INDEX(Assumptions!G$495:G$500,MATCH($E662,Assumptions!$B$495:$B$500,0))</f>
        <v>362.51688794729108</v>
      </c>
      <c r="K662" s="593" cm="1">
        <f t="array" ref="K662">INDEX(K$9:K$56,MATCH($C662&amp;$E662,$C$9:$C$56&amp;$E$9:$E$56,0))*INDEX(Assumptions!H$495:H$500,MATCH($E662,Assumptions!$B$495:$B$500,0))</f>
        <v>376.80189954949185</v>
      </c>
      <c r="L662" s="593" cm="1">
        <f t="array" ref="L662">INDEX(L$9:L$56,MATCH($C662&amp;$E662,$C$9:$C$56&amp;$E$9:$E$56,0))*INDEX(Assumptions!I$495:I$500,MATCH($E662,Assumptions!$B$495:$B$500,0))</f>
        <v>386.9979472661048</v>
      </c>
      <c r="M662" s="593" cm="1">
        <f t="array" ref="M662">INDEX(M$9:M$56,MATCH($C662&amp;$E662,$C$9:$C$56&amp;$E$9:$E$56,0))*INDEX(Assumptions!J$495:J$500,MATCH($E662,Assumptions!$B$495:$B$500,0))</f>
        <v>399.33727282396046</v>
      </c>
      <c r="N662" s="593" cm="1">
        <f t="array" ref="N662">INDEX(N$9:N$56,MATCH($C662&amp;$E662,$C$9:$C$56&amp;$E$9:$E$56,0))*INDEX(Assumptions!K$495:K$500,MATCH($E662,Assumptions!$B$495:$B$500,0))</f>
        <v>415.71337752876326</v>
      </c>
      <c r="O662" s="593" cm="1">
        <f t="array" ref="O662">INDEX(O$9:O$56,MATCH($C662&amp;$E662,$C$9:$C$56&amp;$E$9:$E$56,0))*INDEX(Assumptions!L$495:L$500,MATCH($E662,Assumptions!$B$495:$B$500,0))</f>
        <v>432.98428116464277</v>
      </c>
      <c r="P662" s="593" cm="1">
        <f t="array" ref="P662">INDEX(P$9:P$56,MATCH($C662&amp;$E662,$C$9:$C$56&amp;$E$9:$E$56,0))*INDEX(Assumptions!M$495:M$500,MATCH($E662,Assumptions!$B$495:$B$500,0))</f>
        <v>450.40380212593669</v>
      </c>
      <c r="Q662" s="593" cm="1">
        <f t="array" ref="Q662">INDEX(Q$9:Q$56,MATCH($C662&amp;$E662,$C$9:$C$56&amp;$E$9:$E$56,0))*INDEX(Assumptions!N$495:N$500,MATCH($E662,Assumptions!$B$495:$B$500,0))</f>
        <v>468.80255571524634</v>
      </c>
      <c r="R662" s="593" cm="1">
        <f t="array" ref="R662">INDEX(R$9:R$56,MATCH($C662&amp;$E662,$C$9:$C$56&amp;$E$9:$E$56,0))*INDEX(Assumptions!O$495:O$500,MATCH($E662,Assumptions!$B$495:$B$500,0))</f>
        <v>488.01561426270501</v>
      </c>
      <c r="S662" s="593" cm="1">
        <f t="array" ref="S662">INDEX(S$9:S$56,MATCH($C662&amp;$E662,$C$9:$C$56&amp;$E$9:$E$56,0))*INDEX(Assumptions!P$495:P$500,MATCH($E662,Assumptions!$B$495:$B$500,0))</f>
        <v>508.0799354623403</v>
      </c>
      <c r="T662" s="593" cm="1">
        <f t="array" ref="T662">INDEX(T$9:T$56,MATCH($C662&amp;$E662,$C$9:$C$56&amp;$E$9:$E$56,0))*INDEX(Assumptions!Q$495:Q$500,MATCH($E662,Assumptions!$B$495:$B$500,0))</f>
        <v>529.03417200806564</v>
      </c>
      <c r="U662" s="593" cm="1">
        <f t="array" ref="U662">INDEX(U$9:U$56,MATCH($C662&amp;$E662,$C$9:$C$56&amp;$E$9:$E$56,0))*INDEX(Assumptions!R$495:R$500,MATCH($E662,Assumptions!$B$495:$B$500,0))</f>
        <v>550.91874953089973</v>
      </c>
      <c r="W662" s="2067"/>
      <c r="X662" s="2069"/>
      <c r="Y662" s="1149" t="str">
        <f>Assumptions!B439</f>
        <v>1000000-4000000 GJ</v>
      </c>
      <c r="Z662" s="1150">
        <v>28.885308056872034</v>
      </c>
      <c r="AA662" s="1150">
        <f t="shared" si="2372"/>
        <v>0.84117398736871674</v>
      </c>
      <c r="AB662" s="1150">
        <v>37.297047930559202</v>
      </c>
      <c r="AC662" s="1150">
        <f t="shared" si="2373"/>
        <v>8.4117398736871678</v>
      </c>
      <c r="AD662" s="886">
        <f t="shared" si="2374"/>
        <v>0.29121170725011364</v>
      </c>
      <c r="AE662" s="1384"/>
      <c r="AF662" s="1384"/>
      <c r="AG662" s="1384"/>
      <c r="AH662" s="1384"/>
      <c r="AI662" s="1385"/>
      <c r="AJ662"/>
      <c r="AK662"/>
      <c r="AL662"/>
      <c r="AM662"/>
      <c r="AN662"/>
      <c r="AO662"/>
      <c r="AP662"/>
      <c r="AQ662"/>
      <c r="AR662"/>
      <c r="AS662"/>
      <c r="AT662"/>
      <c r="AU662"/>
      <c r="AV662"/>
      <c r="AW662"/>
      <c r="AX662"/>
      <c r="AY662"/>
      <c r="AZ662"/>
      <c r="BA662"/>
    </row>
    <row r="663" spans="3:53" hidden="1" outlineLevel="1" x14ac:dyDescent="0.3">
      <c r="C663" s="587" t="str">
        <f>C662</f>
        <v>EET</v>
      </c>
      <c r="E663" s="563" t="s">
        <v>51</v>
      </c>
      <c r="F663" s="229"/>
      <c r="G663" s="593" cm="1">
        <f t="array" ref="G663">INDEX(G$9:G$56,MATCH($C663&amp;$E663,$C$9:$C$56&amp;$E$9:$E$56,0))*INDEX(Assumptions!D$495:D$500,MATCH($E663,Assumptions!$B$495:$B$500,0))</f>
        <v>852.6657193657868</v>
      </c>
      <c r="H663" s="593" cm="1">
        <f t="array" ref="H663">INDEX(H$9:H$56,MATCH($C663&amp;$E663,$C$9:$C$56&amp;$E$9:$E$56,0))*INDEX(Assumptions!E$495:E$500,MATCH($E663,Assumptions!$B$495:$B$500,0))</f>
        <v>879.15951841502385</v>
      </c>
      <c r="I663" s="593" cm="1">
        <f t="array" ref="I663">INDEX(I$9:I$56,MATCH($C663&amp;$E663,$C$9:$C$56&amp;$E$9:$E$56,0))*INDEX(Assumptions!F$495:F$500,MATCH($E663,Assumptions!$B$495:$B$500,0))</f>
        <v>906.54462506413802</v>
      </c>
      <c r="J663" s="593" cm="1">
        <f t="array" ref="J663">INDEX(J$9:J$56,MATCH($C663&amp;$E663,$C$9:$C$56&amp;$E$9:$E$56,0))*INDEX(Assumptions!G$495:G$500,MATCH($E663,Assumptions!$B$495:$B$500,0))</f>
        <v>943.19427723321326</v>
      </c>
      <c r="K663" s="593" cm="1">
        <f t="array" ref="K663">INDEX(K$9:K$56,MATCH($C663&amp;$E663,$C$9:$C$56&amp;$E$9:$E$56,0))*INDEX(Assumptions!H$495:H$500,MATCH($E663,Assumptions!$B$495:$B$500,0))</f>
        <v>963.85701239621426</v>
      </c>
      <c r="L663" s="593" cm="1">
        <f t="array" ref="L663">INDEX(L$9:L$56,MATCH($C663&amp;$E663,$C$9:$C$56&amp;$E$9:$E$56,0))*INDEX(Assumptions!I$495:I$500,MATCH($E663,Assumptions!$B$495:$B$500,0))</f>
        <v>980.82954756652282</v>
      </c>
      <c r="M663" s="593" cm="1">
        <f t="array" ref="M663">INDEX(M$9:M$56,MATCH($C663&amp;$E663,$C$9:$C$56&amp;$E$9:$E$56,0))*INDEX(Assumptions!J$495:J$500,MATCH($E663,Assumptions!$B$495:$B$500,0))</f>
        <v>998.68542367568159</v>
      </c>
      <c r="N663" s="593" cm="1">
        <f t="array" ref="N663">INDEX(N$9:N$56,MATCH($C663&amp;$E663,$C$9:$C$56&amp;$E$9:$E$56,0))*INDEX(Assumptions!K$495:K$500,MATCH($E663,Assumptions!$B$495:$B$500,0))</f>
        <v>1017.0420117113049</v>
      </c>
      <c r="O663" s="593" cm="1">
        <f t="array" ref="O663">INDEX(O$9:O$56,MATCH($C663&amp;$E663,$C$9:$C$56&amp;$E$9:$E$56,0))*INDEX(Assumptions!L$495:L$500,MATCH($E663,Assumptions!$B$495:$B$500,0))</f>
        <v>1035.9009867125349</v>
      </c>
      <c r="P663" s="593" cm="1">
        <f t="array" ref="P663">INDEX(P$9:P$56,MATCH($C663&amp;$E663,$C$9:$C$56&amp;$E$9:$E$56,0))*INDEX(Assumptions!M$495:M$500,MATCH($E663,Assumptions!$B$495:$B$500,0))</f>
        <v>1055.2807931220423</v>
      </c>
      <c r="Q663" s="593" cm="1">
        <f t="array" ref="Q663">INDEX(Q$9:Q$56,MATCH($C663&amp;$E663,$C$9:$C$56&amp;$E$9:$E$56,0))*INDEX(Assumptions!N$495:N$500,MATCH($E663,Assumptions!$B$495:$B$500,0))</f>
        <v>1074.8549541611267</v>
      </c>
      <c r="R663" s="593" cm="1">
        <f t="array" ref="R663">INDEX(R$9:R$56,MATCH($C663&amp;$E663,$C$9:$C$56&amp;$E$9:$E$56,0))*INDEX(Assumptions!O$495:O$500,MATCH($E663,Assumptions!$B$495:$B$500,0))</f>
        <v>1094.976315435787</v>
      </c>
      <c r="S663" s="593" cm="1">
        <f t="array" ref="S663">INDEX(S$9:S$56,MATCH($C663&amp;$E663,$C$9:$C$56&amp;$E$9:$E$56,0))*INDEX(Assumptions!P$495:P$500,MATCH($E663,Assumptions!$B$495:$B$500,0))</f>
        <v>1115.6655087515414</v>
      </c>
      <c r="T663" s="593" cm="1">
        <f t="array" ref="T663">INDEX(T$9:T$56,MATCH($C663&amp;$E663,$C$9:$C$56&amp;$E$9:$E$56,0))*INDEX(Assumptions!Q$495:Q$500,MATCH($E663,Assumptions!$B$495:$B$500,0))</f>
        <v>1136.9441389243311</v>
      </c>
      <c r="U663" s="593" cm="1">
        <f t="array" ref="U663">INDEX(U$9:U$56,MATCH($C663&amp;$E663,$C$9:$C$56&amp;$E$9:$E$56,0))*INDEX(Assumptions!R$495:R$500,MATCH($E663,Assumptions!$B$495:$B$500,0))</f>
        <v>1158.8765886876229</v>
      </c>
      <c r="W663" s="2066"/>
      <c r="X663" s="2070"/>
      <c r="Y663" s="1149" t="str">
        <f>Assumptions!B440</f>
        <v>&gt;4000000 GJ</v>
      </c>
      <c r="Z663" s="1150">
        <v>1.2853080568720381</v>
      </c>
      <c r="AA663" s="1150">
        <f t="shared" si="2372"/>
        <v>0</v>
      </c>
      <c r="AB663" s="1150">
        <v>1.2853080568720381</v>
      </c>
      <c r="AC663" s="1150">
        <f t="shared" si="2373"/>
        <v>0</v>
      </c>
      <c r="AD663" s="886">
        <f t="shared" si="2374"/>
        <v>0</v>
      </c>
      <c r="AE663" s="1384"/>
      <c r="AF663" s="1384"/>
      <c r="AG663" s="1384"/>
      <c r="AH663" s="1384"/>
      <c r="AI663" s="1385"/>
      <c r="AJ663"/>
      <c r="AK663"/>
      <c r="AL663"/>
      <c r="AM663"/>
      <c r="AN663"/>
      <c r="AO663"/>
      <c r="AP663"/>
      <c r="AQ663"/>
      <c r="AR663"/>
      <c r="AS663"/>
      <c r="AT663"/>
      <c r="AU663"/>
      <c r="AV663"/>
      <c r="AW663"/>
      <c r="AX663"/>
      <c r="AY663"/>
      <c r="AZ663"/>
      <c r="BA663"/>
    </row>
    <row r="664" spans="3:53" hidden="1" outlineLevel="1" x14ac:dyDescent="0.3">
      <c r="C664" s="587" t="str">
        <f>C663</f>
        <v>EET</v>
      </c>
      <c r="E664" s="563" t="s">
        <v>52</v>
      </c>
      <c r="F664" s="229"/>
      <c r="G664" s="593" cm="1">
        <f t="array" ref="G664">INDEX(G$9:G$56,MATCH($C664&amp;$E664,$C$9:$C$56&amp;$E$9:$E$56,0))*INDEX(Assumptions!D$495:D$500,MATCH($E664,Assumptions!$B$495:$B$500,0))</f>
        <v>381.21863430277921</v>
      </c>
      <c r="H664" s="593" cm="1">
        <f t="array" ref="H664">INDEX(H$9:H$56,MATCH($C664&amp;$E664,$C$9:$C$56&amp;$E$9:$E$56,0))*INDEX(Assumptions!E$495:E$500,MATCH($E664,Assumptions!$B$495:$B$500,0))</f>
        <v>394.09687684434823</v>
      </c>
      <c r="I664" s="593" cm="1">
        <f t="array" ref="I664">INDEX(I$9:I$56,MATCH($C664&amp;$E664,$C$9:$C$56&amp;$E$9:$E$56,0))*INDEX(Assumptions!F$495:F$500,MATCH($E664,Assumptions!$B$495:$B$500,0))</f>
        <v>407.8121531100723</v>
      </c>
      <c r="J664" s="593" cm="1">
        <f t="array" ref="J664">INDEX(J$9:J$56,MATCH($C664&amp;$E664,$C$9:$C$56&amp;$E$9:$E$56,0))*INDEX(Assumptions!G$495:G$500,MATCH($E664,Assumptions!$B$495:$B$500,0))</f>
        <v>428.92231753694591</v>
      </c>
      <c r="K664" s="593" cm="1">
        <f t="array" ref="K664">INDEX(K$9:K$56,MATCH($C664&amp;$E664,$C$9:$C$56&amp;$E$9:$E$56,0))*INDEX(Assumptions!H$495:H$500,MATCH($E664,Assumptions!$B$495:$B$500,0))</f>
        <v>442.82629814412854</v>
      </c>
      <c r="L664" s="593" cm="1">
        <f t="array" ref="L664">INDEX(L$9:L$56,MATCH($C664&amp;$E664,$C$9:$C$56&amp;$E$9:$E$56,0))*INDEX(Assumptions!I$495:I$500,MATCH($E664,Assumptions!$B$495:$B$500,0))</f>
        <v>453.64435652977909</v>
      </c>
      <c r="M664" s="593" cm="1">
        <f t="array" ref="M664">INDEX(M$9:M$56,MATCH($C664&amp;$E664,$C$9:$C$56&amp;$E$9:$E$56,0))*INDEX(Assumptions!J$495:J$500,MATCH($E664,Assumptions!$B$495:$B$500,0))</f>
        <v>464.91136766151652</v>
      </c>
      <c r="N664" s="593" cm="1">
        <f t="array" ref="N664">INDEX(N$9:N$56,MATCH($C664&amp;$E664,$C$9:$C$56&amp;$E$9:$E$56,0))*INDEX(Assumptions!K$495:K$500,MATCH($E664,Assumptions!$B$495:$B$500,0))</f>
        <v>476.60386343866543</v>
      </c>
      <c r="O664" s="593" cm="1">
        <f t="array" ref="O664">INDEX(O$9:O$56,MATCH($C664&amp;$E664,$C$9:$C$56&amp;$E$9:$E$56,0))*INDEX(Assumptions!L$495:L$500,MATCH($E664,Assumptions!$B$495:$B$500,0))</f>
        <v>488.74101331339568</v>
      </c>
      <c r="P664" s="593" cm="1">
        <f t="array" ref="P664">INDEX(P$9:P$56,MATCH($C664&amp;$E664,$C$9:$C$56&amp;$E$9:$E$56,0))*INDEX(Assumptions!M$495:M$500,MATCH($E664,Assumptions!$B$495:$B$500,0))</f>
        <v>501.34293841663606</v>
      </c>
      <c r="Q664" s="593" cm="1">
        <f t="array" ref="Q664">INDEX(Q$9:Q$56,MATCH($C664&amp;$E664,$C$9:$C$56&amp;$E$9:$E$56,0))*INDEX(Assumptions!N$495:N$500,MATCH($E664,Assumptions!$B$495:$B$500,0))</f>
        <v>514.61709823638739</v>
      </c>
      <c r="R664" s="593" cm="1">
        <f t="array" ref="R664">INDEX(R$9:R$56,MATCH($C664&amp;$E664,$C$9:$C$56&amp;$E$9:$E$56,0))*INDEX(Assumptions!O$495:O$500,MATCH($E664,Assumptions!$B$495:$B$500,0))</f>
        <v>528.40836454950261</v>
      </c>
      <c r="S664" s="593" cm="1">
        <f t="array" ref="S664">INDEX(S$9:S$56,MATCH($C664&amp;$E664,$C$9:$C$56&amp;$E$9:$E$56,0))*INDEX(Assumptions!P$495:P$500,MATCH($E664,Assumptions!$B$495:$B$500,0))</f>
        <v>542.74050102719104</v>
      </c>
      <c r="T664" s="593" cm="1">
        <f t="array" ref="T664">INDEX(T$9:T$56,MATCH($C664&amp;$E664,$C$9:$C$56&amp;$E$9:$E$56,0))*INDEX(Assumptions!Q$495:Q$500,MATCH($E664,Assumptions!$B$495:$B$500,0))</f>
        <v>557.63845850777022</v>
      </c>
      <c r="U664" s="593" cm="1">
        <f t="array" ref="U664">INDEX(U$9:U$56,MATCH($C664&amp;$E664,$C$9:$C$56&amp;$E$9:$E$56,0))*INDEX(Assumptions!R$495:R$500,MATCH($E664,Assumptions!$B$495:$B$500,0))</f>
        <v>573.08481078097202</v>
      </c>
      <c r="AJ664"/>
      <c r="AK664"/>
      <c r="AL664"/>
      <c r="AM664"/>
      <c r="AN664"/>
      <c r="AO664"/>
      <c r="AP664"/>
      <c r="AQ664"/>
      <c r="AR664"/>
      <c r="AS664"/>
      <c r="AT664"/>
      <c r="AU664"/>
      <c r="AV664"/>
      <c r="AW664"/>
      <c r="AX664"/>
      <c r="AY664"/>
      <c r="AZ664"/>
      <c r="BA664"/>
    </row>
    <row r="665" spans="3:53" hidden="1" outlineLevel="1" x14ac:dyDescent="0.3">
      <c r="C665" s="587" t="str">
        <f>C664</f>
        <v>EET</v>
      </c>
      <c r="E665" s="563" t="s">
        <v>53</v>
      </c>
      <c r="F665" s="229"/>
      <c r="G665" s="593" cm="1">
        <f t="array" ref="G665">INDEX(G$9:G$56,MATCH($C665&amp;$E665,$C$9:$C$56&amp;$E$9:$E$56,0))*INDEX(Assumptions!D$495:D$500,MATCH($E665,Assumptions!$B$495:$B$500,0))</f>
        <v>866.85914471819467</v>
      </c>
      <c r="H665" s="593" cm="1">
        <f t="array" ref="H665">INDEX(H$9:H$56,MATCH($C665&amp;$E665,$C$9:$C$56&amp;$E$9:$E$56,0))*INDEX(Assumptions!E$495:E$500,MATCH($E665,Assumptions!$B$495:$B$500,0))</f>
        <v>888.6320225984399</v>
      </c>
      <c r="I665" s="593" cm="1">
        <f t="array" ref="I665">INDEX(I$9:I$56,MATCH($C665&amp;$E665,$C$9:$C$56&amp;$E$9:$E$56,0))*INDEX(Assumptions!F$495:F$500,MATCH($E665,Assumptions!$B$495:$B$500,0))</f>
        <v>911.50911592746502</v>
      </c>
      <c r="J665" s="593" cm="1">
        <f t="array" ref="J665">INDEX(J$9:J$56,MATCH($C665&amp;$E665,$C$9:$C$56&amp;$E$9:$E$56,0))*INDEX(Assumptions!G$495:G$500,MATCH($E665,Assumptions!$B$495:$B$500,0))</f>
        <v>978.30568958958725</v>
      </c>
      <c r="K665" s="593" cm="1">
        <f t="array" ref="K665">INDEX(K$9:K$56,MATCH($C665&amp;$E665,$C$9:$C$56&amp;$E$9:$E$56,0))*INDEX(Assumptions!H$495:H$500,MATCH($E665,Assumptions!$B$495:$B$500,0))</f>
        <v>998.62639713442684</v>
      </c>
      <c r="L665" s="593" cm="1">
        <f t="array" ref="L665">INDEX(L$9:L$56,MATCH($C665&amp;$E665,$C$9:$C$56&amp;$E$9:$E$56,0))*INDEX(Assumptions!I$495:I$500,MATCH($E665,Assumptions!$B$495:$B$500,0))</f>
        <v>1010.4450967484414</v>
      </c>
      <c r="M665" s="593" cm="1">
        <f t="array" ref="M665">INDEX(M$9:M$56,MATCH($C665&amp;$E665,$C$9:$C$56&amp;$E$9:$E$56,0))*INDEX(Assumptions!J$495:J$500,MATCH($E665,Assumptions!$B$495:$B$500,0))</f>
        <v>949.26559301874101</v>
      </c>
      <c r="N665" s="593" cm="1">
        <f t="array" ref="N665">INDEX(N$9:N$56,MATCH($C665&amp;$E665,$C$9:$C$56&amp;$E$9:$E$56,0))*INDEX(Assumptions!K$495:K$500,MATCH($E665,Assumptions!$B$495:$B$500,0))</f>
        <v>961.10519169035138</v>
      </c>
      <c r="O665" s="593" cm="1">
        <f t="array" ref="O665">INDEX(O$9:O$56,MATCH($C665&amp;$E665,$C$9:$C$56&amp;$E$9:$E$56,0))*INDEX(Assumptions!L$495:L$500,MATCH($E665,Assumptions!$B$495:$B$500,0))</f>
        <v>973.41858813027</v>
      </c>
      <c r="P665" s="593" cm="1">
        <f t="array" ref="P665">INDEX(P$9:P$56,MATCH($C665&amp;$E665,$C$9:$C$56&amp;$E$9:$E$56,0))*INDEX(Assumptions!M$495:M$500,MATCH($E665,Assumptions!$B$495:$B$500,0))</f>
        <v>986.4864323415984</v>
      </c>
      <c r="Q665" s="593" cm="1">
        <f t="array" ref="Q665">INDEX(Q$9:Q$56,MATCH($C665&amp;$E665,$C$9:$C$56&amp;$E$9:$E$56,0))*INDEX(Assumptions!N$495:N$500,MATCH($E665,Assumptions!$B$495:$B$500,0))</f>
        <v>1010.7471247596034</v>
      </c>
      <c r="R665" s="593" cm="1">
        <f t="array" ref="R665">INDEX(R$9:R$56,MATCH($C665&amp;$E665,$C$9:$C$56&amp;$E$9:$E$56,0))*INDEX(Assumptions!O$495:O$500,MATCH($E665,Assumptions!$B$495:$B$500,0))</f>
        <v>1035.9056841500405</v>
      </c>
      <c r="S665" s="593" cm="1">
        <f t="array" ref="S665">INDEX(S$9:S$56,MATCH($C665&amp;$E665,$C$9:$C$56&amp;$E$9:$E$56,0))*INDEX(Assumptions!P$495:P$500,MATCH($E665,Assumptions!$B$495:$B$500,0))</f>
        <v>1061.9970155557653</v>
      </c>
      <c r="T665" s="593" cm="1">
        <f t="array" ref="T665">INDEX(T$9:T$56,MATCH($C665&amp;$E665,$C$9:$C$56&amp;$E$9:$E$56,0))*INDEX(Assumptions!Q$495:Q$500,MATCH($E665,Assumptions!$B$495:$B$500,0))</f>
        <v>1089.0574571567254</v>
      </c>
      <c r="U665" s="593" cm="1">
        <f t="array" ref="U665">INDEX(U$9:U$56,MATCH($C665&amp;$E665,$C$9:$C$56&amp;$E$9:$E$56,0))*INDEX(Assumptions!R$495:R$500,MATCH($E665,Assumptions!$B$495:$B$500,0))</f>
        <v>1117.1248402120193</v>
      </c>
      <c r="W665"/>
      <c r="X665"/>
      <c r="Y665"/>
      <c r="Z665"/>
      <c r="AA665"/>
      <c r="AB665"/>
      <c r="AC665"/>
      <c r="AD665"/>
      <c r="AE665"/>
      <c r="AF665"/>
      <c r="AG665"/>
      <c r="AH665"/>
      <c r="AJ665"/>
      <c r="AK665"/>
      <c r="AL665"/>
      <c r="AM665"/>
      <c r="AN665"/>
      <c r="AO665"/>
      <c r="AP665"/>
      <c r="AQ665"/>
      <c r="AR665"/>
      <c r="AS665"/>
      <c r="AT665"/>
      <c r="AU665"/>
      <c r="AV665"/>
      <c r="AW665"/>
      <c r="AX665"/>
      <c r="AY665"/>
      <c r="AZ665"/>
      <c r="BA665"/>
    </row>
    <row r="666" spans="3:53" hidden="1" outlineLevel="1" x14ac:dyDescent="0.3">
      <c r="C666" s="587" t="str">
        <f>C665</f>
        <v>EET</v>
      </c>
      <c r="E666" s="563" t="s">
        <v>54</v>
      </c>
      <c r="F666" s="229"/>
      <c r="G666" s="593" cm="1">
        <f t="array" ref="G666">INDEX(G$9:G$56,MATCH($C666&amp;$E666,$C$9:$C$56&amp;$E$9:$E$56,0))*INDEX(Assumptions!D$495:D$500,MATCH($E666,Assumptions!$B$495:$B$500,0))</f>
        <v>86.544179319191272</v>
      </c>
      <c r="H666" s="593" cm="1">
        <f t="array" ref="H666">INDEX(H$9:H$56,MATCH($C666&amp;$E666,$C$9:$C$56&amp;$E$9:$E$56,0))*INDEX(Assumptions!E$495:E$500,MATCH($E666,Assumptions!$B$495:$B$500,0))</f>
        <v>88.24000386962004</v>
      </c>
      <c r="I666" s="593" cm="1">
        <f t="array" ref="I666">INDEX(I$9:I$56,MATCH($C666&amp;$E666,$C$9:$C$56&amp;$E$9:$E$56,0))*INDEX(Assumptions!F$495:F$500,MATCH($E666,Assumptions!$B$495:$B$500,0))</f>
        <v>89.986518666981524</v>
      </c>
      <c r="J666" s="593" cm="1">
        <f t="array" ref="J666">INDEX(J$9:J$56,MATCH($C666&amp;$E666,$C$9:$C$56&amp;$E$9:$E$56,0))*INDEX(Assumptions!G$495:G$500,MATCH($E666,Assumptions!$B$495:$B$500,0))</f>
        <v>95.664349275039967</v>
      </c>
      <c r="K666" s="593" cm="1">
        <f t="array" ref="K666">INDEX(K$9:K$56,MATCH($C666&amp;$E666,$C$9:$C$56&amp;$E$9:$E$56,0))*INDEX(Assumptions!H$495:H$500,MATCH($E666,Assumptions!$B$495:$B$500,0))</f>
        <v>99.407836155900313</v>
      </c>
      <c r="L666" s="593" cm="1">
        <f t="array" ref="L666">INDEX(L$9:L$56,MATCH($C666&amp;$E666,$C$9:$C$56&amp;$E$9:$E$56,0))*INDEX(Assumptions!I$495:I$500,MATCH($E666,Assumptions!$B$495:$B$500,0))</f>
        <v>101.29094937931467</v>
      </c>
      <c r="M666" s="593" cm="1">
        <f t="array" ref="M666">INDEX(M$9:M$56,MATCH($C666&amp;$E666,$C$9:$C$56&amp;$E$9:$E$56,0))*INDEX(Assumptions!J$495:J$500,MATCH($E666,Assumptions!$B$495:$B$500,0))</f>
        <v>102.51076371741459</v>
      </c>
      <c r="N666" s="593" cm="1">
        <f t="array" ref="N666">INDEX(N$9:N$56,MATCH($C666&amp;$E666,$C$9:$C$56&amp;$E$9:$E$56,0))*INDEX(Assumptions!K$495:K$500,MATCH($E666,Assumptions!$B$495:$B$500,0))</f>
        <v>103.76054880028975</v>
      </c>
      <c r="O666" s="593" cm="1">
        <f t="array" ref="O666">INDEX(O$9:O$56,MATCH($C666&amp;$E666,$C$9:$C$56&amp;$E$9:$E$56,0))*INDEX(Assumptions!L$495:L$500,MATCH($E666,Assumptions!$B$495:$B$500,0))</f>
        <v>105.04077282678884</v>
      </c>
      <c r="P666" s="593" cm="1">
        <f t="array" ref="P666">INDEX(P$9:P$56,MATCH($C666&amp;$E666,$C$9:$C$56&amp;$E$9:$E$56,0))*INDEX(Assumptions!M$495:M$500,MATCH($E666,Assumptions!$B$495:$B$500,0))</f>
        <v>106.35190493046805</v>
      </c>
      <c r="Q666" s="593" cm="1">
        <f t="array" ref="Q666">INDEX(Q$9:Q$56,MATCH($C666&amp;$E666,$C$9:$C$56&amp;$E$9:$E$56,0))*INDEX(Assumptions!N$495:N$500,MATCH($E666,Assumptions!$B$495:$B$500,0))</f>
        <v>108.47252036571871</v>
      </c>
      <c r="R666" s="593" cm="1">
        <f t="array" ref="R666">INDEX(R$9:R$56,MATCH($C666&amp;$E666,$C$9:$C$56&amp;$E$9:$E$56,0))*INDEX(Assumptions!O$495:O$500,MATCH($E666,Assumptions!$B$495:$B$500,0))</f>
        <v>110.65647681998674</v>
      </c>
      <c r="S666" s="593" cm="1">
        <f t="array" ref="S666">INDEX(S$9:S$56,MATCH($C666&amp;$E666,$C$9:$C$56&amp;$E$9:$E$56,0))*INDEX(Assumptions!P$495:P$500,MATCH($E666,Assumptions!$B$495:$B$500,0))</f>
        <v>112.90566110477864</v>
      </c>
      <c r="T666" s="593" cm="1">
        <f t="array" ref="T666">INDEX(T$9:T$56,MATCH($C666&amp;$E666,$C$9:$C$56&amp;$E$9:$E$56,0))*INDEX(Assumptions!Q$495:Q$500,MATCH($E666,Assumptions!$B$495:$B$500,0))</f>
        <v>115.2220160202574</v>
      </c>
      <c r="U666" s="593" cm="1">
        <f t="array" ref="U666">INDEX(U$9:U$56,MATCH($C666&amp;$E666,$C$9:$C$56&amp;$E$9:$E$56,0))*INDEX(Assumptions!R$495:R$500,MATCH($E666,Assumptions!$B$495:$B$500,0))</f>
        <v>117.60754200826035</v>
      </c>
      <c r="W666"/>
      <c r="X666"/>
      <c r="Y666"/>
      <c r="Z666"/>
      <c r="AA666"/>
      <c r="AB666"/>
      <c r="AC666"/>
      <c r="AD666"/>
      <c r="AE666"/>
      <c r="AF666"/>
      <c r="AG666"/>
      <c r="AH666"/>
      <c r="AJ666"/>
      <c r="AK666"/>
      <c r="AL666"/>
      <c r="AM666"/>
      <c r="AN666"/>
      <c r="AO666"/>
      <c r="AP666"/>
      <c r="AQ666"/>
      <c r="AR666"/>
      <c r="AS666"/>
      <c r="AT666"/>
      <c r="AU666"/>
      <c r="AV666"/>
      <c r="AW666"/>
      <c r="AX666"/>
      <c r="AY666"/>
      <c r="AZ666"/>
      <c r="BA666"/>
    </row>
    <row r="667" spans="3:53" hidden="1" outlineLevel="1" x14ac:dyDescent="0.3">
      <c r="C667" s="587" t="str">
        <f>E667</f>
        <v>CEER1</v>
      </c>
      <c r="E667" s="555" t="str">
        <f>'EE Measures'!$IK$6</f>
        <v>CEER1</v>
      </c>
      <c r="F667" s="229"/>
      <c r="G667" s="591">
        <f t="shared" ref="G667" si="2387">SUM(G668:G672)</f>
        <v>2476.5810203100023</v>
      </c>
      <c r="H667" s="591">
        <f t="shared" ref="H667:P667" si="2388">SUM(H668:H672)</f>
        <v>2576.0573598749597</v>
      </c>
      <c r="I667" s="591">
        <f t="shared" si="2388"/>
        <v>2654.6818665904616</v>
      </c>
      <c r="J667" s="591">
        <f t="shared" si="2388"/>
        <v>2808.6035215820775</v>
      </c>
      <c r="K667" s="591">
        <f t="shared" si="2388"/>
        <v>2884.3741826284131</v>
      </c>
      <c r="L667" s="591">
        <f t="shared" si="2388"/>
        <v>2935.9154788979981</v>
      </c>
      <c r="M667" s="591">
        <f t="shared" si="2388"/>
        <v>2952.5738252698129</v>
      </c>
      <c r="N667" s="591">
        <f t="shared" si="2388"/>
        <v>3009.7061460806808</v>
      </c>
      <c r="O667" s="591">
        <f t="shared" si="2388"/>
        <v>3067.0265597590678</v>
      </c>
      <c r="P667" s="591">
        <f t="shared" si="2388"/>
        <v>3124.4875451441098</v>
      </c>
      <c r="Q667" s="591">
        <f t="shared" ref="Q667:U667" si="2389">SUM(Q668:Q672)</f>
        <v>3190.2835094907118</v>
      </c>
      <c r="R667" s="591">
        <f t="shared" si="2389"/>
        <v>3258.2010512507359</v>
      </c>
      <c r="S667" s="591">
        <f t="shared" si="2389"/>
        <v>3328.3220433019028</v>
      </c>
      <c r="T667" s="591">
        <f t="shared" si="2389"/>
        <v>3400.7320068037984</v>
      </c>
      <c r="U667" s="591">
        <f t="shared" si="2389"/>
        <v>3475.5434987085932</v>
      </c>
      <c r="W667"/>
      <c r="X667"/>
      <c r="Y667"/>
      <c r="Z667"/>
      <c r="AA667"/>
      <c r="AB667"/>
      <c r="AC667"/>
      <c r="AD667"/>
      <c r="AE667"/>
      <c r="AF667"/>
      <c r="AG667"/>
      <c r="AH667"/>
      <c r="AJ667"/>
      <c r="AK667"/>
      <c r="AL667"/>
      <c r="AM667"/>
      <c r="AN667"/>
      <c r="AO667"/>
      <c r="AP667"/>
      <c r="AQ667"/>
      <c r="AR667"/>
      <c r="AS667"/>
      <c r="AT667"/>
      <c r="AU667"/>
      <c r="AV667"/>
      <c r="AW667"/>
      <c r="AX667"/>
      <c r="AY667"/>
      <c r="AZ667"/>
      <c r="BA667"/>
    </row>
    <row r="668" spans="3:53" hidden="1" outlineLevel="1" x14ac:dyDescent="0.3">
      <c r="C668" s="587" t="str">
        <f>C667</f>
        <v>CEER1</v>
      </c>
      <c r="E668" s="563" t="s">
        <v>50</v>
      </c>
      <c r="F668" s="229"/>
      <c r="G668" s="593" cm="1">
        <f t="array" ref="G668">INDEX(G$9:G$56,MATCH($C668&amp;$E668,$C$9:$C$56&amp;$E$9:$E$56,0))*INDEX(Assumptions!D$495:D$500,MATCH($E668,Assumptions!$B$495:$B$500,0))</f>
        <v>289.29334260405022</v>
      </c>
      <c r="H668" s="593" cm="1">
        <f t="array" ref="H668">INDEX(H$9:H$56,MATCH($C668&amp;$E668,$C$9:$C$56&amp;$E$9:$E$56,0))*INDEX(Assumptions!E$495:E$500,MATCH($E668,Assumptions!$B$495:$B$500,0))</f>
        <v>325.92893814752739</v>
      </c>
      <c r="I668" s="593" cm="1">
        <f t="array" ref="I668">INDEX(I$9:I$56,MATCH($C668&amp;$E668,$C$9:$C$56&amp;$E$9:$E$56,0))*INDEX(Assumptions!F$495:F$500,MATCH($E668,Assumptions!$B$495:$B$500,0))</f>
        <v>338.8294538218048</v>
      </c>
      <c r="J668" s="593" cm="1">
        <f t="array" ref="J668">INDEX(J$9:J$56,MATCH($C668&amp;$E668,$C$9:$C$56&amp;$E$9:$E$56,0))*INDEX(Assumptions!G$495:G$500,MATCH($E668,Assumptions!$B$495:$B$500,0))</f>
        <v>362.51688794729108</v>
      </c>
      <c r="K668" s="593" cm="1">
        <f t="array" ref="K668">INDEX(K$9:K$56,MATCH($C668&amp;$E668,$C$9:$C$56&amp;$E$9:$E$56,0))*INDEX(Assumptions!H$495:H$500,MATCH($E668,Assumptions!$B$495:$B$500,0))</f>
        <v>376.6827237687254</v>
      </c>
      <c r="L668" s="593" cm="1">
        <f t="array" ref="L668">INDEX(L$9:L$56,MATCH($C668&amp;$E668,$C$9:$C$56&amp;$E$9:$E$56,0))*INDEX(Assumptions!I$495:I$500,MATCH($E668,Assumptions!$B$495:$B$500,0))</f>
        <v>385.92419787587085</v>
      </c>
      <c r="M668" s="593" cm="1">
        <f t="array" ref="M668">INDEX(M$9:M$56,MATCH($C668&amp;$E668,$C$9:$C$56&amp;$E$9:$E$56,0))*INDEX(Assumptions!J$495:J$500,MATCH($E668,Assumptions!$B$495:$B$500,0))</f>
        <v>396.11240929068691</v>
      </c>
      <c r="N668" s="593" cm="1">
        <f t="array" ref="N668">INDEX(N$9:N$56,MATCH($C668&amp;$E668,$C$9:$C$56&amp;$E$9:$E$56,0))*INDEX(Assumptions!K$495:K$500,MATCH($E668,Assumptions!$B$495:$B$500,0))</f>
        <v>408.68837509098927</v>
      </c>
      <c r="O668" s="593" cm="1">
        <f t="array" ref="O668">INDEX(O$9:O$56,MATCH($C668&amp;$E668,$C$9:$C$56&amp;$E$9:$E$56,0))*INDEX(Assumptions!L$495:L$500,MATCH($E668,Assumptions!$B$495:$B$500,0))</f>
        <v>419.99105636052548</v>
      </c>
      <c r="P668" s="593" cm="1">
        <f t="array" ref="P668">INDEX(P$9:P$56,MATCH($C668&amp;$E668,$C$9:$C$56&amp;$E$9:$E$56,0))*INDEX(Assumptions!M$495:M$500,MATCH($E668,Assumptions!$B$495:$B$500,0))</f>
        <v>429.65059926039805</v>
      </c>
      <c r="Q668" s="593" cm="1">
        <f t="array" ref="Q668">INDEX(Q$9:Q$56,MATCH($C668&amp;$E668,$C$9:$C$56&amp;$E$9:$E$56,0))*INDEX(Assumptions!N$495:N$500,MATCH($E668,Assumptions!$B$495:$B$500,0))</f>
        <v>439.76279929129248</v>
      </c>
      <c r="R668" s="593" cm="1">
        <f t="array" ref="R668">INDEX(R$9:R$56,MATCH($C668&amp;$E668,$C$9:$C$56&amp;$E$9:$E$56,0))*INDEX(Assumptions!O$495:O$500,MATCH($E668,Assumptions!$B$495:$B$500,0))</f>
        <v>450.14034653849791</v>
      </c>
      <c r="S668" s="593" cm="1">
        <f t="array" ref="S668">INDEX(S$9:S$56,MATCH($C668&amp;$E668,$C$9:$C$56&amp;$E$9:$E$56,0))*INDEX(Assumptions!P$495:P$500,MATCH($E668,Assumptions!$B$495:$B$500,0))</f>
        <v>460.79003645110902</v>
      </c>
      <c r="T668" s="593" cm="1">
        <f t="array" ref="T668">INDEX(T$9:T$56,MATCH($C668&amp;$E668,$C$9:$C$56&amp;$E$9:$E$56,0))*INDEX(Assumptions!Q$495:Q$500,MATCH($E668,Assumptions!$B$495:$B$500,0))</f>
        <v>471.71886574951981</v>
      </c>
      <c r="U668" s="593" cm="1">
        <f t="array" ref="U668">INDEX(U$9:U$56,MATCH($C668&amp;$E668,$C$9:$C$56&amp;$E$9:$E$56,0))*INDEX(Assumptions!R$495:R$500,MATCH($E668,Assumptions!$B$495:$B$500,0))</f>
        <v>482.93246905964895</v>
      </c>
      <c r="W668"/>
      <c r="X668"/>
      <c r="Y668"/>
      <c r="Z668"/>
      <c r="AA668"/>
      <c r="AB668"/>
      <c r="AC668"/>
      <c r="AD668"/>
      <c r="AE668"/>
      <c r="AF668"/>
      <c r="AG668"/>
      <c r="AH668"/>
      <c r="AJ668"/>
      <c r="AK668"/>
      <c r="AL668"/>
      <c r="AM668"/>
      <c r="AN668"/>
      <c r="AO668"/>
      <c r="AP668"/>
      <c r="AQ668"/>
      <c r="AR668"/>
      <c r="AS668"/>
      <c r="AT668"/>
      <c r="AU668"/>
      <c r="AV668"/>
      <c r="AW668"/>
      <c r="AX668"/>
      <c r="AY668"/>
      <c r="AZ668"/>
      <c r="BA668"/>
    </row>
    <row r="669" spans="3:53" hidden="1" outlineLevel="1" x14ac:dyDescent="0.3">
      <c r="C669" s="587" t="str">
        <f>C668</f>
        <v>CEER1</v>
      </c>
      <c r="E669" s="563" t="s">
        <v>51</v>
      </c>
      <c r="F669" s="229"/>
      <c r="G669" s="593" cm="1">
        <f t="array" ref="G669">INDEX(G$9:G$56,MATCH($C669&amp;$E669,$C$9:$C$56&amp;$E$9:$E$56,0))*INDEX(Assumptions!D$495:D$500,MATCH($E669,Assumptions!$B$495:$B$500,0))</f>
        <v>852.6657193657868</v>
      </c>
      <c r="H669" s="593" cm="1">
        <f t="array" ref="H669">INDEX(H$9:H$56,MATCH($C669&amp;$E669,$C$9:$C$56&amp;$E$9:$E$56,0))*INDEX(Assumptions!E$495:E$500,MATCH($E669,Assumptions!$B$495:$B$500,0))</f>
        <v>879.15951841502385</v>
      </c>
      <c r="I669" s="593" cm="1">
        <f t="array" ref="I669">INDEX(I$9:I$56,MATCH($C669&amp;$E669,$C$9:$C$56&amp;$E$9:$E$56,0))*INDEX(Assumptions!F$495:F$500,MATCH($E669,Assumptions!$B$495:$B$500,0))</f>
        <v>906.54462506413802</v>
      </c>
      <c r="J669" s="593" cm="1">
        <f t="array" ref="J669">INDEX(J$9:J$56,MATCH($C669&amp;$E669,$C$9:$C$56&amp;$E$9:$E$56,0))*INDEX(Assumptions!G$495:G$500,MATCH($E669,Assumptions!$B$495:$B$500,0))</f>
        <v>943.19427723321326</v>
      </c>
      <c r="K669" s="593" cm="1">
        <f t="array" ref="K669">INDEX(K$9:K$56,MATCH($C669&amp;$E669,$C$9:$C$56&amp;$E$9:$E$56,0))*INDEX(Assumptions!H$495:H$500,MATCH($E669,Assumptions!$B$495:$B$500,0))</f>
        <v>959.6267199027709</v>
      </c>
      <c r="L669" s="593" cm="1">
        <f t="array" ref="L669">INDEX(L$9:L$56,MATCH($C669&amp;$E669,$C$9:$C$56&amp;$E$9:$E$56,0))*INDEX(Assumptions!I$495:I$500,MATCH($E669,Assumptions!$B$495:$B$500,0))</f>
        <v>972.20547589749651</v>
      </c>
      <c r="M669" s="593" cm="1">
        <f t="array" ref="M669">INDEX(M$9:M$56,MATCH($C669&amp;$E669,$C$9:$C$56&amp;$E$9:$E$56,0))*INDEX(Assumptions!J$495:J$500,MATCH($E669,Assumptions!$B$495:$B$500,0))</f>
        <v>985.49926696440286</v>
      </c>
      <c r="N669" s="593" cm="1">
        <f t="array" ref="N669">INDEX(N$9:N$56,MATCH($C669&amp;$E669,$C$9:$C$56&amp;$E$9:$E$56,0))*INDEX(Assumptions!K$495:K$500,MATCH($E669,Assumptions!$B$495:$B$500,0))</f>
        <v>999.11957398559571</v>
      </c>
      <c r="O669" s="593" cm="1">
        <f t="array" ref="O669">INDEX(O$9:O$56,MATCH($C669&amp;$E669,$C$9:$C$56&amp;$E$9:$E$56,0))*INDEX(Assumptions!L$495:L$500,MATCH($E669,Assumptions!$B$495:$B$500,0))</f>
        <v>1013.0622341980171</v>
      </c>
      <c r="P669" s="593" cm="1">
        <f t="array" ref="P669">INDEX(P$9:P$56,MATCH($C669&amp;$E669,$C$9:$C$56&amp;$E$9:$E$56,0))*INDEX(Assumptions!M$495:M$500,MATCH($E669,Assumptions!$B$495:$B$500,0))</f>
        <v>1027.3396755689471</v>
      </c>
      <c r="Q669" s="593" cm="1">
        <f t="array" ref="Q669">INDEX(Q$9:Q$56,MATCH($C669&amp;$E669,$C$9:$C$56&amp;$E$9:$E$56,0))*INDEX(Assumptions!N$495:N$500,MATCH($E669,Assumptions!$B$495:$B$500,0))</f>
        <v>1041.6299092883257</v>
      </c>
      <c r="R669" s="593" cm="1">
        <f t="array" ref="R669">INDEX(R$9:R$56,MATCH($C669&amp;$E669,$C$9:$C$56&amp;$E$9:$E$56,0))*INDEX(Assumptions!O$495:O$500,MATCH($E669,Assumptions!$B$495:$B$500,0))</f>
        <v>1056.2722344568947</v>
      </c>
      <c r="S669" s="593" cm="1">
        <f t="array" ref="S669">INDEX(S$9:S$56,MATCH($C669&amp;$E669,$C$9:$C$56&amp;$E$9:$E$56,0))*INDEX(Assumptions!P$495:P$500,MATCH($E669,Assumptions!$B$495:$B$500,0))</f>
        <v>1071.2808934627474</v>
      </c>
      <c r="T669" s="593" cm="1">
        <f t="array" ref="T669">INDEX(T$9:T$56,MATCH($C669&amp;$E669,$C$9:$C$56&amp;$E$9:$E$56,0))*INDEX(Assumptions!Q$495:Q$500,MATCH($E669,Assumptions!$B$495:$B$500,0))</f>
        <v>1086.670908244269</v>
      </c>
      <c r="U669" s="593" cm="1">
        <f t="array" ref="U669">INDEX(U$9:U$56,MATCH($C669&amp;$E669,$C$9:$C$56&amp;$E$9:$E$56,0))*INDEX(Assumptions!R$495:R$500,MATCH($E669,Assumptions!$B$495:$B$500,0))</f>
        <v>1102.5216155176968</v>
      </c>
      <c r="W669"/>
      <c r="X669"/>
      <c r="Y669"/>
      <c r="Z669"/>
      <c r="AA669"/>
      <c r="AB669"/>
      <c r="AC669"/>
      <c r="AD669"/>
      <c r="AE669"/>
      <c r="AF669"/>
      <c r="AG669"/>
      <c r="AH669"/>
      <c r="AJ669"/>
      <c r="AK669"/>
      <c r="AL669"/>
      <c r="AM669"/>
      <c r="AN669"/>
      <c r="AO669"/>
      <c r="AP669"/>
      <c r="AQ669"/>
      <c r="AR669"/>
      <c r="AS669"/>
      <c r="AT669"/>
      <c r="AU669"/>
      <c r="AV669"/>
      <c r="AW669"/>
      <c r="AX669"/>
      <c r="AY669"/>
      <c r="AZ669"/>
      <c r="BA669"/>
    </row>
    <row r="670" spans="3:53" hidden="1" outlineLevel="1" x14ac:dyDescent="0.3">
      <c r="C670" s="587" t="str">
        <f>C669</f>
        <v>CEER1</v>
      </c>
      <c r="E670" s="563" t="s">
        <v>52</v>
      </c>
      <c r="F670" s="229"/>
      <c r="G670" s="593" cm="1">
        <f t="array" ref="G670">INDEX(G$9:G$56,MATCH($C670&amp;$E670,$C$9:$C$56&amp;$E$9:$E$56,0))*INDEX(Assumptions!D$495:D$500,MATCH($E670,Assumptions!$B$495:$B$500,0))</f>
        <v>381.21863430277921</v>
      </c>
      <c r="H670" s="593" cm="1">
        <f t="array" ref="H670">INDEX(H$9:H$56,MATCH($C670&amp;$E670,$C$9:$C$56&amp;$E$9:$E$56,0))*INDEX(Assumptions!E$495:E$500,MATCH($E670,Assumptions!$B$495:$B$500,0))</f>
        <v>394.09687684434823</v>
      </c>
      <c r="I670" s="593" cm="1">
        <f t="array" ref="I670">INDEX(I$9:I$56,MATCH($C670&amp;$E670,$C$9:$C$56&amp;$E$9:$E$56,0))*INDEX(Assumptions!F$495:F$500,MATCH($E670,Assumptions!$B$495:$B$500,0))</f>
        <v>407.8121531100723</v>
      </c>
      <c r="J670" s="593" cm="1">
        <f t="array" ref="J670">INDEX(J$9:J$56,MATCH($C670&amp;$E670,$C$9:$C$56&amp;$E$9:$E$56,0))*INDEX(Assumptions!G$495:G$500,MATCH($E670,Assumptions!$B$495:$B$500,0))</f>
        <v>428.92231753694591</v>
      </c>
      <c r="K670" s="593" cm="1">
        <f t="array" ref="K670">INDEX(K$9:K$56,MATCH($C670&amp;$E670,$C$9:$C$56&amp;$E$9:$E$56,0))*INDEX(Assumptions!H$495:H$500,MATCH($E670,Assumptions!$B$495:$B$500,0))</f>
        <v>442.20561788413625</v>
      </c>
      <c r="L670" s="593" cm="1">
        <f t="array" ref="L670">INDEX(L$9:L$56,MATCH($C670&amp;$E670,$C$9:$C$56&amp;$E$9:$E$56,0))*INDEX(Assumptions!I$495:I$500,MATCH($E670,Assumptions!$B$495:$B$500,0))</f>
        <v>452.35528458724178</v>
      </c>
      <c r="M670" s="593" cm="1">
        <f t="array" ref="M670">INDEX(M$9:M$56,MATCH($C670&amp;$E670,$C$9:$C$56&amp;$E$9:$E$56,0))*INDEX(Assumptions!J$495:J$500,MATCH($E670,Assumptions!$B$495:$B$500,0))</f>
        <v>462.90379144404676</v>
      </c>
      <c r="N670" s="593" cm="1">
        <f t="array" ref="N670">INDEX(N$9:N$56,MATCH($C670&amp;$E670,$C$9:$C$56&amp;$E$9:$E$56,0))*INDEX(Assumptions!K$495:K$500,MATCH($E670,Assumptions!$B$495:$B$500,0))</f>
        <v>473.82519316531426</v>
      </c>
      <c r="O670" s="593" cm="1">
        <f t="array" ref="O670">INDEX(O$9:O$56,MATCH($C670&amp;$E670,$C$9:$C$56&amp;$E$9:$E$56,0))*INDEX(Assumptions!L$495:L$500,MATCH($E670,Assumptions!$B$495:$B$500,0))</f>
        <v>485.13606959367877</v>
      </c>
      <c r="P670" s="593" cm="1">
        <f t="array" ref="P670">INDEX(P$9:P$56,MATCH($C670&amp;$E670,$C$9:$C$56&amp;$E$9:$E$56,0))*INDEX(Assumptions!M$495:M$500,MATCH($E670,Assumptions!$B$495:$B$500,0))</f>
        <v>496.85384220570268</v>
      </c>
      <c r="Q670" s="593" cm="1">
        <f t="array" ref="Q670">INDEX(Q$9:Q$56,MATCH($C670&amp;$E670,$C$9:$C$56&amp;$E$9:$E$56,0))*INDEX(Assumptions!N$495:N$500,MATCH($E670,Assumptions!$B$495:$B$500,0))</f>
        <v>509.18118822881337</v>
      </c>
      <c r="R670" s="593" cm="1">
        <f t="array" ref="R670">INDEX(R$9:R$56,MATCH($C670&amp;$E670,$C$9:$C$56&amp;$E$9:$E$56,0))*INDEX(Assumptions!O$495:O$500,MATCH($E670,Assumptions!$B$495:$B$500,0))</f>
        <v>521.96129435027342</v>
      </c>
      <c r="S670" s="593" cm="1">
        <f t="array" ref="S670">INDEX(S$9:S$56,MATCH($C670&amp;$E670,$C$9:$C$56&amp;$E$9:$E$56,0))*INDEX(Assumptions!P$495:P$500,MATCH($E670,Assumptions!$B$495:$B$500,0))</f>
        <v>535.21480104894601</v>
      </c>
      <c r="T670" s="593" cm="1">
        <f t="array" ref="T670">INDEX(T$9:T$56,MATCH($C670&amp;$E670,$C$9:$C$56&amp;$E$9:$E$56,0))*INDEX(Assumptions!Q$495:Q$500,MATCH($E670,Assumptions!$B$495:$B$500,0))</f>
        <v>548.963404129374</v>
      </c>
      <c r="U670" s="593" cm="1">
        <f t="array" ref="U670">INDEX(U$9:U$56,MATCH($C670&amp;$E670,$C$9:$C$56&amp;$E$9:$E$56,0))*INDEX(Assumptions!R$495:R$500,MATCH($E670,Assumptions!$B$495:$B$500,0))</f>
        <v>563.19120445754027</v>
      </c>
      <c r="W670"/>
      <c r="X670"/>
      <c r="Y670"/>
      <c r="Z670"/>
      <c r="AA670"/>
      <c r="AB670"/>
      <c r="AC670"/>
      <c r="AD670"/>
      <c r="AE670"/>
      <c r="AF670"/>
      <c r="AG670"/>
      <c r="AH670"/>
      <c r="AJ670"/>
      <c r="AK670"/>
      <c r="AL670"/>
      <c r="AM670"/>
      <c r="AN670"/>
      <c r="AO670"/>
      <c r="AP670"/>
      <c r="AQ670"/>
      <c r="AR670"/>
      <c r="AS670"/>
      <c r="AT670"/>
      <c r="AU670"/>
      <c r="AV670"/>
      <c r="AW670"/>
      <c r="AX670"/>
      <c r="AY670"/>
      <c r="AZ670"/>
      <c r="BA670"/>
    </row>
    <row r="671" spans="3:53" hidden="1" outlineLevel="1" x14ac:dyDescent="0.3">
      <c r="C671" s="587" t="str">
        <f>C670</f>
        <v>CEER1</v>
      </c>
      <c r="E671" s="563" t="s">
        <v>53</v>
      </c>
      <c r="F671" s="229"/>
      <c r="G671" s="593" cm="1">
        <f t="array" ref="G671">INDEX(G$9:G$56,MATCH($C671&amp;$E671,$C$9:$C$56&amp;$E$9:$E$56,0))*INDEX(Assumptions!D$495:D$500,MATCH($E671,Assumptions!$B$495:$B$500,0))</f>
        <v>866.85914471819467</v>
      </c>
      <c r="H671" s="593" cm="1">
        <f t="array" ref="H671">INDEX(H$9:H$56,MATCH($C671&amp;$E671,$C$9:$C$56&amp;$E$9:$E$56,0))*INDEX(Assumptions!E$495:E$500,MATCH($E671,Assumptions!$B$495:$B$500,0))</f>
        <v>888.6320225984399</v>
      </c>
      <c r="I671" s="593" cm="1">
        <f t="array" ref="I671">INDEX(I$9:I$56,MATCH($C671&amp;$E671,$C$9:$C$56&amp;$E$9:$E$56,0))*INDEX(Assumptions!F$495:F$500,MATCH($E671,Assumptions!$B$495:$B$500,0))</f>
        <v>911.50911592746502</v>
      </c>
      <c r="J671" s="593" cm="1">
        <f t="array" ref="J671">INDEX(J$9:J$56,MATCH($C671&amp;$E671,$C$9:$C$56&amp;$E$9:$E$56,0))*INDEX(Assumptions!G$495:G$500,MATCH($E671,Assumptions!$B$495:$B$500,0))</f>
        <v>978.30568958958725</v>
      </c>
      <c r="K671" s="593" cm="1">
        <f t="array" ref="K671">INDEX(K$9:K$56,MATCH($C671&amp;$E671,$C$9:$C$56&amp;$E$9:$E$56,0))*INDEX(Assumptions!H$495:H$500,MATCH($E671,Assumptions!$B$495:$B$500,0))</f>
        <v>1006.4512849168802</v>
      </c>
      <c r="L671" s="593" cm="1">
        <f t="array" ref="L671">INDEX(L$9:L$56,MATCH($C671&amp;$E671,$C$9:$C$56&amp;$E$9:$E$56,0))*INDEX(Assumptions!I$495:I$500,MATCH($E671,Assumptions!$B$495:$B$500,0))</f>
        <v>1024.1395711580744</v>
      </c>
      <c r="M671" s="593" cm="1">
        <f t="array" ref="M671">INDEX(M$9:M$56,MATCH($C671&amp;$E671,$C$9:$C$56&amp;$E$9:$E$56,0))*INDEX(Assumptions!J$495:J$500,MATCH($E671,Assumptions!$B$495:$B$500,0))</f>
        <v>1005.5475938532619</v>
      </c>
      <c r="N671" s="593" cm="1">
        <f t="array" ref="N671">INDEX(N$9:N$56,MATCH($C671&amp;$E671,$C$9:$C$56&amp;$E$9:$E$56,0))*INDEX(Assumptions!K$495:K$500,MATCH($E671,Assumptions!$B$495:$B$500,0))</f>
        <v>1024.3124550384921</v>
      </c>
      <c r="O671" s="593" cm="1">
        <f t="array" ref="O671">INDEX(O$9:O$56,MATCH($C671&amp;$E671,$C$9:$C$56&amp;$E$9:$E$56,0))*INDEX(Assumptions!L$495:L$500,MATCH($E671,Assumptions!$B$495:$B$500,0))</f>
        <v>1043.7964267800578</v>
      </c>
      <c r="P671" s="593" cm="1">
        <f t="array" ref="P671">INDEX(P$9:P$56,MATCH($C671&amp;$E671,$C$9:$C$56&amp;$E$9:$E$56,0))*INDEX(Assumptions!M$495:M$500,MATCH($E671,Assumptions!$B$495:$B$500,0))</f>
        <v>1064.2915231785939</v>
      </c>
      <c r="Q671" s="593" cm="1">
        <f t="array" ref="Q671">INDEX(Q$9:Q$56,MATCH($C671&amp;$E671,$C$9:$C$56&amp;$E$9:$E$56,0))*INDEX(Assumptions!N$495:N$500,MATCH($E671,Assumptions!$B$495:$B$500,0))</f>
        <v>1091.2370923165615</v>
      </c>
      <c r="R671" s="593" cm="1">
        <f t="array" ref="R671">INDEX(R$9:R$56,MATCH($C671&amp;$E671,$C$9:$C$56&amp;$E$9:$E$56,0))*INDEX(Assumptions!O$495:O$500,MATCH($E671,Assumptions!$B$495:$B$500,0))</f>
        <v>1119.1706990850832</v>
      </c>
      <c r="S671" s="593" cm="1">
        <f t="array" ref="S671">INDEX(S$9:S$56,MATCH($C671&amp;$E671,$C$9:$C$56&amp;$E$9:$E$56,0))*INDEX(Assumptions!P$495:P$500,MATCH($E671,Assumptions!$B$495:$B$500,0))</f>
        <v>1148.1306512343215</v>
      </c>
      <c r="T671" s="593" cm="1">
        <f t="array" ref="T671">INDEX(T$9:T$56,MATCH($C671&amp;$E671,$C$9:$C$56&amp;$E$9:$E$56,0))*INDEX(Assumptions!Q$495:Q$500,MATCH($E671,Assumptions!$B$495:$B$500,0))</f>
        <v>1178.1568126603786</v>
      </c>
      <c r="U671" s="593" cm="1">
        <f t="array" ref="U671">INDEX(U$9:U$56,MATCH($C671&amp;$E671,$C$9:$C$56&amp;$E$9:$E$56,0))*INDEX(Assumptions!R$495:R$500,MATCH($E671,Assumptions!$B$495:$B$500,0))</f>
        <v>1209.2906676654468</v>
      </c>
      <c r="W671"/>
      <c r="X671"/>
      <c r="Y671"/>
      <c r="Z671"/>
      <c r="AA671"/>
      <c r="AB671"/>
      <c r="AC671"/>
      <c r="AD671"/>
      <c r="AE671"/>
      <c r="AF671"/>
      <c r="AG671"/>
      <c r="AH671"/>
      <c r="AJ671"/>
      <c r="AK671"/>
      <c r="AL671"/>
      <c r="AM671"/>
      <c r="AN671"/>
      <c r="AO671"/>
      <c r="AP671"/>
      <c r="AQ671"/>
      <c r="AR671"/>
      <c r="AS671"/>
      <c r="AT671"/>
      <c r="AU671"/>
      <c r="AV671"/>
      <c r="AW671"/>
      <c r="AX671"/>
      <c r="AY671"/>
      <c r="AZ671"/>
      <c r="BA671"/>
    </row>
    <row r="672" spans="3:53" hidden="1" outlineLevel="1" x14ac:dyDescent="0.3">
      <c r="C672" s="587" t="str">
        <f>C671</f>
        <v>CEER1</v>
      </c>
      <c r="E672" s="563" t="s">
        <v>54</v>
      </c>
      <c r="F672" s="229"/>
      <c r="G672" s="593" cm="1">
        <f t="array" ref="G672">INDEX(G$9:G$56,MATCH($C672&amp;$E672,$C$9:$C$56&amp;$E$9:$E$56,0))*INDEX(Assumptions!D$495:D$500,MATCH($E672,Assumptions!$B$495:$B$500,0))</f>
        <v>86.544179319191272</v>
      </c>
      <c r="H672" s="593" cm="1">
        <f t="array" ref="H672">INDEX(H$9:H$56,MATCH($C672&amp;$E672,$C$9:$C$56&amp;$E$9:$E$56,0))*INDEX(Assumptions!E$495:E$500,MATCH($E672,Assumptions!$B$495:$B$500,0))</f>
        <v>88.24000386962004</v>
      </c>
      <c r="I672" s="593" cm="1">
        <f t="array" ref="I672">INDEX(I$9:I$56,MATCH($C672&amp;$E672,$C$9:$C$56&amp;$E$9:$E$56,0))*INDEX(Assumptions!F$495:F$500,MATCH($E672,Assumptions!$B$495:$B$500,0))</f>
        <v>89.986518666981524</v>
      </c>
      <c r="J672" s="593" cm="1">
        <f t="array" ref="J672">INDEX(J$9:J$56,MATCH($C672&amp;$E672,$C$9:$C$56&amp;$E$9:$E$56,0))*INDEX(Assumptions!G$495:G$500,MATCH($E672,Assumptions!$B$495:$B$500,0))</f>
        <v>95.664349275039967</v>
      </c>
      <c r="K672" s="593" cm="1">
        <f t="array" ref="K672">INDEX(K$9:K$56,MATCH($C672&amp;$E672,$C$9:$C$56&amp;$E$9:$E$56,0))*INDEX(Assumptions!H$495:H$500,MATCH($E672,Assumptions!$B$495:$B$500,0))</f>
        <v>99.407836155900313</v>
      </c>
      <c r="L672" s="593" cm="1">
        <f t="array" ref="L672">INDEX(L$9:L$56,MATCH($C672&amp;$E672,$C$9:$C$56&amp;$E$9:$E$56,0))*INDEX(Assumptions!I$495:I$500,MATCH($E672,Assumptions!$B$495:$B$500,0))</f>
        <v>101.29094937931467</v>
      </c>
      <c r="M672" s="593" cm="1">
        <f t="array" ref="M672">INDEX(M$9:M$56,MATCH($C672&amp;$E672,$C$9:$C$56&amp;$E$9:$E$56,0))*INDEX(Assumptions!J$495:J$500,MATCH($E672,Assumptions!$B$495:$B$500,0))</f>
        <v>102.51076371741459</v>
      </c>
      <c r="N672" s="593" cm="1">
        <f t="array" ref="N672">INDEX(N$9:N$56,MATCH($C672&amp;$E672,$C$9:$C$56&amp;$E$9:$E$56,0))*INDEX(Assumptions!K$495:K$500,MATCH($E672,Assumptions!$B$495:$B$500,0))</f>
        <v>103.76054880028975</v>
      </c>
      <c r="O672" s="593" cm="1">
        <f t="array" ref="O672">INDEX(O$9:O$56,MATCH($C672&amp;$E672,$C$9:$C$56&amp;$E$9:$E$56,0))*INDEX(Assumptions!L$495:L$500,MATCH($E672,Assumptions!$B$495:$B$500,0))</f>
        <v>105.04077282678884</v>
      </c>
      <c r="P672" s="593" cm="1">
        <f t="array" ref="P672">INDEX(P$9:P$56,MATCH($C672&amp;$E672,$C$9:$C$56&amp;$E$9:$E$56,0))*INDEX(Assumptions!M$495:M$500,MATCH($E672,Assumptions!$B$495:$B$500,0))</f>
        <v>106.35190493046805</v>
      </c>
      <c r="Q672" s="593" cm="1">
        <f t="array" ref="Q672">INDEX(Q$9:Q$56,MATCH($C672&amp;$E672,$C$9:$C$56&amp;$E$9:$E$56,0))*INDEX(Assumptions!N$495:N$500,MATCH($E672,Assumptions!$B$495:$B$500,0))</f>
        <v>108.47252036571871</v>
      </c>
      <c r="R672" s="593" cm="1">
        <f t="array" ref="R672">INDEX(R$9:R$56,MATCH($C672&amp;$E672,$C$9:$C$56&amp;$E$9:$E$56,0))*INDEX(Assumptions!O$495:O$500,MATCH($E672,Assumptions!$B$495:$B$500,0))</f>
        <v>110.65647681998674</v>
      </c>
      <c r="S672" s="593" cm="1">
        <f t="array" ref="S672">INDEX(S$9:S$56,MATCH($C672&amp;$E672,$C$9:$C$56&amp;$E$9:$E$56,0))*INDEX(Assumptions!P$495:P$500,MATCH($E672,Assumptions!$B$495:$B$500,0))</f>
        <v>112.90566110477864</v>
      </c>
      <c r="T672" s="593" cm="1">
        <f t="array" ref="T672">INDEX(T$9:T$56,MATCH($C672&amp;$E672,$C$9:$C$56&amp;$E$9:$E$56,0))*INDEX(Assumptions!Q$495:Q$500,MATCH($E672,Assumptions!$B$495:$B$500,0))</f>
        <v>115.2220160202574</v>
      </c>
      <c r="U672" s="593" cm="1">
        <f t="array" ref="U672">INDEX(U$9:U$56,MATCH($C672&amp;$E672,$C$9:$C$56&amp;$E$9:$E$56,0))*INDEX(Assumptions!R$495:R$500,MATCH($E672,Assumptions!$B$495:$B$500,0))</f>
        <v>117.60754200826035</v>
      </c>
      <c r="W672"/>
      <c r="X672"/>
      <c r="Y672"/>
      <c r="Z672"/>
      <c r="AA672"/>
      <c r="AB672"/>
      <c r="AC672"/>
      <c r="AD672"/>
      <c r="AE672"/>
      <c r="AF672"/>
      <c r="AG672"/>
      <c r="AH672"/>
      <c r="AJ672"/>
      <c r="AK672"/>
      <c r="AL672"/>
      <c r="AM672"/>
      <c r="AN672"/>
      <c r="AO672"/>
      <c r="AP672"/>
      <c r="AQ672"/>
      <c r="AR672"/>
      <c r="AS672"/>
      <c r="AT672"/>
      <c r="AU672"/>
      <c r="AV672"/>
      <c r="AW672"/>
      <c r="AX672"/>
      <c r="AY672"/>
      <c r="AZ672"/>
      <c r="BA672"/>
    </row>
    <row r="673" spans="2:60" hidden="1" outlineLevel="1" x14ac:dyDescent="0.3">
      <c r="C673" s="587" t="str">
        <f>E673</f>
        <v>CEER2</v>
      </c>
      <c r="E673" s="555" t="str">
        <f>'EE Measures'!$IL$6</f>
        <v>CEER2</v>
      </c>
      <c r="F673" s="229"/>
      <c r="G673" s="591">
        <f t="shared" ref="G673" si="2390">SUM(G674:G678)</f>
        <v>2476.5810203100023</v>
      </c>
      <c r="H673" s="591">
        <f t="shared" ref="H673:P673" si="2391">SUM(H674:H678)</f>
        <v>2576.0573598749597</v>
      </c>
      <c r="I673" s="591">
        <f t="shared" si="2391"/>
        <v>2654.6818665904616</v>
      </c>
      <c r="J673" s="591">
        <f t="shared" si="2391"/>
        <v>2808.6035215820775</v>
      </c>
      <c r="K673" s="591">
        <f t="shared" si="2391"/>
        <v>2863.3275031396188</v>
      </c>
      <c r="L673" s="591">
        <f t="shared" si="2391"/>
        <v>2895.744079058672</v>
      </c>
      <c r="M673" s="591">
        <f t="shared" si="2391"/>
        <v>2892.6681814042636</v>
      </c>
      <c r="N673" s="591">
        <f t="shared" si="2391"/>
        <v>2928.5139173281132</v>
      </c>
      <c r="O673" s="591">
        <f t="shared" si="2391"/>
        <v>2962.703193986908</v>
      </c>
      <c r="P673" s="591">
        <f t="shared" si="2391"/>
        <v>2995.3574531900122</v>
      </c>
      <c r="Q673" s="591">
        <f t="shared" ref="Q673:U673" si="2392">SUM(Q674:Q678)</f>
        <v>3040.2952770444886</v>
      </c>
      <c r="R673" s="591">
        <f t="shared" si="2392"/>
        <v>3086.4210933039867</v>
      </c>
      <c r="S673" s="591">
        <f t="shared" si="2392"/>
        <v>3133.7778532975321</v>
      </c>
      <c r="T673" s="591">
        <f t="shared" si="2392"/>
        <v>3182.4106050167393</v>
      </c>
      <c r="U673" s="591">
        <f t="shared" si="2392"/>
        <v>3232.3894146093071</v>
      </c>
      <c r="W673"/>
      <c r="X673"/>
      <c r="Y673"/>
      <c r="Z673"/>
      <c r="AA673"/>
      <c r="AB673"/>
      <c r="AC673"/>
      <c r="AD673"/>
      <c r="AE673"/>
      <c r="AF673"/>
      <c r="AG673"/>
      <c r="AH673"/>
      <c r="AJ673"/>
      <c r="AK673"/>
      <c r="AL673"/>
      <c r="AM673"/>
      <c r="AN673"/>
      <c r="AO673"/>
      <c r="AP673"/>
      <c r="AQ673"/>
      <c r="AR673"/>
      <c r="AS673"/>
      <c r="AT673"/>
      <c r="AU673"/>
      <c r="AV673"/>
      <c r="AW673"/>
      <c r="AX673"/>
      <c r="AY673"/>
      <c r="AZ673"/>
      <c r="BA673"/>
    </row>
    <row r="674" spans="2:60" hidden="1" outlineLevel="1" x14ac:dyDescent="0.3">
      <c r="C674" s="587" t="str">
        <f>C673</f>
        <v>CEER2</v>
      </c>
      <c r="E674" s="563" t="s">
        <v>50</v>
      </c>
      <c r="F674" s="229"/>
      <c r="G674" s="593" cm="1">
        <f t="array" ref="G674">INDEX(G$9:G$56,MATCH($C674&amp;$E674,$C$9:$C$56&amp;$E$9:$E$56,0))*INDEX(Assumptions!D$495:D$500,MATCH($E674,Assumptions!$B$495:$B$500,0))</f>
        <v>289.29334260405022</v>
      </c>
      <c r="H674" s="593" cm="1">
        <f t="array" ref="H674">INDEX(H$9:H$56,MATCH($C674&amp;$E674,$C$9:$C$56&amp;$E$9:$E$56,0))*INDEX(Assumptions!E$495:E$500,MATCH($E674,Assumptions!$B$495:$B$500,0))</f>
        <v>325.92893814752739</v>
      </c>
      <c r="I674" s="593" cm="1">
        <f t="array" ref="I674">INDEX(I$9:I$56,MATCH($C674&amp;$E674,$C$9:$C$56&amp;$E$9:$E$56,0))*INDEX(Assumptions!F$495:F$500,MATCH($E674,Assumptions!$B$495:$B$500,0))</f>
        <v>338.8294538218048</v>
      </c>
      <c r="J674" s="593" cm="1">
        <f t="array" ref="J674">INDEX(J$9:J$56,MATCH($C674&amp;$E674,$C$9:$C$56&amp;$E$9:$E$56,0))*INDEX(Assumptions!G$495:G$500,MATCH($E674,Assumptions!$B$495:$B$500,0))</f>
        <v>362.51688794729108</v>
      </c>
      <c r="K674" s="593" cm="1">
        <f t="array" ref="K674">INDEX(K$9:K$56,MATCH($C674&amp;$E674,$C$9:$C$56&amp;$E$9:$E$56,0))*INDEX(Assumptions!H$495:H$500,MATCH($E674,Assumptions!$B$495:$B$500,0))</f>
        <v>374.40522236147399</v>
      </c>
      <c r="L674" s="593" cm="1">
        <f t="array" ref="L674">INDEX(L$9:L$56,MATCH($C674&amp;$E674,$C$9:$C$56&amp;$E$9:$E$56,0))*INDEX(Assumptions!I$495:I$500,MATCH($E674,Assumptions!$B$495:$B$500,0))</f>
        <v>381.7830514009683</v>
      </c>
      <c r="M674" s="593" cm="1">
        <f t="array" ref="M674">INDEX(M$9:M$56,MATCH($C674&amp;$E674,$C$9:$C$56&amp;$E$9:$E$56,0))*INDEX(Assumptions!J$495:J$500,MATCH($E674,Assumptions!$B$495:$B$500,0))</f>
        <v>390.16264857082956</v>
      </c>
      <c r="N674" s="593" cm="1">
        <f t="array" ref="N674">INDEX(N$9:N$56,MATCH($C674&amp;$E674,$C$9:$C$56&amp;$E$9:$E$56,0))*INDEX(Assumptions!K$495:K$500,MATCH($E674,Assumptions!$B$495:$B$500,0))</f>
        <v>400.06944085867303</v>
      </c>
      <c r="O674" s="593" cm="1">
        <f t="array" ref="O674">INDEX(O$9:O$56,MATCH($C674&amp;$E674,$C$9:$C$56&amp;$E$9:$E$56,0))*INDEX(Assumptions!L$495:L$500,MATCH($E674,Assumptions!$B$495:$B$500,0))</f>
        <v>407.57785102255292</v>
      </c>
      <c r="P674" s="593" cm="1">
        <f t="array" ref="P674">INDEX(P$9:P$56,MATCH($C674&amp;$E674,$C$9:$C$56&amp;$E$9:$E$56,0))*INDEX(Assumptions!M$495:M$500,MATCH($E674,Assumptions!$B$495:$B$500,0))</f>
        <v>412.51550843419932</v>
      </c>
      <c r="Q674" s="593" cm="1">
        <f t="array" ref="Q674">INDEX(Q$9:Q$56,MATCH($C674&amp;$E674,$C$9:$C$56&amp;$E$9:$E$56,0))*INDEX(Assumptions!N$495:N$500,MATCH($E674,Assumptions!$B$495:$B$500,0))</f>
        <v>417.59845907198473</v>
      </c>
      <c r="R674" s="593" cm="1">
        <f t="array" ref="R674">INDEX(R$9:R$56,MATCH($C674&amp;$E674,$C$9:$C$56&amp;$E$9:$E$56,0))*INDEX(Assumptions!O$495:O$500,MATCH($E674,Assumptions!$B$495:$B$500,0))</f>
        <v>422.62914881509511</v>
      </c>
      <c r="S674" s="593" cm="1">
        <f t="array" ref="S674">INDEX(S$9:S$56,MATCH($C674&amp;$E674,$C$9:$C$56&amp;$E$9:$E$56,0))*INDEX(Assumptions!P$495:P$500,MATCH($E674,Assumptions!$B$495:$B$500,0))</f>
        <v>427.59743217768846</v>
      </c>
      <c r="T674" s="593" cm="1">
        <f t="array" ref="T674">INDEX(T$9:T$56,MATCH($C674&amp;$E674,$C$9:$C$56&amp;$E$9:$E$56,0))*INDEX(Assumptions!Q$495:Q$500,MATCH($E674,Assumptions!$B$495:$B$500,0))</f>
        <v>432.49254530849686</v>
      </c>
      <c r="U674" s="593" cm="1">
        <f t="array" ref="U674">INDEX(U$9:U$56,MATCH($C674&amp;$E674,$C$9:$C$56&amp;$E$9:$E$56,0))*INDEX(Assumptions!R$495:R$500,MATCH($E674,Assumptions!$B$495:$B$500,0))</f>
        <v>437.30071928103973</v>
      </c>
      <c r="W674"/>
      <c r="X674"/>
      <c r="Y674"/>
      <c r="Z674"/>
      <c r="AA674"/>
      <c r="AB674"/>
      <c r="AC674"/>
      <c r="AD674"/>
      <c r="AE674"/>
      <c r="AF674"/>
      <c r="AG674"/>
      <c r="AH674"/>
      <c r="AJ674"/>
      <c r="AK674"/>
      <c r="AL674"/>
      <c r="AM674"/>
      <c r="AN674"/>
      <c r="AO674"/>
      <c r="AP674"/>
      <c r="AQ674"/>
      <c r="AR674"/>
      <c r="AS674"/>
      <c r="AT674"/>
      <c r="AU674"/>
      <c r="AV674"/>
      <c r="AW674"/>
      <c r="AX674"/>
      <c r="AY674"/>
      <c r="AZ674"/>
      <c r="BA674"/>
    </row>
    <row r="675" spans="2:60" hidden="1" outlineLevel="1" x14ac:dyDescent="0.3">
      <c r="C675" s="587" t="str">
        <f>C674</f>
        <v>CEER2</v>
      </c>
      <c r="E675" s="563" t="s">
        <v>51</v>
      </c>
      <c r="F675" s="229"/>
      <c r="G675" s="593" cm="1">
        <f t="array" ref="G675">INDEX(G$9:G$56,MATCH($C675&amp;$E675,$C$9:$C$56&amp;$E$9:$E$56,0))*INDEX(Assumptions!D$495:D$500,MATCH($E675,Assumptions!$B$495:$B$500,0))</f>
        <v>852.6657193657868</v>
      </c>
      <c r="H675" s="593" cm="1">
        <f t="array" ref="H675">INDEX(H$9:H$56,MATCH($C675&amp;$E675,$C$9:$C$56&amp;$E$9:$E$56,0))*INDEX(Assumptions!E$495:E$500,MATCH($E675,Assumptions!$B$495:$B$500,0))</f>
        <v>879.15951841502385</v>
      </c>
      <c r="I675" s="593" cm="1">
        <f t="array" ref="I675">INDEX(I$9:I$56,MATCH($C675&amp;$E675,$C$9:$C$56&amp;$E$9:$E$56,0))*INDEX(Assumptions!F$495:F$500,MATCH($E675,Assumptions!$B$495:$B$500,0))</f>
        <v>906.54462506413802</v>
      </c>
      <c r="J675" s="593" cm="1">
        <f t="array" ref="J675">INDEX(J$9:J$56,MATCH($C675&amp;$E675,$C$9:$C$56&amp;$E$9:$E$56,0))*INDEX(Assumptions!G$495:G$500,MATCH($E675,Assumptions!$B$495:$B$500,0))</f>
        <v>943.19427723321326</v>
      </c>
      <c r="K675" s="593" cm="1">
        <f t="array" ref="K675">INDEX(K$9:K$56,MATCH($C675&amp;$E675,$C$9:$C$56&amp;$E$9:$E$56,0))*INDEX(Assumptions!H$495:H$500,MATCH($E675,Assumptions!$B$495:$B$500,0))</f>
        <v>952.01961498035087</v>
      </c>
      <c r="L675" s="593" cm="1">
        <f t="array" ref="L675">INDEX(L$9:L$56,MATCH($C675&amp;$E675,$C$9:$C$56&amp;$E$9:$E$56,0))*INDEX(Assumptions!I$495:I$500,MATCH($E675,Assumptions!$B$495:$B$500,0))</f>
        <v>956.69727684354621</v>
      </c>
      <c r="M675" s="593" cm="1">
        <f t="array" ref="M675">INDEX(M$9:M$56,MATCH($C675&amp;$E675,$C$9:$C$56&amp;$E$9:$E$56,0))*INDEX(Assumptions!J$495:J$500,MATCH($E675,Assumptions!$B$495:$B$500,0))</f>
        <v>961.78731849236658</v>
      </c>
      <c r="N675" s="593" cm="1">
        <f t="array" ref="N675">INDEX(N$9:N$56,MATCH($C675&amp;$E675,$C$9:$C$56&amp;$E$9:$E$56,0))*INDEX(Assumptions!K$495:K$500,MATCH($E675,Assumptions!$B$495:$B$500,0))</f>
        <v>966.89062895252255</v>
      </c>
      <c r="O675" s="593" cm="1">
        <f t="array" ref="O675">INDEX(O$9:O$56,MATCH($C675&amp;$E675,$C$9:$C$56&amp;$E$9:$E$56,0))*INDEX(Assumptions!L$495:L$500,MATCH($E675,Assumptions!$B$495:$B$500,0))</f>
        <v>971.99254765875276</v>
      </c>
      <c r="P675" s="593" cm="1">
        <f t="array" ref="P675">INDEX(P$9:P$56,MATCH($C675&amp;$E675,$C$9:$C$56&amp;$E$9:$E$56,0))*INDEX(Assumptions!M$495:M$500,MATCH($E675,Assumptions!$B$495:$B$500,0))</f>
        <v>977.09468347785526</v>
      </c>
      <c r="Q675" s="593" cm="1">
        <f t="array" ref="Q675">INDEX(Q$9:Q$56,MATCH($C675&amp;$E675,$C$9:$C$56&amp;$E$9:$E$56,0))*INDEX(Assumptions!N$495:N$500,MATCH($E675,Assumptions!$B$495:$B$500,0))</f>
        <v>981.88311806969239</v>
      </c>
      <c r="R675" s="593" cm="1">
        <f t="array" ref="R675">INDEX(R$9:R$56,MATCH($C675&amp;$E675,$C$9:$C$56&amp;$E$9:$E$56,0))*INDEX(Assumptions!O$495:O$500,MATCH($E675,Assumptions!$B$495:$B$500,0))</f>
        <v>986.6727905913425</v>
      </c>
      <c r="S675" s="593" cm="1">
        <f t="array" ref="S675">INDEX(S$9:S$56,MATCH($C675&amp;$E675,$C$9:$C$56&amp;$E$9:$E$56,0))*INDEX(Assumptions!P$495:P$500,MATCH($E675,Assumptions!$B$495:$B$500,0))</f>
        <v>991.46645368903899</v>
      </c>
      <c r="T675" s="593" cm="1">
        <f t="array" ref="T675">INDEX(T$9:T$56,MATCH($C675&amp;$E675,$C$9:$C$56&amp;$E$9:$E$56,0))*INDEX(Assumptions!Q$495:Q$500,MATCH($E675,Assumptions!$B$495:$B$500,0))</f>
        <v>996.26729167047267</v>
      </c>
      <c r="U675" s="593" cm="1">
        <f t="array" ref="U675">INDEX(U$9:U$56,MATCH($C675&amp;$E675,$C$9:$C$56&amp;$E$9:$E$56,0))*INDEX(Assumptions!R$495:R$500,MATCH($E675,Assumptions!$B$495:$B$500,0))</f>
        <v>1001.1815321858115</v>
      </c>
      <c r="W675"/>
      <c r="X675"/>
      <c r="Y675"/>
      <c r="Z675"/>
      <c r="AA675"/>
      <c r="AB675"/>
      <c r="AC675"/>
      <c r="AD675"/>
      <c r="AE675"/>
      <c r="AF675"/>
      <c r="AG675"/>
      <c r="AH675"/>
      <c r="AJ675"/>
      <c r="AK675"/>
      <c r="AL675"/>
      <c r="AM675"/>
      <c r="AN675"/>
      <c r="AO675"/>
      <c r="AP675"/>
      <c r="AQ675"/>
      <c r="AR675"/>
      <c r="AS675"/>
      <c r="AT675"/>
      <c r="AU675"/>
      <c r="AV675"/>
      <c r="AW675"/>
      <c r="AX675"/>
      <c r="AY675"/>
      <c r="AZ675"/>
      <c r="BA675"/>
    </row>
    <row r="676" spans="2:60" hidden="1" outlineLevel="1" x14ac:dyDescent="0.3">
      <c r="C676" s="587" t="str">
        <f>C675</f>
        <v>CEER2</v>
      </c>
      <c r="E676" s="563" t="s">
        <v>52</v>
      </c>
      <c r="F676" s="229"/>
      <c r="G676" s="593" cm="1">
        <f t="array" ref="G676">INDEX(G$9:G$56,MATCH($C676&amp;$E676,$C$9:$C$56&amp;$E$9:$E$56,0))*INDEX(Assumptions!D$495:D$500,MATCH($E676,Assumptions!$B$495:$B$500,0))</f>
        <v>381.21863430277921</v>
      </c>
      <c r="H676" s="593" cm="1">
        <f t="array" ref="H676">INDEX(H$9:H$56,MATCH($C676&amp;$E676,$C$9:$C$56&amp;$E$9:$E$56,0))*INDEX(Assumptions!E$495:E$500,MATCH($E676,Assumptions!$B$495:$B$500,0))</f>
        <v>394.09687684434823</v>
      </c>
      <c r="I676" s="593" cm="1">
        <f t="array" ref="I676">INDEX(I$9:I$56,MATCH($C676&amp;$E676,$C$9:$C$56&amp;$E$9:$E$56,0))*INDEX(Assumptions!F$495:F$500,MATCH($E676,Assumptions!$B$495:$B$500,0))</f>
        <v>407.8121531100723</v>
      </c>
      <c r="J676" s="593" cm="1">
        <f t="array" ref="J676">INDEX(J$9:J$56,MATCH($C676&amp;$E676,$C$9:$C$56&amp;$E$9:$E$56,0))*INDEX(Assumptions!G$495:G$500,MATCH($E676,Assumptions!$B$495:$B$500,0))</f>
        <v>428.92231753694591</v>
      </c>
      <c r="K676" s="593" cm="1">
        <f t="array" ref="K676">INDEX(K$9:K$56,MATCH($C676&amp;$E676,$C$9:$C$56&amp;$E$9:$E$56,0))*INDEX(Assumptions!H$495:H$500,MATCH($E676,Assumptions!$B$495:$B$500,0))</f>
        <v>438.86843250746665</v>
      </c>
      <c r="L676" s="593" cm="1">
        <f t="array" ref="L676">INDEX(L$9:L$56,MATCH($C676&amp;$E676,$C$9:$C$56&amp;$E$9:$E$56,0))*INDEX(Assumptions!I$495:I$500,MATCH($E676,Assumptions!$B$495:$B$500,0))</f>
        <v>445.52770468640153</v>
      </c>
      <c r="M676" s="593" cm="1">
        <f t="array" ref="M676">INDEX(M$9:M$56,MATCH($C676&amp;$E676,$C$9:$C$56&amp;$E$9:$E$56,0))*INDEX(Assumptions!J$495:J$500,MATCH($E676,Assumptions!$B$495:$B$500,0))</f>
        <v>452.42640910575119</v>
      </c>
      <c r="N676" s="593" cm="1">
        <f t="array" ref="N676">INDEX(N$9:N$56,MATCH($C676&amp;$E676,$C$9:$C$56&amp;$E$9:$E$56,0))*INDEX(Assumptions!K$495:K$500,MATCH($E676,Assumptions!$B$495:$B$500,0))</f>
        <v>459.53232052162383</v>
      </c>
      <c r="O676" s="593" cm="1">
        <f t="array" ref="O676">INDEX(O$9:O$56,MATCH($C676&amp;$E676,$C$9:$C$56&amp;$E$9:$E$56,0))*INDEX(Assumptions!L$495:L$500,MATCH($E676,Assumptions!$B$495:$B$500,0))</f>
        <v>466.85547538337488</v>
      </c>
      <c r="P676" s="593" cm="1">
        <f t="array" ref="P676">INDEX(P$9:P$56,MATCH($C676&amp;$E676,$C$9:$C$56&amp;$E$9:$E$56,0))*INDEX(Assumptions!M$495:M$500,MATCH($E676,Assumptions!$B$495:$B$500,0))</f>
        <v>474.40651510619784</v>
      </c>
      <c r="Q676" s="593" cm="1">
        <f t="array" ref="Q676">INDEX(Q$9:Q$56,MATCH($C676&amp;$E676,$C$9:$C$56&amp;$E$9:$E$56,0))*INDEX(Assumptions!N$495:N$500,MATCH($E676,Assumptions!$B$495:$B$500,0))</f>
        <v>482.37138419308667</v>
      </c>
      <c r="R676" s="593" cm="1">
        <f t="array" ref="R676">INDEX(R$9:R$56,MATCH($C676&amp;$E676,$C$9:$C$56&amp;$E$9:$E$56,0))*INDEX(Assumptions!O$495:O$500,MATCH($E676,Assumptions!$B$495:$B$500,0))</f>
        <v>490.59245280786752</v>
      </c>
      <c r="S676" s="593" cm="1">
        <f t="array" ref="S676">INDEX(S$9:S$56,MATCH($C676&amp;$E676,$C$9:$C$56&amp;$E$9:$E$56,0))*INDEX(Assumptions!P$495:P$500,MATCH($E676,Assumptions!$B$495:$B$500,0))</f>
        <v>499.08262502929853</v>
      </c>
      <c r="T676" s="593" cm="1">
        <f t="array" ref="T676">INDEX(T$9:T$56,MATCH($C676&amp;$E676,$C$9:$C$56&amp;$E$9:$E$56,0))*INDEX(Assumptions!Q$495:Q$500,MATCH($E676,Assumptions!$B$495:$B$500,0))</f>
        <v>507.85557972987664</v>
      </c>
      <c r="U676" s="593" cm="1">
        <f t="array" ref="U676">INDEX(U$9:U$56,MATCH($C676&amp;$E676,$C$9:$C$56&amp;$E$9:$E$56,0))*INDEX(Assumptions!R$495:R$500,MATCH($E676,Assumptions!$B$495:$B$500,0))</f>
        <v>516.84840491961972</v>
      </c>
      <c r="W676"/>
      <c r="X676"/>
      <c r="Y676"/>
      <c r="Z676"/>
      <c r="AA676"/>
      <c r="AB676"/>
      <c r="AC676"/>
      <c r="AD676"/>
      <c r="AE676"/>
      <c r="AF676"/>
      <c r="AG676"/>
      <c r="AH676"/>
      <c r="AJ676"/>
      <c r="AK676"/>
      <c r="AL676"/>
      <c r="AM676"/>
      <c r="AN676"/>
      <c r="AO676"/>
      <c r="AP676"/>
      <c r="AQ676"/>
      <c r="AR676"/>
      <c r="AS676"/>
      <c r="AT676"/>
      <c r="AU676"/>
      <c r="AV676"/>
      <c r="AW676"/>
      <c r="AX676"/>
      <c r="AY676"/>
      <c r="AZ676"/>
      <c r="BA676"/>
    </row>
    <row r="677" spans="2:60" hidden="1" outlineLevel="1" x14ac:dyDescent="0.3">
      <c r="C677" s="587" t="str">
        <f>C676</f>
        <v>CEER2</v>
      </c>
      <c r="E677" s="563" t="s">
        <v>53</v>
      </c>
      <c r="F677" s="229"/>
      <c r="G677" s="593" cm="1">
        <f t="array" ref="G677">INDEX(G$9:G$56,MATCH($C677&amp;$E677,$C$9:$C$56&amp;$E$9:$E$56,0))*INDEX(Assumptions!D$495:D$500,MATCH($E677,Assumptions!$B$495:$B$500,0))</f>
        <v>866.85914471819467</v>
      </c>
      <c r="H677" s="593" cm="1">
        <f t="array" ref="H677">INDEX(H$9:H$56,MATCH($C677&amp;$E677,$C$9:$C$56&amp;$E$9:$E$56,0))*INDEX(Assumptions!E$495:E$500,MATCH($E677,Assumptions!$B$495:$B$500,0))</f>
        <v>888.6320225984399</v>
      </c>
      <c r="I677" s="593" cm="1">
        <f t="array" ref="I677">INDEX(I$9:I$56,MATCH($C677&amp;$E677,$C$9:$C$56&amp;$E$9:$E$56,0))*INDEX(Assumptions!F$495:F$500,MATCH($E677,Assumptions!$B$495:$B$500,0))</f>
        <v>911.50911592746502</v>
      </c>
      <c r="J677" s="593" cm="1">
        <f t="array" ref="J677">INDEX(J$9:J$56,MATCH($C677&amp;$E677,$C$9:$C$56&amp;$E$9:$E$56,0))*INDEX(Assumptions!G$495:G$500,MATCH($E677,Assumptions!$B$495:$B$500,0))</f>
        <v>978.30568958958725</v>
      </c>
      <c r="K677" s="593" cm="1">
        <f t="array" ref="K677">INDEX(K$9:K$56,MATCH($C677&amp;$E677,$C$9:$C$56&amp;$E$9:$E$56,0))*INDEX(Assumptions!H$495:H$500,MATCH($E677,Assumptions!$B$495:$B$500,0))</f>
        <v>998.62639713442684</v>
      </c>
      <c r="L677" s="593" cm="1">
        <f t="array" ref="L677">INDEX(L$9:L$56,MATCH($C677&amp;$E677,$C$9:$C$56&amp;$E$9:$E$56,0))*INDEX(Assumptions!I$495:I$500,MATCH($E677,Assumptions!$B$495:$B$500,0))</f>
        <v>1010.4450967484414</v>
      </c>
      <c r="M677" s="593" cm="1">
        <f t="array" ref="M677">INDEX(M$9:M$56,MATCH($C677&amp;$E677,$C$9:$C$56&amp;$E$9:$E$56,0))*INDEX(Assumptions!J$495:J$500,MATCH($E677,Assumptions!$B$495:$B$500,0))</f>
        <v>985.78104151790126</v>
      </c>
      <c r="N677" s="593" cm="1">
        <f t="array" ref="N677">INDEX(N$9:N$56,MATCH($C677&amp;$E677,$C$9:$C$56&amp;$E$9:$E$56,0))*INDEX(Assumptions!K$495:K$500,MATCH($E677,Assumptions!$B$495:$B$500,0))</f>
        <v>998.2609781950041</v>
      </c>
      <c r="O677" s="593" cm="1">
        <f t="array" ref="O677">INDEX(O$9:O$56,MATCH($C677&amp;$E677,$C$9:$C$56&amp;$E$9:$E$56,0))*INDEX(Assumptions!L$495:L$500,MATCH($E677,Assumptions!$B$495:$B$500,0))</f>
        <v>1011.2365470954389</v>
      </c>
      <c r="P677" s="593" cm="1">
        <f t="array" ref="P677">INDEX(P$9:P$56,MATCH($C677&amp;$E677,$C$9:$C$56&amp;$E$9:$E$56,0))*INDEX(Assumptions!M$495:M$500,MATCH($E677,Assumptions!$B$495:$B$500,0))</f>
        <v>1024.9888412412915</v>
      </c>
      <c r="Q677" s="593" cm="1">
        <f t="array" ref="Q677">INDEX(Q$9:Q$56,MATCH($C677&amp;$E677,$C$9:$C$56&amp;$E$9:$E$56,0))*INDEX(Assumptions!N$495:N$500,MATCH($E677,Assumptions!$B$495:$B$500,0))</f>
        <v>1049.9697953440061</v>
      </c>
      <c r="R677" s="593" cm="1">
        <f t="array" ref="R677">INDEX(R$9:R$56,MATCH($C677&amp;$E677,$C$9:$C$56&amp;$E$9:$E$56,0))*INDEX(Assumptions!O$495:O$500,MATCH($E677,Assumptions!$B$495:$B$500,0))</f>
        <v>1075.8702242696947</v>
      </c>
      <c r="S677" s="593" cm="1">
        <f t="array" ref="S677">INDEX(S$9:S$56,MATCH($C677&amp;$E677,$C$9:$C$56&amp;$E$9:$E$56,0))*INDEX(Assumptions!P$495:P$500,MATCH($E677,Assumptions!$B$495:$B$500,0))</f>
        <v>1102.7256812967278</v>
      </c>
      <c r="T677" s="593" cm="1">
        <f t="array" ref="T677">INDEX(T$9:T$56,MATCH($C677&amp;$E677,$C$9:$C$56&amp;$E$9:$E$56,0))*INDEX(Assumptions!Q$495:Q$500,MATCH($E677,Assumptions!$B$495:$B$500,0))</f>
        <v>1130.5731722876358</v>
      </c>
      <c r="U677" s="593" cm="1">
        <f t="array" ref="U677">INDEX(U$9:U$56,MATCH($C677&amp;$E677,$C$9:$C$56&amp;$E$9:$E$56,0))*INDEX(Assumptions!R$495:R$500,MATCH($E677,Assumptions!$B$495:$B$500,0))</f>
        <v>1159.4512162145759</v>
      </c>
      <c r="W677"/>
      <c r="X677"/>
      <c r="Y677"/>
      <c r="Z677"/>
      <c r="AA677"/>
      <c r="AB677"/>
      <c r="AC677"/>
      <c r="AD677"/>
      <c r="AE677"/>
      <c r="AF677"/>
      <c r="AG677"/>
      <c r="AH677"/>
      <c r="AJ677"/>
      <c r="AK677"/>
      <c r="AL677"/>
      <c r="AM677"/>
      <c r="AN677"/>
      <c r="AO677"/>
      <c r="AP677"/>
      <c r="AQ677"/>
      <c r="AR677"/>
      <c r="AS677"/>
      <c r="AT677"/>
      <c r="AU677"/>
      <c r="AV677"/>
      <c r="AW677"/>
      <c r="AX677"/>
      <c r="AY677"/>
      <c r="AZ677"/>
      <c r="BA677"/>
    </row>
    <row r="678" spans="2:60" hidden="1" outlineLevel="1" x14ac:dyDescent="0.3">
      <c r="C678" s="587" t="str">
        <f>C677</f>
        <v>CEER2</v>
      </c>
      <c r="E678" s="563" t="s">
        <v>54</v>
      </c>
      <c r="F678" s="229"/>
      <c r="G678" s="593" cm="1">
        <f t="array" ref="G678">INDEX(G$9:G$56,MATCH($C678&amp;$E678,$C$9:$C$56&amp;$E$9:$E$56,0))*INDEX(Assumptions!D$495:D$500,MATCH($E678,Assumptions!$B$495:$B$500,0))</f>
        <v>86.544179319191272</v>
      </c>
      <c r="H678" s="593" cm="1">
        <f t="array" ref="H678">INDEX(H$9:H$56,MATCH($C678&amp;$E678,$C$9:$C$56&amp;$E$9:$E$56,0))*INDEX(Assumptions!E$495:E$500,MATCH($E678,Assumptions!$B$495:$B$500,0))</f>
        <v>88.24000386962004</v>
      </c>
      <c r="I678" s="593" cm="1">
        <f t="array" ref="I678">INDEX(I$9:I$56,MATCH($C678&amp;$E678,$C$9:$C$56&amp;$E$9:$E$56,0))*INDEX(Assumptions!F$495:F$500,MATCH($E678,Assumptions!$B$495:$B$500,0))</f>
        <v>89.986518666981524</v>
      </c>
      <c r="J678" s="593" cm="1">
        <f t="array" ref="J678">INDEX(J$9:J$56,MATCH($C678&amp;$E678,$C$9:$C$56&amp;$E$9:$E$56,0))*INDEX(Assumptions!G$495:G$500,MATCH($E678,Assumptions!$B$495:$B$500,0))</f>
        <v>95.664349275039967</v>
      </c>
      <c r="K678" s="593" cm="1">
        <f t="array" ref="K678">INDEX(K$9:K$56,MATCH($C678&amp;$E678,$C$9:$C$56&amp;$E$9:$E$56,0))*INDEX(Assumptions!H$495:H$500,MATCH($E678,Assumptions!$B$495:$B$500,0))</f>
        <v>99.407836155900313</v>
      </c>
      <c r="L678" s="593" cm="1">
        <f t="array" ref="L678">INDEX(L$9:L$56,MATCH($C678&amp;$E678,$C$9:$C$56&amp;$E$9:$E$56,0))*INDEX(Assumptions!I$495:I$500,MATCH($E678,Assumptions!$B$495:$B$500,0))</f>
        <v>101.29094937931467</v>
      </c>
      <c r="M678" s="593" cm="1">
        <f t="array" ref="M678">INDEX(M$9:M$56,MATCH($C678&amp;$E678,$C$9:$C$56&amp;$E$9:$E$56,0))*INDEX(Assumptions!J$495:J$500,MATCH($E678,Assumptions!$B$495:$B$500,0))</f>
        <v>102.51076371741459</v>
      </c>
      <c r="N678" s="593" cm="1">
        <f t="array" ref="N678">INDEX(N$9:N$56,MATCH($C678&amp;$E678,$C$9:$C$56&amp;$E$9:$E$56,0))*INDEX(Assumptions!K$495:K$500,MATCH($E678,Assumptions!$B$495:$B$500,0))</f>
        <v>103.76054880028975</v>
      </c>
      <c r="O678" s="593" cm="1">
        <f t="array" ref="O678">INDEX(O$9:O$56,MATCH($C678&amp;$E678,$C$9:$C$56&amp;$E$9:$E$56,0))*INDEX(Assumptions!L$495:L$500,MATCH($E678,Assumptions!$B$495:$B$500,0))</f>
        <v>105.04077282678884</v>
      </c>
      <c r="P678" s="593" cm="1">
        <f t="array" ref="P678">INDEX(P$9:P$56,MATCH($C678&amp;$E678,$C$9:$C$56&amp;$E$9:$E$56,0))*INDEX(Assumptions!M$495:M$500,MATCH($E678,Assumptions!$B$495:$B$500,0))</f>
        <v>106.35190493046805</v>
      </c>
      <c r="Q678" s="593" cm="1">
        <f t="array" ref="Q678">INDEX(Q$9:Q$56,MATCH($C678&amp;$E678,$C$9:$C$56&amp;$E$9:$E$56,0))*INDEX(Assumptions!N$495:N$500,MATCH($E678,Assumptions!$B$495:$B$500,0))</f>
        <v>108.47252036571871</v>
      </c>
      <c r="R678" s="593" cm="1">
        <f t="array" ref="R678">INDEX(R$9:R$56,MATCH($C678&amp;$E678,$C$9:$C$56&amp;$E$9:$E$56,0))*INDEX(Assumptions!O$495:O$500,MATCH($E678,Assumptions!$B$495:$B$500,0))</f>
        <v>110.65647681998674</v>
      </c>
      <c r="S678" s="593" cm="1">
        <f t="array" ref="S678">INDEX(S$9:S$56,MATCH($C678&amp;$E678,$C$9:$C$56&amp;$E$9:$E$56,0))*INDEX(Assumptions!P$495:P$500,MATCH($E678,Assumptions!$B$495:$B$500,0))</f>
        <v>112.90566110477864</v>
      </c>
      <c r="T678" s="593" cm="1">
        <f t="array" ref="T678">INDEX(T$9:T$56,MATCH($C678&amp;$E678,$C$9:$C$56&amp;$E$9:$E$56,0))*INDEX(Assumptions!Q$495:Q$500,MATCH($E678,Assumptions!$B$495:$B$500,0))</f>
        <v>115.2220160202574</v>
      </c>
      <c r="U678" s="593" cm="1">
        <f t="array" ref="U678">INDEX(U$9:U$56,MATCH($C678&amp;$E678,$C$9:$C$56&amp;$E$9:$E$56,0))*INDEX(Assumptions!R$495:R$500,MATCH($E678,Assumptions!$B$495:$B$500,0))</f>
        <v>117.60754200826035</v>
      </c>
      <c r="W678"/>
      <c r="X678"/>
      <c r="Y678"/>
      <c r="Z678"/>
      <c r="AA678"/>
      <c r="AB678"/>
      <c r="AC678"/>
      <c r="AD678"/>
      <c r="AE678"/>
      <c r="AF678"/>
      <c r="AG678"/>
      <c r="AH678"/>
      <c r="AJ678"/>
      <c r="AK678"/>
      <c r="AL678"/>
      <c r="AM678"/>
      <c r="AN678"/>
      <c r="AO678"/>
      <c r="AP678"/>
      <c r="AQ678"/>
      <c r="AR678"/>
      <c r="AS678"/>
      <c r="AT678"/>
      <c r="AU678"/>
      <c r="AV678"/>
      <c r="AW678"/>
      <c r="AX678"/>
      <c r="AY678"/>
      <c r="AZ678"/>
      <c r="BA678"/>
    </row>
    <row r="679" spans="2:60" hidden="1" outlineLevel="1" x14ac:dyDescent="0.3">
      <c r="W679"/>
      <c r="X679"/>
      <c r="Y679"/>
      <c r="Z679"/>
      <c r="AA679"/>
      <c r="AB679"/>
      <c r="AC679"/>
      <c r="AD679"/>
      <c r="AE679"/>
      <c r="AF679"/>
      <c r="AG679"/>
      <c r="AH679"/>
      <c r="AJ679"/>
      <c r="AK679"/>
      <c r="AL679"/>
      <c r="AM679"/>
      <c r="AN679"/>
      <c r="AO679"/>
      <c r="AP679"/>
      <c r="AQ679"/>
      <c r="AR679"/>
      <c r="AS679"/>
      <c r="AT679"/>
      <c r="AU679"/>
      <c r="AV679"/>
      <c r="AW679"/>
      <c r="AX679"/>
      <c r="AY679"/>
      <c r="AZ679"/>
      <c r="BA679"/>
    </row>
    <row r="680" spans="2:60" hidden="1" outlineLevel="1" x14ac:dyDescent="0.3">
      <c r="W680"/>
      <c r="X680"/>
      <c r="Y680"/>
      <c r="Z680"/>
      <c r="AA680"/>
      <c r="AB680"/>
      <c r="AC680"/>
      <c r="AD680"/>
      <c r="AE680"/>
      <c r="AF680"/>
      <c r="AG680"/>
      <c r="AH680"/>
      <c r="AJ680"/>
      <c r="AK680"/>
      <c r="AL680"/>
      <c r="AM680"/>
      <c r="AN680"/>
      <c r="AO680"/>
      <c r="AP680"/>
      <c r="AQ680"/>
      <c r="AR680"/>
      <c r="AS680"/>
      <c r="AT680"/>
      <c r="AU680"/>
      <c r="AV680"/>
      <c r="AW680"/>
      <c r="AX680"/>
      <c r="AY680"/>
      <c r="AZ680"/>
      <c r="BA680"/>
    </row>
    <row r="681" spans="2:60" x14ac:dyDescent="0.3">
      <c r="AJ681"/>
      <c r="AK681"/>
      <c r="AL681"/>
      <c r="AM681"/>
      <c r="AN681"/>
      <c r="AO681"/>
      <c r="AP681"/>
      <c r="AQ681"/>
      <c r="AR681"/>
      <c r="AS681"/>
      <c r="AT681"/>
      <c r="AU681"/>
      <c r="AV681"/>
      <c r="AW681"/>
      <c r="AX681"/>
      <c r="AY681"/>
      <c r="AZ681"/>
      <c r="BA681"/>
    </row>
    <row r="682" spans="2:60" ht="19.5" collapsed="1" thickBot="1" x14ac:dyDescent="0.35">
      <c r="B682" s="1" t="s">
        <v>434</v>
      </c>
      <c r="C682" s="588"/>
      <c r="D682" s="588"/>
      <c r="E682" s="588"/>
      <c r="F682" s="589"/>
      <c r="G682" s="589"/>
      <c r="H682" s="589"/>
      <c r="I682" s="589"/>
      <c r="J682" s="589"/>
      <c r="K682" s="589"/>
      <c r="L682" s="589"/>
      <c r="M682" s="589"/>
      <c r="N682" s="589"/>
      <c r="O682" s="589"/>
      <c r="P682" s="589"/>
      <c r="Q682" s="589"/>
      <c r="R682" s="589"/>
      <c r="S682" s="589"/>
      <c r="T682" s="589"/>
      <c r="U682" s="589"/>
      <c r="V682" s="589"/>
      <c r="W682" s="589"/>
      <c r="X682" s="589"/>
      <c r="Y682" s="589"/>
      <c r="Z682" s="589"/>
      <c r="AA682" s="589"/>
      <c r="AB682" s="589"/>
      <c r="AC682" s="589"/>
      <c r="AD682" s="589"/>
      <c r="AE682" s="589"/>
      <c r="AF682" s="589"/>
      <c r="AG682" s="589"/>
      <c r="AH682" s="589"/>
      <c r="AI682" s="589"/>
      <c r="AJ682" s="589"/>
      <c r="AK682" s="589"/>
      <c r="AL682" s="589"/>
      <c r="AM682" s="589"/>
      <c r="AN682" s="589"/>
      <c r="AO682" s="589"/>
      <c r="AP682" s="589"/>
      <c r="AQ682" s="589"/>
      <c r="AR682" s="589"/>
      <c r="AS682" s="589"/>
      <c r="AT682" s="589"/>
      <c r="AU682" s="589"/>
      <c r="AV682" s="589"/>
      <c r="AW682" s="589"/>
      <c r="AX682" s="589"/>
      <c r="AY682" s="589"/>
      <c r="AZ682" s="589"/>
      <c r="BA682" s="589"/>
      <c r="BB682" s="589"/>
      <c r="BC682" s="589"/>
      <c r="BD682" s="589"/>
      <c r="BE682" s="589"/>
      <c r="BF682" s="589"/>
      <c r="BG682" s="589"/>
      <c r="BH682" s="589"/>
    </row>
    <row r="683" spans="2:60" hidden="1" outlineLevel="1" x14ac:dyDescent="0.3">
      <c r="C683" s="587" t="s">
        <v>435</v>
      </c>
      <c r="AJ683"/>
      <c r="AK683"/>
      <c r="AL683"/>
      <c r="AM683"/>
      <c r="AN683"/>
      <c r="AO683"/>
      <c r="AP683"/>
      <c r="AQ683"/>
      <c r="AR683"/>
      <c r="AS683"/>
      <c r="AT683"/>
      <c r="AU683"/>
      <c r="AV683"/>
      <c r="AW683"/>
      <c r="AX683"/>
      <c r="AY683"/>
      <c r="AZ683"/>
      <c r="BA683"/>
    </row>
    <row r="684" spans="2:60" hidden="1" outlineLevel="1" x14ac:dyDescent="0.3">
      <c r="AJ684"/>
      <c r="AK684"/>
      <c r="AL684"/>
      <c r="AM684"/>
      <c r="AN684"/>
      <c r="AO684"/>
      <c r="AP684"/>
      <c r="AQ684"/>
      <c r="AR684"/>
      <c r="AS684"/>
      <c r="AT684"/>
      <c r="AU684"/>
      <c r="AV684"/>
      <c r="AW684"/>
      <c r="AX684"/>
      <c r="AY684"/>
      <c r="AZ684"/>
      <c r="BA684"/>
    </row>
    <row r="685" spans="2:60" ht="15" hidden="1" outlineLevel="1" x14ac:dyDescent="0.3">
      <c r="E685" s="5" t="s">
        <v>436</v>
      </c>
      <c r="F685" s="5"/>
      <c r="G685" s="5"/>
      <c r="H685" s="5"/>
      <c r="I685" s="5"/>
      <c r="J685" s="5"/>
      <c r="K685" s="5"/>
      <c r="L685" s="5"/>
      <c r="M685" s="5"/>
      <c r="N685" s="5"/>
      <c r="O685" s="5"/>
      <c r="P685" s="5"/>
      <c r="Q685" s="5"/>
      <c r="R685" s="5"/>
      <c r="S685" s="5"/>
      <c r="T685" s="5"/>
      <c r="U685" s="5"/>
      <c r="V685" s="5"/>
      <c r="W685" s="5"/>
      <c r="AJ685"/>
      <c r="AK685"/>
      <c r="AL685"/>
      <c r="AM685"/>
      <c r="AN685"/>
      <c r="AO685"/>
      <c r="AP685"/>
      <c r="AQ685"/>
      <c r="AR685"/>
      <c r="AS685"/>
      <c r="AT685"/>
      <c r="AU685"/>
      <c r="AV685"/>
      <c r="AW685"/>
      <c r="AX685"/>
      <c r="AY685"/>
      <c r="AZ685"/>
      <c r="BA685"/>
    </row>
    <row r="686" spans="2:60" hidden="1" outlineLevel="1" x14ac:dyDescent="0.3">
      <c r="E686"/>
      <c r="F686"/>
      <c r="G686"/>
      <c r="H686"/>
      <c r="I686"/>
      <c r="J686"/>
      <c r="K686"/>
      <c r="L686"/>
      <c r="M686"/>
      <c r="N686"/>
      <c r="O686"/>
      <c r="P686"/>
      <c r="Q686"/>
      <c r="R686"/>
      <c r="S686"/>
      <c r="T686"/>
      <c r="U686"/>
      <c r="AJ686"/>
      <c r="AK686"/>
      <c r="AL686"/>
      <c r="AM686"/>
      <c r="AN686"/>
      <c r="AO686"/>
      <c r="AP686"/>
      <c r="AQ686"/>
      <c r="AR686"/>
      <c r="AS686"/>
      <c r="AT686"/>
      <c r="AU686"/>
      <c r="AV686"/>
      <c r="AW686"/>
      <c r="AX686"/>
      <c r="AY686"/>
      <c r="AZ686"/>
      <c r="BA686"/>
    </row>
    <row r="687" spans="2:60" hidden="1" outlineLevel="1" x14ac:dyDescent="0.3">
      <c r="E687" s="627" t="s">
        <v>437</v>
      </c>
      <c r="F687" s="625"/>
      <c r="G687" s="625"/>
      <c r="H687" s="625"/>
      <c r="I687" s="625"/>
      <c r="J687" s="625"/>
      <c r="K687" s="625"/>
      <c r="L687" s="625"/>
      <c r="M687" s="625"/>
      <c r="N687" s="625"/>
      <c r="O687" s="625"/>
      <c r="P687" s="625"/>
      <c r="Q687" s="625"/>
      <c r="R687" s="625"/>
      <c r="S687" s="625"/>
      <c r="T687" s="625"/>
      <c r="U687" s="625"/>
      <c r="AJ687"/>
      <c r="AK687"/>
      <c r="AL687"/>
      <c r="AM687"/>
      <c r="AN687"/>
      <c r="AO687"/>
      <c r="AP687"/>
      <c r="AQ687"/>
      <c r="AR687"/>
      <c r="AS687"/>
      <c r="AT687"/>
      <c r="AU687"/>
      <c r="AV687"/>
      <c r="AW687"/>
      <c r="AX687"/>
      <c r="AY687"/>
      <c r="AZ687"/>
      <c r="BA687"/>
    </row>
    <row r="688" spans="2:60" hidden="1" outlineLevel="1" x14ac:dyDescent="0.3">
      <c r="E688" s="625"/>
      <c r="F688" s="625"/>
      <c r="G688" s="625">
        <v>2021</v>
      </c>
      <c r="H688" s="625">
        <v>2022</v>
      </c>
      <c r="I688" s="625">
        <v>2023</v>
      </c>
      <c r="J688" s="625">
        <v>2024</v>
      </c>
      <c r="K688" s="625">
        <v>2025</v>
      </c>
      <c r="L688" s="625">
        <v>2026</v>
      </c>
      <c r="M688" s="625">
        <v>2027</v>
      </c>
      <c r="N688" s="625">
        <v>2028</v>
      </c>
      <c r="O688" s="625">
        <v>2029</v>
      </c>
      <c r="P688" s="625">
        <v>2030</v>
      </c>
      <c r="Q688" s="625">
        <v>2031</v>
      </c>
      <c r="R688" s="625">
        <v>2032</v>
      </c>
      <c r="S688" s="625">
        <v>2033</v>
      </c>
      <c r="T688" s="625">
        <v>2034</v>
      </c>
      <c r="U688" s="625">
        <v>2035</v>
      </c>
      <c r="AJ688"/>
      <c r="AK688"/>
      <c r="AL688"/>
      <c r="AM688"/>
      <c r="AN688"/>
      <c r="AO688"/>
      <c r="AP688"/>
      <c r="AQ688"/>
      <c r="AR688"/>
      <c r="AS688"/>
      <c r="AT688"/>
      <c r="AU688"/>
      <c r="AV688"/>
      <c r="AW688"/>
      <c r="AX688"/>
      <c r="AY688"/>
      <c r="AZ688"/>
      <c r="BA688"/>
    </row>
    <row r="689" spans="3:23" hidden="1" outlineLevel="1" x14ac:dyDescent="0.3">
      <c r="E689" s="596" t="s">
        <v>345</v>
      </c>
      <c r="F689" s="584"/>
      <c r="G689" s="597">
        <f>Assumptions!C74</f>
        <v>650.5</v>
      </c>
      <c r="H689" s="597">
        <f>Assumptions!D74</f>
        <v>677.4</v>
      </c>
      <c r="I689" s="597">
        <f>Assumptions!E74</f>
        <v>679.2</v>
      </c>
      <c r="J689" s="597">
        <f>Assumptions!F74</f>
        <v>683.3</v>
      </c>
      <c r="K689" s="597">
        <f>Assumptions!G74</f>
        <v>685.4</v>
      </c>
      <c r="L689" s="597">
        <f>Assumptions!H74</f>
        <v>685.7</v>
      </c>
      <c r="M689" s="597">
        <f>Assumptions!I74</f>
        <v>685.7</v>
      </c>
      <c r="N689" s="597">
        <f>Assumptions!J74</f>
        <v>670.40077048021942</v>
      </c>
      <c r="O689" s="597">
        <f>Assumptions!K74</f>
        <v>667.85705838006504</v>
      </c>
      <c r="P689" s="597">
        <f>Assumptions!L74</f>
        <v>665.17299172607909</v>
      </c>
      <c r="Q689" s="597">
        <f>Assumptions!M74</f>
        <v>662.71256873394532</v>
      </c>
      <c r="R689" s="597">
        <f>Assumptions!N74</f>
        <v>660.30437843289576</v>
      </c>
      <c r="S689" s="597">
        <f>Assumptions!O74</f>
        <v>657.95269452091168</v>
      </c>
      <c r="T689" s="597">
        <f>Assumptions!P74</f>
        <v>655.34736559679754</v>
      </c>
      <c r="U689" s="597">
        <f>Assumptions!Q74</f>
        <v>651.93050565537055</v>
      </c>
      <c r="V689" s="569">
        <f>SUM(G689:P689)</f>
        <v>6750.6308205863634</v>
      </c>
    </row>
    <row r="690" spans="3:23" hidden="1" outlineLevel="1" x14ac:dyDescent="0.3">
      <c r="E690" s="563" t="s">
        <v>438</v>
      </c>
      <c r="F690" s="584"/>
      <c r="G690" s="594"/>
      <c r="H690" s="594"/>
      <c r="I690" s="598">
        <f t="shared" ref="I690:P690" si="2393">(I689-H689)/H689</f>
        <v>2.6572187776794632E-3</v>
      </c>
      <c r="J690" s="598">
        <f t="shared" si="2393"/>
        <v>6.0365135453473336E-3</v>
      </c>
      <c r="K690" s="598">
        <f t="shared" si="2393"/>
        <v>3.0733206497878282E-3</v>
      </c>
      <c r="L690" s="598">
        <f t="shared" si="2393"/>
        <v>4.3770061278095745E-4</v>
      </c>
      <c r="M690" s="598">
        <f t="shared" si="2393"/>
        <v>0</v>
      </c>
      <c r="N690" s="598">
        <f t="shared" si="2393"/>
        <v>-2.2311841213038679E-2</v>
      </c>
      <c r="O690" s="598">
        <f t="shared" si="2393"/>
        <v>-3.7943155977166851E-3</v>
      </c>
      <c r="P690" s="598">
        <f t="shared" si="2393"/>
        <v>-4.018923840524118E-3</v>
      </c>
      <c r="Q690" s="598">
        <f t="shared" ref="Q690" si="2394">(Q689-P689)/P689</f>
        <v>-3.6989219687785881E-3</v>
      </c>
      <c r="R690" s="598">
        <f t="shared" ref="R690" si="2395">(R689-Q689)/Q689</f>
        <v>-3.6338382802218404E-3</v>
      </c>
      <c r="S690" s="598">
        <f t="shared" ref="S690" si="2396">(S689-R689)/R689</f>
        <v>-3.5615149449188081E-3</v>
      </c>
      <c r="T690" s="598">
        <f t="shared" ref="T690" si="2397">(T689-S689)/S689</f>
        <v>-3.9597511277177809E-3</v>
      </c>
      <c r="U690" s="598">
        <f t="shared" ref="U690" si="2398">(U689-T689)/T689</f>
        <v>-5.2138150251285435E-3</v>
      </c>
    </row>
    <row r="691" spans="3:23" hidden="1" outlineLevel="1" x14ac:dyDescent="0.3">
      <c r="E691" s="596" t="str">
        <f>'EE Measures'!$IF$6</f>
        <v>Baseline</v>
      </c>
      <c r="F691" s="872">
        <f>SUM(G691:P691)/SUM($G$689:$P$689)-1</f>
        <v>1.2300804413076794E-3</v>
      </c>
      <c r="G691" s="591">
        <f t="shared" ref="G691:U691" si="2399">G$689+G692</f>
        <v>653.09919543081423</v>
      </c>
      <c r="H691" s="591">
        <f t="shared" si="2399"/>
        <v>679.64963069437954</v>
      </c>
      <c r="I691" s="591">
        <f t="shared" si="2399"/>
        <v>680.89773751346058</v>
      </c>
      <c r="J691" s="591">
        <f t="shared" si="2399"/>
        <v>683.41759069068166</v>
      </c>
      <c r="K691" s="591">
        <f t="shared" si="2399"/>
        <v>685.99368042191122</v>
      </c>
      <c r="L691" s="591">
        <f t="shared" si="2399"/>
        <v>686.27104032651994</v>
      </c>
      <c r="M691" s="591">
        <f t="shared" si="2399"/>
        <v>686.18881406090043</v>
      </c>
      <c r="N691" s="591">
        <f t="shared" si="2399"/>
        <v>670.39615973311163</v>
      </c>
      <c r="O691" s="591">
        <f t="shared" si="2399"/>
        <v>667.85243983264911</v>
      </c>
      <c r="P691" s="591">
        <f t="shared" si="2399"/>
        <v>665.1683508208273</v>
      </c>
      <c r="Q691" s="591">
        <f t="shared" si="2399"/>
        <v>662.70773263943715</v>
      </c>
      <c r="R691" s="591">
        <f t="shared" si="2399"/>
        <v>660.29948918643674</v>
      </c>
      <c r="S691" s="591">
        <f t="shared" si="2399"/>
        <v>657.9477421581264</v>
      </c>
      <c r="T691" s="591">
        <f t="shared" si="2399"/>
        <v>655.34233709484681</v>
      </c>
      <c r="U691" s="591">
        <f t="shared" si="2399"/>
        <v>651.92538219160826</v>
      </c>
      <c r="V691" s="569">
        <f>SUM(G691:P691)</f>
        <v>6758.934639525256</v>
      </c>
      <c r="W691" s="898">
        <f>AVERAGE(G692:P692)</f>
        <v>0.83038189388920358</v>
      </c>
    </row>
    <row r="692" spans="3:23" hidden="1" outlineLevel="1" x14ac:dyDescent="0.3">
      <c r="C692" s="554"/>
      <c r="D692" s="554" t="str">
        <f>E691</f>
        <v>Baseline</v>
      </c>
      <c r="E692" s="563" t="s">
        <v>439</v>
      </c>
      <c r="F692" s="875">
        <f>AVERAGE(G692:P692)</f>
        <v>0.83038189388920358</v>
      </c>
      <c r="G692" s="501">
        <f t="shared" ref="G692" si="2400">G693+G697</f>
        <v>2.599195430814234</v>
      </c>
      <c r="H692" s="501">
        <f t="shared" ref="H692:P692" si="2401">H693+H697</f>
        <v>2.2496306943795443</v>
      </c>
      <c r="I692" s="501">
        <f t="shared" si="2401"/>
        <v>1.6977375134604926</v>
      </c>
      <c r="J692" s="501">
        <f t="shared" si="2401"/>
        <v>0.11759069068172648</v>
      </c>
      <c r="K692" s="501">
        <f t="shared" si="2401"/>
        <v>0.59368042191122961</v>
      </c>
      <c r="L692" s="501">
        <f t="shared" si="2401"/>
        <v>0.57104032651985259</v>
      </c>
      <c r="M692" s="501">
        <f t="shared" si="2401"/>
        <v>0.48881406090042445</v>
      </c>
      <c r="N692" s="501">
        <f t="shared" si="2401"/>
        <v>-4.6107471077526186E-3</v>
      </c>
      <c r="O692" s="501">
        <f t="shared" si="2401"/>
        <v>-4.6185474158951184E-3</v>
      </c>
      <c r="P692" s="501">
        <f t="shared" si="2401"/>
        <v>-4.6409052518209173E-3</v>
      </c>
      <c r="Q692" s="501">
        <f t="shared" ref="Q692:U692" si="2402">Q693+Q697</f>
        <v>-4.836094508174532E-3</v>
      </c>
      <c r="R692" s="501">
        <f t="shared" si="2402"/>
        <v>-4.8892464590520601E-3</v>
      </c>
      <c r="S692" s="501">
        <f t="shared" si="2402"/>
        <v>-4.9523627852981625E-3</v>
      </c>
      <c r="T692" s="501">
        <f t="shared" si="2402"/>
        <v>-5.0285019507360137E-3</v>
      </c>
      <c r="U692" s="501">
        <f t="shared" si="2402"/>
        <v>-5.1234637623265144E-3</v>
      </c>
    </row>
    <row r="693" spans="3:23" hidden="1" outlineLevel="1" x14ac:dyDescent="0.3">
      <c r="C693" s="554"/>
      <c r="E693" s="563" t="s">
        <v>440</v>
      </c>
      <c r="F693" s="875">
        <f>AVERAGE(G693:P693)</f>
        <v>0.81852460318790288</v>
      </c>
      <c r="G693" s="647">
        <f>SUMPRODUCT('EE Measures'!FZ$8:FZ$86,'EE Measures'!$IF$8:$IF$86)/1000</f>
        <v>2.599195430814234</v>
      </c>
      <c r="H693" s="647">
        <f>SUMPRODUCT('EE Measures'!GA$8:GA$86,'EE Measures'!$IF$8:$IF$86)/1000</f>
        <v>2.245589767835459</v>
      </c>
      <c r="I693" s="647">
        <f>SUMPRODUCT('EE Measures'!GB$8:GB$86,'EE Measures'!$IF$8:$IF$86)/1000</f>
        <v>1.6914920534597186</v>
      </c>
      <c r="J693" s="647">
        <f>SUMPRODUCT('EE Measures'!GC$8:GC$86,'EE Measures'!$IF$8:$IF$86)/1000</f>
        <v>6.4786081191358008E-2</v>
      </c>
      <c r="K693" s="647">
        <f>SUMPRODUCT('EE Measures'!GD$8:GD$86,'EE Measures'!$IF$8:$IF$86)/1000</f>
        <v>0.56593606699677723</v>
      </c>
      <c r="L693" s="647">
        <f>SUMPRODUCT('EE Measures'!GE$8:GE$86,'EE Measures'!$IF$8:$IF$86)/1000</f>
        <v>0.56577319655184566</v>
      </c>
      <c r="M693" s="647">
        <f>SUMPRODUCT('EE Measures'!GF$8:GF$86,'EE Measures'!$IF$8:$IF$86)/1000</f>
        <v>0.48338303615704264</v>
      </c>
      <c r="N693" s="647">
        <f>SUMPRODUCT('EE Measures'!GG$8:GG$86,'EE Measures'!$IF$8:$IF$86)/1000</f>
        <v>-1.0120809493544325E-2</v>
      </c>
      <c r="O693" s="647">
        <f>SUMPRODUCT('EE Measures'!GH$8:GH$86,'EE Measures'!$IF$8:$IF$86)/1000</f>
        <v>-1.0301177666451104E-2</v>
      </c>
      <c r="P693" s="647">
        <f>SUMPRODUCT('EE Measures'!GI$8:GI$86,'EE Measures'!$IF$8:$IF$86)/1000</f>
        <v>-1.0487613967411134E-2</v>
      </c>
      <c r="Q693" s="647">
        <f>SUMPRODUCT('EE Measures'!GJ$8:GJ$86,'EE Measures'!$IF$8:$IF$86)/1000</f>
        <v>-1.0683804977808232E-2</v>
      </c>
      <c r="R693" s="647">
        <f>SUMPRODUCT('EE Measures'!GK$8:GK$86,'EE Measures'!$IF$8:$IF$86)/1000</f>
        <v>-1.0885881718517244E-2</v>
      </c>
      <c r="S693" s="647">
        <f>SUMPRODUCT('EE Measures'!GL$8:GL$86,'EE Measures'!$IF$8:$IF$86)/1000</f>
        <v>-1.1094020761447524E-2</v>
      </c>
      <c r="T693" s="647">
        <f>SUMPRODUCT('EE Measures'!GM$8:GM$86,'EE Measures'!$IF$8:$IF$86)/1000</f>
        <v>-1.1308403975665716E-2</v>
      </c>
      <c r="U693" s="647">
        <f>SUMPRODUCT('EE Measures'!GN$8:GN$86,'EE Measures'!$IF$8:$IF$86)/1000</f>
        <v>-1.1529218686310452E-2</v>
      </c>
    </row>
    <row r="694" spans="3:23" hidden="1" outlineLevel="1" x14ac:dyDescent="0.3">
      <c r="C694" s="554"/>
      <c r="E694" s="1160" t="s">
        <v>50</v>
      </c>
      <c r="F694" s="875">
        <f>AVERAGE(G694:P694)</f>
        <v>0.23747496008006</v>
      </c>
      <c r="G694" s="1215">
        <f>(SUMPRODUCT('EE Measures'!FZ$8:FZ$86,'EE Measures'!$IF$8:$IF$86,'EE Measures'!$N$8:$N$86)/1000)</f>
        <v>0.69216433964842305</v>
      </c>
      <c r="H694" s="1215">
        <f>(SUMPRODUCT('EE Measures'!GA$8:GA$86,'EE Measures'!$IF$8:$IF$86,'EE Measures'!$N$8:$N$86)/1000)</f>
        <v>3.8153844710674734E-2</v>
      </c>
      <c r="I694" s="1215">
        <f>(SUMPRODUCT('EE Measures'!GB$8:GB$86,'EE Measures'!$IF$8:$IF$86,'EE Measures'!$N$8:$N$86)/1000)</f>
        <v>0</v>
      </c>
      <c r="J694" s="1215">
        <f>(SUMPRODUCT('EE Measures'!GC$8:GC$86,'EE Measures'!$IF$8:$IF$86,'EE Measures'!$N$8:$N$86)/1000)</f>
        <v>0</v>
      </c>
      <c r="K694" s="1215">
        <f>(SUMPRODUCT('EE Measures'!GD$8:GD$86,'EE Measures'!$IF$8:$IF$86,'EE Measures'!$N$8:$N$86)/1000)</f>
        <v>0.57555099575452562</v>
      </c>
      <c r="L694" s="1215">
        <f>(SUMPRODUCT('EE Measures'!GE$8:GE$86,'EE Measures'!$IF$8:$IF$86,'EE Measures'!$N$8:$N$86)/1000)</f>
        <v>0.57555099575452573</v>
      </c>
      <c r="M694" s="1215">
        <f>(SUMPRODUCT('EE Measures'!GF$8:GF$86,'EE Measures'!$IF$8:$IF$86,'EE Measures'!$N$8:$N$86)/1000)</f>
        <v>0.49332942493245058</v>
      </c>
      <c r="N694" s="1215">
        <f>(SUMPRODUCT('EE Measures'!GG$8:GG$86,'EE Measures'!$IF$8:$IF$86,'EE Measures'!$N$8:$N$86)/1000)</f>
        <v>0</v>
      </c>
      <c r="O694" s="1215">
        <f>(SUMPRODUCT('EE Measures'!GH$8:GH$86,'EE Measures'!$IF$8:$IF$86,'EE Measures'!$N$8:$N$86)/1000)</f>
        <v>0</v>
      </c>
      <c r="P694" s="1215">
        <f>(SUMPRODUCT('EE Measures'!GI$8:GI$86,'EE Measures'!$IF$8:$IF$86,'EE Measures'!$N$8:$N$86)/1000)</f>
        <v>0</v>
      </c>
      <c r="Q694" s="1215">
        <f>(SUMPRODUCT('EE Measures'!GJ$8:GJ$86,'EE Measures'!$IF$8:$IF$86,'EE Measures'!$N$8:$N$86)/1000)</f>
        <v>0</v>
      </c>
      <c r="R694" s="1215">
        <f>(SUMPRODUCT('EE Measures'!GK$8:GK$86,'EE Measures'!$IF$8:$IF$86,'EE Measures'!$N$8:$N$86)/1000)</f>
        <v>0</v>
      </c>
      <c r="S694" s="1215">
        <f>(SUMPRODUCT('EE Measures'!GL$8:GL$86,'EE Measures'!$IF$8:$IF$86,'EE Measures'!$N$8:$N$86)/1000)</f>
        <v>0</v>
      </c>
      <c r="T694" s="1215">
        <f>(SUMPRODUCT('EE Measures'!GM$8:GM$86,'EE Measures'!$IF$8:$IF$86,'EE Measures'!$N$8:$N$86)/1000)</f>
        <v>0</v>
      </c>
      <c r="U694" s="1215">
        <f>(SUMPRODUCT('EE Measures'!GN$8:GN$86,'EE Measures'!$IF$8:$IF$86,'EE Measures'!$N$8:$N$86)/1000)</f>
        <v>0</v>
      </c>
    </row>
    <row r="695" spans="3:23" hidden="1" outlineLevel="1" x14ac:dyDescent="0.3">
      <c r="C695" s="554"/>
      <c r="E695" s="1160" t="s">
        <v>441</v>
      </c>
      <c r="F695" s="875">
        <f>AVERAGE(G695:P695)</f>
        <v>0.58885485530196058</v>
      </c>
      <c r="G695" s="1215">
        <f>(SUMPRODUCT('EE Measures'!FZ$8:FZ$86,'EE Measures'!$IF$8:$IF$86,'EE Measures'!$O$8:$O$86)+SUMPRODUCT('EE Measures'!FZ$8:FZ$86,'EE Measures'!$IF$8:$IF$86,'EE Measures'!$P$8:$P$86))/1000</f>
        <v>1.9070310911658113</v>
      </c>
      <c r="H695" s="1215">
        <f>(SUMPRODUCT('EE Measures'!GA$8:GA$86,'EE Measures'!$IF$8:$IF$86,'EE Measures'!$O$8:$O$86)+SUMPRODUCT('EE Measures'!GA$8:GA$86,'EE Measures'!$IF$8:$IF$86,'EE Measures'!$P$8:$P$86))/1000</f>
        <v>2.2074359231247844</v>
      </c>
      <c r="I695" s="1215">
        <f>(SUMPRODUCT('EE Measures'!GB$8:GB$86,'EE Measures'!$IF$8:$IF$86,'EE Measures'!$O$8:$O$86)+SUMPRODUCT('EE Measures'!GB$8:GB$86,'EE Measures'!$IF$8:$IF$86,'EE Measures'!$P$8:$P$86))/1000</f>
        <v>1.7000774206877609</v>
      </c>
      <c r="J695" s="1215">
        <f>(SUMPRODUCT('EE Measures'!GC$8:GC$86,'EE Measures'!$IF$8:$IF$86,'EE Measures'!$O$8:$O$86)+SUMPRODUCT('EE Measures'!GC$8:GC$86,'EE Measures'!$IF$8:$IF$86,'EE Measures'!$P$8:$P$86))/1000</f>
        <v>7.4004118041249373E-2</v>
      </c>
      <c r="K695" s="1215">
        <f>(SUMPRODUCT('EE Measures'!GD$8:GD$86,'EE Measures'!$IF$8:$IF$86,'EE Measures'!$O$8:$O$86)+SUMPRODUCT('EE Measures'!GD$8:GD$86,'EE Measures'!$IF$8:$IF$86,'EE Measures'!$P$8:$P$86))/1000</f>
        <v>0</v>
      </c>
      <c r="L695" s="1215">
        <f>(SUMPRODUCT('EE Measures'!GE$8:GE$86,'EE Measures'!$IF$8:$IF$86,'EE Measures'!$O$8:$O$86)+SUMPRODUCT('EE Measures'!GE$8:GE$86,'EE Measures'!$IF$8:$IF$86,'EE Measures'!$P$8:$P$86))/1000</f>
        <v>0</v>
      </c>
      <c r="M695" s="1215">
        <f>(SUMPRODUCT('EE Measures'!GF$8:GF$86,'EE Measures'!$IF$8:$IF$86,'EE Measures'!$O$8:$O$86)+SUMPRODUCT('EE Measures'!GF$8:GF$86,'EE Measures'!$IF$8:$IF$86,'EE Measures'!$P$8:$P$86))/1000</f>
        <v>0</v>
      </c>
      <c r="N695" s="1215">
        <f>(SUMPRODUCT('EE Measures'!GG$8:GG$86,'EE Measures'!$IF$8:$IF$86,'EE Measures'!$O$8:$O$86)+SUMPRODUCT('EE Measures'!GG$8:GG$86,'EE Measures'!$IF$8:$IF$86,'EE Measures'!$P$8:$P$86))/1000</f>
        <v>0</v>
      </c>
      <c r="O695" s="1215">
        <f>(SUMPRODUCT('EE Measures'!GH$8:GH$86,'EE Measures'!$IF$8:$IF$86,'EE Measures'!$O$8:$O$86)+SUMPRODUCT('EE Measures'!GH$8:GH$86,'EE Measures'!$IF$8:$IF$86,'EE Measures'!$P$8:$P$86))/1000</f>
        <v>0</v>
      </c>
      <c r="P695" s="1215">
        <f>(SUMPRODUCT('EE Measures'!GI$8:GI$86,'EE Measures'!$IF$8:$IF$86,'EE Measures'!$O$8:$O$86)+SUMPRODUCT('EE Measures'!GI$8:GI$86,'EE Measures'!$IF$8:$IF$86,'EE Measures'!$P$8:$P$86))/1000</f>
        <v>0</v>
      </c>
      <c r="Q695" s="1215">
        <f>(SUMPRODUCT('EE Measures'!GJ$8:GJ$86,'EE Measures'!$IF$8:$IF$86,'EE Measures'!$O$8:$O$86)+SUMPRODUCT('EE Measures'!GJ$8:GJ$86,'EE Measures'!$IF$8:$IF$86,'EE Measures'!$P$8:$P$86))/1000</f>
        <v>0</v>
      </c>
      <c r="R695" s="1215">
        <f>(SUMPRODUCT('EE Measures'!GK$8:GK$86,'EE Measures'!$IF$8:$IF$86,'EE Measures'!$O$8:$O$86)+SUMPRODUCT('EE Measures'!GK$8:GK$86,'EE Measures'!$IF$8:$IF$86,'EE Measures'!$P$8:$P$86))/1000</f>
        <v>0</v>
      </c>
      <c r="S695" s="1215">
        <f>(SUMPRODUCT('EE Measures'!GL$8:GL$86,'EE Measures'!$IF$8:$IF$86,'EE Measures'!$O$8:$O$86)+SUMPRODUCT('EE Measures'!GL$8:GL$86,'EE Measures'!$IF$8:$IF$86,'EE Measures'!$P$8:$P$86))/1000</f>
        <v>0</v>
      </c>
      <c r="T695" s="1215">
        <f>(SUMPRODUCT('EE Measures'!GM$8:GM$86,'EE Measures'!$IF$8:$IF$86,'EE Measures'!$O$8:$O$86)+SUMPRODUCT('EE Measures'!GM$8:GM$86,'EE Measures'!$IF$8:$IF$86,'EE Measures'!$P$8:$P$86))/1000</f>
        <v>0</v>
      </c>
      <c r="U695" s="1215">
        <f>(SUMPRODUCT('EE Measures'!GN$8:GN$86,'EE Measures'!$IF$8:$IF$86,'EE Measures'!$O$8:$O$86)+SUMPRODUCT('EE Measures'!GN$8:GN$86,'EE Measures'!$IF$8:$IF$86,'EE Measures'!$P$8:$P$86))/1000</f>
        <v>0</v>
      </c>
    </row>
    <row r="696" spans="3:23" hidden="1" outlineLevel="1" x14ac:dyDescent="0.3">
      <c r="C696" s="554"/>
      <c r="E696" s="1160" t="s">
        <v>53</v>
      </c>
      <c r="F696" s="875">
        <f t="shared" ref="F696:F697" si="2403">AVERAGE(G696:P696)</f>
        <v>-7.8052121941176679E-3</v>
      </c>
      <c r="G696" s="1215">
        <f>(SUMPRODUCT('EE Measures'!FZ$8:FZ$86,'EE Measures'!$IF$8:$IF$86,'EE Measures'!$Q$8:$Q$86)/1000)</f>
        <v>0</v>
      </c>
      <c r="H696" s="1215">
        <f>(SUMPRODUCT('EE Measures'!GA$8:GA$86,'EE Measures'!$IF$8:$IF$86,'EE Measures'!$Q$8:$Q$86)/1000)</f>
        <v>0</v>
      </c>
      <c r="I696" s="1215">
        <f>(SUMPRODUCT('EE Measures'!GB$8:GB$86,'EE Measures'!$IF$8:$IF$86,'EE Measures'!$Q$8:$Q$86)/1000)</f>
        <v>-8.5853672280423055E-3</v>
      </c>
      <c r="J696" s="1215">
        <f>(SUMPRODUCT('EE Measures'!GC$8:GC$86,'EE Measures'!$IF$8:$IF$86,'EE Measures'!$Q$8:$Q$86)/1000)</f>
        <v>-9.2180368498913645E-3</v>
      </c>
      <c r="K696" s="1215">
        <f>(SUMPRODUCT('EE Measures'!GD$8:GD$86,'EE Measures'!$IF$8:$IF$86,'EE Measures'!$Q$8:$Q$86)/1000)</f>
        <v>-9.6149287577484751E-3</v>
      </c>
      <c r="L696" s="1215">
        <f>(SUMPRODUCT('EE Measures'!GE$8:GE$86,'EE Measures'!$IF$8:$IF$86,'EE Measures'!$Q$8:$Q$86)/1000)</f>
        <v>-9.7777992026800049E-3</v>
      </c>
      <c r="M696" s="1215">
        <f>(SUMPRODUCT('EE Measures'!GF$8:GF$86,'EE Measures'!$IF$8:$IF$86,'EE Measures'!$Q$8:$Q$86)/1000)</f>
        <v>-9.9463887754079657E-3</v>
      </c>
      <c r="N696" s="1215">
        <f>(SUMPRODUCT('EE Measures'!GG$8:GG$86,'EE Measures'!$IF$8:$IF$86,'EE Measures'!$Q$8:$Q$86)/1000)</f>
        <v>-1.0120809493544325E-2</v>
      </c>
      <c r="O696" s="1215">
        <f>(SUMPRODUCT('EE Measures'!GH$8:GH$86,'EE Measures'!$IF$8:$IF$86,'EE Measures'!$Q$8:$Q$86)/1000)</f>
        <v>-1.0301177666451104E-2</v>
      </c>
      <c r="P696" s="1215">
        <f>(SUMPRODUCT('EE Measures'!GI$8:GI$86,'EE Measures'!$IF$8:$IF$86,'EE Measures'!$Q$8:$Q$86)/1000)</f>
        <v>-1.0487613967411134E-2</v>
      </c>
      <c r="Q696" s="1215">
        <f>(SUMPRODUCT('EE Measures'!GJ$8:GJ$86,'EE Measures'!$IF$8:$IF$86,'EE Measures'!$Q$8:$Q$86)/1000)</f>
        <v>-1.0683804977808232E-2</v>
      </c>
      <c r="R696" s="1215">
        <f>(SUMPRODUCT('EE Measures'!GK$8:GK$86,'EE Measures'!$IF$8:$IF$86,'EE Measures'!$Q$8:$Q$86)/1000)</f>
        <v>-1.0885881718517244E-2</v>
      </c>
      <c r="S696" s="1215">
        <f>(SUMPRODUCT('EE Measures'!GL$8:GL$86,'EE Measures'!$IF$8:$IF$86,'EE Measures'!$Q$8:$Q$86)/1000)</f>
        <v>-1.1094020761447524E-2</v>
      </c>
      <c r="T696" s="1215">
        <f>(SUMPRODUCT('EE Measures'!GM$8:GM$86,'EE Measures'!$IF$8:$IF$86,'EE Measures'!$Q$8:$Q$86)/1000)</f>
        <v>-1.1308403975665716E-2</v>
      </c>
      <c r="U696" s="1215">
        <f>(SUMPRODUCT('EE Measures'!GN$8:GN$86,'EE Measures'!$IF$8:$IF$86,'EE Measures'!$Q$8:$Q$86)/1000)</f>
        <v>-1.1529218686310452E-2</v>
      </c>
    </row>
    <row r="697" spans="3:23" hidden="1" outlineLevel="1" x14ac:dyDescent="0.3">
      <c r="C697" s="554"/>
      <c r="E697" s="563" t="s">
        <v>202</v>
      </c>
      <c r="F697" s="875">
        <f t="shared" si="2403"/>
        <v>1.1857290701300658E-2</v>
      </c>
      <c r="G697" s="645" cm="1">
        <f t="array" ref="G697">_xlfn.XLOOKUP($E691,_xlfn.ANCHORARRAY(Assumptions!$B$635),Assumptions!C$635:C$641)*G$689</f>
        <v>0</v>
      </c>
      <c r="H697" s="645" cm="1">
        <f t="array" ref="H697">_xlfn.XLOOKUP($E691,_xlfn.ANCHORARRAY(Assumptions!$B$635),Assumptions!D$635:D$641)*H$689</f>
        <v>4.0409265440850932E-3</v>
      </c>
      <c r="I697" s="645" cm="1">
        <f t="array" ref="I697">_xlfn.XLOOKUP($E691,_xlfn.ANCHORARRAY(Assumptions!$B$635),Assumptions!E$635:E$641)*I$689</f>
        <v>6.245460000773995E-3</v>
      </c>
      <c r="J697" s="645" cm="1">
        <f t="array" ref="J697">_xlfn.XLOOKUP($E691,_xlfn.ANCHORARRAY(Assumptions!$B$635),Assumptions!F$635:F$641)*J$689</f>
        <v>5.2804609490368477E-2</v>
      </c>
      <c r="K697" s="645" cm="1">
        <f t="array" ref="K697">_xlfn.XLOOKUP($E691,_xlfn.ANCHORARRAY(Assumptions!$B$635),Assumptions!G$635:G$641)*K$689</f>
        <v>2.7744354914452419E-2</v>
      </c>
      <c r="L697" s="645" cm="1">
        <f t="array" ref="L697">_xlfn.XLOOKUP($E691,_xlfn.ANCHORARRAY(Assumptions!$B$635),Assumptions!H$635:H$641)*L$689</f>
        <v>5.2671299680068879E-3</v>
      </c>
      <c r="M697" s="645" cm="1">
        <f t="array" ref="M697">_xlfn.XLOOKUP($E691,_xlfn.ANCHORARRAY(Assumptions!$B$635),Assumptions!I$635:I$641)*M$689</f>
        <v>5.4310247433817897E-3</v>
      </c>
      <c r="N697" s="645" cm="1">
        <f t="array" ref="N697">_xlfn.XLOOKUP($E691,_xlfn.ANCHORARRAY(Assumptions!$B$635),Assumptions!J$635:J$641)*N$689</f>
        <v>5.5100623857917063E-3</v>
      </c>
      <c r="O697" s="645" cm="1">
        <f t="array" ref="O697">_xlfn.XLOOKUP($E691,_xlfn.ANCHORARRAY(Assumptions!$B$635),Assumptions!K$635:K$641)*O$689</f>
        <v>5.6826302505559858E-3</v>
      </c>
      <c r="P697" s="645" cm="1">
        <f t="array" ref="P697">_xlfn.XLOOKUP($E691,_xlfn.ANCHORARRAY(Assumptions!$B$635),Assumptions!L$635:L$641)*P$689</f>
        <v>5.8467087155902164E-3</v>
      </c>
      <c r="Q697" s="645" cm="1">
        <f t="array" ref="Q697">_xlfn.XLOOKUP($E691,_xlfn.ANCHORARRAY(Assumptions!$B$635),Assumptions!M$635:M$641)*Q$689</f>
        <v>5.8477104696336999E-3</v>
      </c>
      <c r="R697" s="645" cm="1">
        <f t="array" ref="R697">_xlfn.XLOOKUP($E691,_xlfn.ANCHORARRAY(Assumptions!$B$635),Assumptions!N$635:N$641)*R$689</f>
        <v>5.9966352594651839E-3</v>
      </c>
      <c r="S697" s="645" cm="1">
        <f t="array" ref="S697">_xlfn.XLOOKUP($E691,_xlfn.ANCHORARRAY(Assumptions!$B$635),Assumptions!O$635:O$641)*S$689</f>
        <v>6.1416579761493619E-3</v>
      </c>
      <c r="T697" s="645" cm="1">
        <f t="array" ref="T697">_xlfn.XLOOKUP($E691,_xlfn.ANCHORARRAY(Assumptions!$B$635),Assumptions!P$635:P$641)*T$689</f>
        <v>6.2799020249297028E-3</v>
      </c>
      <c r="U697" s="645" cm="1">
        <f t="array" ref="U697">_xlfn.XLOOKUP($E691,_xlfn.ANCHORARRAY(Assumptions!$B$635),Assumptions!Q$635:Q$641)*U$689</f>
        <v>6.4057549239839376E-3</v>
      </c>
    </row>
    <row r="698" spans="3:23" hidden="1" outlineLevel="1" x14ac:dyDescent="0.3">
      <c r="E698" s="563" t="s">
        <v>438</v>
      </c>
      <c r="F698" s="584"/>
      <c r="G698" s="594"/>
      <c r="H698" s="598">
        <f t="shared" ref="H698:P698" si="2404">(H691-G691)/G691</f>
        <v>4.0652990310379139E-2</v>
      </c>
      <c r="I698" s="598">
        <f t="shared" si="2404"/>
        <v>1.8363974064193752E-3</v>
      </c>
      <c r="J698" s="598">
        <f t="shared" si="2404"/>
        <v>3.7007806582280869E-3</v>
      </c>
      <c r="K698" s="598">
        <f t="shared" si="2404"/>
        <v>3.7694226287416561E-3</v>
      </c>
      <c r="L698" s="598">
        <f t="shared" si="2404"/>
        <v>4.0431845441801903E-4</v>
      </c>
      <c r="M698" s="598">
        <f t="shared" si="2404"/>
        <v>-1.198160213497985E-4</v>
      </c>
      <c r="N698" s="598">
        <f t="shared" si="2404"/>
        <v>-2.3015027357159993E-2</v>
      </c>
      <c r="O698" s="598">
        <f t="shared" si="2404"/>
        <v>-3.7943533290453048E-3</v>
      </c>
      <c r="P698" s="598">
        <f t="shared" si="2404"/>
        <v>-4.0189851106846178E-3</v>
      </c>
      <c r="Q698" s="598">
        <f t="shared" ref="Q698" si="2405">(Q691-P691)/P691</f>
        <v>-3.6992412196907858E-3</v>
      </c>
      <c r="R698" s="598">
        <f t="shared" ref="R698" si="2406">(R691-Q691)/Q691</f>
        <v>-3.6339450022845514E-3</v>
      </c>
      <c r="S698" s="598">
        <f t="shared" ref="S698" si="2407">(S691-R691)/R691</f>
        <v>-3.5616369038963805E-3</v>
      </c>
      <c r="T698" s="598">
        <f t="shared" ref="T698" si="2408">(T691-S691)/S691</f>
        <v>-3.9598966549130987E-3</v>
      </c>
      <c r="U698" s="598">
        <f t="shared" ref="U698" si="2409">(U691-T691)/T691</f>
        <v>-5.213999935340689E-3</v>
      </c>
    </row>
    <row r="699" spans="3:23" hidden="1" outlineLevel="1" x14ac:dyDescent="0.3">
      <c r="E699" s="596" t="str">
        <f>'EE Measures'!$IG$6</f>
        <v>EEO</v>
      </c>
      <c r="F699" s="872">
        <f>SUM(G699:P699)/SUM($G$689:$P$689)-1</f>
        <v>2.1009389239541987E-2</v>
      </c>
      <c r="G699" s="591">
        <f t="shared" ref="G699:U699" si="2410">G$689+G700</f>
        <v>653.09919543081423</v>
      </c>
      <c r="H699" s="591">
        <f t="shared" si="2410"/>
        <v>679.64963069437954</v>
      </c>
      <c r="I699" s="591">
        <f t="shared" si="2410"/>
        <v>680.89773751346058</v>
      </c>
      <c r="J699" s="591">
        <f t="shared" si="2410"/>
        <v>684.07092402401497</v>
      </c>
      <c r="K699" s="591">
        <f t="shared" si="2410"/>
        <v>713.99278049329473</v>
      </c>
      <c r="L699" s="591">
        <f t="shared" si="2410"/>
        <v>709.38919099706004</v>
      </c>
      <c r="M699" s="591">
        <f t="shared" si="2410"/>
        <v>706.69905145907626</v>
      </c>
      <c r="N699" s="591">
        <f t="shared" si="2410"/>
        <v>690.63177622686317</v>
      </c>
      <c r="O699" s="591">
        <f t="shared" si="2410"/>
        <v>688.31914487840982</v>
      </c>
      <c r="P699" s="591">
        <f t="shared" si="2410"/>
        <v>685.70801939113881</v>
      </c>
      <c r="Q699" s="591">
        <f t="shared" si="2410"/>
        <v>684.7117058586183</v>
      </c>
      <c r="R699" s="591">
        <f t="shared" si="2410"/>
        <v>682.73820525980193</v>
      </c>
      <c r="S699" s="591">
        <f t="shared" si="2410"/>
        <v>680.82989648919227</v>
      </c>
      <c r="T699" s="591">
        <f t="shared" si="2410"/>
        <v>678.67679892166871</v>
      </c>
      <c r="U699" s="591">
        <f t="shared" si="2410"/>
        <v>675.72119803529984</v>
      </c>
      <c r="V699" s="569">
        <f>SUM(G699:P699)</f>
        <v>6892.4574511085111</v>
      </c>
      <c r="W699" s="898">
        <f>AVERAGE(G700:P700)</f>
        <v>14.18266305221484</v>
      </c>
    </row>
    <row r="700" spans="3:23" hidden="1" outlineLevel="1" x14ac:dyDescent="0.3">
      <c r="D700" s="554" t="str">
        <f>E699</f>
        <v>EEO</v>
      </c>
      <c r="E700" s="563" t="s">
        <v>439</v>
      </c>
      <c r="F700" s="875">
        <f>AVERAGE(G700:P700)</f>
        <v>14.18266305221484</v>
      </c>
      <c r="G700" s="501">
        <f t="shared" ref="G700" si="2411">G701+G705</f>
        <v>2.599195430814234</v>
      </c>
      <c r="H700" s="501">
        <f t="shared" ref="H700:P700" si="2412">H701+H705</f>
        <v>2.2496306943795443</v>
      </c>
      <c r="I700" s="501">
        <f t="shared" si="2412"/>
        <v>1.6977375134604926</v>
      </c>
      <c r="J700" s="501">
        <f t="shared" si="2412"/>
        <v>0.77092402401505988</v>
      </c>
      <c r="K700" s="501">
        <f t="shared" si="2412"/>
        <v>28.592780493294757</v>
      </c>
      <c r="L700" s="501">
        <f t="shared" si="2412"/>
        <v>23.689190997059999</v>
      </c>
      <c r="M700" s="501">
        <f t="shared" si="2412"/>
        <v>20.999051459076171</v>
      </c>
      <c r="N700" s="501">
        <f t="shared" si="2412"/>
        <v>20.231005746643781</v>
      </c>
      <c r="O700" s="501">
        <f t="shared" si="2412"/>
        <v>20.462086498344721</v>
      </c>
      <c r="P700" s="501">
        <f t="shared" si="2412"/>
        <v>20.535027665059665</v>
      </c>
      <c r="Q700" s="501">
        <f t="shared" ref="Q700:U700" si="2413">Q701+Q705</f>
        <v>21.999137124672991</v>
      </c>
      <c r="R700" s="501">
        <f t="shared" si="2413"/>
        <v>22.43382682690612</v>
      </c>
      <c r="S700" s="501">
        <f t="shared" si="2413"/>
        <v>22.877201968280563</v>
      </c>
      <c r="T700" s="501">
        <f t="shared" si="2413"/>
        <v>23.3294333248712</v>
      </c>
      <c r="U700" s="501">
        <f t="shared" si="2413"/>
        <v>23.790692379929247</v>
      </c>
    </row>
    <row r="701" spans="3:23" hidden="1" outlineLevel="1" x14ac:dyDescent="0.3">
      <c r="E701" s="563" t="s">
        <v>440</v>
      </c>
      <c r="F701" s="875">
        <f>AVERAGE(G701:P701)</f>
        <v>14.159322533855649</v>
      </c>
      <c r="G701" s="586">
        <f>SUMPRODUCT('EE Measures'!FZ$8:FZ$86,'EE Measures'!$IG$8:$IG$86)/1000</f>
        <v>2.599195430814234</v>
      </c>
      <c r="H701" s="586">
        <f>SUMPRODUCT('EE Measures'!GA$8:GA$86,'EE Measures'!$IG$8:$IG$86)/1000</f>
        <v>2.245589767835459</v>
      </c>
      <c r="I701" s="586">
        <f>SUMPRODUCT('EE Measures'!GB$8:GB$86,'EE Measures'!$IG$8:$IG$86)/1000</f>
        <v>1.6914920534597186</v>
      </c>
      <c r="J701" s="586">
        <f>SUMPRODUCT('EE Measures'!GC$8:GC$86,'EE Measures'!$IG$8:$IG$86)/1000</f>
        <v>0.71811941452469141</v>
      </c>
      <c r="K701" s="586">
        <f>SUMPRODUCT('EE Measures'!GD$8:GD$86,'EE Measures'!$IG$8:$IG$86)/1000</f>
        <v>28.450008046529224</v>
      </c>
      <c r="L701" s="586">
        <f>SUMPRODUCT('EE Measures'!GE$8:GE$86,'EE Measures'!$IG$8:$IG$86)/1000</f>
        <v>23.683945547423658</v>
      </c>
      <c r="M701" s="586">
        <f>SUMPRODUCT('EE Measures'!GF$8:GF$86,'EE Measures'!$IG$8:$IG$86)/1000</f>
        <v>20.993641787800161</v>
      </c>
      <c r="N701" s="586">
        <f>SUMPRODUCT('EE Measures'!GG$8:GG$86,'EE Measures'!$IG$8:$IG$86)/1000</f>
        <v>20.225532107758713</v>
      </c>
      <c r="O701" s="586">
        <f>SUMPRODUCT('EE Measures'!GH$8:GH$86,'EE Measures'!$IG$8:$IG$86)/1000</f>
        <v>20.456455035303929</v>
      </c>
      <c r="P701" s="586">
        <f>SUMPRODUCT('EE Measures'!GI$8:GI$86,'EE Measures'!$IG$8:$IG$86)/1000</f>
        <v>20.529246147106704</v>
      </c>
      <c r="Q701" s="586">
        <f>SUMPRODUCT('EE Measures'!GJ$8:GJ$86,'EE Measures'!$IG$8:$IG$86)/1000</f>
        <v>21.993118019718377</v>
      </c>
      <c r="R701" s="586">
        <f>SUMPRODUCT('EE Measures'!GK$8:GK$86,'EE Measures'!$IG$8:$IG$86)/1000</f>
        <v>22.427670283615964</v>
      </c>
      <c r="S701" s="586">
        <f>SUMPRODUCT('EE Measures'!GL$8:GL$86,'EE Measures'!$IG$8:$IG$86)/1000</f>
        <v>22.870911572024095</v>
      </c>
      <c r="T701" s="586">
        <f>SUMPRODUCT('EE Measures'!GM$8:GM$86,'EE Measures'!$IG$8:$IG$86)/1000</f>
        <v>23.323015604809957</v>
      </c>
      <c r="U701" s="586">
        <f>SUMPRODUCT('EE Measures'!GN$8:GN$86,'EE Measures'!$IG$8:$IG$86)/1000</f>
        <v>23.784159574419391</v>
      </c>
    </row>
    <row r="702" spans="3:23" hidden="1" outlineLevel="1" x14ac:dyDescent="0.3">
      <c r="E702" s="1160" t="s">
        <v>50</v>
      </c>
      <c r="F702" s="875">
        <f>AVERAGE(G702:P702)</f>
        <v>0.45594171309513054</v>
      </c>
      <c r="G702" s="1215">
        <f>(SUMPRODUCT('EE Measures'!FZ$8:FZ$86,'EE Measures'!$IG$8:$IG$86,'EE Measures'!$N$8:$N$86)/1000)</f>
        <v>0.69216433964842305</v>
      </c>
      <c r="H702" s="1215">
        <f>(SUMPRODUCT('EE Measures'!GA$8:GA$86,'EE Measures'!$IG$8:$IG$86,'EE Measures'!$N$8:$N$86)/1000)</f>
        <v>3.8153844710674734E-2</v>
      </c>
      <c r="I702" s="1215">
        <f>(SUMPRODUCT('EE Measures'!GB$8:GB$86,'EE Measures'!$IG$8:$IG$86,'EE Measures'!$N$8:$N$86)/1000)</f>
        <v>0</v>
      </c>
      <c r="J702" s="1215">
        <f>(SUMPRODUCT('EE Measures'!GC$8:GC$86,'EE Measures'!$IG$8:$IG$86,'EE Measures'!$N$8:$N$86)/1000)</f>
        <v>0.65333333333333332</v>
      </c>
      <c r="K702" s="1215">
        <f>(SUMPRODUCT('EE Measures'!GD$8:GD$86,'EE Measures'!$IG$8:$IG$86,'EE Measures'!$N$8:$N$86)/1000)</f>
        <v>1.0071966952240878</v>
      </c>
      <c r="L702" s="1215">
        <f>(SUMPRODUCT('EE Measures'!GE$8:GE$86,'EE Measures'!$IG$8:$IG$86,'EE Measures'!$N$8:$N$86)/1000)</f>
        <v>0.87489669522408786</v>
      </c>
      <c r="M702" s="1215">
        <f>(SUMPRODUCT('EE Measures'!GF$8:GF$86,'EE Measures'!$IG$8:$IG$86,'EE Measures'!$N$8:$N$86)/1000)</f>
        <v>0.69341512440201269</v>
      </c>
      <c r="N702" s="1215">
        <f>(SUMPRODUCT('EE Measures'!GG$8:GG$86,'EE Measures'!$IG$8:$IG$86,'EE Measures'!$N$8:$N$86)/1000)</f>
        <v>0.20008569946956209</v>
      </c>
      <c r="O702" s="1215">
        <f>(SUMPRODUCT('EE Measures'!GH$8:GH$86,'EE Measures'!$IG$8:$IG$86,'EE Measures'!$N$8:$N$86)/1000)</f>
        <v>0.20008569946956209</v>
      </c>
      <c r="P702" s="1215">
        <f>(SUMPRODUCT('EE Measures'!GI$8:GI$86,'EE Measures'!$IG$8:$IG$86,'EE Measures'!$N$8:$N$86)/1000)</f>
        <v>0.20008569946956209</v>
      </c>
      <c r="Q702" s="1215">
        <f>(SUMPRODUCT('EE Measures'!GJ$8:GJ$86,'EE Measures'!$IG$8:$IG$86,'EE Measures'!$N$8:$N$86)/1000)</f>
        <v>0.20008569946956209</v>
      </c>
      <c r="R702" s="1215">
        <f>(SUMPRODUCT('EE Measures'!GK$8:GK$86,'EE Measures'!$IG$8:$IG$86,'EE Measures'!$N$8:$N$86)/1000)</f>
        <v>0.20008569946956209</v>
      </c>
      <c r="S702" s="1215">
        <f>(SUMPRODUCT('EE Measures'!GL$8:GL$86,'EE Measures'!$IG$8:$IG$86,'EE Measures'!$N$8:$N$86)/1000)</f>
        <v>0.20008569946956209</v>
      </c>
      <c r="T702" s="1215">
        <f>(SUMPRODUCT('EE Measures'!GM$8:GM$86,'EE Measures'!$IG$8:$IG$86,'EE Measures'!$N$8:$N$86)/1000)</f>
        <v>0.20008569946956209</v>
      </c>
      <c r="U702" s="1215">
        <f>(SUMPRODUCT('EE Measures'!GN$8:GN$86,'EE Measures'!$IG$8:$IG$86,'EE Measures'!$N$8:$N$86)/1000)</f>
        <v>0.20008569946956209</v>
      </c>
    </row>
    <row r="703" spans="3:23" hidden="1" outlineLevel="1" x14ac:dyDescent="0.3">
      <c r="E703" s="1160" t="s">
        <v>441</v>
      </c>
      <c r="F703" s="875">
        <f>AVERAGE(G703:P703)</f>
        <v>12.765086822867298</v>
      </c>
      <c r="G703" s="1215">
        <f>(SUMPRODUCT('EE Measures'!FZ$8:FZ$86,'EE Measures'!$IG$8:$IG$86,'EE Measures'!$O$8:$O$86)+SUMPRODUCT('EE Measures'!FZ$8:FZ$86,'EE Measures'!$IG$8:$IG$86,'EE Measures'!$P$8:$P$86))/1000</f>
        <v>1.9070310911658113</v>
      </c>
      <c r="H703" s="1215">
        <f>(SUMPRODUCT('EE Measures'!GA$8:GA$86,'EE Measures'!$IG$8:$IG$86,'EE Measures'!$O$8:$O$86)+SUMPRODUCT('EE Measures'!GA$8:GA$86,'EE Measures'!$IG$8:$IG$86,'EE Measures'!$P$8:$P$86))/1000</f>
        <v>2.2074359231247844</v>
      </c>
      <c r="I703" s="1215">
        <f>(SUMPRODUCT('EE Measures'!GB$8:GB$86,'EE Measures'!$IG$8:$IG$86,'EE Measures'!$O$8:$O$86)+SUMPRODUCT('EE Measures'!GB$8:GB$86,'EE Measures'!$IG$8:$IG$86,'EE Measures'!$P$8:$P$86))/1000</f>
        <v>1.7000774206877609</v>
      </c>
      <c r="J703" s="1215">
        <f>(SUMPRODUCT('EE Measures'!GC$8:GC$86,'EE Measures'!$IG$8:$IG$86,'EE Measures'!$O$8:$O$86)+SUMPRODUCT('EE Measures'!GC$8:GC$86,'EE Measures'!$IG$8:$IG$86,'EE Measures'!$P$8:$P$86))/1000</f>
        <v>7.4004118041249373E-2</v>
      </c>
      <c r="K703" s="1215">
        <f>(SUMPRODUCT('EE Measures'!GD$8:GD$86,'EE Measures'!$IG$8:$IG$86,'EE Measures'!$O$8:$O$86)+SUMPRODUCT('EE Measures'!GD$8:GD$86,'EE Measures'!$IG$8:$IG$86,'EE Measures'!$P$8:$P$86))/1000</f>
        <v>19.302470638401559</v>
      </c>
      <c r="L703" s="1215">
        <f>(SUMPRODUCT('EE Measures'!GE$8:GE$86,'EE Measures'!$IG$8:$IG$86,'EE Measures'!$O$8:$O$86)+SUMPRODUCT('EE Measures'!GE$8:GE$86,'EE Measures'!$IG$8:$IG$86,'EE Measures'!$P$8:$P$86))/1000</f>
        <v>19.68852005116959</v>
      </c>
      <c r="M703" s="1215">
        <f>(SUMPRODUCT('EE Measures'!GF$8:GF$86,'EE Measures'!$IG$8:$IG$86,'EE Measures'!$O$8:$O$86)+SUMPRODUCT('EE Measures'!GF$8:GF$86,'EE Measures'!$IG$8:$IG$86,'EE Measures'!$P$8:$P$86))/1000</f>
        <v>20.082290452192982</v>
      </c>
      <c r="N703" s="1215">
        <f>(SUMPRODUCT('EE Measures'!GG$8:GG$86,'EE Measures'!$IG$8:$IG$86,'EE Measures'!$O$8:$O$86)+SUMPRODUCT('EE Measures'!GG$8:GG$86,'EE Measures'!$IG$8:$IG$86,'EE Measures'!$P$8:$P$86))/1000</f>
        <v>20.483936261236842</v>
      </c>
      <c r="O703" s="1215">
        <f>(SUMPRODUCT('EE Measures'!GH$8:GH$86,'EE Measures'!$IG$8:$IG$86,'EE Measures'!$O$8:$O$86)+SUMPRODUCT('EE Measures'!GH$8:GH$86,'EE Measures'!$IG$8:$IG$86,'EE Measures'!$P$8:$P$86))/1000</f>
        <v>20.893614986461579</v>
      </c>
      <c r="P703" s="1215">
        <f>(SUMPRODUCT('EE Measures'!GI$8:GI$86,'EE Measures'!$IG$8:$IG$86,'EE Measures'!$O$8:$O$86)+SUMPRODUCT('EE Measures'!GI$8:GI$86,'EE Measures'!$IG$8:$IG$86,'EE Measures'!$P$8:$P$86))/1000</f>
        <v>21.311487286190811</v>
      </c>
      <c r="Q703" s="1215">
        <f>(SUMPRODUCT('EE Measures'!GJ$8:GJ$86,'EE Measures'!$IG$8:$IG$86,'EE Measures'!$O$8:$O$86)+SUMPRODUCT('EE Measures'!GJ$8:GJ$86,'EE Measures'!$IG$8:$IG$86,'EE Measures'!$P$8:$P$86))/1000</f>
        <v>21.737717031914627</v>
      </c>
      <c r="R703" s="1215">
        <f>(SUMPRODUCT('EE Measures'!GK$8:GK$86,'EE Measures'!$IG$8:$IG$86,'EE Measures'!$O$8:$O$86)+SUMPRODUCT('EE Measures'!GK$8:GK$86,'EE Measures'!$IG$8:$IG$86,'EE Measures'!$P$8:$P$86))/1000</f>
        <v>22.172471372552923</v>
      </c>
      <c r="S703" s="1215">
        <f>(SUMPRODUCT('EE Measures'!GL$8:GL$86,'EE Measures'!$IG$8:$IG$86,'EE Measures'!$O$8:$O$86)+SUMPRODUCT('EE Measures'!GL$8:GL$86,'EE Measures'!$IG$8:$IG$86,'EE Measures'!$P$8:$P$86))/1000</f>
        <v>22.61592080000398</v>
      </c>
      <c r="T703" s="1215">
        <f>(SUMPRODUCT('EE Measures'!GM$8:GM$86,'EE Measures'!$IG$8:$IG$86,'EE Measures'!$O$8:$O$86)+SUMPRODUCT('EE Measures'!GM$8:GM$86,'EE Measures'!$IG$8:$IG$86,'EE Measures'!$P$8:$P$86))/1000</f>
        <v>23.068239216004063</v>
      </c>
      <c r="U703" s="1215">
        <f>(SUMPRODUCT('EE Measures'!GN$8:GN$86,'EE Measures'!$IG$8:$IG$86,'EE Measures'!$O$8:$O$86)+SUMPRODUCT('EE Measures'!GN$8:GN$86,'EE Measures'!$IG$8:$IG$86,'EE Measures'!$P$8:$P$86))/1000</f>
        <v>23.529604000324142</v>
      </c>
    </row>
    <row r="704" spans="3:23" hidden="1" outlineLevel="1" x14ac:dyDescent="0.3">
      <c r="E704" s="1160" t="s">
        <v>53</v>
      </c>
      <c r="F704" s="875">
        <f t="shared" ref="F704:F705" si="2414">AVERAGE(G704:P704)</f>
        <v>0.93829399789322188</v>
      </c>
      <c r="G704" s="1215">
        <f>(SUMPRODUCT('EE Measures'!FZ$8:FZ$86,'EE Measures'!$IG$8:$IG$86,'EE Measures'!$Q$8:$Q$86)/1000)</f>
        <v>0</v>
      </c>
      <c r="H704" s="1215">
        <f>(SUMPRODUCT('EE Measures'!GA$8:GA$86,'EE Measures'!$IG$8:$IG$86,'EE Measures'!$Q$8:$Q$86)/1000)</f>
        <v>0</v>
      </c>
      <c r="I704" s="1215">
        <f>(SUMPRODUCT('EE Measures'!GB$8:GB$86,'EE Measures'!$IG$8:$IG$86,'EE Measures'!$Q$8:$Q$86)/1000)</f>
        <v>-8.5853672280423055E-3</v>
      </c>
      <c r="J704" s="1215">
        <f>(SUMPRODUCT('EE Measures'!GC$8:GC$86,'EE Measures'!$IG$8:$IG$86,'EE Measures'!$Q$8:$Q$86)/1000)</f>
        <v>-9.2180368498913645E-3</v>
      </c>
      <c r="K704" s="1215">
        <f>(SUMPRODUCT('EE Measures'!GD$8:GD$86,'EE Measures'!$IG$8:$IG$86,'EE Measures'!$Q$8:$Q$86)/1000)</f>
        <v>8.1403407129035763</v>
      </c>
      <c r="L704" s="1215">
        <f>(SUMPRODUCT('EE Measures'!GE$8:GE$86,'EE Measures'!$IG$8:$IG$86,'EE Measures'!$Q$8:$Q$86)/1000)</f>
        <v>3.1205288010299803</v>
      </c>
      <c r="M704" s="1215">
        <f>(SUMPRODUCT('EE Measures'!GF$8:GF$86,'EE Measures'!$IG$8:$IG$86,'EE Measures'!$Q$8:$Q$86)/1000)</f>
        <v>0.21793621120516843</v>
      </c>
      <c r="N704" s="1215">
        <f>(SUMPRODUCT('EE Measures'!GG$8:GG$86,'EE Measures'!$IG$8:$IG$86,'EE Measures'!$Q$8:$Q$86)/1000)</f>
        <v>-0.45848985294768874</v>
      </c>
      <c r="O704" s="1215">
        <f>(SUMPRODUCT('EE Measures'!GH$8:GH$86,'EE Measures'!$IG$8:$IG$86,'EE Measures'!$Q$8:$Q$86)/1000)</f>
        <v>-0.63724565062721406</v>
      </c>
      <c r="P704" s="1215">
        <f>(SUMPRODUCT('EE Measures'!GI$8:GI$86,'EE Measures'!$IG$8:$IG$86,'EE Measures'!$Q$8:$Q$86)/1000)</f>
        <v>-0.98232683855366854</v>
      </c>
      <c r="Q704" s="1215">
        <f>(SUMPRODUCT('EE Measures'!GJ$8:GJ$86,'EE Measures'!$IG$8:$IG$86,'EE Measures'!$Q$8:$Q$86)/1000)</f>
        <v>5.5315288334191769E-2</v>
      </c>
      <c r="R704" s="1215">
        <f>(SUMPRODUCT('EE Measures'!GK$8:GK$86,'EE Measures'!$IG$8:$IG$86,'EE Measures'!$Q$8:$Q$86)/1000)</f>
        <v>5.5113211593482751E-2</v>
      </c>
      <c r="S704" s="1215">
        <f>(SUMPRODUCT('EE Measures'!GL$8:GL$86,'EE Measures'!$IG$8:$IG$86,'EE Measures'!$Q$8:$Q$86)/1000)</f>
        <v>5.4905072550552478E-2</v>
      </c>
      <c r="T704" s="1215">
        <f>(SUMPRODUCT('EE Measures'!GM$8:GM$86,'EE Measures'!$IG$8:$IG$86,'EE Measures'!$Q$8:$Q$86)/1000)</f>
        <v>5.4690689336334281E-2</v>
      </c>
      <c r="U704" s="1215">
        <f>(SUMPRODUCT('EE Measures'!GN$8:GN$86,'EE Measures'!$IG$8:$IG$86,'EE Measures'!$Q$8:$Q$86)/1000)</f>
        <v>5.446987462568955E-2</v>
      </c>
    </row>
    <row r="705" spans="4:23" hidden="1" outlineLevel="1" x14ac:dyDescent="0.3">
      <c r="E705" s="563" t="s">
        <v>202</v>
      </c>
      <c r="F705" s="875">
        <f t="shared" si="2414"/>
        <v>2.3340518359193416E-2</v>
      </c>
      <c r="G705" s="645" cm="1">
        <f t="array" ref="G705">_xlfn.XLOOKUP($E699,_xlfn.ANCHORARRAY(Assumptions!$B$635),Assumptions!C$635:C$641)*G$689</f>
        <v>0</v>
      </c>
      <c r="H705" s="645" cm="1">
        <f t="array" ref="H705">_xlfn.XLOOKUP($E699,_xlfn.ANCHORARRAY(Assumptions!$B$635),Assumptions!D$635:D$641)*H$689</f>
        <v>4.0409265440850932E-3</v>
      </c>
      <c r="I705" s="645" cm="1">
        <f t="array" ref="I705">_xlfn.XLOOKUP($E699,_xlfn.ANCHORARRAY(Assumptions!$B$635),Assumptions!E$635:E$641)*I$689</f>
        <v>6.245460000773995E-3</v>
      </c>
      <c r="J705" s="645" cm="1">
        <f t="array" ref="J705">_xlfn.XLOOKUP($E699,_xlfn.ANCHORARRAY(Assumptions!$B$635),Assumptions!F$635:F$641)*J$689</f>
        <v>5.2804609490368477E-2</v>
      </c>
      <c r="K705" s="645" cm="1">
        <f t="array" ref="K705">_xlfn.XLOOKUP($E699,_xlfn.ANCHORARRAY(Assumptions!$B$635),Assumptions!G$635:G$641)*K$689</f>
        <v>0.14277244676553491</v>
      </c>
      <c r="L705" s="645" cm="1">
        <f t="array" ref="L705">_xlfn.XLOOKUP($E699,_xlfn.ANCHORARRAY(Assumptions!$B$635),Assumptions!H$635:H$641)*L$689</f>
        <v>5.2454496363425369E-3</v>
      </c>
      <c r="M705" s="645" cm="1">
        <f t="array" ref="M705">_xlfn.XLOOKUP($E699,_xlfn.ANCHORARRAY(Assumptions!$B$635),Assumptions!I$635:I$641)*M$689</f>
        <v>5.4096712760085975E-3</v>
      </c>
      <c r="N705" s="645" cm="1">
        <f t="array" ref="N705">_xlfn.XLOOKUP($E699,_xlfn.ANCHORARRAY(Assumptions!$B$635),Assumptions!J$635:J$641)*N$689</f>
        <v>5.4736388850689299E-3</v>
      </c>
      <c r="O705" s="645" cm="1">
        <f t="array" ref="O705">_xlfn.XLOOKUP($E699,_xlfn.ANCHORARRAY(Assumptions!$B$635),Assumptions!K$635:K$641)*O$689</f>
        <v>5.6314630407920631E-3</v>
      </c>
      <c r="P705" s="645" cm="1">
        <f t="array" ref="P705">_xlfn.XLOOKUP($E699,_xlfn.ANCHORARRAY(Assumptions!$B$635),Assumptions!L$635:L$641)*P$689</f>
        <v>5.7815179529595254E-3</v>
      </c>
      <c r="Q705" s="645" cm="1">
        <f t="array" ref="Q705">_xlfn.XLOOKUP($E699,_xlfn.ANCHORARRAY(Assumptions!$B$635),Assumptions!M$635:M$641)*Q$689</f>
        <v>6.0191049546153945E-3</v>
      </c>
      <c r="R705" s="645" cm="1">
        <f t="array" ref="R705">_xlfn.XLOOKUP($E699,_xlfn.ANCHORARRAY(Assumptions!$B$635),Assumptions!N$635:N$641)*R$689</f>
        <v>6.1565432901555849E-3</v>
      </c>
      <c r="S705" s="645" cm="1">
        <f t="array" ref="S705">_xlfn.XLOOKUP($E699,_xlfn.ANCHORARRAY(Assumptions!$B$635),Assumptions!O$635:O$641)*S$689</f>
        <v>6.2903962564689782E-3</v>
      </c>
      <c r="T705" s="645" cm="1">
        <f t="array" ref="T705">_xlfn.XLOOKUP($E699,_xlfn.ANCHORARRAY(Assumptions!$B$635),Assumptions!P$635:P$641)*T$689</f>
        <v>6.4177200612433411E-3</v>
      </c>
      <c r="U705" s="645" cm="1">
        <f t="array" ref="U705">_xlfn.XLOOKUP($E699,_xlfn.ANCHORARRAY(Assumptions!$B$635),Assumptions!Q$635:Q$641)*U$689</f>
        <v>6.5328055098557627E-3</v>
      </c>
    </row>
    <row r="706" spans="4:23" hidden="1" outlineLevel="1" x14ac:dyDescent="0.3">
      <c r="E706" s="563" t="s">
        <v>438</v>
      </c>
      <c r="F706" s="584"/>
      <c r="G706" s="594"/>
      <c r="H706" s="598">
        <f>(H699-G699)/G699</f>
        <v>4.0652990310379139E-2</v>
      </c>
      <c r="I706" s="598">
        <f>(I699-H699)/H699</f>
        <v>1.8363974064193752E-3</v>
      </c>
      <c r="J706" s="598">
        <f t="shared" ref="J706:P706" si="2415">(J699-I699)/I699</f>
        <v>4.6602982147398563E-3</v>
      </c>
      <c r="K706" s="598">
        <f t="shared" si="2415"/>
        <v>4.3740868700084271E-2</v>
      </c>
      <c r="L706" s="598">
        <f t="shared" si="2415"/>
        <v>-6.4476695311317979E-3</v>
      </c>
      <c r="M706" s="598">
        <f t="shared" si="2415"/>
        <v>-3.7921913275880898E-3</v>
      </c>
      <c r="N706" s="598">
        <f t="shared" si="2415"/>
        <v>-2.2735668314595892E-2</v>
      </c>
      <c r="O706" s="598">
        <f t="shared" si="2415"/>
        <v>-3.3485736220942187E-3</v>
      </c>
      <c r="P706" s="598">
        <f t="shared" si="2415"/>
        <v>-3.7934808390841148E-3</v>
      </c>
      <c r="Q706" s="598">
        <f t="shared" ref="Q706" si="2416">(Q699-P699)/P699</f>
        <v>-1.452970512733919E-3</v>
      </c>
      <c r="R706" s="598">
        <f t="shared" ref="R706" si="2417">(R699-Q699)/Q699</f>
        <v>-2.8822358109704457E-3</v>
      </c>
      <c r="S706" s="598">
        <f t="shared" ref="S706" si="2418">(S699-R699)/R699</f>
        <v>-2.7950812711345155E-3</v>
      </c>
      <c r="T706" s="598">
        <f t="shared" ref="T706" si="2419">(T699-S699)/S699</f>
        <v>-3.1624603717115684E-3</v>
      </c>
      <c r="U706" s="598">
        <f t="shared" ref="U706" si="2420">(U699-T699)/T699</f>
        <v>-4.3549461114111235E-3</v>
      </c>
    </row>
    <row r="707" spans="4:23" hidden="1" outlineLevel="1" x14ac:dyDescent="0.3">
      <c r="E707" s="608" t="s">
        <v>36</v>
      </c>
      <c r="F707" s="872">
        <f>SUM(G707:P707)/SUM($G$689:$P$689)-1</f>
        <v>2.0460233294000929E-2</v>
      </c>
      <c r="G707" s="591">
        <f t="shared" ref="G707:U707" si="2421">G$689+G708</f>
        <v>653.09919543081423</v>
      </c>
      <c r="H707" s="591">
        <f t="shared" si="2421"/>
        <v>679.64963069437954</v>
      </c>
      <c r="I707" s="591">
        <f t="shared" si="2421"/>
        <v>680.89773751346058</v>
      </c>
      <c r="J707" s="591">
        <f t="shared" si="2421"/>
        <v>684.07092402401497</v>
      </c>
      <c r="K707" s="591">
        <f t="shared" si="2421"/>
        <v>713.00905900441387</v>
      </c>
      <c r="L707" s="591">
        <f t="shared" si="2421"/>
        <v>708.59059629159594</v>
      </c>
      <c r="M707" s="591">
        <f t="shared" si="2421"/>
        <v>706.00008440258694</v>
      </c>
      <c r="N707" s="591">
        <f t="shared" si="2421"/>
        <v>690.06774930906374</v>
      </c>
      <c r="O707" s="591">
        <f t="shared" si="2421"/>
        <v>687.92687331933939</v>
      </c>
      <c r="P707" s="591">
        <f t="shared" si="2421"/>
        <v>685.43845206756464</v>
      </c>
      <c r="Q707" s="591">
        <f t="shared" si="2421"/>
        <v>684.43387416082658</v>
      </c>
      <c r="R707" s="591">
        <f t="shared" si="2421"/>
        <v>682.45208238633973</v>
      </c>
      <c r="S707" s="591">
        <f t="shared" si="2421"/>
        <v>680.53523298567654</v>
      </c>
      <c r="T707" s="591">
        <f t="shared" si="2421"/>
        <v>678.37333782177166</v>
      </c>
      <c r="U707" s="591">
        <f t="shared" si="2421"/>
        <v>675.40880455811362</v>
      </c>
      <c r="V707" s="569">
        <f>SUM(G707:P707)</f>
        <v>6888.750302057234</v>
      </c>
      <c r="W707" s="898">
        <f>AVERAGE(G708:P708)</f>
        <v>13.811948147087014</v>
      </c>
    </row>
    <row r="708" spans="4:23" hidden="1" outlineLevel="1" x14ac:dyDescent="0.3">
      <c r="D708" s="554" t="str">
        <f>E707</f>
        <v>VA</v>
      </c>
      <c r="E708" s="563" t="s">
        <v>439</v>
      </c>
      <c r="F708" s="875">
        <f>AVERAGE(G708:P708)</f>
        <v>13.811948147087014</v>
      </c>
      <c r="G708" s="501">
        <f t="shared" ref="G708" si="2422">G709+G713</f>
        <v>2.599195430814234</v>
      </c>
      <c r="H708" s="501">
        <f t="shared" ref="H708:P708" si="2423">H709+H713</f>
        <v>2.2496306943795443</v>
      </c>
      <c r="I708" s="501">
        <f t="shared" si="2423"/>
        <v>1.6977375134604926</v>
      </c>
      <c r="J708" s="501">
        <f t="shared" si="2423"/>
        <v>0.77092402401505988</v>
      </c>
      <c r="K708" s="501">
        <f t="shared" si="2423"/>
        <v>27.609059004413933</v>
      </c>
      <c r="L708" s="501">
        <f t="shared" si="2423"/>
        <v>22.890596291595845</v>
      </c>
      <c r="M708" s="501">
        <f t="shared" si="2423"/>
        <v>20.300084402586872</v>
      </c>
      <c r="N708" s="501">
        <f t="shared" si="2423"/>
        <v>19.666978828844329</v>
      </c>
      <c r="O708" s="501">
        <f t="shared" si="2423"/>
        <v>20.069814939274305</v>
      </c>
      <c r="P708" s="501">
        <f t="shared" si="2423"/>
        <v>20.265460341485507</v>
      </c>
      <c r="Q708" s="501">
        <f t="shared" ref="Q708:U708" si="2424">Q709+Q713</f>
        <v>21.721305426881241</v>
      </c>
      <c r="R708" s="501">
        <f t="shared" si="2424"/>
        <v>22.147703953443941</v>
      </c>
      <c r="S708" s="501">
        <f t="shared" si="2424"/>
        <v>22.58253846476482</v>
      </c>
      <c r="T708" s="501">
        <f t="shared" si="2424"/>
        <v>23.025972224974076</v>
      </c>
      <c r="U708" s="501">
        <f t="shared" si="2424"/>
        <v>23.478298902743038</v>
      </c>
    </row>
    <row r="709" spans="4:23" hidden="1" outlineLevel="1" x14ac:dyDescent="0.3">
      <c r="E709" s="563" t="s">
        <v>440</v>
      </c>
      <c r="F709" s="875">
        <f>AVERAGE(G709:P709)</f>
        <v>13.800090856385712</v>
      </c>
      <c r="G709" s="586">
        <f>SUMPRODUCT('EE Measures'!FZ$8:FZ$86,'EE Measures'!$IH$8:$IH$86)/1000</f>
        <v>2.599195430814234</v>
      </c>
      <c r="H709" s="586">
        <f>SUMPRODUCT('EE Measures'!GA$8:GA$86,'EE Measures'!$IH$8:$IH$86)/1000</f>
        <v>2.245589767835459</v>
      </c>
      <c r="I709" s="586">
        <f>SUMPRODUCT('EE Measures'!GB$8:GB$86,'EE Measures'!$IH$8:$IH$86)/1000</f>
        <v>1.6914920534597186</v>
      </c>
      <c r="J709" s="586">
        <f>SUMPRODUCT('EE Measures'!GC$8:GC$86,'EE Measures'!$IH$8:$IH$86)/1000</f>
        <v>0.71811941452469141</v>
      </c>
      <c r="K709" s="586">
        <f>SUMPRODUCT('EE Measures'!GD$8:GD$86,'EE Measures'!$IH$8:$IH$86)/1000</f>
        <v>27.581314649499479</v>
      </c>
      <c r="L709" s="586">
        <f>SUMPRODUCT('EE Measures'!GE$8:GE$86,'EE Measures'!$IH$8:$IH$86)/1000</f>
        <v>22.885329161627837</v>
      </c>
      <c r="M709" s="586">
        <f>SUMPRODUCT('EE Measures'!GF$8:GF$86,'EE Measures'!$IH$8:$IH$86)/1000</f>
        <v>20.294653377843492</v>
      </c>
      <c r="N709" s="586">
        <f>SUMPRODUCT('EE Measures'!GG$8:GG$86,'EE Measures'!$IH$8:$IH$86)/1000</f>
        <v>19.661468766458537</v>
      </c>
      <c r="O709" s="586">
        <f>SUMPRODUCT('EE Measures'!GH$8:GH$86,'EE Measures'!$IH$8:$IH$86)/1000</f>
        <v>20.064132309023748</v>
      </c>
      <c r="P709" s="586">
        <f>SUMPRODUCT('EE Measures'!GI$8:GI$86,'EE Measures'!$IH$8:$IH$86)/1000</f>
        <v>20.259613632769916</v>
      </c>
      <c r="Q709" s="586">
        <f>SUMPRODUCT('EE Measures'!GJ$8:GJ$86,'EE Measures'!$IH$8:$IH$86)/1000</f>
        <v>21.715457716411606</v>
      </c>
      <c r="R709" s="586">
        <f>SUMPRODUCT('EE Measures'!GK$8:GK$86,'EE Measures'!$IH$8:$IH$86)/1000</f>
        <v>22.141707318184476</v>
      </c>
      <c r="S709" s="586">
        <f>SUMPRODUCT('EE Measures'!GL$8:GL$86,'EE Measures'!$IH$8:$IH$86)/1000</f>
        <v>22.576396806788672</v>
      </c>
      <c r="T709" s="586">
        <f>SUMPRODUCT('EE Measures'!GM$8:GM$86,'EE Measures'!$IH$8:$IH$86)/1000</f>
        <v>23.019692322949147</v>
      </c>
      <c r="U709" s="586">
        <f>SUMPRODUCT('EE Measures'!GN$8:GN$86,'EE Measures'!$IH$8:$IH$86)/1000</f>
        <v>23.471893147819053</v>
      </c>
    </row>
    <row r="710" spans="4:23" hidden="1" outlineLevel="1" x14ac:dyDescent="0.3">
      <c r="E710" s="1160" t="s">
        <v>50</v>
      </c>
      <c r="F710" s="875">
        <f>AVERAGE(G710:P710)</f>
        <v>0.62738555341390279</v>
      </c>
      <c r="G710" s="1215">
        <f>(SUMPRODUCT('EE Measures'!FZ$8:FZ$86,'EE Measures'!$IH$8:$IH$86,'EE Measures'!$N$8:$N$86)/1000)</f>
        <v>0.69216433964842305</v>
      </c>
      <c r="H710" s="1215">
        <f>(SUMPRODUCT('EE Measures'!GA$8:GA$86,'EE Measures'!$IH$8:$IH$86,'EE Measures'!$N$8:$N$86)/1000)</f>
        <v>3.8153844710674734E-2</v>
      </c>
      <c r="I710" s="1215">
        <f>(SUMPRODUCT('EE Measures'!GB$8:GB$86,'EE Measures'!$IH$8:$IH$86,'EE Measures'!$N$8:$N$86)/1000)</f>
        <v>0</v>
      </c>
      <c r="J710" s="1215">
        <f>(SUMPRODUCT('EE Measures'!GC$8:GC$86,'EE Measures'!$IH$8:$IH$86,'EE Measures'!$N$8:$N$86)/1000)</f>
        <v>0.65333333333333332</v>
      </c>
      <c r="K710" s="1215">
        <f>(SUMPRODUCT('EE Measures'!GD$8:GD$86,'EE Measures'!$IH$8:$IH$86,'EE Measures'!$N$8:$N$86)/1000)</f>
        <v>0.97976097363293913</v>
      </c>
      <c r="L710" s="1215">
        <f>(SUMPRODUCT('EE Measures'!GE$8:GE$86,'EE Measures'!$IH$8:$IH$86,'EE Measures'!$N$8:$N$86)/1000)</f>
        <v>0.93436313837563389</v>
      </c>
      <c r="M710" s="1215">
        <f>(SUMPRODUCT('EE Measures'!GF$8:GF$86,'EE Measures'!$IH$8:$IH$86,'EE Measures'!$N$8:$N$86)/1000)</f>
        <v>0.86967119997166087</v>
      </c>
      <c r="N710" s="1215">
        <f>(SUMPRODUCT('EE Measures'!GG$8:GG$86,'EE Measures'!$IH$8:$IH$86,'EE Measures'!$N$8:$N$86)/1000)</f>
        <v>0.52877173340622319</v>
      </c>
      <c r="O710" s="1215">
        <f>(SUMPRODUCT('EE Measures'!GH$8:GH$86,'EE Measures'!$IH$8:$IH$86,'EE Measures'!$N$8:$N$86)/1000)</f>
        <v>0.71836733593096169</v>
      </c>
      <c r="P710" s="1215">
        <f>(SUMPRODUCT('EE Measures'!GI$8:GI$86,'EE Measures'!$IH$8:$IH$86,'EE Measures'!$N$8:$N$86)/1000)</f>
        <v>0.85926963512917809</v>
      </c>
      <c r="Q710" s="1215">
        <f>(SUMPRODUCT('EE Measures'!GJ$8:GJ$86,'EE Measures'!$IH$8:$IH$86,'EE Measures'!$N$8:$N$86)/1000)</f>
        <v>0.86981817515912885</v>
      </c>
      <c r="R710" s="1215">
        <f>(SUMPRODUCT('EE Measures'!GK$8:GK$86,'EE Measures'!$IH$8:$IH$86,'EE Measures'!$N$8:$N$86)/1000)</f>
        <v>0.88046336861433894</v>
      </c>
      <c r="S710" s="1215">
        <f>(SUMPRODUCT('EE Measures'!GL$8:GL$86,'EE Measures'!$IH$8:$IH$86,'EE Measures'!$N$8:$N$86)/1000)</f>
        <v>0.89123838150192969</v>
      </c>
      <c r="T710" s="1215">
        <f>(SUMPRODUCT('EE Measures'!GM$8:GM$86,'EE Measures'!$IH$8:$IH$86,'EE Measures'!$N$8:$N$86)/1000)</f>
        <v>0.90214321382190132</v>
      </c>
      <c r="U710" s="1215">
        <f>(SUMPRODUCT('EE Measures'!GN$8:GN$86,'EE Measures'!$IH$8:$IH$86,'EE Measures'!$N$8:$N$86)/1000)</f>
        <v>0.91330768500663373</v>
      </c>
    </row>
    <row r="711" spans="4:23" hidden="1" outlineLevel="1" x14ac:dyDescent="0.3">
      <c r="E711" s="1160" t="s">
        <v>441</v>
      </c>
      <c r="F711" s="875">
        <f>AVERAGE(G711:P711)</f>
        <v>12.234411305078588</v>
      </c>
      <c r="G711" s="1215">
        <f>(SUMPRODUCT('EE Measures'!FZ$8:FZ$86,'EE Measures'!$IH$8:$IH$86,'EE Measures'!$O$8:$O$86)+SUMPRODUCT('EE Measures'!FZ$8:FZ$86,'EE Measures'!$IH$8:$IH$86,'EE Measures'!$P$8:$P$86))/1000</f>
        <v>1.9070310911658113</v>
      </c>
      <c r="H711" s="1215">
        <f>(SUMPRODUCT('EE Measures'!GA$8:GA$86,'EE Measures'!$IH$8:$IH$86,'EE Measures'!$O$8:$O$86)+SUMPRODUCT('EE Measures'!GA$8:GA$86,'EE Measures'!$IH$8:$IH$86,'EE Measures'!$P$8:$P$86))/1000</f>
        <v>2.2074359231247844</v>
      </c>
      <c r="I711" s="1215">
        <f>(SUMPRODUCT('EE Measures'!GB$8:GB$86,'EE Measures'!$IH$8:$IH$86,'EE Measures'!$O$8:$O$86)+SUMPRODUCT('EE Measures'!GB$8:GB$86,'EE Measures'!$IH$8:$IH$86,'EE Measures'!$P$8:$P$86))/1000</f>
        <v>1.7000774206877609</v>
      </c>
      <c r="J711" s="1215">
        <f>(SUMPRODUCT('EE Measures'!GC$8:GC$86,'EE Measures'!$IH$8:$IH$86,'EE Measures'!$O$8:$O$86)+SUMPRODUCT('EE Measures'!GC$8:GC$86,'EE Measures'!$IH$8:$IH$86,'EE Measures'!$P$8:$P$86))/1000</f>
        <v>7.4004118041249373E-2</v>
      </c>
      <c r="K711" s="1215">
        <f>(SUMPRODUCT('EE Measures'!GD$8:GD$86,'EE Measures'!$IH$8:$IH$86,'EE Measures'!$O$8:$O$86)+SUMPRODUCT('EE Measures'!GD$8:GD$86,'EE Measures'!$IH$8:$IH$86,'EE Measures'!$P$8:$P$86))/1000</f>
        <v>18.461212962962964</v>
      </c>
      <c r="L711" s="1215">
        <f>(SUMPRODUCT('EE Measures'!GE$8:GE$86,'EE Measures'!$IH$8:$IH$86,'EE Measures'!$O$8:$O$86)+SUMPRODUCT('EE Measures'!GE$8:GE$86,'EE Measures'!$IH$8:$IH$86,'EE Measures'!$P$8:$P$86))/1000</f>
        <v>18.830437222222226</v>
      </c>
      <c r="M711" s="1215">
        <f>(SUMPRODUCT('EE Measures'!GF$8:GF$86,'EE Measures'!$IH$8:$IH$86,'EE Measures'!$O$8:$O$86)+SUMPRODUCT('EE Measures'!GF$8:GF$86,'EE Measures'!$IH$8:$IH$86,'EE Measures'!$P$8:$P$86))/1000</f>
        <v>19.207045966666673</v>
      </c>
      <c r="N711" s="1215">
        <f>(SUMPRODUCT('EE Measures'!GG$8:GG$86,'EE Measures'!$IH$8:$IH$86,'EE Measures'!$O$8:$O$86)+SUMPRODUCT('EE Measures'!GG$8:GG$86,'EE Measures'!$IH$8:$IH$86,'EE Measures'!$P$8:$P$86))/1000</f>
        <v>19.591186886000003</v>
      </c>
      <c r="O711" s="1215">
        <f>(SUMPRODUCT('EE Measures'!GH$8:GH$86,'EE Measures'!$IH$8:$IH$86,'EE Measures'!$O$8:$O$86)+SUMPRODUCT('EE Measures'!GH$8:GH$86,'EE Measures'!$IH$8:$IH$86,'EE Measures'!$P$8:$P$86))/1000</f>
        <v>19.983010623720002</v>
      </c>
      <c r="P711" s="1215">
        <f>(SUMPRODUCT('EE Measures'!GI$8:GI$86,'EE Measures'!$IH$8:$IH$86,'EE Measures'!$O$8:$O$86)+SUMPRODUCT('EE Measures'!GI$8:GI$86,'EE Measures'!$IH$8:$IH$86,'EE Measures'!$P$8:$P$86))/1000</f>
        <v>20.382670836194404</v>
      </c>
      <c r="Q711" s="1215">
        <f>(SUMPRODUCT('EE Measures'!GJ$8:GJ$86,'EE Measures'!$IH$8:$IH$86,'EE Measures'!$O$8:$O$86)+SUMPRODUCT('EE Measures'!GJ$8:GJ$86,'EE Measures'!$IH$8:$IH$86,'EE Measures'!$P$8:$P$86))/1000</f>
        <v>20.790324252918289</v>
      </c>
      <c r="R711" s="1215">
        <f>(SUMPRODUCT('EE Measures'!GK$8:GK$86,'EE Measures'!$IH$8:$IH$86,'EE Measures'!$O$8:$O$86)+SUMPRODUCT('EE Measures'!GK$8:GK$86,'EE Measures'!$IH$8:$IH$86,'EE Measures'!$P$8:$P$86))/1000</f>
        <v>21.206130737976657</v>
      </c>
      <c r="S711" s="1215">
        <f>(SUMPRODUCT('EE Measures'!GL$8:GL$86,'EE Measures'!$IH$8:$IH$86,'EE Measures'!$O$8:$O$86)+SUMPRODUCT('EE Measures'!GL$8:GL$86,'EE Measures'!$IH$8:$IH$86,'EE Measures'!$P$8:$P$86))/1000</f>
        <v>21.630253352736187</v>
      </c>
      <c r="T711" s="1215">
        <f>(SUMPRODUCT('EE Measures'!GM$8:GM$86,'EE Measures'!$IH$8:$IH$86,'EE Measures'!$O$8:$O$86)+SUMPRODUCT('EE Measures'!GM$8:GM$86,'EE Measures'!$IH$8:$IH$86,'EE Measures'!$P$8:$P$86))/1000</f>
        <v>22.062858419790913</v>
      </c>
      <c r="U711" s="1215">
        <f>(SUMPRODUCT('EE Measures'!GN$8:GN$86,'EE Measures'!$IH$8:$IH$86,'EE Measures'!$O$8:$O$86)+SUMPRODUCT('EE Measures'!GN$8:GN$86,'EE Measures'!$IH$8:$IH$86,'EE Measures'!$P$8:$P$86))/1000</f>
        <v>22.504115588186732</v>
      </c>
    </row>
    <row r="712" spans="4:23" hidden="1" outlineLevel="1" x14ac:dyDescent="0.3">
      <c r="E712" s="1160" t="s">
        <v>53</v>
      </c>
      <c r="F712" s="875">
        <f t="shared" ref="F712:F713" si="2425">AVERAGE(G712:P712)</f>
        <v>0.93829399789322188</v>
      </c>
      <c r="G712" s="1215">
        <f>(SUMPRODUCT('EE Measures'!FZ$8:FZ$86,'EE Measures'!$IH$8:$IH$86,'EE Measures'!$Q$8:$Q$86)/1000)</f>
        <v>0</v>
      </c>
      <c r="H712" s="1215">
        <f>(SUMPRODUCT('EE Measures'!GA$8:GA$86,'EE Measures'!$IH$8:$IH$86,'EE Measures'!$Q$8:$Q$86)/1000)</f>
        <v>0</v>
      </c>
      <c r="I712" s="1215">
        <f>(SUMPRODUCT('EE Measures'!GB$8:GB$86,'EE Measures'!$IH$8:$IH$86,'EE Measures'!$Q$8:$Q$86)/1000)</f>
        <v>-8.5853672280423055E-3</v>
      </c>
      <c r="J712" s="1215">
        <f>(SUMPRODUCT('EE Measures'!GC$8:GC$86,'EE Measures'!$IH$8:$IH$86,'EE Measures'!$Q$8:$Q$86)/1000)</f>
        <v>-9.2180368498913645E-3</v>
      </c>
      <c r="K712" s="1215">
        <f>(SUMPRODUCT('EE Measures'!GD$8:GD$86,'EE Measures'!$IH$8:$IH$86,'EE Measures'!$Q$8:$Q$86)/1000)</f>
        <v>8.1403407129035763</v>
      </c>
      <c r="L712" s="1215">
        <f>(SUMPRODUCT('EE Measures'!GE$8:GE$86,'EE Measures'!$IH$8:$IH$86,'EE Measures'!$Q$8:$Q$86)/1000)</f>
        <v>3.1205288010299803</v>
      </c>
      <c r="M712" s="1215">
        <f>(SUMPRODUCT('EE Measures'!GF$8:GF$86,'EE Measures'!$IH$8:$IH$86,'EE Measures'!$Q$8:$Q$86)/1000)</f>
        <v>0.21793621120516843</v>
      </c>
      <c r="N712" s="1215">
        <f>(SUMPRODUCT('EE Measures'!GG$8:GG$86,'EE Measures'!$IH$8:$IH$86,'EE Measures'!$Q$8:$Q$86)/1000)</f>
        <v>-0.45848985294768874</v>
      </c>
      <c r="O712" s="1215">
        <f>(SUMPRODUCT('EE Measures'!GH$8:GH$86,'EE Measures'!$IH$8:$IH$86,'EE Measures'!$Q$8:$Q$86)/1000)</f>
        <v>-0.63724565062721406</v>
      </c>
      <c r="P712" s="1215">
        <f>(SUMPRODUCT('EE Measures'!GI$8:GI$86,'EE Measures'!$IH$8:$IH$86,'EE Measures'!$Q$8:$Q$86)/1000)</f>
        <v>-0.98232683855366854</v>
      </c>
      <c r="Q712" s="1215">
        <f>(SUMPRODUCT('EE Measures'!GJ$8:GJ$86,'EE Measures'!$IH$8:$IH$86,'EE Measures'!$Q$8:$Q$86)/1000)</f>
        <v>5.5315288334191769E-2</v>
      </c>
      <c r="R712" s="1215">
        <f>(SUMPRODUCT('EE Measures'!GK$8:GK$86,'EE Measures'!$IH$8:$IH$86,'EE Measures'!$Q$8:$Q$86)/1000)</f>
        <v>5.5113211593482751E-2</v>
      </c>
      <c r="S712" s="1215">
        <f>(SUMPRODUCT('EE Measures'!GL$8:GL$86,'EE Measures'!$IH$8:$IH$86,'EE Measures'!$Q$8:$Q$86)/1000)</f>
        <v>5.4905072550552478E-2</v>
      </c>
      <c r="T712" s="1215">
        <f>(SUMPRODUCT('EE Measures'!GM$8:GM$86,'EE Measures'!$IH$8:$IH$86,'EE Measures'!$Q$8:$Q$86)/1000)</f>
        <v>5.4690689336334281E-2</v>
      </c>
      <c r="U712" s="1215">
        <f>(SUMPRODUCT('EE Measures'!GN$8:GN$86,'EE Measures'!$IH$8:$IH$86,'EE Measures'!$Q$8:$Q$86)/1000)</f>
        <v>5.446987462568955E-2</v>
      </c>
    </row>
    <row r="713" spans="4:23" hidden="1" outlineLevel="1" x14ac:dyDescent="0.3">
      <c r="E713" s="563" t="s">
        <v>202</v>
      </c>
      <c r="F713" s="875">
        <f t="shared" si="2425"/>
        <v>1.1857290701300658E-2</v>
      </c>
      <c r="G713" s="645" cm="1">
        <f t="array" ref="G713">_xlfn.XLOOKUP($E707,_xlfn.ANCHORARRAY(Assumptions!$B$635),Assumptions!C$635:C$641)*G$689</f>
        <v>0</v>
      </c>
      <c r="H713" s="645" cm="1">
        <f t="array" ref="H713">_xlfn.XLOOKUP($E707,_xlfn.ANCHORARRAY(Assumptions!$B$635),Assumptions!D$635:D$641)*H$689</f>
        <v>4.0409265440850932E-3</v>
      </c>
      <c r="I713" s="645" cm="1">
        <f t="array" ref="I713">_xlfn.XLOOKUP($E707,_xlfn.ANCHORARRAY(Assumptions!$B$635),Assumptions!E$635:E$641)*I$689</f>
        <v>6.245460000773995E-3</v>
      </c>
      <c r="J713" s="645" cm="1">
        <f t="array" ref="J713">_xlfn.XLOOKUP($E707,_xlfn.ANCHORARRAY(Assumptions!$B$635),Assumptions!F$635:F$641)*J$689</f>
        <v>5.2804609490368477E-2</v>
      </c>
      <c r="K713" s="645" cm="1">
        <f t="array" ref="K713">_xlfn.XLOOKUP($E707,_xlfn.ANCHORARRAY(Assumptions!$B$635),Assumptions!G$635:G$641)*K$689</f>
        <v>2.7744354914452419E-2</v>
      </c>
      <c r="L713" s="645" cm="1">
        <f t="array" ref="L713">_xlfn.XLOOKUP($E707,_xlfn.ANCHORARRAY(Assumptions!$B$635),Assumptions!H$635:H$641)*L$689</f>
        <v>5.2671299680068879E-3</v>
      </c>
      <c r="M713" s="645" cm="1">
        <f t="array" ref="M713">_xlfn.XLOOKUP($E707,_xlfn.ANCHORARRAY(Assumptions!$B$635),Assumptions!I$635:I$641)*M$689</f>
        <v>5.4310247433817897E-3</v>
      </c>
      <c r="N713" s="645" cm="1">
        <f t="array" ref="N713">_xlfn.XLOOKUP($E707,_xlfn.ANCHORARRAY(Assumptions!$B$635),Assumptions!J$635:J$641)*N$689</f>
        <v>5.5100623857917063E-3</v>
      </c>
      <c r="O713" s="645" cm="1">
        <f t="array" ref="O713">_xlfn.XLOOKUP($E707,_xlfn.ANCHORARRAY(Assumptions!$B$635),Assumptions!K$635:K$641)*O$689</f>
        <v>5.6826302505559858E-3</v>
      </c>
      <c r="P713" s="645" cm="1">
        <f t="array" ref="P713">_xlfn.XLOOKUP($E707,_xlfn.ANCHORARRAY(Assumptions!$B$635),Assumptions!L$635:L$641)*P$689</f>
        <v>5.8467087155902164E-3</v>
      </c>
      <c r="Q713" s="645" cm="1">
        <f t="array" ref="Q713">_xlfn.XLOOKUP($E707,_xlfn.ANCHORARRAY(Assumptions!$B$635),Assumptions!M$635:M$641)*Q$689</f>
        <v>5.8477104696336999E-3</v>
      </c>
      <c r="R713" s="645" cm="1">
        <f t="array" ref="R713">_xlfn.XLOOKUP($E707,_xlfn.ANCHORARRAY(Assumptions!$B$635),Assumptions!N$635:N$641)*R$689</f>
        <v>5.9966352594651839E-3</v>
      </c>
      <c r="S713" s="645" cm="1">
        <f t="array" ref="S713">_xlfn.XLOOKUP($E707,_xlfn.ANCHORARRAY(Assumptions!$B$635),Assumptions!O$635:O$641)*S$689</f>
        <v>6.1416579761493619E-3</v>
      </c>
      <c r="T713" s="645" cm="1">
        <f t="array" ref="T713">_xlfn.XLOOKUP($E707,_xlfn.ANCHORARRAY(Assumptions!$B$635),Assumptions!P$635:P$641)*T$689</f>
        <v>6.2799020249297028E-3</v>
      </c>
      <c r="U713" s="645" cm="1">
        <f t="array" ref="U713">_xlfn.XLOOKUP($E707,_xlfn.ANCHORARRAY(Assumptions!$B$635),Assumptions!Q$635:Q$641)*U$689</f>
        <v>6.4057549239839376E-3</v>
      </c>
    </row>
    <row r="714" spans="4:23" hidden="1" outlineLevel="1" x14ac:dyDescent="0.3">
      <c r="E714" s="563" t="s">
        <v>438</v>
      </c>
      <c r="F714" s="584"/>
      <c r="G714" s="594"/>
      <c r="H714" s="598">
        <f>(H707-G707)/G707</f>
        <v>4.0652990310379139E-2</v>
      </c>
      <c r="I714" s="598">
        <f>(I707-H707)/H707</f>
        <v>1.8363974064193752E-3</v>
      </c>
      <c r="J714" s="598">
        <f t="shared" ref="J714:P714" si="2426">(J707-I707)/I707</f>
        <v>4.6602982147398563E-3</v>
      </c>
      <c r="K714" s="598">
        <f t="shared" si="2426"/>
        <v>4.2302828499377935E-2</v>
      </c>
      <c r="L714" s="598">
        <f t="shared" si="2426"/>
        <v>-6.1969236674040279E-3</v>
      </c>
      <c r="M714" s="598">
        <f t="shared" si="2426"/>
        <v>-3.6558654638749574E-3</v>
      </c>
      <c r="N714" s="598">
        <f t="shared" si="2426"/>
        <v>-2.256704417677944E-2</v>
      </c>
      <c r="O714" s="598">
        <f t="shared" si="2426"/>
        <v>-3.102414207688912E-3</v>
      </c>
      <c r="P714" s="598">
        <f t="shared" si="2426"/>
        <v>-3.6172758301587882E-3</v>
      </c>
      <c r="Q714" s="598">
        <f t="shared" ref="Q714" si="2427">(Q707-P707)/P707</f>
        <v>-1.4655989953698146E-3</v>
      </c>
      <c r="R714" s="598">
        <f t="shared" ref="R714" si="2428">(R707-Q707)/Q707</f>
        <v>-2.8955197124290407E-3</v>
      </c>
      <c r="S714" s="598">
        <f t="shared" ref="S714" si="2429">(S707-R707)/R707</f>
        <v>-2.8087677510785923E-3</v>
      </c>
      <c r="T714" s="598">
        <f t="shared" ref="T714" si="2430">(T707-S707)/S707</f>
        <v>-3.1767571451372443E-3</v>
      </c>
      <c r="U714" s="598">
        <f t="shared" ref="U714" si="2431">(U707-T707)/T707</f>
        <v>-4.3700615846386775E-3</v>
      </c>
    </row>
    <row r="715" spans="4:23" hidden="1" outlineLevel="1" collapsed="1" x14ac:dyDescent="0.3">
      <c r="E715" s="596" t="str">
        <f>'EE Measures'!$II$6</f>
        <v>Renowave</v>
      </c>
      <c r="F715" s="872">
        <f>SUM(G715:P715)/SUM($G$689:$P$689)-1</f>
        <v>3.8924309294583237E-2</v>
      </c>
      <c r="G715" s="591">
        <f t="shared" ref="G715:U715" si="2432">G$689+G716</f>
        <v>653.09919543081423</v>
      </c>
      <c r="H715" s="591">
        <f t="shared" si="2432"/>
        <v>679.64963069437954</v>
      </c>
      <c r="I715" s="591">
        <f t="shared" si="2432"/>
        <v>680.89773751346058</v>
      </c>
      <c r="J715" s="591">
        <f t="shared" si="2432"/>
        <v>683.74425735734837</v>
      </c>
      <c r="K715" s="591">
        <f t="shared" si="2432"/>
        <v>733.02395150589996</v>
      </c>
      <c r="L715" s="591">
        <f t="shared" si="2432"/>
        <v>728.98920472093175</v>
      </c>
      <c r="M715" s="591">
        <f t="shared" si="2432"/>
        <v>726.74409065394912</v>
      </c>
      <c r="N715" s="591">
        <f t="shared" si="2432"/>
        <v>711.08013420559223</v>
      </c>
      <c r="O715" s="591">
        <f t="shared" si="2432"/>
        <v>709.17888738894715</v>
      </c>
      <c r="P715" s="591">
        <f t="shared" si="2432"/>
        <v>706.9873731090903</v>
      </c>
      <c r="Q715" s="591">
        <f t="shared" si="2432"/>
        <v>706.41881211886073</v>
      </c>
      <c r="R715" s="591">
        <f t="shared" si="2432"/>
        <v>704.88187191658778</v>
      </c>
      <c r="S715" s="591">
        <f t="shared" si="2432"/>
        <v>703.41885420401957</v>
      </c>
      <c r="T715" s="591">
        <f t="shared" si="2432"/>
        <v>701.71995304279687</v>
      </c>
      <c r="U715" s="591">
        <f t="shared" si="2432"/>
        <v>699.22763211965639</v>
      </c>
      <c r="V715" s="569">
        <f>SUM(G715:P715)</f>
        <v>7013.3944625804133</v>
      </c>
      <c r="W715" s="898">
        <f>AVERAGE(G716:P716)</f>
        <v>26.276364199404963</v>
      </c>
    </row>
    <row r="716" spans="4:23" hidden="1" outlineLevel="1" x14ac:dyDescent="0.3">
      <c r="D716" s="554" t="str">
        <f>E715</f>
        <v>Renowave</v>
      </c>
      <c r="E716" s="563" t="s">
        <v>439</v>
      </c>
      <c r="F716" s="875">
        <f>AVERAGE(G716:P716)</f>
        <v>26.276364199404963</v>
      </c>
      <c r="G716" s="501">
        <f t="shared" ref="G716" si="2433">G717+G721</f>
        <v>2.599195430814234</v>
      </c>
      <c r="H716" s="501">
        <f t="shared" ref="H716:P716" si="2434">H717+H721</f>
        <v>2.2496306943795443</v>
      </c>
      <c r="I716" s="501">
        <f t="shared" si="2434"/>
        <v>1.6977375134604926</v>
      </c>
      <c r="J716" s="501">
        <f t="shared" si="2434"/>
        <v>0.44425735734839317</v>
      </c>
      <c r="K716" s="501">
        <f t="shared" si="2434"/>
        <v>47.623951505899932</v>
      </c>
      <c r="L716" s="501">
        <f t="shared" si="2434"/>
        <v>43.289204720931728</v>
      </c>
      <c r="M716" s="501">
        <f t="shared" si="2434"/>
        <v>41.044090653949127</v>
      </c>
      <c r="N716" s="501">
        <f t="shared" si="2434"/>
        <v>40.679363725372866</v>
      </c>
      <c r="O716" s="501">
        <f t="shared" si="2434"/>
        <v>41.321829008882126</v>
      </c>
      <c r="P716" s="501">
        <f t="shared" si="2434"/>
        <v>41.814381383011188</v>
      </c>
      <c r="Q716" s="501">
        <f t="shared" ref="Q716:U716" si="2435">Q717+Q721</f>
        <v>43.706243384915389</v>
      </c>
      <c r="R716" s="501">
        <f t="shared" si="2435"/>
        <v>44.577493483692031</v>
      </c>
      <c r="S716" s="501">
        <f t="shared" si="2435"/>
        <v>45.46615968310789</v>
      </c>
      <c r="T716" s="501">
        <f t="shared" si="2435"/>
        <v>46.372587445999372</v>
      </c>
      <c r="U716" s="501">
        <f t="shared" si="2435"/>
        <v>47.297126464285824</v>
      </c>
    </row>
    <row r="717" spans="4:23" hidden="1" outlineLevel="1" x14ac:dyDescent="0.3">
      <c r="E717" s="563" t="s">
        <v>440</v>
      </c>
      <c r="F717" s="875">
        <f>AVERAGE(G717:P717)</f>
        <v>26.264506908703662</v>
      </c>
      <c r="G717" s="586">
        <f>SUMPRODUCT('EE Measures'!FZ$8:FZ$86,'EE Measures'!$II$8:$II$86)/1000</f>
        <v>2.599195430814234</v>
      </c>
      <c r="H717" s="586">
        <f>SUMPRODUCT('EE Measures'!GA$8:GA$86,'EE Measures'!$II$8:$II$86)/1000</f>
        <v>2.245589767835459</v>
      </c>
      <c r="I717" s="586">
        <f>SUMPRODUCT('EE Measures'!GB$8:GB$86,'EE Measures'!$II$8:$II$86)/1000</f>
        <v>1.6914920534597186</v>
      </c>
      <c r="J717" s="586">
        <f>SUMPRODUCT('EE Measures'!GC$8:GC$86,'EE Measures'!$II$8:$II$86)/1000</f>
        <v>0.3914527478580247</v>
      </c>
      <c r="K717" s="586">
        <f>SUMPRODUCT('EE Measures'!GD$8:GD$86,'EE Measures'!$II$8:$II$86)/1000</f>
        <v>47.596207150985478</v>
      </c>
      <c r="L717" s="586">
        <f>SUMPRODUCT('EE Measures'!GE$8:GE$86,'EE Measures'!$II$8:$II$86)/1000</f>
        <v>43.283937590963724</v>
      </c>
      <c r="M717" s="586">
        <f>SUMPRODUCT('EE Measures'!GF$8:GF$86,'EE Measures'!$II$8:$II$86)/1000</f>
        <v>41.038659629205746</v>
      </c>
      <c r="N717" s="586">
        <f>SUMPRODUCT('EE Measures'!GG$8:GG$86,'EE Measures'!$II$8:$II$86)/1000</f>
        <v>40.673853662987078</v>
      </c>
      <c r="O717" s="586">
        <f>SUMPRODUCT('EE Measures'!GH$8:GH$86,'EE Measures'!$II$8:$II$86)/1000</f>
        <v>41.316146378631572</v>
      </c>
      <c r="P717" s="586">
        <f>SUMPRODUCT('EE Measures'!GI$8:GI$86,'EE Measures'!$II$8:$II$86)/1000</f>
        <v>41.808534674295601</v>
      </c>
      <c r="Q717" s="586">
        <f>SUMPRODUCT('EE Measures'!GJ$8:GJ$86,'EE Measures'!$II$8:$II$86)/1000</f>
        <v>43.700395674445758</v>
      </c>
      <c r="R717" s="586">
        <f>SUMPRODUCT('EE Measures'!GK$8:GK$86,'EE Measures'!$II$8:$II$86)/1000</f>
        <v>44.571496848432567</v>
      </c>
      <c r="S717" s="586">
        <f>SUMPRODUCT('EE Measures'!GL$8:GL$86,'EE Measures'!$II$8:$II$86)/1000</f>
        <v>45.460018025131738</v>
      </c>
      <c r="T717" s="586">
        <f>SUMPRODUCT('EE Measures'!GM$8:GM$86,'EE Measures'!$II$8:$II$86)/1000</f>
        <v>46.366307543974443</v>
      </c>
      <c r="U717" s="586">
        <f>SUMPRODUCT('EE Measures'!GN$8:GN$86,'EE Measures'!$II$8:$II$86)/1000</f>
        <v>47.290720709361842</v>
      </c>
    </row>
    <row r="718" spans="4:23" hidden="1" outlineLevel="1" x14ac:dyDescent="0.3">
      <c r="E718" s="1160" t="s">
        <v>50</v>
      </c>
      <c r="F718" s="875">
        <f>AVERAGE(G718:P718)</f>
        <v>0.33463333658759531</v>
      </c>
      <c r="G718" s="1215">
        <f>(SUMPRODUCT('EE Measures'!FZ$8:FZ$86,'EE Measures'!$II$8:$II$86,'EE Measures'!$N$8:$N$86)/1000)</f>
        <v>0.69216433964842305</v>
      </c>
      <c r="H718" s="1215">
        <f>(SUMPRODUCT('EE Measures'!GA$8:GA$86,'EE Measures'!$II$8:$II$86,'EE Measures'!$N$8:$N$86)/1000)</f>
        <v>3.8153844710674734E-2</v>
      </c>
      <c r="I718" s="1215">
        <f>(SUMPRODUCT('EE Measures'!GB$8:GB$86,'EE Measures'!$II$8:$II$86,'EE Measures'!$N$8:$N$86)/1000)</f>
        <v>0</v>
      </c>
      <c r="J718" s="1215">
        <f>(SUMPRODUCT('EE Measures'!GC$8:GC$86,'EE Measures'!$II$8:$II$86,'EE Measures'!$N$8:$N$86)/1000)</f>
        <v>0.32666666666666666</v>
      </c>
      <c r="K718" s="1215">
        <f>(SUMPRODUCT('EE Measures'!GD$8:GD$86,'EE Measures'!$II$8:$II$86,'EE Measures'!$N$8:$N$86)/1000)</f>
        <v>0.77124884548930661</v>
      </c>
      <c r="L718" s="1215">
        <f>(SUMPRODUCT('EE Measures'!GE$8:GE$86,'EE Measures'!$II$8:$II$86,'EE Measures'!$N$8:$N$86)/1000)</f>
        <v>0.70509884548930679</v>
      </c>
      <c r="M718" s="1215">
        <f>(SUMPRODUCT('EE Measures'!GF$8:GF$86,'EE Measures'!$II$8:$II$86,'EE Measures'!$N$8:$N$86)/1000)</f>
        <v>0.57324727466723169</v>
      </c>
      <c r="N718" s="1215">
        <f>(SUMPRODUCT('EE Measures'!GG$8:GG$86,'EE Measures'!$II$8:$II$86,'EE Measures'!$N$8:$N$86)/1000)</f>
        <v>7.9917849734781041E-2</v>
      </c>
      <c r="O718" s="1215">
        <f>(SUMPRODUCT('EE Measures'!GH$8:GH$86,'EE Measures'!$II$8:$II$86,'EE Measures'!$N$8:$N$86)/1000)</f>
        <v>7.9917849734781041E-2</v>
      </c>
      <c r="P718" s="1215">
        <f>(SUMPRODUCT('EE Measures'!GI$8:GI$86,'EE Measures'!$II$8:$II$86,'EE Measures'!$N$8:$N$86)/1000)</f>
        <v>7.9917849734781041E-2</v>
      </c>
      <c r="Q718" s="1215">
        <f>(SUMPRODUCT('EE Measures'!GJ$8:GJ$86,'EE Measures'!$II$8:$II$86,'EE Measures'!$N$8:$N$86)/1000)</f>
        <v>7.9917849734781041E-2</v>
      </c>
      <c r="R718" s="1215">
        <f>(SUMPRODUCT('EE Measures'!GK$8:GK$86,'EE Measures'!$II$8:$II$86,'EE Measures'!$N$8:$N$86)/1000)</f>
        <v>7.9917849734781041E-2</v>
      </c>
      <c r="S718" s="1215">
        <f>(SUMPRODUCT('EE Measures'!GL$8:GL$86,'EE Measures'!$II$8:$II$86,'EE Measures'!$N$8:$N$86)/1000)</f>
        <v>7.9917849734781041E-2</v>
      </c>
      <c r="T718" s="1215">
        <f>(SUMPRODUCT('EE Measures'!GM$8:GM$86,'EE Measures'!$II$8:$II$86,'EE Measures'!$N$8:$N$86)/1000)</f>
        <v>7.9917849734781041E-2</v>
      </c>
      <c r="U718" s="1215">
        <f>(SUMPRODUCT('EE Measures'!GN$8:GN$86,'EE Measures'!$II$8:$II$86,'EE Measures'!$N$8:$N$86)/1000)</f>
        <v>7.9917849734781041E-2</v>
      </c>
    </row>
    <row r="719" spans="4:23" hidden="1" outlineLevel="1" x14ac:dyDescent="0.3">
      <c r="E719" s="1160" t="s">
        <v>441</v>
      </c>
      <c r="F719" s="875">
        <f>AVERAGE(G719:P719)</f>
        <v>24.991579574222847</v>
      </c>
      <c r="G719" s="1215">
        <f>(SUMPRODUCT('EE Measures'!FZ$8:FZ$86,'EE Measures'!$II$8:$II$86,'EE Measures'!$O$8:$O$86)+SUMPRODUCT('EE Measures'!FZ$8:FZ$86,'EE Measures'!$II$8:$II$86,'EE Measures'!$P$8:$P$86))/1000</f>
        <v>1.9070310911658113</v>
      </c>
      <c r="H719" s="1215">
        <f>(SUMPRODUCT('EE Measures'!GA$8:GA$86,'EE Measures'!$II$8:$II$86,'EE Measures'!$O$8:$O$86)+SUMPRODUCT('EE Measures'!GA$8:GA$86,'EE Measures'!$II$8:$II$86,'EE Measures'!$P$8:$P$86))/1000</f>
        <v>2.2074359231247844</v>
      </c>
      <c r="I719" s="1215">
        <f>(SUMPRODUCT('EE Measures'!GB$8:GB$86,'EE Measures'!$II$8:$II$86,'EE Measures'!$O$8:$O$86)+SUMPRODUCT('EE Measures'!GB$8:GB$86,'EE Measures'!$II$8:$II$86,'EE Measures'!$P$8:$P$86))/1000</f>
        <v>1.7000774206877609</v>
      </c>
      <c r="J719" s="1215">
        <f>(SUMPRODUCT('EE Measures'!GC$8:GC$86,'EE Measures'!$II$8:$II$86,'EE Measures'!$O$8:$O$86)+SUMPRODUCT('EE Measures'!GC$8:GC$86,'EE Measures'!$II$8:$II$86,'EE Measures'!$P$8:$P$86))/1000</f>
        <v>7.4004118041249373E-2</v>
      </c>
      <c r="K719" s="1215">
        <f>(SUMPRODUCT('EE Measures'!GD$8:GD$86,'EE Measures'!$II$8:$II$86,'EE Measures'!$O$8:$O$86)+SUMPRODUCT('EE Measures'!GD$8:GD$86,'EE Measures'!$II$8:$II$86,'EE Measures'!$P$8:$P$86))/1000</f>
        <v>38.684617592592602</v>
      </c>
      <c r="L719" s="1215">
        <f>(SUMPRODUCT('EE Measures'!GE$8:GE$86,'EE Measures'!$II$8:$II$86,'EE Measures'!$O$8:$O$86)+SUMPRODUCT('EE Measures'!GE$8:GE$86,'EE Measures'!$II$8:$II$86,'EE Measures'!$P$8:$P$86))/1000</f>
        <v>39.458309944444444</v>
      </c>
      <c r="M719" s="1215">
        <f>(SUMPRODUCT('EE Measures'!GF$8:GF$86,'EE Measures'!$II$8:$II$86,'EE Measures'!$O$8:$O$86)+SUMPRODUCT('EE Measures'!GF$8:GF$86,'EE Measures'!$II$8:$II$86,'EE Measures'!$P$8:$P$86))/1000</f>
        <v>40.247476143333344</v>
      </c>
      <c r="N719" s="1215">
        <f>(SUMPRODUCT('EE Measures'!GG$8:GG$86,'EE Measures'!$II$8:$II$86,'EE Measures'!$O$8:$O$86)+SUMPRODUCT('EE Measures'!GG$8:GG$86,'EE Measures'!$II$8:$II$86,'EE Measures'!$P$8:$P$86))/1000</f>
        <v>41.052425666199994</v>
      </c>
      <c r="O719" s="1215">
        <f>(SUMPRODUCT('EE Measures'!GH$8:GH$86,'EE Measures'!$II$8:$II$86,'EE Measures'!$O$8:$O$86)+SUMPRODUCT('EE Measures'!GH$8:GH$86,'EE Measures'!$II$8:$II$86,'EE Measures'!$P$8:$P$86))/1000</f>
        <v>41.873474179524003</v>
      </c>
      <c r="P719" s="1215">
        <f>(SUMPRODUCT('EE Measures'!GI$8:GI$86,'EE Measures'!$II$8:$II$86,'EE Measures'!$O$8:$O$86)+SUMPRODUCT('EE Measures'!GI$8:GI$86,'EE Measures'!$II$8:$II$86,'EE Measures'!$P$8:$P$86))/1000</f>
        <v>42.710943663114477</v>
      </c>
      <c r="Q719" s="1215">
        <f>(SUMPRODUCT('EE Measures'!GJ$8:GJ$86,'EE Measures'!$II$8:$II$86,'EE Measures'!$O$8:$O$86)+SUMPRODUCT('EE Measures'!GJ$8:GJ$86,'EE Measures'!$II$8:$II$86,'EE Measures'!$P$8:$P$86))/1000</f>
        <v>43.565162536376775</v>
      </c>
      <c r="R719" s="1215">
        <f>(SUMPRODUCT('EE Measures'!GK$8:GK$86,'EE Measures'!$II$8:$II$86,'EE Measures'!$O$8:$O$86)+SUMPRODUCT('EE Measures'!GK$8:GK$86,'EE Measures'!$II$8:$II$86,'EE Measures'!$P$8:$P$86))/1000</f>
        <v>44.436465787104304</v>
      </c>
      <c r="S719" s="1215">
        <f>(SUMPRODUCT('EE Measures'!GL$8:GL$86,'EE Measures'!$II$8:$II$86,'EE Measures'!$O$8:$O$86)+SUMPRODUCT('EE Measures'!GL$8:GL$86,'EE Measures'!$II$8:$II$86,'EE Measures'!$P$8:$P$86))/1000</f>
        <v>45.325195102846394</v>
      </c>
      <c r="T719" s="1215">
        <f>(SUMPRODUCT('EE Measures'!GM$8:GM$86,'EE Measures'!$II$8:$II$86,'EE Measures'!$O$8:$O$86)+SUMPRODUCT('EE Measures'!GM$8:GM$86,'EE Measures'!$II$8:$II$86,'EE Measures'!$P$8:$P$86))/1000</f>
        <v>46.231699004903319</v>
      </c>
      <c r="U719" s="1215">
        <f>(SUMPRODUCT('EE Measures'!GN$8:GN$86,'EE Measures'!$II$8:$II$86,'EE Measures'!$O$8:$O$86)+SUMPRODUCT('EE Measures'!GN$8:GN$86,'EE Measures'!$II$8:$II$86,'EE Measures'!$P$8:$P$86))/1000</f>
        <v>47.156332985001384</v>
      </c>
    </row>
    <row r="720" spans="4:23" hidden="1" outlineLevel="1" x14ac:dyDescent="0.3">
      <c r="E720" s="1160" t="s">
        <v>53</v>
      </c>
      <c r="F720" s="875">
        <f t="shared" ref="F720:F721" si="2436">AVERAGE(G720:P720)</f>
        <v>0.93829399789322188</v>
      </c>
      <c r="G720" s="1215">
        <f>(SUMPRODUCT('EE Measures'!FZ$8:FZ$86,'EE Measures'!$II$8:$II$86,'EE Measures'!$Q$8:$Q$86)/1000)</f>
        <v>0</v>
      </c>
      <c r="H720" s="1215">
        <f>(SUMPRODUCT('EE Measures'!GA$8:GA$86,'EE Measures'!$II$8:$II$86,'EE Measures'!$Q$8:$Q$86)/1000)</f>
        <v>0</v>
      </c>
      <c r="I720" s="1215">
        <f>(SUMPRODUCT('EE Measures'!GB$8:GB$86,'EE Measures'!$II$8:$II$86,'EE Measures'!$Q$8:$Q$86)/1000)</f>
        <v>-8.5853672280423055E-3</v>
      </c>
      <c r="J720" s="1215">
        <f>(SUMPRODUCT('EE Measures'!GC$8:GC$86,'EE Measures'!$II$8:$II$86,'EE Measures'!$Q$8:$Q$86)/1000)</f>
        <v>-9.2180368498913645E-3</v>
      </c>
      <c r="K720" s="1215">
        <f>(SUMPRODUCT('EE Measures'!GD$8:GD$86,'EE Measures'!$II$8:$II$86,'EE Measures'!$Q$8:$Q$86)/1000)</f>
        <v>8.1403407129035763</v>
      </c>
      <c r="L720" s="1215">
        <f>(SUMPRODUCT('EE Measures'!GE$8:GE$86,'EE Measures'!$II$8:$II$86,'EE Measures'!$Q$8:$Q$86)/1000)</f>
        <v>3.1205288010299803</v>
      </c>
      <c r="M720" s="1215">
        <f>(SUMPRODUCT('EE Measures'!GF$8:GF$86,'EE Measures'!$II$8:$II$86,'EE Measures'!$Q$8:$Q$86)/1000)</f>
        <v>0.21793621120516843</v>
      </c>
      <c r="N720" s="1215">
        <f>(SUMPRODUCT('EE Measures'!GG$8:GG$86,'EE Measures'!$II$8:$II$86,'EE Measures'!$Q$8:$Q$86)/1000)</f>
        <v>-0.45848985294768874</v>
      </c>
      <c r="O720" s="1215">
        <f>(SUMPRODUCT('EE Measures'!GH$8:GH$86,'EE Measures'!$II$8:$II$86,'EE Measures'!$Q$8:$Q$86)/1000)</f>
        <v>-0.63724565062721406</v>
      </c>
      <c r="P720" s="1215">
        <f>(SUMPRODUCT('EE Measures'!GI$8:GI$86,'EE Measures'!$II$8:$II$86,'EE Measures'!$Q$8:$Q$86)/1000)</f>
        <v>-0.98232683855366854</v>
      </c>
      <c r="Q720" s="1215">
        <f>(SUMPRODUCT('EE Measures'!GJ$8:GJ$86,'EE Measures'!$II$8:$II$86,'EE Measures'!$Q$8:$Q$86)/1000)</f>
        <v>5.5315288334191769E-2</v>
      </c>
      <c r="R720" s="1215">
        <f>(SUMPRODUCT('EE Measures'!GK$8:GK$86,'EE Measures'!$II$8:$II$86,'EE Measures'!$Q$8:$Q$86)/1000)</f>
        <v>5.5113211593482751E-2</v>
      </c>
      <c r="S720" s="1215">
        <f>(SUMPRODUCT('EE Measures'!GL$8:GL$86,'EE Measures'!$II$8:$II$86,'EE Measures'!$Q$8:$Q$86)/1000)</f>
        <v>5.4905072550552478E-2</v>
      </c>
      <c r="T720" s="1215">
        <f>(SUMPRODUCT('EE Measures'!GM$8:GM$86,'EE Measures'!$II$8:$II$86,'EE Measures'!$Q$8:$Q$86)/1000)</f>
        <v>5.4690689336334281E-2</v>
      </c>
      <c r="U720" s="1215">
        <f>(SUMPRODUCT('EE Measures'!GN$8:GN$86,'EE Measures'!$II$8:$II$86,'EE Measures'!$Q$8:$Q$86)/1000)</f>
        <v>5.446987462568955E-2</v>
      </c>
    </row>
    <row r="721" spans="4:23" hidden="1" outlineLevel="1" x14ac:dyDescent="0.3">
      <c r="E721" s="563" t="s">
        <v>202</v>
      </c>
      <c r="F721" s="875">
        <f t="shared" si="2436"/>
        <v>1.1857290701300658E-2</v>
      </c>
      <c r="G721" s="645" cm="1">
        <f t="array" ref="G721">_xlfn.XLOOKUP($E715,_xlfn.ANCHORARRAY(Assumptions!$B$635),Assumptions!C$635:C$641)*G$689</f>
        <v>0</v>
      </c>
      <c r="H721" s="645" cm="1">
        <f t="array" ref="H721">_xlfn.XLOOKUP($E715,_xlfn.ANCHORARRAY(Assumptions!$B$635),Assumptions!D$635:D$641)*H$689</f>
        <v>4.0409265440850932E-3</v>
      </c>
      <c r="I721" s="645" cm="1">
        <f t="array" ref="I721">_xlfn.XLOOKUP($E715,_xlfn.ANCHORARRAY(Assumptions!$B$635),Assumptions!E$635:E$641)*I$689</f>
        <v>6.245460000773995E-3</v>
      </c>
      <c r="J721" s="645" cm="1">
        <f t="array" ref="J721">_xlfn.XLOOKUP($E715,_xlfn.ANCHORARRAY(Assumptions!$B$635),Assumptions!F$635:F$641)*J$689</f>
        <v>5.2804609490368477E-2</v>
      </c>
      <c r="K721" s="645" cm="1">
        <f t="array" ref="K721">_xlfn.XLOOKUP($E715,_xlfn.ANCHORARRAY(Assumptions!$B$635),Assumptions!G$635:G$641)*K$689</f>
        <v>2.7744354914452419E-2</v>
      </c>
      <c r="L721" s="645" cm="1">
        <f t="array" ref="L721">_xlfn.XLOOKUP($E715,_xlfn.ANCHORARRAY(Assumptions!$B$635),Assumptions!H$635:H$641)*L$689</f>
        <v>5.2671299680068879E-3</v>
      </c>
      <c r="M721" s="645" cm="1">
        <f t="array" ref="M721">_xlfn.XLOOKUP($E715,_xlfn.ANCHORARRAY(Assumptions!$B$635),Assumptions!I$635:I$641)*M$689</f>
        <v>5.4310247433817897E-3</v>
      </c>
      <c r="N721" s="645" cm="1">
        <f t="array" ref="N721">_xlfn.XLOOKUP($E715,_xlfn.ANCHORARRAY(Assumptions!$B$635),Assumptions!J$635:J$641)*N$689</f>
        <v>5.5100623857917063E-3</v>
      </c>
      <c r="O721" s="645" cm="1">
        <f t="array" ref="O721">_xlfn.XLOOKUP($E715,_xlfn.ANCHORARRAY(Assumptions!$B$635),Assumptions!K$635:K$641)*O$689</f>
        <v>5.6826302505559858E-3</v>
      </c>
      <c r="P721" s="645" cm="1">
        <f t="array" ref="P721">_xlfn.XLOOKUP($E715,_xlfn.ANCHORARRAY(Assumptions!$B$635),Assumptions!L$635:L$641)*P$689</f>
        <v>5.8467087155902164E-3</v>
      </c>
      <c r="Q721" s="645" cm="1">
        <f t="array" ref="Q721">_xlfn.XLOOKUP($E715,_xlfn.ANCHORARRAY(Assumptions!$B$635),Assumptions!M$635:M$641)*Q$689</f>
        <v>5.8477104696336999E-3</v>
      </c>
      <c r="R721" s="645" cm="1">
        <f t="array" ref="R721">_xlfn.XLOOKUP($E715,_xlfn.ANCHORARRAY(Assumptions!$B$635),Assumptions!N$635:N$641)*R$689</f>
        <v>5.9966352594651839E-3</v>
      </c>
      <c r="S721" s="645" cm="1">
        <f t="array" ref="S721">_xlfn.XLOOKUP($E715,_xlfn.ANCHORARRAY(Assumptions!$B$635),Assumptions!O$635:O$641)*S$689</f>
        <v>6.1416579761493619E-3</v>
      </c>
      <c r="T721" s="645" cm="1">
        <f t="array" ref="T721">_xlfn.XLOOKUP($E715,_xlfn.ANCHORARRAY(Assumptions!$B$635),Assumptions!P$635:P$641)*T$689</f>
        <v>6.2799020249297028E-3</v>
      </c>
      <c r="U721" s="645" cm="1">
        <f t="array" ref="U721">_xlfn.XLOOKUP($E715,_xlfn.ANCHORARRAY(Assumptions!$B$635),Assumptions!Q$635:Q$641)*U$689</f>
        <v>6.4057549239839376E-3</v>
      </c>
    </row>
    <row r="722" spans="4:23" hidden="1" outlineLevel="1" x14ac:dyDescent="0.3">
      <c r="E722" s="563" t="s">
        <v>438</v>
      </c>
      <c r="F722" s="584"/>
      <c r="G722" s="594"/>
      <c r="H722" s="598">
        <f>(H715-G715)/G715</f>
        <v>4.0652990310379139E-2</v>
      </c>
      <c r="I722" s="598">
        <f>(I715-H715)/H715</f>
        <v>1.8363974064193752E-3</v>
      </c>
      <c r="J722" s="598">
        <f t="shared" ref="J722:P722" si="2437">(J715-I715)/I715</f>
        <v>4.1805394364840551E-3</v>
      </c>
      <c r="K722" s="598">
        <f t="shared" si="2437"/>
        <v>7.2073284153078176E-2</v>
      </c>
      <c r="L722" s="598">
        <f t="shared" si="2437"/>
        <v>-5.5042495905888982E-3</v>
      </c>
      <c r="M722" s="598">
        <f t="shared" si="2437"/>
        <v>-3.0797631191837762E-3</v>
      </c>
      <c r="N722" s="598">
        <f t="shared" si="2437"/>
        <v>-2.1553606902069092E-2</v>
      </c>
      <c r="O722" s="598">
        <f t="shared" si="2437"/>
        <v>-2.6737448076356797E-3</v>
      </c>
      <c r="P722" s="598">
        <f t="shared" si="2437"/>
        <v>-3.0902136524756933E-3</v>
      </c>
      <c r="Q722" s="598">
        <f t="shared" ref="Q722" si="2438">(Q715-P715)/P715</f>
        <v>-8.0420246790155936E-4</v>
      </c>
      <c r="R722" s="598">
        <f t="shared" ref="R722" si="2439">(R715-Q715)/Q715</f>
        <v>-2.1756784727504424E-3</v>
      </c>
      <c r="S722" s="598">
        <f t="shared" ref="S722" si="2440">(S715-R715)/R715</f>
        <v>-2.0755502033131348E-3</v>
      </c>
      <c r="T722" s="598">
        <f t="shared" ref="T722" si="2441">(T715-S715)/S715</f>
        <v>-2.4152056076818551E-3</v>
      </c>
      <c r="U722" s="598">
        <f t="shared" ref="U722" si="2442">(U715-T715)/T715</f>
        <v>-3.5517315879836178E-3</v>
      </c>
    </row>
    <row r="723" spans="4:23" hidden="1" outlineLevel="1" collapsed="1" x14ac:dyDescent="0.3">
      <c r="E723" s="596" t="str">
        <f>'EE Measures'!$IJ$6</f>
        <v>EET</v>
      </c>
      <c r="F723" s="872">
        <f>SUM(G723:P723)/SUM($G$689:$P$689)-1</f>
        <v>2.4711930711744934E-2</v>
      </c>
      <c r="G723" s="591">
        <f t="shared" ref="G723:U723" si="2443">G$689+G724</f>
        <v>653.09919543081423</v>
      </c>
      <c r="H723" s="591">
        <f t="shared" si="2443"/>
        <v>679.64963069437954</v>
      </c>
      <c r="I723" s="591">
        <f t="shared" si="2443"/>
        <v>680.89773751346058</v>
      </c>
      <c r="J723" s="591">
        <f t="shared" si="2443"/>
        <v>683.74425735734837</v>
      </c>
      <c r="K723" s="591">
        <f t="shared" si="2443"/>
        <v>740.70373106257057</v>
      </c>
      <c r="L723" s="591">
        <f t="shared" si="2443"/>
        <v>719.37294728953361</v>
      </c>
      <c r="M723" s="591">
        <f t="shared" si="2443"/>
        <v>704.85184976772837</v>
      </c>
      <c r="N723" s="591">
        <f t="shared" si="2443"/>
        <v>687.78940325068606</v>
      </c>
      <c r="O723" s="591">
        <f t="shared" si="2443"/>
        <v>685.22717495417703</v>
      </c>
      <c r="P723" s="591">
        <f t="shared" si="2443"/>
        <v>682.11601436456579</v>
      </c>
      <c r="Q723" s="591">
        <f t="shared" si="2443"/>
        <v>682.16314510522125</v>
      </c>
      <c r="R723" s="591">
        <f t="shared" si="2443"/>
        <v>680.1388002020667</v>
      </c>
      <c r="S723" s="591">
        <f t="shared" si="2443"/>
        <v>678.17862969459918</v>
      </c>
      <c r="T723" s="591">
        <f t="shared" si="2443"/>
        <v>675.97263268257927</v>
      </c>
      <c r="U723" s="591">
        <f t="shared" si="2443"/>
        <v>672.96307399162549</v>
      </c>
      <c r="V723" s="569">
        <f>SUM(G723:P723)</f>
        <v>6917.4519416852636</v>
      </c>
      <c r="W723" s="898">
        <f>AVERAGE(G724:P724)</f>
        <v>16.682112109890049</v>
      </c>
    </row>
    <row r="724" spans="4:23" hidden="1" outlineLevel="1" x14ac:dyDescent="0.3">
      <c r="D724" s="554" t="str">
        <f>E723</f>
        <v>EET</v>
      </c>
      <c r="E724" s="563" t="s">
        <v>439</v>
      </c>
      <c r="F724" s="875">
        <f>AVERAGE(G724:P724)</f>
        <v>16.682112109890049</v>
      </c>
      <c r="G724" s="501">
        <f t="shared" ref="G724" si="2444">G725+G729</f>
        <v>2.599195430814234</v>
      </c>
      <c r="H724" s="501">
        <f t="shared" ref="H724:P724" si="2445">H725+H729</f>
        <v>2.2496306943795443</v>
      </c>
      <c r="I724" s="501">
        <f t="shared" si="2445"/>
        <v>1.6977375134604926</v>
      </c>
      <c r="J724" s="501">
        <f t="shared" si="2445"/>
        <v>0.44425735734839317</v>
      </c>
      <c r="K724" s="501">
        <f t="shared" si="2445"/>
        <v>55.30373106257062</v>
      </c>
      <c r="L724" s="501">
        <f t="shared" si="2445"/>
        <v>33.672947289533511</v>
      </c>
      <c r="M724" s="501">
        <f t="shared" si="2445"/>
        <v>19.151849767728311</v>
      </c>
      <c r="N724" s="501">
        <f t="shared" si="2445"/>
        <v>17.388632770466671</v>
      </c>
      <c r="O724" s="501">
        <f t="shared" si="2445"/>
        <v>17.370116574111982</v>
      </c>
      <c r="P724" s="501">
        <f t="shared" si="2445"/>
        <v>16.943022638486724</v>
      </c>
      <c r="Q724" s="501">
        <f t="shared" ref="Q724:U724" si="2446">Q725+Q729</f>
        <v>19.450576371275901</v>
      </c>
      <c r="R724" s="501">
        <f t="shared" si="2446"/>
        <v>19.834421769170905</v>
      </c>
      <c r="S724" s="501">
        <f t="shared" si="2446"/>
        <v>20.225935173687464</v>
      </c>
      <c r="T724" s="501">
        <f t="shared" si="2446"/>
        <v>20.625267085781687</v>
      </c>
      <c r="U724" s="501">
        <f t="shared" si="2446"/>
        <v>21.032568336254954</v>
      </c>
    </row>
    <row r="725" spans="4:23" hidden="1" outlineLevel="1" x14ac:dyDescent="0.3">
      <c r="E725" s="563" t="s">
        <v>440</v>
      </c>
      <c r="F725" s="875">
        <f>AVERAGE(G725:P725)</f>
        <v>16.670254819188749</v>
      </c>
      <c r="G725" s="586">
        <f>SUMPRODUCT('EE Measures'!FZ$8:FZ$86,'EE Measures'!$IJ$8:$IJ$86)/1000</f>
        <v>2.599195430814234</v>
      </c>
      <c r="H725" s="586">
        <f>SUMPRODUCT('EE Measures'!GA$8:GA$86,'EE Measures'!$IJ$8:$IJ$86)/1000</f>
        <v>2.245589767835459</v>
      </c>
      <c r="I725" s="586">
        <f>SUMPRODUCT('EE Measures'!GB$8:GB$86,'EE Measures'!$IJ$8:$IJ$86)/1000</f>
        <v>1.6914920534597186</v>
      </c>
      <c r="J725" s="586">
        <f>SUMPRODUCT('EE Measures'!GC$8:GC$86,'EE Measures'!$IJ$8:$IJ$86)/1000</f>
        <v>0.3914527478580247</v>
      </c>
      <c r="K725" s="586">
        <f>SUMPRODUCT('EE Measures'!GD$8:GD$86,'EE Measures'!$IJ$8:$IJ$86)/1000</f>
        <v>55.275986707656166</v>
      </c>
      <c r="L725" s="586">
        <f>SUMPRODUCT('EE Measures'!GE$8:GE$86,'EE Measures'!$IJ$8:$IJ$86)/1000</f>
        <v>33.667680159565506</v>
      </c>
      <c r="M725" s="586">
        <f>SUMPRODUCT('EE Measures'!GF$8:GF$86,'EE Measures'!$IJ$8:$IJ$86)/1000</f>
        <v>19.146418742984931</v>
      </c>
      <c r="N725" s="586">
        <f>SUMPRODUCT('EE Measures'!GG$8:GG$86,'EE Measures'!$IJ$8:$IJ$86)/1000</f>
        <v>17.383122708080879</v>
      </c>
      <c r="O725" s="586">
        <f>SUMPRODUCT('EE Measures'!GH$8:GH$86,'EE Measures'!$IJ$8:$IJ$86)/1000</f>
        <v>17.364433943861425</v>
      </c>
      <c r="P725" s="586">
        <f>SUMPRODUCT('EE Measures'!GI$8:GI$86,'EE Measures'!$IJ$8:$IJ$86)/1000</f>
        <v>16.937175929771133</v>
      </c>
      <c r="Q725" s="586">
        <f>SUMPRODUCT('EE Measures'!GJ$8:GJ$86,'EE Measures'!$IJ$8:$IJ$86)/1000</f>
        <v>19.444728660806266</v>
      </c>
      <c r="R725" s="586">
        <f>SUMPRODUCT('EE Measures'!GK$8:GK$86,'EE Measures'!$IJ$8:$IJ$86)/1000</f>
        <v>19.828425133911441</v>
      </c>
      <c r="S725" s="586">
        <f>SUMPRODUCT('EE Measures'!GL$8:GL$86,'EE Measures'!$IJ$8:$IJ$86)/1000</f>
        <v>20.219793515711316</v>
      </c>
      <c r="T725" s="586">
        <f>SUMPRODUCT('EE Measures'!GM$8:GM$86,'EE Measures'!$IJ$8:$IJ$86)/1000</f>
        <v>20.618987183756758</v>
      </c>
      <c r="U725" s="586">
        <f>SUMPRODUCT('EE Measures'!GN$8:GN$86,'EE Measures'!$IJ$8:$IJ$86)/1000</f>
        <v>21.026162581330968</v>
      </c>
    </row>
    <row r="726" spans="4:23" hidden="1" outlineLevel="1" x14ac:dyDescent="0.3">
      <c r="E726" s="1160" t="s">
        <v>50</v>
      </c>
      <c r="F726" s="875">
        <f>AVERAGE(G726:P726)</f>
        <v>0.33463333658759531</v>
      </c>
      <c r="G726" s="1215">
        <f>(SUMPRODUCT('EE Measures'!FZ$8:FZ$86,'EE Measures'!$IJ$8:$IJ$86,'EE Measures'!$N$8:$N$86)/1000)</f>
        <v>0.69216433964842305</v>
      </c>
      <c r="H726" s="1215">
        <f>(SUMPRODUCT('EE Measures'!GA$8:GA$86,'EE Measures'!$IJ$8:$IJ$86,'EE Measures'!$N$8:$N$86)/1000)</f>
        <v>3.8153844710674734E-2</v>
      </c>
      <c r="I726" s="1215">
        <f>(SUMPRODUCT('EE Measures'!GB$8:GB$86,'EE Measures'!$IJ$8:$IJ$86,'EE Measures'!$N$8:$N$86)/1000)</f>
        <v>0</v>
      </c>
      <c r="J726" s="1215">
        <f>(SUMPRODUCT('EE Measures'!GC$8:GC$86,'EE Measures'!$IJ$8:$IJ$86,'EE Measures'!$N$8:$N$86)/1000)</f>
        <v>0.32666666666666666</v>
      </c>
      <c r="K726" s="1215">
        <f>(SUMPRODUCT('EE Measures'!GD$8:GD$86,'EE Measures'!$IJ$8:$IJ$86,'EE Measures'!$N$8:$N$86)/1000)</f>
        <v>0.77124884548930661</v>
      </c>
      <c r="L726" s="1215">
        <f>(SUMPRODUCT('EE Measures'!GE$8:GE$86,'EE Measures'!$IJ$8:$IJ$86,'EE Measures'!$N$8:$N$86)/1000)</f>
        <v>0.70509884548930679</v>
      </c>
      <c r="M726" s="1215">
        <f>(SUMPRODUCT('EE Measures'!GF$8:GF$86,'EE Measures'!$IJ$8:$IJ$86,'EE Measures'!$N$8:$N$86)/1000)</f>
        <v>0.57324727466723169</v>
      </c>
      <c r="N726" s="1215">
        <f>(SUMPRODUCT('EE Measures'!GG$8:GG$86,'EE Measures'!$IJ$8:$IJ$86,'EE Measures'!$N$8:$N$86)/1000)</f>
        <v>7.9917849734781041E-2</v>
      </c>
      <c r="O726" s="1215">
        <f>(SUMPRODUCT('EE Measures'!GH$8:GH$86,'EE Measures'!$IJ$8:$IJ$86,'EE Measures'!$N$8:$N$86)/1000)</f>
        <v>7.9917849734781041E-2</v>
      </c>
      <c r="P726" s="1215">
        <f>(SUMPRODUCT('EE Measures'!GI$8:GI$86,'EE Measures'!$IJ$8:$IJ$86,'EE Measures'!$N$8:$N$86)/1000)</f>
        <v>7.9917849734781041E-2</v>
      </c>
      <c r="Q726" s="1215">
        <f>(SUMPRODUCT('EE Measures'!GJ$8:GJ$86,'EE Measures'!$IJ$8:$IJ$86,'EE Measures'!$N$8:$N$86)/1000)</f>
        <v>7.9917849734781041E-2</v>
      </c>
      <c r="R726" s="1215">
        <f>(SUMPRODUCT('EE Measures'!GK$8:GK$86,'EE Measures'!$IJ$8:$IJ$86,'EE Measures'!$N$8:$N$86)/1000)</f>
        <v>7.9917849734781041E-2</v>
      </c>
      <c r="S726" s="1215">
        <f>(SUMPRODUCT('EE Measures'!GL$8:GL$86,'EE Measures'!$IJ$8:$IJ$86,'EE Measures'!$N$8:$N$86)/1000)</f>
        <v>7.9917849734781041E-2</v>
      </c>
      <c r="T726" s="1215">
        <f>(SUMPRODUCT('EE Measures'!GM$8:GM$86,'EE Measures'!$IJ$8:$IJ$86,'EE Measures'!$N$8:$N$86)/1000)</f>
        <v>7.9917849734781041E-2</v>
      </c>
      <c r="U726" s="1215">
        <f>(SUMPRODUCT('EE Measures'!GN$8:GN$86,'EE Measures'!$IJ$8:$IJ$86,'EE Measures'!$N$8:$N$86)/1000)</f>
        <v>7.9917849734781041E-2</v>
      </c>
    </row>
    <row r="727" spans="4:23" hidden="1" outlineLevel="1" x14ac:dyDescent="0.3">
      <c r="E727" s="1160" t="s">
        <v>441</v>
      </c>
      <c r="F727" s="875">
        <f>AVERAGE(G727:P727)</f>
        <v>11.34076083529192</v>
      </c>
      <c r="G727" s="1215">
        <f>(SUMPRODUCT('EE Measures'!FZ$8:FZ$86,'EE Measures'!$IJ$8:$IJ$86,'EE Measures'!$O$8:$O$86)+SUMPRODUCT('EE Measures'!FZ$8:FZ$86,'EE Measures'!$IJ$8:$IJ$86,'EE Measures'!$P$8:$P$86))/1000</f>
        <v>1.9070310911658113</v>
      </c>
      <c r="H727" s="1215">
        <f>(SUMPRODUCT('EE Measures'!GA$8:GA$86,'EE Measures'!$IJ$8:$IJ$86,'EE Measures'!$O$8:$O$86)+SUMPRODUCT('EE Measures'!GA$8:GA$86,'EE Measures'!$IJ$8:$IJ$86,'EE Measures'!$P$8:$P$86))/1000</f>
        <v>2.2074359231247844</v>
      </c>
      <c r="I727" s="1215">
        <f>(SUMPRODUCT('EE Measures'!GB$8:GB$86,'EE Measures'!$IJ$8:$IJ$86,'EE Measures'!$O$8:$O$86)+SUMPRODUCT('EE Measures'!GB$8:GB$86,'EE Measures'!$IJ$8:$IJ$86,'EE Measures'!$P$8:$P$86))/1000</f>
        <v>1.7000774206877609</v>
      </c>
      <c r="J727" s="1215">
        <f>(SUMPRODUCT('EE Measures'!GC$8:GC$86,'EE Measures'!$IJ$8:$IJ$86,'EE Measures'!$O$8:$O$86)+SUMPRODUCT('EE Measures'!GC$8:GC$86,'EE Measures'!$IJ$8:$IJ$86,'EE Measures'!$P$8:$P$86))/1000</f>
        <v>7.4004118041249373E-2</v>
      </c>
      <c r="K727" s="1215">
        <f>(SUMPRODUCT('EE Measures'!GD$8:GD$86,'EE Measures'!$IJ$8:$IJ$86,'EE Measures'!$O$8:$O$86)+SUMPRODUCT('EE Measures'!GD$8:GD$86,'EE Measures'!$IJ$8:$IJ$86,'EE Measures'!$P$8:$P$86))/1000</f>
        <v>17.044546296296296</v>
      </c>
      <c r="L727" s="1215">
        <f>(SUMPRODUCT('EE Measures'!GE$8:GE$86,'EE Measures'!$IJ$8:$IJ$86,'EE Measures'!$O$8:$O$86)+SUMPRODUCT('EE Measures'!GE$8:GE$86,'EE Measures'!$IJ$8:$IJ$86,'EE Measures'!$P$8:$P$86))/1000</f>
        <v>17.385437222222226</v>
      </c>
      <c r="M727" s="1215">
        <f>(SUMPRODUCT('EE Measures'!GF$8:GF$86,'EE Measures'!$IJ$8:$IJ$86,'EE Measures'!$O$8:$O$86)+SUMPRODUCT('EE Measures'!GF$8:GF$86,'EE Measures'!$IJ$8:$IJ$86,'EE Measures'!$P$8:$P$86))/1000</f>
        <v>17.733145966666669</v>
      </c>
      <c r="N727" s="1215">
        <f>(SUMPRODUCT('EE Measures'!GG$8:GG$86,'EE Measures'!$IJ$8:$IJ$86,'EE Measures'!$O$8:$O$86)+SUMPRODUCT('EE Measures'!GG$8:GG$86,'EE Measures'!$IJ$8:$IJ$86,'EE Measures'!$P$8:$P$86))/1000</f>
        <v>18.087808885999998</v>
      </c>
      <c r="O727" s="1215">
        <f>(SUMPRODUCT('EE Measures'!GH$8:GH$86,'EE Measures'!$IJ$8:$IJ$86,'EE Measures'!$O$8:$O$86)+SUMPRODUCT('EE Measures'!GH$8:GH$86,'EE Measures'!$IJ$8:$IJ$86,'EE Measures'!$P$8:$P$86))/1000</f>
        <v>18.449565063720001</v>
      </c>
      <c r="P727" s="1215">
        <f>(SUMPRODUCT('EE Measures'!GI$8:GI$86,'EE Measures'!$IJ$8:$IJ$86,'EE Measures'!$O$8:$O$86)+SUMPRODUCT('EE Measures'!GI$8:GI$86,'EE Measures'!$IJ$8:$IJ$86,'EE Measures'!$P$8:$P$86))/1000</f>
        <v>18.8185563649944</v>
      </c>
      <c r="Q727" s="1215">
        <f>(SUMPRODUCT('EE Measures'!GJ$8:GJ$86,'EE Measures'!$IJ$8:$IJ$86,'EE Measures'!$O$8:$O$86)+SUMPRODUCT('EE Measures'!GJ$8:GJ$86,'EE Measures'!$IJ$8:$IJ$86,'EE Measures'!$P$8:$P$86))/1000</f>
        <v>19.194927492294291</v>
      </c>
      <c r="R727" s="1215">
        <f>(SUMPRODUCT('EE Measures'!GK$8:GK$86,'EE Measures'!$IJ$8:$IJ$86,'EE Measures'!$O$8:$O$86)+SUMPRODUCT('EE Measures'!GK$8:GK$86,'EE Measures'!$IJ$8:$IJ$86,'EE Measures'!$P$8:$P$86))/1000</f>
        <v>19.578826042140179</v>
      </c>
      <c r="S727" s="1215">
        <f>(SUMPRODUCT('EE Measures'!GL$8:GL$86,'EE Measures'!$IJ$8:$IJ$86,'EE Measures'!$O$8:$O$86)+SUMPRODUCT('EE Measures'!GL$8:GL$86,'EE Measures'!$IJ$8:$IJ$86,'EE Measures'!$P$8:$P$86))/1000</f>
        <v>19.970402562982983</v>
      </c>
      <c r="T727" s="1215">
        <f>(SUMPRODUCT('EE Measures'!GM$8:GM$86,'EE Measures'!$IJ$8:$IJ$86,'EE Measures'!$O$8:$O$86)+SUMPRODUCT('EE Measures'!GM$8:GM$86,'EE Measures'!$IJ$8:$IJ$86,'EE Measures'!$P$8:$P$86))/1000</f>
        <v>20.369810614242642</v>
      </c>
      <c r="U727" s="1215">
        <f>(SUMPRODUCT('EE Measures'!GN$8:GN$86,'EE Measures'!$IJ$8:$IJ$86,'EE Measures'!$O$8:$O$86)+SUMPRODUCT('EE Measures'!GN$8:GN$86,'EE Measures'!$IJ$8:$IJ$86,'EE Measures'!$P$8:$P$86))/1000</f>
        <v>20.777206826527493</v>
      </c>
    </row>
    <row r="728" spans="4:23" hidden="1" outlineLevel="1" x14ac:dyDescent="0.3">
      <c r="E728" s="1160" t="s">
        <v>53</v>
      </c>
      <c r="F728" s="875">
        <f t="shared" ref="F728:F729" si="2447">AVERAGE(G728:P728)</f>
        <v>4.9948606473092321</v>
      </c>
      <c r="G728" s="1215">
        <f>(SUMPRODUCT('EE Measures'!FZ$8:FZ$86,'EE Measures'!$IJ$8:$IJ$86,'EE Measures'!$Q$8:$Q$86)/1000)</f>
        <v>0</v>
      </c>
      <c r="H728" s="1215">
        <f>(SUMPRODUCT('EE Measures'!GA$8:GA$86,'EE Measures'!$IJ$8:$IJ$86,'EE Measures'!$Q$8:$Q$86)/1000)</f>
        <v>0</v>
      </c>
      <c r="I728" s="1215">
        <f>(SUMPRODUCT('EE Measures'!GB$8:GB$86,'EE Measures'!$IJ$8:$IJ$86,'EE Measures'!$Q$8:$Q$86)/1000)</f>
        <v>-8.5853672280423055E-3</v>
      </c>
      <c r="J728" s="1215">
        <f>(SUMPRODUCT('EE Measures'!GC$8:GC$86,'EE Measures'!$IJ$8:$IJ$86,'EE Measures'!$Q$8:$Q$86)/1000)</f>
        <v>-9.2180368498913645E-3</v>
      </c>
      <c r="K728" s="1215">
        <f>(SUMPRODUCT('EE Measures'!GD$8:GD$86,'EE Measures'!$IJ$8:$IJ$86,'EE Measures'!$Q$8:$Q$86)/1000)</f>
        <v>37.460191565870559</v>
      </c>
      <c r="L728" s="1215">
        <f>(SUMPRODUCT('EE Measures'!GE$8:GE$86,'EE Measures'!$IJ$8:$IJ$86,'EE Measures'!$Q$8:$Q$86)/1000)</f>
        <v>15.57714409185397</v>
      </c>
      <c r="M728" s="1215">
        <f>(SUMPRODUCT('EE Measures'!GF$8:GF$86,'EE Measures'!$IJ$8:$IJ$86,'EE Measures'!$Q$8:$Q$86)/1000)</f>
        <v>0.84002550165103274</v>
      </c>
      <c r="N728" s="1215">
        <f>(SUMPRODUCT('EE Measures'!GG$8:GG$86,'EE Measures'!$IJ$8:$IJ$86,'EE Measures'!$Q$8:$Q$86)/1000)</f>
        <v>-0.78460402765390513</v>
      </c>
      <c r="O728" s="1215">
        <f>(SUMPRODUCT('EE Measures'!GH$8:GH$86,'EE Measures'!$IJ$8:$IJ$86,'EE Measures'!$Q$8:$Q$86)/1000)</f>
        <v>-1.1650489695933586</v>
      </c>
      <c r="P728" s="1215">
        <f>(SUMPRODUCT('EE Measures'!GI$8:GI$86,'EE Measures'!$IJ$8:$IJ$86,'EE Measures'!$Q$8:$Q$86)/1000)</f>
        <v>-1.9612982849580547</v>
      </c>
      <c r="Q728" s="1215">
        <f>(SUMPRODUCT('EE Measures'!GJ$8:GJ$86,'EE Measures'!$IJ$8:$IJ$86,'EE Measures'!$Q$8:$Q$86)/1000)</f>
        <v>0.16988331877719176</v>
      </c>
      <c r="R728" s="1215">
        <f>(SUMPRODUCT('EE Measures'!GK$8:GK$86,'EE Measures'!$IJ$8:$IJ$86,'EE Measures'!$Q$8:$Q$86)/1000)</f>
        <v>0.16968124203648277</v>
      </c>
      <c r="S728" s="1215">
        <f>(SUMPRODUCT('EE Measures'!GL$8:GL$86,'EE Measures'!$IJ$8:$IJ$86,'EE Measures'!$Q$8:$Q$86)/1000)</f>
        <v>0.16947310299355248</v>
      </c>
      <c r="T728" s="1215">
        <f>(SUMPRODUCT('EE Measures'!GM$8:GM$86,'EE Measures'!$IJ$8:$IJ$86,'EE Measures'!$Q$8:$Q$86)/1000)</f>
        <v>0.16925871977933429</v>
      </c>
      <c r="U728" s="1215">
        <f>(SUMPRODUCT('EE Measures'!GN$8:GN$86,'EE Measures'!$IJ$8:$IJ$86,'EE Measures'!$Q$8:$Q$86)/1000)</f>
        <v>0.16903790506868954</v>
      </c>
    </row>
    <row r="729" spans="4:23" hidden="1" outlineLevel="1" x14ac:dyDescent="0.3">
      <c r="E729" s="563" t="s">
        <v>202</v>
      </c>
      <c r="F729" s="875">
        <f t="shared" si="2447"/>
        <v>1.1857290701300658E-2</v>
      </c>
      <c r="G729" s="645" cm="1">
        <f t="array" ref="G729">_xlfn.XLOOKUP($E723,_xlfn.ANCHORARRAY(Assumptions!$B$635),Assumptions!C$635:C$641)*G$689</f>
        <v>0</v>
      </c>
      <c r="H729" s="645" cm="1">
        <f t="array" ref="H729">_xlfn.XLOOKUP($E723,_xlfn.ANCHORARRAY(Assumptions!$B$635),Assumptions!D$635:D$641)*H$689</f>
        <v>4.0409265440850932E-3</v>
      </c>
      <c r="I729" s="645" cm="1">
        <f t="array" ref="I729">_xlfn.XLOOKUP($E723,_xlfn.ANCHORARRAY(Assumptions!$B$635),Assumptions!E$635:E$641)*I$689</f>
        <v>6.245460000773995E-3</v>
      </c>
      <c r="J729" s="645" cm="1">
        <f t="array" ref="J729">_xlfn.XLOOKUP($E723,_xlfn.ANCHORARRAY(Assumptions!$B$635),Assumptions!F$635:F$641)*J$689</f>
        <v>5.2804609490368477E-2</v>
      </c>
      <c r="K729" s="645" cm="1">
        <f t="array" ref="K729">_xlfn.XLOOKUP($E723,_xlfn.ANCHORARRAY(Assumptions!$B$635),Assumptions!G$635:G$641)*K$689</f>
        <v>2.7744354914452419E-2</v>
      </c>
      <c r="L729" s="645" cm="1">
        <f t="array" ref="L729">_xlfn.XLOOKUP($E723,_xlfn.ANCHORARRAY(Assumptions!$B$635),Assumptions!H$635:H$641)*L$689</f>
        <v>5.2671299680068879E-3</v>
      </c>
      <c r="M729" s="645" cm="1">
        <f t="array" ref="M729">_xlfn.XLOOKUP($E723,_xlfn.ANCHORARRAY(Assumptions!$B$635),Assumptions!I$635:I$641)*M$689</f>
        <v>5.4310247433817897E-3</v>
      </c>
      <c r="N729" s="645" cm="1">
        <f t="array" ref="N729">_xlfn.XLOOKUP($E723,_xlfn.ANCHORARRAY(Assumptions!$B$635),Assumptions!J$635:J$641)*N$689</f>
        <v>5.5100623857917063E-3</v>
      </c>
      <c r="O729" s="645" cm="1">
        <f t="array" ref="O729">_xlfn.XLOOKUP($E723,_xlfn.ANCHORARRAY(Assumptions!$B$635),Assumptions!K$635:K$641)*O$689</f>
        <v>5.6826302505559858E-3</v>
      </c>
      <c r="P729" s="645" cm="1">
        <f t="array" ref="P729">_xlfn.XLOOKUP($E723,_xlfn.ANCHORARRAY(Assumptions!$B$635),Assumptions!L$635:L$641)*P$689</f>
        <v>5.8467087155902164E-3</v>
      </c>
      <c r="Q729" s="645" cm="1">
        <f t="array" ref="Q729">_xlfn.XLOOKUP($E723,_xlfn.ANCHORARRAY(Assumptions!$B$635),Assumptions!M$635:M$641)*Q$689</f>
        <v>5.8477104696336999E-3</v>
      </c>
      <c r="R729" s="645" cm="1">
        <f t="array" ref="R729">_xlfn.XLOOKUP($E723,_xlfn.ANCHORARRAY(Assumptions!$B$635),Assumptions!N$635:N$641)*R$689</f>
        <v>5.9966352594651839E-3</v>
      </c>
      <c r="S729" s="645" cm="1">
        <f t="array" ref="S729">_xlfn.XLOOKUP($E723,_xlfn.ANCHORARRAY(Assumptions!$B$635),Assumptions!O$635:O$641)*S$689</f>
        <v>6.1416579761493619E-3</v>
      </c>
      <c r="T729" s="645" cm="1">
        <f t="array" ref="T729">_xlfn.XLOOKUP($E723,_xlfn.ANCHORARRAY(Assumptions!$B$635),Assumptions!P$635:P$641)*T$689</f>
        <v>6.2799020249297028E-3</v>
      </c>
      <c r="U729" s="645" cm="1">
        <f t="array" ref="U729">_xlfn.XLOOKUP($E723,_xlfn.ANCHORARRAY(Assumptions!$B$635),Assumptions!Q$635:Q$641)*U$689</f>
        <v>6.4057549239839376E-3</v>
      </c>
    </row>
    <row r="730" spans="4:23" hidden="1" outlineLevel="1" x14ac:dyDescent="0.3">
      <c r="E730" s="563" t="s">
        <v>438</v>
      </c>
      <c r="F730" s="584"/>
      <c r="G730" s="594"/>
      <c r="H730" s="598">
        <f>(H723-G723)/G723</f>
        <v>4.0652990310379139E-2</v>
      </c>
      <c r="I730" s="598">
        <f>(I723-H723)/H723</f>
        <v>1.8363974064193752E-3</v>
      </c>
      <c r="J730" s="598">
        <f t="shared" ref="J730:P730" si="2448">(J723-I723)/I723</f>
        <v>4.1805394364840551E-3</v>
      </c>
      <c r="K730" s="598">
        <f t="shared" si="2448"/>
        <v>8.3305231586688427E-2</v>
      </c>
      <c r="L730" s="598">
        <f t="shared" si="2448"/>
        <v>-2.8797996929807619E-2</v>
      </c>
      <c r="M730" s="598">
        <f t="shared" si="2448"/>
        <v>-2.0185770922465322E-2</v>
      </c>
      <c r="N730" s="598">
        <f t="shared" si="2448"/>
        <v>-2.4207138737970164E-2</v>
      </c>
      <c r="O730" s="598">
        <f t="shared" si="2448"/>
        <v>-3.7253093525419587E-3</v>
      </c>
      <c r="P730" s="598">
        <f t="shared" si="2448"/>
        <v>-4.5403345099664164E-3</v>
      </c>
      <c r="Q730" s="598">
        <f t="shared" ref="Q730" si="2449">(Q723-P723)/P723</f>
        <v>6.9094904184835456E-5</v>
      </c>
      <c r="R730" s="598">
        <f t="shared" ref="R730" si="2450">(R723-Q723)/Q723</f>
        <v>-2.9675377769672598E-3</v>
      </c>
      <c r="S730" s="598">
        <f t="shared" ref="S730" si="2451">(S723-R723)/R723</f>
        <v>-2.882015416390249E-3</v>
      </c>
      <c r="T730" s="598">
        <f t="shared" ref="T730" si="2452">(T723-S723)/S723</f>
        <v>-3.2528259007708967E-3</v>
      </c>
      <c r="U730" s="598">
        <f t="shared" ref="U730" si="2453">(U723-T723)/T723</f>
        <v>-4.4521901412050199E-3</v>
      </c>
    </row>
    <row r="731" spans="4:23" hidden="1" outlineLevel="1" collapsed="1" x14ac:dyDescent="0.3">
      <c r="E731" s="596" t="str">
        <f>'EE Measures'!$IK$6</f>
        <v>CEER1</v>
      </c>
      <c r="F731" s="872">
        <f>SUM(G731:P731)/SUM($G$689:$P$689)-1</f>
        <v>2.4293704991872112E-2</v>
      </c>
      <c r="G731" s="591">
        <f t="shared" ref="G731:U731" si="2454">G$689+G732</f>
        <v>653.09919543081423</v>
      </c>
      <c r="H731" s="591">
        <f t="shared" si="2454"/>
        <v>679.64963069437954</v>
      </c>
      <c r="I731" s="591">
        <f t="shared" si="2454"/>
        <v>680.89773751346058</v>
      </c>
      <c r="J731" s="591">
        <f t="shared" si="2454"/>
        <v>683.74425735734837</v>
      </c>
      <c r="K731" s="591">
        <f t="shared" si="2454"/>
        <v>727.14406948733108</v>
      </c>
      <c r="L731" s="591">
        <f t="shared" si="2454"/>
        <v>715.2755167500485</v>
      </c>
      <c r="M731" s="591">
        <f t="shared" si="2454"/>
        <v>708.38511392763314</v>
      </c>
      <c r="N731" s="591">
        <f t="shared" si="2454"/>
        <v>691.43149722616886</v>
      </c>
      <c r="O731" s="591">
        <f t="shared" si="2454"/>
        <v>689.00434351820968</v>
      </c>
      <c r="P731" s="591">
        <f t="shared" si="2454"/>
        <v>685.99729234533459</v>
      </c>
      <c r="Q731" s="591">
        <f t="shared" si="2454"/>
        <v>686.59254896762604</v>
      </c>
      <c r="R731" s="591">
        <f t="shared" si="2454"/>
        <v>684.65473389215663</v>
      </c>
      <c r="S731" s="591">
        <f t="shared" si="2454"/>
        <v>682.78276841930358</v>
      </c>
      <c r="T731" s="591">
        <f t="shared" si="2454"/>
        <v>680.66668342204014</v>
      </c>
      <c r="U731" s="591">
        <f t="shared" si="2454"/>
        <v>677.7488626809502</v>
      </c>
      <c r="V731" s="569">
        <f>SUM(G731:P731)</f>
        <v>6914.6286542507278</v>
      </c>
      <c r="W731" s="898">
        <f>AVERAGE(G732:P732)</f>
        <v>16.399783366436484</v>
      </c>
    </row>
    <row r="732" spans="4:23" hidden="1" outlineLevel="1" x14ac:dyDescent="0.3">
      <c r="D732" s="554" t="str">
        <f>E731</f>
        <v>CEER1</v>
      </c>
      <c r="E732" s="563" t="s">
        <v>439</v>
      </c>
      <c r="F732" s="875">
        <f>AVERAGE(G732:P732)</f>
        <v>16.399783366436484</v>
      </c>
      <c r="G732" s="501">
        <f t="shared" ref="G732" si="2455">G733+G737</f>
        <v>2.599195430814234</v>
      </c>
      <c r="H732" s="501">
        <f t="shared" ref="H732:P732" si="2456">H733+H737</f>
        <v>2.2496306943795443</v>
      </c>
      <c r="I732" s="501">
        <f t="shared" si="2456"/>
        <v>1.6977375134604926</v>
      </c>
      <c r="J732" s="501">
        <f t="shared" si="2456"/>
        <v>0.44425735734839317</v>
      </c>
      <c r="K732" s="501">
        <f t="shared" si="2456"/>
        <v>41.744069487331146</v>
      </c>
      <c r="L732" s="501">
        <f t="shared" si="2456"/>
        <v>29.575516750048436</v>
      </c>
      <c r="M732" s="501">
        <f t="shared" si="2456"/>
        <v>22.685113927633083</v>
      </c>
      <c r="N732" s="501">
        <f t="shared" si="2456"/>
        <v>21.03072674594944</v>
      </c>
      <c r="O732" s="501">
        <f t="shared" si="2456"/>
        <v>21.147285138144582</v>
      </c>
      <c r="P732" s="501">
        <f t="shared" si="2456"/>
        <v>20.824300619255471</v>
      </c>
      <c r="Q732" s="501">
        <f t="shared" ref="Q732:U732" si="2457">Q733+Q737</f>
        <v>23.879980233680691</v>
      </c>
      <c r="R732" s="501">
        <f t="shared" si="2457"/>
        <v>24.350355459260907</v>
      </c>
      <c r="S732" s="501">
        <f t="shared" si="2457"/>
        <v>24.830073898391895</v>
      </c>
      <c r="T732" s="501">
        <f t="shared" si="2457"/>
        <v>25.319317825242589</v>
      </c>
      <c r="U732" s="501">
        <f t="shared" si="2457"/>
        <v>25.818357025579697</v>
      </c>
    </row>
    <row r="733" spans="4:23" hidden="1" outlineLevel="1" x14ac:dyDescent="0.3">
      <c r="E733" s="563" t="s">
        <v>440</v>
      </c>
      <c r="F733" s="875">
        <f>AVERAGE(G733:P733)</f>
        <v>16.387926075735184</v>
      </c>
      <c r="G733" s="586">
        <f>SUMPRODUCT('EE Measures'!FZ$8:FZ$86,'EE Measures'!$IK$8:$IK$86)/1000</f>
        <v>2.599195430814234</v>
      </c>
      <c r="H733" s="586">
        <f>SUMPRODUCT('EE Measures'!GA$8:GA$86,'EE Measures'!$IK$8:$IK$86)/1000</f>
        <v>2.245589767835459</v>
      </c>
      <c r="I733" s="586">
        <f>SUMPRODUCT('EE Measures'!GB$8:GB$86,'EE Measures'!$IK$8:$IK$86)/1000</f>
        <v>1.6914920534597186</v>
      </c>
      <c r="J733" s="586">
        <f>SUMPRODUCT('EE Measures'!GC$8:GC$86,'EE Measures'!$IK$8:$IK$86)/1000</f>
        <v>0.3914527478580247</v>
      </c>
      <c r="K733" s="586">
        <f>SUMPRODUCT('EE Measures'!GD$8:GD$86,'EE Measures'!$IK$8:$IK$86)/1000</f>
        <v>41.716325132416692</v>
      </c>
      <c r="L733" s="586">
        <f>SUMPRODUCT('EE Measures'!GE$8:GE$86,'EE Measures'!$IK$8:$IK$86)/1000</f>
        <v>29.570249620080428</v>
      </c>
      <c r="M733" s="586">
        <f>SUMPRODUCT('EE Measures'!GF$8:GF$86,'EE Measures'!$IK$8:$IK$86)/1000</f>
        <v>22.679682902889702</v>
      </c>
      <c r="N733" s="586">
        <f>SUMPRODUCT('EE Measures'!GG$8:GG$86,'EE Measures'!$IK$8:$IK$86)/1000</f>
        <v>21.025216683563649</v>
      </c>
      <c r="O733" s="586">
        <f>SUMPRODUCT('EE Measures'!GH$8:GH$86,'EE Measures'!$IK$8:$IK$86)/1000</f>
        <v>21.141602507894024</v>
      </c>
      <c r="P733" s="586">
        <f>SUMPRODUCT('EE Measures'!GI$8:GI$86,'EE Measures'!$IK$8:$IK$86)/1000</f>
        <v>20.81845391053988</v>
      </c>
      <c r="Q733" s="586">
        <f>SUMPRODUCT('EE Measures'!GJ$8:GJ$86,'EE Measures'!$IK$8:$IK$86)/1000</f>
        <v>23.874132523211056</v>
      </c>
      <c r="R733" s="586">
        <f>SUMPRODUCT('EE Measures'!GK$8:GK$86,'EE Measures'!$IK$8:$IK$86)/1000</f>
        <v>24.344358824001443</v>
      </c>
      <c r="S733" s="586">
        <f>SUMPRODUCT('EE Measures'!GL$8:GL$86,'EE Measures'!$IK$8:$IK$86)/1000</f>
        <v>24.823932240415747</v>
      </c>
      <c r="T733" s="586">
        <f>SUMPRODUCT('EE Measures'!GM$8:GM$86,'EE Measures'!$IK$8:$IK$86)/1000</f>
        <v>25.31303792321766</v>
      </c>
      <c r="U733" s="586">
        <f>SUMPRODUCT('EE Measures'!GN$8:GN$86,'EE Measures'!$IK$8:$IK$86)/1000</f>
        <v>25.811951270655712</v>
      </c>
    </row>
    <row r="734" spans="4:23" hidden="1" outlineLevel="1" x14ac:dyDescent="0.3">
      <c r="E734" s="1160" t="s">
        <v>50</v>
      </c>
      <c r="F734" s="875">
        <f>AVERAGE(G734:P734)</f>
        <v>0.46502923013344344</v>
      </c>
      <c r="G734" s="1215">
        <f>(SUMPRODUCT('EE Measures'!FZ$8:FZ$86,'EE Measures'!$IK$8:$IK$86,'EE Measures'!$N$8:$N$86)/1000)</f>
        <v>0.69216433964842305</v>
      </c>
      <c r="H734" s="1215">
        <f>(SUMPRODUCT('EE Measures'!GA$8:GA$86,'EE Measures'!$IK$8:$IK$86,'EE Measures'!$N$8:$N$86)/1000)</f>
        <v>3.8153844710674734E-2</v>
      </c>
      <c r="I734" s="1215">
        <f>(SUMPRODUCT('EE Measures'!GB$8:GB$86,'EE Measures'!$IK$8:$IK$86,'EE Measures'!$N$8:$N$86)/1000)</f>
        <v>0</v>
      </c>
      <c r="J734" s="1215">
        <f>(SUMPRODUCT('EE Measures'!GC$8:GC$86,'EE Measures'!$IK$8:$IK$86,'EE Measures'!$N$8:$N$86)/1000)</f>
        <v>0.32666666666666666</v>
      </c>
      <c r="K734" s="1215">
        <f>(SUMPRODUCT('EE Measures'!GD$8:GD$86,'EE Measures'!$IK$8:$IK$86,'EE Measures'!$N$8:$N$86)/1000)</f>
        <v>0.77979169776187429</v>
      </c>
      <c r="L734" s="1215">
        <f>(SUMPRODUCT('EE Measures'!GE$8:GE$86,'EE Measures'!$IK$8:$IK$86,'EE Measures'!$N$8:$N$86)/1000)</f>
        <v>0.77157647425700415</v>
      </c>
      <c r="M734" s="1215">
        <f>(SUMPRODUCT('EE Measures'!GF$8:GF$86,'EE Measures'!$IK$8:$IK$86,'EE Measures'!$N$8:$N$86)/1000)</f>
        <v>0.71758465838033036</v>
      </c>
      <c r="N734" s="1215">
        <f>(SUMPRODUCT('EE Measures'!GG$8:GG$86,'EE Measures'!$IK$8:$IK$86,'EE Measures'!$N$8:$N$86)/1000)</f>
        <v>0.32587520569255513</v>
      </c>
      <c r="O734" s="1215">
        <f>(SUMPRODUCT('EE Measures'!GH$8:GH$86,'EE Measures'!$IK$8:$IK$86,'EE Measures'!$N$8:$N$86)/1000)</f>
        <v>0.45227227404238074</v>
      </c>
      <c r="P734" s="1215">
        <f>(SUMPRODUCT('EE Measures'!GI$8:GI$86,'EE Measures'!$IK$8:$IK$86,'EE Measures'!$N$8:$N$86)/1000)</f>
        <v>0.5462071401745251</v>
      </c>
      <c r="Q734" s="1215">
        <f>(SUMPRODUCT('EE Measures'!GJ$8:GJ$86,'EE Measures'!$IK$8:$IK$86,'EE Measures'!$N$8:$N$86)/1000)</f>
        <v>0.5532395001944922</v>
      </c>
      <c r="R734" s="1215">
        <f>(SUMPRODUCT('EE Measures'!GK$8:GK$86,'EE Measures'!$IK$8:$IK$86,'EE Measures'!$N$8:$N$86)/1000)</f>
        <v>0.56033629583129896</v>
      </c>
      <c r="S734" s="1215">
        <f>(SUMPRODUCT('EE Measures'!GL$8:GL$86,'EE Measures'!$IK$8:$IK$86,'EE Measures'!$N$8:$N$86)/1000)</f>
        <v>0.56751963775635939</v>
      </c>
      <c r="T734" s="1215">
        <f>(SUMPRODUCT('EE Measures'!GM$8:GM$86,'EE Measures'!$IK$8:$IK$86,'EE Measures'!$N$8:$N$86)/1000)</f>
        <v>0.57478952596967381</v>
      </c>
      <c r="U734" s="1215">
        <f>(SUMPRODUCT('EE Measures'!GN$8:GN$86,'EE Measures'!$IK$8:$IK$86,'EE Measures'!$N$8:$N$86)/1000)</f>
        <v>0.58223250675949545</v>
      </c>
    </row>
    <row r="735" spans="4:23" hidden="1" outlineLevel="1" x14ac:dyDescent="0.3">
      <c r="E735" s="1160" t="s">
        <v>441</v>
      </c>
      <c r="F735" s="875">
        <f>AVERAGE(G735:P735)</f>
        <v>13.565454032577506</v>
      </c>
      <c r="G735" s="1215">
        <f>(SUMPRODUCT('EE Measures'!FZ$8:FZ$86,'EE Measures'!$IK$8:$IK$86,'EE Measures'!$O$8:$O$86)+SUMPRODUCT('EE Measures'!FZ$8:FZ$86,'EE Measures'!$IK$8:$IK$86,'EE Measures'!$P$8:$P$86))/1000</f>
        <v>1.9070310911658113</v>
      </c>
      <c r="H735" s="1215">
        <f>(SUMPRODUCT('EE Measures'!GA$8:GA$86,'EE Measures'!$IK$8:$IK$86,'EE Measures'!$O$8:$O$86)+SUMPRODUCT('EE Measures'!GA$8:GA$86,'EE Measures'!$IK$8:$IK$86,'EE Measures'!$P$8:$P$86))/1000</f>
        <v>2.2074359231247844</v>
      </c>
      <c r="I735" s="1215">
        <f>(SUMPRODUCT('EE Measures'!GB$8:GB$86,'EE Measures'!$IK$8:$IK$86,'EE Measures'!$O$8:$O$86)+SUMPRODUCT('EE Measures'!GB$8:GB$86,'EE Measures'!$IK$8:$IK$86,'EE Measures'!$P$8:$P$86))/1000</f>
        <v>1.7000774206877609</v>
      </c>
      <c r="J735" s="1215">
        <f>(SUMPRODUCT('EE Measures'!GC$8:GC$86,'EE Measures'!$IK$8:$IK$86,'EE Measures'!$O$8:$O$86)+SUMPRODUCT('EE Measures'!GC$8:GC$86,'EE Measures'!$IK$8:$IK$86,'EE Measures'!$P$8:$P$86))/1000</f>
        <v>7.4004118041249373E-2</v>
      </c>
      <c r="K735" s="1215">
        <f>(SUMPRODUCT('EE Measures'!GD$8:GD$86,'EE Measures'!$IK$8:$IK$86,'EE Measures'!$O$8:$O$86)+SUMPRODUCT('EE Measures'!GD$8:GD$86,'EE Measures'!$IK$8:$IK$86,'EE Measures'!$P$8:$P$86))/1000</f>
        <v>20.571259259259264</v>
      </c>
      <c r="L735" s="1215">
        <f>(SUMPRODUCT('EE Measures'!GE$8:GE$86,'EE Measures'!$IK$8:$IK$86,'EE Measures'!$O$8:$O$86)+SUMPRODUCT('EE Measures'!GE$8:GE$86,'EE Measures'!$IK$8:$IK$86,'EE Measures'!$P$8:$P$86))/1000</f>
        <v>20.982684444444448</v>
      </c>
      <c r="M735" s="1215">
        <f>(SUMPRODUCT('EE Measures'!GF$8:GF$86,'EE Measures'!$IK$8:$IK$86,'EE Measures'!$O$8:$O$86)+SUMPRODUCT('EE Measures'!GF$8:GF$86,'EE Measures'!$IK$8:$IK$86,'EE Measures'!$P$8:$P$86))/1000</f>
        <v>21.402338133333338</v>
      </c>
      <c r="N735" s="1215">
        <f>(SUMPRODUCT('EE Measures'!GG$8:GG$86,'EE Measures'!$IK$8:$IK$86,'EE Measures'!$O$8:$O$86)+SUMPRODUCT('EE Measures'!GG$8:GG$86,'EE Measures'!$IK$8:$IK$86,'EE Measures'!$P$8:$P$86))/1000</f>
        <v>21.830384896000002</v>
      </c>
      <c r="O735" s="1215">
        <f>(SUMPRODUCT('EE Measures'!GH$8:GH$86,'EE Measures'!$IK$8:$IK$86,'EE Measures'!$O$8:$O$86)+SUMPRODUCT('EE Measures'!GH$8:GH$86,'EE Measures'!$IK$8:$IK$86,'EE Measures'!$P$8:$P$86))/1000</f>
        <v>22.266992593920005</v>
      </c>
      <c r="P735" s="1215">
        <f>(SUMPRODUCT('EE Measures'!GI$8:GI$86,'EE Measures'!$IK$8:$IK$86,'EE Measures'!$O$8:$O$86)+SUMPRODUCT('EE Measures'!GI$8:GI$86,'EE Measures'!$IK$8:$IK$86,'EE Measures'!$P$8:$P$86))/1000</f>
        <v>22.712332445798406</v>
      </c>
      <c r="Q735" s="1215">
        <f>(SUMPRODUCT('EE Measures'!GJ$8:GJ$86,'EE Measures'!$IK$8:$IK$86,'EE Measures'!$O$8:$O$86)+SUMPRODUCT('EE Measures'!GJ$8:GJ$86,'EE Measures'!$IK$8:$IK$86,'EE Measures'!$P$8:$P$86))/1000</f>
        <v>23.166579094714375</v>
      </c>
      <c r="R735" s="1215">
        <f>(SUMPRODUCT('EE Measures'!GK$8:GK$86,'EE Measures'!$IK$8:$IK$86,'EE Measures'!$O$8:$O$86)+SUMPRODUCT('EE Measures'!GK$8:GK$86,'EE Measures'!$IK$8:$IK$86,'EE Measures'!$P$8:$P$86))/1000</f>
        <v>23.62991067660866</v>
      </c>
      <c r="S735" s="1215">
        <f>(SUMPRODUCT('EE Measures'!GL$8:GL$86,'EE Measures'!$IK$8:$IK$86,'EE Measures'!$O$8:$O$86)+SUMPRODUCT('EE Measures'!GL$8:GL$86,'EE Measures'!$IK$8:$IK$86,'EE Measures'!$P$8:$P$86))/1000</f>
        <v>24.102508890140836</v>
      </c>
      <c r="T735" s="1215">
        <f>(SUMPRODUCT('EE Measures'!GM$8:GM$86,'EE Measures'!$IK$8:$IK$86,'EE Measures'!$O$8:$O$86)+SUMPRODUCT('EE Measures'!GM$8:GM$86,'EE Measures'!$IK$8:$IK$86,'EE Measures'!$P$8:$P$86))/1000</f>
        <v>24.584559067943651</v>
      </c>
      <c r="U735" s="1215">
        <f>(SUMPRODUCT('EE Measures'!GN$8:GN$86,'EE Measures'!$IK$8:$IK$86,'EE Measures'!$O$8:$O$86)+SUMPRODUCT('EE Measures'!GN$8:GN$86,'EE Measures'!$IK$8:$IK$86,'EE Measures'!$P$8:$P$86))/1000</f>
        <v>25.076250249302525</v>
      </c>
    </row>
    <row r="736" spans="4:23" hidden="1" outlineLevel="1" x14ac:dyDescent="0.3">
      <c r="E736" s="1160" t="s">
        <v>53</v>
      </c>
      <c r="F736" s="875">
        <f t="shared" ref="F736:F737" si="2458">AVERAGE(G736:P736)</f>
        <v>2.3574428130242309</v>
      </c>
      <c r="G736" s="1215">
        <f>(SUMPRODUCT('EE Measures'!FZ$8:FZ$86,'EE Measures'!$IK$8:$IK$86,'EE Measures'!$Q$8:$Q$86)/1000)</f>
        <v>0</v>
      </c>
      <c r="H736" s="1215">
        <f>(SUMPRODUCT('EE Measures'!GA$8:GA$86,'EE Measures'!$IK$8:$IK$86,'EE Measures'!$Q$8:$Q$86)/1000)</f>
        <v>0</v>
      </c>
      <c r="I736" s="1215">
        <f>(SUMPRODUCT('EE Measures'!GB$8:GB$86,'EE Measures'!$IK$8:$IK$86,'EE Measures'!$Q$8:$Q$86)/1000)</f>
        <v>-8.5853672280423055E-3</v>
      </c>
      <c r="J736" s="1215">
        <f>(SUMPRODUCT('EE Measures'!GC$8:GC$86,'EE Measures'!$IK$8:$IK$86,'EE Measures'!$Q$8:$Q$86)/1000)</f>
        <v>-9.2180368498913645E-3</v>
      </c>
      <c r="K736" s="1215">
        <f>(SUMPRODUCT('EE Measures'!GD$8:GD$86,'EE Measures'!$IK$8:$IK$86,'EE Measures'!$Q$8:$Q$86)/1000)</f>
        <v>20.365274175395562</v>
      </c>
      <c r="L736" s="1215">
        <f>(SUMPRODUCT('EE Measures'!GE$8:GE$86,'EE Measures'!$IK$8:$IK$86,'EE Measures'!$Q$8:$Q$86)/1000)</f>
        <v>7.8159887013789699</v>
      </c>
      <c r="M736" s="1215">
        <f>(SUMPRODUCT('EE Measures'!GF$8:GF$86,'EE Measures'!$IK$8:$IK$86,'EE Measures'!$Q$8:$Q$86)/1000)</f>
        <v>0.55976011117603286</v>
      </c>
      <c r="N736" s="1215">
        <f>(SUMPRODUCT('EE Measures'!GG$8:GG$86,'EE Measures'!$IK$8:$IK$86,'EE Measures'!$Q$8:$Q$86)/1000)</f>
        <v>-1.131043418128906</v>
      </c>
      <c r="O736" s="1215">
        <f>(SUMPRODUCT('EE Measures'!GH$8:GH$86,'EE Measures'!$IK$8:$IK$86,'EE Measures'!$Q$8:$Q$86)/1000)</f>
        <v>-1.5776623600683586</v>
      </c>
      <c r="P736" s="1215">
        <f>(SUMPRODUCT('EE Measures'!GI$8:GI$86,'EE Measures'!$IK$8:$IK$86,'EE Measures'!$Q$8:$Q$86)/1000)</f>
        <v>-2.4400856754330542</v>
      </c>
      <c r="Q736" s="1215">
        <f>(SUMPRODUCT('EE Measures'!GJ$8:GJ$86,'EE Measures'!$IK$8:$IK$86,'EE Measures'!$Q$8:$Q$86)/1000)</f>
        <v>0.15431392830219179</v>
      </c>
      <c r="R736" s="1215">
        <f>(SUMPRODUCT('EE Measures'!GK$8:GK$86,'EE Measures'!$IK$8:$IK$86,'EE Measures'!$Q$8:$Q$86)/1000)</f>
        <v>0.15411185156148274</v>
      </c>
      <c r="S736" s="1215">
        <f>(SUMPRODUCT('EE Measures'!GL$8:GL$86,'EE Measures'!$IK$8:$IK$86,'EE Measures'!$Q$8:$Q$86)/1000)</f>
        <v>0.15390371251855248</v>
      </c>
      <c r="T736" s="1215">
        <f>(SUMPRODUCT('EE Measures'!GM$8:GM$86,'EE Measures'!$IK$8:$IK$86,'EE Measures'!$Q$8:$Q$86)/1000)</f>
        <v>0.15368932930433427</v>
      </c>
      <c r="U736" s="1215">
        <f>(SUMPRODUCT('EE Measures'!GN$8:GN$86,'EE Measures'!$IK$8:$IK$86,'EE Measures'!$Q$8:$Q$86)/1000)</f>
        <v>0.15346851459368954</v>
      </c>
    </row>
    <row r="737" spans="2:60" hidden="1" outlineLevel="1" x14ac:dyDescent="0.3">
      <c r="E737" s="563" t="s">
        <v>202</v>
      </c>
      <c r="F737" s="875">
        <f t="shared" si="2458"/>
        <v>1.1857290701300658E-2</v>
      </c>
      <c r="G737" s="645" cm="1">
        <f t="array" ref="G737">_xlfn.XLOOKUP($E731,_xlfn.ANCHORARRAY(Assumptions!$B$635),Assumptions!C$635:C$641)*G$689</f>
        <v>0</v>
      </c>
      <c r="H737" s="645" cm="1">
        <f t="array" ref="H737">_xlfn.XLOOKUP($E731,_xlfn.ANCHORARRAY(Assumptions!$B$635),Assumptions!D$635:D$641)*H$689</f>
        <v>4.0409265440850932E-3</v>
      </c>
      <c r="I737" s="645" cm="1">
        <f t="array" ref="I737">_xlfn.XLOOKUP($E731,_xlfn.ANCHORARRAY(Assumptions!$B$635),Assumptions!E$635:E$641)*I$689</f>
        <v>6.245460000773995E-3</v>
      </c>
      <c r="J737" s="645" cm="1">
        <f t="array" ref="J737">_xlfn.XLOOKUP($E731,_xlfn.ANCHORARRAY(Assumptions!$B$635),Assumptions!F$635:F$641)*J$689</f>
        <v>5.2804609490368477E-2</v>
      </c>
      <c r="K737" s="645" cm="1">
        <f t="array" ref="K737">_xlfn.XLOOKUP($E731,_xlfn.ANCHORARRAY(Assumptions!$B$635),Assumptions!G$635:G$641)*K$689</f>
        <v>2.7744354914452419E-2</v>
      </c>
      <c r="L737" s="645" cm="1">
        <f t="array" ref="L737">_xlfn.XLOOKUP($E731,_xlfn.ANCHORARRAY(Assumptions!$B$635),Assumptions!H$635:H$641)*L$689</f>
        <v>5.2671299680068879E-3</v>
      </c>
      <c r="M737" s="645" cm="1">
        <f t="array" ref="M737">_xlfn.XLOOKUP($E731,_xlfn.ANCHORARRAY(Assumptions!$B$635),Assumptions!I$635:I$641)*M$689</f>
        <v>5.4310247433817897E-3</v>
      </c>
      <c r="N737" s="645" cm="1">
        <f t="array" ref="N737">_xlfn.XLOOKUP($E731,_xlfn.ANCHORARRAY(Assumptions!$B$635),Assumptions!J$635:J$641)*N$689</f>
        <v>5.5100623857917063E-3</v>
      </c>
      <c r="O737" s="645" cm="1">
        <f t="array" ref="O737">_xlfn.XLOOKUP($E731,_xlfn.ANCHORARRAY(Assumptions!$B$635),Assumptions!K$635:K$641)*O$689</f>
        <v>5.6826302505559858E-3</v>
      </c>
      <c r="P737" s="645" cm="1">
        <f t="array" ref="P737">_xlfn.XLOOKUP($E731,_xlfn.ANCHORARRAY(Assumptions!$B$635),Assumptions!L$635:L$641)*P$689</f>
        <v>5.8467087155902164E-3</v>
      </c>
      <c r="Q737" s="645" cm="1">
        <f t="array" ref="Q737">_xlfn.XLOOKUP($E731,_xlfn.ANCHORARRAY(Assumptions!$B$635),Assumptions!M$635:M$641)*Q$689</f>
        <v>5.8477104696336999E-3</v>
      </c>
      <c r="R737" s="645" cm="1">
        <f t="array" ref="R737">_xlfn.XLOOKUP($E731,_xlfn.ANCHORARRAY(Assumptions!$B$635),Assumptions!N$635:N$641)*R$689</f>
        <v>5.9966352594651839E-3</v>
      </c>
      <c r="S737" s="645" cm="1">
        <f t="array" ref="S737">_xlfn.XLOOKUP($E731,_xlfn.ANCHORARRAY(Assumptions!$B$635),Assumptions!O$635:O$641)*S$689</f>
        <v>6.1416579761493619E-3</v>
      </c>
      <c r="T737" s="645" cm="1">
        <f t="array" ref="T737">_xlfn.XLOOKUP($E731,_xlfn.ANCHORARRAY(Assumptions!$B$635),Assumptions!P$635:P$641)*T$689</f>
        <v>6.2799020249297028E-3</v>
      </c>
      <c r="U737" s="645" cm="1">
        <f t="array" ref="U737">_xlfn.XLOOKUP($E731,_xlfn.ANCHORARRAY(Assumptions!$B$635),Assumptions!Q$635:Q$641)*U$689</f>
        <v>6.4057549239839376E-3</v>
      </c>
    </row>
    <row r="738" spans="2:60" hidden="1" outlineLevel="1" x14ac:dyDescent="0.3">
      <c r="E738" s="563" t="s">
        <v>438</v>
      </c>
      <c r="F738" s="584"/>
      <c r="G738" s="594"/>
      <c r="H738" s="598">
        <f>(H731-G731)/G731</f>
        <v>4.0652990310379139E-2</v>
      </c>
      <c r="I738" s="598">
        <f>(I731-H731)/H731</f>
        <v>1.8363974064193752E-3</v>
      </c>
      <c r="J738" s="598">
        <f t="shared" ref="J738:P738" si="2459">(J731-I731)/I731</f>
        <v>4.1805394364840551E-3</v>
      </c>
      <c r="K738" s="598">
        <f t="shared" si="2459"/>
        <v>6.3473750109027186E-2</v>
      </c>
      <c r="L738" s="598">
        <f t="shared" si="2459"/>
        <v>-1.6322147474365625E-2</v>
      </c>
      <c r="M738" s="598">
        <f t="shared" si="2459"/>
        <v>-9.6332149794848779E-3</v>
      </c>
      <c r="N738" s="598">
        <f t="shared" si="2459"/>
        <v>-2.3932768162596121E-2</v>
      </c>
      <c r="O738" s="598">
        <f t="shared" si="2459"/>
        <v>-3.5103314177850511E-3</v>
      </c>
      <c r="P738" s="598">
        <f t="shared" si="2459"/>
        <v>-4.3643428392924509E-3</v>
      </c>
      <c r="Q738" s="598">
        <f t="shared" ref="Q738" si="2460">(Q731-P731)/P731</f>
        <v>8.6772444867290108E-4</v>
      </c>
      <c r="R738" s="598">
        <f t="shared" ref="R738" si="2461">(R731-Q731)/Q731</f>
        <v>-2.8223654311179936E-3</v>
      </c>
      <c r="S738" s="598">
        <f t="shared" ref="S738" si="2462">(S731-R731)/R731</f>
        <v>-2.7341744388609036E-3</v>
      </c>
      <c r="T738" s="598">
        <f t="shared" ref="T738" si="2463">(T731-S731)/S731</f>
        <v>-3.0992067977379501E-3</v>
      </c>
      <c r="U738" s="598">
        <f t="shared" ref="U738" si="2464">(U731-T731)/T731</f>
        <v>-4.2867100919654925E-3</v>
      </c>
    </row>
    <row r="739" spans="2:60" hidden="1" outlineLevel="1" collapsed="1" x14ac:dyDescent="0.3">
      <c r="E739" s="596" t="str">
        <f>'EE Measures'!$IL$6</f>
        <v>CEER2</v>
      </c>
      <c r="F739" s="872">
        <f>SUM(G739:P739)/SUM($G$689:$P$689)-1</f>
        <v>3.3708324268433065E-2</v>
      </c>
      <c r="G739" s="591">
        <f t="shared" ref="G739:U739" si="2465">G$689+G740</f>
        <v>653.09919543081423</v>
      </c>
      <c r="H739" s="591">
        <f t="shared" si="2465"/>
        <v>679.64963069437954</v>
      </c>
      <c r="I739" s="591">
        <f t="shared" si="2465"/>
        <v>680.89773751346058</v>
      </c>
      <c r="J739" s="591">
        <f t="shared" si="2465"/>
        <v>683.74425735734837</v>
      </c>
      <c r="K739" s="591">
        <f t="shared" si="2465"/>
        <v>737.06279561388396</v>
      </c>
      <c r="L739" s="591">
        <f t="shared" si="2465"/>
        <v>725.41488441104764</v>
      </c>
      <c r="M739" s="591">
        <f t="shared" si="2465"/>
        <v>718.77543861522781</v>
      </c>
      <c r="N739" s="591">
        <f t="shared" si="2465"/>
        <v>702.13819871199121</v>
      </c>
      <c r="O739" s="591">
        <f t="shared" si="2465"/>
        <v>700.04379820655424</v>
      </c>
      <c r="P739" s="591">
        <f t="shared" si="2465"/>
        <v>697.35733674845949</v>
      </c>
      <c r="Q739" s="591">
        <f t="shared" si="2465"/>
        <v>697.70448879810954</v>
      </c>
      <c r="R739" s="591">
        <f t="shared" si="2465"/>
        <v>695.98605131275417</v>
      </c>
      <c r="S739" s="591">
        <f t="shared" si="2465"/>
        <v>694.33782328700511</v>
      </c>
      <c r="T739" s="591">
        <f t="shared" si="2465"/>
        <v>692.44992192551263</v>
      </c>
      <c r="U739" s="591">
        <f t="shared" si="2465"/>
        <v>689.76486234031529</v>
      </c>
      <c r="V739" s="569">
        <f>SUM(G739:P739)</f>
        <v>6978.183273303167</v>
      </c>
      <c r="W739" s="898">
        <f>AVERAGE(G740:P740)</f>
        <v>22.755245271680341</v>
      </c>
    </row>
    <row r="740" spans="2:60" hidden="1" outlineLevel="1" x14ac:dyDescent="0.3">
      <c r="D740" s="554" t="str">
        <f>E739</f>
        <v>CEER2</v>
      </c>
      <c r="E740" s="563" t="s">
        <v>439</v>
      </c>
      <c r="F740" s="875">
        <f>AVERAGE(G740:P740)</f>
        <v>22.755245271680341</v>
      </c>
      <c r="G740" s="501">
        <f t="shared" ref="G740" si="2466">G741+G745</f>
        <v>2.599195430814234</v>
      </c>
      <c r="H740" s="501">
        <f t="shared" ref="H740:P740" si="2467">H741+H745</f>
        <v>2.2496306943795443</v>
      </c>
      <c r="I740" s="501">
        <f t="shared" si="2467"/>
        <v>1.6977375134604926</v>
      </c>
      <c r="J740" s="501">
        <f t="shared" si="2467"/>
        <v>0.44425735734839317</v>
      </c>
      <c r="K740" s="501">
        <f t="shared" si="2467"/>
        <v>51.662795613883951</v>
      </c>
      <c r="L740" s="501">
        <f t="shared" si="2467"/>
        <v>39.71488441104762</v>
      </c>
      <c r="M740" s="501">
        <f t="shared" si="2467"/>
        <v>33.075438615227782</v>
      </c>
      <c r="N740" s="501">
        <f t="shared" si="2467"/>
        <v>31.737428231771755</v>
      </c>
      <c r="O740" s="501">
        <f t="shared" si="2467"/>
        <v>32.186739826489173</v>
      </c>
      <c r="P740" s="501">
        <f t="shared" si="2467"/>
        <v>32.184345022380448</v>
      </c>
      <c r="Q740" s="501">
        <f t="shared" ref="Q740:U740" si="2468">Q741+Q745</f>
        <v>34.991920064164255</v>
      </c>
      <c r="R740" s="501">
        <f t="shared" si="2468"/>
        <v>35.681672879858453</v>
      </c>
      <c r="S740" s="501">
        <f t="shared" si="2468"/>
        <v>36.385128766093459</v>
      </c>
      <c r="T740" s="501">
        <f t="shared" si="2468"/>
        <v>37.102556328715124</v>
      </c>
      <c r="U740" s="501">
        <f t="shared" si="2468"/>
        <v>37.834356684944737</v>
      </c>
    </row>
    <row r="741" spans="2:60" hidden="1" outlineLevel="1" x14ac:dyDescent="0.3">
      <c r="E741" s="563" t="s">
        <v>440</v>
      </c>
      <c r="F741" s="875">
        <f>AVERAGE(G741:P741)</f>
        <v>22.743387980979044</v>
      </c>
      <c r="G741" s="586">
        <f>SUMPRODUCT('EE Measures'!FZ$8:FZ$86,'EE Measures'!$IL$8:$IL$86)/1000</f>
        <v>2.599195430814234</v>
      </c>
      <c r="H741" s="586">
        <f>SUMPRODUCT('EE Measures'!GA$8:GA$86,'EE Measures'!$IL$8:$IL$86)/1000</f>
        <v>2.245589767835459</v>
      </c>
      <c r="I741" s="586">
        <f>SUMPRODUCT('EE Measures'!GB$8:GB$86,'EE Measures'!$IL$8:$IL$86)/1000</f>
        <v>1.6914920534597186</v>
      </c>
      <c r="J741" s="586">
        <f>SUMPRODUCT('EE Measures'!GC$8:GC$86,'EE Measures'!$IL$8:$IL$86)/1000</f>
        <v>0.3914527478580247</v>
      </c>
      <c r="K741" s="586">
        <f>SUMPRODUCT('EE Measures'!GD$8:GD$86,'EE Measures'!$IL$8:$IL$86)/1000</f>
        <v>51.635051258969497</v>
      </c>
      <c r="L741" s="586">
        <f>SUMPRODUCT('EE Measures'!GE$8:GE$86,'EE Measures'!$IL$8:$IL$86)/1000</f>
        <v>39.709617281079616</v>
      </c>
      <c r="M741" s="586">
        <f>SUMPRODUCT('EE Measures'!GF$8:GF$86,'EE Measures'!$IL$8:$IL$86)/1000</f>
        <v>33.070007590484401</v>
      </c>
      <c r="N741" s="586">
        <f>SUMPRODUCT('EE Measures'!GG$8:GG$86,'EE Measures'!$IL$8:$IL$86)/1000</f>
        <v>31.731918169385963</v>
      </c>
      <c r="O741" s="586">
        <f>SUMPRODUCT('EE Measures'!GH$8:GH$86,'EE Measures'!$IL$8:$IL$86)/1000</f>
        <v>32.181057196238619</v>
      </c>
      <c r="P741" s="586">
        <f>SUMPRODUCT('EE Measures'!GI$8:GI$86,'EE Measures'!$IL$8:$IL$86)/1000</f>
        <v>32.178498313664861</v>
      </c>
      <c r="Q741" s="586">
        <f>SUMPRODUCT('EE Measures'!GJ$8:GJ$86,'EE Measures'!$IL$8:$IL$86)/1000</f>
        <v>34.986072353694624</v>
      </c>
      <c r="R741" s="586">
        <f>SUMPRODUCT('EE Measures'!GK$8:GK$86,'EE Measures'!$IL$8:$IL$86)/1000</f>
        <v>35.675676244598989</v>
      </c>
      <c r="S741" s="586">
        <f>SUMPRODUCT('EE Measures'!GL$8:GL$86,'EE Measures'!$IL$8:$IL$86)/1000</f>
        <v>36.378987108117308</v>
      </c>
      <c r="T741" s="586">
        <f>SUMPRODUCT('EE Measures'!GM$8:GM$86,'EE Measures'!$IL$8:$IL$86)/1000</f>
        <v>37.096276426690196</v>
      </c>
      <c r="U741" s="586">
        <f>SUMPRODUCT('EE Measures'!GN$8:GN$86,'EE Measures'!$IL$8:$IL$86)/1000</f>
        <v>37.827950930020755</v>
      </c>
    </row>
    <row r="742" spans="2:60" hidden="1" outlineLevel="1" x14ac:dyDescent="0.3">
      <c r="E742" s="1160" t="s">
        <v>50</v>
      </c>
      <c r="F742" s="875">
        <f>AVERAGE(G742:P742)</f>
        <v>0.58771817690636752</v>
      </c>
      <c r="G742" s="1215">
        <f>(SUMPRODUCT('EE Measures'!FZ$8:FZ$86,'EE Measures'!$IL$8:$IL$86,'EE Measures'!$N$8:$N$86)/1000)</f>
        <v>0.69216433964842305</v>
      </c>
      <c r="H742" s="1215">
        <f>(SUMPRODUCT('EE Measures'!GA$8:GA$86,'EE Measures'!$IL$8:$IL$86,'EE Measures'!$N$8:$N$86)/1000)</f>
        <v>3.8153844710674734E-2</v>
      </c>
      <c r="I742" s="1215">
        <f>(SUMPRODUCT('EE Measures'!GB$8:GB$86,'EE Measures'!$IL$8:$IL$86,'EE Measures'!$N$8:$N$86)/1000)</f>
        <v>0</v>
      </c>
      <c r="J742" s="1215">
        <f>(SUMPRODUCT('EE Measures'!GC$8:GC$86,'EE Measures'!$IL$8:$IL$86,'EE Measures'!$N$8:$N$86)/1000)</f>
        <v>0.32666666666666666</v>
      </c>
      <c r="K742" s="1215">
        <f>(SUMPRODUCT('EE Measures'!GD$8:GD$86,'EE Measures'!$IL$8:$IL$86,'EE Measures'!$N$8:$N$86)/1000)</f>
        <v>0.96809312389815805</v>
      </c>
      <c r="L742" s="1215">
        <f>(SUMPRODUCT('EE Measures'!GE$8:GE$86,'EE Measures'!$IL$8:$IL$86,'EE Measures'!$N$8:$N$86)/1000)</f>
        <v>0.92269528864085282</v>
      </c>
      <c r="M742" s="1215">
        <f>(SUMPRODUCT('EE Measures'!GF$8:GF$86,'EE Measures'!$IL$8:$IL$86,'EE Measures'!$N$8:$N$86)/1000)</f>
        <v>0.85800335023687979</v>
      </c>
      <c r="N742" s="1215">
        <f>(SUMPRODUCT('EE Measures'!GG$8:GG$86,'EE Measures'!$IL$8:$IL$86,'EE Measures'!$N$8:$N$86)/1000)</f>
        <v>0.51710388367144222</v>
      </c>
      <c r="O742" s="1215">
        <f>(SUMPRODUCT('EE Measures'!GH$8:GH$86,'EE Measures'!$IL$8:$IL$86,'EE Measures'!$N$8:$N$86)/1000)</f>
        <v>0.70669948619618062</v>
      </c>
      <c r="P742" s="1215">
        <f>(SUMPRODUCT('EE Measures'!GI$8:GI$86,'EE Measures'!$IL$8:$IL$86,'EE Measures'!$N$8:$N$86)/1000)</f>
        <v>0.84760178539439712</v>
      </c>
      <c r="Q742" s="1215">
        <f>(SUMPRODUCT('EE Measures'!GJ$8:GJ$86,'EE Measures'!$IL$8:$IL$86,'EE Measures'!$N$8:$N$86)/1000)</f>
        <v>0.85815032542434777</v>
      </c>
      <c r="R742" s="1215">
        <f>(SUMPRODUCT('EE Measures'!GK$8:GK$86,'EE Measures'!$IL$8:$IL$86,'EE Measures'!$N$8:$N$86)/1000)</f>
        <v>0.86879551887955786</v>
      </c>
      <c r="S742" s="1215">
        <f>(SUMPRODUCT('EE Measures'!GL$8:GL$86,'EE Measures'!$IL$8:$IL$86,'EE Measures'!$N$8:$N$86)/1000)</f>
        <v>0.87957053176714861</v>
      </c>
      <c r="T742" s="1215">
        <f>(SUMPRODUCT('EE Measures'!GM$8:GM$86,'EE Measures'!$IL$8:$IL$86,'EE Measures'!$N$8:$N$86)/1000)</f>
        <v>0.89047536408712025</v>
      </c>
      <c r="U742" s="1215">
        <f>(SUMPRODUCT('EE Measures'!GN$8:GN$86,'EE Measures'!$IL$8:$IL$86,'EE Measures'!$N$8:$N$86)/1000)</f>
        <v>0.90163983527185265</v>
      </c>
    </row>
    <row r="743" spans="2:60" hidden="1" outlineLevel="1" x14ac:dyDescent="0.3">
      <c r="E743" s="1160" t="s">
        <v>441</v>
      </c>
      <c r="F743" s="875">
        <f>AVERAGE(G743:P743)</f>
        <v>19.610215556763443</v>
      </c>
      <c r="G743" s="1215">
        <f>(SUMPRODUCT('EE Measures'!FZ$8:FZ$86,'EE Measures'!$IL$8:$IL$86,'EE Measures'!$O$8:$O$86)+SUMPRODUCT('EE Measures'!FZ$8:FZ$86,'EE Measures'!$IL$8:$IL$86,'EE Measures'!$P$8:$P$86))/1000</f>
        <v>1.9070310911658113</v>
      </c>
      <c r="H743" s="1215">
        <f>(SUMPRODUCT('EE Measures'!GA$8:GA$86,'EE Measures'!$IL$8:$IL$86,'EE Measures'!$O$8:$O$86)+SUMPRODUCT('EE Measures'!GA$8:GA$86,'EE Measures'!$IL$8:$IL$86,'EE Measures'!$P$8:$P$86))/1000</f>
        <v>2.2074359231247844</v>
      </c>
      <c r="I743" s="1215">
        <f>(SUMPRODUCT('EE Measures'!GB$8:GB$86,'EE Measures'!$IL$8:$IL$86,'EE Measures'!$O$8:$O$86)+SUMPRODUCT('EE Measures'!GB$8:GB$86,'EE Measures'!$IL$8:$IL$86,'EE Measures'!$P$8:$P$86))/1000</f>
        <v>1.7000774206877609</v>
      </c>
      <c r="J743" s="1215">
        <f>(SUMPRODUCT('EE Measures'!GC$8:GC$86,'EE Measures'!$IL$8:$IL$86,'EE Measures'!$O$8:$O$86)+SUMPRODUCT('EE Measures'!GC$8:GC$86,'EE Measures'!$IL$8:$IL$86,'EE Measures'!$P$8:$P$86))/1000</f>
        <v>7.4004118041249373E-2</v>
      </c>
      <c r="K743" s="1215">
        <f>(SUMPRODUCT('EE Measures'!GD$8:GD$86,'EE Measures'!$IL$8:$IL$86,'EE Measures'!$O$8:$O$86)+SUMPRODUCT('EE Measures'!GD$8:GD$86,'EE Measures'!$IL$8:$IL$86,'EE Measures'!$P$8:$P$86))/1000</f>
        <v>30.15376656920078</v>
      </c>
      <c r="L743" s="1215">
        <f>(SUMPRODUCT('EE Measures'!GE$8:GE$86,'EE Measures'!$IL$8:$IL$86,'EE Measures'!$O$8:$O$86)+SUMPRODUCT('EE Measures'!GE$8:GE$86,'EE Measures'!$IL$8:$IL$86,'EE Measures'!$P$8:$P$86))/1000</f>
        <v>30.756841900584796</v>
      </c>
      <c r="M743" s="1215">
        <f>(SUMPRODUCT('EE Measures'!GF$8:GF$86,'EE Measures'!$IL$8:$IL$86,'EE Measures'!$O$8:$O$86)+SUMPRODUCT('EE Measures'!GF$8:GF$86,'EE Measures'!$IL$8:$IL$86,'EE Measures'!$P$8:$P$86))/1000</f>
        <v>31.371978738596493</v>
      </c>
      <c r="N743" s="1215">
        <f>(SUMPRODUCT('EE Measures'!GG$8:GG$86,'EE Measures'!$IL$8:$IL$86,'EE Measures'!$O$8:$O$86)+SUMPRODUCT('EE Measures'!GG$8:GG$86,'EE Measures'!$IL$8:$IL$86,'EE Measures'!$P$8:$P$86))/1000</f>
        <v>31.999418313368423</v>
      </c>
      <c r="O743" s="1215">
        <f>(SUMPRODUCT('EE Measures'!GH$8:GH$86,'EE Measures'!$IL$8:$IL$86,'EE Measures'!$O$8:$O$86)+SUMPRODUCT('EE Measures'!GH$8:GH$86,'EE Measures'!$IL$8:$IL$86,'EE Measures'!$P$8:$P$86))/1000</f>
        <v>32.639406679635798</v>
      </c>
      <c r="P743" s="1215">
        <f>(SUMPRODUCT('EE Measures'!GI$8:GI$86,'EE Measures'!$IL$8:$IL$86,'EE Measures'!$O$8:$O$86)+SUMPRODUCT('EE Measures'!GI$8:GI$86,'EE Measures'!$IL$8:$IL$86,'EE Measures'!$P$8:$P$86))/1000</f>
        <v>33.292194813228512</v>
      </c>
      <c r="Q743" s="1215">
        <f>(SUMPRODUCT('EE Measures'!GJ$8:GJ$86,'EE Measures'!$IL$8:$IL$86,'EE Measures'!$O$8:$O$86)+SUMPRODUCT('EE Measures'!GJ$8:GJ$86,'EE Measures'!$IL$8:$IL$86,'EE Measures'!$P$8:$P$86))/1000</f>
        <v>33.958038709493081</v>
      </c>
      <c r="R743" s="1215">
        <f>(SUMPRODUCT('EE Measures'!GK$8:GK$86,'EE Measures'!$IL$8:$IL$86,'EE Measures'!$O$8:$O$86)+SUMPRODUCT('EE Measures'!GK$8:GK$86,'EE Measures'!$IL$8:$IL$86,'EE Measures'!$P$8:$P$86))/1000</f>
        <v>34.637199483682949</v>
      </c>
      <c r="S743" s="1215">
        <f>(SUMPRODUCT('EE Measures'!GL$8:GL$86,'EE Measures'!$IL$8:$IL$86,'EE Measures'!$O$8:$O$86)+SUMPRODUCT('EE Measures'!GL$8:GL$86,'EE Measures'!$IL$8:$IL$86,'EE Measures'!$P$8:$P$86))/1000</f>
        <v>35.3299434733566</v>
      </c>
      <c r="T743" s="1215">
        <f>(SUMPRODUCT('EE Measures'!GM$8:GM$86,'EE Measures'!$IL$8:$IL$86,'EE Measures'!$O$8:$O$86)+SUMPRODUCT('EE Measures'!GM$8:GM$86,'EE Measures'!$IL$8:$IL$86,'EE Measures'!$P$8:$P$86))/1000</f>
        <v>36.036542342823743</v>
      </c>
      <c r="U743" s="1215">
        <f>(SUMPRODUCT('EE Measures'!GN$8:GN$86,'EE Measures'!$IL$8:$IL$86,'EE Measures'!$O$8:$O$86)+SUMPRODUCT('EE Measures'!GN$8:GN$86,'EE Measures'!$IL$8:$IL$86,'EE Measures'!$P$8:$P$86))/1000</f>
        <v>36.757273189680213</v>
      </c>
    </row>
    <row r="744" spans="2:60" hidden="1" outlineLevel="1" x14ac:dyDescent="0.3">
      <c r="E744" s="1160" t="s">
        <v>53</v>
      </c>
      <c r="F744" s="875">
        <f t="shared" ref="F744:F745" si="2469">AVERAGE(G744:P744)</f>
        <v>2.5454542473092321</v>
      </c>
      <c r="G744" s="1215">
        <f>(SUMPRODUCT('EE Measures'!FZ$8:FZ$86,'EE Measures'!$IL$8:$IL$86,'EE Measures'!$Q$8:$Q$86)/1000)</f>
        <v>0</v>
      </c>
      <c r="H744" s="1215">
        <f>(SUMPRODUCT('EE Measures'!GA$8:GA$86,'EE Measures'!$IL$8:$IL$86,'EE Measures'!$Q$8:$Q$86)/1000)</f>
        <v>0</v>
      </c>
      <c r="I744" s="1215">
        <f>(SUMPRODUCT('EE Measures'!GB$8:GB$86,'EE Measures'!$IL$8:$IL$86,'EE Measures'!$Q$8:$Q$86)/1000)</f>
        <v>-8.5853672280423055E-3</v>
      </c>
      <c r="J744" s="1215">
        <f>(SUMPRODUCT('EE Measures'!GC$8:GC$86,'EE Measures'!$IL$8:$IL$86,'EE Measures'!$Q$8:$Q$86)/1000)</f>
        <v>-9.2180368498913645E-3</v>
      </c>
      <c r="K744" s="1215">
        <f>(SUMPRODUCT('EE Measures'!GD$8:GD$86,'EE Measures'!$IL$8:$IL$86,'EE Measures'!$Q$8:$Q$86)/1000)</f>
        <v>20.513191565870567</v>
      </c>
      <c r="L744" s="1215">
        <f>(SUMPRODUCT('EE Measures'!GE$8:GE$86,'EE Measures'!$IL$8:$IL$86,'EE Measures'!$Q$8:$Q$86)/1000)</f>
        <v>8.0300800918539714</v>
      </c>
      <c r="M744" s="1215">
        <f>(SUMPRODUCT('EE Measures'!GF$8:GF$86,'EE Measures'!$IL$8:$IL$86,'EE Measures'!$Q$8:$Q$86)/1000)</f>
        <v>0.84002550165103274</v>
      </c>
      <c r="N744" s="1215">
        <f>(SUMPRODUCT('EE Measures'!GG$8:GG$86,'EE Measures'!$IL$8:$IL$86,'EE Measures'!$Q$8:$Q$86)/1000)</f>
        <v>-0.78460402765390513</v>
      </c>
      <c r="O744" s="1215">
        <f>(SUMPRODUCT('EE Measures'!GH$8:GH$86,'EE Measures'!$IL$8:$IL$86,'EE Measures'!$Q$8:$Q$86)/1000)</f>
        <v>-1.1650489695933586</v>
      </c>
      <c r="P744" s="1215">
        <f>(SUMPRODUCT('EE Measures'!GI$8:GI$86,'EE Measures'!$IL$8:$IL$86,'EE Measures'!$Q$8:$Q$86)/1000)</f>
        <v>-1.9612982849580547</v>
      </c>
      <c r="Q744" s="1215">
        <f>(SUMPRODUCT('EE Measures'!GJ$8:GJ$86,'EE Measures'!$IL$8:$IL$86,'EE Measures'!$Q$8:$Q$86)/1000)</f>
        <v>0.16988331877719176</v>
      </c>
      <c r="R744" s="1215">
        <f>(SUMPRODUCT('EE Measures'!GK$8:GK$86,'EE Measures'!$IL$8:$IL$86,'EE Measures'!$Q$8:$Q$86)/1000)</f>
        <v>0.16968124203648277</v>
      </c>
      <c r="S744" s="1215">
        <f>(SUMPRODUCT('EE Measures'!GL$8:GL$86,'EE Measures'!$IL$8:$IL$86,'EE Measures'!$Q$8:$Q$86)/1000)</f>
        <v>0.16947310299355248</v>
      </c>
      <c r="T744" s="1215">
        <f>(SUMPRODUCT('EE Measures'!GM$8:GM$86,'EE Measures'!$IL$8:$IL$86,'EE Measures'!$Q$8:$Q$86)/1000)</f>
        <v>0.16925871977933429</v>
      </c>
      <c r="U744" s="1215">
        <f>(SUMPRODUCT('EE Measures'!GN$8:GN$86,'EE Measures'!$IL$8:$IL$86,'EE Measures'!$Q$8:$Q$86)/1000)</f>
        <v>0.16903790506868954</v>
      </c>
    </row>
    <row r="745" spans="2:60" hidden="1" outlineLevel="1" x14ac:dyDescent="0.3">
      <c r="E745" s="563" t="s">
        <v>202</v>
      </c>
      <c r="F745" s="875">
        <f t="shared" si="2469"/>
        <v>1.1857290701300658E-2</v>
      </c>
      <c r="G745" s="645" cm="1">
        <f t="array" ref="G745">_xlfn.XLOOKUP($E739,_xlfn.ANCHORARRAY(Assumptions!$B$635),Assumptions!C$635:C$641)*G$689</f>
        <v>0</v>
      </c>
      <c r="H745" s="645" cm="1">
        <f t="array" ref="H745">_xlfn.XLOOKUP($E739,_xlfn.ANCHORARRAY(Assumptions!$B$635),Assumptions!D$635:D$641)*H$689</f>
        <v>4.0409265440850932E-3</v>
      </c>
      <c r="I745" s="645" cm="1">
        <f t="array" ref="I745">_xlfn.XLOOKUP($E739,_xlfn.ANCHORARRAY(Assumptions!$B$635),Assumptions!E$635:E$641)*I$689</f>
        <v>6.245460000773995E-3</v>
      </c>
      <c r="J745" s="645" cm="1">
        <f t="array" ref="J745">_xlfn.XLOOKUP($E739,_xlfn.ANCHORARRAY(Assumptions!$B$635),Assumptions!F$635:F$641)*J$689</f>
        <v>5.2804609490368477E-2</v>
      </c>
      <c r="K745" s="645" cm="1">
        <f t="array" ref="K745">_xlfn.XLOOKUP($E739,_xlfn.ANCHORARRAY(Assumptions!$B$635),Assumptions!G$635:G$641)*K$689</f>
        <v>2.7744354914452419E-2</v>
      </c>
      <c r="L745" s="645" cm="1">
        <f t="array" ref="L745">_xlfn.XLOOKUP($E739,_xlfn.ANCHORARRAY(Assumptions!$B$635),Assumptions!H$635:H$641)*L$689</f>
        <v>5.2671299680068879E-3</v>
      </c>
      <c r="M745" s="645" cm="1">
        <f t="array" ref="M745">_xlfn.XLOOKUP($E739,_xlfn.ANCHORARRAY(Assumptions!$B$635),Assumptions!I$635:I$641)*M$689</f>
        <v>5.4310247433817897E-3</v>
      </c>
      <c r="N745" s="645" cm="1">
        <f t="array" ref="N745">_xlfn.XLOOKUP($E739,_xlfn.ANCHORARRAY(Assumptions!$B$635),Assumptions!J$635:J$641)*N$689</f>
        <v>5.5100623857917063E-3</v>
      </c>
      <c r="O745" s="645" cm="1">
        <f t="array" ref="O745">_xlfn.XLOOKUP($E739,_xlfn.ANCHORARRAY(Assumptions!$B$635),Assumptions!K$635:K$641)*O$689</f>
        <v>5.6826302505559858E-3</v>
      </c>
      <c r="P745" s="645" cm="1">
        <f t="array" ref="P745">_xlfn.XLOOKUP($E739,_xlfn.ANCHORARRAY(Assumptions!$B$635),Assumptions!L$635:L$641)*P$689</f>
        <v>5.8467087155902164E-3</v>
      </c>
      <c r="Q745" s="645" cm="1">
        <f t="array" ref="Q745">_xlfn.XLOOKUP($E739,_xlfn.ANCHORARRAY(Assumptions!$B$635),Assumptions!M$635:M$641)*Q$689</f>
        <v>5.8477104696336999E-3</v>
      </c>
      <c r="R745" s="645" cm="1">
        <f t="array" ref="R745">_xlfn.XLOOKUP($E739,_xlfn.ANCHORARRAY(Assumptions!$B$635),Assumptions!N$635:N$641)*R$689</f>
        <v>5.9966352594651839E-3</v>
      </c>
      <c r="S745" s="645" cm="1">
        <f t="array" ref="S745">_xlfn.XLOOKUP($E739,_xlfn.ANCHORARRAY(Assumptions!$B$635),Assumptions!O$635:O$641)*S$689</f>
        <v>6.1416579761493619E-3</v>
      </c>
      <c r="T745" s="645" cm="1">
        <f t="array" ref="T745">_xlfn.XLOOKUP($E739,_xlfn.ANCHORARRAY(Assumptions!$B$635),Assumptions!P$635:P$641)*T$689</f>
        <v>6.2799020249297028E-3</v>
      </c>
      <c r="U745" s="645" cm="1">
        <f t="array" ref="U745">_xlfn.XLOOKUP($E739,_xlfn.ANCHORARRAY(Assumptions!$B$635),Assumptions!Q$635:Q$641)*U$689</f>
        <v>6.4057549239839376E-3</v>
      </c>
    </row>
    <row r="746" spans="2:60" hidden="1" outlineLevel="1" x14ac:dyDescent="0.3">
      <c r="E746" s="563" t="s">
        <v>438</v>
      </c>
      <c r="F746" s="584"/>
      <c r="G746" s="598"/>
      <c r="H746" s="598">
        <f t="shared" ref="H746" si="2470">(H739-G739)/G739</f>
        <v>4.0652990310379139E-2</v>
      </c>
      <c r="I746" s="598">
        <f>(I739-H739)/H739</f>
        <v>1.8363974064193752E-3</v>
      </c>
      <c r="J746" s="598">
        <f t="shared" ref="J746:P746" si="2471">(J739-I739)/I739</f>
        <v>4.1805394364840551E-3</v>
      </c>
      <c r="K746" s="598">
        <f t="shared" si="2471"/>
        <v>7.7980235567330664E-2</v>
      </c>
      <c r="L746" s="598">
        <f t="shared" si="2471"/>
        <v>-1.5803146315552432E-2</v>
      </c>
      <c r="M746" s="598">
        <f t="shared" si="2471"/>
        <v>-9.1526186441711638E-3</v>
      </c>
      <c r="N746" s="598">
        <f t="shared" si="2471"/>
        <v>-2.3146644987326548E-2</v>
      </c>
      <c r="O746" s="598">
        <f t="shared" si="2471"/>
        <v>-2.9828892791746026E-3</v>
      </c>
      <c r="P746" s="598">
        <f t="shared" si="2471"/>
        <v>-3.8375619710898285E-3</v>
      </c>
      <c r="Q746" s="598">
        <f t="shared" ref="Q746" si="2472">(Q739-P739)/P739</f>
        <v>4.9781085156241564E-4</v>
      </c>
      <c r="R746" s="598">
        <f t="shared" ref="R746" si="2473">(R739-Q739)/Q739</f>
        <v>-2.4629875727410146E-3</v>
      </c>
      <c r="S746" s="598">
        <f t="shared" ref="S746" si="2474">(S739-R739)/R739</f>
        <v>-2.3681911765906947E-3</v>
      </c>
      <c r="T746" s="598">
        <f t="shared" ref="T746" si="2475">(T739-S739)/S739</f>
        <v>-2.7189954200609865E-3</v>
      </c>
      <c r="U746" s="598">
        <f t="shared" ref="U746" si="2476">(U739-T739)/T739</f>
        <v>-3.8776227712336584E-3</v>
      </c>
    </row>
    <row r="747" spans="2:60" collapsed="1" x14ac:dyDescent="0.3"/>
    <row r="748" spans="2:60" ht="19.5" collapsed="1" thickBot="1" x14ac:dyDescent="0.35">
      <c r="B748" s="1" t="s">
        <v>442</v>
      </c>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row>
    <row r="749" spans="2:60" customFormat="1" hidden="1" outlineLevel="1" x14ac:dyDescent="0.3"/>
    <row r="750" spans="2:60" ht="15" hidden="1" outlineLevel="1" x14ac:dyDescent="0.3">
      <c r="E750" s="1227" t="s">
        <v>443</v>
      </c>
      <c r="F750" s="1227"/>
      <c r="G750" s="1227"/>
      <c r="H750" s="1227"/>
      <c r="I750" s="1227"/>
      <c r="J750" s="1227"/>
      <c r="K750" s="1227"/>
      <c r="L750" s="1227"/>
      <c r="M750" s="1227"/>
      <c r="N750" s="1227"/>
      <c r="O750" s="1227"/>
      <c r="P750" s="1227"/>
      <c r="Q750" s="1227"/>
      <c r="R750" s="1227"/>
      <c r="S750" s="1227"/>
      <c r="T750" s="1227"/>
      <c r="U750" s="1227"/>
    </row>
    <row r="751" spans="2:60" customFormat="1" hidden="1" outlineLevel="1" x14ac:dyDescent="0.3"/>
    <row r="752" spans="2:60" hidden="1" outlineLevel="1" x14ac:dyDescent="0.3">
      <c r="E752" s="627" t="s">
        <v>444</v>
      </c>
      <c r="F752" s="625"/>
      <c r="G752" s="625"/>
      <c r="H752" s="625"/>
      <c r="I752" s="625"/>
      <c r="J752" s="625"/>
      <c r="K752" s="625"/>
      <c r="L752" s="625"/>
      <c r="M752" s="625"/>
      <c r="N752" s="625"/>
      <c r="O752" s="625"/>
      <c r="P752" s="625"/>
      <c r="Q752" s="625"/>
      <c r="R752" s="625"/>
      <c r="S752" s="625"/>
      <c r="T752" s="625"/>
      <c r="U752" s="625"/>
    </row>
    <row r="753" spans="2:60" hidden="1" outlineLevel="1" x14ac:dyDescent="0.3">
      <c r="E753" s="625"/>
      <c r="F753" s="625"/>
      <c r="G753" s="625">
        <v>2021</v>
      </c>
      <c r="H753" s="625">
        <v>2022</v>
      </c>
      <c r="I753" s="625">
        <v>2023</v>
      </c>
      <c r="J753" s="625">
        <v>2024</v>
      </c>
      <c r="K753" s="625">
        <v>2025</v>
      </c>
      <c r="L753" s="625">
        <v>2026</v>
      </c>
      <c r="M753" s="625">
        <v>2027</v>
      </c>
      <c r="N753" s="625">
        <v>2028</v>
      </c>
      <c r="O753" s="625">
        <v>2029</v>
      </c>
      <c r="P753" s="625">
        <v>2030</v>
      </c>
      <c r="Q753" s="625">
        <v>2031</v>
      </c>
      <c r="R753" s="625">
        <v>2032</v>
      </c>
      <c r="S753" s="625">
        <v>2033</v>
      </c>
      <c r="T753" s="625">
        <v>2034</v>
      </c>
      <c r="U753" s="625">
        <v>2035</v>
      </c>
    </row>
    <row r="754" spans="2:60" hidden="1" outlineLevel="1" x14ac:dyDescent="0.3">
      <c r="E754" s="596" t="s">
        <v>345</v>
      </c>
      <c r="F754" s="584"/>
      <c r="G754" s="624">
        <f>Assumptions!C28</f>
        <v>27566.200000000004</v>
      </c>
      <c r="H754" s="624">
        <f>Assumptions!D28</f>
        <v>31837.699999999997</v>
      </c>
      <c r="I754" s="624">
        <f>Assumptions!E28</f>
        <v>33934.827853636023</v>
      </c>
      <c r="J754" s="624">
        <f>Assumptions!F28</f>
        <v>35910.93833924528</v>
      </c>
      <c r="K754" s="624">
        <f>Assumptions!G28</f>
        <v>36012.627032301309</v>
      </c>
      <c r="L754" s="624">
        <f>Assumptions!H28</f>
        <v>36143.128458251434</v>
      </c>
      <c r="M754" s="624">
        <f>Assumptions!I28</f>
        <v>36107.006175829636</v>
      </c>
      <c r="N754" s="624">
        <f>Assumptions!J28</f>
        <v>35989.708773890736</v>
      </c>
      <c r="O754" s="624">
        <f>Assumptions!K28</f>
        <v>36409.954669728329</v>
      </c>
      <c r="P754" s="624">
        <f>Assumptions!L28</f>
        <v>36551.754087816465</v>
      </c>
      <c r="Q754" s="624">
        <f>Assumptions!M28</f>
        <v>36719.00721490768</v>
      </c>
      <c r="R754" s="624">
        <f>Assumptions!N28</f>
        <v>36880.04154628679</v>
      </c>
      <c r="S754" s="624">
        <f>Assumptions!O28</f>
        <v>37045.205945615489</v>
      </c>
      <c r="T754" s="624">
        <f>Assumptions!P28</f>
        <v>37197.083611158283</v>
      </c>
      <c r="U754" s="624">
        <f>Assumptions!Q28</f>
        <v>37322.922379730335</v>
      </c>
    </row>
    <row r="755" spans="2:60" hidden="1" outlineLevel="1" x14ac:dyDescent="0.3">
      <c r="E755" s="596" t="str">
        <f>'EE Measures'!$IF$6</f>
        <v>Baseline</v>
      </c>
      <c r="F755" s="584"/>
      <c r="G755" s="601">
        <f t="shared" ref="G755:U761" si="2477">G$754+INDEX(G$356:G$397,MATCH($E755,$E$356:$E$397,0))+INDEX(G$495:G$536,MATCH($E755,$E$495:$E$536,0))</f>
        <v>27747.398631258107</v>
      </c>
      <c r="H755" s="601">
        <f t="shared" si="2477"/>
        <v>31996.44680903442</v>
      </c>
      <c r="I755" s="601">
        <f t="shared" si="2477"/>
        <v>34075.883802431657</v>
      </c>
      <c r="J755" s="601">
        <f t="shared" si="2477"/>
        <v>36050.053184206728</v>
      </c>
      <c r="K755" s="601">
        <f t="shared" si="2477"/>
        <v>36248.89937660838</v>
      </c>
      <c r="L755" s="601">
        <f t="shared" si="2477"/>
        <v>36391.832658844818</v>
      </c>
      <c r="M755" s="601">
        <f t="shared" si="2477"/>
        <v>36362.240407375873</v>
      </c>
      <c r="N755" s="601">
        <f t="shared" si="2477"/>
        <v>36218.777303345611</v>
      </c>
      <c r="O755" s="601">
        <f t="shared" si="2477"/>
        <v>36648.670721943869</v>
      </c>
      <c r="P755" s="601">
        <f t="shared" si="2477"/>
        <v>36800.452089064464</v>
      </c>
      <c r="Q755" s="601">
        <f t="shared" si="2477"/>
        <v>36978.070212824743</v>
      </c>
      <c r="R755" s="601">
        <f t="shared" si="2477"/>
        <v>37149.858202319767</v>
      </c>
      <c r="S755" s="601">
        <f t="shared" si="2477"/>
        <v>37326.179842058453</v>
      </c>
      <c r="T755" s="601">
        <f t="shared" si="2477"/>
        <v>37489.633868056095</v>
      </c>
      <c r="U755" s="601">
        <f t="shared" si="2477"/>
        <v>37627.484297358809</v>
      </c>
    </row>
    <row r="756" spans="2:60" hidden="1" outlineLevel="1" x14ac:dyDescent="0.3">
      <c r="E756" s="596" t="str">
        <f>'EE Measures'!$IG$6</f>
        <v>EEO</v>
      </c>
      <c r="F756" s="584"/>
      <c r="G756" s="1216">
        <f t="shared" si="2477"/>
        <v>27862.406375499766</v>
      </c>
      <c r="H756" s="1216">
        <f t="shared" si="2477"/>
        <v>32067.551555942413</v>
      </c>
      <c r="I756" s="1216">
        <f t="shared" si="2477"/>
        <v>34131.581401249918</v>
      </c>
      <c r="J756" s="1216">
        <f t="shared" si="2477"/>
        <v>36279.906633078463</v>
      </c>
      <c r="K756" s="1216">
        <f t="shared" si="2477"/>
        <v>37726.70064282915</v>
      </c>
      <c r="L756" s="1216">
        <f t="shared" si="2477"/>
        <v>37800.767761801115</v>
      </c>
      <c r="M756" s="1216">
        <f t="shared" si="2477"/>
        <v>37776.442655630221</v>
      </c>
      <c r="N756" s="1216">
        <f t="shared" si="2477"/>
        <v>37685.479309804585</v>
      </c>
      <c r="O756" s="1216">
        <f t="shared" si="2477"/>
        <v>38182.712098569638</v>
      </c>
      <c r="P756" s="1216">
        <f t="shared" si="2477"/>
        <v>38400.168438789653</v>
      </c>
      <c r="Q756" s="1216">
        <f t="shared" si="2477"/>
        <v>38635.222802682103</v>
      </c>
      <c r="R756" s="1216">
        <f t="shared" si="2477"/>
        <v>38878.061171817397</v>
      </c>
      <c r="S756" s="1216">
        <f t="shared" si="2477"/>
        <v>39128.201222677621</v>
      </c>
      <c r="T756" s="1216">
        <f t="shared" si="2477"/>
        <v>39368.347363830952</v>
      </c>
      <c r="U756" s="1216">
        <f t="shared" si="2477"/>
        <v>39585.890291560499</v>
      </c>
    </row>
    <row r="757" spans="2:60" hidden="1" outlineLevel="1" x14ac:dyDescent="0.3">
      <c r="E757" s="608" t="s">
        <v>36</v>
      </c>
      <c r="F757" s="584"/>
      <c r="G757" s="601">
        <f t="shared" si="2477"/>
        <v>27862.406375499766</v>
      </c>
      <c r="H757" s="601">
        <f t="shared" si="2477"/>
        <v>32067.591640002571</v>
      </c>
      <c r="I757" s="601">
        <f t="shared" si="2477"/>
        <v>34131.641030853614</v>
      </c>
      <c r="J757" s="601">
        <f t="shared" si="2477"/>
        <v>36280.67052804603</v>
      </c>
      <c r="K757" s="601">
        <f t="shared" si="2477"/>
        <v>37787.070814362829</v>
      </c>
      <c r="L757" s="601">
        <f t="shared" si="2477"/>
        <v>37860.630690186299</v>
      </c>
      <c r="M757" s="601">
        <f t="shared" si="2477"/>
        <v>37839.093539423222</v>
      </c>
      <c r="N757" s="601">
        <f t="shared" si="2477"/>
        <v>37755.273018613465</v>
      </c>
      <c r="O757" s="601">
        <f t="shared" si="2477"/>
        <v>38264.855370554898</v>
      </c>
      <c r="P757" s="601">
        <f t="shared" si="2477"/>
        <v>38493.14200801868</v>
      </c>
      <c r="Q757" s="601">
        <f t="shared" si="2477"/>
        <v>38729.709191645663</v>
      </c>
      <c r="R757" s="601">
        <f t="shared" si="2477"/>
        <v>38974.07670991691</v>
      </c>
      <c r="S757" s="601">
        <f t="shared" si="2477"/>
        <v>39225.770324145189</v>
      </c>
      <c r="T757" s="601">
        <f t="shared" si="2477"/>
        <v>39467.500723426798</v>
      </c>
      <c r="U757" s="601">
        <f t="shared" si="2477"/>
        <v>39686.652140576778</v>
      </c>
    </row>
    <row r="758" spans="2:60" hidden="1" outlineLevel="1" x14ac:dyDescent="0.3">
      <c r="E758" s="596" t="str">
        <f>'EE Measures'!$II$6</f>
        <v>Renowave</v>
      </c>
      <c r="F758" s="584"/>
      <c r="G758" s="624">
        <f t="shared" si="2477"/>
        <v>27862.406375499766</v>
      </c>
      <c r="H758" s="624">
        <f t="shared" si="2477"/>
        <v>32067.591640002571</v>
      </c>
      <c r="I758" s="624">
        <f t="shared" si="2477"/>
        <v>34131.641030853614</v>
      </c>
      <c r="J758" s="624">
        <f t="shared" si="2477"/>
        <v>36256.027977444675</v>
      </c>
      <c r="K758" s="624">
        <f t="shared" si="2477"/>
        <v>38979.692922742419</v>
      </c>
      <c r="L758" s="624">
        <f t="shared" si="2477"/>
        <v>39095.467538958605</v>
      </c>
      <c r="M758" s="624">
        <f t="shared" si="2477"/>
        <v>39113.295055510469</v>
      </c>
      <c r="N758" s="624">
        <f t="shared" si="2477"/>
        <v>39061.905196635234</v>
      </c>
      <c r="O758" s="624">
        <f t="shared" si="2477"/>
        <v>39599.693970938715</v>
      </c>
      <c r="P758" s="624">
        <f t="shared" si="2477"/>
        <v>39858.734665613061</v>
      </c>
      <c r="Q758" s="624">
        <f t="shared" si="2477"/>
        <v>40136.337389571709</v>
      </c>
      <c r="R758" s="624">
        <f t="shared" si="2477"/>
        <v>40422.765834674632</v>
      </c>
      <c r="S758" s="624">
        <f t="shared" si="2477"/>
        <v>40717.562618488111</v>
      </c>
      <c r="T758" s="624">
        <f t="shared" si="2477"/>
        <v>41003.457633186423</v>
      </c>
      <c r="U758" s="624">
        <f t="shared" si="2477"/>
        <v>41267.811852805535</v>
      </c>
    </row>
    <row r="759" spans="2:60" hidden="1" outlineLevel="1" x14ac:dyDescent="0.3">
      <c r="E759" s="596" t="str">
        <f>'EE Measures'!$IJ$6</f>
        <v>EET</v>
      </c>
      <c r="F759" s="584"/>
      <c r="G759" s="601">
        <f t="shared" si="2477"/>
        <v>28117.91799186225</v>
      </c>
      <c r="H759" s="601">
        <f t="shared" si="2477"/>
        <v>32315.30888645479</v>
      </c>
      <c r="I759" s="601">
        <f t="shared" si="2477"/>
        <v>34315.276873486546</v>
      </c>
      <c r="J759" s="601">
        <f t="shared" si="2477"/>
        <v>36948.026341399585</v>
      </c>
      <c r="K759" s="601">
        <f t="shared" si="2477"/>
        <v>38476.782484608149</v>
      </c>
      <c r="L759" s="601">
        <f t="shared" si="2477"/>
        <v>38145.328102943145</v>
      </c>
      <c r="M759" s="601">
        <f t="shared" si="2477"/>
        <v>37898.155389404223</v>
      </c>
      <c r="N759" s="601">
        <f t="shared" si="2477"/>
        <v>37792.382698300069</v>
      </c>
      <c r="O759" s="601">
        <f t="shared" si="2477"/>
        <v>38292.96076984948</v>
      </c>
      <c r="P759" s="601">
        <f t="shared" si="2477"/>
        <v>38507.074809040794</v>
      </c>
      <c r="Q759" s="601">
        <f t="shared" si="2477"/>
        <v>38709.156528037121</v>
      </c>
      <c r="R759" s="601">
        <f t="shared" si="2477"/>
        <v>38942.038107597538</v>
      </c>
      <c r="S759" s="601">
        <f t="shared" si="2477"/>
        <v>39181.447789219244</v>
      </c>
      <c r="T759" s="601">
        <f t="shared" si="2477"/>
        <v>39410.052700714165</v>
      </c>
      <c r="U759" s="601">
        <f t="shared" si="2477"/>
        <v>39615.18923958348</v>
      </c>
    </row>
    <row r="760" spans="2:60" hidden="1" outlineLevel="1" x14ac:dyDescent="0.3">
      <c r="E760" s="596" t="str">
        <f>'EE Measures'!$IK$6</f>
        <v>CEER1</v>
      </c>
      <c r="F760" s="584"/>
      <c r="G760" s="624">
        <f t="shared" si="2477"/>
        <v>28034.917991862254</v>
      </c>
      <c r="H760" s="624">
        <f t="shared" si="2477"/>
        <v>32174.30888645479</v>
      </c>
      <c r="I760" s="624">
        <f t="shared" si="2477"/>
        <v>34215.276873486546</v>
      </c>
      <c r="J760" s="624">
        <f t="shared" si="2477"/>
        <v>36528.026341399585</v>
      </c>
      <c r="K760" s="624">
        <f t="shared" si="2477"/>
        <v>38238.876126260751</v>
      </c>
      <c r="L760" s="624">
        <f t="shared" si="2477"/>
        <v>38146.336960481705</v>
      </c>
      <c r="M760" s="624">
        <f t="shared" si="2477"/>
        <v>38058.343879266286</v>
      </c>
      <c r="N760" s="624">
        <f t="shared" si="2477"/>
        <v>37964.011560940795</v>
      </c>
      <c r="O760" s="624">
        <f t="shared" si="2477"/>
        <v>38480.024638181123</v>
      </c>
      <c r="P760" s="624">
        <f t="shared" si="2477"/>
        <v>38709.102193994411</v>
      </c>
      <c r="Q760" s="624">
        <f t="shared" si="2477"/>
        <v>38938.642915674689</v>
      </c>
      <c r="R760" s="624">
        <f t="shared" si="2477"/>
        <v>39188.297405231329</v>
      </c>
      <c r="S760" s="624">
        <f t="shared" si="2477"/>
        <v>39445.313212637069</v>
      </c>
      <c r="T760" s="624">
        <f t="shared" si="2477"/>
        <v>39692.396919305931</v>
      </c>
      <c r="U760" s="624">
        <f t="shared" si="2477"/>
        <v>39916.907076483185</v>
      </c>
    </row>
    <row r="761" spans="2:60" hidden="1" outlineLevel="1" x14ac:dyDescent="0.3">
      <c r="E761" s="596" t="str">
        <f>'EE Measures'!$IL$6</f>
        <v>CEER2</v>
      </c>
      <c r="F761" s="584"/>
      <c r="G761" s="601">
        <f t="shared" si="2477"/>
        <v>28034.917991862254</v>
      </c>
      <c r="H761" s="601">
        <f t="shared" si="2477"/>
        <v>32174.30888645479</v>
      </c>
      <c r="I761" s="601">
        <f t="shared" si="2477"/>
        <v>34215.276873486546</v>
      </c>
      <c r="J761" s="601">
        <f t="shared" si="2477"/>
        <v>36528.026341399585</v>
      </c>
      <c r="K761" s="601">
        <f t="shared" si="2477"/>
        <v>39025.217166701223</v>
      </c>
      <c r="L761" s="601">
        <f t="shared" si="2477"/>
        <v>38963.750388444932</v>
      </c>
      <c r="M761" s="601">
        <f t="shared" si="2477"/>
        <v>38909.590096161432</v>
      </c>
      <c r="N761" s="601">
        <f t="shared" si="2477"/>
        <v>38855.300943605354</v>
      </c>
      <c r="O761" s="601">
        <f t="shared" si="2477"/>
        <v>39414.356380960329</v>
      </c>
      <c r="P761" s="601">
        <f t="shared" si="2477"/>
        <v>39687.267662527338</v>
      </c>
      <c r="Q761" s="601">
        <f t="shared" si="2477"/>
        <v>39940.750506997429</v>
      </c>
      <c r="R761" s="601">
        <f t="shared" si="2477"/>
        <v>40227.049262155975</v>
      </c>
      <c r="S761" s="601">
        <f t="shared" si="2477"/>
        <v>40521.976914321851</v>
      </c>
      <c r="T761" s="601">
        <f t="shared" si="2477"/>
        <v>40808.286357710342</v>
      </c>
      <c r="U761" s="601">
        <f t="shared" si="2477"/>
        <v>41073.38768173592</v>
      </c>
    </row>
    <row r="762" spans="2:60" customFormat="1" x14ac:dyDescent="0.3"/>
    <row r="763" spans="2:60" ht="19.5" collapsed="1" thickBot="1" x14ac:dyDescent="0.35">
      <c r="B763" s="1" t="s">
        <v>445</v>
      </c>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row>
    <row r="764" spans="2:60" customFormat="1" hidden="1" outlineLevel="1" x14ac:dyDescent="0.3"/>
    <row r="765" spans="2:60" hidden="1" outlineLevel="1" x14ac:dyDescent="0.3">
      <c r="E765" s="627" t="s">
        <v>446</v>
      </c>
      <c r="F765" s="625"/>
      <c r="G765" s="625"/>
      <c r="H765" s="625"/>
      <c r="I765" s="625"/>
      <c r="J765" s="625"/>
      <c r="K765" s="625"/>
      <c r="L765" s="625"/>
      <c r="M765" s="625"/>
      <c r="N765" s="625"/>
      <c r="O765" s="625"/>
      <c r="P765" s="625"/>
      <c r="Q765" s="625"/>
      <c r="R765" s="625"/>
      <c r="S765" s="625"/>
      <c r="T765" s="625"/>
      <c r="U765" s="625"/>
    </row>
    <row r="766" spans="2:60" ht="11.1" hidden="1" customHeight="1" outlineLevel="1" x14ac:dyDescent="0.3">
      <c r="E766" s="625"/>
      <c r="F766" s="625"/>
      <c r="G766" s="625">
        <v>2021</v>
      </c>
      <c r="H766" s="625">
        <v>2022</v>
      </c>
      <c r="I766" s="625">
        <v>2023</v>
      </c>
      <c r="J766" s="625">
        <v>2024</v>
      </c>
      <c r="K766" s="625">
        <v>2025</v>
      </c>
      <c r="L766" s="625">
        <v>2026</v>
      </c>
      <c r="M766" s="625">
        <v>2027</v>
      </c>
      <c r="N766" s="625">
        <v>2028</v>
      </c>
      <c r="O766" s="625">
        <v>2029</v>
      </c>
      <c r="P766" s="625">
        <v>2030</v>
      </c>
      <c r="Q766" s="625">
        <v>2031</v>
      </c>
      <c r="R766" s="625">
        <v>2032</v>
      </c>
      <c r="S766" s="625">
        <v>2033</v>
      </c>
      <c r="T766" s="625">
        <v>2034</v>
      </c>
      <c r="U766" s="625">
        <v>2035</v>
      </c>
    </row>
    <row r="767" spans="2:60" ht="14.25" hidden="1" outlineLevel="1" thickBot="1" x14ac:dyDescent="0.35">
      <c r="E767" s="628" t="s">
        <v>345</v>
      </c>
      <c r="F767" s="628"/>
      <c r="G767" s="591">
        <f>Assumptions!C83</f>
        <v>12331.6</v>
      </c>
      <c r="H767" s="591">
        <f>Assumptions!D83</f>
        <v>13926.4</v>
      </c>
      <c r="I767" s="591">
        <f>Assumptions!E83</f>
        <v>15209.5</v>
      </c>
      <c r="J767" s="591">
        <f>Assumptions!F83</f>
        <v>15711.6</v>
      </c>
      <c r="K767" s="591">
        <f>Assumptions!G83</f>
        <v>16403.3</v>
      </c>
      <c r="L767" s="591">
        <f>Assumptions!H83</f>
        <v>16729.900000000001</v>
      </c>
      <c r="M767" s="591">
        <f>Assumptions!I83</f>
        <v>16945.5</v>
      </c>
      <c r="N767" s="591">
        <f>Assumptions!J83</f>
        <v>17163.878460122294</v>
      </c>
      <c r="O767" s="591">
        <f>Assumptions!K83</f>
        <v>17385.071186677884</v>
      </c>
      <c r="P767" s="591">
        <f>Assumptions!L83</f>
        <v>17609.114447417502</v>
      </c>
      <c r="Q767" s="591">
        <f>Assumptions!M83</f>
        <v>17836.044977478243</v>
      </c>
      <c r="R767" s="591">
        <f>Assumptions!N83</f>
        <v>18065.899985406821</v>
      </c>
      <c r="S767" s="591">
        <f>Assumptions!O83</f>
        <v>18298.717159260443</v>
      </c>
      <c r="T767" s="591">
        <f>Assumptions!P83</f>
        <v>18534.534672786318</v>
      </c>
      <c r="U767" s="591">
        <f>Assumptions!Q83</f>
        <v>18773.391191680796</v>
      </c>
    </row>
    <row r="768" spans="2:60" ht="30.75" hidden="1" outlineLevel="1" thickBot="1" x14ac:dyDescent="0.35">
      <c r="C768" s="587" t="str">
        <f>E768</f>
        <v>Baseline</v>
      </c>
      <c r="E768" s="628" t="str">
        <f>'EE Measures'!$IF$6</f>
        <v>Baseline</v>
      </c>
      <c r="F768" s="876">
        <f>SUM(G768:P768)/SUM($G$767:$P$767)-1</f>
        <v>6.3180281234014313E-3</v>
      </c>
      <c r="G768" s="590">
        <f t="shared" ref="G768:P768" si="2478">G$767+SUM(G769:G771)</f>
        <v>12348.995736571806</v>
      </c>
      <c r="H768" s="590">
        <f t="shared" si="2478"/>
        <v>13942.345646449628</v>
      </c>
      <c r="I768" s="590">
        <f t="shared" si="2478"/>
        <v>15232.030354292825</v>
      </c>
      <c r="J768" s="590">
        <f t="shared" si="2478"/>
        <v>15796.759609860927</v>
      </c>
      <c r="K768" s="590">
        <f t="shared" si="2478"/>
        <v>16536.833433229487</v>
      </c>
      <c r="L768" s="590">
        <f t="shared" si="2478"/>
        <v>16868.673672143741</v>
      </c>
      <c r="M768" s="590">
        <f t="shared" si="2478"/>
        <v>17088.832192305643</v>
      </c>
      <c r="N768" s="590">
        <f t="shared" si="2478"/>
        <v>17307.541776499602</v>
      </c>
      <c r="O768" s="590">
        <f t="shared" si="2478"/>
        <v>17535.166412842427</v>
      </c>
      <c r="P768" s="590">
        <f t="shared" si="2478"/>
        <v>17765.879172685167</v>
      </c>
      <c r="Q768" s="590">
        <f t="shared" ref="Q768:U768" si="2479">Q$767+SUM(Q769:Q771)</f>
        <v>17999.725486418421</v>
      </c>
      <c r="R768" s="590">
        <f t="shared" si="2479"/>
        <v>18236.751614756053</v>
      </c>
      <c r="S768" s="590">
        <f t="shared" si="2479"/>
        <v>18477.004669590209</v>
      </c>
      <c r="T768" s="590">
        <f t="shared" si="2479"/>
        <v>18720.53263556298</v>
      </c>
      <c r="U768" s="590">
        <f t="shared" si="2479"/>
        <v>18967.384392383563</v>
      </c>
      <c r="V768" s="898">
        <f>SUM(G769:P771)</f>
        <v>1007.1939126635714</v>
      </c>
      <c r="X768" s="1575"/>
      <c r="Y768" s="959" t="s">
        <v>13</v>
      </c>
      <c r="Z768" s="959" t="s">
        <v>35</v>
      </c>
      <c r="AA768" s="959" t="s">
        <v>36</v>
      </c>
      <c r="AB768" s="959" t="s">
        <v>62</v>
      </c>
      <c r="AC768" s="959" t="s">
        <v>38</v>
      </c>
      <c r="AD768" s="1576" t="s">
        <v>39</v>
      </c>
      <c r="AE768" s="1576" t="s">
        <v>40</v>
      </c>
    </row>
    <row r="769" spans="3:31" ht="14.25" hidden="1" outlineLevel="1" thickBot="1" x14ac:dyDescent="0.35">
      <c r="C769" s="587" t="str">
        <f>C768</f>
        <v>Baseline</v>
      </c>
      <c r="E769" s="629" t="s">
        <v>353</v>
      </c>
      <c r="F769" s="629"/>
      <c r="G769" s="618">
        <f>SUMPRODUCT('EE Measures'!EE$8:EE$86,'EE Measures'!$IF$8:$IF$86)-G770</f>
        <v>18.340969997750516</v>
      </c>
      <c r="H769" s="618">
        <f>SUMPRODUCT('EE Measures'!EF$8:EF$86,'EE Measures'!$IF$8:$IF$86)-H770</f>
        <v>13.279926633313131</v>
      </c>
      <c r="I769" s="618">
        <f>SUMPRODUCT('EE Measures'!EG$8:EG$86,'EE Measures'!$IF$8:$IF$86)-I770</f>
        <v>16.01026483101051</v>
      </c>
      <c r="J769" s="618">
        <f>SUMPRODUCT('EE Measures'!EH$8:EH$86,'EE Measures'!$IF$8:$IF$86)-J770</f>
        <v>0.32431215647298473</v>
      </c>
      <c r="K769" s="618">
        <f>SUMPRODUCT('EE Measures'!EI$8:EI$86,'EE Measures'!$IF$8:$IF$86)-K770</f>
        <v>7.2470771563814651</v>
      </c>
      <c r="L769" s="618">
        <f>SUMPRODUCT('EE Measures'!EJ$8:EJ$86,'EE Measures'!$IF$8:$IF$86)-L770</f>
        <v>7.3572140479922155</v>
      </c>
      <c r="M769" s="618">
        <f>SUMPRODUCT('EE Measures'!EK$8:EK$86,'EE Measures'!$IF$8:$IF$86)-M770</f>
        <v>6.4937957736658234</v>
      </c>
      <c r="N769" s="618">
        <f>SUMPRODUCT('EE Measures'!EL$8:EL$86,'EE Measures'!$IF$8:$IF$86)-N770</f>
        <v>0.74413176637153811</v>
      </c>
      <c r="O769" s="618">
        <f>SUMPRODUCT('EE Measures'!EM$8:EM$86,'EE Measures'!$IF$8:$IF$86)-O770</f>
        <v>0.87192792938952834</v>
      </c>
      <c r="P769" s="618">
        <f>SUMPRODUCT('EE Measures'!EN$8:EN$86,'EE Measures'!$IF$8:$IF$86)-P770</f>
        <v>1.0059347298625312</v>
      </c>
      <c r="Q769" s="618">
        <f>SUMPRODUCT('EE Measures'!EO$8:EO$86,'EE Measures'!$IF$8:$IF$86)-Q770</f>
        <v>1.1464662402331953</v>
      </c>
      <c r="R769" s="618">
        <f>SUMPRODUCT('EE Measures'!EP$8:EP$86,'EE Measures'!$IF$8:$IF$86)-R770</f>
        <v>1.2938519737188301</v>
      </c>
      <c r="S769" s="618">
        <f>SUMPRODUCT('EE Measures'!EQ$8:EQ$86,'EE Measures'!$IF$8:$IF$86)-S770</f>
        <v>1.4484376369443623</v>
      </c>
      <c r="T769" s="618">
        <f>SUMPRODUCT('EE Measures'!ER$8:ER$86,'EE Measures'!$IF$8:$IF$86)-T770</f>
        <v>1.6105859188710667</v>
      </c>
      <c r="U769" s="618">
        <f>SUMPRODUCT('EE Measures'!ES$8:ES$86,'EE Measures'!$IF$8:$IF$86)-U770</f>
        <v>1.7806773177730406</v>
      </c>
      <c r="V769" s="898">
        <f>SUM(G769:P769)</f>
        <v>71.675555022210247</v>
      </c>
      <c r="X769" s="1577" t="s">
        <v>211</v>
      </c>
      <c r="Y769" s="1578" cm="1">
        <f t="array" ref="Y769:AE769">INDEX($V$768:$V$795,MATCH($Y$768:$AE$768,$E$768:$E$795,0))</f>
        <v>1007.1939126635714</v>
      </c>
      <c r="Z769" s="1578">
        <v>2877.4896650522137</v>
      </c>
      <c r="AA769" s="1578">
        <v>2974.9461879842511</v>
      </c>
      <c r="AB769" s="1578">
        <v>4879.2318671312414</v>
      </c>
      <c r="AC769" s="1578">
        <v>2736.3963187861259</v>
      </c>
      <c r="AD769" s="1578">
        <v>3267.6944313118802</v>
      </c>
      <c r="AE769" s="1579">
        <v>4364.653270480605</v>
      </c>
    </row>
    <row r="770" spans="3:31" ht="14.25" hidden="1" outlineLevel="1" thickBot="1" x14ac:dyDescent="0.35">
      <c r="C770" s="587" t="str">
        <f>C769</f>
        <v>Baseline</v>
      </c>
      <c r="E770" s="629" t="s">
        <v>447</v>
      </c>
      <c r="F770" s="629"/>
      <c r="G770" s="586">
        <f>SUMPRODUCT('EE Measures'!EE$8:EE$86,'EE Measures'!$IF$8:$IF$86,'EE Measures'!$ED$8:$ED$86)</f>
        <v>0</v>
      </c>
      <c r="H770" s="586">
        <f>SUMPRODUCT('EE Measures'!EF$8:EF$86,'EE Measures'!$IF$8:$IF$86,'EE Measures'!$ED$8:$ED$86)</f>
        <v>4.1742554839948873</v>
      </c>
      <c r="I770" s="586">
        <f>SUMPRODUCT('EE Measures'!EG$8:EG$86,'EE Measures'!$IF$8:$IF$86,'EE Measures'!$ED$8:$ED$86)</f>
        <v>8.5146680420404461</v>
      </c>
      <c r="J770" s="586">
        <f>SUMPRODUCT('EE Measures'!EH$8:EH$86,'EE Measures'!$IF$8:$IF$86,'EE Measures'!$ED$8:$ED$86)</f>
        <v>91.923225363460602</v>
      </c>
      <c r="K770" s="586">
        <f>SUMPRODUCT('EE Measures'!EI$8:EI$86,'EE Measures'!$IF$8:$IF$86,'EE Measures'!$ED$8:$ED$86)</f>
        <v>137.09605705838044</v>
      </c>
      <c r="L770" s="586">
        <f>SUMPRODUCT('EE Measures'!EJ$8:EJ$86,'EE Measures'!$IF$8:$IF$86,'EE Measures'!$ED$8:$ED$86)</f>
        <v>142.96711235374016</v>
      </c>
      <c r="M770" s="586">
        <f>SUMPRODUCT('EE Measures'!EK$8:EK$86,'EE Measures'!$IF$8:$IF$86,'EE Measures'!$ED$8:$ED$86)</f>
        <v>149.07514239574789</v>
      </c>
      <c r="N770" s="586">
        <f>SUMPRODUCT('EE Measures'!EL$8:EL$86,'EE Measures'!$IF$8:$IF$86,'EE Measures'!$ED$8:$ED$86)</f>
        <v>155.44427058419595</v>
      </c>
      <c r="O770" s="586">
        <f>SUMPRODUCT('EE Measures'!EM$8:EM$86,'EE Measures'!$IF$8:$IF$86,'EE Measures'!$ED$8:$ED$86)</f>
        <v>162.05133654872861</v>
      </c>
      <c r="P770" s="586">
        <f>SUMPRODUCT('EE Measures'!EN$8:EN$86,'EE Measures'!$IF$8:$IF$86,'EE Measures'!$ED$8:$ED$86)</f>
        <v>168.90506844904721</v>
      </c>
      <c r="Q770" s="586">
        <f>SUMPRODUCT('EE Measures'!EO$8:EO$86,'EE Measures'!$IF$8:$IF$86,'EE Measures'!$ED$8:$ED$86)</f>
        <v>176.01455191815256</v>
      </c>
      <c r="R770" s="586">
        <f>SUMPRODUCT('EE Measures'!EP$8:EP$86,'EE Measures'!$IF$8:$IF$86,'EE Measures'!$ED$8:$ED$86)</f>
        <v>183.38924473399453</v>
      </c>
      <c r="S770" s="586">
        <f>SUMPRODUCT('EE Measures'!EQ$8:EQ$86,'EE Measures'!$IF$8:$IF$86,'EE Measures'!$ED$8:$ED$86)</f>
        <v>191.03899212034469</v>
      </c>
      <c r="T770" s="586">
        <f>SUMPRODUCT('EE Measures'!ER$8:ER$86,'EE Measures'!$IF$8:$IF$86,'EE Measures'!$ED$8:$ED$86)</f>
        <v>198.97404270421237</v>
      </c>
      <c r="U770" s="586">
        <f>SUMPRODUCT('EE Measures'!ES$8:ES$86,'EE Measures'!$IF$8:$IF$86,'EE Measures'!$ED$8:$ED$86)</f>
        <v>207.20506515833662</v>
      </c>
      <c r="V770" s="898">
        <f>SUM(G770:P770)</f>
        <v>1020.1511362793361</v>
      </c>
      <c r="X770" s="960" t="s">
        <v>353</v>
      </c>
      <c r="Y770" s="1580" cm="1">
        <f t="array" ref="Y770:AE770">INDEX($V$768:$V$795,MATCH($Y$768:$AE$768,$E$768:$E$795,0)+1)</f>
        <v>71.675555022210247</v>
      </c>
      <c r="Z770" s="1580">
        <v>2019.5219229795732</v>
      </c>
      <c r="AA770" s="1580">
        <v>1401.380388589846</v>
      </c>
      <c r="AB770" s="1580">
        <v>3366.2659329677062</v>
      </c>
      <c r="AC770" s="1580">
        <v>1576.8357192889391</v>
      </c>
      <c r="AD770" s="1580">
        <v>1822.1107336271157</v>
      </c>
      <c r="AE770" s="1581">
        <v>2204.4963487624368</v>
      </c>
    </row>
    <row r="771" spans="3:31" ht="14.25" hidden="1" outlineLevel="1" thickBot="1" x14ac:dyDescent="0.35">
      <c r="C771" s="587" t="str">
        <f>C769</f>
        <v>Baseline</v>
      </c>
      <c r="E771" s="629" t="s">
        <v>448</v>
      </c>
      <c r="F771" s="629"/>
      <c r="G771" s="593">
        <f>-SUMPRODUCT('EE Measures'!EU$8:EU$86,'EE Measures'!$IF$8:$IF$86)</f>
        <v>-0.94523342594576842</v>
      </c>
      <c r="H771" s="593">
        <f>-SUMPRODUCT('EE Measures'!EV$8:EV$86,'EE Measures'!$IF$8:$IF$86)</f>
        <v>-1.5085356676783148</v>
      </c>
      <c r="I771" s="593">
        <f>-SUMPRODUCT('EE Measures'!EW$8:EW$86,'EE Measures'!$IF$8:$IF$86)</f>
        <v>-1.9945785802252918</v>
      </c>
      <c r="J771" s="593">
        <f>-SUMPRODUCT('EE Measures'!EX$8:EX$86,'EE Measures'!$IF$8:$IF$86)</f>
        <v>-7.0879276590082618</v>
      </c>
      <c r="K771" s="593">
        <f>-SUMPRODUCT('EE Measures'!EY$8:EY$86,'EE Measures'!$IF$8:$IF$86)</f>
        <v>-10.809700985274709</v>
      </c>
      <c r="L771" s="593">
        <f>-SUMPRODUCT('EE Measures'!EZ$8:EZ$86,'EE Measures'!$IF$8:$IF$86)</f>
        <v>-11.550654257992949</v>
      </c>
      <c r="M771" s="593">
        <f>-SUMPRODUCT('EE Measures'!FA$8:FA$86,'EE Measures'!$IF$8:$IF$86)</f>
        <v>-12.236745863771191</v>
      </c>
      <c r="N771" s="593">
        <f>-SUMPRODUCT('EE Measures'!FB$8:FB$86,'EE Measures'!$IF$8:$IF$86)</f>
        <v>-12.525085973260776</v>
      </c>
      <c r="O771" s="593">
        <f>-SUMPRODUCT('EE Measures'!FC$8:FC$86,'EE Measures'!$IF$8:$IF$86)</f>
        <v>-12.828038313573042</v>
      </c>
      <c r="P771" s="593">
        <f>-SUMPRODUCT('EE Measures'!FD$8:FD$86,'EE Measures'!$IF$8:$IF$86)</f>
        <v>-13.146277911244493</v>
      </c>
      <c r="Q771" s="593">
        <f>-SUMPRODUCT('EE Measures'!FE$8:FE$86,'EE Measures'!$IF$8:$IF$86)</f>
        <v>-13.480509218206803</v>
      </c>
      <c r="R771" s="593">
        <f>-SUMPRODUCT('EE Measures'!FF$8:FF$86,'EE Measures'!$IF$8:$IF$86)</f>
        <v>-13.831467358482836</v>
      </c>
      <c r="S771" s="593">
        <f>-SUMPRODUCT('EE Measures'!FG$8:FG$86,'EE Measures'!$IF$8:$IF$86)</f>
        <v>-14.199919427523207</v>
      </c>
      <c r="T771" s="593">
        <f>-SUMPRODUCT('EE Measures'!FH$8:FH$86,'EE Measures'!$IF$8:$IF$86)</f>
        <v>-14.586665846421729</v>
      </c>
      <c r="U771" s="593">
        <f>-SUMPRODUCT('EE Measures'!FI$8:FI$86,'EE Measures'!$IF$8:$IF$86)</f>
        <v>-14.992541773343641</v>
      </c>
      <c r="V771" s="898">
        <f>SUM(G771:P771)</f>
        <v>-84.632778637974795</v>
      </c>
      <c r="X771" s="960" t="s">
        <v>354</v>
      </c>
      <c r="Y771" s="1580" cm="1">
        <f t="array" ref="Y771:AE771">INDEX($V$768:$V$795,MATCH($Y$768:$AE$768,$E$768:$E$795,0)+2)</f>
        <v>1020.1511362793361</v>
      </c>
      <c r="Z771" s="1580">
        <v>1100.3371233615762</v>
      </c>
      <c r="AA771" s="1580">
        <v>1813.0110071017361</v>
      </c>
      <c r="AB771" s="1580">
        <v>1804.0110071017361</v>
      </c>
      <c r="AC771" s="1580">
        <v>1612.5460393961362</v>
      </c>
      <c r="AD771" s="1580">
        <v>1804.0110071017361</v>
      </c>
      <c r="AE771" s="1581">
        <v>2605.870877924136</v>
      </c>
    </row>
    <row r="772" spans="3:31" ht="14.25" hidden="1" outlineLevel="1" thickBot="1" x14ac:dyDescent="0.35">
      <c r="C772" s="587" t="str">
        <f>E772</f>
        <v>EEO</v>
      </c>
      <c r="E772" s="628" t="str">
        <f>'EE Measures'!$IG$6</f>
        <v>EEO</v>
      </c>
      <c r="F772" s="876">
        <f>SUM(G772:P772)/SUM($G$767:$P$767)-1</f>
        <v>1.8050209001480466E-2</v>
      </c>
      <c r="G772" s="590">
        <f t="shared" ref="G772:P772" si="2480">G$767+SUM(G773:G775)</f>
        <v>12348.333120345886</v>
      </c>
      <c r="H772" s="590">
        <f t="shared" si="2480"/>
        <v>13941.492098738941</v>
      </c>
      <c r="I772" s="590">
        <f t="shared" si="2480"/>
        <v>15230.982037084146</v>
      </c>
      <c r="J772" s="590">
        <f t="shared" si="2480"/>
        <v>15795.076516185532</v>
      </c>
      <c r="K772" s="590">
        <f t="shared" si="2480"/>
        <v>16851.017718664534</v>
      </c>
      <c r="L772" s="590">
        <f t="shared" si="2480"/>
        <v>17183.478584929471</v>
      </c>
      <c r="M772" s="590">
        <f t="shared" si="2480"/>
        <v>17398.872272104974</v>
      </c>
      <c r="N772" s="590">
        <f t="shared" si="2480"/>
        <v>17618.395480580664</v>
      </c>
      <c r="O772" s="590">
        <f t="shared" si="2480"/>
        <v>17846.950797541333</v>
      </c>
      <c r="P772" s="590">
        <f t="shared" si="2480"/>
        <v>18078.755133094412</v>
      </c>
      <c r="Q772" s="590">
        <f t="shared" ref="Q772:U772" si="2481">Q$767+SUM(Q773:Q775)</f>
        <v>18314.333086598293</v>
      </c>
      <c r="R772" s="590">
        <f t="shared" si="2481"/>
        <v>18553.751697693642</v>
      </c>
      <c r="S772" s="590">
        <f t="shared" si="2481"/>
        <v>18796.529542614709</v>
      </c>
      <c r="T772" s="590">
        <f t="shared" si="2481"/>
        <v>19042.717112991922</v>
      </c>
      <c r="U772" s="590">
        <f t="shared" si="2481"/>
        <v>19292.365626213646</v>
      </c>
      <c r="V772" s="898">
        <f>SUM(G773:P775)</f>
        <v>2877.4896650522137</v>
      </c>
      <c r="X772" s="960" t="s">
        <v>212</v>
      </c>
      <c r="Y772" s="1580" cm="1">
        <f t="array" ref="Y772:AE772">INDEX($V$768:$V$795,MATCH($Y$768:$AE$768,$E$768:$E$795,0)+3)</f>
        <v>-84.632778637974795</v>
      </c>
      <c r="Z772" s="1580">
        <v>-242.36938128893593</v>
      </c>
      <c r="AA772" s="1580">
        <v>-239.44520770733095</v>
      </c>
      <c r="AB772" s="1580">
        <v>-291.04507293820143</v>
      </c>
      <c r="AC772" s="1580">
        <v>-452.98543989894921</v>
      </c>
      <c r="AD772" s="1580">
        <v>-358.427309416973</v>
      </c>
      <c r="AE772" s="1581">
        <v>-445.71395620596655</v>
      </c>
    </row>
    <row r="773" spans="3:31" hidden="1" outlineLevel="1" x14ac:dyDescent="0.3">
      <c r="C773" s="587" t="str">
        <f>C772</f>
        <v>EEO</v>
      </c>
      <c r="E773" s="629" t="s">
        <v>353</v>
      </c>
      <c r="F773" s="629"/>
      <c r="G773" s="618">
        <f>SUMPRODUCT('EE Measures'!EE$8:EE$86,'EE Measures'!$IG$8:$IG$86)-G774</f>
        <v>18.340969997750516</v>
      </c>
      <c r="H773" s="618">
        <f>SUMPRODUCT('EE Measures'!EF$8:EF$86,'EE Measures'!$IG$8:$IG$86)-H774</f>
        <v>13.279926633313131</v>
      </c>
      <c r="I773" s="618">
        <f>SUMPRODUCT('EE Measures'!EG$8:EG$86,'EE Measures'!$IG$8:$IG$86)-I774</f>
        <v>16.01026483101051</v>
      </c>
      <c r="J773" s="618">
        <f>SUMPRODUCT('EE Measures'!EH$8:EH$86,'EE Measures'!$IG$8:$IG$86)-J774</f>
        <v>0.32431215647298473</v>
      </c>
      <c r="K773" s="618">
        <f>SUMPRODUCT('EE Measures'!EI$8:EI$86,'EE Measures'!$IG$8:$IG$86)-K774</f>
        <v>317.0158286393542</v>
      </c>
      <c r="L773" s="618">
        <f>SUMPRODUCT('EE Measures'!EJ$8:EJ$86,'EE Measures'!$IG$8:$IG$86)-L774</f>
        <v>322.78023164196128</v>
      </c>
      <c r="M773" s="618">
        <f>SUMPRODUCT('EE Measures'!EK$8:EK$86,'EE Measures'!$IG$8:$IG$86)-M774</f>
        <v>328.21515556186648</v>
      </c>
      <c r="N773" s="618">
        <f>SUMPRODUCT('EE Measures'!EL$8:EL$86,'EE Measures'!$IG$8:$IG$86)-N774</f>
        <v>328.34819001645269</v>
      </c>
      <c r="O773" s="618">
        <f>SUMPRODUCT('EE Measures'!EM$8:EM$86,'EE Measures'!$IG$8:$IG$86)-O774</f>
        <v>334.47633861058898</v>
      </c>
      <c r="P773" s="618">
        <f>SUMPRODUCT('EE Measures'!EN$8:EN$86,'EE Measures'!$IG$8:$IG$86)-P774</f>
        <v>340.73070489080237</v>
      </c>
      <c r="Q773" s="618">
        <f>SUMPRODUCT('EE Measures'!EO$8:EO$86,'EE Measures'!$IG$8:$IG$86)-Q774</f>
        <v>346.58301230949309</v>
      </c>
      <c r="R773" s="618">
        <f>SUMPRODUCT('EE Measures'!EP$8:EP$86,'EE Measures'!$IG$8:$IG$86)-R774</f>
        <v>353.09802004570054</v>
      </c>
      <c r="S773" s="618">
        <f>SUMPRODUCT('EE Measures'!EQ$8:EQ$86,'EE Measures'!$IG$8:$IG$86)-S774</f>
        <v>359.74758015170249</v>
      </c>
      <c r="T773" s="618">
        <f>SUMPRODUCT('EE Measures'!ER$8:ER$86,'EE Measures'!$IG$8:$IG$86)-T774</f>
        <v>366.53460236526132</v>
      </c>
      <c r="U773" s="618">
        <f>SUMPRODUCT('EE Measures'!ES$8:ES$86,'EE Measures'!$IG$8:$IG$86)-U774</f>
        <v>373.46206517442795</v>
      </c>
      <c r="V773" s="898">
        <f>SUM(G773:P773)</f>
        <v>2019.5219229795732</v>
      </c>
    </row>
    <row r="774" spans="3:31" hidden="1" outlineLevel="1" x14ac:dyDescent="0.3">
      <c r="C774" s="587" t="str">
        <f>C773</f>
        <v>EEO</v>
      </c>
      <c r="E774" s="629" t="s">
        <v>447</v>
      </c>
      <c r="F774" s="629"/>
      <c r="G774" s="586">
        <f>SUMPRODUCT('EE Measures'!EE$8:EE$86,'EE Measures'!$IG$8:$IG$86,'EE Measures'!$ED$8:$ED$86)</f>
        <v>0</v>
      </c>
      <c r="H774" s="586">
        <f>SUMPRODUCT('EE Measures'!EF$8:EF$86,'EE Measures'!$IG$8:$IG$86,'EE Measures'!$ED$8:$ED$86)</f>
        <v>4.1742554839948873</v>
      </c>
      <c r="I774" s="586">
        <f>SUMPRODUCT('EE Measures'!EG$8:EG$86,'EE Measures'!$IG$8:$IG$86,'EE Measures'!$ED$8:$ED$86)</f>
        <v>8.5146680420404461</v>
      </c>
      <c r="J774" s="586">
        <f>SUMPRODUCT('EE Measures'!EH$8:EH$86,'EE Measures'!$IG$8:$IG$86,'EE Measures'!$ED$8:$ED$86)</f>
        <v>91.923225363460602</v>
      </c>
      <c r="K774" s="586">
        <f>SUMPRODUCT('EE Measures'!EI$8:EI$86,'EE Measures'!$IG$8:$IG$86,'EE Measures'!$ED$8:$ED$86)</f>
        <v>150.29605705838043</v>
      </c>
      <c r="L774" s="586">
        <f>SUMPRODUCT('EE Measures'!EJ$8:EJ$86,'EE Measures'!$IG$8:$IG$86,'EE Measures'!$ED$8:$ED$86)</f>
        <v>156.23111235374017</v>
      </c>
      <c r="M774" s="586">
        <f>SUMPRODUCT('EE Measures'!EK$8:EK$86,'EE Measures'!$IG$8:$IG$86,'EE Measures'!$ED$8:$ED$86)</f>
        <v>162.4044223957479</v>
      </c>
      <c r="N774" s="586">
        <f>SUMPRODUCT('EE Measures'!EL$8:EL$86,'EE Measures'!$IG$8:$IG$86,'EE Measures'!$ED$8:$ED$86)</f>
        <v>168.84013618419596</v>
      </c>
      <c r="O774" s="586">
        <f>SUMPRODUCT('EE Measures'!EM$8:EM$86,'EE Measures'!$IG$8:$IG$86,'EE Measures'!$ED$8:$ED$86)</f>
        <v>175.51511946072861</v>
      </c>
      <c r="P774" s="586">
        <f>SUMPRODUCT('EE Measures'!EN$8:EN$86,'EE Measures'!$IG$8:$IG$86,'EE Measures'!$ED$8:$ED$86)</f>
        <v>182.43812701928721</v>
      </c>
      <c r="Q774" s="586">
        <f>SUMPRODUCT('EE Measures'!EO$8:EO$86,'EE Measures'!$IG$8:$IG$86,'EE Measures'!$ED$8:$ED$86)</f>
        <v>189.61827165979736</v>
      </c>
      <c r="R774" s="586">
        <f>SUMPRODUCT('EE Measures'!EP$8:EP$86,'EE Measures'!$IG$8:$IG$86,'EE Measures'!$ED$8:$ED$86)</f>
        <v>197.06503887047222</v>
      </c>
      <c r="S774" s="586">
        <f>SUMPRODUCT('EE Measures'!EQ$8:EQ$86,'EE Measures'!$IG$8:$IG$86,'EE Measures'!$ED$8:$ED$86)</f>
        <v>204.78830213955194</v>
      </c>
      <c r="T774" s="586">
        <f>SUMPRODUCT('EE Measures'!ER$8:ER$86,'EE Measures'!$IG$8:$IG$86,'EE Measures'!$ED$8:$ED$86)</f>
        <v>212.79833892380375</v>
      </c>
      <c r="U774" s="586">
        <f>SUMPRODUCT('EE Measures'!ES$8:ES$86,'EE Measures'!$IG$8:$IG$86,'EE Measures'!$ED$8:$ED$86)</f>
        <v>221.10584730231986</v>
      </c>
      <c r="V774" s="898">
        <f>SUM(G774:P774)</f>
        <v>1100.3371233615762</v>
      </c>
    </row>
    <row r="775" spans="3:31" hidden="1" outlineLevel="1" x14ac:dyDescent="0.3">
      <c r="C775" s="587" t="str">
        <f>C773</f>
        <v>EEO</v>
      </c>
      <c r="E775" s="629" t="s">
        <v>448</v>
      </c>
      <c r="F775" s="629"/>
      <c r="G775" s="593">
        <f>-SUMPRODUCT('EE Measures'!EU$8:EU$86,'EE Measures'!$IG$8:$IG$86)</f>
        <v>-1.6078496518655498</v>
      </c>
      <c r="H775" s="593">
        <f>-SUMPRODUCT('EE Measures'!EV$8:EV$86,'EE Measures'!$IG$8:$IG$86)</f>
        <v>-2.3620833783665955</v>
      </c>
      <c r="I775" s="593">
        <f>-SUMPRODUCT('EE Measures'!EW$8:EW$86,'EE Measures'!$IG$8:$IG$86)</f>
        <v>-3.0428957889038948</v>
      </c>
      <c r="J775" s="593">
        <f>-SUMPRODUCT('EE Measures'!EX$8:EX$86,'EE Measures'!$IG$8:$IG$86)</f>
        <v>-8.7710213344020218</v>
      </c>
      <c r="K775" s="593">
        <f>-SUMPRODUCT('EE Measures'!EY$8:EY$86,'EE Measures'!$IG$8:$IG$86)</f>
        <v>-19.594167033200549</v>
      </c>
      <c r="L775" s="593">
        <f>-SUMPRODUCT('EE Measures'!EZ$8:EZ$86,'EE Measures'!$IG$8:$IG$86)</f>
        <v>-25.432759066232588</v>
      </c>
      <c r="M775" s="593">
        <f>-SUMPRODUCT('EE Measures'!FA$8:FA$86,'EE Measures'!$IG$8:$IG$86)</f>
        <v>-37.247305852639784</v>
      </c>
      <c r="N775" s="593">
        <f>-SUMPRODUCT('EE Measures'!FB$8:FB$86,'EE Measures'!$IG$8:$IG$86)</f>
        <v>-42.671305742276701</v>
      </c>
      <c r="O775" s="593">
        <f>-SUMPRODUCT('EE Measures'!FC$8:FC$86,'EE Measures'!$IG$8:$IG$86)</f>
        <v>-48.111847207869829</v>
      </c>
      <c r="P775" s="593">
        <f>-SUMPRODUCT('EE Measures'!FD$8:FD$86,'EE Measures'!$IG$8:$IG$86)</f>
        <v>-53.52814623317844</v>
      </c>
      <c r="Q775" s="593">
        <f>-SUMPRODUCT('EE Measures'!FE$8:FE$86,'EE Measures'!$IG$8:$IG$86)</f>
        <v>-57.913174849241209</v>
      </c>
      <c r="R775" s="593">
        <f>-SUMPRODUCT('EE Measures'!FF$8:FF$86,'EE Measures'!$IG$8:$IG$86)</f>
        <v>-62.311346629352563</v>
      </c>
      <c r="S775" s="593">
        <f>-SUMPRODUCT('EE Measures'!FG$8:FG$86,'EE Measures'!$IG$8:$IG$86)</f>
        <v>-66.723498936987824</v>
      </c>
      <c r="T775" s="593">
        <f>-SUMPRODUCT('EE Measures'!FH$8:FH$86,'EE Measures'!$IG$8:$IG$86)</f>
        <v>-71.150501083461265</v>
      </c>
      <c r="U775" s="593">
        <f>-SUMPRODUCT('EE Measures'!FI$8:FI$86,'EE Measures'!$IG$8:$IG$86)</f>
        <v>-75.593477943895877</v>
      </c>
      <c r="V775" s="898">
        <f>SUM(G775:P775)</f>
        <v>-242.36938128893593</v>
      </c>
    </row>
    <row r="776" spans="3:31" hidden="1" outlineLevel="1" x14ac:dyDescent="0.3">
      <c r="C776" s="587" t="str">
        <f>E776</f>
        <v>VA</v>
      </c>
      <c r="E776" s="628" t="s">
        <v>36</v>
      </c>
      <c r="F776" s="876">
        <f>SUM(G776:P776)/SUM($G$767:$P$767)-1</f>
        <v>1.8661544162417831E-2</v>
      </c>
      <c r="G776" s="590">
        <f t="shared" ref="G776:P776" si="2482">G$767+SUM(G777:G779)</f>
        <v>12348.333120345886</v>
      </c>
      <c r="H776" s="590">
        <f t="shared" si="2482"/>
        <v>13941.492098738941</v>
      </c>
      <c r="I776" s="590">
        <f t="shared" si="2482"/>
        <v>15230.982037084146</v>
      </c>
      <c r="J776" s="590">
        <f t="shared" si="2482"/>
        <v>15795.076516185532</v>
      </c>
      <c r="K776" s="590">
        <f t="shared" si="2482"/>
        <v>16863.928455757443</v>
      </c>
      <c r="L776" s="590">
        <f t="shared" si="2482"/>
        <v>17197.165091822422</v>
      </c>
      <c r="M776" s="590">
        <f t="shared" si="2482"/>
        <v>17413.817263008103</v>
      </c>
      <c r="N776" s="590">
        <f t="shared" si="2482"/>
        <v>17635.151616923995</v>
      </c>
      <c r="O776" s="590">
        <f t="shared" si="2482"/>
        <v>17866.041472255074</v>
      </c>
      <c r="P776" s="590">
        <f t="shared" si="2482"/>
        <v>18098.822610080395</v>
      </c>
      <c r="Q776" s="590">
        <f t="shared" ref="Q776:U776" si="2483">Q$767+SUM(Q777:Q779)</f>
        <v>18332.372845180202</v>
      </c>
      <c r="R776" s="590">
        <f t="shared" si="2483"/>
        <v>18569.739617833362</v>
      </c>
      <c r="S776" s="590">
        <f t="shared" si="2483"/>
        <v>18810.440879822185</v>
      </c>
      <c r="T776" s="590">
        <f t="shared" si="2483"/>
        <v>19054.525736538122</v>
      </c>
      <c r="U776" s="590">
        <f t="shared" si="2483"/>
        <v>19302.051550216369</v>
      </c>
      <c r="V776" s="898">
        <f>SUM(G777:P779)</f>
        <v>2974.9461879842511</v>
      </c>
    </row>
    <row r="777" spans="3:31" hidden="1" outlineLevel="1" x14ac:dyDescent="0.3">
      <c r="C777" s="587" t="str">
        <f>C776</f>
        <v>VA</v>
      </c>
      <c r="E777" s="629" t="s">
        <v>353</v>
      </c>
      <c r="F777" s="629"/>
      <c r="G777" s="618">
        <f>SUMPRODUCT('EE Measures'!EE$8:EE$86,'EE Measures'!$IH$8:$IH$86)-G778</f>
        <v>18.340969997750516</v>
      </c>
      <c r="H777" s="618">
        <f>SUMPRODUCT('EE Measures'!EF$8:EF$86,'EE Measures'!$IH$8:$IH$86)-H778</f>
        <v>13.279926633313131</v>
      </c>
      <c r="I777" s="618">
        <f>SUMPRODUCT('EE Measures'!EG$8:EG$86,'EE Measures'!$IH$8:$IH$86)-I778</f>
        <v>16.01026483101051</v>
      </c>
      <c r="J777" s="618">
        <f>SUMPRODUCT('EE Measures'!EH$8:EH$86,'EE Measures'!$IH$8:$IH$86)-J778</f>
        <v>0.32431215647298473</v>
      </c>
      <c r="K777" s="618">
        <f>SUMPRODUCT('EE Measures'!EI$8:EI$86,'EE Measures'!$IH$8:$IH$86)-K778</f>
        <v>212.20313563348321</v>
      </c>
      <c r="L777" s="618">
        <f>SUMPRODUCT('EE Measures'!EJ$8:EJ$86,'EE Measures'!$IH$8:$IH$86)-L778</f>
        <v>217.86280201424756</v>
      </c>
      <c r="M777" s="618">
        <f>SUMPRODUCT('EE Measures'!EK$8:EK$86,'EE Measures'!$IH$8:$IH$86)-M778</f>
        <v>223.83430999428589</v>
      </c>
      <c r="N777" s="618">
        <f>SUMPRODUCT('EE Measures'!EL$8:EL$86,'EE Measures'!$IH$8:$IH$86)-N778</f>
        <v>225.27590666564902</v>
      </c>
      <c r="O777" s="618">
        <f>SUMPRODUCT('EE Measures'!EM$8:EM$86,'EE Measures'!$IH$8:$IH$86)-O778</f>
        <v>233.51860689210633</v>
      </c>
      <c r="P777" s="618">
        <f>SUMPRODUCT('EE Measures'!EN$8:EN$86,'EE Measures'!$IH$8:$IH$86)-P778</f>
        <v>240.73015377152694</v>
      </c>
      <c r="Q777" s="618">
        <f>SUMPRODUCT('EE Measures'!EO$8:EO$86,'EE Measures'!$IH$8:$IH$86)-Q778</f>
        <v>244.51485842650072</v>
      </c>
      <c r="R777" s="618">
        <f>SUMPRODUCT('EE Measures'!EP$8:EP$86,'EE Measures'!$IH$8:$IH$86)-R778</f>
        <v>248.91829837513831</v>
      </c>
      <c r="S777" s="618">
        <f>SUMPRODUCT('EE Measures'!EQ$8:EQ$86,'EE Measures'!$IH$8:$IH$86)-S778</f>
        <v>253.41216026497921</v>
      </c>
      <c r="T777" s="618">
        <f>SUMPRODUCT('EE Measures'!ER$8:ER$86,'EE Measures'!$IH$8:$IH$86)-T778</f>
        <v>257.99841187918798</v>
      </c>
      <c r="U777" s="618">
        <f>SUMPRODUCT('EE Measures'!ES$8:ES$86,'EE Measures'!$IH$8:$IH$86)-U778</f>
        <v>262.68203821343741</v>
      </c>
      <c r="V777" s="898">
        <f>SUM(G777:P777)</f>
        <v>1401.380388589846</v>
      </c>
    </row>
    <row r="778" spans="3:31" hidden="1" outlineLevel="1" x14ac:dyDescent="0.3">
      <c r="C778" s="587" t="str">
        <f>C777</f>
        <v>VA</v>
      </c>
      <c r="E778" s="629" t="s">
        <v>447</v>
      </c>
      <c r="F778" s="629"/>
      <c r="G778" s="586">
        <f>SUMPRODUCT('EE Measures'!EE$8:EE$86,'EE Measures'!$IH$8:$IH$86,'EE Measures'!$ED$8:$ED$86)</f>
        <v>0</v>
      </c>
      <c r="H778" s="586">
        <f>SUMPRODUCT('EE Measures'!EF$8:EF$86,'EE Measures'!$IH$8:$IH$86,'EE Measures'!$ED$8:$ED$86)</f>
        <v>4.1742554839948873</v>
      </c>
      <c r="I778" s="586">
        <f>SUMPRODUCT('EE Measures'!EG$8:EG$86,'EE Measures'!$IH$8:$IH$86,'EE Measures'!$ED$8:$ED$86)</f>
        <v>8.5146680420404461</v>
      </c>
      <c r="J778" s="586">
        <f>SUMPRODUCT('EE Measures'!EH$8:EH$86,'EE Measures'!$IH$8:$IH$86,'EE Measures'!$ED$8:$ED$86)</f>
        <v>91.923225363460602</v>
      </c>
      <c r="K778" s="586">
        <f>SUMPRODUCT('EE Measures'!EI$8:EI$86,'EE Measures'!$IH$8:$IH$86,'EE Measures'!$ED$8:$ED$86)</f>
        <v>267.59605705838044</v>
      </c>
      <c r="L778" s="586">
        <f>SUMPRODUCT('EE Measures'!EJ$8:EJ$86,'EE Measures'!$IH$8:$IH$86,'EE Measures'!$ED$8:$ED$86)</f>
        <v>274.10711235374015</v>
      </c>
      <c r="M778" s="586">
        <f>SUMPRODUCT('EE Measures'!EK$8:EK$86,'EE Measures'!$IH$8:$IH$86,'EE Measures'!$ED$8:$ED$86)</f>
        <v>280.86794239574789</v>
      </c>
      <c r="N778" s="586">
        <f>SUMPRODUCT('EE Measures'!EL$8:EL$86,'EE Measures'!$IH$8:$IH$86,'EE Measures'!$ED$8:$ED$86)</f>
        <v>287.90292658419594</v>
      </c>
      <c r="O778" s="586">
        <f>SUMPRODUCT('EE Measures'!EM$8:EM$86,'EE Measures'!$IH$8:$IH$86,'EE Measures'!$ED$8:$ED$86)</f>
        <v>295.18916566872866</v>
      </c>
      <c r="P778" s="586">
        <f>SUMPRODUCT('EE Measures'!EN$8:EN$86,'EE Measures'!$IH$8:$IH$86,'EE Measures'!$ED$8:$ED$86)</f>
        <v>302.73565415144719</v>
      </c>
      <c r="Q778" s="586">
        <f>SUMPRODUCT('EE Measures'!EO$8:EO$86,'EE Measures'!$IH$8:$IH$86,'EE Measures'!$ED$8:$ED$86)</f>
        <v>310.55174933460057</v>
      </c>
      <c r="R778" s="586">
        <f>SUMPRODUCT('EE Measures'!EP$8:EP$86,'EE Measures'!$IH$8:$IH$86,'EE Measures'!$ED$8:$ED$86)</f>
        <v>318.6471860987715</v>
      </c>
      <c r="S778" s="586">
        <f>SUMPRODUCT('EE Measures'!EQ$8:EQ$86,'EE Measures'!$IH$8:$IH$86,'EE Measures'!$ED$8:$ED$86)</f>
        <v>327.03209231241715</v>
      </c>
      <c r="T778" s="586">
        <f>SUMPRODUCT('EE Measures'!ER$8:ER$86,'EE Measures'!$IH$8:$IH$86,'EE Measures'!$ED$8:$ED$86)</f>
        <v>335.71700490012631</v>
      </c>
      <c r="U778" s="586">
        <f>SUMPRODUCT('EE Measures'!ES$8:ES$86,'EE Measures'!$IH$8:$IH$86,'EE Measures'!$ED$8:$ED$86)</f>
        <v>344.71288659816889</v>
      </c>
      <c r="V778" s="898">
        <f>SUM(G778:P778)</f>
        <v>1813.0110071017361</v>
      </c>
    </row>
    <row r="779" spans="3:31" hidden="1" outlineLevel="1" x14ac:dyDescent="0.3">
      <c r="C779" s="587" t="str">
        <f>C777</f>
        <v>VA</v>
      </c>
      <c r="E779" s="629" t="s">
        <v>448</v>
      </c>
      <c r="F779" s="629"/>
      <c r="G779" s="593">
        <f>-SUMPRODUCT('EE Measures'!EU$8:EU$86,'EE Measures'!$IH$8:$IH$86)</f>
        <v>-1.6078496518655498</v>
      </c>
      <c r="H779" s="593">
        <f>-SUMPRODUCT('EE Measures'!EV$8:EV$86,'EE Measures'!$IH$8:$IH$86)</f>
        <v>-2.3620833783665955</v>
      </c>
      <c r="I779" s="593">
        <f>-SUMPRODUCT('EE Measures'!EW$8:EW$86,'EE Measures'!$IH$8:$IH$86)</f>
        <v>-3.0428957889038948</v>
      </c>
      <c r="J779" s="593">
        <f>-SUMPRODUCT('EE Measures'!EX$8:EX$86,'EE Measures'!$IH$8:$IH$86)</f>
        <v>-8.7710213344020218</v>
      </c>
      <c r="K779" s="593">
        <f>-SUMPRODUCT('EE Measures'!EY$8:EY$86,'EE Measures'!$IH$8:$IH$86)</f>
        <v>-19.170736934420745</v>
      </c>
      <c r="L779" s="593">
        <f>-SUMPRODUCT('EE Measures'!EZ$8:EZ$86,'EE Measures'!$IH$8:$IH$86)</f>
        <v>-24.704822545565577</v>
      </c>
      <c r="M779" s="593">
        <f>-SUMPRODUCT('EE Measures'!FA$8:FA$86,'EE Measures'!$IH$8:$IH$86)</f>
        <v>-36.384989381932989</v>
      </c>
      <c r="N779" s="593">
        <f>-SUMPRODUCT('EE Measures'!FB$8:FB$86,'EE Measures'!$IH$8:$IH$86)</f>
        <v>-41.905676448145186</v>
      </c>
      <c r="O779" s="593">
        <f>-SUMPRODUCT('EE Measures'!FC$8:FC$86,'EE Measures'!$IH$8:$IH$86)</f>
        <v>-47.737486983645972</v>
      </c>
      <c r="P779" s="593">
        <f>-SUMPRODUCT('EE Measures'!FD$8:FD$86,'EE Measures'!$IH$8:$IH$86)</f>
        <v>-53.75764526008242</v>
      </c>
      <c r="Q779" s="593">
        <f>-SUMPRODUCT('EE Measures'!FE$8:FE$86,'EE Measures'!$IH$8:$IH$86)</f>
        <v>-58.738740059143133</v>
      </c>
      <c r="R779" s="593">
        <f>-SUMPRODUCT('EE Measures'!FF$8:FF$86,'EE Measures'!$IH$8:$IH$86)</f>
        <v>-63.725852047369258</v>
      </c>
      <c r="S779" s="593">
        <f>-SUMPRODUCT('EE Measures'!FG$8:FG$86,'EE Measures'!$IH$8:$IH$86)</f>
        <v>-68.72053201565457</v>
      </c>
      <c r="T779" s="593">
        <f>-SUMPRODUCT('EE Measures'!FH$8:FH$86,'EE Measures'!$IH$8:$IH$86)</f>
        <v>-73.724353027510816</v>
      </c>
      <c r="U779" s="593">
        <f>-SUMPRODUCT('EE Measures'!FI$8:FI$86,'EE Measures'!$IH$8:$IH$86)</f>
        <v>-78.73456627603251</v>
      </c>
      <c r="V779" s="898">
        <f>SUM(G779:P779)</f>
        <v>-239.44520770733095</v>
      </c>
    </row>
    <row r="780" spans="3:31" hidden="1" outlineLevel="1" x14ac:dyDescent="0.3">
      <c r="C780" s="587" t="str">
        <f>E780</f>
        <v>Renowave</v>
      </c>
      <c r="E780" s="628" t="str">
        <f>'EE Measures'!$II$6</f>
        <v>Renowave</v>
      </c>
      <c r="F780" s="876">
        <f>SUM(G780:P780)/SUM($G$767:$P$767)-1</f>
        <v>3.0606940500272684E-2</v>
      </c>
      <c r="G780" s="590">
        <f t="shared" ref="G780:P780" si="2484">G$767+SUM(G781:G783)</f>
        <v>12348.333120345886</v>
      </c>
      <c r="H780" s="590">
        <f t="shared" si="2484"/>
        <v>13941.492098738941</v>
      </c>
      <c r="I780" s="590">
        <f t="shared" si="2484"/>
        <v>15230.982037084146</v>
      </c>
      <c r="J780" s="590">
        <f t="shared" si="2484"/>
        <v>15795.220652534856</v>
      </c>
      <c r="K780" s="590">
        <f t="shared" si="2484"/>
        <v>17178.075689572001</v>
      </c>
      <c r="L780" s="590">
        <f t="shared" si="2484"/>
        <v>17513.01017772924</v>
      </c>
      <c r="M780" s="590">
        <f t="shared" si="2484"/>
        <v>17730.942005136436</v>
      </c>
      <c r="N780" s="590">
        <f t="shared" si="2484"/>
        <v>17953.152919260119</v>
      </c>
      <c r="O780" s="590">
        <f t="shared" si="2484"/>
        <v>18184.54651034448</v>
      </c>
      <c r="P780" s="590">
        <f t="shared" si="2484"/>
        <v>18419.34075060282</v>
      </c>
      <c r="Q780" s="590">
        <f t="shared" ref="Q780:U780" si="2485">Q$767+SUM(Q781:Q783)</f>
        <v>18658.061360962351</v>
      </c>
      <c r="R780" s="590">
        <f t="shared" si="2485"/>
        <v>18900.776562535386</v>
      </c>
      <c r="S780" s="590">
        <f t="shared" si="2485"/>
        <v>19147.006173393936</v>
      </c>
      <c r="T780" s="590">
        <f t="shared" si="2485"/>
        <v>19396.801987859308</v>
      </c>
      <c r="U780" s="590">
        <f t="shared" si="2485"/>
        <v>19650.225614835148</v>
      </c>
      <c r="V780" s="898">
        <f>SUM(G781:P783)</f>
        <v>4879.2318671312414</v>
      </c>
    </row>
    <row r="781" spans="3:31" hidden="1" outlineLevel="1" x14ac:dyDescent="0.3">
      <c r="C781" s="587" t="str">
        <f>C780</f>
        <v>Renowave</v>
      </c>
      <c r="E781" s="629" t="s">
        <v>353</v>
      </c>
      <c r="F781" s="629"/>
      <c r="G781" s="618">
        <f>SUMPRODUCT('EE Measures'!EE$8:EE$86,'EE Measures'!$II$8:$II$86)-G782</f>
        <v>18.340969997750516</v>
      </c>
      <c r="H781" s="618">
        <f>SUMPRODUCT('EE Measures'!EF$8:EF$86,'EE Measures'!$II$8:$II$86)-H782</f>
        <v>13.279926633313131</v>
      </c>
      <c r="I781" s="618">
        <f>SUMPRODUCT('EE Measures'!EG$8:EG$86,'EE Measures'!$II$8:$II$86)-I782</f>
        <v>16.01026483101051</v>
      </c>
      <c r="J781" s="618">
        <f>SUMPRODUCT('EE Measures'!EH$8:EH$86,'EE Measures'!$II$8:$II$86)-J782</f>
        <v>0.32431215647298473</v>
      </c>
      <c r="K781" s="618">
        <f>SUMPRODUCT('EE Measures'!EI$8:EI$86,'EE Measures'!$II$8:$II$86)-K782</f>
        <v>530.44517046097656</v>
      </c>
      <c r="L781" s="618">
        <f>SUMPRODUCT('EE Measures'!EJ$8:EJ$86,'EE Measures'!$II$8:$II$86)-L782</f>
        <v>540.50450739934752</v>
      </c>
      <c r="M781" s="618">
        <f>SUMPRODUCT('EE Measures'!EK$8:EK$86,'EE Measures'!$II$8:$II$86)-M782</f>
        <v>550.32026393373246</v>
      </c>
      <c r="N781" s="618">
        <f>SUMPRODUCT('EE Measures'!EL$8:EL$86,'EE Measures'!$II$8:$II$86)-N782</f>
        <v>554.92174765508742</v>
      </c>
      <c r="O781" s="618">
        <f>SUMPRODUCT('EE Measures'!EM$8:EM$86,'EE Measures'!$II$8:$II$86)-O782</f>
        <v>565.60771450132756</v>
      </c>
      <c r="P781" s="618">
        <f>SUMPRODUCT('EE Measures'!EN$8:EN$86,'EE Measures'!$II$8:$II$86)-P782</f>
        <v>576.51105539868774</v>
      </c>
      <c r="Q781" s="618">
        <f>SUMPRODUCT('EE Measures'!EO$8:EO$86,'EE Measures'!$II$8:$II$86)-Q782</f>
        <v>587.10531692686777</v>
      </c>
      <c r="R781" s="618">
        <f>SUMPRODUCT('EE Measures'!EP$8:EP$86,'EE Measures'!$II$8:$II$86)-R782</f>
        <v>598.45711785475396</v>
      </c>
      <c r="S781" s="618">
        <f>SUMPRODUCT('EE Measures'!EQ$8:EQ$86,'EE Measures'!$II$8:$II$86)-S782</f>
        <v>610.04020701626905</v>
      </c>
      <c r="T781" s="618">
        <f>SUMPRODUCT('EE Measures'!ER$8:ER$86,'EE Measures'!$II$8:$II$86)-T782</f>
        <v>621.85942886645068</v>
      </c>
      <c r="U781" s="618">
        <f>SUMPRODUCT('EE Measures'!ES$8:ES$86,'EE Measures'!$II$8:$II$86)-U782</f>
        <v>633.91973530497273</v>
      </c>
      <c r="V781" s="898">
        <f>SUM(G781:P781)</f>
        <v>3366.2659329677062</v>
      </c>
    </row>
    <row r="782" spans="3:31" hidden="1" outlineLevel="1" x14ac:dyDescent="0.3">
      <c r="C782" s="587" t="str">
        <f>C781</f>
        <v>Renowave</v>
      </c>
      <c r="E782" s="629" t="s">
        <v>447</v>
      </c>
      <c r="F782" s="629"/>
      <c r="G782" s="586">
        <f>SUMPRODUCT('EE Measures'!EE$8:EE$86,'EE Measures'!$II$8:$II$86,'EE Measures'!$ED$8:$ED$86)</f>
        <v>0</v>
      </c>
      <c r="H782" s="586">
        <f>SUMPRODUCT('EE Measures'!EF$8:EF$86,'EE Measures'!$II$8:$II$86,'EE Measures'!$ED$8:$ED$86)</f>
        <v>4.1742554839948873</v>
      </c>
      <c r="I782" s="586">
        <f>SUMPRODUCT('EE Measures'!EG$8:EG$86,'EE Measures'!$II$8:$II$86,'EE Measures'!$ED$8:$ED$86)</f>
        <v>8.5146680420404461</v>
      </c>
      <c r="J782" s="586">
        <f>SUMPRODUCT('EE Measures'!EH$8:EH$86,'EE Measures'!$II$8:$II$86,'EE Measures'!$ED$8:$ED$86)</f>
        <v>91.923225363460602</v>
      </c>
      <c r="K782" s="586">
        <f>SUMPRODUCT('EE Measures'!EI$8:EI$86,'EE Measures'!$II$8:$II$86,'EE Measures'!$ED$8:$ED$86)</f>
        <v>266.09605705838044</v>
      </c>
      <c r="L782" s="586">
        <f>SUMPRODUCT('EE Measures'!EJ$8:EJ$86,'EE Measures'!$II$8:$II$86,'EE Measures'!$ED$8:$ED$86)</f>
        <v>272.60711235374015</v>
      </c>
      <c r="M782" s="586">
        <f>SUMPRODUCT('EE Measures'!EK$8:EK$86,'EE Measures'!$II$8:$II$86,'EE Measures'!$ED$8:$ED$86)</f>
        <v>279.36794239574783</v>
      </c>
      <c r="N782" s="586">
        <f>SUMPRODUCT('EE Measures'!EL$8:EL$86,'EE Measures'!$II$8:$II$86,'EE Measures'!$ED$8:$ED$86)</f>
        <v>286.40292658419594</v>
      </c>
      <c r="O782" s="586">
        <f>SUMPRODUCT('EE Measures'!EM$8:EM$86,'EE Measures'!$II$8:$II$86,'EE Measures'!$ED$8:$ED$86)</f>
        <v>293.68916566872866</v>
      </c>
      <c r="P782" s="586">
        <f>SUMPRODUCT('EE Measures'!EN$8:EN$86,'EE Measures'!$II$8:$II$86,'EE Measures'!$ED$8:$ED$86)</f>
        <v>301.23565415144719</v>
      </c>
      <c r="Q782" s="586">
        <f>SUMPRODUCT('EE Measures'!EO$8:EO$86,'EE Measures'!$II$8:$II$86,'EE Measures'!$ED$8:$ED$86)</f>
        <v>309.05174933460052</v>
      </c>
      <c r="R782" s="586">
        <f>SUMPRODUCT('EE Measures'!EP$8:EP$86,'EE Measures'!$II$8:$II$86,'EE Measures'!$ED$8:$ED$86)</f>
        <v>317.14718609877156</v>
      </c>
      <c r="S782" s="586">
        <f>SUMPRODUCT('EE Measures'!EQ$8:EQ$86,'EE Measures'!$II$8:$II$86,'EE Measures'!$ED$8:$ED$86)</f>
        <v>325.53209231241715</v>
      </c>
      <c r="T782" s="586">
        <f>SUMPRODUCT('EE Measures'!ER$8:ER$86,'EE Measures'!$II$8:$II$86,'EE Measures'!$ED$8:$ED$86)</f>
        <v>334.21700490012631</v>
      </c>
      <c r="U782" s="586">
        <f>SUMPRODUCT('EE Measures'!ES$8:ES$86,'EE Measures'!$II$8:$II$86,'EE Measures'!$ED$8:$ED$86)</f>
        <v>343.21288659816889</v>
      </c>
      <c r="V782" s="898">
        <f>SUM(G782:P782)</f>
        <v>1804.0110071017361</v>
      </c>
    </row>
    <row r="783" spans="3:31" hidden="1" outlineLevel="1" x14ac:dyDescent="0.3">
      <c r="C783" s="587" t="str">
        <f>C781</f>
        <v>Renowave</v>
      </c>
      <c r="E783" s="629" t="s">
        <v>448</v>
      </c>
      <c r="F783" s="629"/>
      <c r="G783" s="593">
        <f>-SUMPRODUCT('EE Measures'!EU$8:EU$86,'EE Measures'!$II$8:$II$86)</f>
        <v>-1.6078496518655498</v>
      </c>
      <c r="H783" s="593">
        <f>-SUMPRODUCT('EE Measures'!EV$8:EV$86,'EE Measures'!$II$8:$II$86)</f>
        <v>-2.3620833783665955</v>
      </c>
      <c r="I783" s="593">
        <f>-SUMPRODUCT('EE Measures'!EW$8:EW$86,'EE Measures'!$II$8:$II$86)</f>
        <v>-3.0428957889038948</v>
      </c>
      <c r="J783" s="593">
        <f>-SUMPRODUCT('EE Measures'!EX$8:EX$86,'EE Measures'!$II$8:$II$86)</f>
        <v>-8.6268849850791458</v>
      </c>
      <c r="K783" s="593">
        <f>-SUMPRODUCT('EE Measures'!EY$8:EY$86,'EE Measures'!$II$8:$II$86)</f>
        <v>-21.765537947356162</v>
      </c>
      <c r="L783" s="593">
        <f>-SUMPRODUCT('EE Measures'!EZ$8:EZ$86,'EE Measures'!$II$8:$II$86)</f>
        <v>-30.001442023847126</v>
      </c>
      <c r="M783" s="593">
        <f>-SUMPRODUCT('EE Measures'!FA$8:FA$86,'EE Measures'!$II$8:$II$86)</f>
        <v>-44.2462011930457</v>
      </c>
      <c r="N783" s="593">
        <f>-SUMPRODUCT('EE Measures'!FB$8:FB$86,'EE Measures'!$II$8:$II$86)</f>
        <v>-52.050215101458953</v>
      </c>
      <c r="O783" s="593">
        <f>-SUMPRODUCT('EE Measures'!FC$8:FC$86,'EE Measures'!$II$8:$II$86)</f>
        <v>-59.821556503460755</v>
      </c>
      <c r="P783" s="593">
        <f>-SUMPRODUCT('EE Measures'!FD$8:FD$86,'EE Measures'!$II$8:$II$86)</f>
        <v>-67.520406364817546</v>
      </c>
      <c r="Q783" s="593">
        <f>-SUMPRODUCT('EE Measures'!FE$8:FE$86,'EE Measures'!$II$8:$II$86)</f>
        <v>-74.140682777359373</v>
      </c>
      <c r="R783" s="593">
        <f>-SUMPRODUCT('EE Measures'!FF$8:FF$86,'EE Measures'!$II$8:$II$86)</f>
        <v>-80.727726824960456</v>
      </c>
      <c r="S783" s="593">
        <f>-SUMPRODUCT('EE Measures'!FG$8:FG$86,'EE Measures'!$II$8:$II$86)</f>
        <v>-87.283285195193997</v>
      </c>
      <c r="T783" s="593">
        <f>-SUMPRODUCT('EE Measures'!FH$8:FH$86,'EE Measures'!$II$8:$II$86)</f>
        <v>-93.809118693587806</v>
      </c>
      <c r="U783" s="593">
        <f>-SUMPRODUCT('EE Measures'!FI$8:FI$86,'EE Measures'!$II$8:$II$86)</f>
        <v>-100.29819874879037</v>
      </c>
      <c r="V783" s="898">
        <f>SUM(G783:P783)</f>
        <v>-291.04507293820143</v>
      </c>
    </row>
    <row r="784" spans="3:31" hidden="1" outlineLevel="1" x14ac:dyDescent="0.3">
      <c r="C784" s="587" t="str">
        <f>E784</f>
        <v>EET</v>
      </c>
      <c r="E784" s="628" t="str">
        <f>'EE Measures'!$IJ$6</f>
        <v>EET</v>
      </c>
      <c r="F784" s="876">
        <f>SUM(G784:P784)/SUM($G$767:$P$767)-1</f>
        <v>1.7165144349554184E-2</v>
      </c>
      <c r="G784" s="590">
        <f t="shared" ref="G784:P784" si="2486">G$767+SUM(G785:G787)</f>
        <v>12347.339196007006</v>
      </c>
      <c r="H784" s="590">
        <f t="shared" si="2486"/>
        <v>13940.211777172908</v>
      </c>
      <c r="I784" s="590">
        <f t="shared" si="2486"/>
        <v>15229.40956127113</v>
      </c>
      <c r="J784" s="590">
        <f t="shared" si="2486"/>
        <v>15793.128421069732</v>
      </c>
      <c r="K784" s="590">
        <f t="shared" si="2486"/>
        <v>16857.833176640666</v>
      </c>
      <c r="L784" s="590">
        <f t="shared" si="2486"/>
        <v>17184.888268700081</v>
      </c>
      <c r="M784" s="590">
        <f t="shared" si="2486"/>
        <v>17371.180262856738</v>
      </c>
      <c r="N784" s="590">
        <f t="shared" si="2486"/>
        <v>17585.248713900794</v>
      </c>
      <c r="O784" s="590">
        <f t="shared" si="2486"/>
        <v>17808.327205029422</v>
      </c>
      <c r="P784" s="590">
        <f t="shared" si="2486"/>
        <v>18034.693830355329</v>
      </c>
      <c r="Q784" s="590">
        <f t="shared" ref="Q784:U784" si="2487">Q$767+SUM(Q785:Q787)</f>
        <v>18267.889483069444</v>
      </c>
      <c r="R784" s="590">
        <f t="shared" si="2487"/>
        <v>18504.90895668255</v>
      </c>
      <c r="S784" s="590">
        <f t="shared" si="2487"/>
        <v>18745.269692533617</v>
      </c>
      <c r="T784" s="590">
        <f t="shared" si="2487"/>
        <v>18989.021040310126</v>
      </c>
      <c r="U784" s="590">
        <f t="shared" si="2487"/>
        <v>19236.216747614781</v>
      </c>
      <c r="V784" s="898">
        <f>SUM(G785:P787)</f>
        <v>2736.3963187861259</v>
      </c>
    </row>
    <row r="785" spans="2:60" hidden="1" outlineLevel="1" x14ac:dyDescent="0.3">
      <c r="C785" s="587" t="str">
        <f>C784</f>
        <v>EET</v>
      </c>
      <c r="E785" s="629" t="s">
        <v>353</v>
      </c>
      <c r="F785" s="629"/>
      <c r="G785" s="618">
        <f>SUMPRODUCT('EE Measures'!EE$8:EE$86,'EE Measures'!$IJ$8:$IJ$86)-G786</f>
        <v>18.340969997750516</v>
      </c>
      <c r="H785" s="618">
        <f>SUMPRODUCT('EE Measures'!EF$8:EF$86,'EE Measures'!$IJ$8:$IJ$86)-H786</f>
        <v>13.279926633313131</v>
      </c>
      <c r="I785" s="618">
        <f>SUMPRODUCT('EE Measures'!EG$8:EG$86,'EE Measures'!$IJ$8:$IJ$86)-I786</f>
        <v>16.01026483101051</v>
      </c>
      <c r="J785" s="618">
        <f>SUMPRODUCT('EE Measures'!EH$8:EH$86,'EE Measures'!$IJ$8:$IJ$86)-J786</f>
        <v>0.32431215647298473</v>
      </c>
      <c r="K785" s="618">
        <f>SUMPRODUCT('EE Measures'!EI$8:EI$86,'EE Measures'!$IJ$8:$IJ$86)-K786</f>
        <v>248.603986874702</v>
      </c>
      <c r="L785" s="618">
        <f>SUMPRODUCT('EE Measures'!EJ$8:EJ$86,'EE Measures'!$IJ$8:$IJ$86)-L786</f>
        <v>252.27731806134764</v>
      </c>
      <c r="M785" s="618">
        <f>SUMPRODUCT('EE Measures'!EK$8:EK$86,'EE Measures'!$IJ$8:$IJ$86)-M786</f>
        <v>255.57934872897226</v>
      </c>
      <c r="N785" s="618">
        <f>SUMPRODUCT('EE Measures'!EL$8:EL$86,'EE Measures'!$IJ$8:$IJ$86)-N786</f>
        <v>253.53683206623211</v>
      </c>
      <c r="O785" s="618">
        <f>SUMPRODUCT('EE Measures'!EM$8:EM$86,'EE Measures'!$IJ$8:$IJ$86)-O786</f>
        <v>257.4459185206955</v>
      </c>
      <c r="P785" s="618">
        <f>SUMPRODUCT('EE Measures'!EN$8:EN$86,'EE Measures'!$IJ$8:$IJ$86)-P786</f>
        <v>261.43684141844261</v>
      </c>
      <c r="Q785" s="618">
        <f>SUMPRODUCT('EE Measures'!EO$8:EO$86,'EE Measures'!$IJ$8:$IJ$86)-Q786</f>
        <v>264.98043658701749</v>
      </c>
      <c r="R785" s="618">
        <f>SUMPRODUCT('EE Measures'!EP$8:EP$86,'EE Measures'!$IJ$8:$IJ$86)-R786</f>
        <v>269.14055782810726</v>
      </c>
      <c r="S785" s="618">
        <f>SUMPRODUCT('EE Measures'!EQ$8:EQ$86,'EE Measures'!$IJ$8:$IJ$86)-S786</f>
        <v>273.388133709089</v>
      </c>
      <c r="T785" s="618">
        <f>SUMPRODUCT('EE Measures'!ER$8:ER$86,'EE Measures'!$IJ$8:$IJ$86)-T786</f>
        <v>277.72513201312722</v>
      </c>
      <c r="U785" s="618">
        <f>SUMPRODUCT('EE Measures'!ES$8:ES$86,'EE Measures'!$IJ$8:$IJ$86)-U786</f>
        <v>282.15357043458266</v>
      </c>
      <c r="V785" s="898">
        <f>SUM(G785:P785)</f>
        <v>1576.8357192889391</v>
      </c>
    </row>
    <row r="786" spans="2:60" hidden="1" outlineLevel="1" x14ac:dyDescent="0.3">
      <c r="C786" s="587" t="str">
        <f>C785</f>
        <v>EET</v>
      </c>
      <c r="E786" s="629" t="s">
        <v>447</v>
      </c>
      <c r="F786" s="629"/>
      <c r="G786" s="586">
        <f>SUMPRODUCT('EE Measures'!EE$8:EE$86,'EE Measures'!$IJ$8:$IJ$86,'EE Measures'!$ED$8:$ED$86)</f>
        <v>0</v>
      </c>
      <c r="H786" s="586">
        <f>SUMPRODUCT('EE Measures'!EF$8:EF$86,'EE Measures'!$IJ$8:$IJ$86,'EE Measures'!$ED$8:$ED$86)</f>
        <v>4.1742554839948873</v>
      </c>
      <c r="I786" s="586">
        <f>SUMPRODUCT('EE Measures'!EG$8:EG$86,'EE Measures'!$IJ$8:$IJ$86,'EE Measures'!$ED$8:$ED$86)</f>
        <v>8.5146680420404461</v>
      </c>
      <c r="J786" s="586">
        <f>SUMPRODUCT('EE Measures'!EH$8:EH$86,'EE Measures'!$IJ$8:$IJ$86,'EE Measures'!$ED$8:$ED$86)</f>
        <v>91.923225363460602</v>
      </c>
      <c r="K786" s="586">
        <f>SUMPRODUCT('EE Measures'!EI$8:EI$86,'EE Measures'!$IJ$8:$IJ$86,'EE Measures'!$ED$8:$ED$86)</f>
        <v>234.59605705838044</v>
      </c>
      <c r="L786" s="586">
        <f>SUMPRODUCT('EE Measures'!EJ$8:EJ$86,'EE Measures'!$IJ$8:$IJ$86,'EE Measures'!$ED$8:$ED$86)</f>
        <v>240.94711235374015</v>
      </c>
      <c r="M786" s="586">
        <f>SUMPRODUCT('EE Measures'!EK$8:EK$86,'EE Measures'!$IJ$8:$IJ$86,'EE Measures'!$ED$8:$ED$86)</f>
        <v>247.54474239574785</v>
      </c>
      <c r="N786" s="586">
        <f>SUMPRODUCT('EE Measures'!EL$8:EL$86,'EE Measures'!$IJ$8:$IJ$86,'EE Measures'!$ED$8:$ED$86)</f>
        <v>254.41326258419596</v>
      </c>
      <c r="O786" s="586">
        <f>SUMPRODUCT('EE Measures'!EM$8:EM$86,'EE Measures'!$IJ$8:$IJ$86,'EE Measures'!$ED$8:$ED$86)</f>
        <v>261.52970838872864</v>
      </c>
      <c r="P786" s="586">
        <f>SUMPRODUCT('EE Measures'!EN$8:EN$86,'EE Measures'!$IJ$8:$IJ$86,'EE Measures'!$ED$8:$ED$86)</f>
        <v>268.9030077258472</v>
      </c>
      <c r="Q786" s="586">
        <f>SUMPRODUCT('EE Measures'!EO$8:EO$86,'EE Measures'!$IJ$8:$IJ$86,'EE Measures'!$ED$8:$ED$86)</f>
        <v>276.54244998048853</v>
      </c>
      <c r="R786" s="586">
        <f>SUMPRODUCT('EE Measures'!EP$8:EP$86,'EE Measures'!$IJ$8:$IJ$86,'EE Measures'!$ED$8:$ED$86)</f>
        <v>284.4577007575773</v>
      </c>
      <c r="S786" s="586">
        <f>SUMPRODUCT('EE Measures'!EQ$8:EQ$86,'EE Measures'!$IJ$8:$IJ$86,'EE Measures'!$ED$8:$ED$86)</f>
        <v>292.65881726439903</v>
      </c>
      <c r="T786" s="586">
        <f>SUMPRODUCT('EE Measures'!ER$8:ER$86,'EE Measures'!$IJ$8:$IJ$86,'EE Measures'!$ED$8:$ED$86)</f>
        <v>301.1562643511478</v>
      </c>
      <c r="U786" s="586">
        <f>SUMPRODUCT('EE Measures'!ES$8:ES$86,'EE Measures'!$IJ$8:$IJ$86,'EE Measures'!$ED$8:$ED$86)</f>
        <v>309.96093123821083</v>
      </c>
      <c r="V786" s="898">
        <f>SUM(G786:P786)</f>
        <v>1612.5460393961362</v>
      </c>
    </row>
    <row r="787" spans="2:60" hidden="1" outlineLevel="1" x14ac:dyDescent="0.3">
      <c r="C787" s="587" t="str">
        <f>C785</f>
        <v>EET</v>
      </c>
      <c r="E787" s="629" t="s">
        <v>448</v>
      </c>
      <c r="F787" s="629"/>
      <c r="G787" s="593">
        <f>-SUMPRODUCT('EE Measures'!EU$8:EU$86,'EE Measures'!$IJ$8:$IJ$86)</f>
        <v>-2.6017739907452215</v>
      </c>
      <c r="H787" s="593">
        <f>-SUMPRODUCT('EE Measures'!EV$8:EV$86,'EE Measures'!$IJ$8:$IJ$86)</f>
        <v>-3.6424049443990167</v>
      </c>
      <c r="I787" s="593">
        <f>-SUMPRODUCT('EE Measures'!EW$8:EW$86,'EE Measures'!$IJ$8:$IJ$86)</f>
        <v>-4.6153716019218001</v>
      </c>
      <c r="J787" s="593">
        <f>-SUMPRODUCT('EE Measures'!EX$8:EX$86,'EE Measures'!$IJ$8:$IJ$86)</f>
        <v>-10.719116450201161</v>
      </c>
      <c r="K787" s="593">
        <f>-SUMPRODUCT('EE Measures'!EY$8:EY$86,'EE Measures'!$IJ$8:$IJ$86)</f>
        <v>-28.666867292414352</v>
      </c>
      <c r="L787" s="593">
        <f>-SUMPRODUCT('EE Measures'!EZ$8:EZ$86,'EE Measures'!$IJ$8:$IJ$86)</f>
        <v>-38.236161715009615</v>
      </c>
      <c r="M787" s="593">
        <f>-SUMPRODUCT('EE Measures'!FA$8:FA$86,'EE Measures'!$IJ$8:$IJ$86)</f>
        <v>-77.443828267980962</v>
      </c>
      <c r="N787" s="593">
        <f>-SUMPRODUCT('EE Measures'!FB$8:FB$86,'EE Measures'!$IJ$8:$IJ$86)</f>
        <v>-86.57984087192736</v>
      </c>
      <c r="O787" s="593">
        <f>-SUMPRODUCT('EE Measures'!FC$8:FC$86,'EE Measures'!$IJ$8:$IJ$86)</f>
        <v>-95.719608557886204</v>
      </c>
      <c r="P787" s="593">
        <f>-SUMPRODUCT('EE Measures'!FD$8:FD$86,'EE Measures'!$IJ$8:$IJ$86)</f>
        <v>-104.76046620646348</v>
      </c>
      <c r="Q787" s="593">
        <f>-SUMPRODUCT('EE Measures'!FE$8:FE$86,'EE Measures'!$IJ$8:$IJ$86)</f>
        <v>-109.67838097630461</v>
      </c>
      <c r="R787" s="593">
        <f>-SUMPRODUCT('EE Measures'!FF$8:FF$86,'EE Measures'!$IJ$8:$IJ$86)</f>
        <v>-114.58928730995707</v>
      </c>
      <c r="S787" s="593">
        <f>-SUMPRODUCT('EE Measures'!FG$8:FG$86,'EE Measures'!$IJ$8:$IJ$86)</f>
        <v>-119.49441770031275</v>
      </c>
      <c r="T787" s="593">
        <f>-SUMPRODUCT('EE Measures'!FH$8:FH$86,'EE Measures'!$IJ$8:$IJ$86)</f>
        <v>-124.39502884046665</v>
      </c>
      <c r="U787" s="593">
        <f>-SUMPRODUCT('EE Measures'!FI$8:FI$86,'EE Measures'!$IJ$8:$IJ$86)</f>
        <v>-129.28894573880697</v>
      </c>
      <c r="V787" s="898">
        <f>SUM(G787:P787)</f>
        <v>-452.98543989894921</v>
      </c>
    </row>
    <row r="788" spans="2:60" hidden="1" outlineLevel="1" x14ac:dyDescent="0.3">
      <c r="C788" s="587" t="str">
        <f>E788</f>
        <v>CEER1</v>
      </c>
      <c r="E788" s="628" t="str">
        <f>'EE Measures'!$IK$6</f>
        <v>CEER1</v>
      </c>
      <c r="F788" s="876">
        <f>SUM(G788:P788)/SUM($G$767:$P$767)-1</f>
        <v>2.0497925033236442E-2</v>
      </c>
      <c r="G788" s="590">
        <f t="shared" ref="G788:P788" si="2488">G$767+SUM(G789:G791)</f>
        <v>12347.339196007006</v>
      </c>
      <c r="H788" s="590">
        <f t="shared" si="2488"/>
        <v>13940.211777172908</v>
      </c>
      <c r="I788" s="590">
        <f t="shared" si="2488"/>
        <v>15229.40956127113</v>
      </c>
      <c r="J788" s="590">
        <f t="shared" si="2488"/>
        <v>15793.128421069732</v>
      </c>
      <c r="K788" s="590">
        <f t="shared" si="2488"/>
        <v>16926.241952519533</v>
      </c>
      <c r="L788" s="590">
        <f t="shared" si="2488"/>
        <v>17257.026728339017</v>
      </c>
      <c r="M788" s="590">
        <f t="shared" si="2488"/>
        <v>17462.076789234779</v>
      </c>
      <c r="N788" s="590">
        <f t="shared" si="2488"/>
        <v>17680.62734879004</v>
      </c>
      <c r="O788" s="590">
        <f t="shared" si="2488"/>
        <v>17908.569277031904</v>
      </c>
      <c r="P788" s="590">
        <f t="shared" si="2488"/>
        <v>18138.927474093514</v>
      </c>
      <c r="Q788" s="590">
        <f t="shared" ref="Q788:U788" si="2489">Q$767+SUM(Q789:Q791)</f>
        <v>18372.260350440687</v>
      </c>
      <c r="R788" s="590">
        <f t="shared" si="2489"/>
        <v>18609.436083283425</v>
      </c>
      <c r="S788" s="590">
        <f t="shared" si="2489"/>
        <v>18849.972629935939</v>
      </c>
      <c r="T788" s="590">
        <f t="shared" si="2489"/>
        <v>19093.919362339329</v>
      </c>
      <c r="U788" s="590">
        <f t="shared" si="2489"/>
        <v>19341.334578019694</v>
      </c>
      <c r="V788" s="898">
        <f>SUM(G789:P791)</f>
        <v>3267.6944313118802</v>
      </c>
    </row>
    <row r="789" spans="2:60" hidden="1" outlineLevel="1" x14ac:dyDescent="0.3">
      <c r="C789" s="587" t="str">
        <f>C788</f>
        <v>CEER1</v>
      </c>
      <c r="E789" s="629" t="s">
        <v>353</v>
      </c>
      <c r="F789" s="629"/>
      <c r="G789" s="618">
        <f>SUMPRODUCT('EE Measures'!EE$8:EE$86,'EE Measures'!$IK$8:$IK$86)-G790</f>
        <v>18.340969997750516</v>
      </c>
      <c r="H789" s="618">
        <f>SUMPRODUCT('EE Measures'!EF$8:EF$86,'EE Measures'!$IK$8:$IK$86)-H790</f>
        <v>13.279926633313131</v>
      </c>
      <c r="I789" s="618">
        <f>SUMPRODUCT('EE Measures'!EG$8:EG$86,'EE Measures'!$IK$8:$IK$86)-I790</f>
        <v>16.01026483101051</v>
      </c>
      <c r="J789" s="618">
        <f>SUMPRODUCT('EE Measures'!EH$8:EH$86,'EE Measures'!$IK$8:$IK$86)-J790</f>
        <v>0.32431215647298473</v>
      </c>
      <c r="K789" s="618">
        <f>SUMPRODUCT('EE Measures'!EI$8:EI$86,'EE Measures'!$IK$8:$IK$86)-K790</f>
        <v>282.95684668881313</v>
      </c>
      <c r="L789" s="618">
        <f>SUMPRODUCT('EE Measures'!EJ$8:EJ$86,'EE Measures'!$IK$8:$IK$86)-L790</f>
        <v>288.63755323059058</v>
      </c>
      <c r="M789" s="618">
        <f>SUMPRODUCT('EE Measures'!EK$8:EK$86,'EE Measures'!$IK$8:$IK$86)-M790</f>
        <v>294.41605037005849</v>
      </c>
      <c r="N789" s="618">
        <f>SUMPRODUCT('EE Measures'!EL$8:EL$86,'EE Measures'!$IK$8:$IK$86)-N790</f>
        <v>295.40702715889245</v>
      </c>
      <c r="O789" s="618">
        <f>SUMPRODUCT('EE Measures'!EM$8:EM$86,'EE Measures'!$IK$8:$IK$86)-O790</f>
        <v>302.93015571476701</v>
      </c>
      <c r="P789" s="618">
        <f>SUMPRODUCT('EE Measures'!EN$8:EN$86,'EE Measures'!$IK$8:$IK$86)-P790</f>
        <v>309.80762684544698</v>
      </c>
      <c r="Q789" s="618">
        <f>SUMPRODUCT('EE Measures'!EO$8:EO$86,'EE Measures'!$IK$8:$IK$86)-Q790</f>
        <v>314.26621656167447</v>
      </c>
      <c r="R789" s="618">
        <f>SUMPRODUCT('EE Measures'!EP$8:EP$86,'EE Measures'!$IK$8:$IK$86)-R790</f>
        <v>319.35789026231726</v>
      </c>
      <c r="S789" s="618">
        <f>SUMPRODUCT('EE Measures'!EQ$8:EQ$86,'EE Measures'!$IK$8:$IK$86)-S790</f>
        <v>324.55438360348319</v>
      </c>
      <c r="T789" s="618">
        <f>SUMPRODUCT('EE Measures'!ER$8:ER$86,'EE Measures'!$IK$8:$IK$86)-T790</f>
        <v>329.85797210433213</v>
      </c>
      <c r="U789" s="618">
        <f>SUMPRODUCT('EE Measures'!ES$8:ES$86,'EE Measures'!$IK$8:$IK$86)-U790</f>
        <v>335.27296555081455</v>
      </c>
      <c r="V789" s="898">
        <f>SUM(G789:P789)</f>
        <v>1822.1107336271157</v>
      </c>
    </row>
    <row r="790" spans="2:60" hidden="1" outlineLevel="1" x14ac:dyDescent="0.3">
      <c r="C790" s="587" t="str">
        <f>C789</f>
        <v>CEER1</v>
      </c>
      <c r="E790" s="629" t="s">
        <v>447</v>
      </c>
      <c r="F790" s="629"/>
      <c r="G790" s="586">
        <f>SUMPRODUCT('EE Measures'!EE$8:EE$86,'EE Measures'!$IK$8:$IK$86,'EE Measures'!$ED$8:$ED$86)</f>
        <v>0</v>
      </c>
      <c r="H790" s="586">
        <f>SUMPRODUCT('EE Measures'!EF$8:EF$86,'EE Measures'!$IK$8:$IK$86,'EE Measures'!$ED$8:$ED$86)</f>
        <v>4.1742554839948873</v>
      </c>
      <c r="I790" s="586">
        <f>SUMPRODUCT('EE Measures'!EG$8:EG$86,'EE Measures'!$IK$8:$IK$86,'EE Measures'!$ED$8:$ED$86)</f>
        <v>8.5146680420404461</v>
      </c>
      <c r="J790" s="586">
        <f>SUMPRODUCT('EE Measures'!EH$8:EH$86,'EE Measures'!$IK$8:$IK$86,'EE Measures'!$ED$8:$ED$86)</f>
        <v>91.923225363460602</v>
      </c>
      <c r="K790" s="586">
        <f>SUMPRODUCT('EE Measures'!EI$8:EI$86,'EE Measures'!$IK$8:$IK$86,'EE Measures'!$ED$8:$ED$86)</f>
        <v>266.09605705838044</v>
      </c>
      <c r="L790" s="586">
        <f>SUMPRODUCT('EE Measures'!EJ$8:EJ$86,'EE Measures'!$IK$8:$IK$86,'EE Measures'!$ED$8:$ED$86)</f>
        <v>272.60711235374015</v>
      </c>
      <c r="M790" s="586">
        <f>SUMPRODUCT('EE Measures'!EK$8:EK$86,'EE Measures'!$IK$8:$IK$86,'EE Measures'!$ED$8:$ED$86)</f>
        <v>279.36794239574789</v>
      </c>
      <c r="N790" s="586">
        <f>SUMPRODUCT('EE Measures'!EL$8:EL$86,'EE Measures'!$IK$8:$IK$86,'EE Measures'!$ED$8:$ED$86)</f>
        <v>286.40292658419594</v>
      </c>
      <c r="O790" s="586">
        <f>SUMPRODUCT('EE Measures'!EM$8:EM$86,'EE Measures'!$IK$8:$IK$86,'EE Measures'!$ED$8:$ED$86)</f>
        <v>293.68916566872861</v>
      </c>
      <c r="P790" s="586">
        <f>SUMPRODUCT('EE Measures'!EN$8:EN$86,'EE Measures'!$IK$8:$IK$86,'EE Measures'!$ED$8:$ED$86)</f>
        <v>301.23565415144719</v>
      </c>
      <c r="Q790" s="586">
        <f>SUMPRODUCT('EE Measures'!EO$8:EO$86,'EE Measures'!$IK$8:$IK$86,'EE Measures'!$ED$8:$ED$86)</f>
        <v>309.05174933460057</v>
      </c>
      <c r="R790" s="586">
        <f>SUMPRODUCT('EE Measures'!EP$8:EP$86,'EE Measures'!$IK$8:$IK$86,'EE Measures'!$ED$8:$ED$86)</f>
        <v>317.1471860987715</v>
      </c>
      <c r="S790" s="586">
        <f>SUMPRODUCT('EE Measures'!EQ$8:EQ$86,'EE Measures'!$IK$8:$IK$86,'EE Measures'!$ED$8:$ED$86)</f>
        <v>325.53209231241715</v>
      </c>
      <c r="T790" s="586">
        <f>SUMPRODUCT('EE Measures'!ER$8:ER$86,'EE Measures'!$IK$8:$IK$86,'EE Measures'!$ED$8:$ED$86)</f>
        <v>334.21700490012631</v>
      </c>
      <c r="U790" s="586">
        <f>SUMPRODUCT('EE Measures'!ES$8:ES$86,'EE Measures'!$IK$8:$IK$86,'EE Measures'!$ED$8:$ED$86)</f>
        <v>343.21288659816889</v>
      </c>
      <c r="V790" s="898">
        <f>SUM(G790:P790)</f>
        <v>1804.0110071017361</v>
      </c>
    </row>
    <row r="791" spans="2:60" hidden="1" outlineLevel="1" x14ac:dyDescent="0.3">
      <c r="C791" s="587" t="str">
        <f>C789</f>
        <v>CEER1</v>
      </c>
      <c r="E791" s="629" t="s">
        <v>448</v>
      </c>
      <c r="F791" s="629"/>
      <c r="G791" s="593">
        <f>-SUMPRODUCT('EE Measures'!EU$8:EU$86,'EE Measures'!$IK$8:$IK$86)</f>
        <v>-2.6017739907452215</v>
      </c>
      <c r="H791" s="593">
        <f>-SUMPRODUCT('EE Measures'!EV$8:EV$86,'EE Measures'!$IK$8:$IK$86)</f>
        <v>-3.6424049443990167</v>
      </c>
      <c r="I791" s="593">
        <f>-SUMPRODUCT('EE Measures'!EW$8:EW$86,'EE Measures'!$IK$8:$IK$86)</f>
        <v>-4.6153716019218001</v>
      </c>
      <c r="J791" s="593">
        <f>-SUMPRODUCT('EE Measures'!EX$8:EX$86,'EE Measures'!$IK$8:$IK$86)</f>
        <v>-10.719116450201161</v>
      </c>
      <c r="K791" s="593">
        <f>-SUMPRODUCT('EE Measures'!EY$8:EY$86,'EE Measures'!$IK$8:$IK$86)</f>
        <v>-26.110951227660543</v>
      </c>
      <c r="L791" s="593">
        <f>-SUMPRODUCT('EE Measures'!EZ$8:EZ$86,'EE Measures'!$IK$8:$IK$86)</f>
        <v>-34.11793724531713</v>
      </c>
      <c r="M791" s="593">
        <f>-SUMPRODUCT('EE Measures'!FA$8:FA$86,'EE Measures'!$IK$8:$IK$86)</f>
        <v>-57.207203531027673</v>
      </c>
      <c r="N791" s="593">
        <f>-SUMPRODUCT('EE Measures'!FB$8:FB$86,'EE Measures'!$IK$8:$IK$86)</f>
        <v>-65.061065075342071</v>
      </c>
      <c r="O791" s="593">
        <f>-SUMPRODUCT('EE Measures'!FC$8:FC$86,'EE Measures'!$IK$8:$IK$86)</f>
        <v>-73.121231029475624</v>
      </c>
      <c r="P791" s="593">
        <f>-SUMPRODUCT('EE Measures'!FD$8:FD$86,'EE Measures'!$IK$8:$IK$86)</f>
        <v>-81.23025432088275</v>
      </c>
      <c r="Q791" s="593">
        <f>-SUMPRODUCT('EE Measures'!FE$8:FE$86,'EE Measures'!$IK$8:$IK$86)</f>
        <v>-87.102592933832597</v>
      </c>
      <c r="R791" s="593">
        <f>-SUMPRODUCT('EE Measures'!FF$8:FF$86,'EE Measures'!$IK$8:$IK$86)</f>
        <v>-92.968978484484651</v>
      </c>
      <c r="S791" s="593">
        <f>-SUMPRODUCT('EE Measures'!FG$8:FG$86,'EE Measures'!$IK$8:$IK$86)</f>
        <v>-98.831005240405531</v>
      </c>
      <c r="T791" s="593">
        <f>-SUMPRODUCT('EE Measures'!FH$8:FH$86,'EE Measures'!$IK$8:$IK$86)</f>
        <v>-104.69028745144524</v>
      </c>
      <c r="U791" s="593">
        <f>-SUMPRODUCT('EE Measures'!FI$8:FI$86,'EE Measures'!$IK$8:$IK$86)</f>
        <v>-110.54246581008434</v>
      </c>
      <c r="V791" s="898">
        <f>SUM(G791:P791)</f>
        <v>-358.427309416973</v>
      </c>
    </row>
    <row r="792" spans="2:60" hidden="1" outlineLevel="1" x14ac:dyDescent="0.3">
      <c r="C792" s="587" t="str">
        <f>E792</f>
        <v>CEER2</v>
      </c>
      <c r="E792" s="628" t="str">
        <f>'EE Measures'!$IL$6</f>
        <v>CEER2</v>
      </c>
      <c r="F792" s="876">
        <f>SUM(G792:P792)/SUM($G$767:$P$767)-1</f>
        <v>2.7379039691439067E-2</v>
      </c>
      <c r="G792" s="590">
        <f t="shared" ref="G792:P792" si="2490">G$767+SUM(G793:G795)</f>
        <v>12347.339196007006</v>
      </c>
      <c r="H792" s="590">
        <f t="shared" si="2490"/>
        <v>13940.211777172908</v>
      </c>
      <c r="I792" s="590">
        <f t="shared" si="2490"/>
        <v>15229.40956127113</v>
      </c>
      <c r="J792" s="590">
        <f t="shared" si="2490"/>
        <v>15793.128421069732</v>
      </c>
      <c r="K792" s="590">
        <f t="shared" si="2490"/>
        <v>17111.766992368135</v>
      </c>
      <c r="L792" s="590">
        <f t="shared" si="2490"/>
        <v>17441.148784869285</v>
      </c>
      <c r="M792" s="590">
        <f t="shared" si="2490"/>
        <v>17645.101748561108</v>
      </c>
      <c r="N792" s="590">
        <f t="shared" si="2490"/>
        <v>17862.800938067456</v>
      </c>
      <c r="O792" s="590">
        <f t="shared" si="2490"/>
        <v>18090.128119340388</v>
      </c>
      <c r="P792" s="590">
        <f t="shared" si="2490"/>
        <v>18319.481825971139</v>
      </c>
      <c r="Q792" s="590">
        <f t="shared" ref="Q792:U792" si="2491">Q$767+SUM(Q793:Q795)</f>
        <v>18552.757772776371</v>
      </c>
      <c r="R792" s="590">
        <f t="shared" si="2491"/>
        <v>18789.932798435784</v>
      </c>
      <c r="S792" s="590">
        <f t="shared" si="2491"/>
        <v>19030.525403338896</v>
      </c>
      <c r="T792" s="590">
        <f t="shared" si="2491"/>
        <v>19274.585274068653</v>
      </c>
      <c r="U792" s="590">
        <f t="shared" si="2491"/>
        <v>19522.175267633651</v>
      </c>
      <c r="V792" s="898">
        <f>SUM(G793:P795)</f>
        <v>4364.653270480605</v>
      </c>
    </row>
    <row r="793" spans="2:60" hidden="1" outlineLevel="1" x14ac:dyDescent="0.3">
      <c r="C793" s="587" t="str">
        <f>C792</f>
        <v>CEER2</v>
      </c>
      <c r="E793" s="629" t="s">
        <v>353</v>
      </c>
      <c r="F793" s="629"/>
      <c r="G793" s="618">
        <f>SUMPRODUCT('EE Measures'!EE$8:EE$86,'EE Measures'!$IL$8:$IL$86)-G794</f>
        <v>18.340969997750516</v>
      </c>
      <c r="H793" s="618">
        <f>SUMPRODUCT('EE Measures'!EF$8:EF$86,'EE Measures'!$IL$8:$IL$86)-H794</f>
        <v>13.279926633313131</v>
      </c>
      <c r="I793" s="618">
        <f>SUMPRODUCT('EE Measures'!EG$8:EG$86,'EE Measures'!$IL$8:$IL$86)-I794</f>
        <v>16.01026483101051</v>
      </c>
      <c r="J793" s="618">
        <f>SUMPRODUCT('EE Measures'!EH$8:EH$86,'EE Measures'!$IL$8:$IL$86)-J794</f>
        <v>0.32431215647298473</v>
      </c>
      <c r="K793" s="618">
        <f>SUMPRODUCT('EE Measures'!EI$8:EI$86,'EE Measures'!$IL$8:$IL$86)-K794</f>
        <v>341.33701892329339</v>
      </c>
      <c r="L793" s="618">
        <f>SUMPRODUCT('EE Measures'!EJ$8:EJ$86,'EE Measures'!$IL$8:$IL$86)-L794</f>
        <v>348.83444798918561</v>
      </c>
      <c r="M793" s="618">
        <f>SUMPRODUCT('EE Measures'!EK$8:EK$86,'EE Measures'!$IL$8:$IL$86)-M794</f>
        <v>356.68047390805407</v>
      </c>
      <c r="N793" s="618">
        <f>SUMPRODUCT('EE Measures'!EL$8:EL$86,'EE Measures'!$IL$8:$IL$86)-N794</f>
        <v>360.03407887702429</v>
      </c>
      <c r="O793" s="618">
        <f>SUMPRODUCT('EE Measures'!EM$8:EM$86,'EE Measures'!$IL$8:$IL$86)-O794</f>
        <v>370.22702756704075</v>
      </c>
      <c r="P793" s="618">
        <f>SUMPRODUCT('EE Measures'!EN$8:EN$86,'EE Measures'!$IL$8:$IL$86)-P794</f>
        <v>379.42782787929161</v>
      </c>
      <c r="Q793" s="618">
        <f>SUMPRODUCT('EE Measures'!EO$8:EO$86,'EE Measures'!$IL$8:$IL$86)-Q794</f>
        <v>385.24157103575226</v>
      </c>
      <c r="R793" s="618">
        <f>SUMPRODUCT('EE Measures'!EP$8:EP$86,'EE Measures'!$IL$8:$IL$86)-R794</f>
        <v>391.7146302559064</v>
      </c>
      <c r="S793" s="618">
        <f>SUMPRODUCT('EE Measures'!EQ$8:EQ$86,'EE Measures'!$IL$8:$IL$86)-S794</f>
        <v>398.31950380269427</v>
      </c>
      <c r="T793" s="618">
        <f>SUMPRODUCT('EE Measures'!ER$8:ER$86,'EE Measures'!$IL$8:$IL$86)-T794</f>
        <v>405.05898730698902</v>
      </c>
      <c r="U793" s="618">
        <f>SUMPRODUCT('EE Measures'!ES$8:ES$86,'EE Measures'!$IL$8:$IL$86)-U794</f>
        <v>411.93891016912596</v>
      </c>
      <c r="V793" s="898">
        <f>SUM(G793:P793)</f>
        <v>2204.4963487624368</v>
      </c>
    </row>
    <row r="794" spans="2:60" hidden="1" outlineLevel="1" x14ac:dyDescent="0.3">
      <c r="C794" s="587" t="str">
        <f>C793</f>
        <v>CEER2</v>
      </c>
      <c r="E794" s="629" t="s">
        <v>447</v>
      </c>
      <c r="F794" s="629"/>
      <c r="G794" s="586">
        <f>SUMPRODUCT('EE Measures'!EE$8:EE$86,'EE Measures'!$IL$8:$IL$86,'EE Measures'!$ED$8:$ED$86)</f>
        <v>0</v>
      </c>
      <c r="H794" s="586">
        <f>SUMPRODUCT('EE Measures'!EF$8:EF$86,'EE Measures'!$IL$8:$IL$86,'EE Measures'!$ED$8:$ED$86)</f>
        <v>4.1742554839948873</v>
      </c>
      <c r="I794" s="586">
        <f>SUMPRODUCT('EE Measures'!EG$8:EG$86,'EE Measures'!$IL$8:$IL$86,'EE Measures'!$ED$8:$ED$86)</f>
        <v>8.5146680420404461</v>
      </c>
      <c r="J794" s="586">
        <f>SUMPRODUCT('EE Measures'!EH$8:EH$86,'EE Measures'!$IL$8:$IL$86,'EE Measures'!$ED$8:$ED$86)</f>
        <v>91.923225363460602</v>
      </c>
      <c r="K794" s="586">
        <f>SUMPRODUCT('EE Measures'!EI$8:EI$86,'EE Measures'!$IL$8:$IL$86,'EE Measures'!$ED$8:$ED$86)</f>
        <v>398.09605705838044</v>
      </c>
      <c r="L794" s="586">
        <f>SUMPRODUCT('EE Measures'!EJ$8:EJ$86,'EE Measures'!$IL$8:$IL$86,'EE Measures'!$ED$8:$ED$86)</f>
        <v>405.24711235374014</v>
      </c>
      <c r="M794" s="586">
        <f>SUMPRODUCT('EE Measures'!EK$8:EK$86,'EE Measures'!$IL$8:$IL$86,'EE Measures'!$ED$8:$ED$86)</f>
        <v>412.66074239574789</v>
      </c>
      <c r="N794" s="586">
        <f>SUMPRODUCT('EE Measures'!EL$8:EL$86,'EE Measures'!$IL$8:$IL$86,'EE Measures'!$ED$8:$ED$86)</f>
        <v>420.36158258419596</v>
      </c>
      <c r="O794" s="586">
        <f>SUMPRODUCT('EE Measures'!EM$8:EM$86,'EE Measures'!$IL$8:$IL$86,'EE Measures'!$ED$8:$ED$86)</f>
        <v>428.3269947887286</v>
      </c>
      <c r="P794" s="586">
        <f>SUMPRODUCT('EE Measures'!EN$8:EN$86,'EE Measures'!$IL$8:$IL$86,'EE Measures'!$ED$8:$ED$86)</f>
        <v>436.56623985384715</v>
      </c>
      <c r="Q794" s="586">
        <f>SUMPRODUCT('EE Measures'!EO$8:EO$86,'EE Measures'!$IL$8:$IL$86,'EE Measures'!$ED$8:$ED$86)</f>
        <v>445.08894675104852</v>
      </c>
      <c r="R794" s="586">
        <f>SUMPRODUCT('EE Measures'!EP$8:EP$86,'EE Measures'!$IL$8:$IL$86,'EE Measures'!$ED$8:$ED$86)</f>
        <v>453.90512746354852</v>
      </c>
      <c r="S794" s="586">
        <f>SUMPRODUCT('EE Measures'!EQ$8:EQ$86,'EE Measures'!$IL$8:$IL$86,'EE Measures'!$ED$8:$ED$86)</f>
        <v>463.02519250448961</v>
      </c>
      <c r="T794" s="586">
        <f>SUMPRODUCT('EE Measures'!ER$8:ER$86,'EE Measures'!$IL$8:$IL$86,'EE Measures'!$ED$8:$ED$86)</f>
        <v>472.45996709604026</v>
      </c>
      <c r="U794" s="586">
        <f>SUMPRODUCT('EE Measures'!ES$8:ES$86,'EE Measures'!$IL$8:$IL$86,'EE Measures'!$ED$8:$ED$86)</f>
        <v>482.22070803800113</v>
      </c>
      <c r="V794" s="898">
        <f>SUM(G794:P794)</f>
        <v>2605.870877924136</v>
      </c>
    </row>
    <row r="795" spans="2:60" hidden="1" outlineLevel="1" x14ac:dyDescent="0.3">
      <c r="C795" s="587" t="str">
        <f>C793</f>
        <v>CEER2</v>
      </c>
      <c r="E795" s="629" t="s">
        <v>448</v>
      </c>
      <c r="F795" s="629"/>
      <c r="G795" s="593">
        <f>-SUMPRODUCT('EE Measures'!EU$8:EU$86,'EE Measures'!$IL$8:$IL$86)</f>
        <v>-2.6017739907452215</v>
      </c>
      <c r="H795" s="593">
        <f>-SUMPRODUCT('EE Measures'!EV$8:EV$86,'EE Measures'!$IL$8:$IL$86)</f>
        <v>-3.6424049443990167</v>
      </c>
      <c r="I795" s="593">
        <f>-SUMPRODUCT('EE Measures'!EW$8:EW$86,'EE Measures'!$IL$8:$IL$86)</f>
        <v>-4.6153716019218001</v>
      </c>
      <c r="J795" s="593">
        <f>-SUMPRODUCT('EE Measures'!EX$8:EX$86,'EE Measures'!$IL$8:$IL$86)</f>
        <v>-10.719116450201161</v>
      </c>
      <c r="K795" s="593">
        <f>-SUMPRODUCT('EE Measures'!EY$8:EY$86,'EE Measures'!$IL$8:$IL$86)</f>
        <v>-30.966083613538682</v>
      </c>
      <c r="L795" s="593">
        <f>-SUMPRODUCT('EE Measures'!EZ$8:EZ$86,'EE Measures'!$IL$8:$IL$86)</f>
        <v>-42.832775473641775</v>
      </c>
      <c r="M795" s="593">
        <f>-SUMPRODUCT('EE Measures'!FA$8:FA$86,'EE Measures'!$IL$8:$IL$86)</f>
        <v>-69.739467742693762</v>
      </c>
      <c r="N795" s="593">
        <f>-SUMPRODUCT('EE Measures'!FB$8:FB$86,'EE Measures'!$IL$8:$IL$86)</f>
        <v>-81.473183516058128</v>
      </c>
      <c r="O795" s="593">
        <f>-SUMPRODUCT('EE Measures'!FC$8:FC$86,'EE Measures'!$IL$8:$IL$86)</f>
        <v>-93.497089693264414</v>
      </c>
      <c r="P795" s="593">
        <f>-SUMPRODUCT('EE Measures'!FD$8:FD$86,'EE Measures'!$IL$8:$IL$86)</f>
        <v>-105.62668917950258</v>
      </c>
      <c r="Q795" s="593">
        <f>-SUMPRODUCT('EE Measures'!FE$8:FE$86,'EE Measures'!$IL$8:$IL$86)</f>
        <v>-113.61772248867202</v>
      </c>
      <c r="R795" s="593">
        <f>-SUMPRODUCT('EE Measures'!FF$8:FF$86,'EE Measures'!$IL$8:$IL$86)</f>
        <v>-121.58694469049247</v>
      </c>
      <c r="S795" s="593">
        <f>-SUMPRODUCT('EE Measures'!FG$8:FG$86,'EE Measures'!$IL$8:$IL$86)</f>
        <v>-129.53645222873064</v>
      </c>
      <c r="T795" s="593">
        <f>-SUMPRODUCT('EE Measures'!FH$8:FH$86,'EE Measures'!$IL$8:$IL$86)</f>
        <v>-137.46835312069518</v>
      </c>
      <c r="U795" s="593">
        <f>-SUMPRODUCT('EE Measures'!FI$8:FI$86,'EE Measures'!$IL$8:$IL$86)</f>
        <v>-145.37554225427189</v>
      </c>
      <c r="V795" s="898">
        <f>SUM(G795:P795)</f>
        <v>-445.71395620596655</v>
      </c>
    </row>
    <row r="796" spans="2:60" x14ac:dyDescent="0.3">
      <c r="AI796"/>
      <c r="AJ796"/>
      <c r="AK796"/>
      <c r="AL796"/>
      <c r="AM796"/>
      <c r="AN796"/>
      <c r="AO796"/>
    </row>
    <row r="797" spans="2:60" ht="19.5" collapsed="1" thickBot="1" x14ac:dyDescent="0.35">
      <c r="B797" s="1" t="s">
        <v>101</v>
      </c>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row>
    <row r="798" spans="2:60" hidden="1" outlineLevel="1" x14ac:dyDescent="0.3">
      <c r="AN798"/>
      <c r="AO798"/>
      <c r="AP798"/>
      <c r="AQ798"/>
      <c r="AR798"/>
      <c r="AS798"/>
      <c r="AT798"/>
    </row>
    <row r="799" spans="2:60" ht="15" hidden="1" outlineLevel="1" x14ac:dyDescent="0.3">
      <c r="C799" s="1227" t="s">
        <v>449</v>
      </c>
      <c r="D799" s="1227"/>
      <c r="E799" s="1227"/>
      <c r="F799" s="1227"/>
      <c r="G799" s="1227"/>
      <c r="H799" s="1227"/>
      <c r="I799" s="1227"/>
      <c r="J799" s="1227"/>
      <c r="K799" s="1227"/>
      <c r="L799" s="1227"/>
      <c r="M799" s="1227"/>
      <c r="N799" s="1227"/>
      <c r="O799" s="1227"/>
      <c r="P799" s="1227"/>
      <c r="Q799" s="1227"/>
      <c r="R799" s="1227"/>
      <c r="S799" s="1227"/>
      <c r="T799" s="1227"/>
      <c r="U799" s="1227"/>
      <c r="V799" s="1227"/>
      <c r="W799" s="1227"/>
      <c r="X799" s="1227"/>
      <c r="Y799" s="1227"/>
      <c r="Z799" s="1227"/>
      <c r="AA799" s="1227"/>
      <c r="AB799" s="1227"/>
      <c r="AC799" s="1227"/>
      <c r="AD799" s="1227"/>
      <c r="AE799" s="1227"/>
      <c r="AF799" s="1227"/>
      <c r="AG799" s="1227"/>
      <c r="AH799" s="1227"/>
      <c r="AI799" s="1227"/>
      <c r="AJ799" s="1227"/>
      <c r="AK799" s="1227"/>
      <c r="AL799" s="1227"/>
      <c r="AM799" s="1227"/>
      <c r="AN799"/>
      <c r="AO799"/>
      <c r="AP799"/>
      <c r="AQ799"/>
      <c r="AR799"/>
      <c r="AS799"/>
      <c r="AT799"/>
    </row>
    <row r="800" spans="2:60" customFormat="1" hidden="1" outlineLevel="1" x14ac:dyDescent="0.3">
      <c r="C800" s="56" t="s">
        <v>450</v>
      </c>
    </row>
    <row r="801" spans="3:47" ht="27" hidden="1" outlineLevel="1" x14ac:dyDescent="0.3">
      <c r="E801" s="625"/>
      <c r="F801" s="627" t="s">
        <v>451</v>
      </c>
      <c r="G801" s="627">
        <v>2021</v>
      </c>
      <c r="H801" s="625">
        <v>2022</v>
      </c>
      <c r="I801" s="625">
        <v>2023</v>
      </c>
      <c r="J801" s="625">
        <v>2024</v>
      </c>
      <c r="K801" s="625">
        <v>2025</v>
      </c>
      <c r="L801" s="625">
        <v>2026</v>
      </c>
      <c r="M801" s="625">
        <v>2027</v>
      </c>
      <c r="N801" s="625">
        <v>2028</v>
      </c>
      <c r="O801" s="625">
        <v>2029</v>
      </c>
      <c r="P801" s="625">
        <v>2030</v>
      </c>
      <c r="Q801" s="625">
        <v>2031</v>
      </c>
      <c r="R801" s="625">
        <v>2032</v>
      </c>
      <c r="S801" s="625">
        <v>2033</v>
      </c>
      <c r="T801" s="625">
        <v>2034</v>
      </c>
      <c r="U801" s="625">
        <v>2035</v>
      </c>
      <c r="V801" s="554" t="s">
        <v>452</v>
      </c>
      <c r="X801" s="9"/>
      <c r="Y801" s="9">
        <v>2021</v>
      </c>
      <c r="Z801" s="9" cm="1">
        <f t="array" ref="Z801:AH801">H801:P801</f>
        <v>2022</v>
      </c>
      <c r="AA801" s="9">
        <v>2023</v>
      </c>
      <c r="AB801" s="9">
        <v>2024</v>
      </c>
      <c r="AC801" s="9">
        <v>2025</v>
      </c>
      <c r="AD801" s="9">
        <v>2026</v>
      </c>
      <c r="AE801" s="9">
        <v>2027</v>
      </c>
      <c r="AF801" s="9">
        <v>2028</v>
      </c>
      <c r="AG801" s="9">
        <v>2029</v>
      </c>
      <c r="AH801" s="9">
        <v>2030</v>
      </c>
      <c r="AI801" s="9">
        <v>2031</v>
      </c>
      <c r="AJ801" s="9">
        <v>2032</v>
      </c>
      <c r="AK801" s="9">
        <v>2033</v>
      </c>
      <c r="AL801" s="9">
        <v>2034</v>
      </c>
      <c r="AM801" s="9">
        <v>2035</v>
      </c>
      <c r="AN801" s="9" t="s">
        <v>452</v>
      </c>
      <c r="AO801"/>
      <c r="AP801"/>
      <c r="AQ801"/>
      <c r="AR801"/>
      <c r="AS801"/>
      <c r="AT801"/>
      <c r="AU801"/>
    </row>
    <row r="802" spans="3:47" hidden="1" outlineLevel="1" x14ac:dyDescent="0.3">
      <c r="C802" s="587" t="str">
        <f>E802</f>
        <v>W/o EE measures</v>
      </c>
      <c r="E802" s="628" t="s">
        <v>345</v>
      </c>
      <c r="F802" s="603">
        <f>SUM(Assumptions!$C$28:$L$28)/SUM(Assumptions!$C$21:$L$21)</f>
        <v>0.8139106330769218</v>
      </c>
      <c r="G802" s="601">
        <f t="shared" ref="G802" si="2492">G754/$F802</f>
        <v>33868.828934926511</v>
      </c>
      <c r="H802" s="601">
        <f t="shared" ref="H802:P802" si="2493">H754/$F802</f>
        <v>39116.948109696277</v>
      </c>
      <c r="I802" s="601">
        <f t="shared" si="2493"/>
        <v>41693.555133133246</v>
      </c>
      <c r="J802" s="601">
        <f t="shared" si="2493"/>
        <v>44121.475847399794</v>
      </c>
      <c r="K802" s="601">
        <f t="shared" si="2493"/>
        <v>44246.414248402863</v>
      </c>
      <c r="L802" s="601">
        <f t="shared" si="2493"/>
        <v>44406.753013675872</v>
      </c>
      <c r="M802" s="601">
        <f t="shared" si="2493"/>
        <v>44362.371872855481</v>
      </c>
      <c r="N802" s="601">
        <f t="shared" si="2493"/>
        <v>44218.256048375508</v>
      </c>
      <c r="O802" s="601">
        <f t="shared" si="2493"/>
        <v>44734.585334121402</v>
      </c>
      <c r="P802" s="601">
        <f t="shared" si="2493"/>
        <v>44908.805220587405</v>
      </c>
      <c r="Q802" s="601">
        <f t="shared" ref="Q802:U802" si="2494">Q754/$F802</f>
        <v>45114.298453252188</v>
      </c>
      <c r="R802" s="601">
        <f t="shared" si="2494"/>
        <v>45312.151048899366</v>
      </c>
      <c r="S802" s="601">
        <f t="shared" si="2494"/>
        <v>45515.07799519605</v>
      </c>
      <c r="T802" s="601">
        <f t="shared" si="2494"/>
        <v>45701.680380483282</v>
      </c>
      <c r="U802" s="601">
        <f t="shared" si="2494"/>
        <v>45856.290436499294</v>
      </c>
      <c r="V802" s="607">
        <f>SUM(G802:P802)</f>
        <v>425677.9937631744</v>
      </c>
      <c r="W802" s="607"/>
      <c r="X802" s="475" t="s">
        <v>13</v>
      </c>
      <c r="Y802" s="68">
        <f t="shared" ref="Y802:AH802" si="2495">(G809-G$802)/G$802</f>
        <v>6.5732176091772504E-3</v>
      </c>
      <c r="Z802" s="68">
        <f t="shared" si="2495"/>
        <v>4.9861267941598711E-3</v>
      </c>
      <c r="AA802" s="68">
        <f t="shared" si="2495"/>
        <v>4.156672000931322E-3</v>
      </c>
      <c r="AB802" s="68">
        <f t="shared" si="2495"/>
        <v>3.8738849886697153E-3</v>
      </c>
      <c r="AC802" s="68">
        <f t="shared" si="2495"/>
        <v>6.5608194618834463E-3</v>
      </c>
      <c r="AD802" s="68">
        <f t="shared" si="2495"/>
        <v>6.8810922352960839E-3</v>
      </c>
      <c r="AE802" s="68">
        <f t="shared" si="2495"/>
        <v>7.0688284235843933E-3</v>
      </c>
      <c r="AF802" s="68">
        <f t="shared" si="2495"/>
        <v>6.3648342056342186E-3</v>
      </c>
      <c r="AG802" s="68">
        <f t="shared" si="2495"/>
        <v>6.5563402750953041E-3</v>
      </c>
      <c r="AH802" s="68">
        <f t="shared" si="2495"/>
        <v>6.8039963458524462E-3</v>
      </c>
      <c r="AI802" s="68">
        <f t="shared" ref="AI802:AM802" si="2496">(Q809-Q$802)/Q$802</f>
        <v>7.0552832869588368E-3</v>
      </c>
      <c r="AJ802" s="68">
        <f t="shared" si="2496"/>
        <v>7.3160616073152133E-3</v>
      </c>
      <c r="AK802" s="68">
        <f t="shared" si="2496"/>
        <v>7.5846223356255058E-3</v>
      </c>
      <c r="AL802" s="68">
        <f t="shared" si="2496"/>
        <v>7.8648708042813893E-3</v>
      </c>
      <c r="AM802" s="68">
        <f t="shared" si="2496"/>
        <v>8.1601840962452696E-3</v>
      </c>
      <c r="AN802" s="544">
        <f>(V809-V$802)/V$802</f>
        <v>5.994303939774113E-3</v>
      </c>
      <c r="AO802"/>
      <c r="AP802"/>
      <c r="AQ802"/>
      <c r="AR802"/>
      <c r="AS802"/>
      <c r="AT802"/>
      <c r="AU802"/>
    </row>
    <row r="803" spans="3:47" hidden="1" outlineLevel="1" x14ac:dyDescent="0.3">
      <c r="C803" s="587" t="str">
        <f>C802</f>
        <v>W/o EE measures</v>
      </c>
      <c r="E803" s="629" t="s">
        <v>453</v>
      </c>
      <c r="F803" s="604">
        <f>Assumptions!$P$121/100</f>
        <v>0.47789999999999999</v>
      </c>
      <c r="G803" s="564">
        <f t="shared" ref="G803:U806" si="2497">G$802*$F803</f>
        <v>16185.913348001379</v>
      </c>
      <c r="H803" s="564">
        <f t="shared" si="2497"/>
        <v>18693.989501623852</v>
      </c>
      <c r="I803" s="564">
        <f t="shared" si="2497"/>
        <v>19925.349998124377</v>
      </c>
      <c r="J803" s="564">
        <f t="shared" si="2497"/>
        <v>21085.653307472359</v>
      </c>
      <c r="K803" s="564">
        <f t="shared" si="2497"/>
        <v>21145.36136931173</v>
      </c>
      <c r="L803" s="564">
        <f t="shared" si="2497"/>
        <v>21221.987265235701</v>
      </c>
      <c r="M803" s="564">
        <f t="shared" si="2497"/>
        <v>21200.777518037634</v>
      </c>
      <c r="N803" s="564">
        <f t="shared" si="2497"/>
        <v>21131.904565518656</v>
      </c>
      <c r="O803" s="564">
        <f t="shared" si="2497"/>
        <v>21378.658331176619</v>
      </c>
      <c r="P803" s="564">
        <f t="shared" si="2497"/>
        <v>21461.91801491872</v>
      </c>
      <c r="Q803" s="564">
        <f t="shared" si="2497"/>
        <v>21560.123230809219</v>
      </c>
      <c r="R803" s="564">
        <f t="shared" si="2497"/>
        <v>21654.676986269005</v>
      </c>
      <c r="S803" s="564">
        <f t="shared" si="2497"/>
        <v>21751.655773904193</v>
      </c>
      <c r="T803" s="564">
        <f t="shared" si="2497"/>
        <v>21840.833053832961</v>
      </c>
      <c r="U803" s="564">
        <f t="shared" si="2497"/>
        <v>21914.721199603013</v>
      </c>
      <c r="V803" s="607"/>
      <c r="X803" s="475" t="s">
        <v>35</v>
      </c>
      <c r="Y803" s="68">
        <f t="shared" ref="Y803:AH803" si="2498">(G816-G$802)/G$802</f>
        <v>1.0745274121923266E-2</v>
      </c>
      <c r="Z803" s="68">
        <f t="shared" si="2498"/>
        <v>7.2194774101903844E-3</v>
      </c>
      <c r="AA803" s="68">
        <f t="shared" si="2498"/>
        <v>5.7979827822468664E-3</v>
      </c>
      <c r="AB803" s="68">
        <f t="shared" si="2498"/>
        <v>1.0274537812061385E-2</v>
      </c>
      <c r="AC803" s="68">
        <f t="shared" si="2498"/>
        <v>4.7596461346472003E-2</v>
      </c>
      <c r="AD803" s="68">
        <f t="shared" si="2498"/>
        <v>4.5863193759345042E-2</v>
      </c>
      <c r="AE803" s="68">
        <f t="shared" si="2498"/>
        <v>4.6235804532532017E-2</v>
      </c>
      <c r="AF803" s="68">
        <f t="shared" si="2498"/>
        <v>4.7118206667570176E-2</v>
      </c>
      <c r="AG803" s="68">
        <f t="shared" si="2498"/>
        <v>4.8688811752770456E-2</v>
      </c>
      <c r="AH803" s="944">
        <f t="shared" si="2498"/>
        <v>5.0569785147173252E-2</v>
      </c>
      <c r="AI803" s="944">
        <f t="shared" ref="AI803:AM803" si="2499">(Q816-Q$802)/Q$802</f>
        <v>5.2185931295997807E-2</v>
      </c>
      <c r="AJ803" s="944">
        <f t="shared" si="2499"/>
        <v>5.4176176103895246E-2</v>
      </c>
      <c r="AK803" s="944">
        <f t="shared" si="2499"/>
        <v>5.6228470699288061E-2</v>
      </c>
      <c r="AL803" s="944">
        <f t="shared" si="2499"/>
        <v>5.8371881391834177E-2</v>
      </c>
      <c r="AM803" s="944">
        <f t="shared" si="2499"/>
        <v>6.0632120089801948E-2</v>
      </c>
      <c r="AN803" s="544">
        <f>(V816-V$802)/V$802</f>
        <v>3.3047810427618694E-2</v>
      </c>
      <c r="AO803"/>
      <c r="AP803"/>
      <c r="AQ803"/>
      <c r="AR803"/>
      <c r="AS803"/>
      <c r="AT803"/>
      <c r="AU803"/>
    </row>
    <row r="804" spans="3:47" hidden="1" outlineLevel="1" x14ac:dyDescent="0.3">
      <c r="C804" s="587" t="str">
        <f>C803</f>
        <v>W/o EE measures</v>
      </c>
      <c r="E804" s="629" t="s">
        <v>454</v>
      </c>
      <c r="F804" s="604">
        <f>Assumptions!$P$122/100</f>
        <v>0.16350000000000001</v>
      </c>
      <c r="G804" s="564">
        <f t="shared" si="2497"/>
        <v>5537.5535308604849</v>
      </c>
      <c r="H804" s="564">
        <f t="shared" si="2497"/>
        <v>6395.6210159353413</v>
      </c>
      <c r="I804" s="564">
        <f t="shared" si="2497"/>
        <v>6816.8962642672859</v>
      </c>
      <c r="J804" s="564">
        <f t="shared" si="2497"/>
        <v>7213.8613010498666</v>
      </c>
      <c r="K804" s="564">
        <f t="shared" si="2497"/>
        <v>7234.2887296138688</v>
      </c>
      <c r="L804" s="564">
        <f t="shared" si="2497"/>
        <v>7260.5041177360054</v>
      </c>
      <c r="M804" s="564">
        <f t="shared" si="2497"/>
        <v>7253.2478012118718</v>
      </c>
      <c r="N804" s="564">
        <f t="shared" si="2497"/>
        <v>7229.684863909396</v>
      </c>
      <c r="O804" s="564">
        <f t="shared" si="2497"/>
        <v>7314.1047021288496</v>
      </c>
      <c r="P804" s="564">
        <f t="shared" si="2497"/>
        <v>7342.5896535660413</v>
      </c>
      <c r="Q804" s="564">
        <f t="shared" si="2497"/>
        <v>7376.1877971067333</v>
      </c>
      <c r="R804" s="564">
        <f t="shared" si="2497"/>
        <v>7408.5366964950463</v>
      </c>
      <c r="S804" s="564">
        <f t="shared" si="2497"/>
        <v>7441.7152522145543</v>
      </c>
      <c r="T804" s="564">
        <f t="shared" si="2497"/>
        <v>7472.2247422090168</v>
      </c>
      <c r="U804" s="564">
        <f t="shared" si="2497"/>
        <v>7497.5034863676347</v>
      </c>
      <c r="X804" s="475" t="s">
        <v>36</v>
      </c>
      <c r="Y804" s="68">
        <f t="shared" ref="Y804:AH804" si="2500">(G823-G$802)/G$802</f>
        <v>1.0745274121923266E-2</v>
      </c>
      <c r="Z804" s="68">
        <f t="shared" si="2500"/>
        <v>7.2207364226239568E-3</v>
      </c>
      <c r="AA804" s="68">
        <f t="shared" si="2500"/>
        <v>5.7997399623321184E-3</v>
      </c>
      <c r="AB804" s="68">
        <f t="shared" si="2500"/>
        <v>1.0295809742088701E-2</v>
      </c>
      <c r="AC804" s="68">
        <f t="shared" si="2500"/>
        <v>4.9272822570537417E-2</v>
      </c>
      <c r="AD804" s="68">
        <f t="shared" si="2500"/>
        <v>4.7519467882220869E-2</v>
      </c>
      <c r="AE804" s="68">
        <f t="shared" si="2500"/>
        <v>4.7970949326534479E-2</v>
      </c>
      <c r="AF804" s="68">
        <f t="shared" si="2500"/>
        <v>4.9057475174780547E-2</v>
      </c>
      <c r="AG804" s="68">
        <f t="shared" si="2500"/>
        <v>5.0944878060195813E-2</v>
      </c>
      <c r="AH804" s="944">
        <f t="shared" si="2500"/>
        <v>5.3113399579620246E-2</v>
      </c>
      <c r="AI804" s="944">
        <f t="shared" ref="AI804:AM804" si="2501">(Q823-Q$802)/Q$802</f>
        <v>5.4759159608259993E-2</v>
      </c>
      <c r="AJ804" s="944">
        <f t="shared" si="2501"/>
        <v>5.6779631362453169E-2</v>
      </c>
      <c r="AK804" s="944">
        <f t="shared" si="2501"/>
        <v>5.8862255529929894E-2</v>
      </c>
      <c r="AL804" s="944">
        <f t="shared" si="2501"/>
        <v>6.1037503262418066E-2</v>
      </c>
      <c r="AM804" s="944">
        <f t="shared" si="2501"/>
        <v>6.3331851048463395E-2</v>
      </c>
      <c r="AN804" s="544">
        <f>(V823-V$802)/V$802</f>
        <v>3.4285048159836094E-2</v>
      </c>
    </row>
    <row r="805" spans="3:47" hidden="1" outlineLevel="1" x14ac:dyDescent="0.3">
      <c r="C805" s="587" t="str">
        <f t="shared" ref="C805:C807" si="2502">C804</f>
        <v>W/o EE measures</v>
      </c>
      <c r="E805" s="629" t="s">
        <v>455</v>
      </c>
      <c r="F805" s="604">
        <f>Assumptions!$P$125/100</f>
        <v>0.23549999999999996</v>
      </c>
      <c r="G805" s="564">
        <f t="shared" si="2497"/>
        <v>7976.1092141751915</v>
      </c>
      <c r="H805" s="564">
        <f t="shared" si="2497"/>
        <v>9212.041279833471</v>
      </c>
      <c r="I805" s="564">
        <f t="shared" si="2497"/>
        <v>9818.8322338528778</v>
      </c>
      <c r="J805" s="564">
        <f t="shared" si="2497"/>
        <v>10390.607562062649</v>
      </c>
      <c r="K805" s="564">
        <f t="shared" si="2497"/>
        <v>10420.030555498872</v>
      </c>
      <c r="L805" s="564">
        <f t="shared" si="2497"/>
        <v>10457.790334720667</v>
      </c>
      <c r="M805" s="564">
        <f t="shared" si="2497"/>
        <v>10447.338576057464</v>
      </c>
      <c r="N805" s="564">
        <f t="shared" si="2497"/>
        <v>10413.399299392429</v>
      </c>
      <c r="O805" s="564">
        <f t="shared" si="2497"/>
        <v>10534.994846185589</v>
      </c>
      <c r="P805" s="564">
        <f t="shared" si="2497"/>
        <v>10576.023629448331</v>
      </c>
      <c r="Q805" s="564">
        <f t="shared" si="2497"/>
        <v>10624.417285740888</v>
      </c>
      <c r="R805" s="564">
        <f t="shared" si="2497"/>
        <v>10671.011572015799</v>
      </c>
      <c r="S805" s="564">
        <f t="shared" si="2497"/>
        <v>10718.800867868667</v>
      </c>
      <c r="T805" s="564">
        <f t="shared" si="2497"/>
        <v>10762.74572960381</v>
      </c>
      <c r="U805" s="564">
        <f t="shared" si="2497"/>
        <v>10799.156397795581</v>
      </c>
      <c r="X805" s="475" t="s">
        <v>62</v>
      </c>
      <c r="Y805" s="68">
        <f t="shared" ref="Y805:AH805" si="2503">(G830-G$802)/G$802</f>
        <v>1.0745274121923266E-2</v>
      </c>
      <c r="Z805" s="68">
        <f t="shared" si="2503"/>
        <v>7.2207364226239568E-3</v>
      </c>
      <c r="AA805" s="68">
        <f t="shared" si="2503"/>
        <v>5.7997399623321184E-3</v>
      </c>
      <c r="AB805" s="68">
        <f t="shared" si="2503"/>
        <v>9.6095968013807445E-3</v>
      </c>
      <c r="AC805" s="68">
        <f t="shared" si="2503"/>
        <v>8.2389598731017921E-2</v>
      </c>
      <c r="AD805" s="68">
        <f t="shared" si="2503"/>
        <v>8.1684657821399997E-2</v>
      </c>
      <c r="AE805" s="68">
        <f t="shared" si="2503"/>
        <v>8.3260541321015846E-2</v>
      </c>
      <c r="AF805" s="68">
        <f t="shared" si="2503"/>
        <v>8.5363192073764985E-2</v>
      </c>
      <c r="AG805" s="68">
        <f t="shared" si="2503"/>
        <v>8.7606242033098997E-2</v>
      </c>
      <c r="AH805" s="944">
        <f t="shared" si="2503"/>
        <v>9.0473922806864449E-2</v>
      </c>
      <c r="AI805" s="944">
        <f t="shared" ref="AI805:AM805" si="2504">(Q830-Q$802)/Q$802</f>
        <v>9.3067063460163912E-2</v>
      </c>
      <c r="AJ805" s="944">
        <f t="shared" si="2504"/>
        <v>9.6060745591663638E-2</v>
      </c>
      <c r="AK805" s="944">
        <f t="shared" si="2504"/>
        <v>9.9131765612637063E-2</v>
      </c>
      <c r="AL805" s="944">
        <f t="shared" si="2504"/>
        <v>0.1023299047263564</v>
      </c>
      <c r="AM805" s="944">
        <f t="shared" si="2504"/>
        <v>0.10569615725529651</v>
      </c>
      <c r="AN805" s="544">
        <f>(V830-V$802)/V$802</f>
        <v>5.646364330292427E-2</v>
      </c>
    </row>
    <row r="806" spans="3:47" hidden="1" outlineLevel="1" x14ac:dyDescent="0.3">
      <c r="C806" s="587" t="str">
        <f t="shared" si="2502"/>
        <v>W/o EE measures</v>
      </c>
      <c r="E806" s="629" t="s">
        <v>456</v>
      </c>
      <c r="F806" s="604">
        <f>Assumptions!$P$123/100</f>
        <v>0.13819999999999999</v>
      </c>
      <c r="G806" s="564">
        <f t="shared" si="2497"/>
        <v>4680.6721588068431</v>
      </c>
      <c r="H806" s="564">
        <f t="shared" si="2497"/>
        <v>5405.962228760025</v>
      </c>
      <c r="I806" s="564">
        <f t="shared" si="2497"/>
        <v>5762.0493193990142</v>
      </c>
      <c r="J806" s="564">
        <f t="shared" si="2497"/>
        <v>6097.5879621106515</v>
      </c>
      <c r="K806" s="564">
        <f t="shared" si="2497"/>
        <v>6114.8544491292751</v>
      </c>
      <c r="L806" s="564">
        <f t="shared" si="2497"/>
        <v>6137.0132664900048</v>
      </c>
      <c r="M806" s="564">
        <f t="shared" si="2497"/>
        <v>6130.8797928286267</v>
      </c>
      <c r="N806" s="564">
        <f t="shared" si="2497"/>
        <v>6110.9629858854951</v>
      </c>
      <c r="O806" s="564">
        <f t="shared" si="2497"/>
        <v>6182.3196931755774</v>
      </c>
      <c r="P806" s="564">
        <f t="shared" si="2497"/>
        <v>6206.3968814851787</v>
      </c>
      <c r="Q806" s="564">
        <f t="shared" si="2497"/>
        <v>6234.7960462394522</v>
      </c>
      <c r="R806" s="564">
        <f t="shared" si="2497"/>
        <v>6262.1392749578918</v>
      </c>
      <c r="S806" s="564">
        <f t="shared" si="2497"/>
        <v>6290.1837789360934</v>
      </c>
      <c r="T806" s="564">
        <f t="shared" si="2497"/>
        <v>6315.9722285827893</v>
      </c>
      <c r="U806" s="564">
        <f t="shared" si="2497"/>
        <v>6337.3393383242019</v>
      </c>
      <c r="X806" s="475" t="s">
        <v>38</v>
      </c>
      <c r="Y806" s="68">
        <f t="shared" ref="Y806:AH806" si="2505">(G837-G$802)/G$802</f>
        <v>2.0014292570693305E-2</v>
      </c>
      <c r="Z806" s="68">
        <f t="shared" si="2505"/>
        <v>1.5001362738350834E-2</v>
      </c>
      <c r="AA806" s="68">
        <f t="shared" si="2505"/>
        <v>1.1211166931255229E-2</v>
      </c>
      <c r="AB806" s="68">
        <f t="shared" si="2505"/>
        <v>2.8879445932520263E-2</v>
      </c>
      <c r="AC806" s="68">
        <f t="shared" si="2505"/>
        <v>6.8424762517231313E-2</v>
      </c>
      <c r="AD806" s="68">
        <f t="shared" si="2505"/>
        <v>5.5396412266979889E-2</v>
      </c>
      <c r="AE806" s="68">
        <f t="shared" si="2505"/>
        <v>4.9606694192596862E-2</v>
      </c>
      <c r="AF806" s="68">
        <f t="shared" si="2505"/>
        <v>5.0088594373875826E-2</v>
      </c>
      <c r="AG806" s="68">
        <f t="shared" si="2505"/>
        <v>5.1716793311107838E-2</v>
      </c>
      <c r="AH806" s="944">
        <f t="shared" si="2505"/>
        <v>5.349457967260951E-2</v>
      </c>
      <c r="AI806" s="944">
        <f t="shared" ref="AI806:AM806" si="2506">(Q837-Q$802)/Q$802</f>
        <v>5.419943141386057E-2</v>
      </c>
      <c r="AJ806" s="944">
        <f t="shared" si="2506"/>
        <v>5.5910906681675338E-2</v>
      </c>
      <c r="AK806" s="944">
        <f t="shared" si="2506"/>
        <v>5.7665810975376423E-2</v>
      </c>
      <c r="AL806" s="944">
        <f t="shared" si="2506"/>
        <v>5.9493080497634479E-2</v>
      </c>
      <c r="AM806" s="944">
        <f t="shared" si="2506"/>
        <v>6.1417132252699833E-2</v>
      </c>
      <c r="AN806" s="544">
        <f>(V837-V$802)/V$802</f>
        <v>4.1405096512950296E-2</v>
      </c>
    </row>
    <row r="807" spans="3:47" hidden="1" outlineLevel="1" x14ac:dyDescent="0.3">
      <c r="C807" s="587" t="str">
        <f t="shared" si="2502"/>
        <v>W/o EE measures</v>
      </c>
      <c r="E807" s="629" t="s">
        <v>457</v>
      </c>
      <c r="F807" s="584"/>
      <c r="G807" s="564">
        <f>G802-SUM(G803:G806)</f>
        <v>-511.41931691738864</v>
      </c>
      <c r="H807" s="564">
        <f>H802-SUM(H803:H806)</f>
        <v>-590.66591645641165</v>
      </c>
      <c r="I807" s="564">
        <f t="shared" ref="I807:P807" si="2507">I802-SUM(I803:I806)</f>
        <v>-629.57268251030473</v>
      </c>
      <c r="J807" s="564">
        <f t="shared" si="2507"/>
        <v>-666.23428529572993</v>
      </c>
      <c r="K807" s="564">
        <f t="shared" si="2507"/>
        <v>-668.12085515088256</v>
      </c>
      <c r="L807" s="564">
        <f t="shared" si="2507"/>
        <v>-670.54197050649964</v>
      </c>
      <c r="M807" s="564">
        <f t="shared" si="2507"/>
        <v>-669.87181528012297</v>
      </c>
      <c r="N807" s="564">
        <f t="shared" si="2507"/>
        <v>-667.69566633046634</v>
      </c>
      <c r="O807" s="564">
        <f t="shared" si="2507"/>
        <v>-675.49223854523007</v>
      </c>
      <c r="P807" s="564">
        <f t="shared" si="2507"/>
        <v>-678.12295883086335</v>
      </c>
      <c r="Q807" s="564">
        <f t="shared" ref="Q807:U807" si="2508">Q802-SUM(Q803:Q806)</f>
        <v>-681.22590664411109</v>
      </c>
      <c r="R807" s="564">
        <f t="shared" si="2508"/>
        <v>-684.21348083837074</v>
      </c>
      <c r="S807" s="564">
        <f t="shared" si="2508"/>
        <v>-687.27767772745574</v>
      </c>
      <c r="T807" s="564">
        <f t="shared" si="2508"/>
        <v>-690.09537374529464</v>
      </c>
      <c r="U807" s="564">
        <f t="shared" si="2508"/>
        <v>-692.42998559113767</v>
      </c>
      <c r="X807" s="475" t="s">
        <v>39</v>
      </c>
      <c r="Y807" s="68">
        <f t="shared" ref="Y807:AH807" si="2509">(G844-G$802)/G$802</f>
        <v>1.7003358891042288E-2</v>
      </c>
      <c r="Z807" s="68">
        <f t="shared" si="2509"/>
        <v>1.0572650865319807E-2</v>
      </c>
      <c r="AA807" s="68">
        <f t="shared" si="2509"/>
        <v>8.2643419044328773E-3</v>
      </c>
      <c r="AB807" s="68">
        <f t="shared" si="2509"/>
        <v>1.7183845109386014E-2</v>
      </c>
      <c r="AC807" s="68">
        <f t="shared" si="2509"/>
        <v>6.1818569691198144E-2</v>
      </c>
      <c r="AD807" s="68">
        <f t="shared" si="2509"/>
        <v>5.5424325111871772E-2</v>
      </c>
      <c r="AE807" s="68">
        <f t="shared" si="2509"/>
        <v>5.4043187461576249E-2</v>
      </c>
      <c r="AF807" s="68">
        <f t="shared" si="2509"/>
        <v>5.4857426034031799E-2</v>
      </c>
      <c r="AG807" s="68">
        <f t="shared" si="2509"/>
        <v>5.6854505511754222E-2</v>
      </c>
      <c r="AH807" s="944">
        <f t="shared" si="2509"/>
        <v>5.9021739449079909E-2</v>
      </c>
      <c r="AI807" s="944">
        <f t="shared" ref="AI807:AM807" si="2510">(Q844-Q$802)/Q$802</f>
        <v>6.0449229680312466E-2</v>
      </c>
      <c r="AJ807" s="944">
        <f t="shared" si="2510"/>
        <v>6.2588212002080715E-2</v>
      </c>
      <c r="AK807" s="944">
        <f t="shared" si="2510"/>
        <v>6.4788606400112275E-2</v>
      </c>
      <c r="AL807" s="944">
        <f t="shared" si="2510"/>
        <v>6.7083573922959661E-2</v>
      </c>
      <c r="AM807" s="944">
        <f t="shared" si="2510"/>
        <v>6.9501114365085506E-2</v>
      </c>
      <c r="AN807" s="544">
        <f>(V844-V$802)/V$802</f>
        <v>4.065468951239401E-2</v>
      </c>
    </row>
    <row r="808" spans="3:47" hidden="1" outlineLevel="1" x14ac:dyDescent="0.3">
      <c r="C808" s="587" t="str">
        <f>C807</f>
        <v>W/o EE measures</v>
      </c>
      <c r="E808" s="629" t="s">
        <v>458</v>
      </c>
      <c r="F808" s="584"/>
      <c r="G808" s="899">
        <f>($H802-Assumptions!$C$69)/Assumptions!$C$69</f>
        <v>0.24398386096620678</v>
      </c>
      <c r="H808" s="899">
        <f>($H802-Assumptions!$C$69)/Assumptions!$C$69</f>
        <v>0.24398386096620678</v>
      </c>
      <c r="I808" s="602">
        <f>(I802-H802)/H802</f>
        <v>6.5869326416042207E-2</v>
      </c>
      <c r="J808" s="602">
        <f t="shared" ref="J808:P808" si="2511">(J802-I802)/I802</f>
        <v>5.8232518347592646E-2</v>
      </c>
      <c r="K808" s="602">
        <f t="shared" si="2511"/>
        <v>2.8316913385940798E-3</v>
      </c>
      <c r="L808" s="602">
        <f t="shared" si="2511"/>
        <v>3.6237685696484784E-3</v>
      </c>
      <c r="M808" s="602">
        <f t="shared" si="2511"/>
        <v>-9.9942323652267551E-4</v>
      </c>
      <c r="N808" s="602">
        <f t="shared" si="2511"/>
        <v>-3.2486050316023643E-3</v>
      </c>
      <c r="O808" s="602">
        <f t="shared" si="2511"/>
        <v>1.1676835133005286E-2</v>
      </c>
      <c r="P808" s="602">
        <f t="shared" si="2511"/>
        <v>3.8945233350160422E-3</v>
      </c>
      <c r="Q808" s="602">
        <f t="shared" ref="Q808" si="2512">(Q802-P802)/P802</f>
        <v>4.5757893503383497E-3</v>
      </c>
      <c r="R808" s="602">
        <f t="shared" ref="R808" si="2513">(R802-Q802)/Q802</f>
        <v>4.3855851122720007E-3</v>
      </c>
      <c r="S808" s="602">
        <f t="shared" ref="S808" si="2514">(S802-R802)/R802</f>
        <v>4.478422268624856E-3</v>
      </c>
      <c r="T808" s="602">
        <f t="shared" ref="T808" si="2515">(T802-S802)/S802</f>
        <v>4.0997927171942117E-3</v>
      </c>
      <c r="U808" s="602">
        <f t="shared" ref="U808" si="2516">(U802-T802)/T802</f>
        <v>3.3830278171136504E-3</v>
      </c>
      <c r="X808" s="1235" t="s">
        <v>40</v>
      </c>
      <c r="Y808" s="68">
        <f t="shared" ref="Y808:AH808" si="2517">(G851-G$802)/G$802</f>
        <v>1.7003358891042288E-2</v>
      </c>
      <c r="Z808" s="68">
        <f t="shared" si="2517"/>
        <v>1.0572650865319807E-2</v>
      </c>
      <c r="AA808" s="68">
        <f t="shared" si="2517"/>
        <v>8.2643419044328773E-3</v>
      </c>
      <c r="AB808" s="68">
        <f t="shared" si="2517"/>
        <v>1.7183845109386014E-2</v>
      </c>
      <c r="AC808" s="68">
        <f t="shared" si="2517"/>
        <v>8.3653717672353911E-2</v>
      </c>
      <c r="AD808" s="68">
        <f t="shared" si="2517"/>
        <v>7.8040337140476632E-2</v>
      </c>
      <c r="AE808" s="68">
        <f t="shared" si="2517"/>
        <v>7.7618839587090274E-2</v>
      </c>
      <c r="AF808" s="68">
        <f t="shared" si="2517"/>
        <v>7.9622543981058946E-2</v>
      </c>
      <c r="AG808" s="68">
        <f t="shared" si="2517"/>
        <v>8.2515942095635009E-2</v>
      </c>
      <c r="AH808" s="68">
        <f t="shared" si="2517"/>
        <v>8.5782848264346595E-2</v>
      </c>
      <c r="AI808" s="68">
        <f t="shared" ref="AI808:AM808" si="2518">(Q851-Q$802)/Q$802</f>
        <v>8.7740479290021253E-2</v>
      </c>
      <c r="AJ808" s="68">
        <f t="shared" si="2518"/>
        <v>9.0753903074335743E-2</v>
      </c>
      <c r="AK808" s="68">
        <f t="shared" si="2518"/>
        <v>9.3852116082455028E-2</v>
      </c>
      <c r="AL808" s="68">
        <f t="shared" si="2518"/>
        <v>9.7082953714919151E-2</v>
      </c>
      <c r="AM808" s="68">
        <f t="shared" si="2518"/>
        <v>0.10048691428414026</v>
      </c>
      <c r="AN808" s="544">
        <f>(V851-V$802)/V$802</f>
        <v>5.5833148532685978E-2</v>
      </c>
    </row>
    <row r="809" spans="3:47" hidden="1" outlineLevel="1" x14ac:dyDescent="0.3">
      <c r="C809" s="587" t="str">
        <f>E809</f>
        <v>Baseline</v>
      </c>
      <c r="E809" s="628" t="str">
        <f>'EE Measures'!$IF$6</f>
        <v>Baseline</v>
      </c>
      <c r="F809" s="603">
        <f>SUM(Assumptions!$C$28:$L$28)/SUM(Assumptions!$C$21:$L$21)</f>
        <v>0.8139106330769218</v>
      </c>
      <c r="G809" s="601">
        <f t="shared" ref="G809" si="2519">G755/$F809</f>
        <v>34091.456117683781</v>
      </c>
      <c r="H809" s="601">
        <f t="shared" ref="H809:P809" si="2520">H755/$F809</f>
        <v>39311.990172771795</v>
      </c>
      <c r="I809" s="601">
        <f t="shared" si="2520"/>
        <v>41866.861566374428</v>
      </c>
      <c r="J809" s="601">
        <f t="shared" si="2520"/>
        <v>44292.397370362989</v>
      </c>
      <c r="K809" s="601">
        <f t="shared" si="2520"/>
        <v>44536.706984122342</v>
      </c>
      <c r="L809" s="601">
        <f t="shared" si="2520"/>
        <v>44712.319977032988</v>
      </c>
      <c r="M809" s="601">
        <f t="shared" si="2520"/>
        <v>44675.961868087943</v>
      </c>
      <c r="N809" s="601">
        <f t="shared" si="2520"/>
        <v>44499.6979169857</v>
      </c>
      <c r="O809" s="601">
        <f t="shared" si="2520"/>
        <v>45027.88049763719</v>
      </c>
      <c r="P809" s="601">
        <f t="shared" si="2520"/>
        <v>45214.364567204881</v>
      </c>
      <c r="Q809" s="601">
        <f t="shared" ref="Q809:U809" si="2521">Q755/$F809</f>
        <v>45432.592609132291</v>
      </c>
      <c r="R809" s="601">
        <f t="shared" si="2521"/>
        <v>45643.657537533087</v>
      </c>
      <c r="S809" s="601">
        <f t="shared" si="2521"/>
        <v>45860.292672366151</v>
      </c>
      <c r="T809" s="601">
        <f t="shared" si="2521"/>
        <v>46061.118192214344</v>
      </c>
      <c r="U809" s="601">
        <f t="shared" si="2521"/>
        <v>46230.486208432019</v>
      </c>
      <c r="V809" s="607">
        <f>SUM(G809:P809)</f>
        <v>428229.63703826413</v>
      </c>
    </row>
    <row r="810" spans="3:47" hidden="1" outlineLevel="1" x14ac:dyDescent="0.3">
      <c r="C810" s="587" t="str">
        <f>C809</f>
        <v>Baseline</v>
      </c>
      <c r="E810" s="629" t="s">
        <v>453</v>
      </c>
      <c r="F810" s="604">
        <f>Assumptions!$P$121/100</f>
        <v>0.47789999999999999</v>
      </c>
      <c r="G810" s="564">
        <f t="shared" ref="G810:U813" si="2522">G$809*$F810</f>
        <v>16292.306878641079</v>
      </c>
      <c r="H810" s="564">
        <f t="shared" si="2522"/>
        <v>18787.20010356764</v>
      </c>
      <c r="I810" s="564">
        <f t="shared" si="2522"/>
        <v>20008.17314257034</v>
      </c>
      <c r="J810" s="564">
        <f t="shared" si="2522"/>
        <v>21167.336703296471</v>
      </c>
      <c r="K810" s="564">
        <f t="shared" si="2522"/>
        <v>21284.092267712065</v>
      </c>
      <c r="L810" s="564">
        <f t="shared" si="2522"/>
        <v>21368.017717024064</v>
      </c>
      <c r="M810" s="564">
        <f t="shared" si="2522"/>
        <v>21350.642176759229</v>
      </c>
      <c r="N810" s="564">
        <f t="shared" si="2522"/>
        <v>21266.405634527466</v>
      </c>
      <c r="O810" s="564">
        <f t="shared" si="2522"/>
        <v>21518.824089820813</v>
      </c>
      <c r="P810" s="564">
        <f t="shared" si="2522"/>
        <v>21607.944826667212</v>
      </c>
      <c r="Q810" s="564">
        <f t="shared" si="2522"/>
        <v>21712.236007904321</v>
      </c>
      <c r="R810" s="564">
        <f t="shared" si="2522"/>
        <v>21813.103937187061</v>
      </c>
      <c r="S810" s="564">
        <f t="shared" si="2522"/>
        <v>21916.633868123783</v>
      </c>
      <c r="T810" s="564">
        <f t="shared" si="2522"/>
        <v>22012.608384059236</v>
      </c>
      <c r="U810" s="564">
        <f t="shared" si="2522"/>
        <v>22093.549359009663</v>
      </c>
    </row>
    <row r="811" spans="3:47" hidden="1" outlineLevel="1" x14ac:dyDescent="0.3">
      <c r="C811" s="587" t="str">
        <f>C810</f>
        <v>Baseline</v>
      </c>
      <c r="E811" s="629" t="s">
        <v>454</v>
      </c>
      <c r="F811" s="604">
        <f>Assumptions!$P$122/100</f>
        <v>0.16350000000000001</v>
      </c>
      <c r="G811" s="564">
        <f t="shared" si="2522"/>
        <v>5573.9530752412984</v>
      </c>
      <c r="H811" s="564">
        <f t="shared" si="2522"/>
        <v>6427.5103932481888</v>
      </c>
      <c r="I811" s="564">
        <f t="shared" si="2522"/>
        <v>6845.2318661022191</v>
      </c>
      <c r="J811" s="564">
        <f t="shared" si="2522"/>
        <v>7241.8069700543492</v>
      </c>
      <c r="K811" s="564">
        <f t="shared" si="2522"/>
        <v>7281.7515919040034</v>
      </c>
      <c r="L811" s="564">
        <f t="shared" si="2522"/>
        <v>7310.4643162448938</v>
      </c>
      <c r="M811" s="564">
        <f t="shared" si="2522"/>
        <v>7304.5197654323792</v>
      </c>
      <c r="N811" s="564">
        <f t="shared" si="2522"/>
        <v>7275.7006094271619</v>
      </c>
      <c r="O811" s="564">
        <f t="shared" si="2522"/>
        <v>7362.0584613636811</v>
      </c>
      <c r="P811" s="564">
        <f t="shared" si="2522"/>
        <v>7392.5486067379979</v>
      </c>
      <c r="Q811" s="564">
        <f t="shared" si="2522"/>
        <v>7428.2288915931294</v>
      </c>
      <c r="R811" s="564">
        <f t="shared" si="2522"/>
        <v>7462.7380073866598</v>
      </c>
      <c r="S811" s="564">
        <f t="shared" si="2522"/>
        <v>7498.1578519318664</v>
      </c>
      <c r="T811" s="564">
        <f t="shared" si="2522"/>
        <v>7530.9928244270459</v>
      </c>
      <c r="U811" s="564">
        <f t="shared" si="2522"/>
        <v>7558.6844950786353</v>
      </c>
    </row>
    <row r="812" spans="3:47" hidden="1" outlineLevel="1" x14ac:dyDescent="0.3">
      <c r="C812" s="587" t="str">
        <f t="shared" ref="C812:C814" si="2523">C811</f>
        <v>Baseline</v>
      </c>
      <c r="E812" s="629" t="s">
        <v>455</v>
      </c>
      <c r="F812" s="604">
        <f>Assumptions!$P$125/100</f>
        <v>0.23549999999999996</v>
      </c>
      <c r="G812" s="564">
        <f t="shared" si="2522"/>
        <v>8028.5379157145289</v>
      </c>
      <c r="H812" s="564">
        <f t="shared" si="2522"/>
        <v>9257.9736856877553</v>
      </c>
      <c r="I812" s="564">
        <f t="shared" si="2522"/>
        <v>9859.6458988811755</v>
      </c>
      <c r="J812" s="564">
        <f t="shared" si="2522"/>
        <v>10430.859580720482</v>
      </c>
      <c r="K812" s="564">
        <f t="shared" si="2522"/>
        <v>10488.394494760811</v>
      </c>
      <c r="L812" s="564">
        <f t="shared" si="2522"/>
        <v>10529.751354591266</v>
      </c>
      <c r="M812" s="564">
        <f t="shared" si="2522"/>
        <v>10521.189019934709</v>
      </c>
      <c r="N812" s="564">
        <f t="shared" si="2522"/>
        <v>10479.67885945013</v>
      </c>
      <c r="O812" s="564">
        <f t="shared" si="2522"/>
        <v>10604.065857193556</v>
      </c>
      <c r="P812" s="564">
        <f t="shared" si="2522"/>
        <v>10647.982855576747</v>
      </c>
      <c r="Q812" s="564">
        <f t="shared" si="2522"/>
        <v>10699.375559450653</v>
      </c>
      <c r="R812" s="564">
        <f t="shared" si="2522"/>
        <v>10749.08135008904</v>
      </c>
      <c r="S812" s="564">
        <f t="shared" si="2522"/>
        <v>10800.098924342226</v>
      </c>
      <c r="T812" s="564">
        <f t="shared" si="2522"/>
        <v>10847.393334266477</v>
      </c>
      <c r="U812" s="564">
        <f t="shared" si="2522"/>
        <v>10887.279502085739</v>
      </c>
    </row>
    <row r="813" spans="3:47" hidden="1" outlineLevel="1" x14ac:dyDescent="0.3">
      <c r="C813" s="587" t="str">
        <f t="shared" si="2523"/>
        <v>Baseline</v>
      </c>
      <c r="E813" s="629" t="s">
        <v>456</v>
      </c>
      <c r="F813" s="604">
        <f>Assumptions!$P$123/100</f>
        <v>0.13819999999999999</v>
      </c>
      <c r="G813" s="564">
        <f t="shared" si="2522"/>
        <v>4711.4392354638985</v>
      </c>
      <c r="H813" s="564">
        <f t="shared" si="2522"/>
        <v>5432.9170418770618</v>
      </c>
      <c r="I813" s="564">
        <f t="shared" si="2522"/>
        <v>5786.0002684729452</v>
      </c>
      <c r="J813" s="564">
        <f t="shared" si="2522"/>
        <v>6121.2093165841643</v>
      </c>
      <c r="K813" s="564">
        <f t="shared" si="2522"/>
        <v>6154.9729052057073</v>
      </c>
      <c r="L813" s="564">
        <f t="shared" si="2522"/>
        <v>6179.2426208259585</v>
      </c>
      <c r="M813" s="564">
        <f t="shared" si="2522"/>
        <v>6174.2179301697533</v>
      </c>
      <c r="N813" s="564">
        <f t="shared" si="2522"/>
        <v>6149.8582521274229</v>
      </c>
      <c r="O813" s="564">
        <f t="shared" si="2522"/>
        <v>6222.8530847734592</v>
      </c>
      <c r="P813" s="564">
        <f t="shared" si="2522"/>
        <v>6248.6251831877144</v>
      </c>
      <c r="Q813" s="564">
        <f t="shared" si="2522"/>
        <v>6278.7842985820826</v>
      </c>
      <c r="R813" s="564">
        <f t="shared" si="2522"/>
        <v>6307.9534716870721</v>
      </c>
      <c r="S813" s="564">
        <f t="shared" si="2522"/>
        <v>6337.8924473210018</v>
      </c>
      <c r="T813" s="564">
        <f t="shared" si="2522"/>
        <v>6365.6465341640214</v>
      </c>
      <c r="U813" s="564">
        <f t="shared" si="2522"/>
        <v>6389.0531940053042</v>
      </c>
    </row>
    <row r="814" spans="3:47" hidden="1" outlineLevel="1" x14ac:dyDescent="0.3">
      <c r="C814" s="587" t="str">
        <f t="shared" si="2523"/>
        <v>Baseline</v>
      </c>
      <c r="E814" s="629" t="s">
        <v>457</v>
      </c>
      <c r="F814" s="584"/>
      <c r="G814" s="564">
        <f>G809-SUM(G810:G813)</f>
        <v>-514.78098737702385</v>
      </c>
      <c r="H814" s="564">
        <f>H809-SUM(H810:H813)</f>
        <v>-593.61105160885199</v>
      </c>
      <c r="I814" s="564">
        <f t="shared" ref="I814:P814" si="2524">I809-SUM(I810:I813)</f>
        <v>-632.18960965225415</v>
      </c>
      <c r="J814" s="564">
        <f t="shared" si="2524"/>
        <v>-668.81520029247622</v>
      </c>
      <c r="K814" s="564">
        <f t="shared" si="2524"/>
        <v>-672.5042754602473</v>
      </c>
      <c r="L814" s="564">
        <f t="shared" si="2524"/>
        <v>-675.15603165319044</v>
      </c>
      <c r="M814" s="564">
        <f t="shared" si="2524"/>
        <v>-674.60702420812595</v>
      </c>
      <c r="N814" s="564">
        <f t="shared" si="2524"/>
        <v>-671.94543854648509</v>
      </c>
      <c r="O814" s="564">
        <f t="shared" si="2524"/>
        <v>-679.92099551432329</v>
      </c>
      <c r="P814" s="564">
        <f t="shared" si="2524"/>
        <v>-682.73690496478957</v>
      </c>
      <c r="Q814" s="564">
        <f t="shared" ref="Q814:U814" si="2525">Q809-SUM(Q810:Q813)</f>
        <v>-686.03214839789143</v>
      </c>
      <c r="R814" s="564">
        <f t="shared" si="2525"/>
        <v>-689.21922881674254</v>
      </c>
      <c r="S814" s="564">
        <f t="shared" si="2525"/>
        <v>-692.49041935272544</v>
      </c>
      <c r="T814" s="564">
        <f t="shared" si="2525"/>
        <v>-695.52288470243366</v>
      </c>
      <c r="U814" s="564">
        <f t="shared" si="2525"/>
        <v>-698.08034174732165</v>
      </c>
    </row>
    <row r="815" spans="3:47" hidden="1" outlineLevel="1" x14ac:dyDescent="0.3">
      <c r="C815" s="587" t="str">
        <f>C814</f>
        <v>Baseline</v>
      </c>
      <c r="E815" s="629" t="s">
        <v>458</v>
      </c>
      <c r="F815" s="584"/>
      <c r="G815" s="899">
        <f>($H809-Assumptions!$C$69)/Assumptions!$C$69</f>
        <v>0.25018652222687282</v>
      </c>
      <c r="H815" s="899">
        <f>($H809-Assumptions!$C$69)/Assumptions!$C$69</f>
        <v>0.25018652222687282</v>
      </c>
      <c r="I815" s="602">
        <f>(I809-H809)/H809</f>
        <v>6.498962231050269E-2</v>
      </c>
      <c r="J815" s="602">
        <f t="shared" ref="J815:P815" si="2526">(J809-I809)/I809</f>
        <v>5.7934502688795811E-2</v>
      </c>
      <c r="K815" s="602">
        <f t="shared" si="2526"/>
        <v>5.5158363119632318E-3</v>
      </c>
      <c r="L815" s="602">
        <f t="shared" si="2526"/>
        <v>3.9431068168837386E-3</v>
      </c>
      <c r="M815" s="602">
        <f t="shared" si="2526"/>
        <v>-8.1315639545702747E-4</v>
      </c>
      <c r="N815" s="602">
        <f t="shared" si="2526"/>
        <v>-3.9453868194866551E-3</v>
      </c>
      <c r="O815" s="602">
        <f t="shared" si="2526"/>
        <v>1.1869352049014261E-2</v>
      </c>
      <c r="P815" s="602">
        <f t="shared" si="2526"/>
        <v>4.141524484535219E-3</v>
      </c>
      <c r="Q815" s="602">
        <f t="shared" ref="Q815" si="2527">(Q809-P809)/P809</f>
        <v>4.8265201560677585E-3</v>
      </c>
      <c r="R815" s="602">
        <f t="shared" ref="R815" si="2528">(R809-Q809)/Q809</f>
        <v>4.6456721106946089E-3</v>
      </c>
      <c r="S815" s="602">
        <f t="shared" ref="S815" si="2529">(S809-R809)/R809</f>
        <v>4.7462264533670202E-3</v>
      </c>
      <c r="T815" s="602">
        <f t="shared" ref="T815" si="2530">(T809-S809)/S809</f>
        <v>4.3790719192074307E-3</v>
      </c>
      <c r="U815" s="602">
        <f t="shared" ref="U815" si="2531">(U809-T809)/T809</f>
        <v>3.6770278895726688E-3</v>
      </c>
    </row>
    <row r="816" spans="3:47" hidden="1" outlineLevel="1" x14ac:dyDescent="0.3">
      <c r="C816" s="587" t="str">
        <f>E816</f>
        <v>EEO</v>
      </c>
      <c r="E816" s="628" t="str">
        <f>'EE Measures'!$IG$6</f>
        <v>EEO</v>
      </c>
      <c r="F816" s="603">
        <f>SUM(Assumptions!$C$28:$L$28)/SUM(Assumptions!$C$21:$L$21)</f>
        <v>0.8139106330769218</v>
      </c>
      <c r="G816" s="601">
        <f t="shared" ref="G816" si="2532">G756/$F816</f>
        <v>34232.758786020822</v>
      </c>
      <c r="H816" s="601">
        <f t="shared" ref="H816:P816" si="2533">H756/$F816</f>
        <v>39399.352032929819</v>
      </c>
      <c r="I816" s="601">
        <f t="shared" si="2533"/>
        <v>41935.293647925813</v>
      </c>
      <c r="J816" s="601">
        <f t="shared" si="2533"/>
        <v>44574.803619317856</v>
      </c>
      <c r="K816" s="601">
        <f t="shared" si="2533"/>
        <v>46352.386993896958</v>
      </c>
      <c r="L816" s="601">
        <f t="shared" si="2533"/>
        <v>46443.388531365468</v>
      </c>
      <c r="M816" s="601">
        <f t="shared" si="2533"/>
        <v>46413.501827368324</v>
      </c>
      <c r="N816" s="601">
        <f t="shared" si="2533"/>
        <v>46301.7409753424</v>
      </c>
      <c r="O816" s="601">
        <f t="shared" si="2533"/>
        <v>46912.659138292685</v>
      </c>
      <c r="P816" s="601">
        <f t="shared" si="2533"/>
        <v>47179.833851808762</v>
      </c>
      <c r="Q816" s="601">
        <f t="shared" ref="Q816:U816" si="2534">Q756/$F816</f>
        <v>47468.630132800747</v>
      </c>
      <c r="R816" s="601">
        <f t="shared" si="2534"/>
        <v>47766.99012377084</v>
      </c>
      <c r="S816" s="601">
        <f t="shared" si="2534"/>
        <v>48074.321224624742</v>
      </c>
      <c r="T816" s="601">
        <f t="shared" si="2534"/>
        <v>48369.373447060367</v>
      </c>
      <c r="U816" s="601">
        <f t="shared" si="2534"/>
        <v>48636.654545117955</v>
      </c>
      <c r="V816" s="607">
        <f>SUM(G816:P816)</f>
        <v>439745.71940426884</v>
      </c>
    </row>
    <row r="817" spans="3:22" hidden="1" outlineLevel="1" x14ac:dyDescent="0.3">
      <c r="C817" s="587" t="str">
        <f>C816</f>
        <v>EEO</v>
      </c>
      <c r="E817" s="629" t="s">
        <v>453</v>
      </c>
      <c r="F817" s="604">
        <f>Assumptions!$P$121/100</f>
        <v>0.47789999999999999</v>
      </c>
      <c r="G817" s="564">
        <f t="shared" ref="G817:U820" si="2535">G$816*$F817</f>
        <v>16359.835423839351</v>
      </c>
      <c r="H817" s="564">
        <f t="shared" si="2535"/>
        <v>18828.95033653716</v>
      </c>
      <c r="I817" s="564">
        <f t="shared" si="2535"/>
        <v>20040.876834343744</v>
      </c>
      <c r="J817" s="564">
        <f t="shared" si="2535"/>
        <v>21302.298649672004</v>
      </c>
      <c r="K817" s="564">
        <f t="shared" si="2535"/>
        <v>22151.805744383357</v>
      </c>
      <c r="L817" s="564">
        <f t="shared" si="2535"/>
        <v>22195.295379139556</v>
      </c>
      <c r="M817" s="564">
        <f t="shared" si="2535"/>
        <v>22181.012523299323</v>
      </c>
      <c r="N817" s="564">
        <f t="shared" si="2535"/>
        <v>22127.602012116131</v>
      </c>
      <c r="O817" s="564">
        <f t="shared" si="2535"/>
        <v>22419.559802190073</v>
      </c>
      <c r="P817" s="564">
        <f t="shared" si="2535"/>
        <v>22547.242597779408</v>
      </c>
      <c r="Q817" s="564">
        <f t="shared" si="2535"/>
        <v>22685.258340465476</v>
      </c>
      <c r="R817" s="564">
        <f t="shared" si="2535"/>
        <v>22827.844580150086</v>
      </c>
      <c r="S817" s="564">
        <f t="shared" si="2535"/>
        <v>22974.718113248164</v>
      </c>
      <c r="T817" s="564">
        <f t="shared" si="2535"/>
        <v>23115.72357035015</v>
      </c>
      <c r="U817" s="564">
        <f t="shared" si="2535"/>
        <v>23243.457207111871</v>
      </c>
    </row>
    <row r="818" spans="3:22" hidden="1" outlineLevel="1" x14ac:dyDescent="0.3">
      <c r="C818" s="587" t="str">
        <f>C817</f>
        <v>EEO</v>
      </c>
      <c r="E818" s="629" t="s">
        <v>454</v>
      </c>
      <c r="F818" s="604">
        <f>Assumptions!$P$122/100</f>
        <v>0.16350000000000001</v>
      </c>
      <c r="G818" s="564">
        <f t="shared" si="2535"/>
        <v>5597.056061514405</v>
      </c>
      <c r="H818" s="564">
        <f t="shared" si="2535"/>
        <v>6441.794057384026</v>
      </c>
      <c r="I818" s="564">
        <f t="shared" si="2535"/>
        <v>6856.420511435871</v>
      </c>
      <c r="J818" s="564">
        <f t="shared" si="2535"/>
        <v>7287.9803917584695</v>
      </c>
      <c r="K818" s="564">
        <f t="shared" si="2535"/>
        <v>7578.6152735021533</v>
      </c>
      <c r="L818" s="564">
        <f t="shared" si="2535"/>
        <v>7593.4940248782541</v>
      </c>
      <c r="M818" s="564">
        <f t="shared" si="2535"/>
        <v>7588.6075487747212</v>
      </c>
      <c r="N818" s="564">
        <f t="shared" si="2535"/>
        <v>7570.3346494684829</v>
      </c>
      <c r="O818" s="564">
        <f t="shared" si="2535"/>
        <v>7670.219769110854</v>
      </c>
      <c r="P818" s="564">
        <f t="shared" si="2535"/>
        <v>7713.9028347707326</v>
      </c>
      <c r="Q818" s="564">
        <f t="shared" si="2535"/>
        <v>7761.1210267129227</v>
      </c>
      <c r="R818" s="564">
        <f t="shared" si="2535"/>
        <v>7809.9028852365327</v>
      </c>
      <c r="S818" s="564">
        <f t="shared" si="2535"/>
        <v>7860.1515202261453</v>
      </c>
      <c r="T818" s="564">
        <f t="shared" si="2535"/>
        <v>7908.3925585943707</v>
      </c>
      <c r="U818" s="564">
        <f t="shared" si="2535"/>
        <v>7952.0930181267859</v>
      </c>
    </row>
    <row r="819" spans="3:22" hidden="1" outlineLevel="1" x14ac:dyDescent="0.3">
      <c r="C819" s="587" t="str">
        <f t="shared" ref="C819:C821" si="2536">C818</f>
        <v>EEO</v>
      </c>
      <c r="E819" s="629" t="s">
        <v>455</v>
      </c>
      <c r="F819" s="604">
        <f>Assumptions!$P$125/100</f>
        <v>0.23549999999999996</v>
      </c>
      <c r="G819" s="564">
        <f t="shared" si="2535"/>
        <v>8061.8146941079021</v>
      </c>
      <c r="H819" s="564">
        <f t="shared" si="2535"/>
        <v>9278.5474037549702</v>
      </c>
      <c r="I819" s="564">
        <f t="shared" si="2535"/>
        <v>9875.7616540865274</v>
      </c>
      <c r="J819" s="564">
        <f t="shared" si="2535"/>
        <v>10497.366252349353</v>
      </c>
      <c r="K819" s="564">
        <f t="shared" si="2535"/>
        <v>10915.987137062732</v>
      </c>
      <c r="L819" s="564">
        <f t="shared" si="2535"/>
        <v>10937.417999136565</v>
      </c>
      <c r="M819" s="564">
        <f t="shared" si="2535"/>
        <v>10930.379680345239</v>
      </c>
      <c r="N819" s="564">
        <f t="shared" si="2535"/>
        <v>10904.059999693134</v>
      </c>
      <c r="O819" s="564">
        <f t="shared" si="2535"/>
        <v>11047.931227067926</v>
      </c>
      <c r="P819" s="564">
        <f t="shared" si="2535"/>
        <v>11110.850872100962</v>
      </c>
      <c r="Q819" s="564">
        <f t="shared" si="2535"/>
        <v>11178.862396274573</v>
      </c>
      <c r="R819" s="564">
        <f t="shared" si="2535"/>
        <v>11249.12617414803</v>
      </c>
      <c r="S819" s="564">
        <f t="shared" si="2535"/>
        <v>11321.502648399124</v>
      </c>
      <c r="T819" s="564">
        <f t="shared" si="2535"/>
        <v>11390.987446782714</v>
      </c>
      <c r="U819" s="564">
        <f t="shared" si="2535"/>
        <v>11453.932145375276</v>
      </c>
    </row>
    <row r="820" spans="3:22" hidden="1" outlineLevel="1" x14ac:dyDescent="0.3">
      <c r="C820" s="587" t="str">
        <f t="shared" si="2536"/>
        <v>EEO</v>
      </c>
      <c r="E820" s="629" t="s">
        <v>456</v>
      </c>
      <c r="F820" s="604">
        <f>Assumptions!$P$123/100</f>
        <v>0.13819999999999999</v>
      </c>
      <c r="G820" s="564">
        <f t="shared" si="2535"/>
        <v>4730.9672642280775</v>
      </c>
      <c r="H820" s="564">
        <f t="shared" si="2535"/>
        <v>5444.9904509509006</v>
      </c>
      <c r="I820" s="564">
        <f t="shared" si="2535"/>
        <v>5795.4575821433473</v>
      </c>
      <c r="J820" s="564">
        <f t="shared" si="2535"/>
        <v>6160.2378601897271</v>
      </c>
      <c r="K820" s="564">
        <f t="shared" si="2535"/>
        <v>6405.8998825565595</v>
      </c>
      <c r="L820" s="564">
        <f t="shared" si="2535"/>
        <v>6418.4762950347076</v>
      </c>
      <c r="M820" s="564">
        <f t="shared" si="2535"/>
        <v>6414.3459525423023</v>
      </c>
      <c r="N820" s="564">
        <f t="shared" si="2535"/>
        <v>6398.9006027923188</v>
      </c>
      <c r="O820" s="564">
        <f t="shared" si="2535"/>
        <v>6483.3294929120484</v>
      </c>
      <c r="P820" s="564">
        <f t="shared" si="2535"/>
        <v>6520.2530383199701</v>
      </c>
      <c r="Q820" s="564">
        <f t="shared" si="2535"/>
        <v>6560.1646843530625</v>
      </c>
      <c r="R820" s="564">
        <f t="shared" si="2535"/>
        <v>6601.3980351051296</v>
      </c>
      <c r="S820" s="564">
        <f t="shared" si="2535"/>
        <v>6643.8711932431388</v>
      </c>
      <c r="T820" s="564">
        <f t="shared" si="2535"/>
        <v>6684.6474103837418</v>
      </c>
      <c r="U820" s="564">
        <f t="shared" si="2535"/>
        <v>6721.5856581353009</v>
      </c>
    </row>
    <row r="821" spans="3:22" hidden="1" outlineLevel="1" x14ac:dyDescent="0.3">
      <c r="C821" s="587" t="str">
        <f t="shared" si="2536"/>
        <v>EEO</v>
      </c>
      <c r="E821" s="629" t="s">
        <v>457</v>
      </c>
      <c r="F821" s="584"/>
      <c r="G821" s="564">
        <f t="shared" ref="G821" si="2537">G816-SUM(G817:G820)</f>
        <v>-516.91465766891633</v>
      </c>
      <c r="H821" s="564">
        <f t="shared" ref="H821:I821" si="2538">H816-SUM(H817:H820)</f>
        <v>-594.93021569724078</v>
      </c>
      <c r="I821" s="564">
        <f t="shared" si="2538"/>
        <v>-633.22293408367841</v>
      </c>
      <c r="J821" s="564">
        <f t="shared" ref="J821" si="2539">J816-SUM(J817:J820)</f>
        <v>-673.07953465169703</v>
      </c>
      <c r="K821" s="564">
        <f t="shared" ref="K821" si="2540">K816-SUM(K817:K820)</f>
        <v>-699.92104360784288</v>
      </c>
      <c r="L821" s="564">
        <f t="shared" ref="L821" si="2541">L816-SUM(L817:L820)</f>
        <v>-701.29516682361282</v>
      </c>
      <c r="M821" s="564">
        <f t="shared" ref="M821" si="2542">M816-SUM(M817:M820)</f>
        <v>-700.84387759326637</v>
      </c>
      <c r="N821" s="564">
        <f t="shared" ref="N821" si="2543">N816-SUM(N817:N820)</f>
        <v>-699.15628872766683</v>
      </c>
      <c r="O821" s="564">
        <f t="shared" ref="O821" si="2544">O816-SUM(O817:O820)</f>
        <v>-708.38115298820776</v>
      </c>
      <c r="P821" s="564">
        <f t="shared" ref="P821:U821" si="2545">P816-SUM(P817:P820)</f>
        <v>-712.41549116231181</v>
      </c>
      <c r="Q821" s="564">
        <f t="shared" si="2545"/>
        <v>-716.77631500528514</v>
      </c>
      <c r="R821" s="564">
        <f t="shared" si="2545"/>
        <v>-721.28155086893821</v>
      </c>
      <c r="S821" s="564">
        <f t="shared" si="2545"/>
        <v>-725.92225049182889</v>
      </c>
      <c r="T821" s="564">
        <f t="shared" si="2545"/>
        <v>-730.37753905060526</v>
      </c>
      <c r="U821" s="564">
        <f t="shared" si="2545"/>
        <v>-734.41348363128054</v>
      </c>
    </row>
    <row r="822" spans="3:22" hidden="1" outlineLevel="1" collapsed="1" x14ac:dyDescent="0.3">
      <c r="C822" s="587" t="str">
        <f>C821</f>
        <v>EEO</v>
      </c>
      <c r="E822" s="629" t="s">
        <v>458</v>
      </c>
      <c r="F822" s="584"/>
      <c r="G822" s="899">
        <f>($H816-Assumptions!$C$69)/Assumptions!$C$69</f>
        <v>0.2529647743490937</v>
      </c>
      <c r="H822" s="899">
        <f>($H816-Assumptions!$C$69)/Assumptions!$C$69</f>
        <v>0.2529647743490937</v>
      </c>
      <c r="I822" s="602">
        <f>(I816-H816)/H816</f>
        <v>6.4365058919661031E-2</v>
      </c>
      <c r="J822" s="602">
        <f t="shared" ref="J822:P822" si="2546">(J816-I816)/I816</f>
        <v>6.2942446368742591E-2</v>
      </c>
      <c r="K822" s="602">
        <f t="shared" si="2546"/>
        <v>3.9878658574924876E-2</v>
      </c>
      <c r="L822" s="602">
        <f t="shared" si="2546"/>
        <v>1.9632546103934573E-3</v>
      </c>
      <c r="M822" s="602">
        <f t="shared" si="2546"/>
        <v>-6.4350825687408038E-4</v>
      </c>
      <c r="N822" s="602">
        <f t="shared" si="2546"/>
        <v>-2.4079383719334537E-3</v>
      </c>
      <c r="O822" s="602">
        <f t="shared" si="2546"/>
        <v>1.319428060546632E-2</v>
      </c>
      <c r="P822" s="602">
        <f t="shared" si="2546"/>
        <v>5.6951517655070222E-3</v>
      </c>
      <c r="Q822" s="602">
        <f t="shared" ref="Q822" si="2547">(Q816-P816)/P816</f>
        <v>6.1211805429220003E-3</v>
      </c>
      <c r="R822" s="602">
        <f t="shared" ref="R822" si="2548">(R816-Q816)/Q816</f>
        <v>6.2854139699288917E-3</v>
      </c>
      <c r="S822" s="602">
        <f t="shared" ref="S822" si="2549">(S816-R816)/R816</f>
        <v>6.4339641258024634E-3</v>
      </c>
      <c r="T822" s="602">
        <f t="shared" ref="T822" si="2550">(T816-S816)/S816</f>
        <v>6.137418374707956E-3</v>
      </c>
      <c r="U822" s="602">
        <f t="shared" ref="U822" si="2551">(U816-T816)/T816</f>
        <v>5.5258333736765116E-3</v>
      </c>
    </row>
    <row r="823" spans="3:22" hidden="1" outlineLevel="1" x14ac:dyDescent="0.3">
      <c r="C823" s="587" t="str">
        <f>E823</f>
        <v>VA</v>
      </c>
      <c r="E823" s="628" t="s">
        <v>36</v>
      </c>
      <c r="F823" s="603">
        <f>SUM(Assumptions!$C$28:$L$28)/SUM(Assumptions!$C$21:$L$21)</f>
        <v>0.8139106330769218</v>
      </c>
      <c r="G823" s="601">
        <f t="shared" ref="G823" si="2552">G757/$F823</f>
        <v>34232.758786020822</v>
      </c>
      <c r="H823" s="601">
        <f t="shared" ref="H823:P823" si="2553">H757/$F823</f>
        <v>39399.401281653852</v>
      </c>
      <c r="I823" s="601">
        <f t="shared" si="2553"/>
        <v>41935.366911010577</v>
      </c>
      <c r="J823" s="601">
        <f t="shared" si="2553"/>
        <v>44575.742168264784</v>
      </c>
      <c r="K823" s="601">
        <f t="shared" si="2553"/>
        <v>46426.559967046916</v>
      </c>
      <c r="L823" s="601">
        <f t="shared" si="2553"/>
        <v>46516.938287262958</v>
      </c>
      <c r="M823" s="601">
        <f t="shared" si="2553"/>
        <v>46490.47696597311</v>
      </c>
      <c r="N823" s="601">
        <f t="shared" si="2553"/>
        <v>46387.492046740779</v>
      </c>
      <c r="O823" s="601">
        <f t="shared" si="2553"/>
        <v>47013.583329041641</v>
      </c>
      <c r="P823" s="601">
        <f t="shared" si="2553"/>
        <v>47294.064536911799</v>
      </c>
      <c r="Q823" s="601">
        <f t="shared" ref="Q823:U823" si="2554">Q757/$F823</f>
        <v>47584.719522868501</v>
      </c>
      <c r="R823" s="601">
        <f t="shared" si="2554"/>
        <v>47884.958281695668</v>
      </c>
      <c r="S823" s="601">
        <f t="shared" si="2554"/>
        <v>48194.19814661397</v>
      </c>
      <c r="T823" s="601">
        <f t="shared" si="2554"/>
        <v>48491.196845805018</v>
      </c>
      <c r="U823" s="601">
        <f t="shared" si="2554"/>
        <v>48760.454192058744</v>
      </c>
      <c r="V823" s="607">
        <f>SUM(G823:P823)</f>
        <v>440272.38427992724</v>
      </c>
    </row>
    <row r="824" spans="3:22" hidden="1" outlineLevel="1" x14ac:dyDescent="0.3">
      <c r="C824" s="587" t="str">
        <f>C823</f>
        <v>VA</v>
      </c>
      <c r="E824" s="629" t="s">
        <v>453</v>
      </c>
      <c r="F824" s="604">
        <f>Assumptions!$P$121/100</f>
        <v>0.47789999999999999</v>
      </c>
      <c r="G824" s="564">
        <f t="shared" ref="G824:U827" si="2555">G$823*$F824</f>
        <v>16359.835423839351</v>
      </c>
      <c r="H824" s="564">
        <f t="shared" si="2555"/>
        <v>18828.973872502374</v>
      </c>
      <c r="I824" s="564">
        <f t="shared" si="2555"/>
        <v>20040.911846771953</v>
      </c>
      <c r="J824" s="564">
        <f t="shared" si="2555"/>
        <v>21302.747182213741</v>
      </c>
      <c r="K824" s="564">
        <f t="shared" si="2555"/>
        <v>22187.253008251722</v>
      </c>
      <c r="L824" s="564">
        <f t="shared" si="2555"/>
        <v>22230.444807482967</v>
      </c>
      <c r="M824" s="564">
        <f t="shared" si="2555"/>
        <v>22217.798942038549</v>
      </c>
      <c r="N824" s="564">
        <f t="shared" si="2555"/>
        <v>22168.582449137419</v>
      </c>
      <c r="O824" s="564">
        <f t="shared" si="2555"/>
        <v>22467.791472949</v>
      </c>
      <c r="P824" s="564">
        <f t="shared" si="2555"/>
        <v>22601.833442190149</v>
      </c>
      <c r="Q824" s="564">
        <f t="shared" si="2555"/>
        <v>22740.737459978856</v>
      </c>
      <c r="R824" s="564">
        <f t="shared" si="2555"/>
        <v>22884.22156282236</v>
      </c>
      <c r="S824" s="564">
        <f t="shared" si="2555"/>
        <v>23032.007294266816</v>
      </c>
      <c r="T824" s="564">
        <f t="shared" si="2555"/>
        <v>23173.942972610217</v>
      </c>
      <c r="U824" s="564">
        <f t="shared" si="2555"/>
        <v>23302.621058384873</v>
      </c>
    </row>
    <row r="825" spans="3:22" hidden="1" outlineLevel="1" x14ac:dyDescent="0.3">
      <c r="C825" s="587" t="str">
        <f>C824</f>
        <v>VA</v>
      </c>
      <c r="E825" s="629" t="s">
        <v>454</v>
      </c>
      <c r="F825" s="604">
        <f>Assumptions!$P$122/100</f>
        <v>0.16350000000000001</v>
      </c>
      <c r="G825" s="564">
        <f t="shared" si="2555"/>
        <v>5597.056061514405</v>
      </c>
      <c r="H825" s="564">
        <f t="shared" si="2555"/>
        <v>6441.8021095504055</v>
      </c>
      <c r="I825" s="564">
        <f t="shared" si="2555"/>
        <v>6856.4324899502299</v>
      </c>
      <c r="J825" s="564">
        <f t="shared" si="2555"/>
        <v>7288.1338445112924</v>
      </c>
      <c r="K825" s="564">
        <f t="shared" si="2555"/>
        <v>7590.7425546121713</v>
      </c>
      <c r="L825" s="564">
        <f t="shared" si="2555"/>
        <v>7605.5194099674936</v>
      </c>
      <c r="M825" s="564">
        <f t="shared" si="2555"/>
        <v>7601.1929839366039</v>
      </c>
      <c r="N825" s="564">
        <f t="shared" si="2555"/>
        <v>7584.3549496421174</v>
      </c>
      <c r="O825" s="564">
        <f t="shared" si="2555"/>
        <v>7686.7208742983084</v>
      </c>
      <c r="P825" s="564">
        <f t="shared" si="2555"/>
        <v>7732.5795517850793</v>
      </c>
      <c r="Q825" s="564">
        <f t="shared" si="2555"/>
        <v>7780.1016419890002</v>
      </c>
      <c r="R825" s="564">
        <f t="shared" si="2555"/>
        <v>7829.1906790572421</v>
      </c>
      <c r="S825" s="564">
        <f t="shared" si="2555"/>
        <v>7879.7513969713846</v>
      </c>
      <c r="T825" s="564">
        <f t="shared" si="2555"/>
        <v>7928.3106842891211</v>
      </c>
      <c r="U825" s="564">
        <f t="shared" si="2555"/>
        <v>7972.3342604016052</v>
      </c>
    </row>
    <row r="826" spans="3:22" hidden="1" outlineLevel="1" x14ac:dyDescent="0.3">
      <c r="C826" s="587" t="str">
        <f t="shared" ref="C826:C828" si="2556">C825</f>
        <v>VA</v>
      </c>
      <c r="E826" s="629" t="s">
        <v>455</v>
      </c>
      <c r="F826" s="604">
        <f>Assumptions!$P$125/100</f>
        <v>0.23549999999999996</v>
      </c>
      <c r="G826" s="564">
        <f t="shared" si="2555"/>
        <v>8061.8146941079021</v>
      </c>
      <c r="H826" s="564">
        <f t="shared" si="2555"/>
        <v>9278.5590018294806</v>
      </c>
      <c r="I826" s="564">
        <f t="shared" si="2555"/>
        <v>9875.7789075429882</v>
      </c>
      <c r="J826" s="564">
        <f t="shared" si="2555"/>
        <v>10497.587280626354</v>
      </c>
      <c r="K826" s="564">
        <f t="shared" si="2555"/>
        <v>10933.454872239547</v>
      </c>
      <c r="L826" s="564">
        <f t="shared" si="2555"/>
        <v>10954.738966650424</v>
      </c>
      <c r="M826" s="564">
        <f t="shared" si="2555"/>
        <v>10948.507325486666</v>
      </c>
      <c r="N826" s="564">
        <f t="shared" si="2555"/>
        <v>10924.254377007452</v>
      </c>
      <c r="O826" s="564">
        <f t="shared" si="2555"/>
        <v>11071.698873989304</v>
      </c>
      <c r="P826" s="564">
        <f t="shared" si="2555"/>
        <v>11137.752198442728</v>
      </c>
      <c r="Q826" s="564">
        <f t="shared" si="2555"/>
        <v>11206.201447635531</v>
      </c>
      <c r="R826" s="564">
        <f t="shared" si="2555"/>
        <v>11276.907675339327</v>
      </c>
      <c r="S826" s="564">
        <f t="shared" si="2555"/>
        <v>11349.733663527588</v>
      </c>
      <c r="T826" s="564">
        <f t="shared" si="2555"/>
        <v>11419.67685718708</v>
      </c>
      <c r="U826" s="564">
        <f t="shared" si="2555"/>
        <v>11483.086962229832</v>
      </c>
    </row>
    <row r="827" spans="3:22" hidden="1" outlineLevel="1" x14ac:dyDescent="0.3">
      <c r="C827" s="587" t="str">
        <f t="shared" si="2556"/>
        <v>VA</v>
      </c>
      <c r="E827" s="629" t="s">
        <v>456</v>
      </c>
      <c r="F827" s="604">
        <f>Assumptions!$P$123/100</f>
        <v>0.13819999999999999</v>
      </c>
      <c r="G827" s="564">
        <f t="shared" si="2555"/>
        <v>4730.9672642280775</v>
      </c>
      <c r="H827" s="564">
        <f t="shared" si="2555"/>
        <v>5444.9972571245617</v>
      </c>
      <c r="I827" s="564">
        <f t="shared" si="2555"/>
        <v>5795.4677071016613</v>
      </c>
      <c r="J827" s="564">
        <f t="shared" si="2555"/>
        <v>6160.3675676541925</v>
      </c>
      <c r="K827" s="564">
        <f t="shared" si="2555"/>
        <v>6416.1505874458835</v>
      </c>
      <c r="L827" s="564">
        <f t="shared" si="2555"/>
        <v>6428.64087129974</v>
      </c>
      <c r="M827" s="564">
        <f t="shared" si="2555"/>
        <v>6424.9839166974834</v>
      </c>
      <c r="N827" s="564">
        <f t="shared" si="2555"/>
        <v>6410.7514008595754</v>
      </c>
      <c r="O827" s="564">
        <f t="shared" si="2555"/>
        <v>6497.277216073554</v>
      </c>
      <c r="P827" s="564">
        <f t="shared" si="2555"/>
        <v>6536.03971900121</v>
      </c>
      <c r="Q827" s="564">
        <f t="shared" si="2555"/>
        <v>6576.2082380604261</v>
      </c>
      <c r="R827" s="564">
        <f t="shared" si="2555"/>
        <v>6617.701234530341</v>
      </c>
      <c r="S827" s="564">
        <f t="shared" si="2555"/>
        <v>6660.4381838620502</v>
      </c>
      <c r="T827" s="564">
        <f t="shared" si="2555"/>
        <v>6701.4834040902533</v>
      </c>
      <c r="U827" s="564">
        <f t="shared" si="2555"/>
        <v>6738.6947693425182</v>
      </c>
    </row>
    <row r="828" spans="3:22" hidden="1" outlineLevel="1" x14ac:dyDescent="0.3">
      <c r="C828" s="587" t="str">
        <f t="shared" si="2556"/>
        <v>VA</v>
      </c>
      <c r="E828" s="629" t="s">
        <v>457</v>
      </c>
      <c r="F828" s="584"/>
      <c r="G828" s="564">
        <f t="shared" ref="G828:H828" si="2557">G823-SUM(G824:G827)</f>
        <v>-516.91465766891633</v>
      </c>
      <c r="H828" s="564">
        <f t="shared" si="2557"/>
        <v>-594.93095935296878</v>
      </c>
      <c r="I828" s="564">
        <f t="shared" ref="I828" si="2558">I823-SUM(I824:I827)</f>
        <v>-633.22404035626096</v>
      </c>
      <c r="J828" s="564">
        <f t="shared" ref="J828" si="2559">J823-SUM(J824:J827)</f>
        <v>-673.093706740794</v>
      </c>
      <c r="K828" s="564">
        <f t="shared" ref="K828" si="2560">K823-SUM(K824:K827)</f>
        <v>-701.04105550240638</v>
      </c>
      <c r="L828" s="564">
        <f t="shared" ref="L828" si="2561">L823-SUM(L824:L827)</f>
        <v>-702.40576813766529</v>
      </c>
      <c r="M828" s="564">
        <f t="shared" ref="M828" si="2562">M823-SUM(M824:M827)</f>
        <v>-702.00620218619588</v>
      </c>
      <c r="N828" s="564">
        <f t="shared" ref="N828" si="2563">N823-SUM(N824:N827)</f>
        <v>-700.45112990578491</v>
      </c>
      <c r="O828" s="564">
        <f t="shared" ref="O828" si="2564">O823-SUM(O824:O827)</f>
        <v>-709.90510826852551</v>
      </c>
      <c r="P828" s="564">
        <f t="shared" ref="P828:U828" si="2565">P823-SUM(P824:P827)</f>
        <v>-714.14037450736214</v>
      </c>
      <c r="Q828" s="564">
        <f t="shared" si="2565"/>
        <v>-718.52926479531016</v>
      </c>
      <c r="R828" s="564">
        <f t="shared" si="2565"/>
        <v>-723.06287005360355</v>
      </c>
      <c r="S828" s="564">
        <f t="shared" si="2565"/>
        <v>-727.73239201387332</v>
      </c>
      <c r="T828" s="564">
        <f t="shared" si="2565"/>
        <v>-732.2170723716481</v>
      </c>
      <c r="U828" s="564">
        <f t="shared" si="2565"/>
        <v>-736.28285830008826</v>
      </c>
    </row>
    <row r="829" spans="3:22" hidden="1" outlineLevel="1" collapsed="1" x14ac:dyDescent="0.3">
      <c r="C829" s="587" t="str">
        <f>C828</f>
        <v>VA</v>
      </c>
      <c r="E829" s="629" t="s">
        <v>458</v>
      </c>
      <c r="F829" s="584"/>
      <c r="G829" s="899">
        <f>($H823-Assumptions!$C$69)/Assumptions!$C$69</f>
        <v>0.25296634054024186</v>
      </c>
      <c r="H829" s="899">
        <f>($H823-Assumptions!$C$69)/Assumptions!$C$69</f>
        <v>0.25296634054024186</v>
      </c>
      <c r="I829" s="602">
        <f>(I823-H823)/H823</f>
        <v>6.4365587975002678E-2</v>
      </c>
      <c r="J829" s="602">
        <f t="shared" ref="J829:P829" si="2566">(J823-I823)/I823</f>
        <v>6.2962970202627422E-2</v>
      </c>
      <c r="K829" s="602">
        <f t="shared" si="2566"/>
        <v>4.1520739953036664E-2</v>
      </c>
      <c r="L829" s="602">
        <f t="shared" si="2566"/>
        <v>1.9466943120530738E-3</v>
      </c>
      <c r="M829" s="602">
        <f t="shared" si="2566"/>
        <v>-5.6885345992543663E-4</v>
      </c>
      <c r="N829" s="602">
        <f t="shared" si="2566"/>
        <v>-2.215183107450299E-3</v>
      </c>
      <c r="O829" s="602">
        <f t="shared" si="2566"/>
        <v>1.3496984955987758E-2</v>
      </c>
      <c r="P829" s="602">
        <f t="shared" si="2566"/>
        <v>5.9659610693171021E-3</v>
      </c>
      <c r="Q829" s="602">
        <f t="shared" ref="Q829" si="2567">(Q823-P823)/P823</f>
        <v>6.1456969030406223E-3</v>
      </c>
      <c r="R829" s="602">
        <f t="shared" ref="R829" si="2568">(R823-Q823)/Q823</f>
        <v>6.3095624359596472E-3</v>
      </c>
      <c r="S829" s="602">
        <f t="shared" ref="S829" si="2569">(S823-R823)/R823</f>
        <v>6.457975030470276E-3</v>
      </c>
      <c r="T829" s="602">
        <f t="shared" ref="T829" si="2570">(T823-S823)/S823</f>
        <v>6.1625405258851637E-3</v>
      </c>
      <c r="U829" s="602">
        <f t="shared" ref="U829" si="2571">(U823-T823)/T823</f>
        <v>5.552705723266123E-3</v>
      </c>
    </row>
    <row r="830" spans="3:22" hidden="1" outlineLevel="1" x14ac:dyDescent="0.3">
      <c r="C830" s="587" t="str">
        <f>E830</f>
        <v>Renowave</v>
      </c>
      <c r="E830" s="628" t="str">
        <f>'EE Measures'!$II$6</f>
        <v>Renowave</v>
      </c>
      <c r="F830" s="603">
        <f>SUM(Assumptions!$C$28:$L$28)/SUM(Assumptions!$C$21:$L$21)</f>
        <v>0.8139106330769218</v>
      </c>
      <c r="G830" s="601">
        <f t="shared" ref="G830" si="2572">G758/$F830</f>
        <v>34232.758786020822</v>
      </c>
      <c r="H830" s="601">
        <f t="shared" ref="H830:P830" si="2573">H758/$F830</f>
        <v>39399.401281653852</v>
      </c>
      <c r="I830" s="601">
        <f t="shared" si="2573"/>
        <v>41935.366911010577</v>
      </c>
      <c r="J830" s="601">
        <f t="shared" si="2573"/>
        <v>44545.465440575164</v>
      </c>
      <c r="K830" s="601">
        <f t="shared" si="2573"/>
        <v>47891.858563615169</v>
      </c>
      <c r="L830" s="601">
        <f t="shared" si="2573"/>
        <v>48034.103438557409</v>
      </c>
      <c r="M830" s="601">
        <f t="shared" si="2573"/>
        <v>48056.006969273636</v>
      </c>
      <c r="N830" s="601">
        <f t="shared" si="2573"/>
        <v>47992.867532599907</v>
      </c>
      <c r="O830" s="601">
        <f t="shared" si="2573"/>
        <v>48653.614244152763</v>
      </c>
      <c r="P830" s="601">
        <f t="shared" si="2573"/>
        <v>48971.88099746334</v>
      </c>
      <c r="Q830" s="601">
        <f t="shared" ref="Q830:U830" si="2574">Q758/$F830</f>
        <v>49312.953730361784</v>
      </c>
      <c r="R830" s="601">
        <f t="shared" si="2574"/>
        <v>49664.870063018723</v>
      </c>
      <c r="S830" s="601">
        <f t="shared" si="2574"/>
        <v>50027.06803885672</v>
      </c>
      <c r="T830" s="601">
        <f t="shared" si="2574"/>
        <v>50378.328979652528</v>
      </c>
      <c r="U830" s="601">
        <f t="shared" si="2574"/>
        <v>50703.124121620072</v>
      </c>
      <c r="V830" s="607">
        <f>SUM(G830:P830)</f>
        <v>449713.3241649227</v>
      </c>
    </row>
    <row r="831" spans="3:22" hidden="1" outlineLevel="1" x14ac:dyDescent="0.3">
      <c r="C831" s="587" t="str">
        <f>C830</f>
        <v>Renowave</v>
      </c>
      <c r="E831" s="629" t="s">
        <v>453</v>
      </c>
      <c r="F831" s="604">
        <f>Assumptions!$P$121/100</f>
        <v>0.47789999999999999</v>
      </c>
      <c r="G831" s="564">
        <f t="shared" ref="G831:U834" si="2575">G$830*$F831</f>
        <v>16359.835423839351</v>
      </c>
      <c r="H831" s="564">
        <f t="shared" si="2575"/>
        <v>18828.973872502374</v>
      </c>
      <c r="I831" s="564">
        <f t="shared" si="2575"/>
        <v>20040.911846771953</v>
      </c>
      <c r="J831" s="564">
        <f t="shared" si="2575"/>
        <v>21288.277934050871</v>
      </c>
      <c r="K831" s="564">
        <f t="shared" si="2575"/>
        <v>22887.51920755169</v>
      </c>
      <c r="L831" s="564">
        <f t="shared" si="2575"/>
        <v>22955.498033286585</v>
      </c>
      <c r="M831" s="564">
        <f t="shared" si="2575"/>
        <v>22965.96573061587</v>
      </c>
      <c r="N831" s="564">
        <f t="shared" si="2575"/>
        <v>22935.791393829495</v>
      </c>
      <c r="O831" s="564">
        <f t="shared" si="2575"/>
        <v>23251.562247280606</v>
      </c>
      <c r="P831" s="564">
        <f t="shared" si="2575"/>
        <v>23403.661928687729</v>
      </c>
      <c r="Q831" s="564">
        <f t="shared" si="2575"/>
        <v>23566.660587739894</v>
      </c>
      <c r="R831" s="564">
        <f t="shared" si="2575"/>
        <v>23734.841403116647</v>
      </c>
      <c r="S831" s="564">
        <f t="shared" si="2575"/>
        <v>23907.935815769626</v>
      </c>
      <c r="T831" s="564">
        <f t="shared" si="2575"/>
        <v>24075.803419375941</v>
      </c>
      <c r="U831" s="564">
        <f t="shared" si="2575"/>
        <v>24231.023017722233</v>
      </c>
    </row>
    <row r="832" spans="3:22" hidden="1" outlineLevel="1" x14ac:dyDescent="0.3">
      <c r="C832" s="587" t="str">
        <f>C831</f>
        <v>Renowave</v>
      </c>
      <c r="E832" s="629" t="s">
        <v>454</v>
      </c>
      <c r="F832" s="604">
        <f>Assumptions!$P$122/100</f>
        <v>0.16350000000000001</v>
      </c>
      <c r="G832" s="564">
        <f t="shared" si="2575"/>
        <v>5597.056061514405</v>
      </c>
      <c r="H832" s="564">
        <f t="shared" si="2575"/>
        <v>6441.8021095504055</v>
      </c>
      <c r="I832" s="564">
        <f t="shared" si="2575"/>
        <v>6856.4324899502299</v>
      </c>
      <c r="J832" s="564">
        <f t="shared" si="2575"/>
        <v>7283.1835995340398</v>
      </c>
      <c r="K832" s="564">
        <f t="shared" si="2575"/>
        <v>7830.3188751510806</v>
      </c>
      <c r="L832" s="564">
        <f t="shared" si="2575"/>
        <v>7853.5759122041363</v>
      </c>
      <c r="M832" s="564">
        <f t="shared" si="2575"/>
        <v>7857.1571394762395</v>
      </c>
      <c r="N832" s="564">
        <f t="shared" si="2575"/>
        <v>7846.8338415800854</v>
      </c>
      <c r="O832" s="564">
        <f t="shared" si="2575"/>
        <v>7954.8659289189773</v>
      </c>
      <c r="P832" s="564">
        <f t="shared" si="2575"/>
        <v>8006.9025430852562</v>
      </c>
      <c r="Q832" s="564">
        <f t="shared" si="2575"/>
        <v>8062.6679349141523</v>
      </c>
      <c r="R832" s="564">
        <f t="shared" si="2575"/>
        <v>8120.2062553035612</v>
      </c>
      <c r="S832" s="564">
        <f t="shared" si="2575"/>
        <v>8179.4256243530745</v>
      </c>
      <c r="T832" s="564">
        <f t="shared" si="2575"/>
        <v>8236.8567881731888</v>
      </c>
      <c r="U832" s="564">
        <f t="shared" si="2575"/>
        <v>8289.9607938848822</v>
      </c>
    </row>
    <row r="833" spans="3:22" hidden="1" outlineLevel="1" x14ac:dyDescent="0.3">
      <c r="C833" s="587" t="str">
        <f t="shared" ref="C833:C835" si="2576">C832</f>
        <v>Renowave</v>
      </c>
      <c r="E833" s="629" t="s">
        <v>455</v>
      </c>
      <c r="F833" s="604">
        <f>Assumptions!$P$125/100</f>
        <v>0.23549999999999996</v>
      </c>
      <c r="G833" s="564">
        <f t="shared" si="2575"/>
        <v>8061.8146941079021</v>
      </c>
      <c r="H833" s="564">
        <f t="shared" si="2575"/>
        <v>9278.5590018294806</v>
      </c>
      <c r="I833" s="564">
        <f t="shared" si="2575"/>
        <v>9875.7789075429882</v>
      </c>
      <c r="J833" s="564">
        <f t="shared" si="2575"/>
        <v>10490.457111255449</v>
      </c>
      <c r="K833" s="564">
        <f t="shared" si="2575"/>
        <v>11278.532691731371</v>
      </c>
      <c r="L833" s="564">
        <f t="shared" si="2575"/>
        <v>11312.031359780269</v>
      </c>
      <c r="M833" s="564">
        <f t="shared" si="2575"/>
        <v>11317.18964126394</v>
      </c>
      <c r="N833" s="564">
        <f t="shared" si="2575"/>
        <v>11302.320303927276</v>
      </c>
      <c r="O833" s="564">
        <f t="shared" si="2575"/>
        <v>11457.926154497974</v>
      </c>
      <c r="P833" s="564">
        <f t="shared" si="2575"/>
        <v>11532.877974902614</v>
      </c>
      <c r="Q833" s="564">
        <f t="shared" si="2575"/>
        <v>11613.200603500198</v>
      </c>
      <c r="R833" s="564">
        <f t="shared" si="2575"/>
        <v>11696.076899840908</v>
      </c>
      <c r="S833" s="564">
        <f t="shared" si="2575"/>
        <v>11781.374523150755</v>
      </c>
      <c r="T833" s="564">
        <f t="shared" si="2575"/>
        <v>11864.096474708169</v>
      </c>
      <c r="U833" s="564">
        <f t="shared" si="2575"/>
        <v>11940.585730641526</v>
      </c>
    </row>
    <row r="834" spans="3:22" hidden="1" outlineLevel="1" x14ac:dyDescent="0.3">
      <c r="C834" s="587" t="str">
        <f t="shared" si="2576"/>
        <v>Renowave</v>
      </c>
      <c r="E834" s="629" t="s">
        <v>456</v>
      </c>
      <c r="F834" s="604">
        <f>Assumptions!$P$123/100</f>
        <v>0.13819999999999999</v>
      </c>
      <c r="G834" s="564">
        <f t="shared" si="2575"/>
        <v>4730.9672642280775</v>
      </c>
      <c r="H834" s="564">
        <f t="shared" si="2575"/>
        <v>5444.9972571245617</v>
      </c>
      <c r="I834" s="564">
        <f t="shared" si="2575"/>
        <v>5795.4677071016613</v>
      </c>
      <c r="J834" s="564">
        <f t="shared" si="2575"/>
        <v>6156.1833238874869</v>
      </c>
      <c r="K834" s="564">
        <f t="shared" si="2575"/>
        <v>6618.6548534916155</v>
      </c>
      <c r="L834" s="564">
        <f t="shared" si="2575"/>
        <v>6638.3130952086331</v>
      </c>
      <c r="M834" s="564">
        <f t="shared" si="2575"/>
        <v>6641.3401631536162</v>
      </c>
      <c r="N834" s="564">
        <f t="shared" si="2575"/>
        <v>6632.6142930053065</v>
      </c>
      <c r="O834" s="564">
        <f t="shared" si="2575"/>
        <v>6723.9294885419113</v>
      </c>
      <c r="P834" s="564">
        <f t="shared" si="2575"/>
        <v>6767.9139538494328</v>
      </c>
      <c r="Q834" s="564">
        <f t="shared" si="2575"/>
        <v>6815.0502055359975</v>
      </c>
      <c r="R834" s="564">
        <f t="shared" si="2575"/>
        <v>6863.6850427091867</v>
      </c>
      <c r="S834" s="564">
        <f t="shared" si="2575"/>
        <v>6913.7408029699982</v>
      </c>
      <c r="T834" s="564">
        <f t="shared" si="2575"/>
        <v>6962.2850649879792</v>
      </c>
      <c r="U834" s="564">
        <f t="shared" si="2575"/>
        <v>7007.1717536078932</v>
      </c>
    </row>
    <row r="835" spans="3:22" hidden="1" outlineLevel="1" x14ac:dyDescent="0.3">
      <c r="C835" s="587" t="str">
        <f t="shared" si="2576"/>
        <v>Renowave</v>
      </c>
      <c r="E835" s="629" t="s">
        <v>457</v>
      </c>
      <c r="F835" s="584"/>
      <c r="G835" s="564">
        <f t="shared" ref="G835:H835" si="2577">G830-SUM(G831:G834)</f>
        <v>-516.91465766891633</v>
      </c>
      <c r="H835" s="564">
        <f t="shared" si="2577"/>
        <v>-594.93095935296878</v>
      </c>
      <c r="I835" s="564">
        <f t="shared" ref="I835" si="2578">I830-SUM(I831:I834)</f>
        <v>-633.22404035626096</v>
      </c>
      <c r="J835" s="564">
        <f t="shared" ref="J835" si="2579">J830-SUM(J831:J834)</f>
        <v>-672.6365281526887</v>
      </c>
      <c r="K835" s="564">
        <f t="shared" ref="K835" si="2580">K830-SUM(K831:K834)</f>
        <v>-723.16706431058992</v>
      </c>
      <c r="L835" s="564">
        <f t="shared" ref="L835" si="2581">L830-SUM(L831:L834)</f>
        <v>-725.31496192221675</v>
      </c>
      <c r="M835" s="564">
        <f t="shared" ref="M835" si="2582">M830-SUM(M831:M834)</f>
        <v>-725.6457052360347</v>
      </c>
      <c r="N835" s="564">
        <f t="shared" ref="N835" si="2583">N830-SUM(N831:N834)</f>
        <v>-724.69229974225163</v>
      </c>
      <c r="O835" s="564">
        <f t="shared" ref="O835" si="2584">O830-SUM(O831:O834)</f>
        <v>-734.66957508670748</v>
      </c>
      <c r="P835" s="564">
        <f t="shared" ref="P835:U835" si="2585">P830-SUM(P831:P834)</f>
        <v>-739.47540306169685</v>
      </c>
      <c r="Q835" s="564">
        <f t="shared" si="2585"/>
        <v>-744.62560132845829</v>
      </c>
      <c r="R835" s="564">
        <f t="shared" si="2585"/>
        <v>-749.93953795157722</v>
      </c>
      <c r="S835" s="564">
        <f t="shared" si="2585"/>
        <v>-755.40872738674079</v>
      </c>
      <c r="T835" s="564">
        <f t="shared" si="2585"/>
        <v>-760.7127675927477</v>
      </c>
      <c r="U835" s="564">
        <f t="shared" si="2585"/>
        <v>-765.61717423646041</v>
      </c>
    </row>
    <row r="836" spans="3:22" hidden="1" outlineLevel="1" collapsed="1" x14ac:dyDescent="0.3">
      <c r="C836" s="587" t="str">
        <f>C835</f>
        <v>Renowave</v>
      </c>
      <c r="E836" s="629" t="s">
        <v>458</v>
      </c>
      <c r="F836" s="584"/>
      <c r="G836" s="899">
        <f>($H830-Assumptions!$C$69)/Assumptions!$C$69</f>
        <v>0.25296634054024186</v>
      </c>
      <c r="H836" s="899">
        <f>($H830-Assumptions!$C$69)/Assumptions!$C$69</f>
        <v>0.25296634054024186</v>
      </c>
      <c r="I836" s="602">
        <f>(I830-H830)/H830</f>
        <v>6.4365587975002678E-2</v>
      </c>
      <c r="J836" s="602">
        <f t="shared" ref="J836:P836" si="2586">(J830-I830)/I830</f>
        <v>6.224098468253246E-2</v>
      </c>
      <c r="K836" s="602">
        <f t="shared" si="2586"/>
        <v>7.5123092551455828E-2</v>
      </c>
      <c r="L836" s="602">
        <f t="shared" si="2586"/>
        <v>2.9701264308482629E-3</v>
      </c>
      <c r="M836" s="602">
        <f t="shared" si="2586"/>
        <v>4.5599957422426889E-4</v>
      </c>
      <c r="N836" s="602">
        <f t="shared" si="2586"/>
        <v>-1.3138718893998E-3</v>
      </c>
      <c r="O836" s="602">
        <f t="shared" si="2586"/>
        <v>1.3767602260982502E-2</v>
      </c>
      <c r="P836" s="602">
        <f t="shared" si="2586"/>
        <v>6.541482236313562E-3</v>
      </c>
      <c r="Q836" s="602">
        <f t="shared" ref="Q836" si="2587">(Q830-P830)/P830</f>
        <v>6.9646647413055271E-3</v>
      </c>
      <c r="R836" s="602">
        <f t="shared" ref="R836" si="2588">(R830-Q830)/Q830</f>
        <v>7.1363872174678962E-3</v>
      </c>
      <c r="S836" s="602">
        <f t="shared" ref="S836" si="2589">(S830-R830)/R830</f>
        <v>7.2928405003055705E-3</v>
      </c>
      <c r="T836" s="602">
        <f t="shared" ref="T836" si="2590">(T830-S830)/S830</f>
        <v>7.0214176957757897E-3</v>
      </c>
      <c r="U836" s="602">
        <f t="shared" ref="U836" si="2591">(U830-T830)/T830</f>
        <v>6.4471201912776272E-3</v>
      </c>
    </row>
    <row r="837" spans="3:22" hidden="1" outlineLevel="1" x14ac:dyDescent="0.3">
      <c r="C837" s="587" t="str">
        <f>E837</f>
        <v>EET</v>
      </c>
      <c r="E837" s="628" t="str">
        <f>'EE Measures'!$IJ$6</f>
        <v>EET</v>
      </c>
      <c r="F837" s="603">
        <f>SUM(Assumptions!$C$28:$L$28)/SUM(Assumptions!$C$21:$L$21)</f>
        <v>0.8139106330769218</v>
      </c>
      <c r="G837" s="601">
        <f t="shared" ref="G837" si="2592">G759/$F837</f>
        <v>34546.689586256893</v>
      </c>
      <c r="H837" s="601">
        <f t="shared" ref="H837:P837" si="2593">H759/$F837</f>
        <v>39703.755637507078</v>
      </c>
      <c r="I837" s="601">
        <f t="shared" si="2593"/>
        <v>42160.988539688296</v>
      </c>
      <c r="J837" s="601">
        <f t="shared" si="2593"/>
        <v>45395.679623597774</v>
      </c>
      <c r="K837" s="601">
        <f t="shared" si="2593"/>
        <v>47273.964635588869</v>
      </c>
      <c r="L837" s="601">
        <f t="shared" si="2593"/>
        <v>46866.727811059412</v>
      </c>
      <c r="M837" s="601">
        <f t="shared" si="2593"/>
        <v>46563.042488010484</v>
      </c>
      <c r="N837" s="601">
        <f t="shared" si="2593"/>
        <v>46433.08633950277</v>
      </c>
      <c r="O837" s="601">
        <f t="shared" si="2593"/>
        <v>47048.114637704275</v>
      </c>
      <c r="P837" s="601">
        <f t="shared" si="2593"/>
        <v>47311.18287946182</v>
      </c>
      <c r="Q837" s="601">
        <f t="shared" ref="Q837:U837" si="2594">Q759/$F837</f>
        <v>47559.467778053666</v>
      </c>
      <c r="R837" s="601">
        <f t="shared" si="2594"/>
        <v>47845.594497740356</v>
      </c>
      <c r="S837" s="601">
        <f t="shared" si="2594"/>
        <v>48139.741879396541</v>
      </c>
      <c r="T837" s="601">
        <f t="shared" si="2594"/>
        <v>48420.614130236536</v>
      </c>
      <c r="U837" s="601">
        <f t="shared" si="2594"/>
        <v>48672.652290855985</v>
      </c>
      <c r="V837" s="607">
        <f>SUM(G837:P837)</f>
        <v>443303.23217837769</v>
      </c>
    </row>
    <row r="838" spans="3:22" hidden="1" outlineLevel="1" x14ac:dyDescent="0.3">
      <c r="C838" s="587" t="str">
        <f>C837</f>
        <v>EET</v>
      </c>
      <c r="E838" s="629" t="s">
        <v>453</v>
      </c>
      <c r="F838" s="604">
        <f>Assumptions!$P$121/100</f>
        <v>0.47789999999999999</v>
      </c>
      <c r="G838" s="564">
        <f t="shared" ref="G838:U841" si="2595">G$837*$F838</f>
        <v>16509.862953272168</v>
      </c>
      <c r="H838" s="564">
        <f t="shared" si="2595"/>
        <v>18974.424819164633</v>
      </c>
      <c r="I838" s="564">
        <f t="shared" si="2595"/>
        <v>20148.736423117036</v>
      </c>
      <c r="J838" s="564">
        <f t="shared" si="2595"/>
        <v>21694.595292117378</v>
      </c>
      <c r="K838" s="564">
        <f t="shared" si="2595"/>
        <v>22592.227699347921</v>
      </c>
      <c r="L838" s="564">
        <f t="shared" si="2595"/>
        <v>22397.609220905291</v>
      </c>
      <c r="M838" s="564">
        <f t="shared" si="2595"/>
        <v>22252.47800502021</v>
      </c>
      <c r="N838" s="564">
        <f t="shared" si="2595"/>
        <v>22190.371961648372</v>
      </c>
      <c r="O838" s="564">
        <f t="shared" si="2595"/>
        <v>22484.293985358872</v>
      </c>
      <c r="P838" s="564">
        <f t="shared" si="2595"/>
        <v>22610.014298094804</v>
      </c>
      <c r="Q838" s="564">
        <f t="shared" si="2595"/>
        <v>22728.669651131848</v>
      </c>
      <c r="R838" s="564">
        <f t="shared" si="2595"/>
        <v>22865.409610470117</v>
      </c>
      <c r="S838" s="564">
        <f t="shared" si="2595"/>
        <v>23005.982644163607</v>
      </c>
      <c r="T838" s="564">
        <f t="shared" si="2595"/>
        <v>23140.211492840041</v>
      </c>
      <c r="U838" s="564">
        <f t="shared" si="2595"/>
        <v>23260.660529800076</v>
      </c>
    </row>
    <row r="839" spans="3:22" hidden="1" outlineLevel="1" x14ac:dyDescent="0.3">
      <c r="C839" s="587" t="str">
        <f>C838</f>
        <v>EET</v>
      </c>
      <c r="E839" s="629" t="s">
        <v>454</v>
      </c>
      <c r="F839" s="604">
        <f>Assumptions!$P$122/100</f>
        <v>0.16350000000000001</v>
      </c>
      <c r="G839" s="564">
        <f t="shared" si="2595"/>
        <v>5648.383747353002</v>
      </c>
      <c r="H839" s="564">
        <f t="shared" si="2595"/>
        <v>6491.5640467324074</v>
      </c>
      <c r="I839" s="564">
        <f t="shared" si="2595"/>
        <v>6893.321626239037</v>
      </c>
      <c r="J839" s="564">
        <f t="shared" si="2595"/>
        <v>7422.1936184582364</v>
      </c>
      <c r="K839" s="564">
        <f t="shared" si="2595"/>
        <v>7729.2932179187801</v>
      </c>
      <c r="L839" s="564">
        <f t="shared" si="2595"/>
        <v>7662.7099971082143</v>
      </c>
      <c r="M839" s="564">
        <f t="shared" si="2595"/>
        <v>7613.057446789714</v>
      </c>
      <c r="N839" s="564">
        <f t="shared" si="2595"/>
        <v>7591.8096165087036</v>
      </c>
      <c r="O839" s="564">
        <f t="shared" si="2595"/>
        <v>7692.3667432646489</v>
      </c>
      <c r="P839" s="564">
        <f t="shared" si="2595"/>
        <v>7735.3784007920076</v>
      </c>
      <c r="Q839" s="564">
        <f t="shared" si="2595"/>
        <v>7775.972981711775</v>
      </c>
      <c r="R839" s="564">
        <f t="shared" si="2595"/>
        <v>7822.7547003805485</v>
      </c>
      <c r="S839" s="564">
        <f t="shared" si="2595"/>
        <v>7870.8477972813344</v>
      </c>
      <c r="T839" s="564">
        <f t="shared" si="2595"/>
        <v>7916.7704102936741</v>
      </c>
      <c r="U839" s="564">
        <f t="shared" si="2595"/>
        <v>7957.9786495549542</v>
      </c>
    </row>
    <row r="840" spans="3:22" hidden="1" outlineLevel="1" x14ac:dyDescent="0.3">
      <c r="C840" s="587" t="str">
        <f t="shared" ref="C840:C842" si="2596">C839</f>
        <v>EET</v>
      </c>
      <c r="E840" s="629" t="s">
        <v>455</v>
      </c>
      <c r="F840" s="604">
        <f>Assumptions!$P$125/100</f>
        <v>0.23549999999999996</v>
      </c>
      <c r="G840" s="564">
        <f t="shared" si="2595"/>
        <v>8135.7453975634971</v>
      </c>
      <c r="H840" s="564">
        <f t="shared" si="2595"/>
        <v>9350.2344526329161</v>
      </c>
      <c r="I840" s="564">
        <f t="shared" si="2595"/>
        <v>9928.9128010965924</v>
      </c>
      <c r="J840" s="564">
        <f t="shared" si="2595"/>
        <v>10690.682551357275</v>
      </c>
      <c r="K840" s="564">
        <f t="shared" si="2595"/>
        <v>11133.018671681177</v>
      </c>
      <c r="L840" s="564">
        <f t="shared" si="2595"/>
        <v>11037.114399504489</v>
      </c>
      <c r="M840" s="564">
        <f t="shared" si="2595"/>
        <v>10965.596505926467</v>
      </c>
      <c r="N840" s="564">
        <f t="shared" si="2595"/>
        <v>10934.991832952901</v>
      </c>
      <c r="O840" s="564">
        <f t="shared" si="2595"/>
        <v>11079.830997179355</v>
      </c>
      <c r="P840" s="564">
        <f t="shared" si="2595"/>
        <v>11141.783568113256</v>
      </c>
      <c r="Q840" s="564">
        <f t="shared" si="2595"/>
        <v>11200.254661731637</v>
      </c>
      <c r="R840" s="564">
        <f t="shared" si="2595"/>
        <v>11267.637504217852</v>
      </c>
      <c r="S840" s="564">
        <f t="shared" si="2595"/>
        <v>11336.909212597884</v>
      </c>
      <c r="T840" s="564">
        <f t="shared" si="2595"/>
        <v>11403.054627670703</v>
      </c>
      <c r="U840" s="564">
        <f t="shared" si="2595"/>
        <v>11462.409614496582</v>
      </c>
    </row>
    <row r="841" spans="3:22" hidden="1" outlineLevel="1" x14ac:dyDescent="0.3">
      <c r="C841" s="587" t="str">
        <f t="shared" si="2596"/>
        <v>EET</v>
      </c>
      <c r="E841" s="629" t="s">
        <v>456</v>
      </c>
      <c r="F841" s="604">
        <f>Assumptions!$P$123/100</f>
        <v>0.13819999999999999</v>
      </c>
      <c r="G841" s="564">
        <f t="shared" si="2595"/>
        <v>4774.3525008207025</v>
      </c>
      <c r="H841" s="564">
        <f t="shared" si="2595"/>
        <v>5487.0590291034778</v>
      </c>
      <c r="I841" s="564">
        <f t="shared" si="2595"/>
        <v>5826.6486161849225</v>
      </c>
      <c r="J841" s="564">
        <f t="shared" si="2595"/>
        <v>6273.6829239812123</v>
      </c>
      <c r="K841" s="564">
        <f t="shared" si="2595"/>
        <v>6533.2619126383815</v>
      </c>
      <c r="L841" s="564">
        <f t="shared" si="2595"/>
        <v>6476.9817834884107</v>
      </c>
      <c r="M841" s="564">
        <f t="shared" si="2595"/>
        <v>6435.0124718430479</v>
      </c>
      <c r="N841" s="564">
        <f t="shared" si="2595"/>
        <v>6417.0525321192827</v>
      </c>
      <c r="O841" s="564">
        <f t="shared" si="2595"/>
        <v>6502.04944293073</v>
      </c>
      <c r="P841" s="564">
        <f t="shared" si="2595"/>
        <v>6538.4054739416233</v>
      </c>
      <c r="Q841" s="564">
        <f t="shared" si="2595"/>
        <v>6572.718446927016</v>
      </c>
      <c r="R841" s="564">
        <f t="shared" si="2595"/>
        <v>6612.261159587717</v>
      </c>
      <c r="S841" s="564">
        <f t="shared" si="2595"/>
        <v>6652.9123277326016</v>
      </c>
      <c r="T841" s="564">
        <f t="shared" si="2595"/>
        <v>6691.7288727986888</v>
      </c>
      <c r="U841" s="564">
        <f t="shared" si="2595"/>
        <v>6726.5605465962963</v>
      </c>
    </row>
    <row r="842" spans="3:22" hidden="1" outlineLevel="1" x14ac:dyDescent="0.3">
      <c r="C842" s="587" t="str">
        <f t="shared" si="2596"/>
        <v>EET</v>
      </c>
      <c r="E842" s="629" t="s">
        <v>457</v>
      </c>
      <c r="F842" s="584"/>
      <c r="G842" s="564">
        <f t="shared" ref="G842:H842" si="2597">G837-SUM(G838:G841)</f>
        <v>-521.65501275247516</v>
      </c>
      <c r="H842" s="564">
        <f t="shared" si="2597"/>
        <v>-599.52671012635255</v>
      </c>
      <c r="I842" s="564">
        <f t="shared" ref="I842" si="2598">I837-SUM(I838:I841)</f>
        <v>-636.63092694929219</v>
      </c>
      <c r="J842" s="564">
        <f t="shared" ref="J842" si="2599">J837-SUM(J838:J841)</f>
        <v>-685.47476231632754</v>
      </c>
      <c r="K842" s="564">
        <f t="shared" ref="K842" si="2600">K837-SUM(K838:K841)</f>
        <v>-713.83686599739303</v>
      </c>
      <c r="L842" s="564">
        <f t="shared" ref="L842" si="2601">L837-SUM(L838:L841)</f>
        <v>-707.68758994698874</v>
      </c>
      <c r="M842" s="564">
        <f t="shared" ref="M842" si="2602">M837-SUM(M838:M841)</f>
        <v>-703.10194156895159</v>
      </c>
      <c r="N842" s="564">
        <f t="shared" ref="N842" si="2603">N837-SUM(N838:N841)</f>
        <v>-701.13960372649308</v>
      </c>
      <c r="O842" s="564">
        <f t="shared" ref="O842" si="2604">O837-SUM(O838:O841)</f>
        <v>-710.426531029334</v>
      </c>
      <c r="P842" s="564">
        <f t="shared" ref="P842:U842" si="2605">P837-SUM(P838:P841)</f>
        <v>-714.39886147987272</v>
      </c>
      <c r="Q842" s="564">
        <f t="shared" si="2605"/>
        <v>-718.14796344860952</v>
      </c>
      <c r="R842" s="564">
        <f t="shared" si="2605"/>
        <v>-722.46847691587755</v>
      </c>
      <c r="S842" s="564">
        <f t="shared" si="2605"/>
        <v>-726.91010237888258</v>
      </c>
      <c r="T842" s="564">
        <f t="shared" si="2605"/>
        <v>-731.15127336656587</v>
      </c>
      <c r="U842" s="564">
        <f t="shared" si="2605"/>
        <v>-734.95704959191789</v>
      </c>
    </row>
    <row r="843" spans="3:22" hidden="1" outlineLevel="1" collapsed="1" x14ac:dyDescent="0.3">
      <c r="C843" s="587" t="str">
        <f>C842</f>
        <v>EET</v>
      </c>
      <c r="E843" s="629" t="s">
        <v>458</v>
      </c>
      <c r="F843" s="584"/>
      <c r="G843" s="899">
        <f>($H837-Assumptions!$C$69)/Assumptions!$C$69</f>
        <v>0.26264531410521502</v>
      </c>
      <c r="H843" s="899">
        <f>($H837-Assumptions!$C$69)/Assumptions!$C$69</f>
        <v>0.26264531410521502</v>
      </c>
      <c r="I843" s="602">
        <f>(I837-H837)/H837</f>
        <v>6.1889180575651542E-2</v>
      </c>
      <c r="J843" s="602">
        <f t="shared" ref="J843:P843" si="2606">(J837-I837)/I837</f>
        <v>7.6722372884224427E-2</v>
      </c>
      <c r="K843" s="602">
        <f t="shared" si="2606"/>
        <v>4.1375853992385574E-2</v>
      </c>
      <c r="L843" s="602">
        <f t="shared" si="2606"/>
        <v>-8.6143996525072444E-3</v>
      </c>
      <c r="M843" s="602">
        <f t="shared" si="2606"/>
        <v>-6.4797637307477292E-3</v>
      </c>
      <c r="N843" s="602">
        <f t="shared" si="2606"/>
        <v>-2.7909720147942696E-3</v>
      </c>
      <c r="O843" s="602">
        <f t="shared" si="2606"/>
        <v>1.3245475299759951E-2</v>
      </c>
      <c r="P843" s="602">
        <f t="shared" si="2606"/>
        <v>5.5914725549219358E-3</v>
      </c>
      <c r="Q843" s="602">
        <f t="shared" ref="Q843" si="2607">(Q837-P837)/P837</f>
        <v>5.2479114551927395E-3</v>
      </c>
      <c r="R843" s="602">
        <f t="shared" ref="R843" si="2608">(R837-Q837)/Q837</f>
        <v>6.0161884279689836E-3</v>
      </c>
      <c r="S843" s="602">
        <f t="shared" ref="S843" si="2609">(S837-R837)/R837</f>
        <v>6.1478467295474131E-3</v>
      </c>
      <c r="T843" s="602">
        <f t="shared" ref="T843" si="2610">(T837-S837)/S837</f>
        <v>5.8345192532119989E-3</v>
      </c>
      <c r="U843" s="602">
        <f t="shared" ref="U843" si="2611">(U837-T837)/T837</f>
        <v>5.2051830640054385E-3</v>
      </c>
    </row>
    <row r="844" spans="3:22" hidden="1" outlineLevel="1" x14ac:dyDescent="0.3">
      <c r="C844" s="587" t="str">
        <f>E844</f>
        <v>CEER1</v>
      </c>
      <c r="E844" s="628" t="str">
        <f>'EE Measures'!$IK$6</f>
        <v>CEER1</v>
      </c>
      <c r="F844" s="603">
        <f>SUM(Assumptions!$C$28:$L$28)/SUM(Assumptions!$C$21:$L$21)</f>
        <v>0.8139106330769218</v>
      </c>
      <c r="G844" s="601">
        <f t="shared" ref="G844" si="2612">G760/$F844</f>
        <v>34444.712788526384</v>
      </c>
      <c r="H844" s="601">
        <f t="shared" ref="H844:P844" si="2613">H760/$F844</f>
        <v>39530.517944976928</v>
      </c>
      <c r="I844" s="601">
        <f t="shared" si="2613"/>
        <v>42038.124927964782</v>
      </c>
      <c r="J844" s="601">
        <f t="shared" si="2613"/>
        <v>44879.652454359028</v>
      </c>
      <c r="K844" s="601">
        <f t="shared" si="2613"/>
        <v>46981.664291203379</v>
      </c>
      <c r="L844" s="601">
        <f t="shared" si="2613"/>
        <v>46867.967329868436</v>
      </c>
      <c r="M844" s="601">
        <f t="shared" si="2613"/>
        <v>46759.855852220368</v>
      </c>
      <c r="N844" s="601">
        <f t="shared" si="2613"/>
        <v>46643.955758903146</v>
      </c>
      <c r="O844" s="601">
        <f t="shared" si="2613"/>
        <v>47277.948062566247</v>
      </c>
      <c r="P844" s="601">
        <f t="shared" si="2613"/>
        <v>47559.401021286394</v>
      </c>
      <c r="Q844" s="601">
        <f t="shared" ref="Q844:U844" si="2614">Q760/$F844</f>
        <v>47841.423042318995</v>
      </c>
      <c r="R844" s="601">
        <f t="shared" si="2614"/>
        <v>48148.157565018184</v>
      </c>
      <c r="S844" s="601">
        <f t="shared" si="2614"/>
        <v>48463.936468697219</v>
      </c>
      <c r="T844" s="601">
        <f t="shared" si="2614"/>
        <v>48767.512434690907</v>
      </c>
      <c r="U844" s="601">
        <f t="shared" si="2614"/>
        <v>49043.353722485008</v>
      </c>
      <c r="V844" s="607">
        <f>SUM(G844:P844)</f>
        <v>442983.80043187505</v>
      </c>
    </row>
    <row r="845" spans="3:22" hidden="1" outlineLevel="1" x14ac:dyDescent="0.3">
      <c r="C845" s="587" t="str">
        <f>C844</f>
        <v>CEER1</v>
      </c>
      <c r="E845" s="629" t="s">
        <v>453</v>
      </c>
      <c r="F845" s="604">
        <f>Assumptions!$P$121/100</f>
        <v>0.47789999999999999</v>
      </c>
      <c r="G845" s="564">
        <f t="shared" ref="G845:U848" si="2615">G$844*$F845</f>
        <v>16461.128241636758</v>
      </c>
      <c r="H845" s="564">
        <f t="shared" si="2615"/>
        <v>18891.634525904472</v>
      </c>
      <c r="I845" s="564">
        <f t="shared" si="2615"/>
        <v>20090.019903074368</v>
      </c>
      <c r="J845" s="564">
        <f t="shared" si="2615"/>
        <v>21447.985907938179</v>
      </c>
      <c r="K845" s="564">
        <f t="shared" si="2615"/>
        <v>22452.537364766093</v>
      </c>
      <c r="L845" s="564">
        <f t="shared" si="2615"/>
        <v>22398.201586944124</v>
      </c>
      <c r="M845" s="564">
        <f t="shared" si="2615"/>
        <v>22346.535111776113</v>
      </c>
      <c r="N845" s="564">
        <f t="shared" si="2615"/>
        <v>22291.146457179813</v>
      </c>
      <c r="O845" s="564">
        <f t="shared" si="2615"/>
        <v>22594.13137910041</v>
      </c>
      <c r="P845" s="564">
        <f t="shared" si="2615"/>
        <v>22728.637748072768</v>
      </c>
      <c r="Q845" s="564">
        <f t="shared" si="2615"/>
        <v>22863.416071924246</v>
      </c>
      <c r="R845" s="564">
        <f t="shared" si="2615"/>
        <v>23010.004500322189</v>
      </c>
      <c r="S845" s="564">
        <f t="shared" si="2615"/>
        <v>23160.9152383904</v>
      </c>
      <c r="T845" s="564">
        <f t="shared" si="2615"/>
        <v>23305.994192538783</v>
      </c>
      <c r="U845" s="564">
        <f t="shared" si="2615"/>
        <v>23437.818743975586</v>
      </c>
    </row>
    <row r="846" spans="3:22" hidden="1" outlineLevel="1" x14ac:dyDescent="0.3">
      <c r="C846" s="587" t="str">
        <f>C845</f>
        <v>CEER1</v>
      </c>
      <c r="E846" s="629" t="s">
        <v>454</v>
      </c>
      <c r="F846" s="604">
        <f>Assumptions!$P$122/100</f>
        <v>0.16350000000000001</v>
      </c>
      <c r="G846" s="564">
        <f t="shared" si="2615"/>
        <v>5631.7105409240639</v>
      </c>
      <c r="H846" s="564">
        <f t="shared" si="2615"/>
        <v>6463.2396840037281</v>
      </c>
      <c r="I846" s="564">
        <f t="shared" si="2615"/>
        <v>6873.2334257222419</v>
      </c>
      <c r="J846" s="564">
        <f t="shared" si="2615"/>
        <v>7337.8231762877012</v>
      </c>
      <c r="K846" s="564">
        <f t="shared" si="2615"/>
        <v>7681.5021116117523</v>
      </c>
      <c r="L846" s="564">
        <f t="shared" si="2615"/>
        <v>7662.9126584334899</v>
      </c>
      <c r="M846" s="564">
        <f t="shared" si="2615"/>
        <v>7645.2364318380305</v>
      </c>
      <c r="N846" s="564">
        <f t="shared" si="2615"/>
        <v>7626.2867665806643</v>
      </c>
      <c r="O846" s="564">
        <f t="shared" si="2615"/>
        <v>7729.9445082295815</v>
      </c>
      <c r="P846" s="564">
        <f t="shared" si="2615"/>
        <v>7775.9620669803253</v>
      </c>
      <c r="Q846" s="564">
        <f t="shared" si="2615"/>
        <v>7822.0726674191556</v>
      </c>
      <c r="R846" s="564">
        <f t="shared" si="2615"/>
        <v>7872.2237618804738</v>
      </c>
      <c r="S846" s="564">
        <f t="shared" si="2615"/>
        <v>7923.8536126319959</v>
      </c>
      <c r="T846" s="564">
        <f t="shared" si="2615"/>
        <v>7973.4882830719635</v>
      </c>
      <c r="U846" s="564">
        <f t="shared" si="2615"/>
        <v>8018.5883336262987</v>
      </c>
    </row>
    <row r="847" spans="3:22" hidden="1" outlineLevel="1" x14ac:dyDescent="0.3">
      <c r="C847" s="587" t="str">
        <f t="shared" ref="C847:C849" si="2616">C846</f>
        <v>CEER1</v>
      </c>
      <c r="E847" s="629" t="s">
        <v>455</v>
      </c>
      <c r="F847" s="604">
        <f>Assumptions!$P$125/100</f>
        <v>0.23549999999999996</v>
      </c>
      <c r="G847" s="564">
        <f t="shared" si="2615"/>
        <v>8111.7298616979615</v>
      </c>
      <c r="H847" s="564">
        <f t="shared" si="2615"/>
        <v>9309.436976042065</v>
      </c>
      <c r="I847" s="564">
        <f t="shared" si="2615"/>
        <v>9899.9784205357046</v>
      </c>
      <c r="J847" s="564">
        <f t="shared" si="2615"/>
        <v>10569.158153001548</v>
      </c>
      <c r="K847" s="564">
        <f t="shared" si="2615"/>
        <v>11064.181940578394</v>
      </c>
      <c r="L847" s="564">
        <f t="shared" si="2615"/>
        <v>11037.406306184015</v>
      </c>
      <c r="M847" s="564">
        <f t="shared" si="2615"/>
        <v>11011.946053197895</v>
      </c>
      <c r="N847" s="564">
        <f t="shared" si="2615"/>
        <v>10984.651581221689</v>
      </c>
      <c r="O847" s="564">
        <f t="shared" si="2615"/>
        <v>11133.95676873435</v>
      </c>
      <c r="P847" s="564">
        <f t="shared" si="2615"/>
        <v>11200.238940512943</v>
      </c>
      <c r="Q847" s="564">
        <f t="shared" si="2615"/>
        <v>11266.655126466121</v>
      </c>
      <c r="R847" s="564">
        <f t="shared" si="2615"/>
        <v>11338.891106561781</v>
      </c>
      <c r="S847" s="564">
        <f t="shared" si="2615"/>
        <v>11413.257038378193</v>
      </c>
      <c r="T847" s="564">
        <f t="shared" si="2615"/>
        <v>11484.749178369706</v>
      </c>
      <c r="U847" s="564">
        <f t="shared" si="2615"/>
        <v>11549.709801645218</v>
      </c>
    </row>
    <row r="848" spans="3:22" hidden="1" outlineLevel="1" x14ac:dyDescent="0.3">
      <c r="C848" s="587" t="str">
        <f t="shared" si="2616"/>
        <v>CEER1</v>
      </c>
      <c r="E848" s="629" t="s">
        <v>456</v>
      </c>
      <c r="F848" s="604">
        <f>Assumptions!$P$123/100</f>
        <v>0.13819999999999999</v>
      </c>
      <c r="G848" s="564">
        <f t="shared" si="2615"/>
        <v>4760.2593073743456</v>
      </c>
      <c r="H848" s="564">
        <f t="shared" si="2615"/>
        <v>5463.117579995811</v>
      </c>
      <c r="I848" s="564">
        <f t="shared" si="2615"/>
        <v>5809.6688650447322</v>
      </c>
      <c r="J848" s="564">
        <f t="shared" si="2615"/>
        <v>6202.3679691924171</v>
      </c>
      <c r="K848" s="564">
        <f t="shared" si="2615"/>
        <v>6492.8660050443068</v>
      </c>
      <c r="L848" s="564">
        <f t="shared" si="2615"/>
        <v>6477.1530849878172</v>
      </c>
      <c r="M848" s="564">
        <f t="shared" si="2615"/>
        <v>6462.2120787768545</v>
      </c>
      <c r="N848" s="564">
        <f t="shared" si="2615"/>
        <v>6446.194685880414</v>
      </c>
      <c r="O848" s="564">
        <f t="shared" si="2615"/>
        <v>6533.8124222466549</v>
      </c>
      <c r="P848" s="564">
        <f t="shared" si="2615"/>
        <v>6572.7092211417794</v>
      </c>
      <c r="Q848" s="564">
        <f t="shared" si="2615"/>
        <v>6611.6846644484849</v>
      </c>
      <c r="R848" s="564">
        <f t="shared" si="2615"/>
        <v>6654.0753754855123</v>
      </c>
      <c r="S848" s="564">
        <f t="shared" si="2615"/>
        <v>6697.7160199739546</v>
      </c>
      <c r="T848" s="564">
        <f t="shared" si="2615"/>
        <v>6739.6702184742826</v>
      </c>
      <c r="U848" s="564">
        <f t="shared" si="2615"/>
        <v>6777.7914844474271</v>
      </c>
    </row>
    <row r="849" spans="2:60" hidden="1" outlineLevel="1" x14ac:dyDescent="0.3">
      <c r="C849" s="587" t="str">
        <f t="shared" si="2616"/>
        <v>CEER1</v>
      </c>
      <c r="E849" s="629" t="s">
        <v>457</v>
      </c>
      <c r="F849" s="584"/>
      <c r="G849" s="564">
        <f t="shared" ref="G849:H849" si="2617">G844-SUM(G845:G848)</f>
        <v>-520.11516310674779</v>
      </c>
      <c r="H849" s="564">
        <f t="shared" si="2617"/>
        <v>-596.91082096915488</v>
      </c>
      <c r="I849" s="564">
        <f t="shared" ref="I849" si="2618">I844-SUM(I845:I848)</f>
        <v>-634.77568641226389</v>
      </c>
      <c r="J849" s="564">
        <f t="shared" ref="J849" si="2619">J844-SUM(J845:J848)</f>
        <v>-677.68275206082035</v>
      </c>
      <c r="K849" s="564">
        <f t="shared" ref="K849" si="2620">K844-SUM(K845:K848)</f>
        <v>-709.42313079716405</v>
      </c>
      <c r="L849" s="564">
        <f t="shared" ref="L849" si="2621">L844-SUM(L845:L848)</f>
        <v>-707.70630668100785</v>
      </c>
      <c r="M849" s="564">
        <f t="shared" ref="M849" si="2622">M844-SUM(M845:M848)</f>
        <v>-706.07382336852606</v>
      </c>
      <c r="N849" s="564">
        <f t="shared" ref="N849" si="2623">N844-SUM(N845:N848)</f>
        <v>-704.32373195943364</v>
      </c>
      <c r="O849" s="564">
        <f t="shared" ref="O849" si="2624">O844-SUM(O845:O848)</f>
        <v>-713.89701574475475</v>
      </c>
      <c r="P849" s="564">
        <f t="shared" ref="P849:U849" si="2625">P844-SUM(P845:P848)</f>
        <v>-718.14695542141999</v>
      </c>
      <c r="Q849" s="564">
        <f t="shared" si="2625"/>
        <v>-722.40548793901689</v>
      </c>
      <c r="R849" s="564">
        <f t="shared" si="2625"/>
        <v>-727.03717923176737</v>
      </c>
      <c r="S849" s="564">
        <f t="shared" si="2625"/>
        <v>-731.80544067732262</v>
      </c>
      <c r="T849" s="564">
        <f t="shared" si="2625"/>
        <v>-736.38943776382803</v>
      </c>
      <c r="U849" s="564">
        <f t="shared" si="2625"/>
        <v>-740.55464120952092</v>
      </c>
    </row>
    <row r="850" spans="2:60" hidden="1" outlineLevel="1" collapsed="1" x14ac:dyDescent="0.3">
      <c r="C850" s="587" t="str">
        <f>C849</f>
        <v>CEER1</v>
      </c>
      <c r="E850" s="629" t="s">
        <v>458</v>
      </c>
      <c r="F850" s="584"/>
      <c r="G850" s="899">
        <f>($H844-Assumptions!$C$69)/Assumptions!$C$69</f>
        <v>0.25713606801029504</v>
      </c>
      <c r="H850" s="899">
        <f>($H844-Assumptions!$C$69)/Assumptions!$C$69</f>
        <v>0.25713606801029504</v>
      </c>
      <c r="I850" s="602">
        <f>(I844-H844)/H844</f>
        <v>6.3434711037134064E-2</v>
      </c>
      <c r="J850" s="602">
        <f t="shared" ref="J850:P850" si="2626">(J844-I844)/I844</f>
        <v>6.7594059708024526E-2</v>
      </c>
      <c r="K850" s="602">
        <f t="shared" si="2626"/>
        <v>4.6836633572018421E-2</v>
      </c>
      <c r="L850" s="602">
        <f t="shared" si="2626"/>
        <v>-2.42002838873954E-3</v>
      </c>
      <c r="M850" s="602">
        <f t="shared" si="2626"/>
        <v>-2.3067242683505471E-3</v>
      </c>
      <c r="N850" s="602">
        <f t="shared" si="2626"/>
        <v>-2.4786238367267674E-3</v>
      </c>
      <c r="O850" s="602">
        <f t="shared" si="2626"/>
        <v>1.3592164158205808E-2</v>
      </c>
      <c r="P850" s="602">
        <f t="shared" si="2626"/>
        <v>5.953155123138599E-3</v>
      </c>
      <c r="Q850" s="602">
        <f t="shared" ref="Q850" si="2627">(Q844-P844)/P844</f>
        <v>5.9298900948389702E-3</v>
      </c>
      <c r="R850" s="602">
        <f t="shared" ref="R850" si="2628">(R844-Q844)/Q844</f>
        <v>6.4114840904264427E-3</v>
      </c>
      <c r="S850" s="602">
        <f t="shared" ref="S850" si="2629">(S844-R844)/R844</f>
        <v>6.5584836398488115E-3</v>
      </c>
      <c r="T850" s="602">
        <f t="shared" ref="T850" si="2630">(T844-S844)/S844</f>
        <v>6.2639560075720985E-3</v>
      </c>
      <c r="U850" s="602">
        <f t="shared" ref="U850" si="2631">(U844-T844)/T844</f>
        <v>5.6562509347489387E-3</v>
      </c>
    </row>
    <row r="851" spans="2:60" hidden="1" outlineLevel="1" x14ac:dyDescent="0.3">
      <c r="C851" s="587" t="str">
        <f>E851</f>
        <v>CEER2</v>
      </c>
      <c r="E851" s="628" t="str">
        <f>'EE Measures'!$IL$6</f>
        <v>CEER2</v>
      </c>
      <c r="F851" s="603">
        <f>SUM(Assumptions!$C$28:$L$28)/SUM(Assumptions!$C$21:$L$21)</f>
        <v>0.8139106330769218</v>
      </c>
      <c r="G851" s="601">
        <f t="shared" ref="G851" si="2632">G761/$F851</f>
        <v>34444.712788526384</v>
      </c>
      <c r="H851" s="601">
        <f t="shared" ref="H851:P851" si="2633">H761/$F851</f>
        <v>39530.517944976928</v>
      </c>
      <c r="I851" s="601">
        <f t="shared" si="2633"/>
        <v>42038.124927964782</v>
      </c>
      <c r="J851" s="601">
        <f t="shared" si="2633"/>
        <v>44879.652454359028</v>
      </c>
      <c r="K851" s="601">
        <f t="shared" si="2633"/>
        <v>47947.791293952774</v>
      </c>
      <c r="L851" s="601">
        <f t="shared" si="2633"/>
        <v>47872.270990177014</v>
      </c>
      <c r="M851" s="601">
        <f t="shared" si="2633"/>
        <v>47805.727698957497</v>
      </c>
      <c r="N851" s="601">
        <f t="shared" si="2633"/>
        <v>47739.026085353013</v>
      </c>
      <c r="O851" s="601">
        <f t="shared" si="2633"/>
        <v>48425.901787224007</v>
      </c>
      <c r="P851" s="601">
        <f t="shared" si="2633"/>
        <v>48761.21044455815</v>
      </c>
      <c r="Q851" s="601">
        <f t="shared" ref="Q851:U851" si="2634">Q761/$F851</f>
        <v>49072.648622373599</v>
      </c>
      <c r="R851" s="601">
        <f t="shared" si="2634"/>
        <v>49424.40561328084</v>
      </c>
      <c r="S851" s="601">
        <f t="shared" si="2634"/>
        <v>49786.764378703185</v>
      </c>
      <c r="T851" s="601">
        <f t="shared" si="2634"/>
        <v>50138.534501555769</v>
      </c>
      <c r="U851" s="601">
        <f t="shared" si="2634"/>
        <v>50464.247562980439</v>
      </c>
      <c r="V851" s="607">
        <f>SUM(G851:P851)</f>
        <v>449444.93641604949</v>
      </c>
    </row>
    <row r="852" spans="2:60" hidden="1" outlineLevel="1" x14ac:dyDescent="0.3">
      <c r="C852" s="587" t="str">
        <f>C851</f>
        <v>CEER2</v>
      </c>
      <c r="E852" s="629" t="s">
        <v>453</v>
      </c>
      <c r="F852" s="604">
        <f>Assumptions!$P$121/100</f>
        <v>0.47789999999999999</v>
      </c>
      <c r="G852" s="564">
        <f t="shared" ref="G852:U855" si="2635">G$851*$F852</f>
        <v>16461.128241636758</v>
      </c>
      <c r="H852" s="564">
        <f t="shared" si="2635"/>
        <v>18891.634525904472</v>
      </c>
      <c r="I852" s="564">
        <f t="shared" si="2635"/>
        <v>20090.019903074368</v>
      </c>
      <c r="J852" s="564">
        <f t="shared" si="2635"/>
        <v>21447.985907938179</v>
      </c>
      <c r="K852" s="564">
        <f t="shared" si="2635"/>
        <v>22914.249459380029</v>
      </c>
      <c r="L852" s="564">
        <f t="shared" si="2635"/>
        <v>22878.158306205594</v>
      </c>
      <c r="M852" s="564">
        <f t="shared" si="2635"/>
        <v>22846.357267331787</v>
      </c>
      <c r="N852" s="564">
        <f t="shared" si="2635"/>
        <v>22814.480566190203</v>
      </c>
      <c r="O852" s="564">
        <f t="shared" si="2635"/>
        <v>23142.738464114354</v>
      </c>
      <c r="P852" s="564">
        <f t="shared" si="2635"/>
        <v>23302.982471454339</v>
      </c>
      <c r="Q852" s="564">
        <f t="shared" si="2635"/>
        <v>23451.818776632343</v>
      </c>
      <c r="R852" s="564">
        <f t="shared" si="2635"/>
        <v>23619.923442586914</v>
      </c>
      <c r="S852" s="564">
        <f t="shared" si="2635"/>
        <v>23793.094696582251</v>
      </c>
      <c r="T852" s="564">
        <f t="shared" si="2635"/>
        <v>23961.205638293501</v>
      </c>
      <c r="U852" s="564">
        <f t="shared" si="2635"/>
        <v>24116.863910348351</v>
      </c>
    </row>
    <row r="853" spans="2:60" hidden="1" outlineLevel="1" x14ac:dyDescent="0.3">
      <c r="C853" s="587" t="str">
        <f>C852</f>
        <v>CEER2</v>
      </c>
      <c r="E853" s="629" t="s">
        <v>454</v>
      </c>
      <c r="F853" s="604">
        <f>Assumptions!$P$122/100</f>
        <v>0.16350000000000001</v>
      </c>
      <c r="G853" s="564">
        <f t="shared" si="2635"/>
        <v>5631.7105409240639</v>
      </c>
      <c r="H853" s="564">
        <f t="shared" si="2635"/>
        <v>6463.2396840037281</v>
      </c>
      <c r="I853" s="564">
        <f t="shared" si="2635"/>
        <v>6873.2334257222419</v>
      </c>
      <c r="J853" s="564">
        <f t="shared" si="2635"/>
        <v>7337.8231762877012</v>
      </c>
      <c r="K853" s="564">
        <f t="shared" si="2635"/>
        <v>7839.463876561279</v>
      </c>
      <c r="L853" s="564">
        <f t="shared" si="2635"/>
        <v>7827.1163068939422</v>
      </c>
      <c r="M853" s="564">
        <f t="shared" si="2635"/>
        <v>7816.2364787795514</v>
      </c>
      <c r="N853" s="564">
        <f t="shared" si="2635"/>
        <v>7805.330764955218</v>
      </c>
      <c r="O853" s="564">
        <f t="shared" si="2635"/>
        <v>7917.6349422111252</v>
      </c>
      <c r="P853" s="564">
        <f t="shared" si="2635"/>
        <v>7972.4579076852579</v>
      </c>
      <c r="Q853" s="564">
        <f t="shared" si="2635"/>
        <v>8023.3780497580838</v>
      </c>
      <c r="R853" s="564">
        <f t="shared" si="2635"/>
        <v>8080.8903177714174</v>
      </c>
      <c r="S853" s="564">
        <f t="shared" si="2635"/>
        <v>8140.1359759179713</v>
      </c>
      <c r="T853" s="564">
        <f t="shared" si="2635"/>
        <v>8197.6503910043684</v>
      </c>
      <c r="U853" s="564">
        <f t="shared" si="2635"/>
        <v>8250.9044765473027</v>
      </c>
    </row>
    <row r="854" spans="2:60" hidden="1" outlineLevel="1" x14ac:dyDescent="0.3">
      <c r="C854" s="587" t="str">
        <f t="shared" ref="C854:C856" si="2636">C853</f>
        <v>CEER2</v>
      </c>
      <c r="E854" s="629" t="s">
        <v>455</v>
      </c>
      <c r="F854" s="604">
        <f>Assumptions!$P$125/100</f>
        <v>0.23549999999999996</v>
      </c>
      <c r="G854" s="564">
        <f t="shared" si="2635"/>
        <v>8111.7298616979615</v>
      </c>
      <c r="H854" s="564">
        <f t="shared" si="2635"/>
        <v>9309.436976042065</v>
      </c>
      <c r="I854" s="564">
        <f t="shared" si="2635"/>
        <v>9899.9784205357046</v>
      </c>
      <c r="J854" s="564">
        <f t="shared" si="2635"/>
        <v>10569.158153001548</v>
      </c>
      <c r="K854" s="564">
        <f t="shared" si="2635"/>
        <v>11291.704849725877</v>
      </c>
      <c r="L854" s="564">
        <f t="shared" si="2635"/>
        <v>11273.919818186685</v>
      </c>
      <c r="M854" s="564">
        <f t="shared" si="2635"/>
        <v>11258.248873104489</v>
      </c>
      <c r="N854" s="564">
        <f t="shared" si="2635"/>
        <v>11242.540643100632</v>
      </c>
      <c r="O854" s="564">
        <f t="shared" si="2635"/>
        <v>11404.299870891251</v>
      </c>
      <c r="P854" s="564">
        <f t="shared" si="2635"/>
        <v>11483.265059693442</v>
      </c>
      <c r="Q854" s="564">
        <f t="shared" si="2635"/>
        <v>11556.608750568981</v>
      </c>
      <c r="R854" s="564">
        <f t="shared" si="2635"/>
        <v>11639.447521927636</v>
      </c>
      <c r="S854" s="564">
        <f t="shared" si="2635"/>
        <v>11724.783011184598</v>
      </c>
      <c r="T854" s="564">
        <f t="shared" si="2635"/>
        <v>11807.624875116382</v>
      </c>
      <c r="U854" s="564">
        <f t="shared" si="2635"/>
        <v>11884.330301081891</v>
      </c>
    </row>
    <row r="855" spans="2:60" hidden="1" outlineLevel="1" x14ac:dyDescent="0.3">
      <c r="C855" s="587" t="str">
        <f t="shared" si="2636"/>
        <v>CEER2</v>
      </c>
      <c r="E855" s="629" t="s">
        <v>456</v>
      </c>
      <c r="F855" s="604">
        <f>Assumptions!$P$123/100</f>
        <v>0.13819999999999999</v>
      </c>
      <c r="G855" s="564">
        <f t="shared" si="2635"/>
        <v>4760.2593073743456</v>
      </c>
      <c r="H855" s="564">
        <f t="shared" si="2635"/>
        <v>5463.117579995811</v>
      </c>
      <c r="I855" s="564">
        <f t="shared" si="2635"/>
        <v>5809.6688650447322</v>
      </c>
      <c r="J855" s="564">
        <f t="shared" si="2635"/>
        <v>6202.3679691924171</v>
      </c>
      <c r="K855" s="564">
        <f t="shared" si="2635"/>
        <v>6626.3847568242727</v>
      </c>
      <c r="L855" s="564">
        <f t="shared" si="2635"/>
        <v>6615.9478508424627</v>
      </c>
      <c r="M855" s="564">
        <f t="shared" si="2635"/>
        <v>6606.7515679959251</v>
      </c>
      <c r="N855" s="564">
        <f t="shared" si="2635"/>
        <v>6597.5334049957855</v>
      </c>
      <c r="O855" s="564">
        <f t="shared" si="2635"/>
        <v>6692.4596269943577</v>
      </c>
      <c r="P855" s="564">
        <f t="shared" si="2635"/>
        <v>6738.7992834379356</v>
      </c>
      <c r="Q855" s="564">
        <f t="shared" si="2635"/>
        <v>6781.8400396120305</v>
      </c>
      <c r="R855" s="564">
        <f t="shared" si="2635"/>
        <v>6830.4528557554113</v>
      </c>
      <c r="S855" s="564">
        <f t="shared" si="2635"/>
        <v>6880.5308371367801</v>
      </c>
      <c r="T855" s="564">
        <f t="shared" si="2635"/>
        <v>6929.1454681150071</v>
      </c>
      <c r="U855" s="564">
        <f t="shared" si="2635"/>
        <v>6974.1590132038964</v>
      </c>
    </row>
    <row r="856" spans="2:60" hidden="1" outlineLevel="1" x14ac:dyDescent="0.3">
      <c r="C856" s="587" t="str">
        <f t="shared" si="2636"/>
        <v>CEER2</v>
      </c>
      <c r="E856" s="629" t="s">
        <v>457</v>
      </c>
      <c r="F856" s="584"/>
      <c r="G856" s="564">
        <f t="shared" ref="G856:H856" si="2637">G851-SUM(G852:G855)</f>
        <v>-520.11516310674779</v>
      </c>
      <c r="H856" s="564">
        <f t="shared" si="2637"/>
        <v>-596.91082096915488</v>
      </c>
      <c r="I856" s="564">
        <f t="shared" ref="I856" si="2638">I851-SUM(I852:I855)</f>
        <v>-634.77568641226389</v>
      </c>
      <c r="J856" s="564">
        <f t="shared" ref="J856" si="2639">J851-SUM(J852:J855)</f>
        <v>-677.68275206082035</v>
      </c>
      <c r="K856" s="564">
        <f t="shared" ref="K856" si="2640">K851-SUM(K852:K855)</f>
        <v>-724.01164853868249</v>
      </c>
      <c r="L856" s="564">
        <f t="shared" ref="L856" si="2641">L851-SUM(L852:L855)</f>
        <v>-722.87129195166926</v>
      </c>
      <c r="M856" s="564">
        <f t="shared" ref="M856" si="2642">M851-SUM(M852:M855)</f>
        <v>-721.866488254258</v>
      </c>
      <c r="N856" s="564">
        <f t="shared" ref="N856" si="2643">N851-SUM(N852:N855)</f>
        <v>-720.85929388882505</v>
      </c>
      <c r="O856" s="564">
        <f t="shared" ref="O856" si="2644">O851-SUM(O852:O855)</f>
        <v>-731.2311169870809</v>
      </c>
      <c r="P856" s="564">
        <f t="shared" ref="P856:U856" si="2645">P851-SUM(P852:P855)</f>
        <v>-736.29427771281917</v>
      </c>
      <c r="Q856" s="564">
        <f t="shared" si="2645"/>
        <v>-740.99699419783428</v>
      </c>
      <c r="R856" s="564">
        <f t="shared" si="2645"/>
        <v>-746.30852476054133</v>
      </c>
      <c r="S856" s="564">
        <f t="shared" si="2645"/>
        <v>-751.78014211841946</v>
      </c>
      <c r="T856" s="564">
        <f t="shared" si="2645"/>
        <v>-757.09187097349059</v>
      </c>
      <c r="U856" s="564">
        <f t="shared" si="2645"/>
        <v>-762.01013820100343</v>
      </c>
    </row>
    <row r="857" spans="2:60" hidden="1" outlineLevel="1" collapsed="1" x14ac:dyDescent="0.3">
      <c r="C857" s="587" t="str">
        <f>C856</f>
        <v>CEER2</v>
      </c>
      <c r="E857" s="629" t="s">
        <v>458</v>
      </c>
      <c r="F857" s="584"/>
      <c r="G857" s="899">
        <f>($H851-Assumptions!$C$69)/Assumptions!$C$69</f>
        <v>0.25713606801029504</v>
      </c>
      <c r="H857" s="899">
        <f>($H851-Assumptions!$C$69)/Assumptions!$C$69</f>
        <v>0.25713606801029504</v>
      </c>
      <c r="I857" s="602">
        <f>(I851-H851)/H851</f>
        <v>6.3434711037134064E-2</v>
      </c>
      <c r="J857" s="602">
        <f t="shared" ref="J857:P857" si="2646">(J851-I851)/I851</f>
        <v>6.7594059708024526E-2</v>
      </c>
      <c r="K857" s="602">
        <f t="shared" si="2646"/>
        <v>6.8363694275795292E-2</v>
      </c>
      <c r="L857" s="602">
        <f t="shared" si="2646"/>
        <v>-1.5750528176109086E-3</v>
      </c>
      <c r="M857" s="602">
        <f t="shared" si="2646"/>
        <v>-1.3900174327048645E-3</v>
      </c>
      <c r="N857" s="602">
        <f t="shared" si="2646"/>
        <v>-1.3952640575731383E-3</v>
      </c>
      <c r="O857" s="602">
        <f t="shared" si="2646"/>
        <v>1.4388138137609341E-2</v>
      </c>
      <c r="P857" s="602">
        <f t="shared" si="2646"/>
        <v>6.9241592816884929E-3</v>
      </c>
      <c r="Q857" s="602">
        <f t="shared" ref="Q857" si="2647">(Q851-P851)/P851</f>
        <v>6.3870067001219498E-3</v>
      </c>
      <c r="R857" s="602">
        <f t="shared" ref="R857" si="2648">(R851-Q851)/Q851</f>
        <v>7.1680865162608107E-3</v>
      </c>
      <c r="S857" s="602">
        <f t="shared" ref="S857" si="2649">(S851-R851)/R851</f>
        <v>7.3315755834800619E-3</v>
      </c>
      <c r="T857" s="602">
        <f t="shared" ref="T857" si="2650">(T851-S851)/S851</f>
        <v>7.0655349316706608E-3</v>
      </c>
      <c r="U857" s="602">
        <f t="shared" ref="U857" si="2651">(U851-T851)/T851</f>
        <v>6.496262099853837E-3</v>
      </c>
    </row>
    <row r="858" spans="2:60" x14ac:dyDescent="0.3"/>
    <row r="859" spans="2:60" ht="19.5" thickBot="1" x14ac:dyDescent="0.35">
      <c r="B859" s="1" t="s">
        <v>459</v>
      </c>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row>
    <row r="860" spans="2:60" outlineLevel="1" x14ac:dyDescent="0.3">
      <c r="W860"/>
      <c r="X860"/>
      <c r="Y860"/>
    </row>
    <row r="861" spans="2:60" ht="15" outlineLevel="1" x14ac:dyDescent="0.3">
      <c r="C861" s="1227" t="s">
        <v>460</v>
      </c>
      <c r="D861" s="1227"/>
      <c r="E861" s="1227"/>
      <c r="F861" s="1227"/>
      <c r="G861" s="1227"/>
      <c r="H861" s="1227"/>
      <c r="I861" s="1227"/>
      <c r="J861" s="1227"/>
      <c r="K861" s="1227"/>
      <c r="L861" s="1227"/>
      <c r="M861" s="1227"/>
      <c r="N861" s="1227"/>
      <c r="O861" s="1227"/>
      <c r="P861" s="1227"/>
      <c r="Q861" s="1227"/>
      <c r="R861" s="1227"/>
      <c r="S861" s="1227"/>
      <c r="T861" s="1227"/>
      <c r="U861" s="1227"/>
      <c r="V861" s="1227"/>
      <c r="W861"/>
      <c r="X861"/>
      <c r="Y861"/>
    </row>
    <row r="862" spans="2:60" outlineLevel="1" x14ac:dyDescent="0.3">
      <c r="E862" s="56" t="s">
        <v>461</v>
      </c>
      <c r="F862" s="56"/>
      <c r="G862" s="56"/>
      <c r="H862" s="56"/>
      <c r="I862" s="56"/>
      <c r="J862" s="56"/>
      <c r="K862" s="56"/>
      <c r="L862" s="56"/>
      <c r="M862" s="56"/>
      <c r="N862" s="56"/>
      <c r="O862" s="56"/>
      <c r="P862" s="56"/>
      <c r="Q862" s="56"/>
      <c r="R862" s="56"/>
      <c r="S862" s="56"/>
      <c r="T862" s="56"/>
      <c r="U862" s="56"/>
      <c r="V862" s="56"/>
      <c r="W862"/>
      <c r="X862"/>
      <c r="Y862"/>
    </row>
    <row r="863" spans="2:60" ht="27" outlineLevel="1" x14ac:dyDescent="0.3">
      <c r="E863" s="625"/>
      <c r="F863" s="627" t="s">
        <v>462</v>
      </c>
      <c r="G863" s="627">
        <v>2021</v>
      </c>
      <c r="H863" s="625">
        <v>2022</v>
      </c>
      <c r="I863" s="625">
        <v>2023</v>
      </c>
      <c r="J863" s="625">
        <v>2024</v>
      </c>
      <c r="K863" s="625">
        <v>2025</v>
      </c>
      <c r="L863" s="625">
        <v>2026</v>
      </c>
      <c r="M863" s="625">
        <v>2027</v>
      </c>
      <c r="N863" s="625">
        <v>2028</v>
      </c>
      <c r="O863" s="625">
        <v>2029</v>
      </c>
      <c r="P863" s="625">
        <v>2030</v>
      </c>
      <c r="Q863" s="625">
        <v>2031</v>
      </c>
      <c r="R863" s="625">
        <v>2032</v>
      </c>
      <c r="S863" s="625">
        <v>2033</v>
      </c>
      <c r="T863" s="625">
        <v>2034</v>
      </c>
      <c r="U863" s="625">
        <v>2035</v>
      </c>
      <c r="V863" s="625" t="s">
        <v>452</v>
      </c>
      <c r="W863"/>
      <c r="X863"/>
      <c r="Y863"/>
    </row>
    <row r="864" spans="2:60" outlineLevel="1" x14ac:dyDescent="0.3">
      <c r="E864" s="628" t="s">
        <v>345</v>
      </c>
      <c r="F864" s="584"/>
      <c r="G864" s="613">
        <f t="shared" ref="G864" si="2652">(G802*1000000)/(G689*1000)</f>
        <v>52065.840022946213</v>
      </c>
      <c r="H864" s="613">
        <f t="shared" ref="H864:V864" si="2653">(H802*1000000)/(H689*1000)</f>
        <v>57745.716134774542</v>
      </c>
      <c r="I864" s="613">
        <f t="shared" si="2653"/>
        <v>61386.27080850007</v>
      </c>
      <c r="J864" s="613">
        <f t="shared" si="2653"/>
        <v>64571.163248060584</v>
      </c>
      <c r="K864" s="613">
        <f t="shared" si="2653"/>
        <v>64555.608766272046</v>
      </c>
      <c r="L864" s="613">
        <f t="shared" si="2653"/>
        <v>64761.19733655516</v>
      </c>
      <c r="M864" s="613">
        <f t="shared" si="2653"/>
        <v>64696.473491111981</v>
      </c>
      <c r="N864" s="613">
        <f t="shared" si="2653"/>
        <v>65957.943360806748</v>
      </c>
      <c r="O864" s="613">
        <f t="shared" si="2653"/>
        <v>66982.275283019888</v>
      </c>
      <c r="P864" s="613">
        <f t="shared" si="2653"/>
        <v>67514.47484969598</v>
      </c>
      <c r="Q864" s="613">
        <f t="shared" ref="Q864:U864" si="2654">(Q802*1000000)/(Q689*1000)</f>
        <v>68075.211761019003</v>
      </c>
      <c r="R864" s="613">
        <f t="shared" si="2654"/>
        <v>68623.126741093191</v>
      </c>
      <c r="S864" s="613">
        <f t="shared" si="2654"/>
        <v>69176.824373882773</v>
      </c>
      <c r="T864" s="613">
        <f t="shared" si="2654"/>
        <v>69736.574494145811</v>
      </c>
      <c r="U864" s="613">
        <f t="shared" si="2654"/>
        <v>70339.231004999572</v>
      </c>
      <c r="V864" s="613">
        <f t="shared" si="2653"/>
        <v>63057.513449713391</v>
      </c>
      <c r="W864"/>
      <c r="X864"/>
      <c r="Y864"/>
    </row>
    <row r="865" spans="2:60" outlineLevel="1" x14ac:dyDescent="0.3">
      <c r="E865" s="628" t="str">
        <f>'EE Measures'!$IF$6</f>
        <v>Baseline</v>
      </c>
      <c r="F865" s="872">
        <f t="shared" ref="F865:F871" si="2655">SUM(V865)/SUM($V$864)-1</f>
        <v>4.758370320203209E-3</v>
      </c>
      <c r="G865" s="614">
        <f t="shared" ref="G865" si="2656">(G809*1000000)/(G691*1000)</f>
        <v>52199.50714408014</v>
      </c>
      <c r="H865" s="614">
        <f t="shared" ref="H865:V865" si="2657">(H809*1000000)/(H691*1000)</f>
        <v>57841.553055223179</v>
      </c>
      <c r="I865" s="614">
        <f t="shared" si="2657"/>
        <v>61487.737819876027</v>
      </c>
      <c r="J865" s="614">
        <f t="shared" si="2657"/>
        <v>64810.151177993248</v>
      </c>
      <c r="K865" s="614">
        <f t="shared" si="2657"/>
        <v>64922.911471619744</v>
      </c>
      <c r="L865" s="614">
        <f t="shared" si="2657"/>
        <v>65152.567061199865</v>
      </c>
      <c r="M865" s="614">
        <f t="shared" si="2657"/>
        <v>65107.388742893258</v>
      </c>
      <c r="N865" s="614">
        <f t="shared" si="2657"/>
        <v>66378.211257506715</v>
      </c>
      <c r="O865" s="614">
        <f t="shared" si="2657"/>
        <v>67421.900126501467</v>
      </c>
      <c r="P865" s="614">
        <f t="shared" si="2657"/>
        <v>67974.317345991745</v>
      </c>
      <c r="Q865" s="614">
        <f t="shared" ref="Q865:U865" si="2658">(Q809*1000000)/(Q691*1000)</f>
        <v>68556.001947016717</v>
      </c>
      <c r="R865" s="614">
        <f t="shared" si="2658"/>
        <v>69125.68960756158</v>
      </c>
      <c r="S865" s="614">
        <f t="shared" si="2658"/>
        <v>69702.029103315042</v>
      </c>
      <c r="T865" s="614">
        <f t="shared" si="2658"/>
        <v>70285.582946471521</v>
      </c>
      <c r="U865" s="614">
        <f t="shared" si="2658"/>
        <v>70913.769384184459</v>
      </c>
      <c r="V865" s="614">
        <f t="shared" si="2657"/>
        <v>63357.564450178317</v>
      </c>
      <c r="W865"/>
      <c r="X865"/>
      <c r="Y865"/>
    </row>
    <row r="866" spans="2:60" outlineLevel="1" x14ac:dyDescent="0.3">
      <c r="E866" s="628" t="str">
        <f>'EE Measures'!$IG$6</f>
        <v>EEO</v>
      </c>
      <c r="F866" s="872">
        <f t="shared" si="2655"/>
        <v>1.1790705663385914E-2</v>
      </c>
      <c r="G866" s="613">
        <f t="shared" ref="G866" si="2659">(G816*1000000)/(G699*1000)</f>
        <v>52415.864275317806</v>
      </c>
      <c r="H866" s="613">
        <f t="shared" ref="H866:V866" si="2660">(H816*1000000)/(H699*1000)</f>
        <v>57970.092608858729</v>
      </c>
      <c r="I866" s="613">
        <f t="shared" si="2660"/>
        <v>61588.240549994189</v>
      </c>
      <c r="J866" s="613">
        <f t="shared" si="2660"/>
        <v>65161.084989709365</v>
      </c>
      <c r="K866" s="613">
        <f t="shared" si="2660"/>
        <v>64919.965944014562</v>
      </c>
      <c r="L866" s="613">
        <f t="shared" si="2660"/>
        <v>65469.546365780399</v>
      </c>
      <c r="M866" s="613">
        <f t="shared" si="2660"/>
        <v>65676.473926972656</v>
      </c>
      <c r="N866" s="613">
        <f t="shared" si="2660"/>
        <v>67042.587047331152</v>
      </c>
      <c r="O866" s="613">
        <f t="shared" si="2660"/>
        <v>68155.389091465287</v>
      </c>
      <c r="P866" s="613">
        <f t="shared" si="2660"/>
        <v>68804.553129918451</v>
      </c>
      <c r="Q866" s="613">
        <f t="shared" ref="Q866:U866" si="2661">(Q816*1000000)/(Q699*1000)</f>
        <v>69326.447505780248</v>
      </c>
      <c r="R866" s="613">
        <f t="shared" si="2661"/>
        <v>69963.845227606827</v>
      </c>
      <c r="S866" s="613">
        <f t="shared" si="2661"/>
        <v>70611.354572599754</v>
      </c>
      <c r="T866" s="613">
        <f t="shared" si="2661"/>
        <v>71270.11491171227</v>
      </c>
      <c r="U866" s="613">
        <f t="shared" si="2661"/>
        <v>71977.399386806224</v>
      </c>
      <c r="V866" s="613">
        <f t="shared" si="2660"/>
        <v>63801.006030663957</v>
      </c>
      <c r="W866"/>
      <c r="X866"/>
      <c r="Y866"/>
    </row>
    <row r="867" spans="2:60" outlineLevel="1" x14ac:dyDescent="0.3">
      <c r="E867" s="628" t="s">
        <v>36</v>
      </c>
      <c r="F867" s="872">
        <f t="shared" si="2655"/>
        <v>1.3547627251685457E-2</v>
      </c>
      <c r="G867" s="614">
        <f t="shared" ref="G867" si="2662">(G823*1000000)/(G707*1000)</f>
        <v>52415.864275317806</v>
      </c>
      <c r="H867" s="614">
        <f t="shared" ref="H867:V867" si="2663">(H823*1000000)/(H707*1000)</f>
        <v>57970.165070788833</v>
      </c>
      <c r="I867" s="614">
        <f t="shared" si="2663"/>
        <v>61588.348147773897</v>
      </c>
      <c r="J867" s="614">
        <f t="shared" si="2663"/>
        <v>65162.456995029235</v>
      </c>
      <c r="K867" s="614">
        <f t="shared" si="2663"/>
        <v>65113.562556797064</v>
      </c>
      <c r="L867" s="614">
        <f t="shared" si="2663"/>
        <v>65647.129006098912</v>
      </c>
      <c r="M867" s="614">
        <f t="shared" si="2663"/>
        <v>65850.52607368039</v>
      </c>
      <c r="N867" s="614">
        <f t="shared" si="2663"/>
        <v>67221.64902386273</v>
      </c>
      <c r="O867" s="614">
        <f t="shared" si="2663"/>
        <v>68340.96057651419</v>
      </c>
      <c r="P867" s="614">
        <f t="shared" si="2663"/>
        <v>68998.265846121445</v>
      </c>
      <c r="Q867" s="614">
        <f t="shared" ref="Q867:U867" si="2664">(Q823*1000000)/(Q707*1000)</f>
        <v>69524.202876737167</v>
      </c>
      <c r="R867" s="614">
        <f t="shared" si="2664"/>
        <v>70166.037319800773</v>
      </c>
      <c r="S867" s="614">
        <f t="shared" si="2664"/>
        <v>70818.079374339068</v>
      </c>
      <c r="T867" s="614">
        <f t="shared" si="2664"/>
        <v>71481.578272973129</v>
      </c>
      <c r="U867" s="614">
        <f t="shared" si="2664"/>
        <v>72193.986609280721</v>
      </c>
      <c r="V867" s="614">
        <f t="shared" si="2663"/>
        <v>63911.793137348257</v>
      </c>
      <c r="W867"/>
      <c r="X867"/>
      <c r="Y867"/>
    </row>
    <row r="868" spans="2:60" outlineLevel="1" x14ac:dyDescent="0.3">
      <c r="E868" s="628" t="str">
        <f>'EE Measures'!$II$6</f>
        <v>Renowave</v>
      </c>
      <c r="F868" s="872">
        <f t="shared" si="2655"/>
        <v>1.6882205807899453E-2</v>
      </c>
      <c r="G868" s="613">
        <f t="shared" ref="G868" si="2665">(G830*1000000)/(G715*1000)</f>
        <v>52415.864275317806</v>
      </c>
      <c r="H868" s="613">
        <f t="shared" ref="H868:V868" si="2666">(H830*1000000)/(H715*1000)</f>
        <v>57970.165070788833</v>
      </c>
      <c r="I868" s="613">
        <f t="shared" si="2666"/>
        <v>61588.348147773897</v>
      </c>
      <c r="J868" s="613">
        <f t="shared" si="2666"/>
        <v>65149.308328734041</v>
      </c>
      <c r="K868" s="613">
        <f t="shared" si="2666"/>
        <v>65334.643520484868</v>
      </c>
      <c r="L868" s="613">
        <f t="shared" si="2666"/>
        <v>65891.378263887469</v>
      </c>
      <c r="M868" s="613">
        <f t="shared" si="2666"/>
        <v>66125.074269308752</v>
      </c>
      <c r="N868" s="613">
        <f t="shared" si="2666"/>
        <v>67492.91004482469</v>
      </c>
      <c r="O868" s="613">
        <f t="shared" si="2666"/>
        <v>68605.559343828616</v>
      </c>
      <c r="P868" s="613">
        <f t="shared" si="2666"/>
        <v>69268.395533150251</v>
      </c>
      <c r="Q868" s="613">
        <f t="shared" ref="Q868:U868" si="2667">(Q830*1000000)/(Q715*1000)</f>
        <v>69806.965619234499</v>
      </c>
      <c r="R868" s="613">
        <f t="shared" si="2667"/>
        <v>70458.430045844361</v>
      </c>
      <c r="S868" s="613">
        <f t="shared" si="2667"/>
        <v>71119.885029904064</v>
      </c>
      <c r="T868" s="613">
        <f t="shared" si="2667"/>
        <v>71792.641439369225</v>
      </c>
      <c r="U868" s="613">
        <f t="shared" si="2667"/>
        <v>72513.044096837722</v>
      </c>
      <c r="V868" s="613">
        <f t="shared" si="2666"/>
        <v>64122.063369505842</v>
      </c>
      <c r="W868"/>
      <c r="X868"/>
      <c r="Y868"/>
    </row>
    <row r="869" spans="2:60" outlineLevel="1" x14ac:dyDescent="0.3">
      <c r="E869" s="628" t="str">
        <f>'EE Measures'!$IJ$6</f>
        <v>EET</v>
      </c>
      <c r="F869" s="872">
        <f t="shared" si="2655"/>
        <v>1.629059377654607E-2</v>
      </c>
      <c r="G869" s="614">
        <f t="shared" ref="G869" si="2668">(G837*1000000)/(G723*1000)</f>
        <v>52896.542865082389</v>
      </c>
      <c r="H869" s="614">
        <f t="shared" ref="H869:V869" si="2669">(H837*1000000)/(H723*1000)</f>
        <v>58417.975739857065</v>
      </c>
      <c r="I869" s="614">
        <f t="shared" si="2669"/>
        <v>61919.707199577555</v>
      </c>
      <c r="J869" s="614">
        <f t="shared" si="2669"/>
        <v>66392.776444003714</v>
      </c>
      <c r="K869" s="614">
        <f t="shared" si="2669"/>
        <v>63823.041052827401</v>
      </c>
      <c r="L869" s="614">
        <f t="shared" si="2669"/>
        <v>65149.416568477754</v>
      </c>
      <c r="M869" s="614">
        <f t="shared" si="2669"/>
        <v>66060.750927098401</v>
      </c>
      <c r="N869" s="614">
        <f t="shared" si="2669"/>
        <v>67510.616069463926</v>
      </c>
      <c r="O869" s="614">
        <f t="shared" si="2669"/>
        <v>68660.608273235091</v>
      </c>
      <c r="P869" s="614">
        <f t="shared" si="2669"/>
        <v>69359.437226430135</v>
      </c>
      <c r="Q869" s="614">
        <f t="shared" ref="Q869:U869" si="2670">(Q837*1000000)/(Q723*1000)</f>
        <v>69718.61221074585</v>
      </c>
      <c r="R869" s="614">
        <f t="shared" si="2670"/>
        <v>70346.809332926772</v>
      </c>
      <c r="S869" s="614">
        <f t="shared" si="2670"/>
        <v>70983.867334591574</v>
      </c>
      <c r="T869" s="614">
        <f t="shared" si="2670"/>
        <v>71631.027336240862</v>
      </c>
      <c r="U869" s="614">
        <f t="shared" si="2670"/>
        <v>72325.888554565303</v>
      </c>
      <c r="V869" s="614">
        <f t="shared" si="2669"/>
        <v>64084.757785881768</v>
      </c>
      <c r="W869"/>
      <c r="X869"/>
      <c r="Y869"/>
    </row>
    <row r="870" spans="2:60" outlineLevel="1" x14ac:dyDescent="0.3">
      <c r="E870" s="628" t="str">
        <f>'EE Measures'!$IK$6</f>
        <v>CEER1</v>
      </c>
      <c r="F870" s="872">
        <f t="shared" si="2655"/>
        <v>1.5972942565972259E-2</v>
      </c>
      <c r="G870" s="613">
        <f t="shared" ref="G870" si="2671">(G844*1000000)/(G731*1000)</f>
        <v>52740.399972174309</v>
      </c>
      <c r="H870" s="613">
        <f t="shared" ref="H870:V870" si="2672">(H844*1000000)/(H731*1000)</f>
        <v>58163.083094137299</v>
      </c>
      <c r="I870" s="613">
        <f t="shared" si="2672"/>
        <v>61739.26363962068</v>
      </c>
      <c r="J870" s="613">
        <f t="shared" si="2672"/>
        <v>65638.06857818093</v>
      </c>
      <c r="K870" s="613">
        <f t="shared" si="2672"/>
        <v>64611.218412779657</v>
      </c>
      <c r="L870" s="613">
        <f t="shared" si="2672"/>
        <v>65524.355625674725</v>
      </c>
      <c r="M870" s="613">
        <f t="shared" si="2672"/>
        <v>66009.088746883572</v>
      </c>
      <c r="N870" s="613">
        <f t="shared" si="2672"/>
        <v>67459.981134827874</v>
      </c>
      <c r="O870" s="613">
        <f t="shared" si="2672"/>
        <v>68617.779419436629</v>
      </c>
      <c r="P870" s="613">
        <f t="shared" si="2672"/>
        <v>69328.846559564481</v>
      </c>
      <c r="Q870" s="613">
        <f t="shared" ref="Q870:U870" si="2673">(Q844*1000000)/(Q731*1000)</f>
        <v>69679.496397469338</v>
      </c>
      <c r="R870" s="613">
        <f t="shared" si="2673"/>
        <v>70324.727459785936</v>
      </c>
      <c r="S870" s="613">
        <f t="shared" si="2673"/>
        <v>70980.022798312682</v>
      </c>
      <c r="T870" s="613">
        <f t="shared" si="2673"/>
        <v>71646.686436176169</v>
      </c>
      <c r="U870" s="613">
        <f t="shared" si="2673"/>
        <v>72362.133561516777</v>
      </c>
      <c r="V870" s="613">
        <f t="shared" si="2672"/>
        <v>64064.727490398684</v>
      </c>
      <c r="W870"/>
      <c r="X870"/>
      <c r="Y870"/>
    </row>
    <row r="871" spans="2:60" outlineLevel="1" x14ac:dyDescent="0.3">
      <c r="E871" s="628" t="str">
        <f>'EE Measures'!$IL$6</f>
        <v>CEER2</v>
      </c>
      <c r="F871" s="872">
        <f t="shared" si="2655"/>
        <v>2.1403353097607214E-2</v>
      </c>
      <c r="G871" s="614">
        <f t="shared" ref="G871" si="2674">(G851*1000000)/(G739*1000)</f>
        <v>52740.399972174309</v>
      </c>
      <c r="H871" s="614">
        <f t="shared" ref="H871:V871" si="2675">(H851*1000000)/(H739*1000)</f>
        <v>58163.083094137299</v>
      </c>
      <c r="I871" s="614">
        <f t="shared" si="2675"/>
        <v>61739.26363962068</v>
      </c>
      <c r="J871" s="614">
        <f t="shared" si="2675"/>
        <v>65638.06857818093</v>
      </c>
      <c r="K871" s="614">
        <f t="shared" si="2675"/>
        <v>65052.518698923166</v>
      </c>
      <c r="L871" s="614">
        <f t="shared" si="2675"/>
        <v>65992.953851565529</v>
      </c>
      <c r="M871" s="614">
        <f t="shared" si="2675"/>
        <v>66509.962821014924</v>
      </c>
      <c r="N871" s="614">
        <f t="shared" si="2675"/>
        <v>67990.925679482927</v>
      </c>
      <c r="O871" s="614">
        <f t="shared" si="2675"/>
        <v>69175.531461440798</v>
      </c>
      <c r="P871" s="614">
        <f t="shared" si="2675"/>
        <v>69922.847118688282</v>
      </c>
      <c r="Q871" s="614">
        <f t="shared" ref="Q871:U871" si="2676">(Q851*1000000)/(Q739*1000)</f>
        <v>70334.431568453685</v>
      </c>
      <c r="R871" s="614">
        <f t="shared" si="2676"/>
        <v>71013.500227565732</v>
      </c>
      <c r="S871" s="614">
        <f t="shared" si="2676"/>
        <v>71703.949733016037</v>
      </c>
      <c r="T871" s="614">
        <f t="shared" si="2676"/>
        <v>72407.452025027756</v>
      </c>
      <c r="U871" s="614">
        <f t="shared" si="2676"/>
        <v>73161.522597366609</v>
      </c>
      <c r="V871" s="614">
        <f t="shared" si="2675"/>
        <v>64407.155675534719</v>
      </c>
      <c r="W871"/>
      <c r="X871"/>
      <c r="Y871"/>
    </row>
    <row r="872" spans="2:60" x14ac:dyDescent="0.3">
      <c r="W872"/>
      <c r="X872"/>
      <c r="Y872"/>
    </row>
    <row r="873" spans="2:60" ht="19.5" collapsed="1" thickBot="1" x14ac:dyDescent="0.35">
      <c r="B873" s="1" t="s">
        <v>463</v>
      </c>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row>
    <row r="874" spans="2:60" hidden="1" outlineLevel="1" x14ac:dyDescent="0.3">
      <c r="W874"/>
      <c r="X874"/>
      <c r="Y874"/>
    </row>
    <row r="875" spans="2:60" ht="15" hidden="1" outlineLevel="1" x14ac:dyDescent="0.35">
      <c r="E875" s="626" t="s">
        <v>464</v>
      </c>
      <c r="F875" s="626"/>
      <c r="G875" s="626"/>
      <c r="H875" s="626"/>
      <c r="I875" s="626"/>
      <c r="J875" s="626"/>
      <c r="K875" s="626"/>
      <c r="L875" s="626"/>
      <c r="M875" s="626"/>
      <c r="N875" s="626"/>
      <c r="O875" s="626"/>
      <c r="P875" s="626"/>
      <c r="Q875" s="626"/>
      <c r="R875" s="626"/>
      <c r="S875" s="626"/>
      <c r="T875" s="626"/>
      <c r="U875" s="626"/>
    </row>
    <row r="876" spans="2:60" hidden="1" outlineLevel="1" x14ac:dyDescent="0.3">
      <c r="E876" s="627" t="s">
        <v>465</v>
      </c>
      <c r="F876" s="625"/>
      <c r="G876" s="625"/>
      <c r="H876" s="625"/>
      <c r="I876" s="625"/>
      <c r="J876" s="625"/>
      <c r="K876" s="625"/>
      <c r="L876" s="625"/>
      <c r="M876" s="625"/>
      <c r="N876" s="625"/>
      <c r="O876" s="625"/>
      <c r="P876" s="625"/>
      <c r="Q876" s="625"/>
      <c r="R876" s="625"/>
      <c r="S876" s="625"/>
      <c r="T876" s="625"/>
      <c r="U876" s="625"/>
      <c r="V876" s="554" t="s">
        <v>439</v>
      </c>
    </row>
    <row r="877" spans="2:60" hidden="1" outlineLevel="1" x14ac:dyDescent="0.3">
      <c r="E877" s="625"/>
      <c r="F877" s="625"/>
      <c r="G877" s="625">
        <v>2021</v>
      </c>
      <c r="H877" s="625">
        <v>2022</v>
      </c>
      <c r="I877" s="625">
        <v>2023</v>
      </c>
      <c r="J877" s="625">
        <v>2024</v>
      </c>
      <c r="K877" s="625">
        <v>2025</v>
      </c>
      <c r="L877" s="625">
        <v>2026</v>
      </c>
      <c r="M877" s="625">
        <v>2027</v>
      </c>
      <c r="N877" s="625">
        <v>2028</v>
      </c>
      <c r="O877" s="625">
        <v>2029</v>
      </c>
      <c r="P877" s="625">
        <v>2030</v>
      </c>
      <c r="Q877" s="625">
        <v>2031</v>
      </c>
      <c r="R877" s="625">
        <v>2032</v>
      </c>
      <c r="S877" s="625">
        <v>2033</v>
      </c>
      <c r="T877" s="625">
        <v>2034</v>
      </c>
      <c r="U877" s="625">
        <v>2035</v>
      </c>
    </row>
    <row r="878" spans="2:60" hidden="1" outlineLevel="1" x14ac:dyDescent="0.3">
      <c r="E878" s="628" t="s">
        <v>345</v>
      </c>
      <c r="F878" s="584"/>
      <c r="G878" s="652">
        <f>Assumptions!C76</f>
        <v>8667.8177099999994</v>
      </c>
      <c r="H878" s="652">
        <f>Assumptions!D76</f>
        <v>10403.874374231589</v>
      </c>
      <c r="I878" s="652">
        <f>Assumptions!E76</f>
        <v>10982.034778830752</v>
      </c>
      <c r="J878" s="652">
        <f>Assumptions!F76</f>
        <v>11500.001453064102</v>
      </c>
      <c r="K878" s="652">
        <f>Assumptions!G76</f>
        <v>11983.207996091001</v>
      </c>
      <c r="L878" s="652">
        <f>Assumptions!H76</f>
        <v>12464.801878734484</v>
      </c>
      <c r="M878" s="652">
        <f>Assumptions!I76</f>
        <v>12947.101676019174</v>
      </c>
      <c r="N878" s="652">
        <f>Assumptions!J76</f>
        <v>13649.604626428732</v>
      </c>
      <c r="O878" s="652">
        <f>Assumptions!K76</f>
        <v>14372.366557551464</v>
      </c>
      <c r="P878" s="652">
        <f>Assumptions!L76</f>
        <v>15117.148049390362</v>
      </c>
      <c r="Q878" s="652">
        <f>Assumptions!M76</f>
        <v>15898.040186790673</v>
      </c>
      <c r="R878" s="652">
        <f>Assumptions!N76</f>
        <v>16710.150220604748</v>
      </c>
      <c r="S878" s="652">
        <f>Assumptions!O76</f>
        <v>17554.828046350944</v>
      </c>
      <c r="T878" s="652">
        <f>Assumptions!P76</f>
        <v>18420.004165836923</v>
      </c>
      <c r="U878" s="652">
        <f>Assumptions!Q76</f>
        <v>19280.441569116047</v>
      </c>
    </row>
    <row r="879" spans="2:60" hidden="1" outlineLevel="1" x14ac:dyDescent="0.3">
      <c r="E879" s="629" t="s">
        <v>466</v>
      </c>
      <c r="F879" s="584"/>
      <c r="G879" s="616">
        <f t="shared" ref="G879:P879" si="2677">(G878*1000)/G689</f>
        <v>13324.854281322059</v>
      </c>
      <c r="H879" s="616">
        <f t="shared" si="2677"/>
        <v>15358.539082125169</v>
      </c>
      <c r="I879" s="616">
        <f t="shared" si="2677"/>
        <v>16169.073584850928</v>
      </c>
      <c r="J879" s="616">
        <f t="shared" si="2677"/>
        <v>16830.091399186455</v>
      </c>
      <c r="K879" s="616">
        <f t="shared" si="2677"/>
        <v>17483.524943231692</v>
      </c>
      <c r="L879" s="616">
        <f t="shared" si="2677"/>
        <v>18178.214785962497</v>
      </c>
      <c r="M879" s="616">
        <f t="shared" si="2677"/>
        <v>18881.583310513597</v>
      </c>
      <c r="N879" s="616">
        <f t="shared" si="2677"/>
        <v>20360.365362723689</v>
      </c>
      <c r="O879" s="616">
        <f t="shared" si="2677"/>
        <v>21520.123770815069</v>
      </c>
      <c r="P879" s="616">
        <f t="shared" si="2677"/>
        <v>22726.64139619136</v>
      </c>
      <c r="Q879" s="616">
        <f t="shared" ref="Q879:U879" si="2678">(Q878*1000)/Q689</f>
        <v>23989.344607063202</v>
      </c>
      <c r="R879" s="616">
        <f t="shared" si="2678"/>
        <v>25306.738477583694</v>
      </c>
      <c r="S879" s="616">
        <f t="shared" si="2678"/>
        <v>26680.988150878376</v>
      </c>
      <c r="T879" s="616">
        <f t="shared" si="2678"/>
        <v>28107.237677018191</v>
      </c>
      <c r="U879" s="616">
        <f t="shared" si="2678"/>
        <v>29574.381627891253</v>
      </c>
    </row>
    <row r="880" spans="2:60" hidden="1" outlineLevel="1" x14ac:dyDescent="0.3">
      <c r="D880" s="56" t="str">
        <f>E880</f>
        <v>Baseline</v>
      </c>
      <c r="E880" s="628" t="str">
        <f>'EE Measures'!$IF$6</f>
        <v>Baseline</v>
      </c>
      <c r="F880" s="872">
        <f>SUM(G880:P880)/SUM($G$878:$P$878)-1</f>
        <v>8.012843345329923E-3</v>
      </c>
      <c r="G880" s="617">
        <f>G878+G881</f>
        <v>8746.1634737829045</v>
      </c>
      <c r="H880" s="617">
        <f>H878+H881</f>
        <v>10459.90200605007</v>
      </c>
      <c r="I880" s="617">
        <f t="shared" ref="I880:P880" si="2679">I878+I881</f>
        <v>11015.948304315059</v>
      </c>
      <c r="J880" s="617">
        <f t="shared" si="2679"/>
        <v>11573.366543462955</v>
      </c>
      <c r="K880" s="617">
        <f t="shared" si="2679"/>
        <v>12108.016144308531</v>
      </c>
      <c r="L880" s="617">
        <f t="shared" si="2679"/>
        <v>12594.689202743692</v>
      </c>
      <c r="M880" s="617">
        <f t="shared" si="2679"/>
        <v>13078.513019362368</v>
      </c>
      <c r="N880" s="617">
        <f t="shared" si="2679"/>
        <v>13763.24125247291</v>
      </c>
      <c r="O880" s="617">
        <f t="shared" si="2679"/>
        <v>14489.16907806267</v>
      </c>
      <c r="P880" s="617">
        <f t="shared" si="2679"/>
        <v>15237.221766402603</v>
      </c>
      <c r="Q880" s="617">
        <f t="shared" ref="Q880:U880" si="2680">Q878+Q881</f>
        <v>16021.515541172139</v>
      </c>
      <c r="R880" s="617">
        <f t="shared" si="2680"/>
        <v>16837.157014132357</v>
      </c>
      <c r="S880" s="617">
        <f t="shared" si="2680"/>
        <v>17685.501036704096</v>
      </c>
      <c r="T880" s="617">
        <f t="shared" si="2680"/>
        <v>18554.483276027193</v>
      </c>
      <c r="U880" s="617">
        <f t="shared" si="2680"/>
        <v>19418.872105407278</v>
      </c>
      <c r="V880" s="898">
        <f>SUM(G881:P881)</f>
        <v>978.27169062210351</v>
      </c>
    </row>
    <row r="881" spans="3:22" hidden="1" outlineLevel="1" x14ac:dyDescent="0.3">
      <c r="D881" s="56" t="str">
        <f>D880</f>
        <v>Baseline</v>
      </c>
      <c r="E881" s="629" t="s">
        <v>467</v>
      </c>
      <c r="F881" s="584"/>
      <c r="G881" s="618">
        <f>SUM(G882:G883,G888:G889)+G887</f>
        <v>78.345763782905792</v>
      </c>
      <c r="H881" s="618">
        <f>SUM(H882:H883,H888:H889)+H887</f>
        <v>56.027631818481034</v>
      </c>
      <c r="I881" s="618">
        <f t="shared" ref="I881:P881" si="2681">SUM(I882:I883,I888:I889)+I887</f>
        <v>33.913525484306881</v>
      </c>
      <c r="J881" s="618">
        <f t="shared" si="2681"/>
        <v>73.365090398853681</v>
      </c>
      <c r="K881" s="618">
        <f t="shared" si="2681"/>
        <v>124.80814821752904</v>
      </c>
      <c r="L881" s="618">
        <f t="shared" si="2681"/>
        <v>129.88732400920745</v>
      </c>
      <c r="M881" s="618">
        <f t="shared" si="2681"/>
        <v>131.41134334319412</v>
      </c>
      <c r="N881" s="618">
        <f t="shared" si="2681"/>
        <v>113.63662604417783</v>
      </c>
      <c r="O881" s="618">
        <f t="shared" si="2681"/>
        <v>116.80252051120613</v>
      </c>
      <c r="P881" s="618">
        <f t="shared" si="2681"/>
        <v>120.07371701224164</v>
      </c>
      <c r="Q881" s="618">
        <f t="shared" ref="Q881:U881" si="2682">SUM(Q882:Q883,Q888:Q889)+Q887</f>
        <v>123.47535438146667</v>
      </c>
      <c r="R881" s="618">
        <f t="shared" si="2682"/>
        <v>127.0067935276108</v>
      </c>
      <c r="S881" s="618">
        <f t="shared" si="2682"/>
        <v>130.67299035315182</v>
      </c>
      <c r="T881" s="618">
        <f t="shared" si="2682"/>
        <v>134.47911019027049</v>
      </c>
      <c r="U881" s="618">
        <f t="shared" si="2682"/>
        <v>138.43053629123148</v>
      </c>
    </row>
    <row r="882" spans="3:22" hidden="1" outlineLevel="1" x14ac:dyDescent="0.3">
      <c r="C882" s="587" t="s">
        <v>51</v>
      </c>
      <c r="D882" s="56" t="str">
        <f t="shared" ref="D882:D893" si="2683">D881</f>
        <v>Baseline</v>
      </c>
      <c r="E882" s="630" t="s">
        <v>205</v>
      </c>
      <c r="F882" s="874">
        <f>SUM(G882:P882)</f>
        <v>-119.13999999999999</v>
      </c>
      <c r="G882" s="593" cm="1">
        <f t="array" ref="G882">-SUMPRODUCT('EE Measures'!BZ$8:BZ$86,'EE Measures'!$IF$8:$IF$86,--('EE Measures'!$B$8:$B$86='Pathway Analysis'!$C882),'EE Measures'!$CR$8:$CR$86)</f>
        <v>-30.814851901214958</v>
      </c>
      <c r="H882" s="593" cm="1">
        <f t="array" ref="H882">-SUMPRODUCT('EE Measures'!CA$8:CA$86,'EE Measures'!$IF$8:$IF$86,--('EE Measures'!$B$8:$B$86='Pathway Analysis'!$C882),'EE Measures'!$CR$8:$CR$86)</f>
        <v>-39.011514036496656</v>
      </c>
      <c r="I882" s="593" cm="1">
        <f t="array" ref="I882">-SUMPRODUCT('EE Measures'!CB$8:CB$86,'EE Measures'!$IF$8:$IF$86,--('EE Measures'!$B$8:$B$86='Pathway Analysis'!$C882),'EE Measures'!$CR$8:$CR$86)</f>
        <v>-49.313634062288372</v>
      </c>
      <c r="J882" s="593" cm="1">
        <f t="array" ref="J882">-SUMPRODUCT('EE Measures'!CC$8:CC$86,'EE Measures'!$IF$8:$IF$86,--('EE Measures'!$B$8:$B$86='Pathway Analysis'!$C882),'EE Measures'!$CR$8:$CR$86)</f>
        <v>0</v>
      </c>
      <c r="K882" s="593" cm="1">
        <f t="array" ref="K882">-SUMPRODUCT('EE Measures'!CD$8:CD$86,'EE Measures'!$IF$8:$IF$86,--('EE Measures'!$B$8:$B$86='Pathway Analysis'!$C882),'EE Measures'!$CR$8:$CR$86)</f>
        <v>0</v>
      </c>
      <c r="L882" s="593" cm="1">
        <f t="array" ref="L882">-SUMPRODUCT('EE Measures'!CE$8:CE$86,'EE Measures'!$IF$8:$IF$86,--('EE Measures'!$B$8:$B$86='Pathway Analysis'!$C882),'EE Measures'!$CR$8:$CR$86)</f>
        <v>0</v>
      </c>
      <c r="M882" s="593" cm="1">
        <f t="array" ref="M882">-SUMPRODUCT('EE Measures'!CF$8:CF$86,'EE Measures'!$IF$8:$IF$86,--('EE Measures'!$B$8:$B$86='Pathway Analysis'!$C882),'EE Measures'!$CR$8:$CR$86)</f>
        <v>0</v>
      </c>
      <c r="N882" s="593" cm="1">
        <f t="array" ref="N882">-SUMPRODUCT('EE Measures'!CG$8:CG$86,'EE Measures'!$IF$8:$IF$86,--('EE Measures'!$B$8:$B$86='Pathway Analysis'!$C882),'EE Measures'!$CR$8:$CR$86)</f>
        <v>0</v>
      </c>
      <c r="O882" s="593" cm="1">
        <f t="array" ref="O882">-SUMPRODUCT('EE Measures'!CH$8:CH$86,'EE Measures'!$IF$8:$IF$86,--('EE Measures'!$B$8:$B$86='Pathway Analysis'!$C882),'EE Measures'!$CR$8:$CR$86)</f>
        <v>0</v>
      </c>
      <c r="P882" s="593" cm="1">
        <f t="array" ref="P882">-SUMPRODUCT('EE Measures'!CI$8:CI$86,'EE Measures'!$IF$8:$IF$86,--('EE Measures'!$B$8:$B$86='Pathway Analysis'!$C882),'EE Measures'!$CR$8:$CR$86)</f>
        <v>0</v>
      </c>
      <c r="Q882" s="593" cm="1">
        <f t="array" ref="Q882">-SUMPRODUCT('EE Measures'!CJ$8:CJ$86,'EE Measures'!$IF$8:$IF$86,--('EE Measures'!$B$8:$B$86='Pathway Analysis'!$C882),'EE Measures'!$CR$8:$CR$86)</f>
        <v>0</v>
      </c>
      <c r="R882" s="593" cm="1">
        <f t="array" ref="R882">-SUMPRODUCT('EE Measures'!CK$8:CK$86,'EE Measures'!$IF$8:$IF$86,--('EE Measures'!$B$8:$B$86='Pathway Analysis'!$C882),'EE Measures'!$CR$8:$CR$86)</f>
        <v>0</v>
      </c>
      <c r="S882" s="593" cm="1">
        <f t="array" ref="S882">-SUMPRODUCT('EE Measures'!CL$8:CL$86,'EE Measures'!$IF$8:$IF$86,--('EE Measures'!$B$8:$B$86='Pathway Analysis'!$C882),'EE Measures'!$CR$8:$CR$86)</f>
        <v>0</v>
      </c>
      <c r="T882" s="593" cm="1">
        <f t="array" ref="T882">-SUMPRODUCT('EE Measures'!CM$8:CM$86,'EE Measures'!$IF$8:$IF$86,--('EE Measures'!$B$8:$B$86='Pathway Analysis'!$C882),'EE Measures'!$CR$8:$CR$86)</f>
        <v>0</v>
      </c>
      <c r="U882" s="593" cm="1">
        <f t="array" ref="U882">-SUMPRODUCT('EE Measures'!CN$8:CN$86,'EE Measures'!$IF$8:$IF$86,--('EE Measures'!$B$8:$B$86='Pathway Analysis'!$C882),'EE Measures'!$CR$8:$CR$86)</f>
        <v>0</v>
      </c>
      <c r="V882" s="898">
        <f t="shared" ref="V882:V892" si="2684">SUM(G882:P882)</f>
        <v>-119.13999999999999</v>
      </c>
    </row>
    <row r="883" spans="3:22" hidden="1" outlineLevel="1" x14ac:dyDescent="0.3">
      <c r="C883" s="587" t="s">
        <v>53</v>
      </c>
      <c r="D883" s="56" t="str">
        <f t="shared" si="2683"/>
        <v>Baseline</v>
      </c>
      <c r="E883" s="630" t="s">
        <v>206</v>
      </c>
      <c r="F883" s="874">
        <f>SUM(G883:P883)</f>
        <v>0</v>
      </c>
      <c r="G883" s="593" cm="1">
        <f t="array" ref="G883">-SUMPRODUCT('EE Measures'!BZ$8:BZ$86,'EE Measures'!$IF$8:$IF$86,--('EE Measures'!$B$8:$B$86=$C883),'EE Measures'!$CR$8:$CR$86,'EE Measures'!$AO$8:$AO$86)</f>
        <v>0</v>
      </c>
      <c r="H883" s="593" cm="1">
        <f t="array" ref="H883">-SUMPRODUCT('EE Measures'!CA$8:CA$86,'EE Measures'!$IF$8:$IF$86,--('EE Measures'!$B$8:$B$86=$C883),'EE Measures'!$CR$8:$CR$86,'EE Measures'!$AO$8:$AO$86)</f>
        <v>0</v>
      </c>
      <c r="I883" s="593" cm="1">
        <f t="array" ref="I883">-SUMPRODUCT('EE Measures'!CB$8:CB$86,'EE Measures'!$IF$8:$IF$86,--('EE Measures'!$B$8:$B$86=$C883),'EE Measures'!$CR$8:$CR$86,'EE Measures'!$AO$8:$AO$86)</f>
        <v>0</v>
      </c>
      <c r="J883" s="593" cm="1">
        <f t="array" ref="J883">-SUMPRODUCT('EE Measures'!CC$8:CC$86,'EE Measures'!$IF$8:$IF$86,--('EE Measures'!$B$8:$B$86=$C883),'EE Measures'!$CR$8:$CR$86,'EE Measures'!$AO$8:$AO$86)</f>
        <v>0</v>
      </c>
      <c r="K883" s="593" cm="1">
        <f t="array" ref="K883">-SUMPRODUCT('EE Measures'!CD$8:CD$86,'EE Measures'!$IF$8:$IF$86,--('EE Measures'!$B$8:$B$86=$C883),'EE Measures'!$CR$8:$CR$86,'EE Measures'!$AO$8:$AO$86)</f>
        <v>0</v>
      </c>
      <c r="L883" s="593" cm="1">
        <f t="array" ref="L883">-SUMPRODUCT('EE Measures'!CE$8:CE$86,'EE Measures'!$IF$8:$IF$86,--('EE Measures'!$B$8:$B$86=$C883),'EE Measures'!$CR$8:$CR$86,'EE Measures'!$AO$8:$AO$86)</f>
        <v>0</v>
      </c>
      <c r="M883" s="593" cm="1">
        <f t="array" ref="M883">-SUMPRODUCT('EE Measures'!CF$8:CF$86,'EE Measures'!$IF$8:$IF$86,--('EE Measures'!$B$8:$B$86=$C883),'EE Measures'!$CR$8:$CR$86,'EE Measures'!$AO$8:$AO$86)</f>
        <v>0</v>
      </c>
      <c r="N883" s="593" cm="1">
        <f t="array" ref="N883">-SUMPRODUCT('EE Measures'!CG$8:CG$86,'EE Measures'!$IF$8:$IF$86,--('EE Measures'!$B$8:$B$86=$C883),'EE Measures'!$CR$8:$CR$86,'EE Measures'!$AO$8:$AO$86)</f>
        <v>0</v>
      </c>
      <c r="O883" s="593" cm="1">
        <f t="array" ref="O883">-SUMPRODUCT('EE Measures'!CH$8:CH$86,'EE Measures'!$IF$8:$IF$86,--('EE Measures'!$B$8:$B$86=$C883),'EE Measures'!$CR$8:$CR$86,'EE Measures'!$AO$8:$AO$86)</f>
        <v>0</v>
      </c>
      <c r="P883" s="593" cm="1">
        <f t="array" ref="P883">-SUMPRODUCT('EE Measures'!CI$8:CI$86,'EE Measures'!$IF$8:$IF$86,--('EE Measures'!$B$8:$B$86=$C883),'EE Measures'!$CR$8:$CR$86,'EE Measures'!$AO$8:$AO$86)</f>
        <v>0</v>
      </c>
      <c r="Q883" s="593" cm="1">
        <f t="array" ref="Q883">-SUMPRODUCT('EE Measures'!CJ$8:CJ$86,'EE Measures'!$IF$8:$IF$86,--('EE Measures'!$B$8:$B$86=$C883),'EE Measures'!$CR$8:$CR$86,'EE Measures'!$AO$8:$AO$86)</f>
        <v>0</v>
      </c>
      <c r="R883" s="593" cm="1">
        <f t="array" ref="R883">-SUMPRODUCT('EE Measures'!CK$8:CK$86,'EE Measures'!$IF$8:$IF$86,--('EE Measures'!$B$8:$B$86=$C883),'EE Measures'!$CR$8:$CR$86,'EE Measures'!$AO$8:$AO$86)</f>
        <v>0</v>
      </c>
      <c r="S883" s="593" cm="1">
        <f t="array" ref="S883">-SUMPRODUCT('EE Measures'!CL$8:CL$86,'EE Measures'!$IF$8:$IF$86,--('EE Measures'!$B$8:$B$86=$C883),'EE Measures'!$CR$8:$CR$86,'EE Measures'!$AO$8:$AO$86)</f>
        <v>0</v>
      </c>
      <c r="T883" s="593" cm="1">
        <f t="array" ref="T883">-SUMPRODUCT('EE Measures'!CM$8:CM$86,'EE Measures'!$IF$8:$IF$86,--('EE Measures'!$B$8:$B$86=$C883),'EE Measures'!$CR$8:$CR$86,'EE Measures'!$AO$8:$AO$86)</f>
        <v>0</v>
      </c>
      <c r="U883" s="593" cm="1">
        <f t="array" ref="U883">-SUMPRODUCT('EE Measures'!CN$8:CN$86,'EE Measures'!$IF$8:$IF$86,--('EE Measures'!$B$8:$B$86=$C883),'EE Measures'!$CR$8:$CR$86,'EE Measures'!$AO$8:$AO$86)</f>
        <v>0</v>
      </c>
      <c r="V883" s="898">
        <f t="shared" si="2684"/>
        <v>0</v>
      </c>
    </row>
    <row r="884" spans="3:22" hidden="1" outlineLevel="1" x14ac:dyDescent="0.3">
      <c r="D884" s="56" t="str">
        <f t="shared" si="2683"/>
        <v>Baseline</v>
      </c>
      <c r="E884" s="630" t="s">
        <v>207</v>
      </c>
      <c r="F884" s="874">
        <f>SUM(G884:P884)</f>
        <v>-322.05271252661595</v>
      </c>
      <c r="G884" s="593">
        <f>SUM(G885:G887)</f>
        <v>-6.0172515650332716</v>
      </c>
      <c r="H884" s="593">
        <f>SUM(H885:H887)</f>
        <v>-10.649730401005812</v>
      </c>
      <c r="I884" s="593">
        <f t="shared" ref="I884:P884" si="2685">SUM(I885:I887)</f>
        <v>-16.111006803419109</v>
      </c>
      <c r="J884" s="593">
        <f t="shared" si="2685"/>
        <v>-24.127779275902284</v>
      </c>
      <c r="K884" s="593">
        <f t="shared" si="2685"/>
        <v>-35.446162298805426</v>
      </c>
      <c r="L884" s="593">
        <f t="shared" si="2685"/>
        <v>-38.765518061171662</v>
      </c>
      <c r="M884" s="593">
        <f t="shared" si="2685"/>
        <v>-42.218845851618298</v>
      </c>
      <c r="N884" s="593">
        <f t="shared" si="2685"/>
        <v>-45.805147583735859</v>
      </c>
      <c r="O884" s="593">
        <f t="shared" si="2685"/>
        <v>-49.525634283784527</v>
      </c>
      <c r="P884" s="593">
        <f t="shared" si="2685"/>
        <v>-53.385636402139724</v>
      </c>
      <c r="Q884" s="593">
        <f t="shared" ref="Q884:U884" si="2686">SUM(Q885:Q887)</f>
        <v>-57.390705001578894</v>
      </c>
      <c r="R884" s="593">
        <f t="shared" si="2686"/>
        <v>-61.546621128031596</v>
      </c>
      <c r="S884" s="593">
        <f t="shared" si="2686"/>
        <v>-65.85940559054562</v>
      </c>
      <c r="T884" s="593">
        <f t="shared" si="2686"/>
        <v>-70.335329168651299</v>
      </c>
      <c r="U884" s="593">
        <f t="shared" si="2686"/>
        <v>-74.980923266127206</v>
      </c>
      <c r="V884" s="898">
        <f t="shared" si="2684"/>
        <v>-322.05271252661595</v>
      </c>
    </row>
    <row r="885" spans="3:22" hidden="1" outlineLevel="1" x14ac:dyDescent="0.3">
      <c r="C885" s="587" t="s">
        <v>51</v>
      </c>
      <c r="D885" s="56" t="str">
        <f t="shared" si="2683"/>
        <v>Baseline</v>
      </c>
      <c r="E885" s="632" t="s">
        <v>468</v>
      </c>
      <c r="F885" s="584"/>
      <c r="G885" s="619" cm="1">
        <f t="array" ref="G885">-SUMPRODUCT('EE Measures'!EE$8:EE$86,'EE Measures'!$IF$8:$IF$86,--('EE Measures'!$B$8:$B$86='Pathway Analysis'!$C885),'EE Measures'!$CR$8:$CR$86)</f>
        <v>-6.0172515650332716</v>
      </c>
      <c r="H885" s="619" cm="1">
        <f t="array" ref="H885">-SUMPRODUCT('EE Measures'!EF$8:EF$86,'EE Measures'!$IF$8:$IF$86,--('EE Measures'!$B$8:$B$86='Pathway Analysis'!$C885),'EE Measures'!$CR$8:$CR$86)</f>
        <v>-7.9382106950073572</v>
      </c>
      <c r="I885" s="619" cm="1">
        <f t="array" ref="I885">-SUMPRODUCT('EE Measures'!EG$8:EG$86,'EE Measures'!$IF$8:$IF$86,--('EE Measures'!$B$8:$B$86='Pathway Analysis'!$C885),'EE Measures'!$CR$8:$CR$86)</f>
        <v>-10.588217739959365</v>
      </c>
      <c r="J885" s="619" cm="1">
        <f t="array" ref="J885">-SUMPRODUCT('EE Measures'!EH$8:EH$86,'EE Measures'!$IF$8:$IF$86,--('EE Measures'!$B$8:$B$86='Pathway Analysis'!$C885),'EE Measures'!$CR$8:$CR$86)</f>
        <v>0</v>
      </c>
      <c r="K885" s="619" cm="1">
        <f t="array" ref="K885">-SUMPRODUCT('EE Measures'!EI$8:EI$86,'EE Measures'!$IF$8:$IF$86,--('EE Measures'!$B$8:$B$86='Pathway Analysis'!$C885),'EE Measures'!$CR$8:$CR$86)</f>
        <v>0</v>
      </c>
      <c r="L885" s="619" cm="1">
        <f t="array" ref="L885">-SUMPRODUCT('EE Measures'!EJ$8:EJ$86,'EE Measures'!$IF$8:$IF$86,--('EE Measures'!$B$8:$B$86='Pathway Analysis'!$C885),'EE Measures'!$CR$8:$CR$86)</f>
        <v>0</v>
      </c>
      <c r="M885" s="619" cm="1">
        <f t="array" ref="M885">-SUMPRODUCT('EE Measures'!EK$8:EK$86,'EE Measures'!$IF$8:$IF$86,--('EE Measures'!$B$8:$B$86='Pathway Analysis'!$C885),'EE Measures'!$CR$8:$CR$86)</f>
        <v>0</v>
      </c>
      <c r="N885" s="619" cm="1">
        <f t="array" ref="N885">-SUMPRODUCT('EE Measures'!EL$8:EL$86,'EE Measures'!$IF$8:$IF$86,--('EE Measures'!$B$8:$B$86='Pathway Analysis'!$C885),'EE Measures'!$CR$8:$CR$86)</f>
        <v>0</v>
      </c>
      <c r="O885" s="619" cm="1">
        <f t="array" ref="O885">-SUMPRODUCT('EE Measures'!EM$8:EM$86,'EE Measures'!$IF$8:$IF$86,--('EE Measures'!$B$8:$B$86='Pathway Analysis'!$C885),'EE Measures'!$CR$8:$CR$86)</f>
        <v>0</v>
      </c>
      <c r="P885" s="619" cm="1">
        <f t="array" ref="P885">-SUMPRODUCT('EE Measures'!EN$8:EN$86,'EE Measures'!$IF$8:$IF$86,--('EE Measures'!$B$8:$B$86='Pathway Analysis'!$C885),'EE Measures'!$CR$8:$CR$86)</f>
        <v>0</v>
      </c>
      <c r="Q885" s="619" cm="1">
        <f t="array" ref="Q885">-SUMPRODUCT('EE Measures'!EO$8:EO$86,'EE Measures'!$IF$8:$IF$86,--('EE Measures'!$B$8:$B$86='Pathway Analysis'!$C885),'EE Measures'!$CR$8:$CR$86)</f>
        <v>0</v>
      </c>
      <c r="R885" s="619" cm="1">
        <f t="array" ref="R885">-SUMPRODUCT('EE Measures'!EP$8:EP$86,'EE Measures'!$IF$8:$IF$86,--('EE Measures'!$B$8:$B$86='Pathway Analysis'!$C885),'EE Measures'!$CR$8:$CR$86)</f>
        <v>0</v>
      </c>
      <c r="S885" s="619" cm="1">
        <f t="array" ref="S885">-SUMPRODUCT('EE Measures'!EQ$8:EQ$86,'EE Measures'!$IF$8:$IF$86,--('EE Measures'!$B$8:$B$86='Pathway Analysis'!$C885),'EE Measures'!$CR$8:$CR$86)</f>
        <v>0</v>
      </c>
      <c r="T885" s="619" cm="1">
        <f t="array" ref="T885">-SUMPRODUCT('EE Measures'!ER$8:ER$86,'EE Measures'!$IF$8:$IF$86,--('EE Measures'!$B$8:$B$86='Pathway Analysis'!$C885),'EE Measures'!$CR$8:$CR$86)</f>
        <v>0</v>
      </c>
      <c r="U885" s="619" cm="1">
        <f t="array" ref="U885">-SUMPRODUCT('EE Measures'!ES$8:ES$86,'EE Measures'!$IF$8:$IF$86,--('EE Measures'!$B$8:$B$86='Pathway Analysis'!$C885),'EE Measures'!$CR$8:$CR$86)</f>
        <v>0</v>
      </c>
      <c r="V885" s="898">
        <f t="shared" si="2684"/>
        <v>-24.543679999999995</v>
      </c>
    </row>
    <row r="886" spans="3:22" hidden="1" outlineLevel="1" x14ac:dyDescent="0.3">
      <c r="D886" s="56" t="str">
        <f t="shared" si="2683"/>
        <v>Baseline</v>
      </c>
      <c r="E886" s="632" t="s">
        <v>469</v>
      </c>
      <c r="F886" s="584"/>
      <c r="G886" s="620">
        <f>-SUMPRODUCT('EE Measures'!EE$8:EE$86,'EE Measures'!$IF$8:$IF$86,'EE Measures'!$AO$8:$AO$86,'EE Measures'!$CR$8:$CR$86,'EE Measures'!$Q$8:$Q$86)</f>
        <v>0</v>
      </c>
      <c r="H886" s="620">
        <f>-SUMPRODUCT('EE Measures'!EF$8:EF$86,'EE Measures'!$IF$8:$IF$86,'EE Measures'!$AO$8:$AO$86,'EE Measures'!$CR$8:$CR$86,'EE Measures'!$Q$8:$Q$86)</f>
        <v>-1.3601031238834424E-2</v>
      </c>
      <c r="I886" s="620">
        <f>-SUMPRODUCT('EE Measures'!EG$8:EG$86,'EE Measures'!$IF$8:$IF$86,'EE Measures'!$AO$8:$AO$86,'EE Measures'!$CR$8:$CR$86,'EE Measures'!$Q$8:$Q$86)</f>
        <v>-2.8022770906001616E-2</v>
      </c>
      <c r="J886" s="620">
        <f>-SUMPRODUCT('EE Measures'!EH$8:EH$86,'EE Measures'!$IF$8:$IF$86,'EE Measures'!$AO$8:$AO$86,'EE Measures'!$CR$8:$CR$86,'EE Measures'!$Q$8:$Q$86)</f>
        <v>-5.579300303866356</v>
      </c>
      <c r="K886" s="620">
        <f>-SUMPRODUCT('EE Measures'!EI$8:EI$86,'EE Measures'!$IF$8:$IF$86,'EE Measures'!$AO$8:$AO$86,'EE Measures'!$CR$8:$CR$86,'EE Measures'!$Q$8:$Q$86)</f>
        <v>-8.3807154081827324</v>
      </c>
      <c r="L886" s="620">
        <f>-SUMPRODUCT('EE Measures'!EJ$8:EJ$86,'EE Measures'!$IF$8:$IF$86,'EE Measures'!$AO$8:$AO$86,'EE Measures'!$CR$8:$CR$86,'EE Measures'!$Q$8:$Q$86)</f>
        <v>-8.4540960561458398</v>
      </c>
      <c r="M886" s="620">
        <f>-SUMPRODUCT('EE Measures'!EK$8:EK$86,'EE Measures'!$IF$8:$IF$86,'EE Measures'!$AO$8:$AO$86,'EE Measures'!$CR$8:$CR$86,'EE Measures'!$Q$8:$Q$86)</f>
        <v>-8.530895699756508</v>
      </c>
      <c r="N886" s="620">
        <f>-SUMPRODUCT('EE Measures'!EL$8:EL$86,'EE Measures'!$IF$8:$IF$86,'EE Measures'!$AO$8:$AO$86,'EE Measures'!$CR$8:$CR$86,'EE Measures'!$Q$8:$Q$86)</f>
        <v>-8.6139857552340207</v>
      </c>
      <c r="O886" s="620">
        <f>-SUMPRODUCT('EE Measures'!EM$8:EM$86,'EE Measures'!$IF$8:$IF$86,'EE Measures'!$AO$8:$AO$86,'EE Measures'!$CR$8:$CR$86,'EE Measures'!$Q$8:$Q$86)</f>
        <v>-8.7000915576175331</v>
      </c>
      <c r="P886" s="620">
        <f>-SUMPRODUCT('EE Measures'!EN$8:EN$86,'EE Measures'!$IF$8:$IF$86,'EE Measures'!$AO$8:$AO$86,'EE Measures'!$CR$8:$CR$86,'EE Measures'!$Q$8:$Q$86)</f>
        <v>-8.7892597137136104</v>
      </c>
      <c r="Q886" s="620">
        <f>-SUMPRODUCT('EE Measures'!EO$8:EO$86,'EE Measures'!$IF$8:$IF$86,'EE Measures'!$AO$8:$AO$86,'EE Measures'!$CR$8:$CR$86,'EE Measures'!$Q$8:$Q$86)</f>
        <v>-8.8815389450843512</v>
      </c>
      <c r="R886" s="620">
        <f>-SUMPRODUCT('EE Measures'!EP$8:EP$86,'EE Measures'!$IF$8:$IF$86,'EE Measures'!$AO$8:$AO$86,'EE Measures'!$CR$8:$CR$86,'EE Measures'!$Q$8:$Q$86)</f>
        <v>-8.9769801474174642</v>
      </c>
      <c r="S886" s="620">
        <f>-SUMPRODUCT('EE Measures'!EQ$8:EQ$86,'EE Measures'!$IF$8:$IF$86,'EE Measures'!$AO$8:$AO$86,'EE Measures'!$CR$8:$CR$86,'EE Measures'!$Q$8:$Q$86)</f>
        <v>-9.075636452439257</v>
      </c>
      <c r="T886" s="620">
        <f>-SUMPRODUCT('EE Measures'!ER$8:ER$86,'EE Measures'!$IF$8:$IF$86,'EE Measures'!$AO$8:$AO$86,'EE Measures'!$CR$8:$CR$86,'EE Measures'!$Q$8:$Q$86)</f>
        <v>-9.1775632924630965</v>
      </c>
      <c r="U886" s="620">
        <f>-SUMPRODUCT('EE Measures'!ES$8:ES$86,'EE Measures'!$IF$8:$IF$86,'EE Measures'!$AO$8:$AO$86,'EE Measures'!$CR$8:$CR$86,'EE Measures'!$Q$8:$Q$86)</f>
        <v>-9.2828184676696015</v>
      </c>
      <c r="V886" s="898">
        <f t="shared" si="2684"/>
        <v>-57.089968296661439</v>
      </c>
    </row>
    <row r="887" spans="3:22" hidden="1" outlineLevel="1" x14ac:dyDescent="0.3">
      <c r="C887" s="587" t="s">
        <v>470</v>
      </c>
      <c r="D887" s="56" t="str">
        <f t="shared" si="2683"/>
        <v>Baseline</v>
      </c>
      <c r="E887" s="632" t="s">
        <v>471</v>
      </c>
      <c r="F887" s="584"/>
      <c r="G887" s="619" cm="1">
        <f t="array" ref="G887">-((SUMPRODUCT('EE Measures'!EE$8:EE$86,'EE Measures'!$IF$8:$IF$86,--('EE Measures'!$B$8:$B$86='Pathway Analysis'!$C887),'EE Measures'!$O$8:$O$86)))</f>
        <v>0</v>
      </c>
      <c r="H887" s="619" cm="1">
        <f t="array" ref="H887">-((SUMPRODUCT('EE Measures'!EF$8:EF$86,'EE Measures'!$IF$8:$IF$86,--('EE Measures'!$B$8:$B$86='Pathway Analysis'!$C887),'EE Measures'!$O$8:$O$86)))</f>
        <v>-2.6979186747596207</v>
      </c>
      <c r="I887" s="619" cm="1">
        <f t="array" ref="I887">-((SUMPRODUCT('EE Measures'!EG$8:EG$86,'EE Measures'!$IF$8:$IF$86,--('EE Measures'!$B$8:$B$86='Pathway Analysis'!$C887),'EE Measures'!$O$8:$O$86)))</f>
        <v>-5.4947662925537406</v>
      </c>
      <c r="J887" s="619" cm="1">
        <f t="array" ref="J887">-((SUMPRODUCT('EE Measures'!EH$8:EH$86,'EE Measures'!$IF$8:$IF$86,--('EE Measures'!$B$8:$B$86='Pathway Analysis'!$C887),'EE Measures'!$O$8:$O$86)))</f>
        <v>-18.54847897203593</v>
      </c>
      <c r="K887" s="619" cm="1">
        <f t="array" ref="K887">-((SUMPRODUCT('EE Measures'!EI$8:EI$86,'EE Measures'!$IF$8:$IF$86,--('EE Measures'!$B$8:$B$86='Pathway Analysis'!$C887),'EE Measures'!$O$8:$O$86)))</f>
        <v>-27.065446890622692</v>
      </c>
      <c r="L887" s="619" cm="1">
        <f t="array" ref="L887">-((SUMPRODUCT('EE Measures'!EJ$8:EJ$86,'EE Measures'!$IF$8:$IF$86,--('EE Measures'!$B$8:$B$86='Pathway Analysis'!$C887),'EE Measures'!$O$8:$O$86)))</f>
        <v>-30.311422005025822</v>
      </c>
      <c r="M887" s="619" cm="1">
        <f t="array" ref="M887">-((SUMPRODUCT('EE Measures'!EK$8:EK$86,'EE Measures'!$IF$8:$IF$86,--('EE Measures'!$B$8:$B$86='Pathway Analysis'!$C887),'EE Measures'!$O$8:$O$86)))</f>
        <v>-33.687950151861791</v>
      </c>
      <c r="N887" s="619" cm="1">
        <f t="array" ref="N887">-((SUMPRODUCT('EE Measures'!EL$8:EL$86,'EE Measures'!$IF$8:$IF$86,--('EE Measures'!$B$8:$B$86='Pathway Analysis'!$C887),'EE Measures'!$O$8:$O$86)))</f>
        <v>-37.191161828501841</v>
      </c>
      <c r="O887" s="619" cm="1">
        <f t="array" ref="O887">-((SUMPRODUCT('EE Measures'!EM$8:EM$86,'EE Measures'!$IF$8:$IF$86,--('EE Measures'!$B$8:$B$86='Pathway Analysis'!$C887),'EE Measures'!$O$8:$O$86)))</f>
        <v>-40.825542726166994</v>
      </c>
      <c r="P887" s="619" cm="1">
        <f t="array" ref="P887">-((SUMPRODUCT('EE Measures'!EN$8:EN$86,'EE Measures'!$IF$8:$IF$86,--('EE Measures'!$B$8:$B$86='Pathway Analysis'!$C887),'EE Measures'!$O$8:$O$86)))</f>
        <v>-44.596376688426112</v>
      </c>
      <c r="Q887" s="619" cm="1">
        <f t="array" ref="Q887">-((SUMPRODUCT('EE Measures'!EO$8:EO$86,'EE Measures'!$IF$8:$IF$86,--('EE Measures'!$B$8:$B$86='Pathway Analysis'!$C887),'EE Measures'!$O$8:$O$86)))</f>
        <v>-48.509166056494543</v>
      </c>
      <c r="R887" s="619" cm="1">
        <f t="array" ref="R887">-((SUMPRODUCT('EE Measures'!EP$8:EP$86,'EE Measures'!$IF$8:$IF$86,--('EE Measures'!$B$8:$B$86='Pathway Analysis'!$C887),'EE Measures'!$O$8:$O$86)))</f>
        <v>-52.569640980614132</v>
      </c>
      <c r="S887" s="619" cm="1">
        <f t="array" ref="S887">-((SUMPRODUCT('EE Measures'!EQ$8:EQ$86,'EE Measures'!$IF$8:$IF$86,--('EE Measures'!$B$8:$B$86='Pathway Analysis'!$C887),'EE Measures'!$O$8:$O$86)))</f>
        <v>-56.783769138106365</v>
      </c>
      <c r="T887" s="619" cm="1">
        <f t="array" ref="T887">-((SUMPRODUCT('EE Measures'!ER$8:ER$86,'EE Measures'!$IF$8:$IF$86,--('EE Measures'!$B$8:$B$86='Pathway Analysis'!$C887),'EE Measures'!$O$8:$O$86)))</f>
        <v>-61.157765876188201</v>
      </c>
      <c r="U887" s="619" cm="1">
        <f t="array" ref="U887">-((SUMPRODUCT('EE Measures'!ES$8:ES$86,'EE Measures'!$IF$8:$IF$86,--('EE Measures'!$B$8:$B$86='Pathway Analysis'!$C887),'EE Measures'!$O$8:$O$86)))</f>
        <v>-65.698104798457607</v>
      </c>
      <c r="V887" s="898">
        <f t="shared" si="2684"/>
        <v>-240.41906422995453</v>
      </c>
    </row>
    <row r="888" spans="3:22" hidden="1" outlineLevel="1" x14ac:dyDescent="0.3">
      <c r="D888" s="56" t="str">
        <f t="shared" si="2683"/>
        <v>Baseline</v>
      </c>
      <c r="E888" s="630" t="s">
        <v>208</v>
      </c>
      <c r="F888" s="874">
        <f>SUM(G888:P888)</f>
        <v>1219.4303211653532</v>
      </c>
      <c r="G888" s="567">
        <f>G810-G803</f>
        <v>106.39353063969975</v>
      </c>
      <c r="H888" s="567">
        <f>H810-H803</f>
        <v>93.210601943788788</v>
      </c>
      <c r="I888" s="567">
        <f t="shared" ref="I888:P888" si="2687">I810-I803</f>
        <v>82.823144445963408</v>
      </c>
      <c r="J888" s="567">
        <f t="shared" si="2687"/>
        <v>81.683395824111358</v>
      </c>
      <c r="K888" s="567">
        <f t="shared" si="2687"/>
        <v>138.73089840033572</v>
      </c>
      <c r="L888" s="567">
        <f t="shared" si="2687"/>
        <v>146.03045178836328</v>
      </c>
      <c r="M888" s="567">
        <f t="shared" si="2687"/>
        <v>149.86465872159533</v>
      </c>
      <c r="N888" s="567">
        <f t="shared" si="2687"/>
        <v>134.50106900880928</v>
      </c>
      <c r="O888" s="567">
        <f t="shared" si="2687"/>
        <v>140.16575864419428</v>
      </c>
      <c r="P888" s="567">
        <f t="shared" si="2687"/>
        <v>146.02681174849204</v>
      </c>
      <c r="Q888" s="567">
        <f t="shared" ref="Q888:U888" si="2688">Q810-Q803</f>
        <v>152.1127770951025</v>
      </c>
      <c r="R888" s="567">
        <f t="shared" si="2688"/>
        <v>158.42695091805581</v>
      </c>
      <c r="S888" s="567">
        <f t="shared" si="2688"/>
        <v>164.97809421959028</v>
      </c>
      <c r="T888" s="567">
        <f t="shared" si="2688"/>
        <v>171.7753302262754</v>
      </c>
      <c r="U888" s="567">
        <f t="shared" si="2688"/>
        <v>178.82815940665023</v>
      </c>
      <c r="V888" s="898">
        <f t="shared" si="2684"/>
        <v>1219.4303211653532</v>
      </c>
    </row>
    <row r="889" spans="3:22" hidden="1" outlineLevel="1" x14ac:dyDescent="0.3">
      <c r="C889" s="587" t="s">
        <v>51</v>
      </c>
      <c r="D889" s="56" t="str">
        <f t="shared" si="2683"/>
        <v>Baseline</v>
      </c>
      <c r="E889" s="630" t="s">
        <v>342</v>
      </c>
      <c r="F889" s="874">
        <f>SUM(G889:P889)</f>
        <v>118.40043368670489</v>
      </c>
      <c r="G889" s="618">
        <f>SUM(G890:G892)</f>
        <v>2.7670850444209973</v>
      </c>
      <c r="H889" s="618">
        <f>SUM(H890:H892)</f>
        <v>4.5264625859485212</v>
      </c>
      <c r="I889" s="618">
        <f t="shared" ref="I889:P889" si="2689">SUM(I890:I892)</f>
        <v>5.8987813931855886</v>
      </c>
      <c r="J889" s="618">
        <f t="shared" si="2689"/>
        <v>10.23017354677825</v>
      </c>
      <c r="K889" s="618">
        <f t="shared" si="2689"/>
        <v>13.142696707816029</v>
      </c>
      <c r="L889" s="618">
        <f t="shared" si="2689"/>
        <v>14.168294225870003</v>
      </c>
      <c r="M889" s="618">
        <f t="shared" si="2689"/>
        <v>15.234634773460572</v>
      </c>
      <c r="N889" s="618">
        <f t="shared" si="2689"/>
        <v>16.326718863870369</v>
      </c>
      <c r="O889" s="618">
        <f t="shared" si="2689"/>
        <v>17.462304593178828</v>
      </c>
      <c r="P889" s="618">
        <f t="shared" si="2689"/>
        <v>18.643281952175727</v>
      </c>
      <c r="Q889" s="618">
        <f t="shared" ref="Q889:U889" si="2690">SUM(Q890:Q892)</f>
        <v>19.871743342858714</v>
      </c>
      <c r="R889" s="618">
        <f t="shared" si="2690"/>
        <v>21.149483590169126</v>
      </c>
      <c r="S889" s="618">
        <f t="shared" si="2690"/>
        <v>22.478665271667928</v>
      </c>
      <c r="T889" s="618">
        <f t="shared" si="2690"/>
        <v>23.861545840183297</v>
      </c>
      <c r="U889" s="618">
        <f t="shared" si="2690"/>
        <v>25.300481683038843</v>
      </c>
      <c r="V889" s="898">
        <f t="shared" si="2684"/>
        <v>118.40043368670489</v>
      </c>
    </row>
    <row r="890" spans="3:22" hidden="1" outlineLevel="1" x14ac:dyDescent="0.3">
      <c r="C890" s="587" t="s">
        <v>51</v>
      </c>
      <c r="D890" s="56" t="str">
        <f t="shared" si="2683"/>
        <v>Baseline</v>
      </c>
      <c r="E890" s="632" t="s">
        <v>468</v>
      </c>
      <c r="F890" s="584"/>
      <c r="G890" s="1219" cm="1">
        <f t="array" ref="G890">SUMPRODUCT('EE Measures'!CV$8:CV$86,'EE Measures'!$IF$8:$IF$86,--('EE Measures'!$B$8:$B$86='Pathway Analysis'!$C890),'EE Measures'!$EA$8:$EA$86)</f>
        <v>0.23941384115742395</v>
      </c>
      <c r="H890" s="1219" cm="1">
        <f t="array" ref="H890">SUMPRODUCT('EE Measures'!CW$8:CW$86,'EE Measures'!$IF$8:$IF$86,--('EE Measures'!$B$8:$B$86='Pathway Analysis'!$C890),'EE Measures'!$EA$8:$EA$86)</f>
        <v>0.54679056353570332</v>
      </c>
      <c r="I890" s="1219" cm="1">
        <f t="array" ref="I890">SUMPRODUCT('EE Measures'!CX$8:CX$86,'EE Measures'!$IF$8:$IF$86,--('EE Measures'!$B$8:$B$86='Pathway Analysis'!$C890),'EE Measures'!$EA$8:$EA$86)</f>
        <v>0.93560122025568349</v>
      </c>
      <c r="J890" s="1219" cm="1">
        <f t="array" ref="J890">SUMPRODUCT('EE Measures'!CY$8:CY$86,'EE Measures'!$IF$8:$IF$86,--('EE Measures'!$B$8:$B$86='Pathway Analysis'!$C890),'EE Measures'!$EA$8:$EA$86)</f>
        <v>0.98899557306727859</v>
      </c>
      <c r="K890" s="1219" cm="1">
        <f t="array" ref="K890">SUMPRODUCT('EE Measures'!CZ$8:CZ$86,'EE Measures'!$IF$8:$IF$86,--('EE Measures'!$B$8:$B$86='Pathway Analysis'!$C890),'EE Measures'!$EA$8:$EA$86)</f>
        <v>1.0393810575670261</v>
      </c>
      <c r="L890" s="1219" cm="1">
        <f t="array" ref="L890">SUMPRODUCT('EE Measures'!DA$8:DA$86,'EE Measures'!$IF$8:$IF$86,--('EE Measures'!$B$8:$B$86='Pathway Analysis'!$C890),'EE Measures'!$EA$8:$EA$86)</f>
        <v>1.0859033585098263</v>
      </c>
      <c r="M890" s="1219" cm="1">
        <f t="array" ref="M890">SUMPRODUCT('EE Measures'!DB$8:DB$86,'EE Measures'!$IF$8:$IF$86,--('EE Measures'!$B$8:$B$86='Pathway Analysis'!$C890),'EE Measures'!$EA$8:$EA$86)</f>
        <v>1.1342331343031213</v>
      </c>
      <c r="N890" s="1219" cm="1">
        <f t="array" ref="N890">SUMPRODUCT('EE Measures'!DC$8:DC$86,'EE Measures'!$IF$8:$IF$86,--('EE Measures'!$B$8:$B$86='Pathway Analysis'!$C890),'EE Measures'!$EA$8:$EA$86)</f>
        <v>1.1675966980071446</v>
      </c>
      <c r="O890" s="1219" cm="1">
        <f t="array" ref="O890">SUMPRODUCT('EE Measures'!DD$8:DD$86,'EE Measures'!$IF$8:$IF$86,--('EE Measures'!$B$8:$B$86='Pathway Analysis'!$C890),'EE Measures'!$EA$8:$EA$86)</f>
        <v>1.2019720617881111</v>
      </c>
      <c r="P890" s="1219" cm="1">
        <f t="array" ref="P890">SUMPRODUCT('EE Measures'!DE$8:DE$86,'EE Measures'!$IF$8:$IF$86,--('EE Measures'!$B$8:$B$86='Pathway Analysis'!$C890),'EE Measures'!$EA$8:$EA$86)</f>
        <v>1.2373898968115442</v>
      </c>
      <c r="Q890" s="1219" cm="1">
        <f t="array" ref="Q890">SUMPRODUCT('EE Measures'!DF$8:DF$86,'EE Measures'!$IF$8:$IF$86,--('EE Measures'!$B$8:$B$86='Pathway Analysis'!$C890),'EE Measures'!$EA$8:$EA$86)</f>
        <v>1.2734721221834386</v>
      </c>
      <c r="R890" s="1219" cm="1">
        <f t="array" ref="R890">SUMPRODUCT('EE Measures'!DG$8:DG$86,'EE Measures'!$IF$8:$IF$86,--('EE Measures'!$B$8:$B$86='Pathway Analysis'!$C890),'EE Measures'!$EA$8:$EA$86)</f>
        <v>1.3106368143164899</v>
      </c>
      <c r="S890" s="1219" cm="1">
        <f t="array" ref="S890">SUMPRODUCT('EE Measures'!DH$8:DH$86,'EE Measures'!$IF$8:$IF$86,--('EE Measures'!$B$8:$B$86='Pathway Analysis'!$C890),'EE Measures'!$EA$8:$EA$86)</f>
        <v>1.3489164472135327</v>
      </c>
      <c r="T890" s="1219" cm="1">
        <f t="array" ref="T890">SUMPRODUCT('EE Measures'!DI$8:DI$86,'EE Measures'!$IF$8:$IF$86,--('EE Measures'!$B$8:$B$86='Pathway Analysis'!$C890),'EE Measures'!$EA$8:$EA$86)</f>
        <v>1.3883444690974867</v>
      </c>
      <c r="U890" s="1219" cm="1">
        <f t="array" ref="U890">SUMPRODUCT('EE Measures'!DJ$8:DJ$86,'EE Measures'!$IF$8:$IF$86,--('EE Measures'!$B$8:$B$86='Pathway Analysis'!$C890),'EE Measures'!$EA$8:$EA$86)</f>
        <v>1.4289553316379595</v>
      </c>
      <c r="V890" s="898">
        <f t="shared" si="2684"/>
        <v>9.577277405002862</v>
      </c>
    </row>
    <row r="891" spans="3:22" hidden="1" outlineLevel="1" x14ac:dyDescent="0.3">
      <c r="C891" s="587" t="s">
        <v>53</v>
      </c>
      <c r="D891" s="56" t="str">
        <f t="shared" si="2683"/>
        <v>Baseline</v>
      </c>
      <c r="E891" s="632" t="s">
        <v>469</v>
      </c>
      <c r="F891" s="584"/>
      <c r="G891" s="1220">
        <f>SUMPRODUCT('EE Measures'!CV$8:CV$86,'EE Measures'!$IF$8:'EE Measures'!$IF$86,'EE Measures'!$AO$8:$AO$86,'EE Measures'!$EA$8:$EA$86,'EE Measures'!$Q$8:$Q$86)</f>
        <v>0.77271453974391213</v>
      </c>
      <c r="H891" s="1220">
        <f>SUMPRODUCT('EE Measures'!CW$8:CW$86,'EE Measures'!$IF$8:'EE Measures'!$IF$86,'EE Measures'!$AO$8:$AO$86,'EE Measures'!$EA$8:$EA$86,'EE Measures'!$Q$8:$Q$86)</f>
        <v>1.5812096053926878</v>
      </c>
      <c r="I891" s="1220">
        <f>SUMPRODUCT('EE Measures'!CX$8:CX$86,'EE Measures'!$IF$8:$IF$86,'EE Measures'!$AO$8:$AO$86,'EE Measures'!$EA$8:$EA$86,'EE Measures'!$Q$8:$Q$86)</f>
        <v>1.8908793924845997</v>
      </c>
      <c r="J891" s="1220">
        <f>SUMPRODUCT('EE Measures'!CY$8:CY$86,'EE Measures'!$IF$8:$IF$86,'EE Measures'!$AO$8:$AO$86,'EE Measures'!$EA$8:$EA$86,'EE Measures'!$Q$8:$Q$86)</f>
        <v>3.206095154676083</v>
      </c>
      <c r="K891" s="1220">
        <f>SUMPRODUCT('EE Measures'!CZ$8:CZ$86,'EE Measures'!$IF$8:$IF$86,'EE Measures'!$AO$8:$AO$86,'EE Measures'!$EA$8:$EA$86,'EE Measures'!$Q$8:$Q$86)</f>
        <v>3.9228705481332184</v>
      </c>
      <c r="L891" s="1220">
        <f>SUMPRODUCT('EE Measures'!DA$8:DA$86,'EE Measures'!$IF$8:$IF$86,'EE Measures'!$AO$8:$AO$86,'EE Measures'!$EA$8:$EA$86,'EE Measures'!$Q$8:$Q$86)</f>
        <v>4.0046916420229897</v>
      </c>
      <c r="M891" s="1220">
        <f>SUMPRODUCT('EE Measures'!DB$8:DB$86,'EE Measures'!$IF$8:$IF$86,'EE Measures'!$AO$8:$AO$86,'EE Measures'!$EA$8:$EA$86,'EE Measures'!$Q$8:$Q$86)</f>
        <v>4.0894800120045325</v>
      </c>
      <c r="N891" s="1220">
        <f>SUMPRODUCT('EE Measures'!DC$8:DC$86,'EE Measures'!$IF$8:$IF$86,'EE Measures'!$AO$8:$AO$86,'EE Measures'!$EA$8:$EA$86,'EE Measures'!$Q$8:$Q$86)</f>
        <v>4.1773284559235186</v>
      </c>
      <c r="O891" s="1220">
        <f>SUMPRODUCT('EE Measures'!DD$8:DD$86,'EE Measures'!$IF$8:$IF$86,'EE Measures'!$AO$8:$AO$86,'EE Measures'!$EA$8:$EA$86,'EE Measures'!$Q$8:$Q$86)</f>
        <v>4.268333644587285</v>
      </c>
      <c r="P891" s="1220">
        <f>SUMPRODUCT('EE Measures'!DE$8:DE$86,'EE Measures'!$IF$8:$IF$86,'EE Measures'!$AO$8:$AO$86,'EE Measures'!$EA$8:$EA$86,'EE Measures'!$Q$8:$Q$86)</f>
        <v>4.3625962667833864</v>
      </c>
      <c r="Q891" s="1220">
        <f>SUMPRODUCT('EE Measures'!DF$8:DF$86,'EE Measures'!$IF$8:$IF$86,'EE Measures'!$AO$8:$AO$86,'EE Measures'!$EA$8:$EA$86,'EE Measures'!$Q$8:$Q$86)</f>
        <v>4.4610329860270515</v>
      </c>
      <c r="R891" s="1220">
        <f>SUMPRODUCT('EE Measures'!DG$8:DG$86,'EE Measures'!$IF$8:$IF$86,'EE Measures'!$AO$8:$AO$86,'EE Measures'!$EA$8:$EA$86,'EE Measures'!$Q$8:$Q$86)</f>
        <v>4.5628415406757155</v>
      </c>
      <c r="S891" s="1220">
        <f>SUMPRODUCT('EE Measures'!DH$8:DH$86,'EE Measures'!$IF$8:$IF$86,'EE Measures'!$AO$8:$AO$86,'EE Measures'!$EA$8:$EA$86,'EE Measures'!$Q$8:$Q$86)</f>
        <v>4.6681452610822287</v>
      </c>
      <c r="T891" s="1220">
        <f>SUMPRODUCT('EE Measures'!DI$8:DI$86,'EE Measures'!$IF$8:$IF$86,'EE Measures'!$AO$8:$AO$86,'EE Measures'!$EA$8:$EA$86,'EE Measures'!$Q$8:$Q$86)</f>
        <v>4.777072282673914</v>
      </c>
      <c r="U891" s="1220">
        <f>SUMPRODUCT('EE Measures'!DJ$8:DJ$86,'EE Measures'!$IF$8:$IF$86,'EE Measures'!$AO$8:$AO$86,'EE Measures'!$EA$8:$EA$86,'EE Measures'!$Q$8:$Q$86)</f>
        <v>4.8897557421631657</v>
      </c>
      <c r="V891" s="898">
        <f t="shared" si="2684"/>
        <v>32.276199261752211</v>
      </c>
    </row>
    <row r="892" spans="3:22" hidden="1" outlineLevel="1" x14ac:dyDescent="0.3">
      <c r="C892" s="587" t="s">
        <v>470</v>
      </c>
      <c r="D892" s="56" t="str">
        <f t="shared" si="2683"/>
        <v>Baseline</v>
      </c>
      <c r="E892" s="632" t="s">
        <v>471</v>
      </c>
      <c r="F892" s="584"/>
      <c r="G892" s="1219" cm="1">
        <f t="array" ref="G892">SUMPRODUCT('EE Measures'!CV$8:CV$86,'EE Measures'!$IF$8:$IF$86,--('EE Measures'!$B$8:$B$86='Pathway Analysis'!$C892),'EE Measures'!$EA$8:$EA$86,'EE Measures'!$O$8:$O$86)</f>
        <v>1.7549566635196614</v>
      </c>
      <c r="H892" s="1219" cm="1">
        <f t="array" ref="H892">SUMPRODUCT('EE Measures'!CW$8:CW$86,'EE Measures'!$IF$8:$IF$86,--('EE Measures'!$B$8:$B$86='Pathway Analysis'!$C892),'EE Measures'!$EA$8:$EA$86,'EE Measures'!$O$8:$O$86)</f>
        <v>2.3984624170201299</v>
      </c>
      <c r="I892" s="1219" cm="1">
        <f t="array" ref="I892">SUMPRODUCT('EE Measures'!CX$8:CX$86,'EE Measures'!$IF$8:$IF$86,--('EE Measures'!$B$8:$B$86='Pathway Analysis'!$C892),'EE Measures'!$EA$8:$EA$86,'EE Measures'!$O$8:$O$86)</f>
        <v>3.0723007804453051</v>
      </c>
      <c r="J892" s="1219" cm="1">
        <f t="array" ref="J892">SUMPRODUCT('EE Measures'!CY$8:CY$86,'EE Measures'!$IF$8:$IF$86,--('EE Measures'!$B$8:$B$86='Pathway Analysis'!$C892),'EE Measures'!$EA$8:$EA$86,'EE Measures'!$O$8:$O$86)</f>
        <v>6.035082819034888</v>
      </c>
      <c r="K892" s="1219" cm="1">
        <f t="array" ref="K892">SUMPRODUCT('EE Measures'!CZ$8:CZ$86,'EE Measures'!$IF$8:$IF$86,--('EE Measures'!$B$8:$B$86='Pathway Analysis'!$C892),'EE Measures'!$EA$8:$EA$86,'EE Measures'!$O$8:$O$86)</f>
        <v>8.1804451021157849</v>
      </c>
      <c r="L892" s="1219" cm="1">
        <f t="array" ref="L892">SUMPRODUCT('EE Measures'!DA$8:DA$86,'EE Measures'!$IF$8:$IF$86,--('EE Measures'!$B$8:$B$86='Pathway Analysis'!$C892),'EE Measures'!$EA$8:$EA$86,'EE Measures'!$O$8:$O$86)</f>
        <v>9.077699225337188</v>
      </c>
      <c r="M892" s="1219" cm="1">
        <f t="array" ref="M892">SUMPRODUCT('EE Measures'!DB$8:DB$86,'EE Measures'!$IF$8:$IF$86,--('EE Measures'!$B$8:$B$86='Pathway Analysis'!$C892),'EE Measures'!$EA$8:$EA$86,'EE Measures'!$O$8:$O$86)</f>
        <v>10.010921627152918</v>
      </c>
      <c r="N892" s="1219" cm="1">
        <f t="array" ref="N892">SUMPRODUCT('EE Measures'!DC$8:DC$86,'EE Measures'!$IF$8:$IF$86,--('EE Measures'!$B$8:$B$86='Pathway Analysis'!$C892),'EE Measures'!$EA$8:$EA$86,'EE Measures'!$O$8:$O$86)</f>
        <v>10.981793709939705</v>
      </c>
      <c r="O892" s="1219" cm="1">
        <f t="array" ref="O892">SUMPRODUCT('EE Measures'!DD$8:DD$86,'EE Measures'!$IF$8:$IF$86,--('EE Measures'!$B$8:$B$86='Pathway Analysis'!$C892),'EE Measures'!$EA$8:$EA$86,'EE Measures'!$O$8:$O$86)</f>
        <v>11.991998886803431</v>
      </c>
      <c r="P892" s="1219" cm="1">
        <f t="array" ref="P892">SUMPRODUCT('EE Measures'!DE$8:DE$86,'EE Measures'!$IF$8:$IF$86,--('EE Measures'!$B$8:$B$86='Pathway Analysis'!$C892),'EE Measures'!$EA$8:$EA$86,'EE Measures'!$O$8:$O$86)</f>
        <v>13.043295788580794</v>
      </c>
      <c r="Q892" s="1219" cm="1">
        <f t="array" ref="Q892">SUMPRODUCT('EE Measures'!DF$8:DF$86,'EE Measures'!$IF$8:$IF$86,--('EE Measures'!$B$8:$B$86='Pathway Analysis'!$C892),'EE Measures'!$EA$8:$EA$86,'EE Measures'!$O$8:$O$86)</f>
        <v>14.137238234648224</v>
      </c>
      <c r="R892" s="1219" cm="1">
        <f t="array" ref="R892">SUMPRODUCT('EE Measures'!DG$8:DG$86,'EE Measures'!$IF$8:$IF$86,--('EE Measures'!$B$8:$B$86='Pathway Analysis'!$C892),'EE Measures'!$EA$8:$EA$86,'EE Measures'!$O$8:$O$86)</f>
        <v>15.276005235176923</v>
      </c>
      <c r="S892" s="1219" cm="1">
        <f t="array" ref="S892">SUMPRODUCT('EE Measures'!DH$8:DH$86,'EE Measures'!$IF$8:$IF$86,--('EE Measures'!$B$8:$B$86='Pathway Analysis'!$C892),'EE Measures'!$EA$8:$EA$86,'EE Measures'!$O$8:$O$86)</f>
        <v>16.461603563372165</v>
      </c>
      <c r="T892" s="1219" cm="1">
        <f t="array" ref="T892">SUMPRODUCT('EE Measures'!DI$8:DI$86,'EE Measures'!$IF$8:$IF$86,--('EE Measures'!$B$8:$B$86='Pathway Analysis'!$C892),'EE Measures'!$EA$8:$EA$86,'EE Measures'!$O$8:$O$86)</f>
        <v>17.696129088411894</v>
      </c>
      <c r="U892" s="1219" cm="1">
        <f t="array" ref="U892">SUMPRODUCT('EE Measures'!DJ$8:DJ$86,'EE Measures'!$IF$8:$IF$86,--('EE Measures'!$B$8:$B$86='Pathway Analysis'!$C892),'EE Measures'!$EA$8:$EA$86,'EE Measures'!$O$8:$O$86)</f>
        <v>18.981770609237717</v>
      </c>
      <c r="V892" s="898">
        <f t="shared" si="2684"/>
        <v>76.546957019949801</v>
      </c>
    </row>
    <row r="893" spans="3:22" hidden="1" outlineLevel="1" x14ac:dyDescent="0.3">
      <c r="D893" s="56" t="str">
        <f t="shared" si="2683"/>
        <v>Baseline</v>
      </c>
      <c r="E893" s="631" t="s">
        <v>472</v>
      </c>
      <c r="F893" s="584"/>
      <c r="G893" s="566">
        <f t="shared" ref="G893" si="2691">(G880*1000)/G691</f>
        <v>13391.784180676465</v>
      </c>
      <c r="H893" s="566">
        <f t="shared" ref="H893:P893" si="2692">(H880*1000)/H691</f>
        <v>15390.138585617227</v>
      </c>
      <c r="I893" s="566">
        <f t="shared" si="2692"/>
        <v>16178.564999413418</v>
      </c>
      <c r="J893" s="566">
        <f t="shared" si="2692"/>
        <v>16934.545878116151</v>
      </c>
      <c r="K893" s="566">
        <f t="shared" si="2692"/>
        <v>17650.331905188483</v>
      </c>
      <c r="L893" s="566">
        <f t="shared" si="2692"/>
        <v>18352.354190483227</v>
      </c>
      <c r="M893" s="566">
        <f t="shared" si="2692"/>
        <v>19059.641823601087</v>
      </c>
      <c r="N893" s="566">
        <f t="shared" si="2692"/>
        <v>20530.012072193447</v>
      </c>
      <c r="O893" s="566">
        <f t="shared" si="2692"/>
        <v>21695.16529982787</v>
      </c>
      <c r="P893" s="566">
        <f t="shared" si="2692"/>
        <v>22907.316241970399</v>
      </c>
      <c r="Q893" s="566">
        <f t="shared" ref="Q893:U893" si="2693">(Q880*1000)/Q691</f>
        <v>24175.83914007089</v>
      </c>
      <c r="R893" s="566">
        <f t="shared" si="2693"/>
        <v>25499.273117532819</v>
      </c>
      <c r="S893" s="566">
        <f t="shared" si="2693"/>
        <v>26879.795922232515</v>
      </c>
      <c r="T893" s="566">
        <f t="shared" si="2693"/>
        <v>28312.657714561519</v>
      </c>
      <c r="U893" s="566">
        <f t="shared" si="2693"/>
        <v>29786.955126867346</v>
      </c>
    </row>
    <row r="894" spans="3:22" hidden="1" outlineLevel="1" x14ac:dyDescent="0.3">
      <c r="D894" s="56" t="str">
        <f>E894</f>
        <v>EEO</v>
      </c>
      <c r="E894" s="628" t="s">
        <v>35</v>
      </c>
      <c r="F894" s="872">
        <f>SUM(G894:P894)/SUM($G$878:$P$878)-1</f>
        <v>1.8766747680571294E-2</v>
      </c>
      <c r="G894" s="617">
        <f>G$878+G895</f>
        <v>8813.6920189811772</v>
      </c>
      <c r="H894" s="617">
        <f>H$878+H895</f>
        <v>10502.028885461255</v>
      </c>
      <c r="I894" s="617">
        <f t="shared" ref="I894:U894" si="2694">I$878+I895</f>
        <v>11049.431731863051</v>
      </c>
      <c r="J894" s="617">
        <f t="shared" si="2694"/>
        <v>11709.286225870032</v>
      </c>
      <c r="K894" s="617">
        <f t="shared" si="2694"/>
        <v>12257.454890387589</v>
      </c>
      <c r="L894" s="617">
        <f t="shared" si="2694"/>
        <v>12710.328341983</v>
      </c>
      <c r="M894" s="617">
        <f t="shared" si="2694"/>
        <v>13204.715389149644</v>
      </c>
      <c r="N894" s="617">
        <f t="shared" si="2694"/>
        <v>13928.619691528509</v>
      </c>
      <c r="O894" s="617">
        <f t="shared" si="2694"/>
        <v>14703.364033479998</v>
      </c>
      <c r="P894" s="617">
        <f t="shared" si="2694"/>
        <v>15500.231814909421</v>
      </c>
      <c r="Q894" s="617">
        <f t="shared" si="2694"/>
        <v>16327.496096732149</v>
      </c>
      <c r="R894" s="617">
        <f t="shared" si="2694"/>
        <v>17195.095110604427</v>
      </c>
      <c r="S894" s="617">
        <f t="shared" si="2694"/>
        <v>18098.065356283067</v>
      </c>
      <c r="T894" s="617">
        <f t="shared" si="2694"/>
        <v>19024.456731402377</v>
      </c>
      <c r="U894" s="617">
        <f t="shared" si="2694"/>
        <v>19949.162340326056</v>
      </c>
      <c r="V894" s="898">
        <f>SUM(G895:P895)</f>
        <v>2291.1939232720179</v>
      </c>
    </row>
    <row r="895" spans="3:22" hidden="1" outlineLevel="1" x14ac:dyDescent="0.3">
      <c r="D895" s="56" t="str">
        <f>D894</f>
        <v>EEO</v>
      </c>
      <c r="E895" s="629" t="s">
        <v>467</v>
      </c>
      <c r="F895" s="584"/>
      <c r="G895" s="618">
        <f>SUM(G896:G897,G902:G903)+G901</f>
        <v>145.8743089811785</v>
      </c>
      <c r="H895" s="618">
        <f>SUM(H896:H897,H902:H903)+H901</f>
        <v>98.15451122966698</v>
      </c>
      <c r="I895" s="618">
        <f t="shared" ref="I895:P895" si="2695">SUM(I896:I897,I902:I903)+I901</f>
        <v>67.396953032298384</v>
      </c>
      <c r="J895" s="618">
        <f t="shared" si="2695"/>
        <v>209.28477280593034</v>
      </c>
      <c r="K895" s="618">
        <f t="shared" si="2695"/>
        <v>274.2468942965881</v>
      </c>
      <c r="L895" s="618">
        <f t="shared" si="2695"/>
        <v>245.52646324851528</v>
      </c>
      <c r="M895" s="618">
        <f t="shared" si="2695"/>
        <v>257.61371313047033</v>
      </c>
      <c r="N895" s="618">
        <f t="shared" si="2695"/>
        <v>279.01506509977634</v>
      </c>
      <c r="O895" s="618">
        <f t="shared" si="2695"/>
        <v>330.99747592853419</v>
      </c>
      <c r="P895" s="618">
        <f t="shared" si="2695"/>
        <v>383.08376551905957</v>
      </c>
      <c r="Q895" s="618">
        <f t="shared" ref="Q895:U895" si="2696">SUM(Q896:Q897,Q902:Q903)+Q901</f>
        <v>429.45590994147705</v>
      </c>
      <c r="R895" s="618">
        <f t="shared" si="2696"/>
        <v>484.94488999968002</v>
      </c>
      <c r="S895" s="618">
        <f t="shared" si="2696"/>
        <v>543.23730993212257</v>
      </c>
      <c r="T895" s="618">
        <f t="shared" si="2696"/>
        <v>604.45256556545587</v>
      </c>
      <c r="U895" s="618">
        <f t="shared" si="2696"/>
        <v>668.72077121001098</v>
      </c>
    </row>
    <row r="896" spans="3:22" hidden="1" outlineLevel="1" x14ac:dyDescent="0.3">
      <c r="C896" s="587" t="s">
        <v>51</v>
      </c>
      <c r="D896" s="56" t="str">
        <f t="shared" ref="D896:D907" si="2697">D895</f>
        <v>EEO</v>
      </c>
      <c r="E896" s="630" t="s">
        <v>205</v>
      </c>
      <c r="F896" s="874">
        <f>SUM(G896:P896)</f>
        <v>-4793.5162020683329</v>
      </c>
      <c r="G896" s="593" cm="1">
        <f t="array" ref="G896">-SUMPRODUCT('EE Measures'!BZ$8:BZ$86,'EE Measures'!$IG$8:$IG$86,--('EE Measures'!$B$8:$B$86='Pathway Analysis'!$C896),'EE Measures'!$CR$8:$CR$86)</f>
        <v>-30.814851901214958</v>
      </c>
      <c r="H896" s="593" cm="1">
        <f t="array" ref="H896">-SUMPRODUCT('EE Measures'!CA$8:CA$86,'EE Measures'!$IG$8:$IG$86,--('EE Measures'!$B$8:$B$86='Pathway Analysis'!$C896),'EE Measures'!$CR$8:$CR$86)</f>
        <v>-39.011514036496656</v>
      </c>
      <c r="I896" s="593" cm="1">
        <f t="array" ref="I896">-SUMPRODUCT('EE Measures'!CB$8:CB$86,'EE Measures'!$IG$8:$IG$86,--('EE Measures'!$B$8:$B$86='Pathway Analysis'!$C896),'EE Measures'!$CR$8:$CR$86)</f>
        <v>-49.313634062288372</v>
      </c>
      <c r="J896" s="593" cm="1">
        <f t="array" ref="J896">-SUMPRODUCT('EE Measures'!CC$8:CC$86,'EE Measures'!$IG$8:$IG$86,--('EE Measures'!$B$8:$B$86='Pathway Analysis'!$C896),'EE Measures'!$CR$8:$CR$86)</f>
        <v>0</v>
      </c>
      <c r="K896" s="593" cm="1">
        <f t="array" ref="K896">-SUMPRODUCT('EE Measures'!CD$8:CD$86,'EE Measures'!$IG$8:$IG$86,--('EE Measures'!$B$8:$B$86='Pathway Analysis'!$C896),'EE Measures'!$CR$8:$CR$86)</f>
        <v>-741.0092845932212</v>
      </c>
      <c r="L896" s="593" cm="1">
        <f t="array" ref="L896">-SUMPRODUCT('EE Measures'!CE$8:CE$86,'EE Measures'!$IG$8:$IG$86,--('EE Measures'!$B$8:$B$86='Pathway Analysis'!$C896),'EE Measures'!$CR$8:$CR$86)</f>
        <v>-755.82947028508556</v>
      </c>
      <c r="M896" s="593" cm="1">
        <f t="array" ref="M896">-SUMPRODUCT('EE Measures'!CF$8:CF$86,'EE Measures'!$IG$8:$IG$86,--('EE Measures'!$B$8:$B$86='Pathway Analysis'!$C896),'EE Measures'!$CR$8:$CR$86)</f>
        <v>-770.94605969078737</v>
      </c>
      <c r="N896" s="593" cm="1">
        <f t="array" ref="N896">-SUMPRODUCT('EE Measures'!CG$8:CG$86,'EE Measures'!$IG$8:$IG$86,--('EE Measures'!$B$8:$B$86='Pathway Analysis'!$C896),'EE Measures'!$CR$8:$CR$86)</f>
        <v>-786.36498088460303</v>
      </c>
      <c r="O896" s="593" cm="1">
        <f t="array" ref="O896">-SUMPRODUCT('EE Measures'!CH$8:CH$86,'EE Measures'!$IG$8:$IG$86,--('EE Measures'!$B$8:$B$86='Pathway Analysis'!$C896),'EE Measures'!$CR$8:$CR$86)</f>
        <v>-802.09228050229524</v>
      </c>
      <c r="P896" s="593" cm="1">
        <f t="array" ref="P896">-SUMPRODUCT('EE Measures'!CI$8:CI$86,'EE Measures'!$IG$8:$IG$86,--('EE Measures'!$B$8:$B$86='Pathway Analysis'!$C896),'EE Measures'!$CR$8:$CR$86)</f>
        <v>-818.13412611234116</v>
      </c>
      <c r="Q896" s="593" cm="1">
        <f t="array" ref="Q896">-SUMPRODUCT('EE Measures'!CJ$8:CJ$86,'EE Measures'!$IG$8:$IG$86,--('EE Measures'!$B$8:$B$86='Pathway Analysis'!$C896),'EE Measures'!$CR$8:$CR$86)</f>
        <v>-834.49680863458798</v>
      </c>
      <c r="R896" s="593" cm="1">
        <f t="array" ref="R896">-SUMPRODUCT('EE Measures'!CK$8:CK$86,'EE Measures'!$IG$8:$IG$86,--('EE Measures'!$B$8:$B$86='Pathway Analysis'!$C896),'EE Measures'!$CR$8:$CR$86)</f>
        <v>-851.18674480727964</v>
      </c>
      <c r="S896" s="593" cm="1">
        <f t="array" ref="S896">-SUMPRODUCT('EE Measures'!CL$8:CL$86,'EE Measures'!$IG$8:$IG$86,--('EE Measures'!$B$8:$B$86='Pathway Analysis'!$C896),'EE Measures'!$CR$8:$CR$86)</f>
        <v>-868.21047970342522</v>
      </c>
      <c r="T896" s="593" cm="1">
        <f t="array" ref="T896">-SUMPRODUCT('EE Measures'!CM$8:CM$86,'EE Measures'!$IG$8:$IG$86,--('EE Measures'!$B$8:$B$86='Pathway Analysis'!$C896),'EE Measures'!$CR$8:$CR$86)</f>
        <v>-885.57468929749382</v>
      </c>
      <c r="U896" s="593" cm="1">
        <f t="array" ref="U896">-SUMPRODUCT('EE Measures'!CN$8:CN$86,'EE Measures'!$IG$8:$IG$86,--('EE Measures'!$B$8:$B$86='Pathway Analysis'!$C896),'EE Measures'!$CR$8:$CR$86)</f>
        <v>-903.28618308344358</v>
      </c>
      <c r="V896" s="898">
        <f t="shared" ref="V896:V906" si="2698">SUM(G896:P896)</f>
        <v>-4793.5162020683329</v>
      </c>
    </row>
    <row r="897" spans="3:22" hidden="1" outlineLevel="1" x14ac:dyDescent="0.3">
      <c r="C897" s="587" t="s">
        <v>53</v>
      </c>
      <c r="D897" s="56" t="str">
        <f t="shared" si="2697"/>
        <v>EEO</v>
      </c>
      <c r="E897" s="630" t="s">
        <v>206</v>
      </c>
      <c r="F897" s="874">
        <f>SUM(G897:P897)</f>
        <v>-15.767327723968378</v>
      </c>
      <c r="G897" s="593" cm="1">
        <f t="array" ref="G897">-SUMPRODUCT('EE Measures'!BZ$8:BZ$86,'EE Measures'!$IG$8:$IG$86,--('EE Measures'!$B$8:$B$86=$C897),'EE Measures'!$CR$8:$CR$86,'EE Measures'!$AO$8:$AO$86)</f>
        <v>0</v>
      </c>
      <c r="H897" s="593" cm="1">
        <f t="array" ref="H897">-SUMPRODUCT('EE Measures'!CA$8:CA$86,'EE Measures'!$IG$8:$IG$86,--('EE Measures'!$B$8:$B$86=$C897),'EE Measures'!$CR$8:$CR$86,'EE Measures'!$AO$8:$AO$86)</f>
        <v>0</v>
      </c>
      <c r="I897" s="593" cm="1">
        <f t="array" ref="I897">-SUMPRODUCT('EE Measures'!CB$8:CB$86,'EE Measures'!$IG$8:$IG$86,--('EE Measures'!$B$8:$B$86=$C897),'EE Measures'!$CR$8:$CR$86,'EE Measures'!$AO$8:$AO$86)</f>
        <v>0</v>
      </c>
      <c r="J897" s="593" cm="1">
        <f t="array" ref="J897">-SUMPRODUCT('EE Measures'!CC$8:CC$86,'EE Measures'!$IG$8:$IG$86,--('EE Measures'!$B$8:$B$86=$C897),'EE Measures'!$CR$8:$CR$86,'EE Measures'!$AO$8:$AO$86)</f>
        <v>0</v>
      </c>
      <c r="K897" s="593" cm="1">
        <f t="array" ref="K897">-SUMPRODUCT('EE Measures'!CD$8:CD$86,'EE Measures'!$IG$8:$IG$86,--('EE Measures'!$B$8:$B$86=$C897),'EE Measures'!$CR$8:$CR$86,'EE Measures'!$AO$8:$AO$86)</f>
        <v>-2.6278879539947297</v>
      </c>
      <c r="L897" s="593" cm="1">
        <f t="array" ref="L897">-SUMPRODUCT('EE Measures'!CE$8:CE$86,'EE Measures'!$IG$8:$IG$86,--('EE Measures'!$B$8:$B$86=$C897),'EE Measures'!$CR$8:$CR$86,'EE Measures'!$AO$8:$AO$86)</f>
        <v>-2.6278879539947297</v>
      </c>
      <c r="M897" s="593" cm="1">
        <f t="array" ref="M897">-SUMPRODUCT('EE Measures'!CF$8:CF$86,'EE Measures'!$IG$8:$IG$86,--('EE Measures'!$B$8:$B$86=$C897),'EE Measures'!$CR$8:$CR$86,'EE Measures'!$AO$8:$AO$86)</f>
        <v>-2.6278879539947297</v>
      </c>
      <c r="N897" s="593" cm="1">
        <f t="array" ref="N897">-SUMPRODUCT('EE Measures'!CG$8:CG$86,'EE Measures'!$IG$8:$IG$86,--('EE Measures'!$B$8:$B$86=$C897),'EE Measures'!$CR$8:$CR$86,'EE Measures'!$AO$8:$AO$86)</f>
        <v>-2.6278879539947297</v>
      </c>
      <c r="O897" s="593" cm="1">
        <f t="array" ref="O897">-SUMPRODUCT('EE Measures'!CH$8:CH$86,'EE Measures'!$IG$8:$IG$86,--('EE Measures'!$B$8:$B$86=$C897),'EE Measures'!$CR$8:$CR$86,'EE Measures'!$AO$8:$AO$86)</f>
        <v>-2.6278879539947297</v>
      </c>
      <c r="P897" s="593" cm="1">
        <f t="array" ref="P897">-SUMPRODUCT('EE Measures'!CI$8:CI$86,'EE Measures'!$IG$8:$IG$86,--('EE Measures'!$B$8:$B$86=$C897),'EE Measures'!$CR$8:$CR$86,'EE Measures'!$AO$8:$AO$86)</f>
        <v>-2.6278879539947297</v>
      </c>
      <c r="Q897" s="593" cm="1">
        <f t="array" ref="Q897">-SUMPRODUCT('EE Measures'!CJ$8:CJ$86,'EE Measures'!$IG$8:$IG$86,--('EE Measures'!$B$8:$B$86=$C897),'EE Measures'!$CR$8:$CR$86,'EE Measures'!$AO$8:$AO$86)</f>
        <v>-2.6278879539947297</v>
      </c>
      <c r="R897" s="593" cm="1">
        <f t="array" ref="R897">-SUMPRODUCT('EE Measures'!CK$8:CK$86,'EE Measures'!$IG$8:$IG$86,--('EE Measures'!$B$8:$B$86=$C897),'EE Measures'!$CR$8:$CR$86,'EE Measures'!$AO$8:$AO$86)</f>
        <v>-2.6278879539947297</v>
      </c>
      <c r="S897" s="593" cm="1">
        <f t="array" ref="S897">-SUMPRODUCT('EE Measures'!CL$8:CL$86,'EE Measures'!$IG$8:$IG$86,--('EE Measures'!$B$8:$B$86=$C897),'EE Measures'!$CR$8:$CR$86,'EE Measures'!$AO$8:$AO$86)</f>
        <v>-2.6278879539947297</v>
      </c>
      <c r="T897" s="593" cm="1">
        <f t="array" ref="T897">-SUMPRODUCT('EE Measures'!CM$8:CM$86,'EE Measures'!$IG$8:$IG$86,--('EE Measures'!$B$8:$B$86=$C897),'EE Measures'!$CR$8:$CR$86,'EE Measures'!$AO$8:$AO$86)</f>
        <v>-2.6278879539947297</v>
      </c>
      <c r="U897" s="593" cm="1">
        <f t="array" ref="U897">-SUMPRODUCT('EE Measures'!CN$8:CN$86,'EE Measures'!$IG$8:$IG$86,--('EE Measures'!$B$8:$B$86=$C897),'EE Measures'!$CR$8:$CR$86,'EE Measures'!$AO$8:$AO$86)</f>
        <v>-2.6278879539947297</v>
      </c>
      <c r="V897" s="898">
        <f t="shared" si="2698"/>
        <v>-15.767327723968378</v>
      </c>
    </row>
    <row r="898" spans="3:22" hidden="1" outlineLevel="1" x14ac:dyDescent="0.3">
      <c r="D898" s="56" t="str">
        <f t="shared" si="2697"/>
        <v>EEO</v>
      </c>
      <c r="E898" s="630" t="s">
        <v>207</v>
      </c>
      <c r="F898" s="874">
        <f>SUM(G898:P898)</f>
        <v>-1805.732921698622</v>
      </c>
      <c r="G898" s="593">
        <f>SUM(G899:G901)</f>
        <v>-6.0172515650332716</v>
      </c>
      <c r="H898" s="593">
        <f>SUM(H899:H901)</f>
        <v>-10.649730401005812</v>
      </c>
      <c r="I898" s="593">
        <f t="shared" ref="I898:P898" si="2699">SUM(I899:I901)</f>
        <v>-16.111006803419109</v>
      </c>
      <c r="J898" s="593">
        <f t="shared" si="2699"/>
        <v>-24.127779275902284</v>
      </c>
      <c r="K898" s="593">
        <f t="shared" si="2699"/>
        <v>-270.66080761502053</v>
      </c>
      <c r="L898" s="593">
        <f t="shared" si="2699"/>
        <v>-278.67911904225832</v>
      </c>
      <c r="M898" s="593">
        <f t="shared" si="2699"/>
        <v>-286.9253816108739</v>
      </c>
      <c r="N898" s="593">
        <f t="shared" si="2699"/>
        <v>-295.40047681672377</v>
      </c>
      <c r="O898" s="593">
        <f t="shared" si="2699"/>
        <v>-304.10753285997941</v>
      </c>
      <c r="P898" s="593">
        <f t="shared" si="2699"/>
        <v>-313.05383570840576</v>
      </c>
      <c r="Q898" s="593">
        <f t="shared" ref="Q898:U898" si="2700">SUM(Q899:Q901)</f>
        <v>-322.24693105251748</v>
      </c>
      <c r="R898" s="593">
        <f t="shared" si="2700"/>
        <v>-331.69463445853609</v>
      </c>
      <c r="S898" s="593">
        <f t="shared" si="2700"/>
        <v>-341.40504194620758</v>
      </c>
      <c r="T898" s="593">
        <f t="shared" si="2700"/>
        <v>-351.38654100997366</v>
      </c>
      <c r="U898" s="593">
        <f t="shared" si="2700"/>
        <v>-361.64782210282323</v>
      </c>
      <c r="V898" s="898">
        <f t="shared" si="2698"/>
        <v>-1805.732921698622</v>
      </c>
    </row>
    <row r="899" spans="3:22" hidden="1" outlineLevel="1" x14ac:dyDescent="0.3">
      <c r="C899" s="587" t="s">
        <v>51</v>
      </c>
      <c r="D899" s="56" t="str">
        <f t="shared" si="2697"/>
        <v>EEO</v>
      </c>
      <c r="E899" s="632" t="s">
        <v>468</v>
      </c>
      <c r="F899" s="584"/>
      <c r="G899" s="619" cm="1">
        <f t="array" ref="G899">-SUMPRODUCT('EE Measures'!EE$8:EE$86,'EE Measures'!$IG$8:$IG$86,--('EE Measures'!$B$8:$B$86='Pathway Analysis'!$C899),'EE Measures'!$CR$8:$CR$86)</f>
        <v>-6.0172515650332716</v>
      </c>
      <c r="H899" s="619" cm="1">
        <f t="array" ref="H899">-SUMPRODUCT('EE Measures'!EF$8:EF$86,'EE Measures'!$IG$8:$IG$86,--('EE Measures'!$B$8:$B$86='Pathway Analysis'!$C899),'EE Measures'!$CR$8:$CR$86)</f>
        <v>-7.9382106950073572</v>
      </c>
      <c r="I899" s="619" cm="1">
        <f t="array" ref="I899">-SUMPRODUCT('EE Measures'!EG$8:EG$86,'EE Measures'!$IG$8:$IG$86,--('EE Measures'!$B$8:$B$86='Pathway Analysis'!$C899),'EE Measures'!$CR$8:$CR$86)</f>
        <v>-10.588217739959365</v>
      </c>
      <c r="J899" s="619" cm="1">
        <f t="array" ref="J899">-SUMPRODUCT('EE Measures'!EH$8:EH$86,'EE Measures'!$IG$8:$IG$86,--('EE Measures'!$B$8:$B$86='Pathway Analysis'!$C899),'EE Measures'!$CR$8:$CR$86)</f>
        <v>0</v>
      </c>
      <c r="K899" s="619" cm="1">
        <f t="array" ref="K899">-SUMPRODUCT('EE Measures'!EI$8:EI$86,'EE Measures'!$IG$8:$IG$86,--('EE Measures'!$B$8:$B$86='Pathway Analysis'!$C899),'EE Measures'!$CR$8:$CR$86)</f>
        <v>-234.94778324357597</v>
      </c>
      <c r="L899" s="619" cm="1">
        <f t="array" ref="L899">-SUMPRODUCT('EE Measures'!EJ$8:EJ$86,'EE Measures'!$IG$8:$IG$86,--('EE Measures'!$B$8:$B$86='Pathway Analysis'!$C899),'EE Measures'!$CR$8:$CR$86)</f>
        <v>-239.6467389084475</v>
      </c>
      <c r="M899" s="619" cm="1">
        <f t="array" ref="M899">-SUMPRODUCT('EE Measures'!EK$8:EK$86,'EE Measures'!$IG$8:$IG$86,--('EE Measures'!$B$8:$B$86='Pathway Analysis'!$C899),'EE Measures'!$CR$8:$CR$86)</f>
        <v>-244.43967368661646</v>
      </c>
      <c r="N899" s="619" cm="1">
        <f t="array" ref="N899">-SUMPRODUCT('EE Measures'!EL$8:EL$86,'EE Measures'!$IG$8:$IG$86,--('EE Measures'!$B$8:$B$86='Pathway Analysis'!$C899),'EE Measures'!$CR$8:$CR$86)</f>
        <v>-249.32846716034877</v>
      </c>
      <c r="O899" s="619" cm="1">
        <f t="array" ref="O899">-SUMPRODUCT('EE Measures'!EM$8:EM$86,'EE Measures'!$IG$8:$IG$86,--('EE Measures'!$B$8:$B$86='Pathway Analysis'!$C899),'EE Measures'!$CR$8:$CR$86)</f>
        <v>-254.31503650355575</v>
      </c>
      <c r="P899" s="619" cm="1">
        <f t="array" ref="P899">-SUMPRODUCT('EE Measures'!EN$8:EN$86,'EE Measures'!$IG$8:$IG$86,--('EE Measures'!$B$8:$B$86='Pathway Analysis'!$C899),'EE Measures'!$CR$8:$CR$86)</f>
        <v>-259.40133723362686</v>
      </c>
      <c r="Q899" s="619" cm="1">
        <f t="array" ref="Q899">-SUMPRODUCT('EE Measures'!EO$8:EO$86,'EE Measures'!$IG$8:$IG$86,--('EE Measures'!$B$8:$B$86='Pathway Analysis'!$C899),'EE Measures'!$CR$8:$CR$86)</f>
        <v>-264.58936397829939</v>
      </c>
      <c r="R899" s="619" cm="1">
        <f t="array" ref="R899">-SUMPRODUCT('EE Measures'!EP$8:EP$86,'EE Measures'!$IG$8:$IG$86,--('EE Measures'!$B$8:$B$86='Pathway Analysis'!$C899),'EE Measures'!$CR$8:$CR$86)</f>
        <v>-269.88115125786538</v>
      </c>
      <c r="S899" s="619" cm="1">
        <f t="array" ref="S899">-SUMPRODUCT('EE Measures'!EQ$8:EQ$86,'EE Measures'!$IG$8:$IG$86,--('EE Measures'!$B$8:$B$86='Pathway Analysis'!$C899),'EE Measures'!$CR$8:$CR$86)</f>
        <v>-275.27877428302276</v>
      </c>
      <c r="T899" s="619" cm="1">
        <f t="array" ref="T899">-SUMPRODUCT('EE Measures'!ER$8:ER$86,'EE Measures'!$IG$8:$IG$86,--('EE Measures'!$B$8:$B$86='Pathway Analysis'!$C899),'EE Measures'!$CR$8:$CR$86)</f>
        <v>-280.78434976868323</v>
      </c>
      <c r="U899" s="619" cm="1">
        <f t="array" ref="U899">-SUMPRODUCT('EE Measures'!ES$8:ES$86,'EE Measures'!$IG$8:$IG$86,--('EE Measures'!$B$8:$B$86='Pathway Analysis'!$C899),'EE Measures'!$CR$8:$CR$86)</f>
        <v>-286.40003676405684</v>
      </c>
      <c r="V899" s="898">
        <f t="shared" si="2698"/>
        <v>-1506.6227167361712</v>
      </c>
    </row>
    <row r="900" spans="3:22" hidden="1" outlineLevel="1" x14ac:dyDescent="0.3">
      <c r="D900" s="56" t="str">
        <f t="shared" si="2697"/>
        <v>EEO</v>
      </c>
      <c r="E900" s="632" t="s">
        <v>469</v>
      </c>
      <c r="F900" s="584"/>
      <c r="G900" s="620">
        <f>-SUMPRODUCT('EE Measures'!EE$8:EE$86,'EE Measures'!$IG$8:$IG$86,'EE Measures'!$AO$8:$AO$86,'EE Measures'!$CR$8:$CR$86,'EE Measures'!$Q$8:$Q$86)</f>
        <v>0</v>
      </c>
      <c r="H900" s="620">
        <f>-SUMPRODUCT('EE Measures'!EF$8:EF$86,'EE Measures'!$IG$8:$IG$86,'EE Measures'!$AO$8:$AO$86,'EE Measures'!$CR$8:$CR$86,'EE Measures'!$Q$8:$Q$86)</f>
        <v>-1.3601031238834424E-2</v>
      </c>
      <c r="I900" s="620">
        <f>-SUMPRODUCT('EE Measures'!EG$8:EG$86,'EE Measures'!$IG$8:$IG$86,'EE Measures'!$AO$8:$AO$86,'EE Measures'!$CR$8:$CR$86,'EE Measures'!$Q$8:$Q$86)</f>
        <v>-2.8022770906001616E-2</v>
      </c>
      <c r="J900" s="620">
        <f>-SUMPRODUCT('EE Measures'!EH$8:EH$86,'EE Measures'!$IG$8:$IG$86,'EE Measures'!$AO$8:$AO$86,'EE Measures'!$CR$8:$CR$86,'EE Measures'!$Q$8:$Q$86)</f>
        <v>-5.579300303866356</v>
      </c>
      <c r="K900" s="620">
        <f>-SUMPRODUCT('EE Measures'!EI$8:EI$86,'EE Measures'!$IG$8:$IG$86,'EE Measures'!$AO$8:$AO$86,'EE Measures'!$CR$8:$CR$86,'EE Measures'!$Q$8:$Q$86)</f>
        <v>-8.647577480821889</v>
      </c>
      <c r="L900" s="620">
        <f>-SUMPRODUCT('EE Measures'!EJ$8:EJ$86,'EE Measures'!$IG$8:$IG$86,'EE Measures'!$AO$8:$AO$86,'EE Measures'!$CR$8:$CR$86,'EE Measures'!$Q$8:$Q$86)</f>
        <v>-8.7209581287849964</v>
      </c>
      <c r="M900" s="620">
        <f>-SUMPRODUCT('EE Measures'!EK$8:EK$86,'EE Measures'!$IG$8:$IG$86,'EE Measures'!$AO$8:$AO$86,'EE Measures'!$CR$8:$CR$86,'EE Measures'!$Q$8:$Q$86)</f>
        <v>-8.7977577723956646</v>
      </c>
      <c r="N900" s="620">
        <f>-SUMPRODUCT('EE Measures'!EL$8:EL$86,'EE Measures'!$IG$8:$IG$86,'EE Measures'!$AO$8:$AO$86,'EE Measures'!$CR$8:$CR$86,'EE Measures'!$Q$8:$Q$86)</f>
        <v>-8.8808478278731773</v>
      </c>
      <c r="O900" s="620">
        <f>-SUMPRODUCT('EE Measures'!EM$8:EM$86,'EE Measures'!$IG$8:$IG$86,'EE Measures'!$AO$8:$AO$86,'EE Measures'!$CR$8:$CR$86,'EE Measures'!$Q$8:$Q$86)</f>
        <v>-8.9669536302566897</v>
      </c>
      <c r="P900" s="620">
        <f>-SUMPRODUCT('EE Measures'!EN$8:EN$86,'EE Measures'!$IG$8:$IG$86,'EE Measures'!$AO$8:$AO$86,'EE Measures'!$CR$8:$CR$86,'EE Measures'!$Q$8:$Q$86)</f>
        <v>-9.056121786352767</v>
      </c>
      <c r="Q900" s="620">
        <f>-SUMPRODUCT('EE Measures'!EO$8:EO$86,'EE Measures'!$IG$8:$IG$86,'EE Measures'!$AO$8:$AO$86,'EE Measures'!$CR$8:$CR$86,'EE Measures'!$Q$8:$Q$86)</f>
        <v>-9.1484010177235078</v>
      </c>
      <c r="R900" s="620">
        <f>-SUMPRODUCT('EE Measures'!EP$8:EP$86,'EE Measures'!$IG$8:$IG$86,'EE Measures'!$AO$8:$AO$86,'EE Measures'!$CR$8:$CR$86,'EE Measures'!$Q$8:$Q$86)</f>
        <v>-9.2438422200566208</v>
      </c>
      <c r="S900" s="620">
        <f>-SUMPRODUCT('EE Measures'!EQ$8:EQ$86,'EE Measures'!$IG$8:$IG$86,'EE Measures'!$AO$8:$AO$86,'EE Measures'!$CR$8:$CR$86,'EE Measures'!$Q$8:$Q$86)</f>
        <v>-9.3424985250784136</v>
      </c>
      <c r="T900" s="620">
        <f>-SUMPRODUCT('EE Measures'!ER$8:ER$86,'EE Measures'!$IG$8:$IG$86,'EE Measures'!$AO$8:$AO$86,'EE Measures'!$CR$8:$CR$86,'EE Measures'!$Q$8:$Q$86)</f>
        <v>-9.4444253651022532</v>
      </c>
      <c r="U900" s="620">
        <f>-SUMPRODUCT('EE Measures'!ES$8:ES$86,'EE Measures'!$IG$8:$IG$86,'EE Measures'!$AO$8:$AO$86,'EE Measures'!$CR$8:$CR$86,'EE Measures'!$Q$8:$Q$86)</f>
        <v>-9.5496805403087581</v>
      </c>
      <c r="V900" s="898">
        <f t="shared" si="2698"/>
        <v>-58.691140732496379</v>
      </c>
    </row>
    <row r="901" spans="3:22" hidden="1" outlineLevel="1" x14ac:dyDescent="0.3">
      <c r="C901" s="587" t="s">
        <v>470</v>
      </c>
      <c r="D901" s="56" t="str">
        <f t="shared" si="2697"/>
        <v>EEO</v>
      </c>
      <c r="E901" s="632" t="s">
        <v>471</v>
      </c>
      <c r="F901" s="584"/>
      <c r="G901" s="619" cm="1">
        <f t="array" ref="G901">-((SUMPRODUCT('EE Measures'!EE$8:EE$86,'EE Measures'!$IG$8:$IG$86,--('EE Measures'!$B$8:$B$86='Pathway Analysis'!$C901),'EE Measures'!$O$8:$O$86)))</f>
        <v>0</v>
      </c>
      <c r="H901" s="619" cm="1">
        <f t="array" ref="H901">-((SUMPRODUCT('EE Measures'!EF$8:EF$86,'EE Measures'!$IG$8:$IG$86,--('EE Measures'!$B$8:$B$86='Pathway Analysis'!$C901),'EE Measures'!$O$8:$O$86)))</f>
        <v>-2.6979186747596207</v>
      </c>
      <c r="I901" s="619" cm="1">
        <f t="array" ref="I901">-((SUMPRODUCT('EE Measures'!EG$8:EG$86,'EE Measures'!$IG$8:$IG$86,--('EE Measures'!$B$8:$B$86='Pathway Analysis'!$C901),'EE Measures'!$O$8:$O$86)))</f>
        <v>-5.4947662925537406</v>
      </c>
      <c r="J901" s="619" cm="1">
        <f t="array" ref="J901">-((SUMPRODUCT('EE Measures'!EH$8:EH$86,'EE Measures'!$IG$8:$IG$86,--('EE Measures'!$B$8:$B$86='Pathway Analysis'!$C901),'EE Measures'!$O$8:$O$86)))</f>
        <v>-18.54847897203593</v>
      </c>
      <c r="K901" s="619" cm="1">
        <f t="array" ref="K901">-((SUMPRODUCT('EE Measures'!EI$8:EI$86,'EE Measures'!$IG$8:$IG$86,--('EE Measures'!$B$8:$B$86='Pathway Analysis'!$C901),'EE Measures'!$O$8:$O$86)))</f>
        <v>-27.065446890622692</v>
      </c>
      <c r="L901" s="619" cm="1">
        <f t="array" ref="L901">-((SUMPRODUCT('EE Measures'!EJ$8:EJ$86,'EE Measures'!$IG$8:$IG$86,--('EE Measures'!$B$8:$B$86='Pathway Analysis'!$C901),'EE Measures'!$O$8:$O$86)))</f>
        <v>-30.311422005025822</v>
      </c>
      <c r="M901" s="619" cm="1">
        <f t="array" ref="M901">-((SUMPRODUCT('EE Measures'!EK$8:EK$86,'EE Measures'!$IG$8:$IG$86,--('EE Measures'!$B$8:$B$86='Pathway Analysis'!$C901),'EE Measures'!$O$8:$O$86)))</f>
        <v>-33.687950151861791</v>
      </c>
      <c r="N901" s="619" cm="1">
        <f t="array" ref="N901">-((SUMPRODUCT('EE Measures'!EL$8:EL$86,'EE Measures'!$IG$8:$IG$86,--('EE Measures'!$B$8:$B$86='Pathway Analysis'!$C901),'EE Measures'!$O$8:$O$86)))</f>
        <v>-37.191161828501841</v>
      </c>
      <c r="O901" s="619" cm="1">
        <f t="array" ref="O901">-((SUMPRODUCT('EE Measures'!EM$8:EM$86,'EE Measures'!$IG$8:$IG$86,--('EE Measures'!$B$8:$B$86='Pathway Analysis'!$C901),'EE Measures'!$O$8:$O$86)))</f>
        <v>-40.825542726166994</v>
      </c>
      <c r="P901" s="619" cm="1">
        <f t="array" ref="P901">-((SUMPRODUCT('EE Measures'!EN$8:EN$86,'EE Measures'!$IG$8:$IG$86,--('EE Measures'!$B$8:$B$86='Pathway Analysis'!$C901),'EE Measures'!$O$8:$O$86)))</f>
        <v>-44.596376688426112</v>
      </c>
      <c r="Q901" s="619" cm="1">
        <f t="array" ref="Q901">-((SUMPRODUCT('EE Measures'!EO$8:EO$86,'EE Measures'!$IG$8:$IG$86,--('EE Measures'!$B$8:$B$86='Pathway Analysis'!$C901),'EE Measures'!$O$8:$O$86)))</f>
        <v>-48.509166056494543</v>
      </c>
      <c r="R901" s="619" cm="1">
        <f t="array" ref="R901">-((SUMPRODUCT('EE Measures'!EP$8:EP$86,'EE Measures'!$IG$8:$IG$86,--('EE Measures'!$B$8:$B$86='Pathway Analysis'!$C901),'EE Measures'!$O$8:$O$86)))</f>
        <v>-52.569640980614132</v>
      </c>
      <c r="S901" s="619" cm="1">
        <f t="array" ref="S901">-((SUMPRODUCT('EE Measures'!EQ$8:EQ$86,'EE Measures'!$IG$8:$IG$86,--('EE Measures'!$B$8:$B$86='Pathway Analysis'!$C901),'EE Measures'!$O$8:$O$86)))</f>
        <v>-56.783769138106365</v>
      </c>
      <c r="T901" s="619" cm="1">
        <f t="array" ref="T901">-((SUMPRODUCT('EE Measures'!ER$8:ER$86,'EE Measures'!$IG$8:$IG$86,--('EE Measures'!$B$8:$B$86='Pathway Analysis'!$C901),'EE Measures'!$O$8:$O$86)))</f>
        <v>-61.157765876188201</v>
      </c>
      <c r="U901" s="619" cm="1">
        <f t="array" ref="U901">-((SUMPRODUCT('EE Measures'!ES$8:ES$86,'EE Measures'!$IG$8:$IG$86,--('EE Measures'!$B$8:$B$86='Pathway Analysis'!$C901),'EE Measures'!$O$8:$O$86)))</f>
        <v>-65.698104798457607</v>
      </c>
      <c r="V901" s="898">
        <f t="shared" si="2698"/>
        <v>-240.41906422995453</v>
      </c>
    </row>
    <row r="902" spans="3:22" hidden="1" outlineLevel="1" x14ac:dyDescent="0.3">
      <c r="D902" s="56" t="str">
        <f t="shared" si="2697"/>
        <v>EEO</v>
      </c>
      <c r="E902" s="630" t="s">
        <v>208</v>
      </c>
      <c r="F902" s="874">
        <f>SUM(G902:P902)</f>
        <v>6722.9660838790824</v>
      </c>
      <c r="G902" s="621">
        <f>G817-G$803</f>
        <v>173.92207583797244</v>
      </c>
      <c r="H902" s="621">
        <f>H817-H$803</f>
        <v>134.96083491330864</v>
      </c>
      <c r="I902" s="621">
        <f t="shared" ref="I902:P902" si="2701">I817-I$803</f>
        <v>115.5268362193674</v>
      </c>
      <c r="J902" s="621">
        <f t="shared" si="2701"/>
        <v>216.6453421996448</v>
      </c>
      <c r="K902" s="621">
        <f t="shared" si="2701"/>
        <v>1006.4443750716273</v>
      </c>
      <c r="L902" s="621">
        <f t="shared" si="2701"/>
        <v>973.30811390385497</v>
      </c>
      <c r="M902" s="621">
        <f t="shared" si="2701"/>
        <v>980.23500526168937</v>
      </c>
      <c r="N902" s="621">
        <f t="shared" si="2701"/>
        <v>995.69744659747448</v>
      </c>
      <c r="O902" s="621">
        <f t="shared" si="2701"/>
        <v>1040.9014710134543</v>
      </c>
      <c r="P902" s="621">
        <f t="shared" si="2701"/>
        <v>1085.3245828606887</v>
      </c>
      <c r="Q902" s="621">
        <f t="shared" ref="Q902:U902" si="2702">Q817-Q$803</f>
        <v>1125.1351096562576</v>
      </c>
      <c r="R902" s="621">
        <f t="shared" si="2702"/>
        <v>1173.1675938810804</v>
      </c>
      <c r="S902" s="621">
        <f t="shared" si="2702"/>
        <v>1223.062339343971</v>
      </c>
      <c r="T902" s="621">
        <f t="shared" si="2702"/>
        <v>1274.8905165171891</v>
      </c>
      <c r="U902" s="621">
        <f t="shared" si="2702"/>
        <v>1328.7360075088582</v>
      </c>
      <c r="V902" s="898">
        <f t="shared" si="2698"/>
        <v>6722.9660838790824</v>
      </c>
    </row>
    <row r="903" spans="3:22" hidden="1" outlineLevel="1" x14ac:dyDescent="0.3">
      <c r="C903" s="587" t="s">
        <v>51</v>
      </c>
      <c r="D903" s="56" t="str">
        <f t="shared" si="2697"/>
        <v>EEO</v>
      </c>
      <c r="E903" s="630" t="s">
        <v>342</v>
      </c>
      <c r="F903" s="874">
        <f>SUM(G903:P903)</f>
        <v>617.93043341519206</v>
      </c>
      <c r="G903" s="618">
        <f>SUM(G904:G906)</f>
        <v>2.7670850444209973</v>
      </c>
      <c r="H903" s="618">
        <f>SUM(H904:H906)</f>
        <v>4.903109027614625</v>
      </c>
      <c r="I903" s="618">
        <f t="shared" ref="I903:P903" si="2703">SUM(I904:I906)</f>
        <v>6.6785171677730943</v>
      </c>
      <c r="J903" s="618">
        <f t="shared" si="2703"/>
        <v>11.187909578321461</v>
      </c>
      <c r="K903" s="618">
        <f t="shared" si="2703"/>
        <v>38.505138662799368</v>
      </c>
      <c r="L903" s="618">
        <f t="shared" si="2703"/>
        <v>60.987129588766479</v>
      </c>
      <c r="M903" s="618">
        <f t="shared" si="2703"/>
        <v>84.6406056654248</v>
      </c>
      <c r="N903" s="618">
        <f t="shared" si="2703"/>
        <v>109.50164916940149</v>
      </c>
      <c r="O903" s="618">
        <f t="shared" si="2703"/>
        <v>135.64171609753677</v>
      </c>
      <c r="P903" s="618">
        <f t="shared" si="2703"/>
        <v>163.11757341313293</v>
      </c>
      <c r="Q903" s="618">
        <f t="shared" ref="Q903:U903" si="2704">SUM(Q904:Q906)</f>
        <v>189.95466293029682</v>
      </c>
      <c r="R903" s="618">
        <f t="shared" si="2704"/>
        <v>218.16156986048819</v>
      </c>
      <c r="S903" s="618">
        <f t="shared" si="2704"/>
        <v>247.7971073836778</v>
      </c>
      <c r="T903" s="618">
        <f t="shared" si="2704"/>
        <v>278.92239217594351</v>
      </c>
      <c r="U903" s="618">
        <f t="shared" si="2704"/>
        <v>311.5969395370488</v>
      </c>
      <c r="V903" s="898">
        <f t="shared" si="2698"/>
        <v>617.93043341519206</v>
      </c>
    </row>
    <row r="904" spans="3:22" hidden="1" outlineLevel="1" x14ac:dyDescent="0.3">
      <c r="C904" s="587" t="s">
        <v>51</v>
      </c>
      <c r="D904" s="56" t="str">
        <f t="shared" si="2697"/>
        <v>EEO</v>
      </c>
      <c r="E904" s="632" t="s">
        <v>468</v>
      </c>
      <c r="F904" s="584"/>
      <c r="G904" s="1217" cm="1">
        <f t="array" ref="G904">SUMPRODUCT('EE Measures'!DK$8:DK$86,'EE Measures'!$IG$8:$IG$86,--('EE Measures'!$B$8:$B$86='Pathway Analysis'!$C904),'EE Measures'!$EA$8:$EA$86)</f>
        <v>0.23941384115742395</v>
      </c>
      <c r="H904" s="1217" cm="1">
        <f t="array" ref="H904">SUMPRODUCT('EE Measures'!DL$8:DL$86,'EE Measures'!$IG$8:$IG$86,--('EE Measures'!$B$8:$B$86='Pathway Analysis'!$C904),'EE Measures'!$EA$8:$EA$86)</f>
        <v>0.54679056353570332</v>
      </c>
      <c r="I904" s="1217" cm="1">
        <f t="array" ref="I904">SUMPRODUCT('EE Measures'!DM$8:DM$86,'EE Measures'!$IG$8:$IG$86,--('EE Measures'!$B$8:$B$86='Pathway Analysis'!$C904),'EE Measures'!$EA$8:$EA$86)</f>
        <v>0.93560122025568349</v>
      </c>
      <c r="J904" s="1217" cm="1">
        <f t="array" ref="J904">SUMPRODUCT('EE Measures'!DN$8:DN$86,'EE Measures'!$IG$8:$IG$86,--('EE Measures'!$B$8:$B$86='Pathway Analysis'!$C904),'EE Measures'!$EA$8:$EA$86)</f>
        <v>0.98899557306727859</v>
      </c>
      <c r="K904" s="1217" cm="1">
        <f t="array" ref="K904">SUMPRODUCT('EE Measures'!DO$8:DO$86,'EE Measures'!$IG$8:$IG$86,--('EE Measures'!$B$8:$B$86='Pathway Analysis'!$C904),'EE Measures'!$EA$8:$EA$86)</f>
        <v>17.938239058876299</v>
      </c>
      <c r="L904" s="1217" cm="1">
        <f t="array" ref="L904">SUMPRODUCT('EE Measures'!DP$8:DP$86,'EE Measures'!$IG$8:$IG$86,--('EE Measures'!$B$8:$B$86='Pathway Analysis'!$C904),'EE Measures'!$EA$8:$EA$86)</f>
        <v>35.778708188078809</v>
      </c>
      <c r="M904" s="1217" cm="1">
        <f t="array" ref="M904">SUMPRODUCT('EE Measures'!DQ$8:DQ$86,'EE Measures'!$IG$8:$IG$86,--('EE Measures'!$B$8:$B$86='Pathway Analysis'!$C904),'EE Measures'!$EA$8:$EA$86)</f>
        <v>54.609274061592544</v>
      </c>
      <c r="N904" s="1217" cm="1">
        <f t="array" ref="N904">SUMPRODUCT('EE Measures'!DR$8:DR$86,'EE Measures'!$IG$8:$IG$86,--('EE Measures'!$B$8:$B$86='Pathway Analysis'!$C904),'EE Measures'!$EA$8:$EA$86)</f>
        <v>74.456935045281256</v>
      </c>
      <c r="O904" s="1217" cm="1">
        <f t="array" ref="O904">SUMPRODUCT('EE Measures'!DS$8:DS$86,'EE Measures'!$IG$8:$IG$86,--('EE Measures'!$B$8:$B$86='Pathway Analysis'!$C904),'EE Measures'!$EA$8:$EA$86)</f>
        <v>95.383903519298983</v>
      </c>
      <c r="P904" s="1217" cm="1">
        <f t="array" ref="P904">SUMPRODUCT('EE Measures'!DT$8:DT$86,'EE Measures'!$IG$8:$IG$86,--('EE Measures'!$B$8:$B$86='Pathway Analysis'!$C904),'EE Measures'!$EA$8:$EA$86)</f>
        <v>117.43740399836611</v>
      </c>
      <c r="Q904" s="1217" cm="1">
        <f t="array" ref="Q904">SUMPRODUCT('EE Measures'!DU$8:DU$86,'EE Measures'!$IG$8:$IG$86,--('EE Measures'!$B$8:$B$86='Pathway Analysis'!$C904),'EE Measures'!$EA$8:$EA$86)</f>
        <v>140.63641330351135</v>
      </c>
      <c r="R904" s="1217" cm="1">
        <f t="array" ref="R904">SUMPRODUCT('EE Measures'!DV$8:DV$86,'EE Measures'!$IG$8:$IG$86,--('EE Measures'!$B$8:$B$86='Pathway Analysis'!$C904),'EE Measures'!$EA$8:$EA$86)</f>
        <v>165.05113779513076</v>
      </c>
      <c r="S904" s="1217" cm="1">
        <f t="array" ref="S904">SUMPRODUCT('EE Measures'!DW$8:DW$86,'EE Measures'!$IG$8:$IG$86,--('EE Measures'!$B$8:$B$86='Pathway Analysis'!$C904),'EE Measures'!$EA$8:$EA$86)</f>
        <v>190.73359053101078</v>
      </c>
      <c r="T904" s="1217" cm="1">
        <f t="array" ref="T904">SUMPRODUCT('EE Measures'!DX$8:DX$86,'EE Measures'!$IG$8:$IG$86,--('EE Measures'!$B$8:$B$86='Pathway Analysis'!$C904),'EE Measures'!$EA$8:$EA$86)</f>
        <v>217.73780803382252</v>
      </c>
      <c r="U904" s="1217" cm="1">
        <f t="array" ref="U904">SUMPRODUCT('EE Measures'!DY$8:DY$86,'EE Measures'!$IG$8:$IG$86,--('EE Measures'!$B$8:$B$86='Pathway Analysis'!$C904),'EE Measures'!$EA$8:$EA$86)</f>
        <v>246.11593420339838</v>
      </c>
      <c r="V904" s="898">
        <f t="shared" si="2698"/>
        <v>398.31526506951008</v>
      </c>
    </row>
    <row r="905" spans="3:22" hidden="1" outlineLevel="1" x14ac:dyDescent="0.3">
      <c r="C905" s="587" t="s">
        <v>53</v>
      </c>
      <c r="D905" s="56" t="str">
        <f t="shared" si="2697"/>
        <v>EEO</v>
      </c>
      <c r="E905" s="632" t="s">
        <v>469</v>
      </c>
      <c r="F905" s="584"/>
      <c r="G905" s="623">
        <f>SUMPRODUCT('EE Measures'!DK$8:DK$86,'EE Measures'!$IG$8:$IG$86,'EE Measures'!$AO$8:$AO$86,'EE Measures'!$EA$8:$EA$86,'EE Measures'!$Q$8:$Q$86)</f>
        <v>0.77271453974391213</v>
      </c>
      <c r="H905" s="623">
        <f>SUMPRODUCT('EE Measures'!DL$8:DL$86,'EE Measures'!$IG$8:$IG$86,'EE Measures'!$AO$8:$AO$86,'EE Measures'!$EA$8:$EA$86,'EE Measures'!$Q$8:$Q$86)</f>
        <v>1.9752573512846343</v>
      </c>
      <c r="I905" s="623">
        <f>SUMPRODUCT('EE Measures'!DM$8:DM$86,'EE Measures'!$IG$8:$IG$86,'EE Measures'!$AO$8:$AO$86,'EE Measures'!$EA$8:$EA$86,'EE Measures'!$Q$8:$Q$86)</f>
        <v>2.692833612515392</v>
      </c>
      <c r="J905" s="623">
        <f>SUMPRODUCT('EE Measures'!DN$8:DN$86,'EE Measures'!$IG$8:$IG$86,'EE Measures'!$AO$8:$AO$86,'EE Measures'!$EA$8:$EA$86,'EE Measures'!$Q$8:$Q$86)</f>
        <v>4.4935837391652944</v>
      </c>
      <c r="K905" s="623">
        <f>SUMPRODUCT('EE Measures'!DO$8:DO$86,'EE Measures'!$IG$8:$IG$86,'EE Measures'!$AO$8:$AO$86,'EE Measures'!$EA$8:$EA$86,'EE Measures'!$Q$8:$Q$86)</f>
        <v>12.528327276347763</v>
      </c>
      <c r="L905" s="623">
        <f>SUMPRODUCT('EE Measures'!DP$8:DP$86,'EE Measures'!$IG$8:$IG$86,'EE Measures'!$AO$8:$AO$86,'EE Measures'!$EA$8:$EA$86,'EE Measures'!$Q$8:$Q$86)</f>
        <v>16.228210386466092</v>
      </c>
      <c r="M905" s="623">
        <f>SUMPRODUCT('EE Measures'!DQ$8:DQ$86,'EE Measures'!$IG$8:$IG$86,'EE Measures'!$AO$8:$AO$86,'EE Measures'!$EA$8:$EA$86,'EE Measures'!$Q$8:$Q$86)</f>
        <v>20.055945493979635</v>
      </c>
      <c r="N905" s="623">
        <f>SUMPRODUCT('EE Measures'!DR$8:DR$86,'EE Measures'!$IG$8:$IG$86,'EE Measures'!$AO$8:$AO$86,'EE Measures'!$EA$8:$EA$86,'EE Measures'!$Q$8:$Q$86)</f>
        <v>24.017940004662886</v>
      </c>
      <c r="O905" s="623">
        <f>SUMPRODUCT('EE Measures'!DS$8:DS$86,'EE Measures'!$IG$8:$IG$86,'EE Measures'!$AO$8:$AO$86,'EE Measures'!$EA$8:$EA$86,'EE Measures'!$Q$8:$Q$86)</f>
        <v>28.120774037211351</v>
      </c>
      <c r="P905" s="623">
        <f>SUMPRODUCT('EE Measures'!DT$8:DT$86,'EE Measures'!$IG$8:$IG$86,'EE Measures'!$AO$8:$AO$86,'EE Measures'!$EA$8:$EA$86,'EE Measures'!$Q$8:$Q$86)</f>
        <v>32.371208693013472</v>
      </c>
      <c r="Q905" s="623">
        <f>SUMPRODUCT('EE Measures'!DU$8:DU$86,'EE Measures'!$IG$8:$IG$86,'EE Measures'!$AO$8:$AO$86,'EE Measures'!$EA$8:$EA$86,'EE Measures'!$Q$8:$Q$86)</f>
        <v>34.772084654567003</v>
      </c>
      <c r="R905" s="623">
        <f>SUMPRODUCT('EE Measures'!DV$8:DV$86,'EE Measures'!$IG$8:$IG$86,'EE Measures'!$AO$8:$AO$86,'EE Measures'!$EA$8:$EA$86,'EE Measures'!$Q$8:$Q$86)</f>
        <v>37.259359533572052</v>
      </c>
      <c r="S905" s="623">
        <f>SUMPRODUCT('EE Measures'!DW$8:DW$86,'EE Measures'!$IG$8:$IG$86,'EE Measures'!$AO$8:$AO$86,'EE Measures'!$EA$8:$EA$86,'EE Measures'!$Q$8:$Q$86)</f>
        <v>39.836657781605432</v>
      </c>
      <c r="T905" s="623">
        <f>SUMPRODUCT('EE Measures'!DX$8:DX$86,'EE Measures'!$IG$8:$IG$86,'EE Measures'!$AO$8:$AO$86,'EE Measures'!$EA$8:$EA$86,'EE Measures'!$Q$8:$Q$86)</f>
        <v>42.507743997191874</v>
      </c>
      <c r="U905" s="623">
        <f>SUMPRODUCT('EE Measures'!DY$8:DY$86,'EE Measures'!$IG$8:$IG$86,'EE Measures'!$AO$8:$AO$86,'EE Measures'!$EA$8:$EA$86,'EE Measures'!$Q$8:$Q$86)</f>
        <v>45.276528091824687</v>
      </c>
      <c r="V905" s="898">
        <f t="shared" si="2698"/>
        <v>143.25679513439042</v>
      </c>
    </row>
    <row r="906" spans="3:22" hidden="1" outlineLevel="1" x14ac:dyDescent="0.3">
      <c r="C906" s="587" t="s">
        <v>470</v>
      </c>
      <c r="D906" s="56" t="str">
        <f t="shared" si="2697"/>
        <v>EEO</v>
      </c>
      <c r="E906" s="632" t="s">
        <v>471</v>
      </c>
      <c r="F906" s="584"/>
      <c r="G906" s="1217" cm="1">
        <f t="array" ref="G906">SUMPRODUCT('EE Measures'!DK$8:DK$86,'EE Measures'!$IG$8:$IG$86,--('EE Measures'!$B$8:$B$86='Pathway Analysis'!$C906),'EE Measures'!$EA$8:$EA$86,'EE Measures'!$O$8:$O$86)</f>
        <v>1.7549566635196614</v>
      </c>
      <c r="H906" s="1217" cm="1">
        <f t="array" ref="H906">SUMPRODUCT('EE Measures'!DL$8:DL$86,'EE Measures'!$IG$8:$IG$86,--('EE Measures'!$B$8:$B$86='Pathway Analysis'!$C906),'EE Measures'!$EA$8:$EA$86,'EE Measures'!$O$8:$O$86)</f>
        <v>2.3810611127942876</v>
      </c>
      <c r="I906" s="1217" cm="1">
        <f t="array" ref="I906">SUMPRODUCT('EE Measures'!DM$8:DM$86,'EE Measures'!$IG$8:$IG$86,--('EE Measures'!$B$8:$B$86='Pathway Analysis'!$C906),'EE Measures'!$EA$8:$EA$86,'EE Measures'!$O$8:$O$86)</f>
        <v>3.0500823350020188</v>
      </c>
      <c r="J906" s="1217" cm="1">
        <f t="array" ref="J906">SUMPRODUCT('EE Measures'!DN$8:DN$86,'EE Measures'!$IG$8:$IG$86,--('EE Measures'!$B$8:$B$86='Pathway Analysis'!$C906),'EE Measures'!$EA$8:$EA$86,'EE Measures'!$O$8:$O$86)</f>
        <v>5.7053302660888878</v>
      </c>
      <c r="K906" s="1217" cm="1">
        <f t="array" ref="K906">SUMPRODUCT('EE Measures'!DO$8:DO$86,'EE Measures'!$IG$8:$IG$86,--('EE Measures'!$B$8:$B$86='Pathway Analysis'!$C906),'EE Measures'!$EA$8:$EA$86,'EE Measures'!$O$8:$O$86)</f>
        <v>8.0385723275753076</v>
      </c>
      <c r="L906" s="1217" cm="1">
        <f t="array" ref="L906">SUMPRODUCT('EE Measures'!DP$8:DP$86,'EE Measures'!$IG$8:$IG$86,--('EE Measures'!$B$8:$B$86='Pathway Analysis'!$C906),'EE Measures'!$EA$8:$EA$86,'EE Measures'!$O$8:$O$86)</f>
        <v>8.9802110142215774</v>
      </c>
      <c r="M906" s="1217" cm="1">
        <f t="array" ref="M906">SUMPRODUCT('EE Measures'!DQ$8:DQ$86,'EE Measures'!$IG$8:$IG$86,--('EE Measures'!$B$8:$B$86='Pathway Analysis'!$C906),'EE Measures'!$EA$8:$EA$86,'EE Measures'!$O$8:$O$86)</f>
        <v>9.9753861098526286</v>
      </c>
      <c r="N906" s="1217" cm="1">
        <f t="array" ref="N906">SUMPRODUCT('EE Measures'!DR$8:DR$86,'EE Measures'!$IG$8:$IG$86,--('EE Measures'!$B$8:$B$86='Pathway Analysis'!$C906),'EE Measures'!$EA$8:$EA$86,'EE Measures'!$O$8:$O$86)</f>
        <v>11.026774119457345</v>
      </c>
      <c r="O906" s="1217" cm="1">
        <f t="array" ref="O906">SUMPRODUCT('EE Measures'!DS$8:DS$86,'EE Measures'!$IG$8:$IG$86,--('EE Measures'!$B$8:$B$86='Pathway Analysis'!$C906),'EE Measures'!$EA$8:$EA$86,'EE Measures'!$O$8:$O$86)</f>
        <v>12.137038541026429</v>
      </c>
      <c r="P906" s="1217" cm="1">
        <f t="array" ref="P906">SUMPRODUCT('EE Measures'!DT$8:DT$86,'EE Measures'!$IG$8:$IG$86,--('EE Measures'!$B$8:$B$86='Pathway Analysis'!$C906),'EE Measures'!$EA$8:$EA$86,'EE Measures'!$O$8:$O$86)</f>
        <v>13.308960721753357</v>
      </c>
      <c r="Q906" s="1217" cm="1">
        <f t="array" ref="Q906">SUMPRODUCT('EE Measures'!DU$8:DU$86,'EE Measures'!$IG$8:$IG$86,--('EE Measures'!$B$8:$B$86='Pathway Analysis'!$C906),'EE Measures'!$EA$8:$EA$86,'EE Measures'!$O$8:$O$86)</f>
        <v>14.546164972218472</v>
      </c>
      <c r="R906" s="1217" cm="1">
        <f t="array" ref="R906">SUMPRODUCT('EE Measures'!DV$8:DV$86,'EE Measures'!$IG$8:$IG$86,--('EE Measures'!$B$8:$B$86='Pathway Analysis'!$C906),'EE Measures'!$EA$8:$EA$86,'EE Measures'!$O$8:$O$86)</f>
        <v>15.851072531785382</v>
      </c>
      <c r="S906" s="1217" cm="1">
        <f t="array" ref="S906">SUMPRODUCT('EE Measures'!DW$8:DW$86,'EE Measures'!$IG$8:$IG$86,--('EE Measures'!$B$8:$B$86='Pathway Analysis'!$C906),'EE Measures'!$EA$8:$EA$86,'EE Measures'!$O$8:$O$86)</f>
        <v>17.226859071061593</v>
      </c>
      <c r="T906" s="1217" cm="1">
        <f t="array" ref="T906">SUMPRODUCT('EE Measures'!DX$8:DX$86,'EE Measures'!$IG$8:$IG$86,--('EE Measures'!$B$8:$B$86='Pathway Analysis'!$C906),'EE Measures'!$EA$8:$EA$86,'EE Measures'!$O$8:$O$86)</f>
        <v>18.676840144929145</v>
      </c>
      <c r="U906" s="1217" cm="1">
        <f t="array" ref="U906">SUMPRODUCT('EE Measures'!DY$8:DY$86,'EE Measures'!$IG$8:$IG$86,--('EE Measures'!$B$8:$B$86='Pathway Analysis'!$C906),'EE Measures'!$EA$8:$EA$86,'EE Measures'!$O$8:$O$86)</f>
        <v>20.20447724182571</v>
      </c>
      <c r="V906" s="898">
        <f t="shared" si="2698"/>
        <v>76.358373211291493</v>
      </c>
    </row>
    <row r="907" spans="3:22" hidden="1" outlineLevel="1" x14ac:dyDescent="0.3">
      <c r="D907" s="56" t="str">
        <f t="shared" si="2697"/>
        <v>EEO</v>
      </c>
      <c r="E907" s="631" t="s">
        <v>472</v>
      </c>
      <c r="F907" s="584"/>
      <c r="G907" s="566">
        <f t="shared" ref="G907" si="2705">(G894*1000)/G699</f>
        <v>13495.181253694947</v>
      </c>
      <c r="H907" s="566">
        <f t="shared" ref="H907:P907" si="2706">(H894*1000)/H699</f>
        <v>15452.121815664961</v>
      </c>
      <c r="I907" s="566">
        <f t="shared" si="2706"/>
        <v>16227.740412552945</v>
      </c>
      <c r="J907" s="566">
        <f t="shared" si="2706"/>
        <v>17117.06464147125</v>
      </c>
      <c r="K907" s="566">
        <f t="shared" si="2706"/>
        <v>17167.477354489441</v>
      </c>
      <c r="L907" s="566">
        <f t="shared" si="2706"/>
        <v>17917.285043656208</v>
      </c>
      <c r="M907" s="566">
        <f t="shared" si="2706"/>
        <v>18685.061713167313</v>
      </c>
      <c r="N907" s="566">
        <f t="shared" si="2706"/>
        <v>20167.939227506882</v>
      </c>
      <c r="O907" s="566">
        <f t="shared" si="2706"/>
        <v>21361.259733778461</v>
      </c>
      <c r="P907" s="566">
        <f t="shared" si="2706"/>
        <v>22604.711300696981</v>
      </c>
      <c r="Q907" s="566">
        <f t="shared" ref="Q907:U907" si="2707">(Q894*1000)/Q699</f>
        <v>23845.796642628902</v>
      </c>
      <c r="R907" s="566">
        <f t="shared" si="2707"/>
        <v>25185.488344044243</v>
      </c>
      <c r="S907" s="566">
        <f t="shared" si="2707"/>
        <v>26582.359925156958</v>
      </c>
      <c r="T907" s="566">
        <f t="shared" si="2707"/>
        <v>28031.688664810445</v>
      </c>
      <c r="U907" s="566">
        <f t="shared" si="2707"/>
        <v>29522.771223293643</v>
      </c>
    </row>
    <row r="908" spans="3:22" hidden="1" outlineLevel="1" x14ac:dyDescent="0.3">
      <c r="D908" s="56" t="str">
        <f>E908</f>
        <v>VA</v>
      </c>
      <c r="E908" s="628" t="s">
        <v>36</v>
      </c>
      <c r="F908" s="872">
        <f>SUM(G908:P908)/SUM($G$878:$P$878)-1</f>
        <v>2.4731672075272826E-2</v>
      </c>
      <c r="G908" s="617">
        <f>G$878+G909</f>
        <v>8813.6920189811772</v>
      </c>
      <c r="H908" s="617">
        <f>H$878+H909</f>
        <v>10502.070075595148</v>
      </c>
      <c r="I908" s="617">
        <f t="shared" ref="I908" si="2708">I$878+I909</f>
        <v>11049.489451901096</v>
      </c>
      <c r="J908" s="617">
        <f t="shared" ref="J908" si="2709">J$878+J909</f>
        <v>11710.06938748665</v>
      </c>
      <c r="K908" s="617">
        <f t="shared" ref="K908" si="2710">K$878+K909</f>
        <v>12374.084555692554</v>
      </c>
      <c r="L908" s="617">
        <f t="shared" ref="L908" si="2711">L$878+L909</f>
        <v>12826.298742372204</v>
      </c>
      <c r="M908" s="617">
        <f t="shared" ref="M908" si="2712">M$878+M909</f>
        <v>13321.698879704725</v>
      </c>
      <c r="N908" s="617">
        <f t="shared" ref="N908" si="2713">N$878+N909</f>
        <v>14048.895163520281</v>
      </c>
      <c r="O908" s="617">
        <f t="shared" ref="O908" si="2714">O$878+O909</f>
        <v>14829.692643416985</v>
      </c>
      <c r="P908" s="617">
        <f t="shared" ref="P908:U908" si="2715">P$878+P909</f>
        <v>15631.407550479807</v>
      </c>
      <c r="Q908" s="617">
        <f t="shared" si="2715"/>
        <v>16457.705102750457</v>
      </c>
      <c r="R908" s="617">
        <f t="shared" si="2715"/>
        <v>17323.992261064246</v>
      </c>
      <c r="S908" s="617">
        <f t="shared" si="2715"/>
        <v>18225.289901302647</v>
      </c>
      <c r="T908" s="617">
        <f t="shared" si="2715"/>
        <v>19149.630304322513</v>
      </c>
      <c r="U908" s="617">
        <f t="shared" si="2715"/>
        <v>20071.833005060344</v>
      </c>
      <c r="V908" s="898">
        <f>SUM(G909:P909)</f>
        <v>3019.4393688089658</v>
      </c>
    </row>
    <row r="909" spans="3:22" hidden="1" outlineLevel="1" x14ac:dyDescent="0.3">
      <c r="D909" s="56" t="str">
        <f>D908</f>
        <v>VA</v>
      </c>
      <c r="E909" s="629" t="s">
        <v>467</v>
      </c>
      <c r="F909" s="584"/>
      <c r="G909" s="618">
        <f>SUM(G910:G911,G916:G917)+G915</f>
        <v>145.8743089811785</v>
      </c>
      <c r="H909" s="618">
        <f>SUM(H910:H911,H916:H917)+H915</f>
        <v>98.195701363557433</v>
      </c>
      <c r="I909" s="618">
        <f t="shared" ref="I909:P909" si="2716">SUM(I910:I911,I916:I917)+I915</f>
        <v>67.454673070343489</v>
      </c>
      <c r="J909" s="618">
        <f t="shared" si="2716"/>
        <v>210.0679344225484</v>
      </c>
      <c r="K909" s="618">
        <f t="shared" si="2716"/>
        <v>390.87655960155195</v>
      </c>
      <c r="L909" s="618">
        <f t="shared" si="2716"/>
        <v>361.49686363772054</v>
      </c>
      <c r="M909" s="618">
        <f t="shared" si="2716"/>
        <v>374.59720368555026</v>
      </c>
      <c r="N909" s="618">
        <f t="shared" si="2716"/>
        <v>399.29053709154897</v>
      </c>
      <c r="O909" s="618">
        <f t="shared" si="2716"/>
        <v>457.32608586552135</v>
      </c>
      <c r="P909" s="618">
        <f t="shared" si="2716"/>
        <v>514.25950108944494</v>
      </c>
      <c r="Q909" s="618">
        <f t="shared" ref="Q909:U909" si="2717">SUM(Q910:Q911,Q916:Q917)+Q915</f>
        <v>559.66491595978425</v>
      </c>
      <c r="R909" s="618">
        <f t="shared" si="2717"/>
        <v>613.8420404594965</v>
      </c>
      <c r="S909" s="618">
        <f t="shared" si="2717"/>
        <v>670.46185495170448</v>
      </c>
      <c r="T909" s="618">
        <f t="shared" si="2717"/>
        <v>729.62613848558863</v>
      </c>
      <c r="U909" s="618">
        <f t="shared" si="2717"/>
        <v>791.39143594429652</v>
      </c>
    </row>
    <row r="910" spans="3:22" hidden="1" outlineLevel="1" x14ac:dyDescent="0.3">
      <c r="C910" s="587" t="s">
        <v>51</v>
      </c>
      <c r="D910" s="56" t="str">
        <f t="shared" ref="D910:D921" si="2718">D909</f>
        <v>VA</v>
      </c>
      <c r="E910" s="630" t="s">
        <v>205</v>
      </c>
      <c r="F910" s="874">
        <f>SUM(G910:P910)</f>
        <v>-4280.8656754213334</v>
      </c>
      <c r="G910" s="593" cm="1">
        <f t="array" ref="G910">-SUMPRODUCT('EE Measures'!BZ$8:BZ$86,'EE Measures'!$IH$8:$IH$86,--('EE Measures'!$B$8:$B$86='Pathway Analysis'!$C910),'EE Measures'!$CR$8:$CR$86)</f>
        <v>-30.814851901214958</v>
      </c>
      <c r="H910" s="593" cm="1">
        <f t="array" ref="H910">-SUMPRODUCT('EE Measures'!CA$8:CA$86,'EE Measures'!$IH$8:$IH$86,--('EE Measures'!$B$8:$B$86='Pathway Analysis'!$C910),'EE Measures'!$CR$8:$CR$86)</f>
        <v>-39.011514036496656</v>
      </c>
      <c r="I910" s="593" cm="1">
        <f t="array" ref="I910">-SUMPRODUCT('EE Measures'!CB$8:CB$86,'EE Measures'!$IH$8:$IH$86,--('EE Measures'!$B$8:$B$86='Pathway Analysis'!$C910),'EE Measures'!$CR$8:$CR$86)</f>
        <v>-49.313634062288372</v>
      </c>
      <c r="J910" s="593" cm="1">
        <f t="array" ref="J910">-SUMPRODUCT('EE Measures'!CC$8:CC$86,'EE Measures'!$IH$8:$IH$86,--('EE Measures'!$B$8:$B$86='Pathway Analysis'!$C910),'EE Measures'!$CR$8:$CR$86)</f>
        <v>0</v>
      </c>
      <c r="K910" s="593" cm="1">
        <f t="array" ref="K910">-SUMPRODUCT('EE Measures'!CD$8:CD$86,'EE Measures'!$IH$8:$IH$86,--('EE Measures'!$B$8:$B$86='Pathway Analysis'!$C910),'EE Measures'!$CR$8:$CR$86)</f>
        <v>-659.7409434124362</v>
      </c>
      <c r="L910" s="593" cm="1">
        <f t="array" ref="L910">-SUMPRODUCT('EE Measures'!CE$8:CE$86,'EE Measures'!$IH$8:$IH$86,--('EE Measures'!$B$8:$B$86='Pathway Analysis'!$C910),'EE Measures'!$CR$8:$CR$86)</f>
        <v>-672.93576228068491</v>
      </c>
      <c r="M910" s="593" cm="1">
        <f t="array" ref="M910">-SUMPRODUCT('EE Measures'!CF$8:CF$86,'EE Measures'!$IH$8:$IH$86,--('EE Measures'!$B$8:$B$86='Pathway Analysis'!$C910),'EE Measures'!$CR$8:$CR$86)</f>
        <v>-686.3944775262986</v>
      </c>
      <c r="N910" s="593" cm="1">
        <f t="array" ref="N910">-SUMPRODUCT('EE Measures'!CG$8:CG$86,'EE Measures'!$IH$8:$IH$86,--('EE Measures'!$B$8:$B$86='Pathway Analysis'!$C910),'EE Measures'!$CR$8:$CR$86)</f>
        <v>-700.1223670768245</v>
      </c>
      <c r="O910" s="593" cm="1">
        <f t="array" ref="O910">-SUMPRODUCT('EE Measures'!CH$8:CH$86,'EE Measures'!$IH$8:$IH$86,--('EE Measures'!$B$8:$B$86='Pathway Analysis'!$C910),'EE Measures'!$CR$8:$CR$86)</f>
        <v>-714.1248144183611</v>
      </c>
      <c r="P910" s="593" cm="1">
        <f t="array" ref="P910">-SUMPRODUCT('EE Measures'!CI$8:CI$86,'EE Measures'!$IH$8:$IH$86,--('EE Measures'!$B$8:$B$86='Pathway Analysis'!$C910),'EE Measures'!$CR$8:$CR$86)</f>
        <v>-728.40731070672837</v>
      </c>
      <c r="Q910" s="593" cm="1">
        <f t="array" ref="Q910">-SUMPRODUCT('EE Measures'!CJ$8:CJ$86,'EE Measures'!$IH$8:$IH$86,--('EE Measures'!$B$8:$B$86='Pathway Analysis'!$C910),'EE Measures'!$CR$8:$CR$86)</f>
        <v>-742.97545692086294</v>
      </c>
      <c r="R910" s="593" cm="1">
        <f t="array" ref="R910">-SUMPRODUCT('EE Measures'!CK$8:CK$86,'EE Measures'!$IH$8:$IH$86,--('EE Measures'!$B$8:$B$86='Pathway Analysis'!$C910),'EE Measures'!$CR$8:$CR$86)</f>
        <v>-757.83496605928008</v>
      </c>
      <c r="S910" s="593" cm="1">
        <f t="array" ref="S910">-SUMPRODUCT('EE Measures'!CL$8:CL$86,'EE Measures'!$IH$8:$IH$86,--('EE Measures'!$B$8:$B$86='Pathway Analysis'!$C910),'EE Measures'!$CR$8:$CR$86)</f>
        <v>-772.99166538046575</v>
      </c>
      <c r="T910" s="593" cm="1">
        <f t="array" ref="T910">-SUMPRODUCT('EE Measures'!CM$8:CM$86,'EE Measures'!$IH$8:$IH$86,--('EE Measures'!$B$8:$B$86='Pathway Analysis'!$C910),'EE Measures'!$CR$8:$CR$86)</f>
        <v>-788.45149868807516</v>
      </c>
      <c r="U910" s="593" cm="1">
        <f t="array" ref="U910">-SUMPRODUCT('EE Measures'!CN$8:CN$86,'EE Measures'!$IH$8:$IH$86,--('EE Measures'!$B$8:$B$86='Pathway Analysis'!$C910),'EE Measures'!$CR$8:$CR$86)</f>
        <v>-804.22052866183662</v>
      </c>
      <c r="V910" s="898">
        <f t="shared" ref="V910:V920" si="2719">SUM(G910:P910)</f>
        <v>-4280.8656754213334</v>
      </c>
    </row>
    <row r="911" spans="3:22" hidden="1" outlineLevel="1" x14ac:dyDescent="0.3">
      <c r="C911" s="587" t="s">
        <v>53</v>
      </c>
      <c r="D911" s="56" t="str">
        <f t="shared" si="2718"/>
        <v>VA</v>
      </c>
      <c r="E911" s="630" t="s">
        <v>206</v>
      </c>
      <c r="F911" s="874">
        <f>SUM(G911:P911)</f>
        <v>-15.767327723968378</v>
      </c>
      <c r="G911" s="593" cm="1">
        <f t="array" ref="G911">-SUMPRODUCT('EE Measures'!BZ$8:BZ$86,'EE Measures'!$IH$8:$IH$86,--('EE Measures'!$B$8:$B$86=$C911),'EE Measures'!$CR$8:$CR$86,'EE Measures'!$AO$8:$AO$86)</f>
        <v>0</v>
      </c>
      <c r="H911" s="593" cm="1">
        <f t="array" ref="H911">-SUMPRODUCT('EE Measures'!CA$8:CA$86,'EE Measures'!$IH$8:$IH$86,--('EE Measures'!$B$8:$B$86=$C911),'EE Measures'!$CR$8:$CR$86,'EE Measures'!$AO$8:$AO$86)</f>
        <v>0</v>
      </c>
      <c r="I911" s="593" cm="1">
        <f t="array" ref="I911">-SUMPRODUCT('EE Measures'!CB$8:CB$86,'EE Measures'!$IH$8:$IH$86,--('EE Measures'!$B$8:$B$86=$C911),'EE Measures'!$CR$8:$CR$86,'EE Measures'!$AO$8:$AO$86)</f>
        <v>0</v>
      </c>
      <c r="J911" s="593" cm="1">
        <f t="array" ref="J911">-SUMPRODUCT('EE Measures'!CC$8:CC$86,'EE Measures'!$IH$8:$IH$86,--('EE Measures'!$B$8:$B$86=$C911),'EE Measures'!$CR$8:$CR$86,'EE Measures'!$AO$8:$AO$86)</f>
        <v>0</v>
      </c>
      <c r="K911" s="593" cm="1">
        <f t="array" ref="K911">-SUMPRODUCT('EE Measures'!CD$8:CD$86,'EE Measures'!$IH$8:$IH$86,--('EE Measures'!$B$8:$B$86=$C911),'EE Measures'!$CR$8:$CR$86,'EE Measures'!$AO$8:$AO$86)</f>
        <v>-2.6278879539947297</v>
      </c>
      <c r="L911" s="593" cm="1">
        <f t="array" ref="L911">-SUMPRODUCT('EE Measures'!CE$8:CE$86,'EE Measures'!$IH$8:$IH$86,--('EE Measures'!$B$8:$B$86=$C911),'EE Measures'!$CR$8:$CR$86,'EE Measures'!$AO$8:$AO$86)</f>
        <v>-2.6278879539947297</v>
      </c>
      <c r="M911" s="593" cm="1">
        <f t="array" ref="M911">-SUMPRODUCT('EE Measures'!CF$8:CF$86,'EE Measures'!$IH$8:$IH$86,--('EE Measures'!$B$8:$B$86=$C911),'EE Measures'!$CR$8:$CR$86,'EE Measures'!$AO$8:$AO$86)</f>
        <v>-2.6278879539947297</v>
      </c>
      <c r="N911" s="593" cm="1">
        <f t="array" ref="N911">-SUMPRODUCT('EE Measures'!CG$8:CG$86,'EE Measures'!$IH$8:$IH$86,--('EE Measures'!$B$8:$B$86=$C911),'EE Measures'!$CR$8:$CR$86,'EE Measures'!$AO$8:$AO$86)</f>
        <v>-2.6278879539947297</v>
      </c>
      <c r="O911" s="593" cm="1">
        <f t="array" ref="O911">-SUMPRODUCT('EE Measures'!CH$8:CH$86,'EE Measures'!$IH$8:$IH$86,--('EE Measures'!$B$8:$B$86=$C911),'EE Measures'!$CR$8:$CR$86,'EE Measures'!$AO$8:$AO$86)</f>
        <v>-2.6278879539947297</v>
      </c>
      <c r="P911" s="593" cm="1">
        <f t="array" ref="P911">-SUMPRODUCT('EE Measures'!CI$8:CI$86,'EE Measures'!$IH$8:$IH$86,--('EE Measures'!$B$8:$B$86=$C911),'EE Measures'!$CR$8:$CR$86,'EE Measures'!$AO$8:$AO$86)</f>
        <v>-2.6278879539947297</v>
      </c>
      <c r="Q911" s="593" cm="1">
        <f t="array" ref="Q911">-SUMPRODUCT('EE Measures'!CJ$8:CJ$86,'EE Measures'!$IH$8:$IH$86,--('EE Measures'!$B$8:$B$86=$C911),'EE Measures'!$CR$8:$CR$86,'EE Measures'!$AO$8:$AO$86)</f>
        <v>-2.6278879539947297</v>
      </c>
      <c r="R911" s="593" cm="1">
        <f t="array" ref="R911">-SUMPRODUCT('EE Measures'!CK$8:CK$86,'EE Measures'!$IH$8:$IH$86,--('EE Measures'!$B$8:$B$86=$C911),'EE Measures'!$CR$8:$CR$86,'EE Measures'!$AO$8:$AO$86)</f>
        <v>-2.6278879539947297</v>
      </c>
      <c r="S911" s="593" cm="1">
        <f t="array" ref="S911">-SUMPRODUCT('EE Measures'!CL$8:CL$86,'EE Measures'!$IH$8:$IH$86,--('EE Measures'!$B$8:$B$86=$C911),'EE Measures'!$CR$8:$CR$86,'EE Measures'!$AO$8:$AO$86)</f>
        <v>-2.6278879539947297</v>
      </c>
      <c r="T911" s="593" cm="1">
        <f t="array" ref="T911">-SUMPRODUCT('EE Measures'!CM$8:CM$86,'EE Measures'!$IH$8:$IH$86,--('EE Measures'!$B$8:$B$86=$C911),'EE Measures'!$CR$8:$CR$86,'EE Measures'!$AO$8:$AO$86)</f>
        <v>-2.6278879539947297</v>
      </c>
      <c r="U911" s="593" cm="1">
        <f t="array" ref="U911">-SUMPRODUCT('EE Measures'!CN$8:CN$86,'EE Measures'!$IH$8:$IH$86,--('EE Measures'!$B$8:$B$86=$C911),'EE Measures'!$CR$8:$CR$86,'EE Measures'!$AO$8:$AO$86)</f>
        <v>-2.6278879539947297</v>
      </c>
      <c r="V911" s="898">
        <f t="shared" si="2719"/>
        <v>-15.767327723968378</v>
      </c>
    </row>
    <row r="912" spans="3:22" hidden="1" outlineLevel="1" x14ac:dyDescent="0.3">
      <c r="D912" s="56" t="str">
        <f t="shared" si="2718"/>
        <v>VA</v>
      </c>
      <c r="E912" s="630" t="s">
        <v>207</v>
      </c>
      <c r="F912" s="874">
        <f>SUM(G912:P912)</f>
        <v>-1551.504109230061</v>
      </c>
      <c r="G912" s="593">
        <f>SUM(G913:G915)</f>
        <v>-6.0172515650332716</v>
      </c>
      <c r="H912" s="593">
        <f>SUM(H913:H915)</f>
        <v>-10.649730401005812</v>
      </c>
      <c r="I912" s="593">
        <f t="shared" ref="I912:P912" si="2720">SUM(I913:I915)</f>
        <v>-16.111006803419109</v>
      </c>
      <c r="J912" s="593">
        <f t="shared" si="2720"/>
        <v>-24.127779275902284</v>
      </c>
      <c r="K912" s="593">
        <f t="shared" si="2720"/>
        <v>-231.99529032005233</v>
      </c>
      <c r="L912" s="593">
        <f t="shared" si="2720"/>
        <v>-238.57029140139073</v>
      </c>
      <c r="M912" s="593">
        <f t="shared" si="2720"/>
        <v>-245.34437741718898</v>
      </c>
      <c r="N912" s="593">
        <f t="shared" si="2720"/>
        <v>-252.31785253916516</v>
      </c>
      <c r="O912" s="593">
        <f t="shared" si="2720"/>
        <v>-259.49325609686963</v>
      </c>
      <c r="P912" s="593">
        <f t="shared" si="2720"/>
        <v>-266.87727341003375</v>
      </c>
      <c r="Q912" s="593">
        <f t="shared" ref="Q912:U912" si="2721">SUM(Q913:Q915)</f>
        <v>-274.47683750817799</v>
      </c>
      <c r="R912" s="593">
        <f t="shared" si="2721"/>
        <v>-282.29913904330994</v>
      </c>
      <c r="S912" s="593">
        <f t="shared" si="2721"/>
        <v>-290.35163662267672</v>
      </c>
      <c r="T912" s="593">
        <f t="shared" si="2721"/>
        <v>-298.64206757997226</v>
      </c>
      <c r="U912" s="593">
        <f t="shared" si="2721"/>
        <v>-307.17845920422184</v>
      </c>
      <c r="V912" s="898">
        <f t="shared" si="2719"/>
        <v>-1551.504109230061</v>
      </c>
    </row>
    <row r="913" spans="3:22" hidden="1" outlineLevel="1" x14ac:dyDescent="0.3">
      <c r="C913" s="587" t="s">
        <v>51</v>
      </c>
      <c r="D913" s="56" t="str">
        <f t="shared" si="2718"/>
        <v>VA</v>
      </c>
      <c r="E913" s="632" t="s">
        <v>468</v>
      </c>
      <c r="F913" s="584"/>
      <c r="G913" s="619" cm="1">
        <f t="array" ref="G913">-SUMPRODUCT('EE Measures'!EE$8:EE$86,'EE Measures'!$IH$8:$IH$86,--('EE Measures'!$B$8:$B$86='Pathway Analysis'!$C913),'EE Measures'!$CR$8:$CR$86)</f>
        <v>-6.0172515650332716</v>
      </c>
      <c r="H913" s="619" cm="1">
        <f t="array" ref="H913">-SUMPRODUCT('EE Measures'!EF$8:EF$86,'EE Measures'!$IH$8:$IH$86,--('EE Measures'!$B$8:$B$86='Pathway Analysis'!$C913),'EE Measures'!$CR$8:$CR$86)</f>
        <v>-7.9382106950073572</v>
      </c>
      <c r="I913" s="619" cm="1">
        <f t="array" ref="I913">-SUMPRODUCT('EE Measures'!EG$8:EG$86,'EE Measures'!$IH$8:$IH$86,--('EE Measures'!$B$8:$B$86='Pathway Analysis'!$C913),'EE Measures'!$CR$8:$CR$86)</f>
        <v>-10.588217739959365</v>
      </c>
      <c r="J913" s="619" cm="1">
        <f t="array" ref="J913">-SUMPRODUCT('EE Measures'!EH$8:EH$86,'EE Measures'!$IH$8:$IH$86,--('EE Measures'!$B$8:$B$86='Pathway Analysis'!$C913),'EE Measures'!$CR$8:$CR$86)</f>
        <v>0</v>
      </c>
      <c r="K913" s="619" cm="1">
        <f t="array" ref="K913">-SUMPRODUCT('EE Measures'!EI$8:EI$86,'EE Measures'!$IH$8:$IH$86,--('EE Measures'!$B$8:$B$86='Pathway Analysis'!$C913),'EE Measures'!$CR$8:$CR$86)</f>
        <v>-196.28226594860774</v>
      </c>
      <c r="L913" s="619" cm="1">
        <f t="array" ref="L913">-SUMPRODUCT('EE Measures'!EJ$8:EJ$86,'EE Measures'!$IH$8:$IH$86,--('EE Measures'!$B$8:$B$86='Pathway Analysis'!$C913),'EE Measures'!$CR$8:$CR$86)</f>
        <v>-199.53791126757991</v>
      </c>
      <c r="M913" s="619" cm="1">
        <f t="array" ref="M913">-SUMPRODUCT('EE Measures'!EK$8:EK$86,'EE Measures'!$IH$8:$IH$86,--('EE Measures'!$B$8:$B$86='Pathway Analysis'!$C913),'EE Measures'!$CR$8:$CR$86)</f>
        <v>-202.85866949293151</v>
      </c>
      <c r="N913" s="619" cm="1">
        <f t="array" ref="N913">-SUMPRODUCT('EE Measures'!EL$8:EL$86,'EE Measures'!$IH$8:$IH$86,--('EE Measures'!$B$8:$B$86='Pathway Analysis'!$C913),'EE Measures'!$CR$8:$CR$86)</f>
        <v>-206.24584288279016</v>
      </c>
      <c r="O913" s="619" cm="1">
        <f t="array" ref="O913">-SUMPRODUCT('EE Measures'!EM$8:EM$86,'EE Measures'!$IH$8:$IH$86,--('EE Measures'!$B$8:$B$86='Pathway Analysis'!$C913),'EE Measures'!$CR$8:$CR$86)</f>
        <v>-209.70075974044593</v>
      </c>
      <c r="P913" s="619" cm="1">
        <f t="array" ref="P913">-SUMPRODUCT('EE Measures'!EN$8:EN$86,'EE Measures'!$IH$8:$IH$86,--('EE Measures'!$B$8:$B$86='Pathway Analysis'!$C913),'EE Measures'!$CR$8:$CR$86)</f>
        <v>-213.22477493525486</v>
      </c>
      <c r="Q913" s="619" cm="1">
        <f t="array" ref="Q913">-SUMPRODUCT('EE Measures'!EO$8:EO$86,'EE Measures'!$IH$8:$IH$86,--('EE Measures'!$B$8:$B$86='Pathway Analysis'!$C913),'EE Measures'!$CR$8:$CR$86)</f>
        <v>-216.81927043395996</v>
      </c>
      <c r="R913" s="619" cm="1">
        <f t="array" ref="R913">-SUMPRODUCT('EE Measures'!EP$8:EP$86,'EE Measures'!$IH$8:$IH$86,--('EE Measures'!$B$8:$B$86='Pathway Analysis'!$C913),'EE Measures'!$CR$8:$CR$86)</f>
        <v>-220.48565584263918</v>
      </c>
      <c r="S913" s="619" cm="1">
        <f t="array" ref="S913">-SUMPRODUCT('EE Measures'!EQ$8:EQ$86,'EE Measures'!$IH$8:$IH$86,--('EE Measures'!$B$8:$B$86='Pathway Analysis'!$C913),'EE Measures'!$CR$8:$CR$86)</f>
        <v>-224.22536895949196</v>
      </c>
      <c r="T913" s="619" cm="1">
        <f t="array" ref="T913">-SUMPRODUCT('EE Measures'!ER$8:ER$86,'EE Measures'!$IH$8:$IH$86,--('EE Measures'!$B$8:$B$86='Pathway Analysis'!$C913),'EE Measures'!$CR$8:$CR$86)</f>
        <v>-228.03987633868181</v>
      </c>
      <c r="U913" s="619" cm="1">
        <f t="array" ref="U913">-SUMPRODUCT('EE Measures'!ES$8:ES$86,'EE Measures'!$IH$8:$IH$86,--('EE Measures'!$B$8:$B$86='Pathway Analysis'!$C913),'EE Measures'!$CR$8:$CR$86)</f>
        <v>-231.93067386545545</v>
      </c>
      <c r="V913" s="898">
        <f t="shared" si="2719"/>
        <v>-1252.39390426761</v>
      </c>
    </row>
    <row r="914" spans="3:22" hidden="1" outlineLevel="1" x14ac:dyDescent="0.3">
      <c r="D914" s="56" t="str">
        <f t="shared" si="2718"/>
        <v>VA</v>
      </c>
      <c r="E914" s="632" t="s">
        <v>469</v>
      </c>
      <c r="F914" s="584"/>
      <c r="G914" s="620">
        <f>-SUMPRODUCT('EE Measures'!EE$8:EE$86,'EE Measures'!$IH$8:$IH$86,'EE Measures'!$AO$8:$AO$86,'EE Measures'!$CR$8:$CR$86,'EE Measures'!$Q$8:$Q$86)</f>
        <v>0</v>
      </c>
      <c r="H914" s="620">
        <f>-SUMPRODUCT('EE Measures'!EF$8:EF$86,'EE Measures'!$IH$8:$IH$86,'EE Measures'!$AO$8:$AO$86,'EE Measures'!$CR$8:$CR$86,'EE Measures'!$Q$8:$Q$86)</f>
        <v>-1.3601031238834424E-2</v>
      </c>
      <c r="I914" s="620">
        <f>-SUMPRODUCT('EE Measures'!EG$8:EG$86,'EE Measures'!$IH$8:$IH$86,'EE Measures'!$AO$8:$AO$86,'EE Measures'!$CR$8:$CR$86,'EE Measures'!$Q$8:$Q$86)</f>
        <v>-2.8022770906001616E-2</v>
      </c>
      <c r="J914" s="620">
        <f>-SUMPRODUCT('EE Measures'!EH$8:EH$86,'EE Measures'!$IH$8:$IH$86,'EE Measures'!$AO$8:$AO$86,'EE Measures'!$CR$8:$CR$86,'EE Measures'!$Q$8:$Q$86)</f>
        <v>-5.579300303866356</v>
      </c>
      <c r="K914" s="620">
        <f>-SUMPRODUCT('EE Measures'!EI$8:EI$86,'EE Measures'!$IH$8:$IH$86,'EE Measures'!$AO$8:$AO$86,'EE Measures'!$CR$8:$CR$86,'EE Measures'!$Q$8:$Q$86)</f>
        <v>-8.647577480821889</v>
      </c>
      <c r="L914" s="620">
        <f>-SUMPRODUCT('EE Measures'!EJ$8:EJ$86,'EE Measures'!$IH$8:$IH$86,'EE Measures'!$AO$8:$AO$86,'EE Measures'!$CR$8:$CR$86,'EE Measures'!$Q$8:$Q$86)</f>
        <v>-8.7209581287849964</v>
      </c>
      <c r="M914" s="620">
        <f>-SUMPRODUCT('EE Measures'!EK$8:EK$86,'EE Measures'!$IH$8:$IH$86,'EE Measures'!$AO$8:$AO$86,'EE Measures'!$CR$8:$CR$86,'EE Measures'!$Q$8:$Q$86)</f>
        <v>-8.7977577723956646</v>
      </c>
      <c r="N914" s="620">
        <f>-SUMPRODUCT('EE Measures'!EL$8:EL$86,'EE Measures'!$IH$8:$IH$86,'EE Measures'!$AO$8:$AO$86,'EE Measures'!$CR$8:$CR$86,'EE Measures'!$Q$8:$Q$86)</f>
        <v>-8.8808478278731773</v>
      </c>
      <c r="O914" s="620">
        <f>-SUMPRODUCT('EE Measures'!EM$8:EM$86,'EE Measures'!$IH$8:$IH$86,'EE Measures'!$AO$8:$AO$86,'EE Measures'!$CR$8:$CR$86,'EE Measures'!$Q$8:$Q$86)</f>
        <v>-8.9669536302566897</v>
      </c>
      <c r="P914" s="620">
        <f>-SUMPRODUCT('EE Measures'!EN$8:EN$86,'EE Measures'!$IH$8:$IH$86,'EE Measures'!$AO$8:$AO$86,'EE Measures'!$CR$8:$CR$86,'EE Measures'!$Q$8:$Q$86)</f>
        <v>-9.056121786352767</v>
      </c>
      <c r="Q914" s="620">
        <f>-SUMPRODUCT('EE Measures'!EO$8:EO$86,'EE Measures'!$IH$8:$IH$86,'EE Measures'!$AO$8:$AO$86,'EE Measures'!$CR$8:$CR$86,'EE Measures'!$Q$8:$Q$86)</f>
        <v>-9.1484010177235078</v>
      </c>
      <c r="R914" s="620">
        <f>-SUMPRODUCT('EE Measures'!EP$8:EP$86,'EE Measures'!$IH$8:$IH$86,'EE Measures'!$AO$8:$AO$86,'EE Measures'!$CR$8:$CR$86,'EE Measures'!$Q$8:$Q$86)</f>
        <v>-9.2438422200566208</v>
      </c>
      <c r="S914" s="620">
        <f>-SUMPRODUCT('EE Measures'!EQ$8:EQ$86,'EE Measures'!$IH$8:$IH$86,'EE Measures'!$AO$8:$AO$86,'EE Measures'!$CR$8:$CR$86,'EE Measures'!$Q$8:$Q$86)</f>
        <v>-9.3424985250784136</v>
      </c>
      <c r="T914" s="620">
        <f>-SUMPRODUCT('EE Measures'!ER$8:ER$86,'EE Measures'!$IH$8:$IH$86,'EE Measures'!$AO$8:$AO$86,'EE Measures'!$CR$8:$CR$86,'EE Measures'!$Q$8:$Q$86)</f>
        <v>-9.4444253651022532</v>
      </c>
      <c r="U914" s="620">
        <f>-SUMPRODUCT('EE Measures'!ES$8:ES$86,'EE Measures'!$IH$8:$IH$86,'EE Measures'!$AO$8:$AO$86,'EE Measures'!$CR$8:$CR$86,'EE Measures'!$Q$8:$Q$86)</f>
        <v>-9.5496805403087581</v>
      </c>
      <c r="V914" s="898">
        <f t="shared" si="2719"/>
        <v>-58.691140732496379</v>
      </c>
    </row>
    <row r="915" spans="3:22" hidden="1" outlineLevel="1" x14ac:dyDescent="0.3">
      <c r="C915" s="587" t="s">
        <v>470</v>
      </c>
      <c r="D915" s="56" t="str">
        <f t="shared" si="2718"/>
        <v>VA</v>
      </c>
      <c r="E915" s="632" t="s">
        <v>471</v>
      </c>
      <c r="F915" s="584"/>
      <c r="G915" s="619" cm="1">
        <f t="array" ref="G915">-((SUMPRODUCT('EE Measures'!EE$8:EE$86,'EE Measures'!$IH$8:$IH$86,--('EE Measures'!$B$8:$B$86='Pathway Analysis'!$C915),'EE Measures'!$O$8:$O$86)))</f>
        <v>0</v>
      </c>
      <c r="H915" s="619" cm="1">
        <f t="array" ref="H915">-((SUMPRODUCT('EE Measures'!EF$8:EF$86,'EE Measures'!$IH$8:$IH$86,--('EE Measures'!$B$8:$B$86='Pathway Analysis'!$C915),'EE Measures'!$O$8:$O$86)))</f>
        <v>-2.6979186747596207</v>
      </c>
      <c r="I915" s="619" cm="1">
        <f t="array" ref="I915">-((SUMPRODUCT('EE Measures'!EG$8:EG$86,'EE Measures'!$IH$8:$IH$86,--('EE Measures'!$B$8:$B$86='Pathway Analysis'!$C915),'EE Measures'!$O$8:$O$86)))</f>
        <v>-5.4947662925537406</v>
      </c>
      <c r="J915" s="619" cm="1">
        <f t="array" ref="J915">-((SUMPRODUCT('EE Measures'!EH$8:EH$86,'EE Measures'!$IH$8:$IH$86,--('EE Measures'!$B$8:$B$86='Pathway Analysis'!$C915),'EE Measures'!$O$8:$O$86)))</f>
        <v>-18.54847897203593</v>
      </c>
      <c r="K915" s="619" cm="1">
        <f t="array" ref="K915">-((SUMPRODUCT('EE Measures'!EI$8:EI$86,'EE Measures'!$IH$8:$IH$86,--('EE Measures'!$B$8:$B$86='Pathway Analysis'!$C915),'EE Measures'!$O$8:$O$86)))</f>
        <v>-27.065446890622692</v>
      </c>
      <c r="L915" s="619" cm="1">
        <f t="array" ref="L915">-((SUMPRODUCT('EE Measures'!EJ$8:EJ$86,'EE Measures'!$IH$8:$IH$86,--('EE Measures'!$B$8:$B$86='Pathway Analysis'!$C915),'EE Measures'!$O$8:$O$86)))</f>
        <v>-30.311422005025822</v>
      </c>
      <c r="M915" s="619" cm="1">
        <f t="array" ref="M915">-((SUMPRODUCT('EE Measures'!EK$8:EK$86,'EE Measures'!$IH$8:$IH$86,--('EE Measures'!$B$8:$B$86='Pathway Analysis'!$C915),'EE Measures'!$O$8:$O$86)))</f>
        <v>-33.687950151861791</v>
      </c>
      <c r="N915" s="619" cm="1">
        <f t="array" ref="N915">-((SUMPRODUCT('EE Measures'!EL$8:EL$86,'EE Measures'!$IH$8:$IH$86,--('EE Measures'!$B$8:$B$86='Pathway Analysis'!$C915),'EE Measures'!$O$8:$O$86)))</f>
        <v>-37.191161828501841</v>
      </c>
      <c r="O915" s="619" cm="1">
        <f t="array" ref="O915">-((SUMPRODUCT('EE Measures'!EM$8:EM$86,'EE Measures'!$IH$8:$IH$86,--('EE Measures'!$B$8:$B$86='Pathway Analysis'!$C915),'EE Measures'!$O$8:$O$86)))</f>
        <v>-40.825542726166994</v>
      </c>
      <c r="P915" s="619" cm="1">
        <f t="array" ref="P915">-((SUMPRODUCT('EE Measures'!EN$8:EN$86,'EE Measures'!$IH$8:$IH$86,--('EE Measures'!$B$8:$B$86='Pathway Analysis'!$C915),'EE Measures'!$O$8:$O$86)))</f>
        <v>-44.596376688426112</v>
      </c>
      <c r="Q915" s="619" cm="1">
        <f t="array" ref="Q915">-((SUMPRODUCT('EE Measures'!EO$8:EO$86,'EE Measures'!$IH$8:$IH$86,--('EE Measures'!$B$8:$B$86='Pathway Analysis'!$C915),'EE Measures'!$O$8:$O$86)))</f>
        <v>-48.509166056494543</v>
      </c>
      <c r="R915" s="619" cm="1">
        <f t="array" ref="R915">-((SUMPRODUCT('EE Measures'!EP$8:EP$86,'EE Measures'!$IH$8:$IH$86,--('EE Measures'!$B$8:$B$86='Pathway Analysis'!$C915),'EE Measures'!$O$8:$O$86)))</f>
        <v>-52.569640980614132</v>
      </c>
      <c r="S915" s="619" cm="1">
        <f t="array" ref="S915">-((SUMPRODUCT('EE Measures'!EQ$8:EQ$86,'EE Measures'!$IH$8:$IH$86,--('EE Measures'!$B$8:$B$86='Pathway Analysis'!$C915),'EE Measures'!$O$8:$O$86)))</f>
        <v>-56.783769138106365</v>
      </c>
      <c r="T915" s="619" cm="1">
        <f t="array" ref="T915">-((SUMPRODUCT('EE Measures'!ER$8:ER$86,'EE Measures'!$IH$8:$IH$86,--('EE Measures'!$B$8:$B$86='Pathway Analysis'!$C915),'EE Measures'!$O$8:$O$86)))</f>
        <v>-61.157765876188201</v>
      </c>
      <c r="U915" s="619" cm="1">
        <f t="array" ref="U915">-((SUMPRODUCT('EE Measures'!ES$8:ES$86,'EE Measures'!$IH$8:$IH$86,--('EE Measures'!$B$8:$B$86='Pathway Analysis'!$C915),'EE Measures'!$O$8:$O$86)))</f>
        <v>-65.698104798457607</v>
      </c>
      <c r="V915" s="898">
        <f t="shared" si="2719"/>
        <v>-240.41906422995453</v>
      </c>
    </row>
    <row r="916" spans="3:22" hidden="1" outlineLevel="1" x14ac:dyDescent="0.3">
      <c r="D916" s="56" t="str">
        <f t="shared" si="2718"/>
        <v>VA</v>
      </c>
      <c r="E916" s="630" t="s">
        <v>208</v>
      </c>
      <c r="F916" s="874">
        <f>SUM(G916:P916)</f>
        <v>6974.659227956201</v>
      </c>
      <c r="G916" s="621">
        <f>G824-G$803</f>
        <v>173.92207583797244</v>
      </c>
      <c r="H916" s="621">
        <f>H824-H$803</f>
        <v>134.9843708785229</v>
      </c>
      <c r="I916" s="621">
        <f t="shared" ref="I916:P916" si="2722">I824-I$803</f>
        <v>115.56184864757597</v>
      </c>
      <c r="J916" s="621">
        <f t="shared" si="2722"/>
        <v>217.09387474138202</v>
      </c>
      <c r="K916" s="621">
        <f t="shared" si="2722"/>
        <v>1041.8916389399928</v>
      </c>
      <c r="L916" s="621">
        <f t="shared" si="2722"/>
        <v>1008.4575422472662</v>
      </c>
      <c r="M916" s="621">
        <f t="shared" si="2722"/>
        <v>1017.0214240009154</v>
      </c>
      <c r="N916" s="621">
        <f t="shared" si="2722"/>
        <v>1036.6778836187623</v>
      </c>
      <c r="O916" s="621">
        <f t="shared" si="2722"/>
        <v>1089.1331417723814</v>
      </c>
      <c r="P916" s="621">
        <f t="shared" si="2722"/>
        <v>1139.9154272714295</v>
      </c>
      <c r="Q916" s="621">
        <f t="shared" ref="Q916:U916" si="2723">Q824-Q$803</f>
        <v>1180.6142291696378</v>
      </c>
      <c r="R916" s="621">
        <f t="shared" si="2723"/>
        <v>1229.544576553355</v>
      </c>
      <c r="S916" s="621">
        <f t="shared" si="2723"/>
        <v>1280.351520362623</v>
      </c>
      <c r="T916" s="621">
        <f t="shared" si="2723"/>
        <v>1333.1099187772561</v>
      </c>
      <c r="U916" s="621">
        <f t="shared" si="2723"/>
        <v>1387.8998587818605</v>
      </c>
      <c r="V916" s="898">
        <f t="shared" si="2719"/>
        <v>6974.659227956201</v>
      </c>
    </row>
    <row r="917" spans="3:22" hidden="1" outlineLevel="1" x14ac:dyDescent="0.3">
      <c r="C917" s="587" t="s">
        <v>51</v>
      </c>
      <c r="D917" s="56" t="str">
        <f t="shared" si="2718"/>
        <v>VA</v>
      </c>
      <c r="E917" s="630" t="s">
        <v>342</v>
      </c>
      <c r="F917" s="874">
        <f>SUM(G917:P917)</f>
        <v>581.83220822802127</v>
      </c>
      <c r="G917" s="618">
        <f>SUM(G918:G920)</f>
        <v>2.7670850444209973</v>
      </c>
      <c r="H917" s="618">
        <f>SUM(H918:H920)</f>
        <v>4.9207631962908263</v>
      </c>
      <c r="I917" s="618">
        <f t="shared" ref="I917:P917" si="2724">SUM(I918:I920)</f>
        <v>6.7012247776096263</v>
      </c>
      <c r="J917" s="618">
        <f t="shared" si="2724"/>
        <v>11.522538653202304</v>
      </c>
      <c r="K917" s="618">
        <f t="shared" si="2724"/>
        <v>38.419198918612658</v>
      </c>
      <c r="L917" s="618">
        <f t="shared" si="2724"/>
        <v>58.914393630159765</v>
      </c>
      <c r="M917" s="618">
        <f t="shared" si="2724"/>
        <v>80.286095316789897</v>
      </c>
      <c r="N917" s="618">
        <f t="shared" si="2724"/>
        <v>102.55407033210783</v>
      </c>
      <c r="O917" s="618">
        <f t="shared" si="2724"/>
        <v>125.77118919166278</v>
      </c>
      <c r="P917" s="618">
        <f t="shared" si="2724"/>
        <v>149.97564916716459</v>
      </c>
      <c r="Q917" s="618">
        <f t="shared" ref="Q917:U917" si="2725">SUM(Q918:Q920)</f>
        <v>173.16319772149853</v>
      </c>
      <c r="R917" s="618">
        <f t="shared" si="2725"/>
        <v>197.32995890003053</v>
      </c>
      <c r="S917" s="618">
        <f t="shared" si="2725"/>
        <v>222.51365706164833</v>
      </c>
      <c r="T917" s="618">
        <f t="shared" si="2725"/>
        <v>248.75337222659073</v>
      </c>
      <c r="U917" s="618">
        <f t="shared" si="2725"/>
        <v>276.03809857672502</v>
      </c>
      <c r="V917" s="898">
        <f t="shared" si="2719"/>
        <v>581.83220822802127</v>
      </c>
    </row>
    <row r="918" spans="3:22" hidden="1" outlineLevel="1" x14ac:dyDescent="0.3">
      <c r="C918" s="587" t="s">
        <v>51</v>
      </c>
      <c r="D918" s="56" t="str">
        <f t="shared" si="2718"/>
        <v>VA</v>
      </c>
      <c r="E918" s="632" t="s">
        <v>468</v>
      </c>
      <c r="F918" s="584"/>
      <c r="G918" s="622" cm="1">
        <f t="array" ref="G918">SUMPRODUCT('EE Measures'!CV$8:CV$86,'EE Measures'!$IH$8:$IH$86,--('EE Measures'!$B$8:$B$86='Pathway Analysis'!$C918),'EE Measures'!$EA$8:$EA$86)</f>
        <v>0.23941384115742395</v>
      </c>
      <c r="H918" s="622" cm="1">
        <f t="array" ref="H918">SUMPRODUCT('EE Measures'!CW$8:CW$86,'EE Measures'!$IH$8:$IH$86,--('EE Measures'!$B$8:$B$86='Pathway Analysis'!$C918),'EE Measures'!$EA$8:$EA$86)</f>
        <v>0.54679056353570332</v>
      </c>
      <c r="I918" s="622" cm="1">
        <f t="array" ref="I918">SUMPRODUCT('EE Measures'!CX$8:CX$86,'EE Measures'!$IH$8:$IH$86,--('EE Measures'!$B$8:$B$86='Pathway Analysis'!$C918),'EE Measures'!$EA$8:$EA$86)</f>
        <v>0.93560122025568349</v>
      </c>
      <c r="J918" s="622" cm="1">
        <f t="array" ref="J918">SUMPRODUCT('EE Measures'!CY$8:CY$86,'EE Measures'!$IH$8:$IH$86,--('EE Measures'!$B$8:$B$86='Pathway Analysis'!$C918),'EE Measures'!$EA$8:$EA$86)</f>
        <v>0.98899557306727859</v>
      </c>
      <c r="K918" s="622" cm="1">
        <f t="array" ref="K918">SUMPRODUCT('EE Measures'!CZ$8:CZ$86,'EE Measures'!$IH$8:$IH$86,--('EE Measures'!$B$8:$B$86='Pathway Analysis'!$C918),'EE Measures'!$EA$8:$EA$86)</f>
        <v>17.70453595600743</v>
      </c>
      <c r="L918" s="622" cm="1">
        <f t="array" ref="L918">SUMPRODUCT('EE Measures'!DA$8:DA$86,'EE Measures'!$IH$8:$IH$86,--('EE Measures'!$B$8:$B$86='Pathway Analysis'!$C918),'EE Measures'!$EA$8:$EA$86)</f>
        <v>33.60285000346947</v>
      </c>
      <c r="M918" s="622" cm="1">
        <f t="array" ref="M918">SUMPRODUCT('EE Measures'!DB$8:DB$86,'EE Measures'!$IH$8:$IH$86,--('EE Measures'!$B$8:$B$86='Pathway Analysis'!$C918),'EE Measures'!$EA$8:$EA$86)</f>
        <v>50.213886545906377</v>
      </c>
      <c r="N918" s="622" cm="1">
        <f t="array" ref="N918">SUMPRODUCT('EE Measures'!DC$8:DC$86,'EE Measures'!$IH$8:$IH$86,--('EE Measures'!$B$8:$B$86='Pathway Analysis'!$C918),'EE Measures'!$EA$8:$EA$86)</f>
        <v>67.549325780930204</v>
      </c>
      <c r="O918" s="622" cm="1">
        <f t="array" ref="O918">SUMPRODUCT('EE Measures'!DD$8:DD$86,'EE Measures'!$IH$8:$IH$86,--('EE Measures'!$B$8:$B$86='Pathway Analysis'!$C918),'EE Measures'!$EA$8:$EA$86)</f>
        <v>85.653777142484813</v>
      </c>
      <c r="P918" s="622" cm="1">
        <f t="array" ref="P918">SUMPRODUCT('EE Measures'!DE$8:DE$86,'EE Measures'!$IH$8:$IH$86,--('EE Measures'!$B$8:$B$86='Pathway Analysis'!$C918),'EE Measures'!$EA$8:$EA$86)</f>
        <v>104.55692073062303</v>
      </c>
      <c r="Q918" s="622" cm="1">
        <f t="array" ref="Q918">SUMPRODUCT('EE Measures'!DF$8:DF$86,'EE Measures'!$IH$8:$IH$86,--('EE Measures'!$B$8:$B$86='Pathway Analysis'!$C918),'EE Measures'!$EA$8:$EA$86)</f>
        <v>124.25011201794558</v>
      </c>
      <c r="R918" s="622" cm="1">
        <f t="array" ref="R918">SUMPRODUCT('EE Measures'!DG$8:DG$86,'EE Measures'!$IH$8:$IH$86,--('EE Measures'!$B$8:$B$86='Pathway Analysis'!$C918),'EE Measures'!$EA$8:$EA$86)</f>
        <v>144.79134136758682</v>
      </c>
      <c r="S918" s="622" cm="1">
        <f t="array" ref="S918">SUMPRODUCT('EE Measures'!DH$8:DH$86,'EE Measures'!$IH$8:$IH$86,--('EE Measures'!$B$8:$B$86='Pathway Analysis'!$C918),'EE Measures'!$EA$8:$EA$86)</f>
        <v>166.21270483245189</v>
      </c>
      <c r="T918" s="622" cm="1">
        <f t="array" ref="T918">SUMPRODUCT('EE Measures'!DI$8:DI$86,'EE Measures'!$IH$8:$IH$86,--('EE Measures'!$B$8:$B$86='Pathway Analysis'!$C918),'EE Measures'!$EA$8:$EA$86)</f>
        <v>188.54742501395918</v>
      </c>
      <c r="U918" s="622" cm="1">
        <f t="array" ref="U918">SUMPRODUCT('EE Measures'!DJ$8:DJ$86,'EE Measures'!$IH$8:$IH$86,--('EE Measures'!$B$8:$B$86='Pathway Analysis'!$C918),'EE Measures'!$EA$8:$EA$86)</f>
        <v>211.77840056799104</v>
      </c>
      <c r="V918" s="898">
        <f t="shared" si="2719"/>
        <v>361.99209735743739</v>
      </c>
    </row>
    <row r="919" spans="3:22" hidden="1" outlineLevel="1" x14ac:dyDescent="0.3">
      <c r="C919" s="587" t="s">
        <v>53</v>
      </c>
      <c r="D919" s="56" t="str">
        <f t="shared" si="2718"/>
        <v>VA</v>
      </c>
      <c r="E919" s="632" t="s">
        <v>469</v>
      </c>
      <c r="F919" s="584"/>
      <c r="G919" s="623">
        <f>SUMPRODUCT('EE Measures'!CV$8:CV$86,'EE Measures'!$IH$8:$IH$86,'EE Measures'!$AO$8:$AO$86,'EE Measures'!$EA$8:$EA$86,'EE Measures'!$Q$8:$Q$86)</f>
        <v>0.77271453974391213</v>
      </c>
      <c r="H919" s="623">
        <f>SUMPRODUCT('EE Measures'!CW$8:CW$86,'EE Measures'!$IH$8:$IH$86,'EE Measures'!$AO$8:$AO$86,'EE Measures'!$EA$8:$EA$86,'EE Measures'!$Q$8:$Q$86)</f>
        <v>1.9755102157349929</v>
      </c>
      <c r="I919" s="623">
        <f>SUMPRODUCT('EE Measures'!CX$8:CX$86,'EE Measures'!$IH$8:$IH$86,'EE Measures'!$AO$8:$AO$86,'EE Measures'!$EA$8:$EA$86,'EE Measures'!$Q$8:$Q$86)</f>
        <v>2.6933227769086376</v>
      </c>
      <c r="J919" s="623">
        <f>SUMPRODUCT('EE Measures'!CY$8:CY$86,'EE Measures'!$IH$8:$IH$86,'EE Measures'!$AO$8:$AO$86,'EE Measures'!$EA$8:$EA$86,'EE Measures'!$Q$8:$Q$86)</f>
        <v>4.4984602611001376</v>
      </c>
      <c r="K919" s="623">
        <f>SUMPRODUCT('EE Measures'!CZ$8:CZ$86,'EE Measures'!$IH$8:$IH$86,'EE Measures'!$AO$8:$AO$86,'EE Measures'!$EA$8:$EA$86,'EE Measures'!$Q$8:$Q$86)</f>
        <v>12.534217860489441</v>
      </c>
      <c r="L919" s="623">
        <f>SUMPRODUCT('EE Measures'!DA$8:DA$86,'EE Measures'!$IH$8:$IH$86,'EE Measures'!$AO$8:$AO$86,'EE Measures'!$EA$8:$EA$86,'EE Measures'!$Q$8:$Q$86)</f>
        <v>16.23384440135311</v>
      </c>
      <c r="M919" s="623">
        <f>SUMPRODUCT('EE Measures'!DB$8:DB$86,'EE Measures'!$IH$8:$IH$86,'EE Measures'!$AO$8:$AO$86,'EE Measures'!$EA$8:$EA$86,'EE Measures'!$Q$8:$Q$86)</f>
        <v>20.061287143730603</v>
      </c>
      <c r="N919" s="623">
        <f>SUMPRODUCT('EE Measures'!DC$8:DC$86,'EE Measures'!$IH$8:$IH$86,'EE Measures'!$AO$8:$AO$86,'EE Measures'!$EA$8:$EA$86,'EE Measures'!$Q$8:$Q$86)</f>
        <v>24.022950841237911</v>
      </c>
      <c r="O919" s="623">
        <f>SUMPRODUCT('EE Measures'!DD$8:DD$86,'EE Measures'!$IH$8:$IH$86,'EE Measures'!$AO$8:$AO$86,'EE Measures'!$EA$8:$EA$86,'EE Measures'!$Q$8:$Q$86)</f>
        <v>28.125413162374539</v>
      </c>
      <c r="P919" s="623">
        <f>SUMPRODUCT('EE Measures'!DE$8:DE$86,'EE Measures'!$IH$8:$IH$86,'EE Measures'!$AO$8:$AO$86,'EE Measures'!$EA$8:$EA$86,'EE Measures'!$Q$8:$Q$86)</f>
        <v>32.375432647960771</v>
      </c>
      <c r="Q919" s="623">
        <f>SUMPRODUCT('EE Measures'!DF$8:DF$86,'EE Measures'!$IH$8:$IH$86,'EE Measures'!$AO$8:$AO$86,'EE Measures'!$EA$8:$EA$86,'EE Measures'!$Q$8:$Q$86)</f>
        <v>34.775847468904715</v>
      </c>
      <c r="R919" s="623">
        <f>SUMPRODUCT('EE Measures'!DG$8:DG$86,'EE Measures'!$IH$8:$IH$86,'EE Measures'!$AO$8:$AO$86,'EE Measures'!$EA$8:$EA$86,'EE Measures'!$Q$8:$Q$86)</f>
        <v>37.262612297266791</v>
      </c>
      <c r="S919" s="623">
        <f>SUMPRODUCT('EE Measures'!DH$8:DH$86,'EE Measures'!$IH$8:$IH$86,'EE Measures'!$AO$8:$AO$86,'EE Measures'!$EA$8:$EA$86,'EE Measures'!$Q$8:$Q$86)</f>
        <v>39.839348665824275</v>
      </c>
      <c r="T919" s="623">
        <f>SUMPRODUCT('EE Measures'!DI$8:DI$86,'EE Measures'!$IH$8:$IH$86,'EE Measures'!$AO$8:$AO$86,'EE Measures'!$EA$8:$EA$86,'EE Measures'!$Q$8:$Q$86)</f>
        <v>42.509818124219635</v>
      </c>
      <c r="U919" s="623">
        <f>SUMPRODUCT('EE Measures'!DJ$8:DJ$86,'EE Measures'!$IH$8:$IH$86,'EE Measures'!$AO$8:$AO$86,'EE Measures'!$EA$8:$EA$86,'EE Measures'!$Q$8:$Q$86)</f>
        <v>45.277927399496257</v>
      </c>
      <c r="V919" s="898">
        <f t="shared" si="2719"/>
        <v>143.29315385063407</v>
      </c>
    </row>
    <row r="920" spans="3:22" hidden="1" outlineLevel="1" x14ac:dyDescent="0.3">
      <c r="C920" s="587" t="s">
        <v>470</v>
      </c>
      <c r="D920" s="56" t="str">
        <f t="shared" si="2718"/>
        <v>VA</v>
      </c>
      <c r="E920" s="632" t="s">
        <v>471</v>
      </c>
      <c r="F920" s="584"/>
      <c r="G920" s="622" cm="1">
        <f t="array" ref="G920">SUMPRODUCT('EE Measures'!CV$8:CV$86,'EE Measures'!$IH$8:$IH$86,--('EE Measures'!$B$8:$B$86='Pathway Analysis'!$C920),'EE Measures'!$EA$8:$EA$86,'EE Measures'!$O$8:$O$86)</f>
        <v>1.7549566635196614</v>
      </c>
      <c r="H920" s="622" cm="1">
        <f t="array" ref="H920">SUMPRODUCT('EE Measures'!CW$8:CW$86,'EE Measures'!$IH$8:$IH$86,--('EE Measures'!$B$8:$B$86='Pathway Analysis'!$C920),'EE Measures'!$EA$8:$EA$86,'EE Measures'!$O$8:$O$86)</f>
        <v>2.3984624170201299</v>
      </c>
      <c r="I920" s="622" cm="1">
        <f t="array" ref="I920">SUMPRODUCT('EE Measures'!CX$8:CX$86,'EE Measures'!$IH$8:$IH$86,--('EE Measures'!$B$8:$B$86='Pathway Analysis'!$C920),'EE Measures'!$EA$8:$EA$86,'EE Measures'!$O$8:$O$86)</f>
        <v>3.0723007804453051</v>
      </c>
      <c r="J920" s="622" cm="1">
        <f t="array" ref="J920">SUMPRODUCT('EE Measures'!CY$8:CY$86,'EE Measures'!$IH$8:$IH$86,--('EE Measures'!$B$8:$B$86='Pathway Analysis'!$C920),'EE Measures'!$EA$8:$EA$86,'EE Measures'!$O$8:$O$86)</f>
        <v>6.035082819034888</v>
      </c>
      <c r="K920" s="622" cm="1">
        <f t="array" ref="K920">SUMPRODUCT('EE Measures'!CZ$8:CZ$86,'EE Measures'!$IH$8:$IH$86,--('EE Measures'!$B$8:$B$86='Pathway Analysis'!$C920),'EE Measures'!$EA$8:$EA$86,'EE Measures'!$O$8:$O$86)</f>
        <v>8.1804451021157849</v>
      </c>
      <c r="L920" s="622" cm="1">
        <f t="array" ref="L920">SUMPRODUCT('EE Measures'!DA$8:DA$86,'EE Measures'!$IH$8:$IH$86,--('EE Measures'!$B$8:$B$86='Pathway Analysis'!$C920),'EE Measures'!$EA$8:$EA$86,'EE Measures'!$O$8:$O$86)</f>
        <v>9.077699225337188</v>
      </c>
      <c r="M920" s="622" cm="1">
        <f t="array" ref="M920">SUMPRODUCT('EE Measures'!DB$8:DB$86,'EE Measures'!$IH$8:$IH$86,--('EE Measures'!$B$8:$B$86='Pathway Analysis'!$C920),'EE Measures'!$EA$8:$EA$86,'EE Measures'!$O$8:$O$86)</f>
        <v>10.010921627152918</v>
      </c>
      <c r="N920" s="622" cm="1">
        <f t="array" ref="N920">SUMPRODUCT('EE Measures'!DC$8:DC$86,'EE Measures'!$IH$8:$IH$86,--('EE Measures'!$B$8:$B$86='Pathway Analysis'!$C920),'EE Measures'!$EA$8:$EA$86,'EE Measures'!$O$8:$O$86)</f>
        <v>10.981793709939705</v>
      </c>
      <c r="O920" s="622" cm="1">
        <f t="array" ref="O920">SUMPRODUCT('EE Measures'!DD$8:DD$86,'EE Measures'!$IH$8:$IH$86,--('EE Measures'!$B$8:$B$86='Pathway Analysis'!$C920),'EE Measures'!$EA$8:$EA$86,'EE Measures'!$O$8:$O$86)</f>
        <v>11.991998886803431</v>
      </c>
      <c r="P920" s="622" cm="1">
        <f t="array" ref="P920">SUMPRODUCT('EE Measures'!DE$8:DE$86,'EE Measures'!$IH$8:$IH$86,--('EE Measures'!$B$8:$B$86='Pathway Analysis'!$C920),'EE Measures'!$EA$8:$EA$86,'EE Measures'!$O$8:$O$86)</f>
        <v>13.043295788580794</v>
      </c>
      <c r="Q920" s="622" cm="1">
        <f t="array" ref="Q920">SUMPRODUCT('EE Measures'!DF$8:DF$86,'EE Measures'!$IH$8:$IH$86,--('EE Measures'!$B$8:$B$86='Pathway Analysis'!$C920),'EE Measures'!$EA$8:$EA$86,'EE Measures'!$O$8:$O$86)</f>
        <v>14.137238234648224</v>
      </c>
      <c r="R920" s="622" cm="1">
        <f t="array" ref="R920">SUMPRODUCT('EE Measures'!DG$8:DG$86,'EE Measures'!$IH$8:$IH$86,--('EE Measures'!$B$8:$B$86='Pathway Analysis'!$C920),'EE Measures'!$EA$8:$EA$86,'EE Measures'!$O$8:$O$86)</f>
        <v>15.276005235176923</v>
      </c>
      <c r="S920" s="622" cm="1">
        <f t="array" ref="S920">SUMPRODUCT('EE Measures'!DH$8:DH$86,'EE Measures'!$IH$8:$IH$86,--('EE Measures'!$B$8:$B$86='Pathway Analysis'!$C920),'EE Measures'!$EA$8:$EA$86,'EE Measures'!$O$8:$O$86)</f>
        <v>16.461603563372165</v>
      </c>
      <c r="T920" s="622" cm="1">
        <f t="array" ref="T920">SUMPRODUCT('EE Measures'!DI$8:DI$86,'EE Measures'!$IH$8:$IH$86,--('EE Measures'!$B$8:$B$86='Pathway Analysis'!$C920),'EE Measures'!$EA$8:$EA$86,'EE Measures'!$O$8:$O$86)</f>
        <v>17.696129088411894</v>
      </c>
      <c r="U920" s="622" cm="1">
        <f t="array" ref="U920">SUMPRODUCT('EE Measures'!DJ$8:DJ$86,'EE Measures'!$IH$8:$IH$86,--('EE Measures'!$B$8:$B$86='Pathway Analysis'!$C920),'EE Measures'!$EA$8:$EA$86,'EE Measures'!$O$8:$O$86)</f>
        <v>18.981770609237717</v>
      </c>
      <c r="V920" s="898">
        <f t="shared" si="2719"/>
        <v>76.546957019949801</v>
      </c>
    </row>
    <row r="921" spans="3:22" hidden="1" outlineLevel="1" x14ac:dyDescent="0.3">
      <c r="D921" s="56" t="str">
        <f t="shared" si="2718"/>
        <v>VA</v>
      </c>
      <c r="E921" s="631" t="s">
        <v>472</v>
      </c>
      <c r="F921" s="584"/>
      <c r="G921" s="566">
        <f t="shared" ref="G921" si="2726">(G908*1000)/G707</f>
        <v>13495.181253694947</v>
      </c>
      <c r="H921" s="566">
        <f t="shared" ref="H921:P921" si="2727">(H908*1000)/H707</f>
        <v>15452.182420617912</v>
      </c>
      <c r="I921" s="566">
        <f t="shared" si="2727"/>
        <v>16227.825183047637</v>
      </c>
      <c r="J921" s="566">
        <f t="shared" si="2727"/>
        <v>17118.209495884897</v>
      </c>
      <c r="K921" s="566">
        <f t="shared" si="2727"/>
        <v>17354.736800919036</v>
      </c>
      <c r="L921" s="566">
        <f t="shared" si="2727"/>
        <v>18101.141631710259</v>
      </c>
      <c r="M921" s="566">
        <f t="shared" si="2727"/>
        <v>18869.259613442493</v>
      </c>
      <c r="N921" s="566">
        <f t="shared" si="2727"/>
        <v>20358.718658547448</v>
      </c>
      <c r="O921" s="566">
        <f t="shared" si="2727"/>
        <v>21557.077094345408</v>
      </c>
      <c r="P921" s="566">
        <f t="shared" si="2727"/>
        <v>22804.976148228983</v>
      </c>
      <c r="Q921" s="566">
        <f t="shared" ref="Q921:U921" si="2728">(Q908*1000)/Q707</f>
        <v>24045.719716793657</v>
      </c>
      <c r="R921" s="566">
        <f t="shared" si="2728"/>
        <v>25384.921092902525</v>
      </c>
      <c r="S921" s="566">
        <f t="shared" si="2728"/>
        <v>26780.817535844231</v>
      </c>
      <c r="T921" s="566">
        <f t="shared" si="2728"/>
        <v>28228.7484437569</v>
      </c>
      <c r="U921" s="566">
        <f t="shared" si="2728"/>
        <v>29718.050563750567</v>
      </c>
    </row>
    <row r="922" spans="3:22" hidden="1" outlineLevel="1" x14ac:dyDescent="0.3">
      <c r="D922" s="56" t="str">
        <f>E922</f>
        <v>Renowave</v>
      </c>
      <c r="E922" s="628" t="s">
        <v>296</v>
      </c>
      <c r="F922" s="872">
        <f>SUM(G922:P922)/SUM($G$878:$P$878)-1</f>
        <v>1.284194398900107E-2</v>
      </c>
      <c r="G922" s="617">
        <f>G$878+G923</f>
        <v>8813.6920189811772</v>
      </c>
      <c r="H922" s="617">
        <f>H$878+H923</f>
        <v>10502.070075595148</v>
      </c>
      <c r="I922" s="617">
        <f t="shared" ref="I922" si="2729">I$878+I923</f>
        <v>11049.489451901096</v>
      </c>
      <c r="J922" s="617">
        <f t="shared" ref="J922" si="2730">J$878+J923</f>
        <v>11695.60013932378</v>
      </c>
      <c r="K922" s="617">
        <f t="shared" ref="K922" si="2731">K$878+K923</f>
        <v>12078.455672733369</v>
      </c>
      <c r="L922" s="617">
        <f t="shared" ref="L922" si="2732">L$878+L923</f>
        <v>12555.403589839927</v>
      </c>
      <c r="M922" s="617">
        <f t="shared" ref="M922" si="2733">M$878+M923</f>
        <v>13074.474743182336</v>
      </c>
      <c r="N922" s="617">
        <f t="shared" ref="N922" si="2734">N$878+N923</f>
        <v>13821.916950146875</v>
      </c>
      <c r="O922" s="617">
        <f t="shared" ref="O922" si="2735">O$878+O923</f>
        <v>14621.162336863948</v>
      </c>
      <c r="P922" s="617">
        <f t="shared" ref="P922:U922" si="2736">P$878+P923</f>
        <v>15443.54085427202</v>
      </c>
      <c r="Q922" s="617">
        <f t="shared" si="2736"/>
        <v>16297.247425732359</v>
      </c>
      <c r="R922" s="617">
        <f t="shared" si="2736"/>
        <v>17192.327919309995</v>
      </c>
      <c r="S922" s="617">
        <f t="shared" si="2736"/>
        <v>18123.854269627602</v>
      </c>
      <c r="T922" s="617">
        <f t="shared" si="2736"/>
        <v>19079.912887318664</v>
      </c>
      <c r="U922" s="617">
        <f t="shared" si="2736"/>
        <v>20035.315356576175</v>
      </c>
      <c r="V922" s="898">
        <f>SUM(G923:P923)</f>
        <v>1567.8467324980131</v>
      </c>
    </row>
    <row r="923" spans="3:22" hidden="1" outlineLevel="1" x14ac:dyDescent="0.3">
      <c r="D923" s="56" t="str">
        <f>D922</f>
        <v>Renowave</v>
      </c>
      <c r="E923" s="629" t="s">
        <v>467</v>
      </c>
      <c r="F923" s="584"/>
      <c r="G923" s="618">
        <f>SUM(G924:G925,G930:G931)+G929</f>
        <v>145.8743089811785</v>
      </c>
      <c r="H923" s="618">
        <f>SUM(H924:H925,H930:H931)+H929</f>
        <v>98.195701363557433</v>
      </c>
      <c r="I923" s="618">
        <f t="shared" ref="I923:P923" si="2737">SUM(I924:I925,I930:I931)+I929</f>
        <v>67.454673070343489</v>
      </c>
      <c r="J923" s="618">
        <f t="shared" si="2737"/>
        <v>195.59868625967849</v>
      </c>
      <c r="K923" s="618">
        <f t="shared" si="2737"/>
        <v>95.247676642367026</v>
      </c>
      <c r="L923" s="618">
        <f t="shared" si="2737"/>
        <v>90.601711105442035</v>
      </c>
      <c r="M923" s="618">
        <f t="shared" si="2737"/>
        <v>127.37306716316164</v>
      </c>
      <c r="N923" s="618">
        <f t="shared" si="2737"/>
        <v>172.3123237181434</v>
      </c>
      <c r="O923" s="618">
        <f t="shared" si="2737"/>
        <v>248.79577931248406</v>
      </c>
      <c r="P923" s="618">
        <f t="shared" si="2737"/>
        <v>326.39280488165713</v>
      </c>
      <c r="Q923" s="618">
        <f t="shared" ref="Q923:U923" si="2738">SUM(Q924:Q925,Q930:Q931)+Q929</f>
        <v>399.20723894168572</v>
      </c>
      <c r="R923" s="618">
        <f t="shared" si="2738"/>
        <v>482.17769870524779</v>
      </c>
      <c r="S923" s="618">
        <f t="shared" si="2738"/>
        <v>569.0262232766587</v>
      </c>
      <c r="T923" s="618">
        <f t="shared" si="2738"/>
        <v>659.90872148174208</v>
      </c>
      <c r="U923" s="618">
        <f t="shared" si="2738"/>
        <v>754.87378746012701</v>
      </c>
    </row>
    <row r="924" spans="3:22" hidden="1" outlineLevel="1" x14ac:dyDescent="0.3">
      <c r="C924" s="587" t="s">
        <v>51</v>
      </c>
      <c r="D924" s="56" t="str">
        <f t="shared" ref="D924:D935" si="2739">D923</f>
        <v>Renowave</v>
      </c>
      <c r="E924" s="630" t="s">
        <v>205</v>
      </c>
      <c r="F924" s="874">
        <f>SUM(G924:P924)</f>
        <v>-10694.308985236667</v>
      </c>
      <c r="G924" s="593" cm="1">
        <f t="array" ref="G924">-SUMPRODUCT('EE Measures'!BZ$8:BZ$86,'EE Measures'!$II$8:$II$86,--('EE Measures'!$B$8:$B$86='Pathway Analysis'!$C924),'EE Measures'!$CR$8:$CR$86)</f>
        <v>-30.814851901214958</v>
      </c>
      <c r="H924" s="593" cm="1">
        <f t="array" ref="H924">-SUMPRODUCT('EE Measures'!CA$8:CA$86,'EE Measures'!$II$8:$II$86,--('EE Measures'!$B$8:$B$86='Pathway Analysis'!$C924),'EE Measures'!$CR$8:$CR$86)</f>
        <v>-39.011514036496656</v>
      </c>
      <c r="I924" s="593" cm="1">
        <f t="array" ref="I924">-SUMPRODUCT('EE Measures'!CB$8:CB$86,'EE Measures'!$II$8:$II$86,--('EE Measures'!$B$8:$B$86='Pathway Analysis'!$C924),'EE Measures'!$CR$8:$CR$86)</f>
        <v>-49.313634062288372</v>
      </c>
      <c r="J924" s="593" cm="1">
        <f t="array" ref="J924">-SUMPRODUCT('EE Measures'!CC$8:CC$86,'EE Measures'!$II$8:$II$86,--('EE Measures'!$B$8:$B$86='Pathway Analysis'!$C924),'EE Measures'!$CR$8:$CR$86)</f>
        <v>0</v>
      </c>
      <c r="K924" s="593" cm="1">
        <f t="array" ref="K924">-SUMPRODUCT('EE Measures'!CD$8:CD$86,'EE Measures'!$II$8:$II$86,--('EE Measures'!$B$8:$B$86='Pathway Analysis'!$C924),'EE Measures'!$CR$8:$CR$86)</f>
        <v>-1676.4372539666815</v>
      </c>
      <c r="L924" s="593" cm="1">
        <f t="array" ref="L924">-SUMPRODUCT('EE Measures'!CE$8:CE$86,'EE Measures'!$II$8:$II$86,--('EE Measures'!$B$8:$B$86='Pathway Analysis'!$C924),'EE Measures'!$CR$8:$CR$86)</f>
        <v>-1709.9659990460152</v>
      </c>
      <c r="M924" s="593" cm="1">
        <f t="array" ref="M924">-SUMPRODUCT('EE Measures'!CF$8:CF$86,'EE Measures'!$II$8:$II$86,--('EE Measures'!$B$8:$B$86='Pathway Analysis'!$C924),'EE Measures'!$CR$8:$CR$86)</f>
        <v>-1744.1653190269355</v>
      </c>
      <c r="N924" s="593" cm="1">
        <f t="array" ref="N924">-SUMPRODUCT('EE Measures'!CG$8:CG$86,'EE Measures'!$II$8:$II$86,--('EE Measures'!$B$8:$B$86='Pathway Analysis'!$C924),'EE Measures'!$CR$8:$CR$86)</f>
        <v>-1779.0486254074744</v>
      </c>
      <c r="O924" s="593" cm="1">
        <f t="array" ref="O924">-SUMPRODUCT('EE Measures'!CH$8:CH$86,'EE Measures'!$II$8:$II$86,--('EE Measures'!$B$8:$B$86='Pathway Analysis'!$C924),'EE Measures'!$CR$8:$CR$86)</f>
        <v>-1814.6295979156234</v>
      </c>
      <c r="P924" s="593" cm="1">
        <f t="array" ref="P924">-SUMPRODUCT('EE Measures'!CI$8:CI$86,'EE Measures'!$II$8:$II$86,--('EE Measures'!$B$8:$B$86='Pathway Analysis'!$C924),'EE Measures'!$CR$8:$CR$86)</f>
        <v>-1850.9221898739363</v>
      </c>
      <c r="Q924" s="593" cm="1">
        <f t="array" ref="Q924">-SUMPRODUCT('EE Measures'!CJ$8:CJ$86,'EE Measures'!$II$8:$II$86,--('EE Measures'!$B$8:$B$86='Pathway Analysis'!$C924),'EE Measures'!$CR$8:$CR$86)</f>
        <v>-1887.9406336714146</v>
      </c>
      <c r="R924" s="593" cm="1">
        <f t="array" ref="R924">-SUMPRODUCT('EE Measures'!CK$8:CK$86,'EE Measures'!$II$8:$II$86,--('EE Measures'!$B$8:$B$86='Pathway Analysis'!$C924),'EE Measures'!$CR$8:$CR$86)</f>
        <v>-1925.699446344843</v>
      </c>
      <c r="S924" s="593" cm="1">
        <f t="array" ref="S924">-SUMPRODUCT('EE Measures'!CL$8:CL$86,'EE Measures'!$II$8:$II$86,--('EE Measures'!$B$8:$B$86='Pathway Analysis'!$C924),'EE Measures'!$CR$8:$CR$86)</f>
        <v>-1964.2134352717401</v>
      </c>
      <c r="T924" s="593" cm="1">
        <f t="array" ref="T924">-SUMPRODUCT('EE Measures'!CM$8:CM$86,'EE Measures'!$II$8:$II$86,--('EE Measures'!$B$8:$B$86='Pathway Analysis'!$C924),'EE Measures'!$CR$8:$CR$86)</f>
        <v>-2003.4977039771752</v>
      </c>
      <c r="U924" s="593" cm="1">
        <f t="array" ref="U924">-SUMPRODUCT('EE Measures'!CN$8:CN$86,'EE Measures'!$II$8:$II$86,--('EE Measures'!$B$8:$B$86='Pathway Analysis'!$C924),'EE Measures'!$CR$8:$CR$86)</f>
        <v>-2043.5676580567188</v>
      </c>
      <c r="V924" s="898">
        <f t="shared" ref="V924:V934" si="2740">SUM(G924:P924)</f>
        <v>-10694.308985236667</v>
      </c>
    </row>
    <row r="925" spans="3:22" hidden="1" outlineLevel="1" x14ac:dyDescent="0.3">
      <c r="C925" s="587" t="s">
        <v>53</v>
      </c>
      <c r="D925" s="56" t="str">
        <f t="shared" si="2739"/>
        <v>Renowave</v>
      </c>
      <c r="E925" s="630" t="s">
        <v>206</v>
      </c>
      <c r="F925" s="874">
        <f>SUM(G925:P925)</f>
        <v>-15.767327723968378</v>
      </c>
      <c r="G925" s="593" cm="1">
        <f t="array" ref="G925">-SUMPRODUCT('EE Measures'!BZ$8:BZ$86,'EE Measures'!$II$8:$II$86,--('EE Measures'!$B$8:$B$86=$C925),'EE Measures'!$CR$8:$CR$86,'EE Measures'!$AO$8:$AO$86)</f>
        <v>0</v>
      </c>
      <c r="H925" s="593" cm="1">
        <f t="array" ref="H925">-SUMPRODUCT('EE Measures'!CA$8:CA$86,'EE Measures'!$II$8:$II$86,--('EE Measures'!$B$8:$B$86=$C925),'EE Measures'!$CR$8:$CR$86,'EE Measures'!$AO$8:$AO$86)</f>
        <v>0</v>
      </c>
      <c r="I925" s="593" cm="1">
        <f t="array" ref="I925">-SUMPRODUCT('EE Measures'!CB$8:CB$86,'EE Measures'!$II$8:$II$86,--('EE Measures'!$B$8:$B$86=$C925),'EE Measures'!$CR$8:$CR$86,'EE Measures'!$AO$8:$AO$86)</f>
        <v>0</v>
      </c>
      <c r="J925" s="593" cm="1">
        <f t="array" ref="J925">-SUMPRODUCT('EE Measures'!CC$8:CC$86,'EE Measures'!$II$8:$II$86,--('EE Measures'!$B$8:$B$86=$C925),'EE Measures'!$CR$8:$CR$86,'EE Measures'!$AO$8:$AO$86)</f>
        <v>0</v>
      </c>
      <c r="K925" s="593" cm="1">
        <f t="array" ref="K925">-SUMPRODUCT('EE Measures'!CD$8:CD$86,'EE Measures'!$II$8:$II$86,--('EE Measures'!$B$8:$B$86=$C925),'EE Measures'!$CR$8:$CR$86,'EE Measures'!$AO$8:$AO$86)</f>
        <v>-2.6278879539947297</v>
      </c>
      <c r="L925" s="593" cm="1">
        <f t="array" ref="L925">-SUMPRODUCT('EE Measures'!CE$8:CE$86,'EE Measures'!$II$8:$II$86,--('EE Measures'!$B$8:$B$86=$C925),'EE Measures'!$CR$8:$CR$86,'EE Measures'!$AO$8:$AO$86)</f>
        <v>-2.6278879539947297</v>
      </c>
      <c r="M925" s="593" cm="1">
        <f t="array" ref="M925">-SUMPRODUCT('EE Measures'!CF$8:CF$86,'EE Measures'!$II$8:$II$86,--('EE Measures'!$B$8:$B$86=$C925),'EE Measures'!$CR$8:$CR$86,'EE Measures'!$AO$8:$AO$86)</f>
        <v>-2.6278879539947297</v>
      </c>
      <c r="N925" s="593" cm="1">
        <f t="array" ref="N925">-SUMPRODUCT('EE Measures'!CG$8:CG$86,'EE Measures'!$II$8:$II$86,--('EE Measures'!$B$8:$B$86=$C925),'EE Measures'!$CR$8:$CR$86,'EE Measures'!$AO$8:$AO$86)</f>
        <v>-2.6278879539947297</v>
      </c>
      <c r="O925" s="593" cm="1">
        <f t="array" ref="O925">-SUMPRODUCT('EE Measures'!CH$8:CH$86,'EE Measures'!$II$8:$II$86,--('EE Measures'!$B$8:$B$86=$C925),'EE Measures'!$CR$8:$CR$86,'EE Measures'!$AO$8:$AO$86)</f>
        <v>-2.6278879539947297</v>
      </c>
      <c r="P925" s="593" cm="1">
        <f t="array" ref="P925">-SUMPRODUCT('EE Measures'!CI$8:CI$86,'EE Measures'!$II$8:$II$86,--('EE Measures'!$B$8:$B$86=$C925),'EE Measures'!$CR$8:$CR$86,'EE Measures'!$AO$8:$AO$86)</f>
        <v>-2.6278879539947297</v>
      </c>
      <c r="Q925" s="593" cm="1">
        <f t="array" ref="Q925">-SUMPRODUCT('EE Measures'!CJ$8:CJ$86,'EE Measures'!$II$8:$II$86,--('EE Measures'!$B$8:$B$86=$C925),'EE Measures'!$CR$8:$CR$86,'EE Measures'!$AO$8:$AO$86)</f>
        <v>-2.6278879539947297</v>
      </c>
      <c r="R925" s="593" cm="1">
        <f t="array" ref="R925">-SUMPRODUCT('EE Measures'!CK$8:CK$86,'EE Measures'!$II$8:$II$86,--('EE Measures'!$B$8:$B$86=$C925),'EE Measures'!$CR$8:$CR$86,'EE Measures'!$AO$8:$AO$86)</f>
        <v>-2.6278879539947297</v>
      </c>
      <c r="S925" s="593" cm="1">
        <f t="array" ref="S925">-SUMPRODUCT('EE Measures'!CL$8:CL$86,'EE Measures'!$II$8:$II$86,--('EE Measures'!$B$8:$B$86=$C925),'EE Measures'!$CR$8:$CR$86,'EE Measures'!$AO$8:$AO$86)</f>
        <v>-2.6278879539947297</v>
      </c>
      <c r="T925" s="593" cm="1">
        <f t="array" ref="T925">-SUMPRODUCT('EE Measures'!CM$8:CM$86,'EE Measures'!$II$8:$II$86,--('EE Measures'!$B$8:$B$86=$C925),'EE Measures'!$CR$8:$CR$86,'EE Measures'!$AO$8:$AO$86)</f>
        <v>-2.6278879539947297</v>
      </c>
      <c r="U925" s="593" cm="1">
        <f t="array" ref="U925">-SUMPRODUCT('EE Measures'!CN$8:CN$86,'EE Measures'!$II$8:$II$86,--('EE Measures'!$B$8:$B$86=$C925),'EE Measures'!$CR$8:$CR$86,'EE Measures'!$AO$8:$AO$86)</f>
        <v>-2.6278879539947297</v>
      </c>
      <c r="V925" s="898">
        <f t="shared" si="2740"/>
        <v>-15.767327723968378</v>
      </c>
    </row>
    <row r="926" spans="3:22" hidden="1" outlineLevel="1" x14ac:dyDescent="0.3">
      <c r="D926" s="56" t="str">
        <f t="shared" si="2739"/>
        <v>Renowave</v>
      </c>
      <c r="E926" s="630" t="s">
        <v>207</v>
      </c>
      <c r="F926" s="874">
        <f>SUM(G926:P926)</f>
        <v>-3431.429912868362</v>
      </c>
      <c r="G926" s="593">
        <f>SUM(G927:G929)</f>
        <v>-6.0172515650332716</v>
      </c>
      <c r="H926" s="593">
        <f>SUM(H927:H929)</f>
        <v>-10.649730401005812</v>
      </c>
      <c r="I926" s="593">
        <f t="shared" ref="I926:P926" si="2741">SUM(I927:I929)</f>
        <v>-16.111006803419109</v>
      </c>
      <c r="J926" s="593">
        <f t="shared" si="2741"/>
        <v>-24.127779275902284</v>
      </c>
      <c r="K926" s="593">
        <f t="shared" si="2741"/>
        <v>-529.93878778273938</v>
      </c>
      <c r="L926" s="593">
        <f t="shared" si="2741"/>
        <v>-542.50265881333132</v>
      </c>
      <c r="M926" s="593">
        <f t="shared" si="2741"/>
        <v>-555.38539217736832</v>
      </c>
      <c r="N926" s="593">
        <f t="shared" si="2741"/>
        <v>-568.5896875945482</v>
      </c>
      <c r="O926" s="593">
        <f t="shared" si="2741"/>
        <v>-582.12052785336039</v>
      </c>
      <c r="P926" s="593">
        <f t="shared" si="2741"/>
        <v>-595.98709060165402</v>
      </c>
      <c r="Q926" s="593">
        <f t="shared" ref="Q926:U926" si="2742">SUM(Q927:Q929)</f>
        <v>-610.19885104363084</v>
      </c>
      <c r="R926" s="593">
        <f t="shared" si="2742"/>
        <v>-624.76559284947189</v>
      </c>
      <c r="S926" s="593">
        <f t="shared" si="2742"/>
        <v>-639.69741950496189</v>
      </c>
      <c r="T926" s="593">
        <f t="shared" si="2742"/>
        <v>-655.00476611990325</v>
      </c>
      <c r="U926" s="593">
        <f t="shared" si="2742"/>
        <v>-670.69841171495148</v>
      </c>
      <c r="V926" s="898">
        <f t="shared" si="2740"/>
        <v>-3431.429912868362</v>
      </c>
    </row>
    <row r="927" spans="3:22" hidden="1" outlineLevel="1" x14ac:dyDescent="0.3">
      <c r="C927" s="587" t="s">
        <v>51</v>
      </c>
      <c r="D927" s="56" t="str">
        <f t="shared" si="2739"/>
        <v>Renowave</v>
      </c>
      <c r="E927" s="632" t="s">
        <v>468</v>
      </c>
      <c r="F927" s="584"/>
      <c r="G927" s="619" cm="1">
        <f t="array" ref="G927">-SUMPRODUCT('EE Measures'!EE$8:EE$86,'EE Measures'!$II$8:$II$86,--('EE Measures'!$B$8:$B$86='Pathway Analysis'!$C927),'EE Measures'!$CR$8:$CR$86)</f>
        <v>-6.0172515650332716</v>
      </c>
      <c r="H927" s="619" cm="1">
        <f t="array" ref="H927">-SUMPRODUCT('EE Measures'!EF$8:EF$86,'EE Measures'!$II$8:$II$86,--('EE Measures'!$B$8:$B$86='Pathway Analysis'!$C927),'EE Measures'!$CR$8:$CR$86)</f>
        <v>-7.9382106950073572</v>
      </c>
      <c r="I927" s="619" cm="1">
        <f t="array" ref="I927">-SUMPRODUCT('EE Measures'!EG$8:EG$86,'EE Measures'!$II$8:$II$86,--('EE Measures'!$B$8:$B$86='Pathway Analysis'!$C927),'EE Measures'!$CR$8:$CR$86)</f>
        <v>-10.588217739959365</v>
      </c>
      <c r="J927" s="619" cm="1">
        <f t="array" ref="J927">-SUMPRODUCT('EE Measures'!EH$8:EH$86,'EE Measures'!$II$8:$II$86,--('EE Measures'!$B$8:$B$86='Pathway Analysis'!$C927),'EE Measures'!$CR$8:$CR$86)</f>
        <v>0</v>
      </c>
      <c r="K927" s="619" cm="1">
        <f t="array" ref="K927">-SUMPRODUCT('EE Measures'!EI$8:EI$86,'EE Measures'!$II$8:$II$86,--('EE Measures'!$B$8:$B$86='Pathway Analysis'!$C927),'EE Measures'!$CR$8:$CR$86)</f>
        <v>-494.22576341129479</v>
      </c>
      <c r="L927" s="619" cm="1">
        <f t="array" ref="L927">-SUMPRODUCT('EE Measures'!EJ$8:EJ$86,'EE Measures'!$II$8:$II$86,--('EE Measures'!$B$8:$B$86='Pathway Analysis'!$C927),'EE Measures'!$CR$8:$CR$86)</f>
        <v>-503.4702786795205</v>
      </c>
      <c r="M927" s="619" cm="1">
        <f t="array" ref="M927">-SUMPRODUCT('EE Measures'!EK$8:EK$86,'EE Measures'!$II$8:$II$86,--('EE Measures'!$B$8:$B$86='Pathway Analysis'!$C927),'EE Measures'!$CR$8:$CR$86)</f>
        <v>-512.89968425311088</v>
      </c>
      <c r="N927" s="619" cm="1">
        <f t="array" ref="N927">-SUMPRODUCT('EE Measures'!EL$8:EL$86,'EE Measures'!$II$8:$II$86,--('EE Measures'!$B$8:$B$86='Pathway Analysis'!$C927),'EE Measures'!$CR$8:$CR$86)</f>
        <v>-522.51767793817316</v>
      </c>
      <c r="O927" s="619" cm="1">
        <f t="array" ref="O927">-SUMPRODUCT('EE Measures'!EM$8:EM$86,'EE Measures'!$II$8:$II$86,--('EE Measures'!$B$8:$B$86='Pathway Analysis'!$C927),'EE Measures'!$CR$8:$CR$86)</f>
        <v>-532.32803149693666</v>
      </c>
      <c r="P927" s="619" cm="1">
        <f t="array" ref="P927">-SUMPRODUCT('EE Measures'!EN$8:EN$86,'EE Measures'!$II$8:$II$86,--('EE Measures'!$B$8:$B$86='Pathway Analysis'!$C927),'EE Measures'!$CR$8:$CR$86)</f>
        <v>-542.33459212687524</v>
      </c>
      <c r="Q927" s="619" cm="1">
        <f t="array" ref="Q927">-SUMPRODUCT('EE Measures'!EO$8:EO$86,'EE Measures'!$II$8:$II$86,--('EE Measures'!$B$8:$B$86='Pathway Analysis'!$C927),'EE Measures'!$CR$8:$CR$86)</f>
        <v>-552.5412839694128</v>
      </c>
      <c r="R927" s="619" cm="1">
        <f t="array" ref="R927">-SUMPRODUCT('EE Measures'!EP$8:EP$86,'EE Measures'!$II$8:$II$86,--('EE Measures'!$B$8:$B$86='Pathway Analysis'!$C927),'EE Measures'!$CR$8:$CR$86)</f>
        <v>-562.95210964880107</v>
      </c>
      <c r="S927" s="619" cm="1">
        <f t="array" ref="S927">-SUMPRODUCT('EE Measures'!EQ$8:EQ$86,'EE Measures'!$II$8:$II$86,--('EE Measures'!$B$8:$B$86='Pathway Analysis'!$C927),'EE Measures'!$CR$8:$CR$86)</f>
        <v>-573.57115184177712</v>
      </c>
      <c r="T927" s="619" cm="1">
        <f t="array" ref="T927">-SUMPRODUCT('EE Measures'!ER$8:ER$86,'EE Measures'!$II$8:$II$86,--('EE Measures'!$B$8:$B$86='Pathway Analysis'!$C927),'EE Measures'!$CR$8:$CR$86)</f>
        <v>-584.40257487861277</v>
      </c>
      <c r="U927" s="619" cm="1">
        <f t="array" ref="U927">-SUMPRODUCT('EE Measures'!ES$8:ES$86,'EE Measures'!$II$8:$II$86,--('EE Measures'!$B$8:$B$86='Pathway Analysis'!$C927),'EE Measures'!$CR$8:$CR$86)</f>
        <v>-595.45062637618514</v>
      </c>
      <c r="V927" s="898">
        <f t="shared" si="2740"/>
        <v>-3132.3197079059109</v>
      </c>
    </row>
    <row r="928" spans="3:22" hidden="1" outlineLevel="1" x14ac:dyDescent="0.3">
      <c r="D928" s="56" t="str">
        <f t="shared" si="2739"/>
        <v>Renowave</v>
      </c>
      <c r="E928" s="632" t="s">
        <v>469</v>
      </c>
      <c r="F928" s="584"/>
      <c r="G928" s="620">
        <f>-SUMPRODUCT('EE Measures'!EE$8:EE$86,'EE Measures'!$II$8:$II$86,'EE Measures'!$AO$8:$AO$86,'EE Measures'!$CR$8:$CR$86,'EE Measures'!$Q$8:$Q$86)</f>
        <v>0</v>
      </c>
      <c r="H928" s="620">
        <f>-SUMPRODUCT('EE Measures'!EF$8:EF$86,'EE Measures'!$II$8:$II$86,'EE Measures'!$AO$8:$AO$86,'EE Measures'!$CR$8:$CR$86,'EE Measures'!$Q$8:$Q$86)</f>
        <v>-1.3601031238834424E-2</v>
      </c>
      <c r="I928" s="620">
        <f>-SUMPRODUCT('EE Measures'!EG$8:EG$86,'EE Measures'!$II$8:$II$86,'EE Measures'!$AO$8:$AO$86,'EE Measures'!$CR$8:$CR$86,'EE Measures'!$Q$8:$Q$86)</f>
        <v>-2.8022770906001616E-2</v>
      </c>
      <c r="J928" s="620">
        <f>-SUMPRODUCT('EE Measures'!EH$8:EH$86,'EE Measures'!$II$8:$II$86,'EE Measures'!$AO$8:$AO$86,'EE Measures'!$CR$8:$CR$86,'EE Measures'!$Q$8:$Q$86)</f>
        <v>-5.579300303866356</v>
      </c>
      <c r="K928" s="620">
        <f>-SUMPRODUCT('EE Measures'!EI$8:EI$86,'EE Measures'!$II$8:$II$86,'EE Measures'!$AO$8:$AO$86,'EE Measures'!$CR$8:$CR$86,'EE Measures'!$Q$8:$Q$86)</f>
        <v>-8.647577480821889</v>
      </c>
      <c r="L928" s="620">
        <f>-SUMPRODUCT('EE Measures'!EJ$8:EJ$86,'EE Measures'!$II$8:$II$86,'EE Measures'!$AO$8:$AO$86,'EE Measures'!$CR$8:$CR$86,'EE Measures'!$Q$8:$Q$86)</f>
        <v>-8.7209581287849964</v>
      </c>
      <c r="M928" s="620">
        <f>-SUMPRODUCT('EE Measures'!EK$8:EK$86,'EE Measures'!$II$8:$II$86,'EE Measures'!$AO$8:$AO$86,'EE Measures'!$CR$8:$CR$86,'EE Measures'!$Q$8:$Q$86)</f>
        <v>-8.7977577723956646</v>
      </c>
      <c r="N928" s="620">
        <f>-SUMPRODUCT('EE Measures'!EL$8:EL$86,'EE Measures'!$II$8:$II$86,'EE Measures'!$AO$8:$AO$86,'EE Measures'!$CR$8:$CR$86,'EE Measures'!$Q$8:$Q$86)</f>
        <v>-8.8808478278731773</v>
      </c>
      <c r="O928" s="620">
        <f>-SUMPRODUCT('EE Measures'!EM$8:EM$86,'EE Measures'!$II$8:$II$86,'EE Measures'!$AO$8:$AO$86,'EE Measures'!$CR$8:$CR$86,'EE Measures'!$Q$8:$Q$86)</f>
        <v>-8.9669536302566897</v>
      </c>
      <c r="P928" s="620">
        <f>-SUMPRODUCT('EE Measures'!EN$8:EN$86,'EE Measures'!$II$8:$II$86,'EE Measures'!$AO$8:$AO$86,'EE Measures'!$CR$8:$CR$86,'EE Measures'!$Q$8:$Q$86)</f>
        <v>-9.056121786352767</v>
      </c>
      <c r="Q928" s="620">
        <f>-SUMPRODUCT('EE Measures'!EO$8:EO$86,'EE Measures'!$II$8:$II$86,'EE Measures'!$AO$8:$AO$86,'EE Measures'!$CR$8:$CR$86,'EE Measures'!$Q$8:$Q$86)</f>
        <v>-9.1484010177235078</v>
      </c>
      <c r="R928" s="620">
        <f>-SUMPRODUCT('EE Measures'!EP$8:EP$86,'EE Measures'!$II$8:$II$86,'EE Measures'!$AO$8:$AO$86,'EE Measures'!$CR$8:$CR$86,'EE Measures'!$Q$8:$Q$86)</f>
        <v>-9.2438422200566208</v>
      </c>
      <c r="S928" s="620">
        <f>-SUMPRODUCT('EE Measures'!EQ$8:EQ$86,'EE Measures'!$II$8:$II$86,'EE Measures'!$AO$8:$AO$86,'EE Measures'!$CR$8:$CR$86,'EE Measures'!$Q$8:$Q$86)</f>
        <v>-9.3424985250784136</v>
      </c>
      <c r="T928" s="620">
        <f>-SUMPRODUCT('EE Measures'!ER$8:ER$86,'EE Measures'!$II$8:$II$86,'EE Measures'!$AO$8:$AO$86,'EE Measures'!$CR$8:$CR$86,'EE Measures'!$Q$8:$Q$86)</f>
        <v>-9.4444253651022532</v>
      </c>
      <c r="U928" s="620">
        <f>-SUMPRODUCT('EE Measures'!ES$8:ES$86,'EE Measures'!$II$8:$II$86,'EE Measures'!$AO$8:$AO$86,'EE Measures'!$CR$8:$CR$86,'EE Measures'!$Q$8:$Q$86)</f>
        <v>-9.5496805403087581</v>
      </c>
      <c r="V928" s="898">
        <f t="shared" si="2740"/>
        <v>-58.691140732496379</v>
      </c>
    </row>
    <row r="929" spans="3:22" hidden="1" outlineLevel="1" x14ac:dyDescent="0.3">
      <c r="C929" s="587" t="s">
        <v>470</v>
      </c>
      <c r="D929" s="56" t="str">
        <f t="shared" si="2739"/>
        <v>Renowave</v>
      </c>
      <c r="E929" s="632" t="s">
        <v>471</v>
      </c>
      <c r="F929" s="584"/>
      <c r="G929" s="619" cm="1">
        <f t="array" ref="G929">-((SUMPRODUCT('EE Measures'!EE$8:EE$86,'EE Measures'!$II$8:$II$86,--('EE Measures'!$B$8:$B$86='Pathway Analysis'!$C929),'EE Measures'!$O$8:$O$86)))</f>
        <v>0</v>
      </c>
      <c r="H929" s="619" cm="1">
        <f t="array" ref="H929">-((SUMPRODUCT('EE Measures'!EF$8:EF$86,'EE Measures'!$II$8:$II$86,--('EE Measures'!$B$8:$B$86='Pathway Analysis'!$C929),'EE Measures'!$O$8:$O$86)))</f>
        <v>-2.6979186747596207</v>
      </c>
      <c r="I929" s="619" cm="1">
        <f t="array" ref="I929">-((SUMPRODUCT('EE Measures'!EG$8:EG$86,'EE Measures'!$II$8:$II$86,--('EE Measures'!$B$8:$B$86='Pathway Analysis'!$C929),'EE Measures'!$O$8:$O$86)))</f>
        <v>-5.4947662925537406</v>
      </c>
      <c r="J929" s="619" cm="1">
        <f t="array" ref="J929">-((SUMPRODUCT('EE Measures'!EH$8:EH$86,'EE Measures'!$II$8:$II$86,--('EE Measures'!$B$8:$B$86='Pathway Analysis'!$C929),'EE Measures'!$O$8:$O$86)))</f>
        <v>-18.54847897203593</v>
      </c>
      <c r="K929" s="619" cm="1">
        <f t="array" ref="K929">-((SUMPRODUCT('EE Measures'!EI$8:EI$86,'EE Measures'!$II$8:$II$86,--('EE Measures'!$B$8:$B$86='Pathway Analysis'!$C929),'EE Measures'!$O$8:$O$86)))</f>
        <v>-27.065446890622692</v>
      </c>
      <c r="L929" s="619" cm="1">
        <f t="array" ref="L929">-((SUMPRODUCT('EE Measures'!EJ$8:EJ$86,'EE Measures'!$II$8:$II$86,--('EE Measures'!$B$8:$B$86='Pathway Analysis'!$C929),'EE Measures'!$O$8:$O$86)))</f>
        <v>-30.311422005025822</v>
      </c>
      <c r="M929" s="619" cm="1">
        <f t="array" ref="M929">-((SUMPRODUCT('EE Measures'!EK$8:EK$86,'EE Measures'!$II$8:$II$86,--('EE Measures'!$B$8:$B$86='Pathway Analysis'!$C929),'EE Measures'!$O$8:$O$86)))</f>
        <v>-33.687950151861791</v>
      </c>
      <c r="N929" s="619" cm="1">
        <f t="array" ref="N929">-((SUMPRODUCT('EE Measures'!EL$8:EL$86,'EE Measures'!$II$8:$II$86,--('EE Measures'!$B$8:$B$86='Pathway Analysis'!$C929),'EE Measures'!$O$8:$O$86)))</f>
        <v>-37.191161828501841</v>
      </c>
      <c r="O929" s="619" cm="1">
        <f t="array" ref="O929">-((SUMPRODUCT('EE Measures'!EM$8:EM$86,'EE Measures'!$II$8:$II$86,--('EE Measures'!$B$8:$B$86='Pathway Analysis'!$C929),'EE Measures'!$O$8:$O$86)))</f>
        <v>-40.825542726166994</v>
      </c>
      <c r="P929" s="619" cm="1">
        <f t="array" ref="P929">-((SUMPRODUCT('EE Measures'!EN$8:EN$86,'EE Measures'!$II$8:$II$86,--('EE Measures'!$B$8:$B$86='Pathway Analysis'!$C929),'EE Measures'!$O$8:$O$86)))</f>
        <v>-44.596376688426112</v>
      </c>
      <c r="Q929" s="619" cm="1">
        <f t="array" ref="Q929">-((SUMPRODUCT('EE Measures'!EO$8:EO$86,'EE Measures'!$II$8:$II$86,--('EE Measures'!$B$8:$B$86='Pathway Analysis'!$C929),'EE Measures'!$O$8:$O$86)))</f>
        <v>-48.509166056494543</v>
      </c>
      <c r="R929" s="619" cm="1">
        <f t="array" ref="R929">-((SUMPRODUCT('EE Measures'!EP$8:EP$86,'EE Measures'!$II$8:$II$86,--('EE Measures'!$B$8:$B$86='Pathway Analysis'!$C929),'EE Measures'!$O$8:$O$86)))</f>
        <v>-52.569640980614132</v>
      </c>
      <c r="S929" s="619" cm="1">
        <f t="array" ref="S929">-((SUMPRODUCT('EE Measures'!EQ$8:EQ$86,'EE Measures'!$II$8:$II$86,--('EE Measures'!$B$8:$B$86='Pathway Analysis'!$C929),'EE Measures'!$O$8:$O$86)))</f>
        <v>-56.783769138106365</v>
      </c>
      <c r="T929" s="619" cm="1">
        <f t="array" ref="T929">-((SUMPRODUCT('EE Measures'!ER$8:ER$86,'EE Measures'!$II$8:$II$86,--('EE Measures'!$B$8:$B$86='Pathway Analysis'!$C929),'EE Measures'!$O$8:$O$86)))</f>
        <v>-61.157765876188201</v>
      </c>
      <c r="U929" s="619" cm="1">
        <f t="array" ref="U929">-((SUMPRODUCT('EE Measures'!ES$8:ES$86,'EE Measures'!$II$8:$II$86,--('EE Measures'!$B$8:$B$86='Pathway Analysis'!$C929),'EE Measures'!$O$8:$O$86)))</f>
        <v>-65.698104798457607</v>
      </c>
      <c r="V929" s="898">
        <f t="shared" si="2740"/>
        <v>-240.41906422995453</v>
      </c>
    </row>
    <row r="930" spans="3:22" hidden="1" outlineLevel="1" x14ac:dyDescent="0.3">
      <c r="D930" s="56" t="str">
        <f t="shared" si="2739"/>
        <v>Renowave</v>
      </c>
      <c r="E930" s="630" t="s">
        <v>208</v>
      </c>
      <c r="F930" s="874">
        <f>SUM(G930:P930)</f>
        <v>11486.484398995499</v>
      </c>
      <c r="G930" s="621">
        <f>G831-G$803</f>
        <v>173.92207583797244</v>
      </c>
      <c r="H930" s="621">
        <f>H831-H$803</f>
        <v>134.9843708785229</v>
      </c>
      <c r="I930" s="621">
        <f t="shared" ref="I930:P930" si="2743">I831-I$803</f>
        <v>115.56184864757597</v>
      </c>
      <c r="J930" s="621">
        <f t="shared" si="2743"/>
        <v>202.62462657851211</v>
      </c>
      <c r="K930" s="621">
        <f t="shared" si="2743"/>
        <v>1742.1578382399603</v>
      </c>
      <c r="L930" s="621">
        <f t="shared" si="2743"/>
        <v>1733.5107680508845</v>
      </c>
      <c r="M930" s="621">
        <f t="shared" si="2743"/>
        <v>1765.1882125782358</v>
      </c>
      <c r="N930" s="621">
        <f t="shared" si="2743"/>
        <v>1803.8868283108386</v>
      </c>
      <c r="O930" s="621">
        <f t="shared" si="2743"/>
        <v>1872.9039161039873</v>
      </c>
      <c r="P930" s="621">
        <f t="shared" si="2743"/>
        <v>1941.7439137690089</v>
      </c>
      <c r="Q930" s="621">
        <f t="shared" ref="Q930:U930" si="2744">Q831-Q$803</f>
        <v>2006.5373569306757</v>
      </c>
      <c r="R930" s="621">
        <f t="shared" si="2744"/>
        <v>2080.1644168476414</v>
      </c>
      <c r="S930" s="621">
        <f t="shared" si="2744"/>
        <v>2156.2800418654333</v>
      </c>
      <c r="T930" s="621">
        <f t="shared" si="2744"/>
        <v>2234.9703655429803</v>
      </c>
      <c r="U930" s="621">
        <f t="shared" si="2744"/>
        <v>2316.3018181192201</v>
      </c>
      <c r="V930" s="898">
        <f t="shared" si="2740"/>
        <v>11486.484398995499</v>
      </c>
    </row>
    <row r="931" spans="3:22" hidden="1" outlineLevel="1" x14ac:dyDescent="0.3">
      <c r="C931" s="587" t="s">
        <v>51</v>
      </c>
      <c r="D931" s="56" t="str">
        <f t="shared" si="2739"/>
        <v>Renowave</v>
      </c>
      <c r="E931" s="630" t="s">
        <v>342</v>
      </c>
      <c r="F931" s="874">
        <f>SUM(G931:P931)</f>
        <v>1031.8577106931041</v>
      </c>
      <c r="G931" s="618">
        <f>SUM(G932:G934)</f>
        <v>2.7670850444209973</v>
      </c>
      <c r="H931" s="618">
        <f>SUM(H932:H934)</f>
        <v>4.9207631962908263</v>
      </c>
      <c r="I931" s="618">
        <f t="shared" ref="I931:P931" si="2745">SUM(I932:I934)</f>
        <v>6.7012247776096263</v>
      </c>
      <c r="J931" s="618">
        <f t="shared" si="2745"/>
        <v>11.522538653202304</v>
      </c>
      <c r="K931" s="618">
        <f t="shared" si="2745"/>
        <v>59.220427213705761</v>
      </c>
      <c r="L931" s="618">
        <f t="shared" si="2745"/>
        <v>99.996252059593346</v>
      </c>
      <c r="M931" s="618">
        <f t="shared" si="2745"/>
        <v>142.66601171771794</v>
      </c>
      <c r="N931" s="618">
        <f t="shared" si="2745"/>
        <v>187.29317059727586</v>
      </c>
      <c r="O931" s="618">
        <f t="shared" si="2745"/>
        <v>233.97489180428198</v>
      </c>
      <c r="P931" s="618">
        <f t="shared" si="2745"/>
        <v>282.7953456290054</v>
      </c>
      <c r="Q931" s="618">
        <f t="shared" ref="Q931:U931" si="2746">SUM(Q932:Q934)</f>
        <v>331.74756969291394</v>
      </c>
      <c r="R931" s="618">
        <f t="shared" si="2746"/>
        <v>382.91025713705824</v>
      </c>
      <c r="S931" s="618">
        <f t="shared" si="2746"/>
        <v>436.37127377506658</v>
      </c>
      <c r="T931" s="618">
        <f t="shared" si="2746"/>
        <v>492.22171374612009</v>
      </c>
      <c r="U931" s="618">
        <f t="shared" si="2746"/>
        <v>550.46562015007805</v>
      </c>
      <c r="V931" s="898">
        <f t="shared" si="2740"/>
        <v>1031.8577106931041</v>
      </c>
    </row>
    <row r="932" spans="3:22" hidden="1" outlineLevel="1" x14ac:dyDescent="0.3">
      <c r="C932" s="587" t="s">
        <v>51</v>
      </c>
      <c r="D932" s="56" t="str">
        <f t="shared" si="2739"/>
        <v>Renowave</v>
      </c>
      <c r="E932" s="632" t="s">
        <v>468</v>
      </c>
      <c r="F932" s="584"/>
      <c r="G932" s="622" cm="1">
        <f t="array" ref="G932">SUMPRODUCT('EE Measures'!CV$8:CV$86,'EE Measures'!$II$8:$II$86,--('EE Measures'!$B$8:$B$86='Pathway Analysis'!$C932),'EE Measures'!$EA$8:$EA$86)</f>
        <v>0.23941384115742395</v>
      </c>
      <c r="H932" s="622" cm="1">
        <f t="array" ref="H932">SUMPRODUCT('EE Measures'!CW$8:CW$86,'EE Measures'!$II$8:$II$86,--('EE Measures'!$B$8:$B$86='Pathway Analysis'!$C932),'EE Measures'!$EA$8:$EA$86)</f>
        <v>0.54679056353570332</v>
      </c>
      <c r="I932" s="622" cm="1">
        <f t="array" ref="I932">SUMPRODUCT('EE Measures'!CX$8:CX$86,'EE Measures'!$II$8:$II$86,--('EE Measures'!$B$8:$B$86='Pathway Analysis'!$C932),'EE Measures'!$EA$8:$EA$86)</f>
        <v>0.93560122025568349</v>
      </c>
      <c r="J932" s="622" cm="1">
        <f t="array" ref="J932">SUMPRODUCT('EE Measures'!CY$8:CY$86,'EE Measures'!$II$8:$II$86,--('EE Measures'!$B$8:$B$86='Pathway Analysis'!$C932),'EE Measures'!$EA$8:$EA$86)</f>
        <v>0.98899557306727859</v>
      </c>
      <c r="K932" s="622" cm="1">
        <f t="array" ref="K932">SUMPRODUCT('EE Measures'!CZ$8:CZ$86,'EE Measures'!$II$8:$II$86,--('EE Measures'!$B$8:$B$86='Pathway Analysis'!$C932),'EE Measures'!$EA$8:$EA$86)</f>
        <v>38.505764251100537</v>
      </c>
      <c r="L932" s="622" cm="1">
        <f t="array" ref="L932">SUMPRODUCT('EE Measures'!DA$8:DA$86,'EE Measures'!$II$8:$II$86,--('EE Measures'!$B$8:$B$86='Pathway Analysis'!$C932),'EE Measures'!$EA$8:$EA$86)</f>
        <v>74.684708432903051</v>
      </c>
      <c r="M932" s="622" cm="1">
        <f t="array" ref="M932">SUMPRODUCT('EE Measures'!DB$8:DB$86,'EE Measures'!$II$8:$II$86,--('EE Measures'!$B$8:$B$86='Pathway Analysis'!$C932),'EE Measures'!$EA$8:$EA$86)</f>
        <v>112.5938029468344</v>
      </c>
      <c r="N932" s="622" cm="1">
        <f t="array" ref="N932">SUMPRODUCT('EE Measures'!DC$8:DC$86,'EE Measures'!$II$8:$II$86,--('EE Measures'!$B$8:$B$86='Pathway Analysis'!$C932),'EE Measures'!$EA$8:$EA$86)</f>
        <v>152.28842604609827</v>
      </c>
      <c r="O932" s="622" cm="1">
        <f t="array" ref="O932">SUMPRODUCT('EE Measures'!DD$8:DD$86,'EE Measures'!$II$8:$II$86,--('EE Measures'!$B$8:$B$86='Pathway Analysis'!$C932),'EE Measures'!$EA$8:$EA$86)</f>
        <v>193.85747975510401</v>
      </c>
      <c r="P932" s="622" cm="1">
        <f t="array" ref="P932">SUMPRODUCT('EE Measures'!DE$8:DE$86,'EE Measures'!$II$8:$II$86,--('EE Measures'!$B$8:$B$86='Pathway Analysis'!$C932),'EE Measures'!$EA$8:$EA$86)</f>
        <v>237.37661719246384</v>
      </c>
      <c r="Q932" s="622" cm="1">
        <f t="array" ref="Q932">SUMPRODUCT('EE Measures'!DF$8:DF$86,'EE Measures'!$II$8:$II$86,--('EE Measures'!$B$8:$B$86='Pathway Analysis'!$C932),'EE Measures'!$EA$8:$EA$86)</f>
        <v>282.83448398936099</v>
      </c>
      <c r="R932" s="622" cm="1">
        <f t="array" ref="R932">SUMPRODUCT('EE Measures'!DG$8:DG$86,'EE Measures'!$II$8:$II$86,--('EE Measures'!$B$8:$B$86='Pathway Analysis'!$C932),'EE Measures'!$EA$8:$EA$86)</f>
        <v>330.37163960461453</v>
      </c>
      <c r="S932" s="622" cm="1">
        <f t="array" ref="S932">SUMPRODUCT('EE Measures'!DH$8:DH$86,'EE Measures'!$II$8:$II$86,--('EE Measures'!$B$8:$B$86='Pathway Analysis'!$C932),'EE Measures'!$EA$8:$EA$86)</f>
        <v>380.07032154587012</v>
      </c>
      <c r="T932" s="622" cm="1">
        <f t="array" ref="T932">SUMPRODUCT('EE Measures'!DI$8:DI$86,'EE Measures'!$II$8:$II$86,--('EE Measures'!$B$8:$B$86='Pathway Analysis'!$C932),'EE Measures'!$EA$8:$EA$86)</f>
        <v>432.01576653348855</v>
      </c>
      <c r="U932" s="622" cm="1">
        <f t="array" ref="U932">SUMPRODUCT('EE Measures'!DJ$8:DJ$86,'EE Measures'!$II$8:$II$86,--('EE Measures'!$B$8:$B$86='Pathway Analysis'!$C932),'EE Measures'!$EA$8:$EA$86)</f>
        <v>486.2059221413441</v>
      </c>
      <c r="V932" s="898">
        <f t="shared" si="2740"/>
        <v>812.0175998225202</v>
      </c>
    </row>
    <row r="933" spans="3:22" hidden="1" outlineLevel="1" x14ac:dyDescent="0.3">
      <c r="C933" s="587" t="s">
        <v>53</v>
      </c>
      <c r="D933" s="56" t="str">
        <f t="shared" si="2739"/>
        <v>Renowave</v>
      </c>
      <c r="E933" s="632" t="s">
        <v>469</v>
      </c>
      <c r="F933" s="584"/>
      <c r="G933" s="623">
        <f>SUMPRODUCT('EE Measures'!CV$8:CV$86,'EE Measures'!$II$8:$II$86,'EE Measures'!$AO$8:$AO$86,'EE Measures'!$EA$8:$EA$86,'EE Measures'!$Q$8:$Q$86)</f>
        <v>0.77271453974391213</v>
      </c>
      <c r="H933" s="623">
        <f>SUMPRODUCT('EE Measures'!CW$8:CW$86,'EE Measures'!$II$8:$II$86,'EE Measures'!$AO$8:$AO$86,'EE Measures'!$EA$8:$EA$86,'EE Measures'!$Q$8:$Q$86)</f>
        <v>1.9755102157349929</v>
      </c>
      <c r="I933" s="623">
        <f>SUMPRODUCT('EE Measures'!CX$8:CX$86,'EE Measures'!$II$8:$II$86,'EE Measures'!$AO$8:$AO$86,'EE Measures'!$EA$8:$EA$86,'EE Measures'!$Q$8:$Q$86)</f>
        <v>2.6933227769086376</v>
      </c>
      <c r="J933" s="623">
        <f>SUMPRODUCT('EE Measures'!CY$8:CY$86,'EE Measures'!$II$8:$II$86,'EE Measures'!$AO$8:$AO$86,'EE Measures'!$EA$8:$EA$86,'EE Measures'!$Q$8:$Q$86)</f>
        <v>4.4984602611001376</v>
      </c>
      <c r="K933" s="623">
        <f>SUMPRODUCT('EE Measures'!CZ$8:CZ$86,'EE Measures'!$II$8:$II$86,'EE Measures'!$AO$8:$AO$86,'EE Measures'!$EA$8:$EA$86,'EE Measures'!$Q$8:$Q$86)</f>
        <v>12.534217860489441</v>
      </c>
      <c r="L933" s="623">
        <f>SUMPRODUCT('EE Measures'!DA$8:DA$86,'EE Measures'!$II$8:$II$86,'EE Measures'!$AO$8:$AO$86,'EE Measures'!$EA$8:$EA$86,'EE Measures'!$Q$8:$Q$86)</f>
        <v>16.23384440135311</v>
      </c>
      <c r="M933" s="623">
        <f>SUMPRODUCT('EE Measures'!DB$8:DB$86,'EE Measures'!$II$8:$II$86,'EE Measures'!$AO$8:$AO$86,'EE Measures'!$EA$8:$EA$86,'EE Measures'!$Q$8:$Q$86)</f>
        <v>20.061287143730603</v>
      </c>
      <c r="N933" s="623">
        <f>SUMPRODUCT('EE Measures'!DC$8:DC$86,'EE Measures'!$II$8:$II$86,'EE Measures'!$AO$8:$AO$86,'EE Measures'!$EA$8:$EA$86,'EE Measures'!$Q$8:$Q$86)</f>
        <v>24.022950841237911</v>
      </c>
      <c r="O933" s="623">
        <f>SUMPRODUCT('EE Measures'!DD$8:DD$86,'EE Measures'!$II$8:$II$86,'EE Measures'!$AO$8:$AO$86,'EE Measures'!$EA$8:$EA$86,'EE Measures'!$Q$8:$Q$86)</f>
        <v>28.125413162374539</v>
      </c>
      <c r="P933" s="623">
        <f>SUMPRODUCT('EE Measures'!DE$8:DE$86,'EE Measures'!$II$8:$II$86,'EE Measures'!$AO$8:$AO$86,'EE Measures'!$EA$8:$EA$86,'EE Measures'!$Q$8:$Q$86)</f>
        <v>32.375432647960771</v>
      </c>
      <c r="Q933" s="623">
        <f>SUMPRODUCT('EE Measures'!DF$8:DF$86,'EE Measures'!$II$8:$II$86,'EE Measures'!$AO$8:$AO$86,'EE Measures'!$EA$8:$EA$86,'EE Measures'!$Q$8:$Q$86)</f>
        <v>34.775847468904715</v>
      </c>
      <c r="R933" s="623">
        <f>SUMPRODUCT('EE Measures'!DG$8:DG$86,'EE Measures'!$II$8:$II$86,'EE Measures'!$AO$8:$AO$86,'EE Measures'!$EA$8:$EA$86,'EE Measures'!$Q$8:$Q$86)</f>
        <v>37.262612297266791</v>
      </c>
      <c r="S933" s="623">
        <f>SUMPRODUCT('EE Measures'!DH$8:DH$86,'EE Measures'!$II$8:$II$86,'EE Measures'!$AO$8:$AO$86,'EE Measures'!$EA$8:$EA$86,'EE Measures'!$Q$8:$Q$86)</f>
        <v>39.839348665824275</v>
      </c>
      <c r="T933" s="623">
        <f>SUMPRODUCT('EE Measures'!DI$8:DI$86,'EE Measures'!$II$8:$II$86,'EE Measures'!$AO$8:$AO$86,'EE Measures'!$EA$8:$EA$86,'EE Measures'!$Q$8:$Q$86)</f>
        <v>42.509818124219635</v>
      </c>
      <c r="U933" s="623">
        <f>SUMPRODUCT('EE Measures'!DJ$8:DJ$86,'EE Measures'!$II$8:$II$86,'EE Measures'!$AO$8:$AO$86,'EE Measures'!$EA$8:$EA$86,'EE Measures'!$Q$8:$Q$86)</f>
        <v>45.277927399496257</v>
      </c>
      <c r="V933" s="898">
        <f t="shared" si="2740"/>
        <v>143.29315385063407</v>
      </c>
    </row>
    <row r="934" spans="3:22" hidden="1" outlineLevel="1" x14ac:dyDescent="0.3">
      <c r="C934" s="587" t="s">
        <v>470</v>
      </c>
      <c r="D934" s="56" t="str">
        <f t="shared" si="2739"/>
        <v>Renowave</v>
      </c>
      <c r="E934" s="632" t="s">
        <v>471</v>
      </c>
      <c r="F934" s="584"/>
      <c r="G934" s="622" cm="1">
        <f t="array" ref="G934">SUMPRODUCT('EE Measures'!CV$8:CV$86,'EE Measures'!$II$8:$II$86,--('EE Measures'!$B$8:$B$86='Pathway Analysis'!$C934),'EE Measures'!$EA$8:$EA$86,'EE Measures'!$O$8:$O$86)</f>
        <v>1.7549566635196614</v>
      </c>
      <c r="H934" s="622" cm="1">
        <f t="array" ref="H934">SUMPRODUCT('EE Measures'!CW$8:CW$86,'EE Measures'!$II$8:$II$86,--('EE Measures'!$B$8:$B$86='Pathway Analysis'!$C934),'EE Measures'!$EA$8:$EA$86,'EE Measures'!$O$8:$O$86)</f>
        <v>2.3984624170201299</v>
      </c>
      <c r="I934" s="622" cm="1">
        <f t="array" ref="I934">SUMPRODUCT('EE Measures'!CX$8:CX$86,'EE Measures'!$II$8:$II$86,--('EE Measures'!$B$8:$B$86='Pathway Analysis'!$C934),'EE Measures'!$EA$8:$EA$86,'EE Measures'!$O$8:$O$86)</f>
        <v>3.0723007804453051</v>
      </c>
      <c r="J934" s="622" cm="1">
        <f t="array" ref="J934">SUMPRODUCT('EE Measures'!CY$8:CY$86,'EE Measures'!$II$8:$II$86,--('EE Measures'!$B$8:$B$86='Pathway Analysis'!$C934),'EE Measures'!$EA$8:$EA$86,'EE Measures'!$O$8:$O$86)</f>
        <v>6.035082819034888</v>
      </c>
      <c r="K934" s="622" cm="1">
        <f t="array" ref="K934">SUMPRODUCT('EE Measures'!CZ$8:CZ$86,'EE Measures'!$II$8:$II$86,--('EE Measures'!$B$8:$B$86='Pathway Analysis'!$C934),'EE Measures'!$EA$8:$EA$86,'EE Measures'!$O$8:$O$86)</f>
        <v>8.1804451021157849</v>
      </c>
      <c r="L934" s="622" cm="1">
        <f t="array" ref="L934">SUMPRODUCT('EE Measures'!DA$8:DA$86,'EE Measures'!$II$8:$II$86,--('EE Measures'!$B$8:$B$86='Pathway Analysis'!$C934),'EE Measures'!$EA$8:$EA$86,'EE Measures'!$O$8:$O$86)</f>
        <v>9.077699225337188</v>
      </c>
      <c r="M934" s="622" cm="1">
        <f t="array" ref="M934">SUMPRODUCT('EE Measures'!DB$8:DB$86,'EE Measures'!$II$8:$II$86,--('EE Measures'!$B$8:$B$86='Pathway Analysis'!$C934),'EE Measures'!$EA$8:$EA$86,'EE Measures'!$O$8:$O$86)</f>
        <v>10.010921627152918</v>
      </c>
      <c r="N934" s="622" cm="1">
        <f t="array" ref="N934">SUMPRODUCT('EE Measures'!DC$8:DC$86,'EE Measures'!$II$8:$II$86,--('EE Measures'!$B$8:$B$86='Pathway Analysis'!$C934),'EE Measures'!$EA$8:$EA$86,'EE Measures'!$O$8:$O$86)</f>
        <v>10.981793709939705</v>
      </c>
      <c r="O934" s="622" cm="1">
        <f t="array" ref="O934">SUMPRODUCT('EE Measures'!DD$8:DD$86,'EE Measures'!$II$8:$II$86,--('EE Measures'!$B$8:$B$86='Pathway Analysis'!$C934),'EE Measures'!$EA$8:$EA$86,'EE Measures'!$O$8:$O$86)</f>
        <v>11.991998886803431</v>
      </c>
      <c r="P934" s="622" cm="1">
        <f t="array" ref="P934">SUMPRODUCT('EE Measures'!DE$8:DE$86,'EE Measures'!$II$8:$II$86,--('EE Measures'!$B$8:$B$86='Pathway Analysis'!$C934),'EE Measures'!$EA$8:$EA$86,'EE Measures'!$O$8:$O$86)</f>
        <v>13.043295788580794</v>
      </c>
      <c r="Q934" s="622" cm="1">
        <f t="array" ref="Q934">SUMPRODUCT('EE Measures'!DF$8:DF$86,'EE Measures'!$II$8:$II$86,--('EE Measures'!$B$8:$B$86='Pathway Analysis'!$C934),'EE Measures'!$EA$8:$EA$86,'EE Measures'!$O$8:$O$86)</f>
        <v>14.137238234648224</v>
      </c>
      <c r="R934" s="622" cm="1">
        <f t="array" ref="R934">SUMPRODUCT('EE Measures'!DG$8:DG$86,'EE Measures'!$II$8:$II$86,--('EE Measures'!$B$8:$B$86='Pathway Analysis'!$C934),'EE Measures'!$EA$8:$EA$86,'EE Measures'!$O$8:$O$86)</f>
        <v>15.276005235176923</v>
      </c>
      <c r="S934" s="622" cm="1">
        <f t="array" ref="S934">SUMPRODUCT('EE Measures'!DH$8:DH$86,'EE Measures'!$II$8:$II$86,--('EE Measures'!$B$8:$B$86='Pathway Analysis'!$C934),'EE Measures'!$EA$8:$EA$86,'EE Measures'!$O$8:$O$86)</f>
        <v>16.461603563372165</v>
      </c>
      <c r="T934" s="622" cm="1">
        <f t="array" ref="T934">SUMPRODUCT('EE Measures'!DI$8:DI$86,'EE Measures'!$II$8:$II$86,--('EE Measures'!$B$8:$B$86='Pathway Analysis'!$C934),'EE Measures'!$EA$8:$EA$86,'EE Measures'!$O$8:$O$86)</f>
        <v>17.696129088411894</v>
      </c>
      <c r="U934" s="622" cm="1">
        <f t="array" ref="U934">SUMPRODUCT('EE Measures'!DJ$8:DJ$86,'EE Measures'!$II$8:$II$86,--('EE Measures'!$B$8:$B$86='Pathway Analysis'!$C934),'EE Measures'!$EA$8:$EA$86,'EE Measures'!$O$8:$O$86)</f>
        <v>18.981770609237717</v>
      </c>
      <c r="V934" s="898">
        <f t="shared" si="2740"/>
        <v>76.546957019949801</v>
      </c>
    </row>
    <row r="935" spans="3:22" hidden="1" outlineLevel="1" x14ac:dyDescent="0.3">
      <c r="D935" s="56" t="str">
        <f t="shared" si="2739"/>
        <v>Renowave</v>
      </c>
      <c r="E935" s="631" t="s">
        <v>472</v>
      </c>
      <c r="F935" s="584"/>
      <c r="G935" s="566">
        <f t="shared" ref="G935" si="2747">(G922*1000)/G715</f>
        <v>13495.181253694947</v>
      </c>
      <c r="H935" s="566">
        <f t="shared" ref="H935:P935" si="2748">(H922*1000)/H715</f>
        <v>15452.182420617912</v>
      </c>
      <c r="I935" s="566">
        <f t="shared" si="2748"/>
        <v>16227.825183047637</v>
      </c>
      <c r="J935" s="566">
        <f t="shared" si="2748"/>
        <v>17105.226133126052</v>
      </c>
      <c r="K935" s="566">
        <f t="shared" si="2748"/>
        <v>16477.573001427572</v>
      </c>
      <c r="L935" s="566">
        <f t="shared" si="2748"/>
        <v>17223.030887880333</v>
      </c>
      <c r="M935" s="566">
        <f t="shared" si="2748"/>
        <v>17990.479608052236</v>
      </c>
      <c r="N935" s="566">
        <f t="shared" si="2748"/>
        <v>19437.917451580204</v>
      </c>
      <c r="O935" s="566">
        <f t="shared" si="2748"/>
        <v>20617.029915676289</v>
      </c>
      <c r="P935" s="566">
        <f t="shared" si="2748"/>
        <v>21844.153717140056</v>
      </c>
      <c r="Q935" s="566">
        <f t="shared" ref="Q935:U935" si="2749">(Q922*1000)/Q715</f>
        <v>23070.234181405427</v>
      </c>
      <c r="R935" s="566">
        <f t="shared" si="2749"/>
        <v>24390.367527205253</v>
      </c>
      <c r="S935" s="566">
        <f t="shared" si="2749"/>
        <v>25765.380272805367</v>
      </c>
      <c r="T935" s="566">
        <f t="shared" si="2749"/>
        <v>27190.210004125402</v>
      </c>
      <c r="U935" s="566">
        <f t="shared" si="2749"/>
        <v>28653.494850940904</v>
      </c>
    </row>
    <row r="936" spans="3:22" hidden="1" outlineLevel="1" x14ac:dyDescent="0.3">
      <c r="D936" s="56" t="str">
        <f>E936</f>
        <v>EET</v>
      </c>
      <c r="E936" s="628" t="s">
        <v>38</v>
      </c>
      <c r="F936" s="872">
        <f>SUM(G936:P936)/SUM($G$878:$P$878)-1</f>
        <v>4.1404509880692331E-2</v>
      </c>
      <c r="G936" s="617">
        <f>G$878+G937</f>
        <v>8963.7195484139938</v>
      </c>
      <c r="H936" s="617">
        <f>H$878+H937</f>
        <v>10648.104488586285</v>
      </c>
      <c r="I936" s="617">
        <f t="shared" ref="I936" si="2750">I$878+I937</f>
        <v>11158.501253936973</v>
      </c>
      <c r="J936" s="617">
        <f t="shared" ref="J936" si="2751">J$878+J937</f>
        <v>12103.671363875887</v>
      </c>
      <c r="K936" s="617">
        <f t="shared" ref="K936" si="2752">K$878+K937</f>
        <v>12851.188889219633</v>
      </c>
      <c r="L936" s="617">
        <f t="shared" ref="L936" si="2753">L$878+L937</f>
        <v>13075.220078789658</v>
      </c>
      <c r="M936" s="617">
        <f t="shared" ref="M936" si="2754">M$878+M937</f>
        <v>13448.069874482417</v>
      </c>
      <c r="N936" s="617">
        <f t="shared" ref="N936" si="2755">N$878+N937</f>
        <v>14172.635432348829</v>
      </c>
      <c r="O936" s="617">
        <f t="shared" ref="O936" si="2756">O$878+O937</f>
        <v>14958.745158113312</v>
      </c>
      <c r="P936" s="617">
        <f t="shared" ref="P936:U936" si="2757">P$878+P937</f>
        <v>15763.095121458324</v>
      </c>
      <c r="Q936" s="617">
        <f t="shared" si="2757"/>
        <v>16572.446950742142</v>
      </c>
      <c r="R936" s="617">
        <f t="shared" si="2757"/>
        <v>17435.385691555108</v>
      </c>
      <c r="S936" s="617">
        <f t="shared" si="2757"/>
        <v>18332.963082126847</v>
      </c>
      <c r="T936" s="617">
        <f t="shared" si="2757"/>
        <v>19253.189924720627</v>
      </c>
      <c r="U936" s="617">
        <f t="shared" si="2757"/>
        <v>20170.871466931014</v>
      </c>
      <c r="V936" s="898">
        <f>SUM(G937:P937)</f>
        <v>5054.9921088836509</v>
      </c>
    </row>
    <row r="937" spans="3:22" hidden="1" outlineLevel="1" x14ac:dyDescent="0.3">
      <c r="D937" s="56" t="str">
        <f>D936</f>
        <v>EET</v>
      </c>
      <c r="E937" s="629" t="s">
        <v>467</v>
      </c>
      <c r="F937" s="584"/>
      <c r="G937" s="618">
        <f>SUM(G938:G939,G944:G945)+G943</f>
        <v>295.90183841399511</v>
      </c>
      <c r="H937" s="618">
        <f>SUM(H938:H939,H944:H945)+H943</f>
        <v>244.23011435469488</v>
      </c>
      <c r="I937" s="618">
        <f t="shared" ref="I937:P937" si="2758">SUM(I938:I939,I944:I945)+I943</f>
        <v>176.46647510622111</v>
      </c>
      <c r="J937" s="618">
        <f t="shared" si="2758"/>
        <v>603.66991081178446</v>
      </c>
      <c r="K937" s="618">
        <f t="shared" si="2758"/>
        <v>867.98089312863169</v>
      </c>
      <c r="L937" s="618">
        <f t="shared" si="2758"/>
        <v>610.41820005517422</v>
      </c>
      <c r="M937" s="618">
        <f t="shared" si="2758"/>
        <v>500.96819846324337</v>
      </c>
      <c r="N937" s="618">
        <f t="shared" si="2758"/>
        <v>523.0308059200953</v>
      </c>
      <c r="O937" s="618">
        <f t="shared" si="2758"/>
        <v>586.37860056184809</v>
      </c>
      <c r="P937" s="618">
        <f t="shared" si="2758"/>
        <v>645.94707206796261</v>
      </c>
      <c r="Q937" s="618">
        <f t="shared" ref="Q937:U937" si="2759">SUM(Q938:Q939,Q944:Q945)+Q943</f>
        <v>674.40676395146852</v>
      </c>
      <c r="R937" s="618">
        <f t="shared" si="2759"/>
        <v>725.23547095035872</v>
      </c>
      <c r="S937" s="618">
        <f t="shared" si="2759"/>
        <v>778.13503577590461</v>
      </c>
      <c r="T937" s="618">
        <f t="shared" si="2759"/>
        <v>833.18575888370515</v>
      </c>
      <c r="U937" s="618">
        <f t="shared" si="2759"/>
        <v>890.42989781496647</v>
      </c>
    </row>
    <row r="938" spans="3:22" hidden="1" outlineLevel="1" x14ac:dyDescent="0.3">
      <c r="C938" s="587" t="s">
        <v>51</v>
      </c>
      <c r="D938" s="56" t="str">
        <f t="shared" ref="D938:D949" si="2760">D937</f>
        <v>EET</v>
      </c>
      <c r="E938" s="630" t="s">
        <v>205</v>
      </c>
      <c r="F938" s="874">
        <f>SUM(G938:P938)</f>
        <v>-3912.8919525680003</v>
      </c>
      <c r="G938" s="593" cm="1">
        <f t="array" ref="G938">-SUMPRODUCT('EE Measures'!BZ$8:BZ$86,'EE Measures'!$IJ$8:$IJ$86,--('EE Measures'!$B$8:$B$86='Pathway Analysis'!$C938),'EE Measures'!$CR$8:$CR$86)</f>
        <v>-30.814851901214958</v>
      </c>
      <c r="H938" s="593" cm="1">
        <f t="array" ref="H938">-SUMPRODUCT('EE Measures'!CA$8:CA$86,'EE Measures'!$IJ$8:$IJ$86,--('EE Measures'!$B$8:$B$86='Pathway Analysis'!$C938),'EE Measures'!$CR$8:$CR$86)</f>
        <v>-39.011514036496656</v>
      </c>
      <c r="I938" s="593" cm="1">
        <f t="array" ref="I938">-SUMPRODUCT('EE Measures'!CB$8:CB$86,'EE Measures'!$IJ$8:$IJ$86,--('EE Measures'!$B$8:$B$86='Pathway Analysis'!$C938),'EE Measures'!$CR$8:$CR$86)</f>
        <v>-49.313634062288372</v>
      </c>
      <c r="J938" s="593" cm="1">
        <f t="array" ref="J938">-SUMPRODUCT('EE Measures'!CC$8:CC$86,'EE Measures'!$IJ$8:$IJ$86,--('EE Measures'!$B$8:$B$86='Pathway Analysis'!$C938),'EE Measures'!$CR$8:$CR$86)</f>
        <v>0</v>
      </c>
      <c r="K938" s="593" cm="1">
        <f t="array" ref="K938">-SUMPRODUCT('EE Measures'!CD$8:CD$86,'EE Measures'!$IJ$8:$IJ$86,--('EE Measures'!$B$8:$B$86='Pathway Analysis'!$C938),'EE Measures'!$CR$8:$CR$86)</f>
        <v>-601.40761007910294</v>
      </c>
      <c r="L938" s="593" cm="1">
        <f t="array" ref="L938">-SUMPRODUCT('EE Measures'!CE$8:CE$86,'EE Measures'!$IJ$8:$IJ$86,--('EE Measures'!$B$8:$B$86='Pathway Analysis'!$C938),'EE Measures'!$CR$8:$CR$86)</f>
        <v>-613.43576228068491</v>
      </c>
      <c r="M938" s="593" cm="1">
        <f t="array" ref="M938">-SUMPRODUCT('EE Measures'!CF$8:CF$86,'EE Measures'!$IJ$8:$IJ$86,--('EE Measures'!$B$8:$B$86='Pathway Analysis'!$C938),'EE Measures'!$CR$8:$CR$86)</f>
        <v>-625.70447752629866</v>
      </c>
      <c r="N938" s="593" cm="1">
        <f t="array" ref="N938">-SUMPRODUCT('EE Measures'!CG$8:CG$86,'EE Measures'!$IJ$8:$IJ$86,--('EE Measures'!$B$8:$B$86='Pathway Analysis'!$C938),'EE Measures'!$CR$8:$CR$86)</f>
        <v>-638.21856707682457</v>
      </c>
      <c r="O938" s="593" cm="1">
        <f t="array" ref="O938">-SUMPRODUCT('EE Measures'!CH$8:CH$86,'EE Measures'!$IJ$8:$IJ$86,--('EE Measures'!$B$8:$B$86='Pathway Analysis'!$C938),'EE Measures'!$CR$8:$CR$86)</f>
        <v>-650.98293841836107</v>
      </c>
      <c r="P938" s="593" cm="1">
        <f t="array" ref="P938">-SUMPRODUCT('EE Measures'!CI$8:CI$86,'EE Measures'!$IJ$8:$IJ$86,--('EE Measures'!$B$8:$B$86='Pathway Analysis'!$C938),'EE Measures'!$CR$8:$CR$86)</f>
        <v>-664.00259718672828</v>
      </c>
      <c r="Q938" s="593" cm="1">
        <f t="array" ref="Q938">-SUMPRODUCT('EE Measures'!CJ$8:CJ$86,'EE Measures'!$IJ$8:$IJ$86,--('EE Measures'!$B$8:$B$86='Pathway Analysis'!$C938),'EE Measures'!$CR$8:$CR$86)</f>
        <v>-677.28264913046291</v>
      </c>
      <c r="R938" s="593" cm="1">
        <f t="array" ref="R938">-SUMPRODUCT('EE Measures'!CK$8:CK$86,'EE Measures'!$IJ$8:$IJ$86,--('EE Measures'!$B$8:$B$86='Pathway Analysis'!$C938),'EE Measures'!$CR$8:$CR$86)</f>
        <v>-690.82830211307214</v>
      </c>
      <c r="S938" s="593" cm="1">
        <f t="array" ref="S938">-SUMPRODUCT('EE Measures'!CL$8:CL$86,'EE Measures'!$IJ$8:$IJ$86,--('EE Measures'!$B$8:$B$86='Pathway Analysis'!$C938),'EE Measures'!$CR$8:$CR$86)</f>
        <v>-704.6448681553336</v>
      </c>
      <c r="T938" s="593" cm="1">
        <f t="array" ref="T938">-SUMPRODUCT('EE Measures'!CM$8:CM$86,'EE Measures'!$IJ$8:$IJ$86,--('EE Measures'!$B$8:$B$86='Pathway Analysis'!$C938),'EE Measures'!$CR$8:$CR$86)</f>
        <v>-718.73776551844026</v>
      </c>
      <c r="U938" s="593" cm="1">
        <f t="array" ref="U938">-SUMPRODUCT('EE Measures'!CN$8:CN$86,'EE Measures'!$IJ$8:$IJ$86,--('EE Measures'!$B$8:$B$86='Pathway Analysis'!$C938),'EE Measures'!$CR$8:$CR$86)</f>
        <v>-733.11252082880901</v>
      </c>
      <c r="V938" s="898">
        <f t="shared" ref="V938:V948" si="2761">SUM(G938:P938)</f>
        <v>-3912.8919525680003</v>
      </c>
    </row>
    <row r="939" spans="3:22" hidden="1" outlineLevel="1" x14ac:dyDescent="0.3">
      <c r="C939" s="587" t="s">
        <v>53</v>
      </c>
      <c r="D939" s="56" t="str">
        <f t="shared" si="2760"/>
        <v>EET</v>
      </c>
      <c r="E939" s="630" t="s">
        <v>206</v>
      </c>
      <c r="F939" s="874">
        <f>SUM(G939:P939)</f>
        <v>-39.418319309920939</v>
      </c>
      <c r="G939" s="593" cm="1">
        <f t="array" ref="G939">-SUMPRODUCT('EE Measures'!BZ$8:BZ$86,'EE Measures'!$IJ$8:$IJ$86,--('EE Measures'!$B$8:$B$86=$C939),'EE Measures'!$CR$8:$CR$86,'EE Measures'!$AO$8:$AO$86)</f>
        <v>0</v>
      </c>
      <c r="H939" s="593" cm="1">
        <f t="array" ref="H939">-SUMPRODUCT('EE Measures'!CA$8:CA$86,'EE Measures'!$IJ$8:$IJ$86,--('EE Measures'!$B$8:$B$86=$C939),'EE Measures'!$CR$8:$CR$86,'EE Measures'!$AO$8:$AO$86)</f>
        <v>0</v>
      </c>
      <c r="I939" s="593" cm="1">
        <f t="array" ref="I939">-SUMPRODUCT('EE Measures'!CB$8:CB$86,'EE Measures'!$IJ$8:$IJ$86,--('EE Measures'!$B$8:$B$86=$C939),'EE Measures'!$CR$8:$CR$86,'EE Measures'!$AO$8:$AO$86)</f>
        <v>0</v>
      </c>
      <c r="J939" s="593" cm="1">
        <f t="array" ref="J939">-SUMPRODUCT('EE Measures'!CC$8:CC$86,'EE Measures'!$IJ$8:$IJ$86,--('EE Measures'!$B$8:$B$86=$C939),'EE Measures'!$CR$8:$CR$86,'EE Measures'!$AO$8:$AO$86)</f>
        <v>0</v>
      </c>
      <c r="K939" s="593" cm="1">
        <f t="array" ref="K939">-SUMPRODUCT('EE Measures'!CD$8:CD$86,'EE Measures'!$IJ$8:$IJ$86,--('EE Measures'!$B$8:$B$86=$C939),'EE Measures'!$CR$8:$CR$86,'EE Measures'!$AO$8:$AO$86)</f>
        <v>-6.5697198849868235</v>
      </c>
      <c r="L939" s="593" cm="1">
        <f t="array" ref="L939">-SUMPRODUCT('EE Measures'!CE$8:CE$86,'EE Measures'!$IJ$8:$IJ$86,--('EE Measures'!$B$8:$B$86=$C939),'EE Measures'!$CR$8:$CR$86,'EE Measures'!$AO$8:$AO$86)</f>
        <v>-6.5697198849868235</v>
      </c>
      <c r="M939" s="593" cm="1">
        <f t="array" ref="M939">-SUMPRODUCT('EE Measures'!CF$8:CF$86,'EE Measures'!$IJ$8:$IJ$86,--('EE Measures'!$B$8:$B$86=$C939),'EE Measures'!$CR$8:$CR$86,'EE Measures'!$AO$8:$AO$86)</f>
        <v>-6.5697198849868235</v>
      </c>
      <c r="N939" s="593" cm="1">
        <f t="array" ref="N939">-SUMPRODUCT('EE Measures'!CG$8:CG$86,'EE Measures'!$IJ$8:$IJ$86,--('EE Measures'!$B$8:$B$86=$C939),'EE Measures'!$CR$8:$CR$86,'EE Measures'!$AO$8:$AO$86)</f>
        <v>-6.5697198849868235</v>
      </c>
      <c r="O939" s="593" cm="1">
        <f t="array" ref="O939">-SUMPRODUCT('EE Measures'!CH$8:CH$86,'EE Measures'!$IJ$8:$IJ$86,--('EE Measures'!$B$8:$B$86=$C939),'EE Measures'!$CR$8:$CR$86,'EE Measures'!$AO$8:$AO$86)</f>
        <v>-6.5697198849868235</v>
      </c>
      <c r="P939" s="593" cm="1">
        <f t="array" ref="P939">-SUMPRODUCT('EE Measures'!CI$8:CI$86,'EE Measures'!$IJ$8:$IJ$86,--('EE Measures'!$B$8:$B$86=$C939),'EE Measures'!$CR$8:$CR$86,'EE Measures'!$AO$8:$AO$86)</f>
        <v>-6.5697198849868235</v>
      </c>
      <c r="Q939" s="593" cm="1">
        <f t="array" ref="Q939">-SUMPRODUCT('EE Measures'!CJ$8:CJ$86,'EE Measures'!$IJ$8:$IJ$86,--('EE Measures'!$B$8:$B$86=$C939),'EE Measures'!$CR$8:$CR$86,'EE Measures'!$AO$8:$AO$86)</f>
        <v>-6.5697198849868235</v>
      </c>
      <c r="R939" s="593" cm="1">
        <f t="array" ref="R939">-SUMPRODUCT('EE Measures'!CK$8:CK$86,'EE Measures'!$IJ$8:$IJ$86,--('EE Measures'!$B$8:$B$86=$C939),'EE Measures'!$CR$8:$CR$86,'EE Measures'!$AO$8:$AO$86)</f>
        <v>-6.5697198849868235</v>
      </c>
      <c r="S939" s="593" cm="1">
        <f t="array" ref="S939">-SUMPRODUCT('EE Measures'!CL$8:CL$86,'EE Measures'!$IJ$8:$IJ$86,--('EE Measures'!$B$8:$B$86=$C939),'EE Measures'!$CR$8:$CR$86,'EE Measures'!$AO$8:$AO$86)</f>
        <v>-6.5697198849868235</v>
      </c>
      <c r="T939" s="593" cm="1">
        <f t="array" ref="T939">-SUMPRODUCT('EE Measures'!CM$8:CM$86,'EE Measures'!$IJ$8:$IJ$86,--('EE Measures'!$B$8:$B$86=$C939),'EE Measures'!$CR$8:$CR$86,'EE Measures'!$AO$8:$AO$86)</f>
        <v>-6.5697198849868235</v>
      </c>
      <c r="U939" s="593" cm="1">
        <f t="array" ref="U939">-SUMPRODUCT('EE Measures'!CN$8:CN$86,'EE Measures'!$IJ$8:$IJ$86,--('EE Measures'!$B$8:$B$86=$C939),'EE Measures'!$CR$8:$CR$86,'EE Measures'!$AO$8:$AO$86)</f>
        <v>-6.5697198849868235</v>
      </c>
      <c r="V939" s="898">
        <f t="shared" si="2761"/>
        <v>-39.418319309920939</v>
      </c>
    </row>
    <row r="940" spans="3:22" hidden="1" outlineLevel="1" x14ac:dyDescent="0.3">
      <c r="D940" s="56" t="str">
        <f t="shared" si="2760"/>
        <v>EET</v>
      </c>
      <c r="E940" s="630" t="s">
        <v>207</v>
      </c>
      <c r="F940" s="874">
        <f>SUM(G940:P940)</f>
        <v>-1413.5803904898935</v>
      </c>
      <c r="G940" s="593">
        <f>SUM(G941:G943)</f>
        <v>-6.0172515650332716</v>
      </c>
      <c r="H940" s="593">
        <f>SUM(H941:H943)</f>
        <v>-10.649730401005812</v>
      </c>
      <c r="I940" s="593">
        <f t="shared" ref="I940:P940" si="2762">SUM(I941:I943)</f>
        <v>-16.111006803419109</v>
      </c>
      <c r="J940" s="593">
        <f t="shared" si="2762"/>
        <v>-24.127779275902284</v>
      </c>
      <c r="K940" s="593">
        <f t="shared" si="2762"/>
        <v>-209.29558342901106</v>
      </c>
      <c r="L940" s="593">
        <f t="shared" si="2762"/>
        <v>-215.75858451034946</v>
      </c>
      <c r="M940" s="593">
        <f t="shared" si="2762"/>
        <v>-222.41843052614769</v>
      </c>
      <c r="N940" s="593">
        <f t="shared" si="2762"/>
        <v>-229.27538084812389</v>
      </c>
      <c r="O940" s="593">
        <f t="shared" si="2762"/>
        <v>-236.33192910982837</v>
      </c>
      <c r="P940" s="593">
        <f t="shared" si="2762"/>
        <v>-243.59471402107249</v>
      </c>
      <c r="Q940" s="593">
        <f t="shared" ref="Q940:U940" si="2763">SUM(Q941:Q943)</f>
        <v>-251.07062106925835</v>
      </c>
      <c r="R940" s="593">
        <f t="shared" si="2763"/>
        <v>-258.76679241343265</v>
      </c>
      <c r="S940" s="593">
        <f t="shared" si="2763"/>
        <v>-266.69063719802278</v>
      </c>
      <c r="T940" s="593">
        <f t="shared" si="2763"/>
        <v>-274.84984230464607</v>
      </c>
      <c r="U940" s="593">
        <f t="shared" si="2763"/>
        <v>-283.25238356120991</v>
      </c>
      <c r="V940" s="898">
        <f t="shared" si="2761"/>
        <v>-1413.5803904898935</v>
      </c>
    </row>
    <row r="941" spans="3:22" hidden="1" outlineLevel="1" x14ac:dyDescent="0.3">
      <c r="C941" s="587" t="s">
        <v>51</v>
      </c>
      <c r="D941" s="56" t="str">
        <f t="shared" si="2760"/>
        <v>EET</v>
      </c>
      <c r="E941" s="632" t="s">
        <v>468</v>
      </c>
      <c r="F941" s="584"/>
      <c r="G941" s="619" cm="1">
        <f t="array" ref="G941">-SUMPRODUCT('EE Measures'!EE$8:EE$86,'EE Measures'!$IJ$8:$IJ$86,--('EE Measures'!$B$8:$B$86='Pathway Analysis'!$C941),'EE Measures'!$CR$8:$CR$86)</f>
        <v>-6.0172515650332716</v>
      </c>
      <c r="H941" s="619" cm="1">
        <f t="array" ref="H941">-SUMPRODUCT('EE Measures'!EF$8:EF$86,'EE Measures'!$IJ$8:$IJ$86,--('EE Measures'!$B$8:$B$86='Pathway Analysis'!$C941),'EE Measures'!$CR$8:$CR$86)</f>
        <v>-7.9382106950073572</v>
      </c>
      <c r="I941" s="619" cm="1">
        <f t="array" ref="I941">-SUMPRODUCT('EE Measures'!EG$8:EG$86,'EE Measures'!$IJ$8:$IJ$86,--('EE Measures'!$B$8:$B$86='Pathway Analysis'!$C941),'EE Measures'!$CR$8:$CR$86)</f>
        <v>-10.588217739959365</v>
      </c>
      <c r="J941" s="619" cm="1">
        <f t="array" ref="J941">-SUMPRODUCT('EE Measures'!EH$8:EH$86,'EE Measures'!$IJ$8:$IJ$86,--('EE Measures'!$B$8:$B$86='Pathway Analysis'!$C941),'EE Measures'!$CR$8:$CR$86)</f>
        <v>0</v>
      </c>
      <c r="K941" s="619" cm="1">
        <f t="array" ref="K941">-SUMPRODUCT('EE Measures'!EI$8:EI$86,'EE Measures'!$IJ$8:$IJ$86,--('EE Measures'!$B$8:$B$86='Pathway Analysis'!$C941),'EE Measures'!$CR$8:$CR$86)</f>
        <v>-173.18226594860775</v>
      </c>
      <c r="L941" s="619" cm="1">
        <f t="array" ref="L941">-SUMPRODUCT('EE Measures'!EJ$8:EJ$86,'EE Measures'!$IJ$8:$IJ$86,--('EE Measures'!$B$8:$B$86='Pathway Analysis'!$C941),'EE Measures'!$CR$8:$CR$86)</f>
        <v>-176.3259112675799</v>
      </c>
      <c r="M941" s="619" cm="1">
        <f t="array" ref="M941">-SUMPRODUCT('EE Measures'!EK$8:EK$86,'EE Measures'!$IJ$8:$IJ$86,--('EE Measures'!$B$8:$B$86='Pathway Analysis'!$C941),'EE Measures'!$CR$8:$CR$86)</f>
        <v>-179.5324294929315</v>
      </c>
      <c r="N941" s="619" cm="1">
        <f t="array" ref="N941">-SUMPRODUCT('EE Measures'!EL$8:EL$86,'EE Measures'!$IJ$8:$IJ$86,--('EE Measures'!$B$8:$B$86='Pathway Analysis'!$C941),'EE Measures'!$CR$8:$CR$86)</f>
        <v>-182.80307808279014</v>
      </c>
      <c r="O941" s="619" cm="1">
        <f t="array" ref="O941">-SUMPRODUCT('EE Measures'!EM$8:EM$86,'EE Measures'!$IJ$8:$IJ$86,--('EE Measures'!$B$8:$B$86='Pathway Analysis'!$C941),'EE Measures'!$CR$8:$CR$86)</f>
        <v>-186.13913964444595</v>
      </c>
      <c r="P941" s="619" cm="1">
        <f t="array" ref="P941">-SUMPRODUCT('EE Measures'!EN$8:EN$86,'EE Measures'!$IJ$8:$IJ$86,--('EE Measures'!$B$8:$B$86='Pathway Analysis'!$C941),'EE Measures'!$CR$8:$CR$86)</f>
        <v>-189.54192243733488</v>
      </c>
      <c r="Q941" s="619" cm="1">
        <f t="array" ref="Q941">-SUMPRODUCT('EE Measures'!EO$8:EO$86,'EE Measures'!$IJ$8:$IJ$86,--('EE Measures'!$B$8:$B$86='Pathway Analysis'!$C941),'EE Measures'!$CR$8:$CR$86)</f>
        <v>-193.01276088608157</v>
      </c>
      <c r="R941" s="619" cm="1">
        <f t="array" ref="R941">-SUMPRODUCT('EE Measures'!EP$8:EP$86,'EE Measures'!$IJ$8:$IJ$86,--('EE Measures'!$B$8:$B$86='Pathway Analysis'!$C941),'EE Measures'!$CR$8:$CR$86)</f>
        <v>-196.5530161038032</v>
      </c>
      <c r="S941" s="619" cm="1">
        <f t="array" ref="S941">-SUMPRODUCT('EE Measures'!EQ$8:EQ$86,'EE Measures'!$IJ$8:$IJ$86,--('EE Measures'!$B$8:$B$86='Pathway Analysis'!$C941),'EE Measures'!$CR$8:$CR$86)</f>
        <v>-200.16407642587927</v>
      </c>
      <c r="T941" s="619" cm="1">
        <f t="array" ref="T941">-SUMPRODUCT('EE Measures'!ER$8:ER$86,'EE Measures'!$IJ$8:$IJ$86,--('EE Measures'!$B$8:$B$86='Pathway Analysis'!$C941),'EE Measures'!$CR$8:$CR$86)</f>
        <v>-203.84735795439687</v>
      </c>
      <c r="U941" s="619" cm="1">
        <f t="array" ref="U941">-SUMPRODUCT('EE Measures'!ES$8:ES$86,'EE Measures'!$IJ$8:$IJ$86,--('EE Measures'!$B$8:$B$86='Pathway Analysis'!$C941),'EE Measures'!$CR$8:$CR$86)</f>
        <v>-207.60430511348483</v>
      </c>
      <c r="V941" s="898">
        <f t="shared" si="2761"/>
        <v>-1112.0684268736902</v>
      </c>
    </row>
    <row r="942" spans="3:22" hidden="1" outlineLevel="1" x14ac:dyDescent="0.3">
      <c r="D942" s="56" t="str">
        <f t="shared" si="2760"/>
        <v>EET</v>
      </c>
      <c r="E942" s="632" t="s">
        <v>469</v>
      </c>
      <c r="F942" s="584"/>
      <c r="G942" s="620">
        <f>-SUMPRODUCT('EE Measures'!EE$8:EE$86,'EE Measures'!$IJ$8:$IJ$86,'EE Measures'!$AO$8:$AO$86,'EE Measures'!$CR$8:$CR$86,'EE Measures'!$Q$8:$Q$86)</f>
        <v>0</v>
      </c>
      <c r="H942" s="620">
        <f>-SUMPRODUCT('EE Measures'!EF$8:EF$86,'EE Measures'!$IJ$8:$IJ$86,'EE Measures'!$AO$8:$AO$86,'EE Measures'!$CR$8:$CR$86,'EE Measures'!$Q$8:$Q$86)</f>
        <v>-1.3601031238834424E-2</v>
      </c>
      <c r="I942" s="620">
        <f>-SUMPRODUCT('EE Measures'!EG$8:EG$86,'EE Measures'!$IJ$8:$IJ$86,'EE Measures'!$AO$8:$AO$86,'EE Measures'!$CR$8:$CR$86,'EE Measures'!$Q$8:$Q$86)</f>
        <v>-2.8022770906001616E-2</v>
      </c>
      <c r="J942" s="620">
        <f>-SUMPRODUCT('EE Measures'!EH$8:EH$86,'EE Measures'!$IJ$8:$IJ$86,'EE Measures'!$AO$8:$AO$86,'EE Measures'!$CR$8:$CR$86,'EE Measures'!$Q$8:$Q$86)</f>
        <v>-5.579300303866356</v>
      </c>
      <c r="K942" s="620">
        <f>-SUMPRODUCT('EE Measures'!EI$8:EI$86,'EE Measures'!$IJ$8:$IJ$86,'EE Measures'!$AO$8:$AO$86,'EE Measures'!$CR$8:$CR$86,'EE Measures'!$Q$8:$Q$86)</f>
        <v>-9.047870589780624</v>
      </c>
      <c r="L942" s="620">
        <f>-SUMPRODUCT('EE Measures'!EJ$8:EJ$86,'EE Measures'!$IJ$8:$IJ$86,'EE Measures'!$AO$8:$AO$86,'EE Measures'!$CR$8:$CR$86,'EE Measures'!$Q$8:$Q$86)</f>
        <v>-9.1212512377437314</v>
      </c>
      <c r="M942" s="620">
        <f>-SUMPRODUCT('EE Measures'!EK$8:EK$86,'EE Measures'!$IJ$8:$IJ$86,'EE Measures'!$AO$8:$AO$86,'EE Measures'!$CR$8:$CR$86,'EE Measures'!$Q$8:$Q$86)</f>
        <v>-9.1980508813543995</v>
      </c>
      <c r="N942" s="620">
        <f>-SUMPRODUCT('EE Measures'!EL$8:EL$86,'EE Measures'!$IJ$8:$IJ$86,'EE Measures'!$AO$8:$AO$86,'EE Measures'!$CR$8:$CR$86,'EE Measures'!$Q$8:$Q$86)</f>
        <v>-9.2811409368319122</v>
      </c>
      <c r="O942" s="620">
        <f>-SUMPRODUCT('EE Measures'!EM$8:EM$86,'EE Measures'!$IJ$8:$IJ$86,'EE Measures'!$AO$8:$AO$86,'EE Measures'!$CR$8:$CR$86,'EE Measures'!$Q$8:$Q$86)</f>
        <v>-9.3672467392154246</v>
      </c>
      <c r="P942" s="620">
        <f>-SUMPRODUCT('EE Measures'!EN$8:EN$86,'EE Measures'!$IJ$8:$IJ$86,'EE Measures'!$AO$8:$AO$86,'EE Measures'!$CR$8:$CR$86,'EE Measures'!$Q$8:$Q$86)</f>
        <v>-9.4564148953115019</v>
      </c>
      <c r="Q942" s="620">
        <f>-SUMPRODUCT('EE Measures'!EO$8:EO$86,'EE Measures'!$IJ$8:$IJ$86,'EE Measures'!$AO$8:$AO$86,'EE Measures'!$CR$8:$CR$86,'EE Measures'!$Q$8:$Q$86)</f>
        <v>-9.5486941266822427</v>
      </c>
      <c r="R942" s="620">
        <f>-SUMPRODUCT('EE Measures'!EP$8:EP$86,'EE Measures'!$IJ$8:$IJ$86,'EE Measures'!$AO$8:$AO$86,'EE Measures'!$CR$8:$CR$86,'EE Measures'!$Q$8:$Q$86)</f>
        <v>-9.6441353290153558</v>
      </c>
      <c r="S942" s="620">
        <f>-SUMPRODUCT('EE Measures'!EQ$8:EQ$86,'EE Measures'!$IJ$8:$IJ$86,'EE Measures'!$AO$8:$AO$86,'EE Measures'!$CR$8:$CR$86,'EE Measures'!$Q$8:$Q$86)</f>
        <v>-9.7427916340371485</v>
      </c>
      <c r="T942" s="620">
        <f>-SUMPRODUCT('EE Measures'!ER$8:ER$86,'EE Measures'!$IJ$8:$IJ$86,'EE Measures'!$AO$8:$AO$86,'EE Measures'!$CR$8:$CR$86,'EE Measures'!$Q$8:$Q$86)</f>
        <v>-9.8447184740609881</v>
      </c>
      <c r="U942" s="620">
        <f>-SUMPRODUCT('EE Measures'!ES$8:ES$86,'EE Measures'!$IJ$8:$IJ$86,'EE Measures'!$AO$8:$AO$86,'EE Measures'!$CR$8:$CR$86,'EE Measures'!$Q$8:$Q$86)</f>
        <v>-9.9499736492674931</v>
      </c>
      <c r="V942" s="898">
        <f t="shared" si="2761"/>
        <v>-61.092899386248789</v>
      </c>
    </row>
    <row r="943" spans="3:22" hidden="1" outlineLevel="1" x14ac:dyDescent="0.3">
      <c r="C943" s="587" t="s">
        <v>470</v>
      </c>
      <c r="D943" s="56" t="str">
        <f t="shared" si="2760"/>
        <v>EET</v>
      </c>
      <c r="E943" s="632" t="s">
        <v>471</v>
      </c>
      <c r="F943" s="584"/>
      <c r="G943" s="619" cm="1">
        <f t="array" ref="G943">-((SUMPRODUCT('EE Measures'!EE$8:EE$86,'EE Measures'!$IJ$8:$IJ$86,--('EE Measures'!$B$8:$B$86='Pathway Analysis'!$C943),'EE Measures'!$O$8:$O$86)))</f>
        <v>0</v>
      </c>
      <c r="H943" s="619" cm="1">
        <f t="array" ref="H943">-((SUMPRODUCT('EE Measures'!EF$8:EF$86,'EE Measures'!$IJ$8:$IJ$86,--('EE Measures'!$B$8:$B$86='Pathway Analysis'!$C943),'EE Measures'!$O$8:$O$86)))</f>
        <v>-2.6979186747596207</v>
      </c>
      <c r="I943" s="619" cm="1">
        <f t="array" ref="I943">-((SUMPRODUCT('EE Measures'!EG$8:EG$86,'EE Measures'!$IJ$8:$IJ$86,--('EE Measures'!$B$8:$B$86='Pathway Analysis'!$C943),'EE Measures'!$O$8:$O$86)))</f>
        <v>-5.4947662925537406</v>
      </c>
      <c r="J943" s="619" cm="1">
        <f t="array" ref="J943">-((SUMPRODUCT('EE Measures'!EH$8:EH$86,'EE Measures'!$IJ$8:$IJ$86,--('EE Measures'!$B$8:$B$86='Pathway Analysis'!$C943),'EE Measures'!$O$8:$O$86)))</f>
        <v>-18.54847897203593</v>
      </c>
      <c r="K943" s="619" cm="1">
        <f t="array" ref="K943">-((SUMPRODUCT('EE Measures'!EI$8:EI$86,'EE Measures'!$IJ$8:$IJ$86,--('EE Measures'!$B$8:$B$86='Pathway Analysis'!$C943),'EE Measures'!$O$8:$O$86)))</f>
        <v>-27.065446890622692</v>
      </c>
      <c r="L943" s="619" cm="1">
        <f t="array" ref="L943">-((SUMPRODUCT('EE Measures'!EJ$8:EJ$86,'EE Measures'!$IJ$8:$IJ$86,--('EE Measures'!$B$8:$B$86='Pathway Analysis'!$C943),'EE Measures'!$O$8:$O$86)))</f>
        <v>-30.311422005025822</v>
      </c>
      <c r="M943" s="619" cm="1">
        <f t="array" ref="M943">-((SUMPRODUCT('EE Measures'!EK$8:EK$86,'EE Measures'!$IJ$8:$IJ$86,--('EE Measures'!$B$8:$B$86='Pathway Analysis'!$C943),'EE Measures'!$O$8:$O$86)))</f>
        <v>-33.687950151861791</v>
      </c>
      <c r="N943" s="619" cm="1">
        <f t="array" ref="N943">-((SUMPRODUCT('EE Measures'!EL$8:EL$86,'EE Measures'!$IJ$8:$IJ$86,--('EE Measures'!$B$8:$B$86='Pathway Analysis'!$C943),'EE Measures'!$O$8:$O$86)))</f>
        <v>-37.191161828501841</v>
      </c>
      <c r="O943" s="619" cm="1">
        <f t="array" ref="O943">-((SUMPRODUCT('EE Measures'!EM$8:EM$86,'EE Measures'!$IJ$8:$IJ$86,--('EE Measures'!$B$8:$B$86='Pathway Analysis'!$C943),'EE Measures'!$O$8:$O$86)))</f>
        <v>-40.825542726166994</v>
      </c>
      <c r="P943" s="619" cm="1">
        <f t="array" ref="P943">-((SUMPRODUCT('EE Measures'!EN$8:EN$86,'EE Measures'!$IJ$8:$IJ$86,--('EE Measures'!$B$8:$B$86='Pathway Analysis'!$C943),'EE Measures'!$O$8:$O$86)))</f>
        <v>-44.596376688426112</v>
      </c>
      <c r="Q943" s="619" cm="1">
        <f t="array" ref="Q943">-((SUMPRODUCT('EE Measures'!EO$8:EO$86,'EE Measures'!$IJ$8:$IJ$86,--('EE Measures'!$B$8:$B$86='Pathway Analysis'!$C943),'EE Measures'!$O$8:$O$86)))</f>
        <v>-48.509166056494543</v>
      </c>
      <c r="R943" s="619" cm="1">
        <f t="array" ref="R943">-((SUMPRODUCT('EE Measures'!EP$8:EP$86,'EE Measures'!$IJ$8:$IJ$86,--('EE Measures'!$B$8:$B$86='Pathway Analysis'!$C943),'EE Measures'!$O$8:$O$86)))</f>
        <v>-52.569640980614132</v>
      </c>
      <c r="S943" s="619" cm="1">
        <f t="array" ref="S943">-((SUMPRODUCT('EE Measures'!EQ$8:EQ$86,'EE Measures'!$IJ$8:$IJ$86,--('EE Measures'!$B$8:$B$86='Pathway Analysis'!$C943),'EE Measures'!$O$8:$O$86)))</f>
        <v>-56.783769138106365</v>
      </c>
      <c r="T943" s="619" cm="1">
        <f t="array" ref="T943">-((SUMPRODUCT('EE Measures'!ER$8:ER$86,'EE Measures'!$IJ$8:$IJ$86,--('EE Measures'!$B$8:$B$86='Pathway Analysis'!$C943),'EE Measures'!$O$8:$O$86)))</f>
        <v>-61.157765876188201</v>
      </c>
      <c r="U943" s="619" cm="1">
        <f t="array" ref="U943">-((SUMPRODUCT('EE Measures'!ES$8:ES$86,'EE Measures'!$IJ$8:$IJ$86,--('EE Measures'!$B$8:$B$86='Pathway Analysis'!$C943),'EE Measures'!$O$8:$O$86)))</f>
        <v>-65.698104798457607</v>
      </c>
      <c r="V943" s="898">
        <f t="shared" si="2761"/>
        <v>-240.41906422995453</v>
      </c>
    </row>
    <row r="944" spans="3:22" hidden="1" outlineLevel="1" x14ac:dyDescent="0.3">
      <c r="D944" s="56" t="str">
        <f t="shared" si="2760"/>
        <v>EET</v>
      </c>
      <c r="E944" s="630" t="s">
        <v>208</v>
      </c>
      <c r="F944" s="874">
        <f>SUM(G944:P944)</f>
        <v>8423.1014386256593</v>
      </c>
      <c r="G944" s="621">
        <f>G838-G$803</f>
        <v>323.94960527078911</v>
      </c>
      <c r="H944" s="621">
        <f>H838-H$803</f>
        <v>280.4353175407814</v>
      </c>
      <c r="I944" s="621">
        <f t="shared" ref="I944:P944" si="2764">I838-I$803</f>
        <v>223.38642499265916</v>
      </c>
      <c r="J944" s="621">
        <f t="shared" si="2764"/>
        <v>608.94198464501824</v>
      </c>
      <c r="K944" s="621">
        <f t="shared" si="2764"/>
        <v>1446.8663300361914</v>
      </c>
      <c r="L944" s="621">
        <f t="shared" si="2764"/>
        <v>1175.6219556695905</v>
      </c>
      <c r="M944" s="621">
        <f t="shared" si="2764"/>
        <v>1051.700486982576</v>
      </c>
      <c r="N944" s="621">
        <f t="shared" si="2764"/>
        <v>1058.4673961297158</v>
      </c>
      <c r="O944" s="621">
        <f t="shared" si="2764"/>
        <v>1105.6356541822533</v>
      </c>
      <c r="P944" s="621">
        <f t="shared" si="2764"/>
        <v>1148.0962831760844</v>
      </c>
      <c r="Q944" s="621">
        <f t="shared" ref="Q944:U944" si="2765">Q838-Q$803</f>
        <v>1168.5464203226293</v>
      </c>
      <c r="R944" s="621">
        <f t="shared" si="2765"/>
        <v>1210.7326242011113</v>
      </c>
      <c r="S944" s="621">
        <f t="shared" si="2765"/>
        <v>1254.3268702594141</v>
      </c>
      <c r="T944" s="621">
        <f t="shared" si="2765"/>
        <v>1299.3784390070796</v>
      </c>
      <c r="U944" s="621">
        <f t="shared" si="2765"/>
        <v>1345.9393301970631</v>
      </c>
      <c r="V944" s="898">
        <f t="shared" si="2761"/>
        <v>8423.1014386256593</v>
      </c>
    </row>
    <row r="945" spans="3:22" hidden="1" outlineLevel="1" x14ac:dyDescent="0.3">
      <c r="C945" s="587" t="s">
        <v>51</v>
      </c>
      <c r="D945" s="56" t="str">
        <f t="shared" si="2760"/>
        <v>EET</v>
      </c>
      <c r="E945" s="630" t="s">
        <v>342</v>
      </c>
      <c r="F945" s="874">
        <f>SUM(G945:P945)</f>
        <v>824.62000636586754</v>
      </c>
      <c r="G945" s="618">
        <f>SUM(G946:G948)</f>
        <v>2.7670850444209973</v>
      </c>
      <c r="H945" s="618">
        <f>SUM(H946:H948)</f>
        <v>5.5042295251697659</v>
      </c>
      <c r="I945" s="618">
        <f t="shared" ref="I945:P945" si="2766">SUM(I946:I948)</f>
        <v>7.888450468404085</v>
      </c>
      <c r="J945" s="618">
        <f t="shared" si="2766"/>
        <v>13.276405138802204</v>
      </c>
      <c r="K945" s="618">
        <f t="shared" si="2766"/>
        <v>56.157339947152721</v>
      </c>
      <c r="L945" s="618">
        <f t="shared" si="2766"/>
        <v>85.113148556281303</v>
      </c>
      <c r="M945" s="618">
        <f t="shared" si="2766"/>
        <v>115.22985904381471</v>
      </c>
      <c r="N945" s="618">
        <f t="shared" si="2766"/>
        <v>146.54285858069284</v>
      </c>
      <c r="O945" s="618">
        <f t="shared" si="2766"/>
        <v>179.12114740910968</v>
      </c>
      <c r="P945" s="618">
        <f t="shared" si="2766"/>
        <v>213.01948265201935</v>
      </c>
      <c r="Q945" s="618">
        <f t="shared" ref="Q945:U945" si="2767">SUM(Q946:Q948)</f>
        <v>238.22187870078358</v>
      </c>
      <c r="R945" s="618">
        <f t="shared" si="2767"/>
        <v>264.47050972792056</v>
      </c>
      <c r="S945" s="618">
        <f t="shared" si="2767"/>
        <v>291.80652269491725</v>
      </c>
      <c r="T945" s="618">
        <f t="shared" si="2767"/>
        <v>320.27257115624087</v>
      </c>
      <c r="U945" s="618">
        <f t="shared" si="2767"/>
        <v>349.87091313015685</v>
      </c>
      <c r="V945" s="898">
        <f t="shared" si="2761"/>
        <v>824.62000636586754</v>
      </c>
    </row>
    <row r="946" spans="3:22" hidden="1" outlineLevel="1" x14ac:dyDescent="0.3">
      <c r="C946" s="587" t="s">
        <v>51</v>
      </c>
      <c r="D946" s="56" t="str">
        <f t="shared" si="2760"/>
        <v>EET</v>
      </c>
      <c r="E946" s="632" t="s">
        <v>468</v>
      </c>
      <c r="F946" s="584"/>
      <c r="G946" s="622" cm="1">
        <f t="array" ref="G946">SUMPRODUCT('EE Measures'!CV$8:CV$86,'EE Measures'!$IJ$8:$IJ$86,--('EE Measures'!$B$8:$B$86='Pathway Analysis'!$C946),'EE Measures'!$EA$8:$EA$86)</f>
        <v>0.23941384115742395</v>
      </c>
      <c r="H946" s="622" cm="1">
        <f t="array" ref="H946">SUMPRODUCT('EE Measures'!CW$8:CW$86,'EE Measures'!$IJ$8:$IJ$86,--('EE Measures'!$B$8:$B$86='Pathway Analysis'!$C946),'EE Measures'!$EA$8:$EA$86)</f>
        <v>0.54679056353570332</v>
      </c>
      <c r="I946" s="622" cm="1">
        <f t="array" ref="I946">SUMPRODUCT('EE Measures'!CX$8:CX$86,'EE Measures'!$IJ$8:$IJ$86,--('EE Measures'!$B$8:$B$86='Pathway Analysis'!$C946),'EE Measures'!$EA$8:$EA$86)</f>
        <v>0.93560122025568349</v>
      </c>
      <c r="J946" s="622" cm="1">
        <f t="array" ref="J946">SUMPRODUCT('EE Measures'!CY$8:CY$86,'EE Measures'!$IJ$8:$IJ$86,--('EE Measures'!$B$8:$B$86='Pathway Analysis'!$C946),'EE Measures'!$EA$8:$EA$86)</f>
        <v>0.98899557306727859</v>
      </c>
      <c r="K946" s="622" cm="1">
        <f t="array" ref="K946">SUMPRODUCT('EE Measures'!CZ$8:CZ$86,'EE Measures'!$IJ$8:$IJ$86,--('EE Measures'!$B$8:$B$86='Pathway Analysis'!$C946),'EE Measures'!$EA$8:$EA$86)</f>
        <v>15.849144511514735</v>
      </c>
      <c r="L946" s="622" cm="1">
        <f t="array" ref="L946">SUMPRODUCT('EE Measures'!DA$8:DA$86,'EE Measures'!$IJ$8:$IJ$86,--('EE Measures'!$B$8:$B$86='Pathway Analysis'!$C946),'EE Measures'!$EA$8:$EA$86)</f>
        <v>29.82036242933523</v>
      </c>
      <c r="M946" s="622" cm="1">
        <f t="array" ref="M946">SUMPRODUCT('EE Measures'!DB$8:DB$86,'EE Measures'!$IJ$8:$IJ$86,--('EE Measures'!$B$8:$B$86='Pathway Analysis'!$C946),'EE Measures'!$EA$8:$EA$86)</f>
        <v>44.430484479556043</v>
      </c>
      <c r="N946" s="622" cm="1">
        <f t="array" ref="N946">SUMPRODUCT('EE Measures'!DC$8:DC$86,'EE Measures'!$IJ$8:$IJ$86,--('EE Measures'!$B$8:$B$86='Pathway Analysis'!$C946),'EE Measures'!$EA$8:$EA$86)</f>
        <v>59.688607480180636</v>
      </c>
      <c r="O946" s="622" cm="1">
        <f t="array" ref="O946">SUMPRODUCT('EE Measures'!DD$8:DD$86,'EE Measures'!$IJ$8:$IJ$86,--('EE Measures'!$B$8:$B$86='Pathway Analysis'!$C946),'EE Measures'!$EA$8:$EA$86)</f>
        <v>75.636780425591056</v>
      </c>
      <c r="P946" s="622" cm="1">
        <f t="array" ref="P946">SUMPRODUCT('EE Measures'!DE$8:DE$86,'EE Measures'!$IJ$8:$IJ$86,--('EE Measures'!$B$8:$B$86='Pathway Analysis'!$C946),'EE Measures'!$EA$8:$EA$86)</f>
        <v>92.30204461084449</v>
      </c>
      <c r="Q946" s="622" cm="1">
        <f t="array" ref="Q946">SUMPRODUCT('EE Measures'!DF$8:DF$86,'EE Measures'!$IJ$8:$IJ$86,--('EE Measures'!$B$8:$B$86='Pathway Analysis'!$C946),'EE Measures'!$EA$8:$EA$86)</f>
        <v>109.67772391583992</v>
      </c>
      <c r="R946" s="622" cm="1">
        <f t="array" ref="R946">SUMPRODUCT('EE Measures'!DG$8:DG$86,'EE Measures'!$IJ$8:$IJ$86,--('EE Measures'!$B$8:$B$86='Pathway Analysis'!$C946),'EE Measures'!$EA$8:$EA$86)</f>
        <v>127.81586725403756</v>
      </c>
      <c r="S946" s="622" cm="1">
        <f t="array" ref="S946">SUMPRODUCT('EE Measures'!DH$8:DH$86,'EE Measures'!$IJ$8:$IJ$86,--('EE Measures'!$B$8:$B$86='Pathway Analysis'!$C946),'EE Measures'!$EA$8:$EA$86)</f>
        <v>146.74576830227909</v>
      </c>
      <c r="T946" s="622" cm="1">
        <f t="array" ref="T946">SUMPRODUCT('EE Measures'!DI$8:DI$86,'EE Measures'!$IJ$8:$IJ$86,--('EE Measures'!$B$8:$B$86='Pathway Analysis'!$C946),'EE Measures'!$EA$8:$EA$86)</f>
        <v>166.49776243498451</v>
      </c>
      <c r="U946" s="622" cm="1">
        <f t="array" ref="U946">SUMPRODUCT('EE Measures'!DJ$8:DJ$86,'EE Measures'!$IJ$8:$IJ$86,--('EE Measures'!$B$8:$B$86='Pathway Analysis'!$C946),'EE Measures'!$EA$8:$EA$86)</f>
        <v>187.06130707240933</v>
      </c>
      <c r="V946" s="898">
        <f t="shared" si="2761"/>
        <v>320.43822513503824</v>
      </c>
    </row>
    <row r="947" spans="3:22" hidden="1" outlineLevel="1" x14ac:dyDescent="0.3">
      <c r="C947" s="587" t="s">
        <v>53</v>
      </c>
      <c r="D947" s="56" t="str">
        <f t="shared" si="2760"/>
        <v>EET</v>
      </c>
      <c r="E947" s="632" t="s">
        <v>469</v>
      </c>
      <c r="F947" s="584"/>
      <c r="G947" s="623">
        <f>SUMPRODUCT('EE Measures'!CV$8:CV$86,'EE Measures'!$IJ$8:$IJ$86,'EE Measures'!$AO$8:$AO$86,'EE Measures'!$EA$8:$EA$86,'EE Measures'!$Q$8:$Q$86,'EE Measures'!$Q$8:$Q$86)</f>
        <v>0.77271453974391213</v>
      </c>
      <c r="H947" s="623">
        <f>SUMPRODUCT('EE Measures'!CW$8:CW$86,'EE Measures'!$IJ$8:$IJ$86,'EE Measures'!$AO$8:$AO$86,'EE Measures'!$EA$8:$EA$86,'EE Measures'!$Q$8:$Q$86,'EE Measures'!$Q$8:$Q$86)</f>
        <v>2.558976544613933</v>
      </c>
      <c r="I947" s="623">
        <f>SUMPRODUCT('EE Measures'!CX$8:CX$86,'EE Measures'!$IJ$8:$IJ$86,'EE Measures'!$AO$8:$AO$86,'EE Measures'!$EA$8:$EA$86,'EE Measures'!$Q$8:$Q$86,'EE Measures'!$Q$8:$Q$86)</f>
        <v>3.8805484677030968</v>
      </c>
      <c r="J947" s="623">
        <f>SUMPRODUCT('EE Measures'!CY$8:CY$86,'EE Measures'!$IJ$8:$IJ$86,'EE Measures'!$AO$8:$AO$86,'EE Measures'!$EA$8:$EA$86,'EE Measures'!$Q$8:$Q$86,'EE Measures'!$Q$8:$Q$86)</f>
        <v>6.2523267467000387</v>
      </c>
      <c r="K947" s="623">
        <f>SUMPRODUCT('EE Measures'!CZ$8:CZ$86,'EE Measures'!$IJ$8:$IJ$86,'EE Measures'!$AO$8:$AO$86,'EE Measures'!$EA$8:$EA$86,'EE Measures'!$Q$8:$Q$86,'EE Measures'!$Q$8:$Q$86)</f>
        <v>32.127750333522201</v>
      </c>
      <c r="L947" s="623">
        <f>SUMPRODUCT('EE Measures'!DA$8:DA$86,'EE Measures'!$IJ$8:$IJ$86,'EE Measures'!$AO$8:$AO$86,'EE Measures'!$EA$8:$EA$86,'EE Measures'!$Q$8:$Q$86,'EE Measures'!$Q$8:$Q$86)</f>
        <v>46.215086901608892</v>
      </c>
      <c r="M947" s="623">
        <f>SUMPRODUCT('EE Measures'!DB$8:DB$86,'EE Measures'!$IJ$8:$IJ$86,'EE Measures'!$AO$8:$AO$86,'EE Measures'!$EA$8:$EA$86,'EE Measures'!$Q$8:$Q$86,'EE Measures'!$Q$8:$Q$86)</f>
        <v>60.788452937105745</v>
      </c>
      <c r="N947" s="623">
        <f>SUMPRODUCT('EE Measures'!DC$8:DC$86,'EE Measures'!$IJ$8:$IJ$86,'EE Measures'!$AO$8:$AO$86,'EE Measures'!$EA$8:$EA$86,'EE Measures'!$Q$8:$Q$86,'EE Measures'!$Q$8:$Q$86)</f>
        <v>75.872457390572507</v>
      </c>
      <c r="O947" s="623">
        <f>SUMPRODUCT('EE Measures'!DD$8:DD$86,'EE Measures'!$IJ$8:$IJ$86,'EE Measures'!$AO$8:$AO$86,'EE Measures'!$EA$8:$EA$86,'EE Measures'!$Q$8:$Q$86,'EE Measures'!$Q$8:$Q$86)</f>
        <v>91.492368096715211</v>
      </c>
      <c r="P947" s="623">
        <f>SUMPRODUCT('EE Measures'!DE$8:DE$86,'EE Measures'!$IJ$8:$IJ$86,'EE Measures'!$AO$8:$AO$86,'EE Measures'!$EA$8:$EA$86,'EE Measures'!$Q$8:$Q$86,'EE Measures'!$Q$8:$Q$86)</f>
        <v>107.67414225259408</v>
      </c>
      <c r="Q947" s="623">
        <f>SUMPRODUCT('EE Measures'!DF$8:DF$86,'EE Measures'!$IJ$8:$IJ$86,'EE Measures'!$AO$8:$AO$86,'EE Measures'!$EA$8:$EA$86,'EE Measures'!$Q$8:$Q$86,'EE Measures'!$Q$8:$Q$86)</f>
        <v>114.40691655029541</v>
      </c>
      <c r="R947" s="623">
        <f>SUMPRODUCT('EE Measures'!DG$8:DG$86,'EE Measures'!$IJ$8:$IJ$86,'EE Measures'!$AO$8:$AO$86,'EE Measures'!$EA$8:$EA$86,'EE Measures'!$Q$8:$Q$86,'EE Measures'!$Q$8:$Q$86)</f>
        <v>121.3786372387061</v>
      </c>
      <c r="S947" s="623">
        <f>SUMPRODUCT('EE Measures'!DH$8:DH$86,'EE Measures'!$IJ$8:$IJ$86,'EE Measures'!$AO$8:$AO$86,'EE Measures'!$EA$8:$EA$86,'EE Measures'!$Q$8:$Q$86,'EE Measures'!$Q$8:$Q$86)</f>
        <v>128.59915082926597</v>
      </c>
      <c r="T947" s="623">
        <f>SUMPRODUCT('EE Measures'!DI$8:DI$86,'EE Measures'!$IJ$8:$IJ$86,'EE Measures'!$AO$8:$AO$86,'EE Measures'!$EA$8:$EA$86,'EE Measures'!$Q$8:$Q$86,'EE Measures'!$Q$8:$Q$86)</f>
        <v>136.07867963284446</v>
      </c>
      <c r="U947" s="623">
        <f>SUMPRODUCT('EE Measures'!DJ$8:DJ$86,'EE Measures'!$IJ$8:$IJ$86,'EE Measures'!$AO$8:$AO$86,'EE Measures'!$EA$8:$EA$86,'EE Measures'!$Q$8:$Q$86,'EE Measures'!$Q$8:$Q$86)</f>
        <v>143.82783544850975</v>
      </c>
      <c r="V947" s="898">
        <f t="shared" si="2761"/>
        <v>427.63482421087963</v>
      </c>
    </row>
    <row r="948" spans="3:22" hidden="1" outlineLevel="1" x14ac:dyDescent="0.3">
      <c r="C948" s="587" t="s">
        <v>470</v>
      </c>
      <c r="D948" s="56" t="str">
        <f t="shared" si="2760"/>
        <v>EET</v>
      </c>
      <c r="E948" s="632" t="s">
        <v>471</v>
      </c>
      <c r="F948" s="584"/>
      <c r="G948" s="622" cm="1">
        <f t="array" ref="G948">SUMPRODUCT('EE Measures'!CV$8:CV$86,'EE Measures'!$IJ$8:$IJ$86,--('EE Measures'!$B$8:$B$86='Pathway Analysis'!$C948),'EE Measures'!$EA$8:$EA$86,'EE Measures'!$O$8:$O$86)</f>
        <v>1.7549566635196614</v>
      </c>
      <c r="H948" s="622" cm="1">
        <f t="array" ref="H948">SUMPRODUCT('EE Measures'!CW$8:CW$86,'EE Measures'!$IJ$8:$IJ$86,--('EE Measures'!$B$8:$B$86='Pathway Analysis'!$C948),'EE Measures'!$EA$8:$EA$86,'EE Measures'!$O$8:$O$86)</f>
        <v>2.3984624170201299</v>
      </c>
      <c r="I948" s="622" cm="1">
        <f t="array" ref="I948">SUMPRODUCT('EE Measures'!CX$8:CX$86,'EE Measures'!$IJ$8:$IJ$86,--('EE Measures'!$B$8:$B$86='Pathway Analysis'!$C948),'EE Measures'!$EA$8:$EA$86,'EE Measures'!$O$8:$O$86)</f>
        <v>3.0723007804453051</v>
      </c>
      <c r="J948" s="622" cm="1">
        <f t="array" ref="J948">SUMPRODUCT('EE Measures'!CY$8:CY$86,'EE Measures'!$IJ$8:$IJ$86,--('EE Measures'!$B$8:$B$86='Pathway Analysis'!$C948),'EE Measures'!$EA$8:$EA$86,'EE Measures'!$O$8:$O$86)</f>
        <v>6.035082819034888</v>
      </c>
      <c r="K948" s="622" cm="1">
        <f t="array" ref="K948">SUMPRODUCT('EE Measures'!CZ$8:CZ$86,'EE Measures'!$IJ$8:$IJ$86,--('EE Measures'!$B$8:$B$86='Pathway Analysis'!$C948),'EE Measures'!$EA$8:$EA$86,'EE Measures'!$O$8:$O$86)</f>
        <v>8.1804451021157849</v>
      </c>
      <c r="L948" s="622" cm="1">
        <f t="array" ref="L948">SUMPRODUCT('EE Measures'!DA$8:DA$86,'EE Measures'!$IJ$8:$IJ$86,--('EE Measures'!$B$8:$B$86='Pathway Analysis'!$C948),'EE Measures'!$EA$8:$EA$86,'EE Measures'!$O$8:$O$86)</f>
        <v>9.077699225337188</v>
      </c>
      <c r="M948" s="622" cm="1">
        <f t="array" ref="M948">SUMPRODUCT('EE Measures'!DB$8:DB$86,'EE Measures'!$IJ$8:$IJ$86,--('EE Measures'!$B$8:$B$86='Pathway Analysis'!$C948),'EE Measures'!$EA$8:$EA$86,'EE Measures'!$O$8:$O$86)</f>
        <v>10.010921627152918</v>
      </c>
      <c r="N948" s="622" cm="1">
        <f t="array" ref="N948">SUMPRODUCT('EE Measures'!DC$8:DC$86,'EE Measures'!$IJ$8:$IJ$86,--('EE Measures'!$B$8:$B$86='Pathway Analysis'!$C948),'EE Measures'!$EA$8:$EA$86,'EE Measures'!$O$8:$O$86)</f>
        <v>10.981793709939705</v>
      </c>
      <c r="O948" s="622" cm="1">
        <f t="array" ref="O948">SUMPRODUCT('EE Measures'!DD$8:DD$86,'EE Measures'!$IJ$8:$IJ$86,--('EE Measures'!$B$8:$B$86='Pathway Analysis'!$C948),'EE Measures'!$EA$8:$EA$86,'EE Measures'!$O$8:$O$86)</f>
        <v>11.991998886803431</v>
      </c>
      <c r="P948" s="622" cm="1">
        <f t="array" ref="P948">SUMPRODUCT('EE Measures'!DE$8:DE$86,'EE Measures'!$IJ$8:$IJ$86,--('EE Measures'!$B$8:$B$86='Pathway Analysis'!$C948),'EE Measures'!$EA$8:$EA$86,'EE Measures'!$O$8:$O$86)</f>
        <v>13.043295788580794</v>
      </c>
      <c r="Q948" s="622" cm="1">
        <f t="array" ref="Q948">SUMPRODUCT('EE Measures'!DF$8:DF$86,'EE Measures'!$IJ$8:$IJ$86,--('EE Measures'!$B$8:$B$86='Pathway Analysis'!$C948),'EE Measures'!$EA$8:$EA$86,'EE Measures'!$O$8:$O$86)</f>
        <v>14.137238234648224</v>
      </c>
      <c r="R948" s="622" cm="1">
        <f t="array" ref="R948">SUMPRODUCT('EE Measures'!DG$8:DG$86,'EE Measures'!$IJ$8:$IJ$86,--('EE Measures'!$B$8:$B$86='Pathway Analysis'!$C948),'EE Measures'!$EA$8:$EA$86,'EE Measures'!$O$8:$O$86)</f>
        <v>15.276005235176923</v>
      </c>
      <c r="S948" s="622" cm="1">
        <f t="array" ref="S948">SUMPRODUCT('EE Measures'!DH$8:DH$86,'EE Measures'!$IJ$8:$IJ$86,--('EE Measures'!$B$8:$B$86='Pathway Analysis'!$C948),'EE Measures'!$EA$8:$EA$86,'EE Measures'!$O$8:$O$86)</f>
        <v>16.461603563372165</v>
      </c>
      <c r="T948" s="622" cm="1">
        <f t="array" ref="T948">SUMPRODUCT('EE Measures'!DI$8:DI$86,'EE Measures'!$IJ$8:$IJ$86,--('EE Measures'!$B$8:$B$86='Pathway Analysis'!$C948),'EE Measures'!$EA$8:$EA$86,'EE Measures'!$O$8:$O$86)</f>
        <v>17.696129088411894</v>
      </c>
      <c r="U948" s="622" cm="1">
        <f t="array" ref="U948">SUMPRODUCT('EE Measures'!DJ$8:DJ$86,'EE Measures'!$IJ$8:$IJ$86,--('EE Measures'!$B$8:$B$86='Pathway Analysis'!$C948),'EE Measures'!$EA$8:$EA$86,'EE Measures'!$O$8:$O$86)</f>
        <v>18.981770609237717</v>
      </c>
      <c r="V948" s="898">
        <f t="shared" si="2761"/>
        <v>76.546957019949801</v>
      </c>
    </row>
    <row r="949" spans="3:22" hidden="1" outlineLevel="1" x14ac:dyDescent="0.3">
      <c r="D949" s="56" t="str">
        <f t="shared" si="2760"/>
        <v>EET</v>
      </c>
      <c r="E949" s="631" t="s">
        <v>472</v>
      </c>
      <c r="F949" s="584"/>
      <c r="G949" s="566">
        <f t="shared" ref="G949" si="2768">(G936*1000)/G723</f>
        <v>13724.897551743441</v>
      </c>
      <c r="H949" s="566">
        <f t="shared" ref="H949:P949" si="2769">(H936*1000)/H723</f>
        <v>15667.049620416044</v>
      </c>
      <c r="I949" s="566">
        <f t="shared" si="2769"/>
        <v>16387.925292109496</v>
      </c>
      <c r="J949" s="566">
        <f t="shared" si="2769"/>
        <v>17702.044636771392</v>
      </c>
      <c r="K949" s="566">
        <f t="shared" si="2769"/>
        <v>17349.971858227396</v>
      </c>
      <c r="L949" s="566">
        <f t="shared" si="2769"/>
        <v>18175.857360295115</v>
      </c>
      <c r="M949" s="566">
        <f t="shared" si="2769"/>
        <v>19079.285780287013</v>
      </c>
      <c r="N949" s="566">
        <f t="shared" si="2769"/>
        <v>20606.06831882691</v>
      </c>
      <c r="O949" s="566">
        <f t="shared" si="2769"/>
        <v>21830.344307511801</v>
      </c>
      <c r="P949" s="566">
        <f t="shared" si="2769"/>
        <v>23109.111631314863</v>
      </c>
      <c r="Q949" s="566">
        <f t="shared" ref="Q949:U949" si="2770">(Q936*1000)/Q723</f>
        <v>24293.964090050482</v>
      </c>
      <c r="R949" s="566">
        <f t="shared" si="2770"/>
        <v>25635.040504048764</v>
      </c>
      <c r="S949" s="566">
        <f t="shared" si="2770"/>
        <v>27032.646384600237</v>
      </c>
      <c r="T949" s="566">
        <f t="shared" si="2770"/>
        <v>28482.203263636366</v>
      </c>
      <c r="U949" s="566">
        <f t="shared" si="2770"/>
        <v>29973.221780638185</v>
      </c>
    </row>
    <row r="950" spans="3:22" hidden="1" outlineLevel="1" x14ac:dyDescent="0.3">
      <c r="D950" s="56" t="str">
        <f>E950</f>
        <v>CEER1</v>
      </c>
      <c r="E950" s="628" t="s">
        <v>39</v>
      </c>
      <c r="F950" s="872">
        <f>SUM(G950:P950)/SUM($G$878:$P$878)-1</f>
        <v>3.287364231215717E-2</v>
      </c>
      <c r="G950" s="617">
        <f>G$878+G951</f>
        <v>8914.9848367785835</v>
      </c>
      <c r="H950" s="617">
        <f>H$878+H951</f>
        <v>10565.322179912757</v>
      </c>
      <c r="I950" s="617">
        <f t="shared" ref="I950" si="2771">I$878+I951</f>
        <v>11099.801173280146</v>
      </c>
      <c r="J950" s="617">
        <f t="shared" ref="J950" si="2772">J$878+J951</f>
        <v>11857.246660870724</v>
      </c>
      <c r="K950" s="617">
        <f t="shared" ref="K950" si="2773">K$878+K951</f>
        <v>12571.760926625453</v>
      </c>
      <c r="L950" s="617">
        <f t="shared" ref="L950" si="2774">L$878+L951</f>
        <v>12932.781544966052</v>
      </c>
      <c r="M950" s="617">
        <f t="shared" ref="M950" si="2775">M$878+M951</f>
        <v>13395.743641833014</v>
      </c>
      <c r="N950" s="617">
        <f t="shared" ref="N950" si="2776">N$878+N951</f>
        <v>14123.611043872574</v>
      </c>
      <c r="O950" s="617">
        <f t="shared" ref="O950" si="2777">O$878+O951</f>
        <v>14915.300773510819</v>
      </c>
      <c r="P950" s="617">
        <f t="shared" ref="P950:U950" si="2778">P$878+P951</f>
        <v>15724.882216777429</v>
      </c>
      <c r="Q950" s="617">
        <f t="shared" si="2778"/>
        <v>16551.741694031294</v>
      </c>
      <c r="R950" s="617">
        <f t="shared" si="2778"/>
        <v>17426.018340600993</v>
      </c>
      <c r="S950" s="617">
        <f t="shared" si="2778"/>
        <v>18335.531834870333</v>
      </c>
      <c r="T950" s="617">
        <f t="shared" si="2778"/>
        <v>19268.320483590363</v>
      </c>
      <c r="U950" s="617">
        <f t="shared" si="2778"/>
        <v>20199.185085212441</v>
      </c>
      <c r="V950" s="898">
        <f>SUM(G951:P951)</f>
        <v>4013.4758980858924</v>
      </c>
    </row>
    <row r="951" spans="3:22" hidden="1" outlineLevel="1" x14ac:dyDescent="0.3">
      <c r="D951" s="56" t="str">
        <f>D950</f>
        <v>CEER1</v>
      </c>
      <c r="E951" s="629" t="s">
        <v>467</v>
      </c>
      <c r="F951" s="584"/>
      <c r="G951" s="618">
        <f>SUM(G952:G953,G958:G959)+G957</f>
        <v>247.16712677858482</v>
      </c>
      <c r="H951" s="618">
        <f>SUM(H952:H953,H958:H959)+H957</f>
        <v>161.44780568116843</v>
      </c>
      <c r="I951" s="618">
        <f t="shared" ref="I951:P951" si="2779">SUM(I952:I953,I958:I959)+I957</f>
        <v>117.76639444939475</v>
      </c>
      <c r="J951" s="618">
        <f t="shared" si="2779"/>
        <v>357.24520780662175</v>
      </c>
      <c r="K951" s="618">
        <f t="shared" si="2779"/>
        <v>588.55293053445143</v>
      </c>
      <c r="L951" s="618">
        <f t="shared" si="2779"/>
        <v>467.97966623156833</v>
      </c>
      <c r="M951" s="618">
        <f t="shared" si="2779"/>
        <v>448.64196581384084</v>
      </c>
      <c r="N951" s="618">
        <f t="shared" si="2779"/>
        <v>474.0064174438408</v>
      </c>
      <c r="O951" s="618">
        <f t="shared" si="2779"/>
        <v>542.93421595935342</v>
      </c>
      <c r="P951" s="618">
        <f t="shared" si="2779"/>
        <v>607.73416738706771</v>
      </c>
      <c r="Q951" s="618">
        <f t="shared" ref="Q951:U951" si="2780">SUM(Q952:Q953,Q958:Q959)+Q957</f>
        <v>653.70150724062057</v>
      </c>
      <c r="R951" s="618">
        <f t="shared" si="2780"/>
        <v>715.86811999624365</v>
      </c>
      <c r="S951" s="618">
        <f t="shared" si="2780"/>
        <v>780.7037885193904</v>
      </c>
      <c r="T951" s="618">
        <f t="shared" si="2780"/>
        <v>848.31631775344079</v>
      </c>
      <c r="U951" s="618">
        <f t="shared" si="2780"/>
        <v>918.74351609639564</v>
      </c>
    </row>
    <row r="952" spans="3:22" hidden="1" outlineLevel="1" x14ac:dyDescent="0.3">
      <c r="C952" s="587" t="s">
        <v>51</v>
      </c>
      <c r="D952" s="56" t="str">
        <f t="shared" ref="D952:D963" si="2781">D951</f>
        <v>CEER1</v>
      </c>
      <c r="E952" s="630" t="s">
        <v>205</v>
      </c>
      <c r="F952" s="874">
        <f>SUM(G952:P952)</f>
        <v>-4788.7319114960001</v>
      </c>
      <c r="G952" s="593" cm="1">
        <f t="array" ref="G952">-SUMPRODUCT('EE Measures'!BZ$8:BZ$86,'EE Measures'!$IK$8:$IK$86,--('EE Measures'!$B$8:$B$86='Pathway Analysis'!$C952),'EE Measures'!$CR$8:$CR$86)</f>
        <v>-30.814851901214958</v>
      </c>
      <c r="H952" s="593" cm="1">
        <f t="array" ref="H952">-SUMPRODUCT('EE Measures'!CA$8:CA$86,'EE Measures'!$IK$8:$IK$86,--('EE Measures'!$B$8:$B$86='Pathway Analysis'!$C952),'EE Measures'!$CR$8:$CR$86)</f>
        <v>-39.011514036496656</v>
      </c>
      <c r="I952" s="593" cm="1">
        <f t="array" ref="I952">-SUMPRODUCT('EE Measures'!CB$8:CB$86,'EE Measures'!$IK$8:$IK$86,--('EE Measures'!$B$8:$B$86='Pathway Analysis'!$C952),'EE Measures'!$CR$8:$CR$86)</f>
        <v>-49.313634062288372</v>
      </c>
      <c r="J952" s="593" cm="1">
        <f t="array" ref="J952">-SUMPRODUCT('EE Measures'!CC$8:CC$86,'EE Measures'!$IK$8:$IK$86,--('EE Measures'!$B$8:$B$86='Pathway Analysis'!$C952),'EE Measures'!$CR$8:$CR$86)</f>
        <v>0</v>
      </c>
      <c r="K952" s="593" cm="1">
        <f t="array" ref="K952">-SUMPRODUCT('EE Measures'!CD$8:CD$86,'EE Measures'!$IK$8:$IK$86,--('EE Measures'!$B$8:$B$86='Pathway Analysis'!$C952),'EE Measures'!$CR$8:$CR$86)</f>
        <v>-740.25085104379446</v>
      </c>
      <c r="L952" s="593" cm="1">
        <f t="array" ref="L952">-SUMPRODUCT('EE Measures'!CE$8:CE$86,'EE Measures'!$IK$8:$IK$86,--('EE Measures'!$B$8:$B$86='Pathway Analysis'!$C952),'EE Measures'!$CR$8:$CR$86)</f>
        <v>-755.05586806467034</v>
      </c>
      <c r="M952" s="593" cm="1">
        <f t="array" ref="M952">-SUMPRODUCT('EE Measures'!CF$8:CF$86,'EE Measures'!$IK$8:$IK$86,--('EE Measures'!$B$8:$B$86='Pathway Analysis'!$C952),'EE Measures'!$CR$8:$CR$86)</f>
        <v>-770.15698542596363</v>
      </c>
      <c r="N952" s="593" cm="1">
        <f t="array" ref="N952">-SUMPRODUCT('EE Measures'!CG$8:CG$86,'EE Measures'!$IK$8:$IK$86,--('EE Measures'!$B$8:$B$86='Pathway Analysis'!$C952),'EE Measures'!$CR$8:$CR$86)</f>
        <v>-785.56012513448297</v>
      </c>
      <c r="O952" s="593" cm="1">
        <f t="array" ref="O952">-SUMPRODUCT('EE Measures'!CH$8:CH$86,'EE Measures'!$IK$8:$IK$86,--('EE Measures'!$B$8:$B$86='Pathway Analysis'!$C952),'EE Measures'!$CR$8:$CR$86)</f>
        <v>-801.2713276371727</v>
      </c>
      <c r="P952" s="593" cm="1">
        <f t="array" ref="P952">-SUMPRODUCT('EE Measures'!CI$8:CI$86,'EE Measures'!$IK$8:$IK$86,--('EE Measures'!$B$8:$B$86='Pathway Analysis'!$C952),'EE Measures'!$CR$8:$CR$86)</f>
        <v>-817.29675418991621</v>
      </c>
      <c r="Q952" s="593" cm="1">
        <f t="array" ref="Q952">-SUMPRODUCT('EE Measures'!CJ$8:CJ$86,'EE Measures'!$IK$8:$IK$86,--('EE Measures'!$B$8:$B$86='Pathway Analysis'!$C952),'EE Measures'!$CR$8:$CR$86)</f>
        <v>-833.6426892737145</v>
      </c>
      <c r="R952" s="593" cm="1">
        <f t="array" ref="R952">-SUMPRODUCT('EE Measures'!CK$8:CK$86,'EE Measures'!$IK$8:$IK$86,--('EE Measures'!$B$8:$B$86='Pathway Analysis'!$C952),'EE Measures'!$CR$8:$CR$86)</f>
        <v>-850.31554305918871</v>
      </c>
      <c r="S952" s="593" cm="1">
        <f t="array" ref="S952">-SUMPRODUCT('EE Measures'!CL$8:CL$86,'EE Measures'!$IK$8:$IK$86,--('EE Measures'!$B$8:$B$86='Pathway Analysis'!$C952),'EE Measures'!$CR$8:$CR$86)</f>
        <v>-867.32185392037263</v>
      </c>
      <c r="T952" s="593" cm="1">
        <f t="array" ref="T952">-SUMPRODUCT('EE Measures'!CM$8:CM$86,'EE Measures'!$IK$8:$IK$86,--('EE Measures'!$B$8:$B$86='Pathway Analysis'!$C952),'EE Measures'!$CR$8:$CR$86)</f>
        <v>-884.66829099878009</v>
      </c>
      <c r="U952" s="593" cm="1">
        <f t="array" ref="U952">-SUMPRODUCT('EE Measures'!CN$8:CN$86,'EE Measures'!$IK$8:$IK$86,--('EE Measures'!$B$8:$B$86='Pathway Analysis'!$C952),'EE Measures'!$CR$8:$CR$86)</f>
        <v>-902.36165681875559</v>
      </c>
      <c r="V952" s="898">
        <f t="shared" ref="V952:V962" si="2782">SUM(G952:P952)</f>
        <v>-4788.7319114960001</v>
      </c>
    </row>
    <row r="953" spans="3:22" hidden="1" outlineLevel="1" x14ac:dyDescent="0.3">
      <c r="C953" s="587" t="s">
        <v>53</v>
      </c>
      <c r="D953" s="56" t="str">
        <f t="shared" si="2781"/>
        <v>CEER1</v>
      </c>
      <c r="E953" s="630" t="s">
        <v>206</v>
      </c>
      <c r="F953" s="874">
        <f>SUM(G953:P953)</f>
        <v>-39.418319309920939</v>
      </c>
      <c r="G953" s="593" cm="1">
        <f t="array" ref="G953">-SUMPRODUCT('EE Measures'!BZ$8:BZ$86,'EE Measures'!$IK$8:$IK$86,--('EE Measures'!$B$8:$B$86=$C953),'EE Measures'!$CR$8:$CR$86,'EE Measures'!$AO$8:$AO$86)</f>
        <v>0</v>
      </c>
      <c r="H953" s="593" cm="1">
        <f t="array" ref="H953">-SUMPRODUCT('EE Measures'!CA$8:CA$86,'EE Measures'!$IK$8:$IK$86,--('EE Measures'!$B$8:$B$86=$C953),'EE Measures'!$CR$8:$CR$86,'EE Measures'!$AO$8:$AO$86)</f>
        <v>0</v>
      </c>
      <c r="I953" s="593" cm="1">
        <f t="array" ref="I953">-SUMPRODUCT('EE Measures'!CB$8:CB$86,'EE Measures'!$IK$8:$IK$86,--('EE Measures'!$B$8:$B$86=$C953),'EE Measures'!$CR$8:$CR$86,'EE Measures'!$AO$8:$AO$86)</f>
        <v>0</v>
      </c>
      <c r="J953" s="593" cm="1">
        <f t="array" ref="J953">-SUMPRODUCT('EE Measures'!CC$8:CC$86,'EE Measures'!$IK$8:$IK$86,--('EE Measures'!$B$8:$B$86=$C953),'EE Measures'!$CR$8:$CR$86,'EE Measures'!$AO$8:$AO$86)</f>
        <v>0</v>
      </c>
      <c r="K953" s="593" cm="1">
        <f t="array" ref="K953">-SUMPRODUCT('EE Measures'!CD$8:CD$86,'EE Measures'!$IK$8:$IK$86,--('EE Measures'!$B$8:$B$86=$C953),'EE Measures'!$CR$8:$CR$86,'EE Measures'!$AO$8:$AO$86)</f>
        <v>-6.5697198849868235</v>
      </c>
      <c r="L953" s="593" cm="1">
        <f t="array" ref="L953">-SUMPRODUCT('EE Measures'!CE$8:CE$86,'EE Measures'!$IK$8:$IK$86,--('EE Measures'!$B$8:$B$86=$C953),'EE Measures'!$CR$8:$CR$86,'EE Measures'!$AO$8:$AO$86)</f>
        <v>-6.5697198849868235</v>
      </c>
      <c r="M953" s="593" cm="1">
        <f t="array" ref="M953">-SUMPRODUCT('EE Measures'!CF$8:CF$86,'EE Measures'!$IK$8:$IK$86,--('EE Measures'!$B$8:$B$86=$C953),'EE Measures'!$CR$8:$CR$86,'EE Measures'!$AO$8:$AO$86)</f>
        <v>-6.5697198849868235</v>
      </c>
      <c r="N953" s="593" cm="1">
        <f t="array" ref="N953">-SUMPRODUCT('EE Measures'!CG$8:CG$86,'EE Measures'!$IK$8:$IK$86,--('EE Measures'!$B$8:$B$86=$C953),'EE Measures'!$CR$8:$CR$86,'EE Measures'!$AO$8:$AO$86)</f>
        <v>-6.5697198849868235</v>
      </c>
      <c r="O953" s="593" cm="1">
        <f t="array" ref="O953">-SUMPRODUCT('EE Measures'!CH$8:CH$86,'EE Measures'!$IK$8:$IK$86,--('EE Measures'!$B$8:$B$86=$C953),'EE Measures'!$CR$8:$CR$86,'EE Measures'!$AO$8:$AO$86)</f>
        <v>-6.5697198849868235</v>
      </c>
      <c r="P953" s="593" cm="1">
        <f t="array" ref="P953">-SUMPRODUCT('EE Measures'!CI$8:CI$86,'EE Measures'!$IK$8:$IK$86,--('EE Measures'!$B$8:$B$86=$C953),'EE Measures'!$CR$8:$CR$86,'EE Measures'!$AO$8:$AO$86)</f>
        <v>-6.5697198849868235</v>
      </c>
      <c r="Q953" s="593" cm="1">
        <f t="array" ref="Q953">-SUMPRODUCT('EE Measures'!CJ$8:CJ$86,'EE Measures'!$IK$8:$IK$86,--('EE Measures'!$B$8:$B$86=$C953),'EE Measures'!$CR$8:$CR$86,'EE Measures'!$AO$8:$AO$86)</f>
        <v>-6.5697198849868235</v>
      </c>
      <c r="R953" s="593" cm="1">
        <f t="array" ref="R953">-SUMPRODUCT('EE Measures'!CK$8:CK$86,'EE Measures'!$IK$8:$IK$86,--('EE Measures'!$B$8:$B$86=$C953),'EE Measures'!$CR$8:$CR$86,'EE Measures'!$AO$8:$AO$86)</f>
        <v>-6.5697198849868235</v>
      </c>
      <c r="S953" s="593" cm="1">
        <f t="array" ref="S953">-SUMPRODUCT('EE Measures'!CL$8:CL$86,'EE Measures'!$IK$8:$IK$86,--('EE Measures'!$B$8:$B$86=$C953),'EE Measures'!$CR$8:$CR$86,'EE Measures'!$AO$8:$AO$86)</f>
        <v>-6.5697198849868235</v>
      </c>
      <c r="T953" s="593" cm="1">
        <f t="array" ref="T953">-SUMPRODUCT('EE Measures'!CM$8:CM$86,'EE Measures'!$IK$8:$IK$86,--('EE Measures'!$B$8:$B$86=$C953),'EE Measures'!$CR$8:$CR$86,'EE Measures'!$AO$8:$AO$86)</f>
        <v>-6.5697198849868235</v>
      </c>
      <c r="U953" s="593" cm="1">
        <f t="array" ref="U953">-SUMPRODUCT('EE Measures'!CN$8:CN$86,'EE Measures'!$IK$8:$IK$86,--('EE Measures'!$B$8:$B$86=$C953),'EE Measures'!$CR$8:$CR$86,'EE Measures'!$AO$8:$AO$86)</f>
        <v>-6.5697198849868235</v>
      </c>
      <c r="V953" s="898">
        <f t="shared" si="2782"/>
        <v>-39.418319309920939</v>
      </c>
    </row>
    <row r="954" spans="3:22" hidden="1" outlineLevel="1" x14ac:dyDescent="0.3">
      <c r="D954" s="56" t="str">
        <f t="shared" si="2781"/>
        <v>CEER1</v>
      </c>
      <c r="E954" s="630" t="s">
        <v>207</v>
      </c>
      <c r="F954" s="874">
        <f>SUM(G954:P954)</f>
        <v>-1639.4103760086844</v>
      </c>
      <c r="G954" s="593">
        <f>SUM(G955:G957)</f>
        <v>-6.0172515650332716</v>
      </c>
      <c r="H954" s="593">
        <f>SUM(H955:H957)</f>
        <v>-10.649730401005812</v>
      </c>
      <c r="I954" s="593">
        <f t="shared" ref="I954:P954" si="2783">SUM(I955:I957)</f>
        <v>-16.111006803419109</v>
      </c>
      <c r="J954" s="593">
        <f t="shared" si="2783"/>
        <v>-24.127779275902284</v>
      </c>
      <c r="K954" s="593">
        <f t="shared" si="2783"/>
        <v>-245.87698734884501</v>
      </c>
      <c r="L954" s="593">
        <f t="shared" si="2783"/>
        <v>-252.7516165085801</v>
      </c>
      <c r="M954" s="593">
        <f t="shared" si="2783"/>
        <v>-259.8313231643429</v>
      </c>
      <c r="N954" s="593">
        <f t="shared" si="2783"/>
        <v>-267.116531339083</v>
      </c>
      <c r="O954" s="593">
        <f t="shared" si="2783"/>
        <v>-274.6099026106067</v>
      </c>
      <c r="P954" s="593">
        <f t="shared" si="2783"/>
        <v>-282.31824699186632</v>
      </c>
      <c r="Q954" s="593">
        <f t="shared" ref="Q954:U954" si="2784">SUM(Q955:Q957)</f>
        <v>-290.24862469946811</v>
      </c>
      <c r="R954" s="593">
        <f t="shared" si="2784"/>
        <v>-298.40835611624658</v>
      </c>
      <c r="S954" s="593">
        <f t="shared" si="2784"/>
        <v>-306.80503217489303</v>
      </c>
      <c r="T954" s="593">
        <f t="shared" si="2784"/>
        <v>-315.44652518105369</v>
      </c>
      <c r="U954" s="593">
        <f t="shared" si="2784"/>
        <v>-324.34100009514572</v>
      </c>
      <c r="V954" s="898">
        <f t="shared" si="2782"/>
        <v>-1639.4103760086844</v>
      </c>
    </row>
    <row r="955" spans="3:22" hidden="1" outlineLevel="1" x14ac:dyDescent="0.3">
      <c r="C955" s="587" t="s">
        <v>51</v>
      </c>
      <c r="D955" s="56" t="str">
        <f t="shared" si="2781"/>
        <v>CEER1</v>
      </c>
      <c r="E955" s="632" t="s">
        <v>468</v>
      </c>
      <c r="F955" s="584"/>
      <c r="G955" s="619" cm="1">
        <f t="array" ref="G955">-SUMPRODUCT('EE Measures'!EE$8:EE$86,'EE Measures'!$IK$8:$IK$86,--('EE Measures'!$B$8:$B$86='Pathway Analysis'!$C955),'EE Measures'!$CR$8:$CR$86)</f>
        <v>-6.0172515650332716</v>
      </c>
      <c r="H955" s="619" cm="1">
        <f t="array" ref="H955">-SUMPRODUCT('EE Measures'!EF$8:EF$86,'EE Measures'!$IK$8:$IK$86,--('EE Measures'!$B$8:$B$86='Pathway Analysis'!$C955),'EE Measures'!$CR$8:$CR$86)</f>
        <v>-7.9382106950073572</v>
      </c>
      <c r="I955" s="619" cm="1">
        <f t="array" ref="I955">-SUMPRODUCT('EE Measures'!EG$8:EG$86,'EE Measures'!$IK$8:$IK$86,--('EE Measures'!$B$8:$B$86='Pathway Analysis'!$C955),'EE Measures'!$CR$8:$CR$86)</f>
        <v>-10.588217739959365</v>
      </c>
      <c r="J955" s="619" cm="1">
        <f t="array" ref="J955">-SUMPRODUCT('EE Measures'!EH$8:EH$86,'EE Measures'!$IK$8:$IK$86,--('EE Measures'!$B$8:$B$86='Pathway Analysis'!$C955),'EE Measures'!$CR$8:$CR$86)</f>
        <v>0</v>
      </c>
      <c r="K955" s="619" cm="1">
        <f t="array" ref="K955">-SUMPRODUCT('EE Measures'!EI$8:EI$86,'EE Measures'!$IK$8:$IK$86,--('EE Measures'!$B$8:$B$86='Pathway Analysis'!$C955),'EE Measures'!$CR$8:$CR$86)</f>
        <v>-209.7636698684417</v>
      </c>
      <c r="L955" s="619" cm="1">
        <f t="array" ref="L955">-SUMPRODUCT('EE Measures'!EJ$8:EJ$86,'EE Measures'!$IK$8:$IK$86,--('EE Measures'!$B$8:$B$86='Pathway Analysis'!$C955),'EE Measures'!$CR$8:$CR$86)</f>
        <v>-213.31894326581053</v>
      </c>
      <c r="M955" s="619" cm="1">
        <f t="array" ref="M955">-SUMPRODUCT('EE Measures'!EK$8:EK$86,'EE Measures'!$IK$8:$IK$86,--('EE Measures'!$B$8:$B$86='Pathway Analysis'!$C955),'EE Measures'!$CR$8:$CR$86)</f>
        <v>-216.94532213112674</v>
      </c>
      <c r="N955" s="619" cm="1">
        <f t="array" ref="N955">-SUMPRODUCT('EE Measures'!EL$8:EL$86,'EE Measures'!$IK$8:$IK$86,--('EE Measures'!$B$8:$B$86='Pathway Analysis'!$C955),'EE Measures'!$CR$8:$CR$86)</f>
        <v>-220.64422857374925</v>
      </c>
      <c r="O955" s="619" cm="1">
        <f t="array" ref="O955">-SUMPRODUCT('EE Measures'!EM$8:EM$86,'EE Measures'!$IK$8:$IK$86,--('EE Measures'!$B$8:$B$86='Pathway Analysis'!$C955),'EE Measures'!$CR$8:$CR$86)</f>
        <v>-224.41711314522425</v>
      </c>
      <c r="P955" s="619" cm="1">
        <f t="array" ref="P955">-SUMPRODUCT('EE Measures'!EN$8:EN$86,'EE Measures'!$IK$8:$IK$86,--('EE Measures'!$B$8:$B$86='Pathway Analysis'!$C955),'EE Measures'!$CR$8:$CR$86)</f>
        <v>-228.26545540812873</v>
      </c>
      <c r="Q955" s="619" cm="1">
        <f t="array" ref="Q955">-SUMPRODUCT('EE Measures'!EO$8:EO$86,'EE Measures'!$IK$8:$IK$86,--('EE Measures'!$B$8:$B$86='Pathway Analysis'!$C955),'EE Measures'!$CR$8:$CR$86)</f>
        <v>-232.19076451629132</v>
      </c>
      <c r="R955" s="619" cm="1">
        <f t="array" ref="R955">-SUMPRODUCT('EE Measures'!EP$8:EP$86,'EE Measures'!$IK$8:$IK$86,--('EE Measures'!$B$8:$B$86='Pathway Analysis'!$C955),'EE Measures'!$CR$8:$CR$86)</f>
        <v>-236.19457980661713</v>
      </c>
      <c r="S955" s="619" cm="1">
        <f t="array" ref="S955">-SUMPRODUCT('EE Measures'!EQ$8:EQ$86,'EE Measures'!$IK$8:$IK$86,--('EE Measures'!$B$8:$B$86='Pathway Analysis'!$C955),'EE Measures'!$CR$8:$CR$86)</f>
        <v>-240.27847140274949</v>
      </c>
      <c r="T955" s="619" cm="1">
        <f t="array" ref="T955">-SUMPRODUCT('EE Measures'!ER$8:ER$86,'EE Measures'!$IK$8:$IK$86,--('EE Measures'!$B$8:$B$86='Pathway Analysis'!$C955),'EE Measures'!$CR$8:$CR$86)</f>
        <v>-244.44404083080448</v>
      </c>
      <c r="U955" s="619" cm="1">
        <f t="array" ref="U955">-SUMPRODUCT('EE Measures'!ES$8:ES$86,'EE Measures'!$IK$8:$IK$86,--('EE Measures'!$B$8:$B$86='Pathway Analysis'!$C955),'EE Measures'!$CR$8:$CR$86)</f>
        <v>-248.69292164742058</v>
      </c>
      <c r="V955" s="898">
        <f t="shared" si="2782"/>
        <v>-1337.8984123924813</v>
      </c>
    </row>
    <row r="956" spans="3:22" hidden="1" outlineLevel="1" x14ac:dyDescent="0.3">
      <c r="D956" s="56" t="str">
        <f t="shared" si="2781"/>
        <v>CEER1</v>
      </c>
      <c r="E956" s="632" t="s">
        <v>469</v>
      </c>
      <c r="F956" s="584"/>
      <c r="G956" s="620">
        <f>-SUMPRODUCT('EE Measures'!EE$8:EE$86,'EE Measures'!$IK$8:$IK$86,'EE Measures'!$AO$8:$AO$86,'EE Measures'!$CR$8:$CR$86,'EE Measures'!$Q$8:$Q$86)</f>
        <v>0</v>
      </c>
      <c r="H956" s="620">
        <f>-SUMPRODUCT('EE Measures'!EF$8:EF$86,'EE Measures'!$IK$8:$IK$86,'EE Measures'!$AO$8:$AO$86,'EE Measures'!$CR$8:$CR$86,'EE Measures'!$Q$8:$Q$86)</f>
        <v>-1.3601031238834424E-2</v>
      </c>
      <c r="I956" s="620">
        <f>-SUMPRODUCT('EE Measures'!EG$8:EG$86,'EE Measures'!$IK$8:$IK$86,'EE Measures'!$AO$8:$AO$86,'EE Measures'!$CR$8:$CR$86,'EE Measures'!$Q$8:$Q$86)</f>
        <v>-2.8022770906001616E-2</v>
      </c>
      <c r="J956" s="620">
        <f>-SUMPRODUCT('EE Measures'!EH$8:EH$86,'EE Measures'!$IK$8:$IK$86,'EE Measures'!$AO$8:$AO$86,'EE Measures'!$CR$8:$CR$86,'EE Measures'!$Q$8:$Q$86)</f>
        <v>-5.579300303866356</v>
      </c>
      <c r="K956" s="620">
        <f>-SUMPRODUCT('EE Measures'!EI$8:EI$86,'EE Measures'!$IK$8:$IK$86,'EE Measures'!$AO$8:$AO$86,'EE Measures'!$CR$8:$CR$86,'EE Measures'!$Q$8:$Q$86)</f>
        <v>-9.047870589780624</v>
      </c>
      <c r="L956" s="620">
        <f>-SUMPRODUCT('EE Measures'!EJ$8:EJ$86,'EE Measures'!$IK$8:$IK$86,'EE Measures'!$AO$8:$AO$86,'EE Measures'!$CR$8:$CR$86,'EE Measures'!$Q$8:$Q$86)</f>
        <v>-9.1212512377437314</v>
      </c>
      <c r="M956" s="620">
        <f>-SUMPRODUCT('EE Measures'!EK$8:EK$86,'EE Measures'!$IK$8:$IK$86,'EE Measures'!$AO$8:$AO$86,'EE Measures'!$CR$8:$CR$86,'EE Measures'!$Q$8:$Q$86)</f>
        <v>-9.1980508813543995</v>
      </c>
      <c r="N956" s="620">
        <f>-SUMPRODUCT('EE Measures'!EL$8:EL$86,'EE Measures'!$IK$8:$IK$86,'EE Measures'!$AO$8:$AO$86,'EE Measures'!$CR$8:$CR$86,'EE Measures'!$Q$8:$Q$86)</f>
        <v>-9.2811409368319122</v>
      </c>
      <c r="O956" s="620">
        <f>-SUMPRODUCT('EE Measures'!EM$8:EM$86,'EE Measures'!$IK$8:$IK$86,'EE Measures'!$AO$8:$AO$86,'EE Measures'!$CR$8:$CR$86,'EE Measures'!$Q$8:$Q$86)</f>
        <v>-9.3672467392154246</v>
      </c>
      <c r="P956" s="620">
        <f>-SUMPRODUCT('EE Measures'!EN$8:EN$86,'EE Measures'!$IK$8:$IK$86,'EE Measures'!$AO$8:$AO$86,'EE Measures'!$CR$8:$CR$86,'EE Measures'!$Q$8:$Q$86)</f>
        <v>-9.4564148953115019</v>
      </c>
      <c r="Q956" s="620">
        <f>-SUMPRODUCT('EE Measures'!EO$8:EO$86,'EE Measures'!$IK$8:$IK$86,'EE Measures'!$AO$8:$AO$86,'EE Measures'!$CR$8:$CR$86,'EE Measures'!$Q$8:$Q$86)</f>
        <v>-9.5486941266822427</v>
      </c>
      <c r="R956" s="620">
        <f>-SUMPRODUCT('EE Measures'!EP$8:EP$86,'EE Measures'!$IK$8:$IK$86,'EE Measures'!$AO$8:$AO$86,'EE Measures'!$CR$8:$CR$86,'EE Measures'!$Q$8:$Q$86)</f>
        <v>-9.6441353290153558</v>
      </c>
      <c r="S956" s="620">
        <f>-SUMPRODUCT('EE Measures'!EQ$8:EQ$86,'EE Measures'!$IK$8:$IK$86,'EE Measures'!$AO$8:$AO$86,'EE Measures'!$CR$8:$CR$86,'EE Measures'!$Q$8:$Q$86)</f>
        <v>-9.7427916340371485</v>
      </c>
      <c r="T956" s="620">
        <f>-SUMPRODUCT('EE Measures'!ER$8:ER$86,'EE Measures'!$IK$8:$IK$86,'EE Measures'!$AO$8:$AO$86,'EE Measures'!$CR$8:$CR$86,'EE Measures'!$Q$8:$Q$86)</f>
        <v>-9.8447184740609881</v>
      </c>
      <c r="U956" s="620">
        <f>-SUMPRODUCT('EE Measures'!ES$8:ES$86,'EE Measures'!$IK$8:$IK$86,'EE Measures'!$AO$8:$AO$86,'EE Measures'!$CR$8:$CR$86,'EE Measures'!$Q$8:$Q$86)</f>
        <v>-9.9499736492674931</v>
      </c>
      <c r="V956" s="898">
        <f t="shared" si="2782"/>
        <v>-61.092899386248789</v>
      </c>
    </row>
    <row r="957" spans="3:22" hidden="1" outlineLevel="1" x14ac:dyDescent="0.3">
      <c r="C957" s="587" t="s">
        <v>470</v>
      </c>
      <c r="D957" s="56" t="str">
        <f t="shared" si="2781"/>
        <v>CEER1</v>
      </c>
      <c r="E957" s="632" t="s">
        <v>471</v>
      </c>
      <c r="F957" s="584"/>
      <c r="G957" s="619" cm="1">
        <f t="array" ref="G957">-((SUMPRODUCT('EE Measures'!EE$8:EE$86,'EE Measures'!$IK$8:$IK$86,--('EE Measures'!$B$8:$B$86='Pathway Analysis'!$C957),'EE Measures'!$O$8:$O$86)))</f>
        <v>0</v>
      </c>
      <c r="H957" s="619" cm="1">
        <f t="array" ref="H957">-((SUMPRODUCT('EE Measures'!EF$8:EF$86,'EE Measures'!$IK$8:$IK$86,--('EE Measures'!$B$8:$B$86='Pathway Analysis'!$C957),'EE Measures'!$O$8:$O$86)))</f>
        <v>-2.6979186747596207</v>
      </c>
      <c r="I957" s="619" cm="1">
        <f t="array" ref="I957">-((SUMPRODUCT('EE Measures'!EG$8:EG$86,'EE Measures'!$IK$8:$IK$86,--('EE Measures'!$B$8:$B$86='Pathway Analysis'!$C957),'EE Measures'!$O$8:$O$86)))</f>
        <v>-5.4947662925537406</v>
      </c>
      <c r="J957" s="619" cm="1">
        <f t="array" ref="J957">-((SUMPRODUCT('EE Measures'!EH$8:EH$86,'EE Measures'!$IK$8:$IK$86,--('EE Measures'!$B$8:$B$86='Pathway Analysis'!$C957),'EE Measures'!$O$8:$O$86)))</f>
        <v>-18.54847897203593</v>
      </c>
      <c r="K957" s="619" cm="1">
        <f t="array" ref="K957">-((SUMPRODUCT('EE Measures'!EI$8:EI$86,'EE Measures'!$IK$8:$IK$86,--('EE Measures'!$B$8:$B$86='Pathway Analysis'!$C957),'EE Measures'!$O$8:$O$86)))</f>
        <v>-27.065446890622692</v>
      </c>
      <c r="L957" s="619" cm="1">
        <f t="array" ref="L957">-((SUMPRODUCT('EE Measures'!EJ$8:EJ$86,'EE Measures'!$IK$8:$IK$86,--('EE Measures'!$B$8:$B$86='Pathway Analysis'!$C957),'EE Measures'!$O$8:$O$86)))</f>
        <v>-30.311422005025822</v>
      </c>
      <c r="M957" s="619" cm="1">
        <f t="array" ref="M957">-((SUMPRODUCT('EE Measures'!EK$8:EK$86,'EE Measures'!$IK$8:$IK$86,--('EE Measures'!$B$8:$B$86='Pathway Analysis'!$C957),'EE Measures'!$O$8:$O$86)))</f>
        <v>-33.687950151861791</v>
      </c>
      <c r="N957" s="619" cm="1">
        <f t="array" ref="N957">-((SUMPRODUCT('EE Measures'!EL$8:EL$86,'EE Measures'!$IK$8:$IK$86,--('EE Measures'!$B$8:$B$86='Pathway Analysis'!$C957),'EE Measures'!$O$8:$O$86)))</f>
        <v>-37.191161828501841</v>
      </c>
      <c r="O957" s="619" cm="1">
        <f t="array" ref="O957">-((SUMPRODUCT('EE Measures'!EM$8:EM$86,'EE Measures'!$IK$8:$IK$86,--('EE Measures'!$B$8:$B$86='Pathway Analysis'!$C957),'EE Measures'!$O$8:$O$86)))</f>
        <v>-40.825542726166994</v>
      </c>
      <c r="P957" s="619" cm="1">
        <f t="array" ref="P957">-((SUMPRODUCT('EE Measures'!EN$8:EN$86,'EE Measures'!$IK$8:$IK$86,--('EE Measures'!$B$8:$B$86='Pathway Analysis'!$C957),'EE Measures'!$O$8:$O$86)))</f>
        <v>-44.596376688426112</v>
      </c>
      <c r="Q957" s="619" cm="1">
        <f t="array" ref="Q957">-((SUMPRODUCT('EE Measures'!EO$8:EO$86,'EE Measures'!$IK$8:$IK$86,--('EE Measures'!$B$8:$B$86='Pathway Analysis'!$C957),'EE Measures'!$O$8:$O$86)))</f>
        <v>-48.509166056494543</v>
      </c>
      <c r="R957" s="619" cm="1">
        <f t="array" ref="R957">-((SUMPRODUCT('EE Measures'!EP$8:EP$86,'EE Measures'!$IK$8:$IK$86,--('EE Measures'!$B$8:$B$86='Pathway Analysis'!$C957),'EE Measures'!$O$8:$O$86)))</f>
        <v>-52.569640980614132</v>
      </c>
      <c r="S957" s="619" cm="1">
        <f t="array" ref="S957">-((SUMPRODUCT('EE Measures'!EQ$8:EQ$86,'EE Measures'!$IK$8:$IK$86,--('EE Measures'!$B$8:$B$86='Pathway Analysis'!$C957),'EE Measures'!$O$8:$O$86)))</f>
        <v>-56.783769138106365</v>
      </c>
      <c r="T957" s="619" cm="1">
        <f t="array" ref="T957">-((SUMPRODUCT('EE Measures'!ER$8:ER$86,'EE Measures'!$IK$8:$IK$86,--('EE Measures'!$B$8:$B$86='Pathway Analysis'!$C957),'EE Measures'!$O$8:$O$86)))</f>
        <v>-61.157765876188201</v>
      </c>
      <c r="U957" s="619" cm="1">
        <f t="array" ref="U957">-((SUMPRODUCT('EE Measures'!ES$8:ES$86,'EE Measures'!$IK$8:$IK$86,--('EE Measures'!$B$8:$B$86='Pathway Analysis'!$C957),'EE Measures'!$O$8:$O$86)))</f>
        <v>-65.698104798457607</v>
      </c>
      <c r="V957" s="898">
        <f t="shared" si="2782"/>
        <v>-240.41906422995453</v>
      </c>
    </row>
    <row r="958" spans="3:22" hidden="1" outlineLevel="1" x14ac:dyDescent="0.3">
      <c r="D958" s="56" t="str">
        <f t="shared" si="2781"/>
        <v>CEER1</v>
      </c>
      <c r="E958" s="630" t="s">
        <v>208</v>
      </c>
      <c r="F958" s="874">
        <f>SUM(G958:P958)</f>
        <v>8270.4450069720715</v>
      </c>
      <c r="G958" s="621">
        <f>G845-G$803</f>
        <v>275.21489363537876</v>
      </c>
      <c r="H958" s="621">
        <f>H845-H$803</f>
        <v>197.64502428062042</v>
      </c>
      <c r="I958" s="621">
        <f t="shared" ref="I958:P958" si="2785">I845-I$803</f>
        <v>164.66990494999118</v>
      </c>
      <c r="J958" s="621">
        <f t="shared" si="2785"/>
        <v>362.33260046581927</v>
      </c>
      <c r="K958" s="621">
        <f t="shared" si="2785"/>
        <v>1307.1759954543631</v>
      </c>
      <c r="L958" s="621">
        <f t="shared" si="2785"/>
        <v>1176.2143217084231</v>
      </c>
      <c r="M958" s="621">
        <f t="shared" si="2785"/>
        <v>1145.757593738479</v>
      </c>
      <c r="N958" s="621">
        <f t="shared" si="2785"/>
        <v>1159.2418916611568</v>
      </c>
      <c r="O958" s="621">
        <f t="shared" si="2785"/>
        <v>1215.4730479237915</v>
      </c>
      <c r="P958" s="621">
        <f t="shared" si="2785"/>
        <v>1266.7197331540483</v>
      </c>
      <c r="Q958" s="621">
        <f t="shared" ref="Q958:U958" si="2786">Q845-Q$803</f>
        <v>1303.2928411150278</v>
      </c>
      <c r="R958" s="621">
        <f t="shared" si="2786"/>
        <v>1355.3275140531841</v>
      </c>
      <c r="S958" s="621">
        <f t="shared" si="2786"/>
        <v>1409.2594644862074</v>
      </c>
      <c r="T958" s="621">
        <f t="shared" si="2786"/>
        <v>1465.1611387058219</v>
      </c>
      <c r="U958" s="621">
        <f t="shared" si="2786"/>
        <v>1523.0975443725729</v>
      </c>
      <c r="V958" s="898">
        <f t="shared" si="2782"/>
        <v>8270.4450069720715</v>
      </c>
    </row>
    <row r="959" spans="3:22" hidden="1" outlineLevel="1" x14ac:dyDescent="0.3">
      <c r="C959" s="587" t="s">
        <v>51</v>
      </c>
      <c r="D959" s="56" t="str">
        <f t="shared" si="2781"/>
        <v>CEER1</v>
      </c>
      <c r="E959" s="630" t="s">
        <v>342</v>
      </c>
      <c r="F959" s="874">
        <f>SUM(G959:P959)</f>
        <v>811.60018614969658</v>
      </c>
      <c r="G959" s="618">
        <f>SUM(G960:G962)</f>
        <v>2.7670850444209973</v>
      </c>
      <c r="H959" s="618">
        <f>SUM(H960:H962)</f>
        <v>5.5122141118042833</v>
      </c>
      <c r="I959" s="618">
        <f t="shared" ref="I959:P959" si="2787">SUM(I960:I962)</f>
        <v>7.9048898542456829</v>
      </c>
      <c r="J959" s="618">
        <f t="shared" si="2787"/>
        <v>13.461086312838386</v>
      </c>
      <c r="K959" s="618">
        <f t="shared" si="2787"/>
        <v>55.262952899492241</v>
      </c>
      <c r="L959" s="618">
        <f t="shared" si="2787"/>
        <v>83.702354477828251</v>
      </c>
      <c r="M959" s="618">
        <f t="shared" si="2787"/>
        <v>113.29902753817404</v>
      </c>
      <c r="N959" s="618">
        <f t="shared" si="2787"/>
        <v>144.08553263065562</v>
      </c>
      <c r="O959" s="618">
        <f t="shared" si="2787"/>
        <v>176.12775828388851</v>
      </c>
      <c r="P959" s="618">
        <f t="shared" si="2787"/>
        <v>209.47728499634854</v>
      </c>
      <c r="Q959" s="618">
        <f t="shared" ref="Q959:U959" si="2788">SUM(Q960:Q962)</f>
        <v>239.13024134078859</v>
      </c>
      <c r="R959" s="618">
        <f t="shared" si="2788"/>
        <v>269.99550986784919</v>
      </c>
      <c r="S959" s="618">
        <f t="shared" si="2788"/>
        <v>302.11966697664877</v>
      </c>
      <c r="T959" s="618">
        <f t="shared" si="2788"/>
        <v>335.55095580757404</v>
      </c>
      <c r="U959" s="618">
        <f t="shared" si="2788"/>
        <v>370.27545322602282</v>
      </c>
      <c r="V959" s="898">
        <f t="shared" si="2782"/>
        <v>811.60018614969658</v>
      </c>
    </row>
    <row r="960" spans="3:22" hidden="1" outlineLevel="1" x14ac:dyDescent="0.3">
      <c r="C960" s="587" t="s">
        <v>51</v>
      </c>
      <c r="D960" s="56" t="str">
        <f t="shared" si="2781"/>
        <v>CEER1</v>
      </c>
      <c r="E960" s="632" t="s">
        <v>468</v>
      </c>
      <c r="F960" s="584"/>
      <c r="G960" s="622" cm="1">
        <f t="array" ref="G960">SUMPRODUCT('EE Measures'!CV$8:CV$86,'EE Measures'!$IK$8:$IK$86,--('EE Measures'!$B$8:$B$86='Pathway Analysis'!$C960),'EE Measures'!$EA$8:$EA$86)</f>
        <v>0.23941384115742395</v>
      </c>
      <c r="H960" s="622" cm="1">
        <f t="array" ref="H960">SUMPRODUCT('EE Measures'!CW$8:CW$86,'EE Measures'!$IK$8:$IK$86,--('EE Measures'!$B$8:$B$86='Pathway Analysis'!$C960),'EE Measures'!$EA$8:$EA$86)</f>
        <v>0.54679056353570332</v>
      </c>
      <c r="I960" s="622" cm="1">
        <f t="array" ref="I960">SUMPRODUCT('EE Measures'!CX$8:CX$86,'EE Measures'!$IK$8:$IK$86,--('EE Measures'!$B$8:$B$86='Pathway Analysis'!$C960),'EE Measures'!$EA$8:$EA$86)</f>
        <v>0.93560122025568349</v>
      </c>
      <c r="J960" s="622" cm="1">
        <f t="array" ref="J960">SUMPRODUCT('EE Measures'!CY$8:CY$86,'EE Measures'!$IK$8:$IK$86,--('EE Measures'!$B$8:$B$86='Pathway Analysis'!$C960),'EE Measures'!$EA$8:$EA$86)</f>
        <v>0.98899557306727859</v>
      </c>
      <c r="K960" s="622" cm="1">
        <f t="array" ref="K960">SUMPRODUCT('EE Measures'!CZ$8:CZ$86,'EE Measures'!$IK$8:$IK$86,--('EE Measures'!$B$8:$B$86='Pathway Analysis'!$C960),'EE Measures'!$EA$8:$EA$86)</f>
        <v>21.631268968352682</v>
      </c>
      <c r="L960" s="622" cm="1">
        <f t="array" ref="L960">SUMPRODUCT('EE Measures'!DA$8:DA$86,'EE Measures'!$IK$8:$IK$86,--('EE Measures'!$B$8:$B$86='Pathway Analysis'!$C960),'EE Measures'!$EA$8:$EA$86)</f>
        <v>40.04708171214277</v>
      </c>
      <c r="M960" s="622" cm="1">
        <f t="array" ref="M960">SUMPRODUCT('EE Measures'!DB$8:DB$86,'EE Measures'!$IK$8:$IK$86,--('EE Measures'!$B$8:$B$86='Pathway Analysis'!$C960),'EE Measures'!$EA$8:$EA$86)</f>
        <v>59.269108069701431</v>
      </c>
      <c r="N960" s="622" cm="1">
        <f t="array" ref="N960">SUMPRODUCT('EE Measures'!DC$8:DC$86,'EE Measures'!$IK$8:$IK$86,--('EE Measures'!$B$8:$B$86='Pathway Analysis'!$C960),'EE Measures'!$EA$8:$EA$86)</f>
        <v>79.312354501506448</v>
      </c>
      <c r="O960" s="622" cm="1">
        <f t="array" ref="O960">SUMPRODUCT('EE Measures'!DD$8:DD$86,'EE Measures'!$IK$8:$IK$86,--('EE Measures'!$B$8:$B$86='Pathway Analysis'!$C960),'EE Measures'!$EA$8:$EA$86)</f>
        <v>100.22472695802968</v>
      </c>
      <c r="P960" s="622" cm="1">
        <f t="array" ref="P960">SUMPRODUCT('EE Measures'!DE$8:DE$86,'EE Measures'!$IK$8:$IK$86,--('EE Measures'!$B$8:$B$86='Pathway Analysis'!$C960),'EE Measures'!$EA$8:$EA$86)</f>
        <v>122.0393019880409</v>
      </c>
      <c r="Q960" s="622" cm="1">
        <f t="array" ref="Q960">SUMPRODUCT('EE Measures'!DF$8:DF$86,'EE Measures'!$IK$8:$IK$86,--('EE Measures'!$B$8:$B$86='Pathway Analysis'!$C960),'EE Measures'!$EA$8:$EA$86)</f>
        <v>144.74493391291912</v>
      </c>
      <c r="R960" s="622" cm="1">
        <f t="array" ref="R960">SUMPRODUCT('EE Measures'!DG$8:DG$86,'EE Measures'!$IK$8:$IK$86,--('EE Measures'!$B$8:$B$86='Pathway Analysis'!$C960),'EE Measures'!$EA$8:$EA$86)</f>
        <v>168.40723620051887</v>
      </c>
      <c r="S960" s="622" cm="1">
        <f t="array" ref="S960">SUMPRODUCT('EE Measures'!DH$8:DH$86,'EE Measures'!$IK$8:$IK$86,--('EE Measures'!$B$8:$B$86='Pathway Analysis'!$C960),'EE Measures'!$EA$8:$EA$86)</f>
        <v>193.06190964033922</v>
      </c>
      <c r="T960" s="622" cm="1">
        <f t="array" ref="T960">SUMPRODUCT('EE Measures'!DI$8:DI$86,'EE Measures'!$IK$8:$IK$86,--('EE Measures'!$B$8:$B$86='Pathway Analysis'!$C960),'EE Measures'!$EA$8:$EA$86)</f>
        <v>218.7458898326239</v>
      </c>
      <c r="U960" s="622" cm="1">
        <f t="array" ref="U960">SUMPRODUCT('EE Measures'!DJ$8:DJ$86,'EE Measures'!$IK$8:$IK$86,--('EE Measures'!$B$8:$B$86='Pathway Analysis'!$C960),'EE Measures'!$EA$8:$EA$86)</f>
        <v>245.43349773128921</v>
      </c>
      <c r="V960" s="898">
        <f t="shared" si="2782"/>
        <v>425.23464339578999</v>
      </c>
    </row>
    <row r="961" spans="3:22" hidden="1" outlineLevel="1" x14ac:dyDescent="0.3">
      <c r="C961" s="587" t="s">
        <v>53</v>
      </c>
      <c r="D961" s="56" t="str">
        <f t="shared" si="2781"/>
        <v>CEER1</v>
      </c>
      <c r="E961" s="632" t="s">
        <v>469</v>
      </c>
      <c r="F961" s="584"/>
      <c r="G961" s="623">
        <f>SUMPRODUCT('EE Measures'!CV$8:CV$86,'EE Measures'!$IK$8:$IK$86,'EE Measures'!$AO$8:$AO$86,'EE Measures'!$EA$8:$EA$86,'EE Measures'!$Q$8:$Q$86)</f>
        <v>0.77271453974391213</v>
      </c>
      <c r="H961" s="623">
        <f>SUMPRODUCT('EE Measures'!CW$8:CW$86,'EE Measures'!$IK$8:$IK$86,'EE Measures'!$AO$8:$AO$86,'EE Measures'!$EA$8:$EA$86,'EE Measures'!$Q$8:$Q$86)</f>
        <v>2.5669611312484504</v>
      </c>
      <c r="I961" s="623">
        <f>SUMPRODUCT('EE Measures'!CX$8:CX$86,'EE Measures'!$IK$8:$IK$86,'EE Measures'!$AO$8:$AO$86,'EE Measures'!$EA$8:$EA$86,'EE Measures'!$Q$8:$Q$86)</f>
        <v>3.8969878535446947</v>
      </c>
      <c r="J961" s="623">
        <f>SUMPRODUCT('EE Measures'!CY$8:CY$86,'EE Measures'!$IK$8:$IK$86,'EE Measures'!$AO$8:$AO$86,'EE Measures'!$EA$8:$EA$86,'EE Measures'!$Q$8:$Q$86)</f>
        <v>6.4370079207362201</v>
      </c>
      <c r="K961" s="623">
        <f>SUMPRODUCT('EE Measures'!CZ$8:CZ$86,'EE Measures'!$IK$8:$IK$86,'EE Measures'!$AO$8:$AO$86,'EE Measures'!$EA$8:$EA$86,'EE Measures'!$Q$8:$Q$86)</f>
        <v>25.451238829023776</v>
      </c>
      <c r="L961" s="623">
        <f>SUMPRODUCT('EE Measures'!DA$8:DA$86,'EE Measures'!$IK$8:$IK$86,'EE Measures'!$AO$8:$AO$86,'EE Measures'!$EA$8:$EA$86,'EE Measures'!$Q$8:$Q$86)</f>
        <v>34.577573540348297</v>
      </c>
      <c r="M961" s="623">
        <f>SUMPRODUCT('EE Measures'!DB$8:DB$86,'EE Measures'!$IK$8:$IK$86,'EE Measures'!$AO$8:$AO$86,'EE Measures'!$EA$8:$EA$86,'EE Measures'!$Q$8:$Q$86)</f>
        <v>44.018997841319703</v>
      </c>
      <c r="N961" s="623">
        <f>SUMPRODUCT('EE Measures'!DC$8:DC$86,'EE Measures'!$IK$8:$IK$86,'EE Measures'!$AO$8:$AO$86,'EE Measures'!$EA$8:$EA$86,'EE Measures'!$Q$8:$Q$86)</f>
        <v>53.791384419209486</v>
      </c>
      <c r="O961" s="623">
        <f>SUMPRODUCT('EE Measures'!DD$8:DD$86,'EE Measures'!$IK$8:$IK$86,'EE Measures'!$AO$8:$AO$86,'EE Measures'!$EA$8:$EA$86,'EE Measures'!$Q$8:$Q$86)</f>
        <v>63.911032439055404</v>
      </c>
      <c r="P961" s="623">
        <f>SUMPRODUCT('EE Measures'!DE$8:DE$86,'EE Measures'!$IK$8:$IK$86,'EE Measures'!$AO$8:$AO$86,'EE Measures'!$EA$8:$EA$86,'EE Measures'!$Q$8:$Q$86)</f>
        <v>74.394687219726848</v>
      </c>
      <c r="Q961" s="623">
        <f>SUMPRODUCT('EE Measures'!DF$8:DF$86,'EE Measures'!$IK$8:$IK$86,'EE Measures'!$AO$8:$AO$86,'EE Measures'!$EA$8:$EA$86,'EE Measures'!$Q$8:$Q$86)</f>
        <v>80.248069193221212</v>
      </c>
      <c r="R961" s="623">
        <f>SUMPRODUCT('EE Measures'!DG$8:DG$86,'EE Measures'!$IK$8:$IK$86,'EE Measures'!$AO$8:$AO$86,'EE Measures'!$EA$8:$EA$86,'EE Measures'!$Q$8:$Q$86)</f>
        <v>86.312268432153402</v>
      </c>
      <c r="S961" s="623">
        <f>SUMPRODUCT('EE Measures'!DH$8:DH$86,'EE Measures'!$IK$8:$IK$86,'EE Measures'!$AO$8:$AO$86,'EE Measures'!$EA$8:$EA$86,'EE Measures'!$Q$8:$Q$86)</f>
        <v>92.596153772937342</v>
      </c>
      <c r="T961" s="623">
        <f>SUMPRODUCT('EE Measures'!DI$8:DI$86,'EE Measures'!$IK$8:$IK$86,'EE Measures'!$AO$8:$AO$86,'EE Measures'!$EA$8:$EA$86,'EE Measures'!$Q$8:$Q$86)</f>
        <v>99.108936886538203</v>
      </c>
      <c r="U961" s="623">
        <f>SUMPRODUCT('EE Measures'!DJ$8:DJ$86,'EE Measures'!$IK$8:$IK$86,'EE Measures'!$AO$8:$AO$86,'EE Measures'!$EA$8:$EA$86,'EE Measures'!$Q$8:$Q$86)</f>
        <v>105.8601848854959</v>
      </c>
      <c r="V961" s="898">
        <f t="shared" si="2782"/>
        <v>309.81858573395681</v>
      </c>
    </row>
    <row r="962" spans="3:22" hidden="1" outlineLevel="1" x14ac:dyDescent="0.3">
      <c r="C962" s="587" t="s">
        <v>470</v>
      </c>
      <c r="D962" s="56" t="str">
        <f t="shared" si="2781"/>
        <v>CEER1</v>
      </c>
      <c r="E962" s="632" t="s">
        <v>471</v>
      </c>
      <c r="F962" s="584"/>
      <c r="G962" s="622" cm="1">
        <f t="array" ref="G962">SUMPRODUCT('EE Measures'!CV$8:CV$86,'EE Measures'!$IK$8:$IK$86,--('EE Measures'!$B$8:$B$86='Pathway Analysis'!$C962),'EE Measures'!$EA$8:$EA$86,'EE Measures'!$O$8:$O$86)</f>
        <v>1.7549566635196614</v>
      </c>
      <c r="H962" s="622" cm="1">
        <f t="array" ref="H962">SUMPRODUCT('EE Measures'!CW$8:CW$86,'EE Measures'!$IK$8:$IK$86,--('EE Measures'!$B$8:$B$86='Pathway Analysis'!$C962),'EE Measures'!$EA$8:$EA$86,'EE Measures'!$O$8:$O$86)</f>
        <v>2.3984624170201299</v>
      </c>
      <c r="I962" s="622" cm="1">
        <f t="array" ref="I962">SUMPRODUCT('EE Measures'!CX$8:CX$86,'EE Measures'!$IK$8:$IK$86,--('EE Measures'!$B$8:$B$86='Pathway Analysis'!$C962),'EE Measures'!$EA$8:$EA$86,'EE Measures'!$O$8:$O$86)</f>
        <v>3.0723007804453051</v>
      </c>
      <c r="J962" s="622" cm="1">
        <f t="array" ref="J962">SUMPRODUCT('EE Measures'!CY$8:CY$86,'EE Measures'!$IK$8:$IK$86,--('EE Measures'!$B$8:$B$86='Pathway Analysis'!$C962),'EE Measures'!$EA$8:$EA$86,'EE Measures'!$O$8:$O$86)</f>
        <v>6.035082819034888</v>
      </c>
      <c r="K962" s="622" cm="1">
        <f t="array" ref="K962">SUMPRODUCT('EE Measures'!CZ$8:CZ$86,'EE Measures'!$IK$8:$IK$86,--('EE Measures'!$B$8:$B$86='Pathway Analysis'!$C962),'EE Measures'!$EA$8:$EA$86,'EE Measures'!$O$8:$O$86)</f>
        <v>8.1804451021157849</v>
      </c>
      <c r="L962" s="622" cm="1">
        <f t="array" ref="L962">SUMPRODUCT('EE Measures'!DA$8:DA$86,'EE Measures'!$IK$8:$IK$86,--('EE Measures'!$B$8:$B$86='Pathway Analysis'!$C962),'EE Measures'!$EA$8:$EA$86,'EE Measures'!$O$8:$O$86)</f>
        <v>9.077699225337188</v>
      </c>
      <c r="M962" s="622" cm="1">
        <f t="array" ref="M962">SUMPRODUCT('EE Measures'!DB$8:DB$86,'EE Measures'!$IK$8:$IK$86,--('EE Measures'!$B$8:$B$86='Pathway Analysis'!$C962),'EE Measures'!$EA$8:$EA$86,'EE Measures'!$O$8:$O$86)</f>
        <v>10.010921627152918</v>
      </c>
      <c r="N962" s="622" cm="1">
        <f t="array" ref="N962">SUMPRODUCT('EE Measures'!DC$8:DC$86,'EE Measures'!$IK$8:$IK$86,--('EE Measures'!$B$8:$B$86='Pathway Analysis'!$C962),'EE Measures'!$EA$8:$EA$86,'EE Measures'!$O$8:$O$86)</f>
        <v>10.981793709939705</v>
      </c>
      <c r="O962" s="622" cm="1">
        <f t="array" ref="O962">SUMPRODUCT('EE Measures'!DD$8:DD$86,'EE Measures'!$IK$8:$IK$86,--('EE Measures'!$B$8:$B$86='Pathway Analysis'!$C962),'EE Measures'!$EA$8:$EA$86,'EE Measures'!$O$8:$O$86)</f>
        <v>11.991998886803431</v>
      </c>
      <c r="P962" s="622" cm="1">
        <f t="array" ref="P962">SUMPRODUCT('EE Measures'!DE$8:DE$86,'EE Measures'!$IK$8:$IK$86,--('EE Measures'!$B$8:$B$86='Pathway Analysis'!$C962),'EE Measures'!$EA$8:$EA$86,'EE Measures'!$O$8:$O$86)</f>
        <v>13.043295788580794</v>
      </c>
      <c r="Q962" s="622" cm="1">
        <f t="array" ref="Q962">SUMPRODUCT('EE Measures'!DF$8:DF$86,'EE Measures'!$IK$8:$IK$86,--('EE Measures'!$B$8:$B$86='Pathway Analysis'!$C962),'EE Measures'!$EA$8:$EA$86,'EE Measures'!$O$8:$O$86)</f>
        <v>14.137238234648224</v>
      </c>
      <c r="R962" s="622" cm="1">
        <f t="array" ref="R962">SUMPRODUCT('EE Measures'!DG$8:DG$86,'EE Measures'!$IK$8:$IK$86,--('EE Measures'!$B$8:$B$86='Pathway Analysis'!$C962),'EE Measures'!$EA$8:$EA$86,'EE Measures'!$O$8:$O$86)</f>
        <v>15.276005235176923</v>
      </c>
      <c r="S962" s="622" cm="1">
        <f t="array" ref="S962">SUMPRODUCT('EE Measures'!DH$8:DH$86,'EE Measures'!$IK$8:$IK$86,--('EE Measures'!$B$8:$B$86='Pathway Analysis'!$C962),'EE Measures'!$EA$8:$EA$86,'EE Measures'!$O$8:$O$86)</f>
        <v>16.461603563372165</v>
      </c>
      <c r="T962" s="622" cm="1">
        <f t="array" ref="T962">SUMPRODUCT('EE Measures'!DI$8:DI$86,'EE Measures'!$IK$8:$IK$86,--('EE Measures'!$B$8:$B$86='Pathway Analysis'!$C962),'EE Measures'!$EA$8:$EA$86,'EE Measures'!$O$8:$O$86)</f>
        <v>17.696129088411894</v>
      </c>
      <c r="U962" s="622" cm="1">
        <f t="array" ref="U962">SUMPRODUCT('EE Measures'!DJ$8:DJ$86,'EE Measures'!$IK$8:$IK$86,--('EE Measures'!$B$8:$B$86='Pathway Analysis'!$C962),'EE Measures'!$EA$8:$EA$86,'EE Measures'!$O$8:$O$86)</f>
        <v>18.981770609237717</v>
      </c>
      <c r="V962" s="898">
        <f t="shared" si="2782"/>
        <v>76.546957019949801</v>
      </c>
    </row>
    <row r="963" spans="3:22" hidden="1" outlineLevel="1" x14ac:dyDescent="0.3">
      <c r="D963" s="56" t="str">
        <f t="shared" si="2781"/>
        <v>CEER1</v>
      </c>
      <c r="E963" s="631" t="s">
        <v>472</v>
      </c>
      <c r="F963" s="584"/>
      <c r="G963" s="566">
        <f t="shared" ref="G963" si="2789">(G950*1000)/G731</f>
        <v>13650.276863222667</v>
      </c>
      <c r="H963" s="566">
        <f t="shared" ref="H963:P963" si="2790">(H950*1000)/H731</f>
        <v>15545.248173118927</v>
      </c>
      <c r="I963" s="566">
        <f t="shared" si="2790"/>
        <v>16301.715458498958</v>
      </c>
      <c r="J963" s="566">
        <f t="shared" si="2790"/>
        <v>17341.639850400552</v>
      </c>
      <c r="K963" s="566">
        <f t="shared" si="2790"/>
        <v>17289.22981588656</v>
      </c>
      <c r="L963" s="566">
        <f t="shared" si="2790"/>
        <v>18080.839120186723</v>
      </c>
      <c r="M963" s="566">
        <f t="shared" si="2790"/>
        <v>18910.255704782485</v>
      </c>
      <c r="N963" s="566">
        <f t="shared" si="2790"/>
        <v>20426.623751640735</v>
      </c>
      <c r="O963" s="566">
        <f t="shared" si="2790"/>
        <v>21647.61501698229</v>
      </c>
      <c r="P963" s="566">
        <f t="shared" si="2790"/>
        <v>22922.659305281108</v>
      </c>
      <c r="Q963" s="566">
        <f t="shared" ref="Q963:U963" si="2791">(Q950*1000)/Q731</f>
        <v>24107.080274784246</v>
      </c>
      <c r="R963" s="566">
        <f t="shared" si="2791"/>
        <v>25452.271748033883</v>
      </c>
      <c r="S963" s="566">
        <f t="shared" si="2791"/>
        <v>26854.12210580321</v>
      </c>
      <c r="T963" s="566">
        <f t="shared" si="2791"/>
        <v>28308.01176681546</v>
      </c>
      <c r="U963" s="566">
        <f t="shared" si="2791"/>
        <v>29803.347814279095</v>
      </c>
    </row>
    <row r="964" spans="3:22" hidden="1" outlineLevel="1" x14ac:dyDescent="0.3">
      <c r="D964" s="56" t="str">
        <f>E964</f>
        <v>CEER2</v>
      </c>
      <c r="E964" s="628" t="s">
        <v>40</v>
      </c>
      <c r="F964" s="872">
        <f>SUM(G964:P964)/SUM($G$878:$P$878)-1</f>
        <v>4.8053358351587416E-2</v>
      </c>
      <c r="G964" s="617">
        <f>G$878+G965</f>
        <v>8914.9848367785835</v>
      </c>
      <c r="H964" s="617">
        <f>H$878+H965</f>
        <v>10565.322179912757</v>
      </c>
      <c r="I964" s="617">
        <f t="shared" ref="I964" si="2792">I$878+I965</f>
        <v>11099.801173280146</v>
      </c>
      <c r="J964" s="617">
        <f t="shared" ref="J964" si="2793">J$878+J965</f>
        <v>11857.246660870724</v>
      </c>
      <c r="K964" s="617">
        <f t="shared" ref="K964" si="2794">K$878+K965</f>
        <v>12806.310192142038</v>
      </c>
      <c r="L964" s="617">
        <f t="shared" ref="L964" si="2795">L$878+L965</f>
        <v>13193.618445240309</v>
      </c>
      <c r="M964" s="617">
        <f t="shared" ref="M964" si="2796">M$878+M965</f>
        <v>13684.866637385498</v>
      </c>
      <c r="N964" s="617">
        <f t="shared" ref="N964" si="2797">N$878+N965</f>
        <v>14445.061732390783</v>
      </c>
      <c r="O964" s="617">
        <f t="shared" ref="O964" si="2798">O$878+O965</f>
        <v>15271.252791277717</v>
      </c>
      <c r="P964" s="617">
        <f t="shared" ref="P964:U964" si="2799">P$878+P965</f>
        <v>16116.230900125785</v>
      </c>
      <c r="Q964" s="617">
        <f t="shared" si="2799"/>
        <v>16962.211396763134</v>
      </c>
      <c r="R964" s="617">
        <f t="shared" si="2799"/>
        <v>17863.340498118669</v>
      </c>
      <c r="S964" s="617">
        <f t="shared" si="2799"/>
        <v>18800.734284752845</v>
      </c>
      <c r="T964" s="617">
        <f t="shared" si="2799"/>
        <v>19762.468977255998</v>
      </c>
      <c r="U964" s="617">
        <f t="shared" si="2799"/>
        <v>20723.347620501456</v>
      </c>
      <c r="V964" s="898">
        <f>SUM(G965:P965)</f>
        <v>5866.7364490626824</v>
      </c>
    </row>
    <row r="965" spans="3:22" hidden="1" outlineLevel="1" x14ac:dyDescent="0.3">
      <c r="D965" s="56" t="str">
        <f>D964</f>
        <v>CEER2</v>
      </c>
      <c r="E965" s="629" t="s">
        <v>467</v>
      </c>
      <c r="F965" s="584"/>
      <c r="G965" s="618">
        <f>SUM(G966:G967,G972:G973)+G971</f>
        <v>247.16712677858482</v>
      </c>
      <c r="H965" s="618">
        <f>SUM(H966:H967,H972:H973)+H971</f>
        <v>161.44780568116843</v>
      </c>
      <c r="I965" s="618">
        <f t="shared" ref="I965:P965" si="2800">SUM(I966:I967,I972:I973)+I971</f>
        <v>117.76639444939475</v>
      </c>
      <c r="J965" s="618">
        <f t="shared" si="2800"/>
        <v>357.24520780662175</v>
      </c>
      <c r="K965" s="618">
        <f t="shared" si="2800"/>
        <v>823.10219605103737</v>
      </c>
      <c r="L965" s="618">
        <f t="shared" si="2800"/>
        <v>728.81656650582465</v>
      </c>
      <c r="M965" s="618">
        <f t="shared" si="2800"/>
        <v>737.76496136632272</v>
      </c>
      <c r="N965" s="618">
        <f t="shared" si="2800"/>
        <v>795.45710596205095</v>
      </c>
      <c r="O965" s="618">
        <f t="shared" si="2800"/>
        <v>898.88623372625284</v>
      </c>
      <c r="P965" s="618">
        <f t="shared" si="2800"/>
        <v>999.08285073542447</v>
      </c>
      <c r="Q965" s="618">
        <f t="shared" ref="Q965:U965" si="2801">SUM(Q966:Q967,Q972:Q973)+Q971</f>
        <v>1064.1712099724605</v>
      </c>
      <c r="R965" s="618">
        <f t="shared" si="2801"/>
        <v>1153.1902775139188</v>
      </c>
      <c r="S965" s="618">
        <f t="shared" si="2801"/>
        <v>1245.9062384019026</v>
      </c>
      <c r="T965" s="618">
        <f t="shared" si="2801"/>
        <v>1342.4648114190757</v>
      </c>
      <c r="U965" s="618">
        <f t="shared" si="2801"/>
        <v>1442.9060513854095</v>
      </c>
    </row>
    <row r="966" spans="3:22" hidden="1" outlineLevel="1" x14ac:dyDescent="0.3">
      <c r="C966" s="587" t="s">
        <v>51</v>
      </c>
      <c r="D966" s="56" t="str">
        <f t="shared" ref="D966:D977" si="2802">D965</f>
        <v>CEER2</v>
      </c>
      <c r="E966" s="630" t="s">
        <v>205</v>
      </c>
      <c r="F966" s="874">
        <f>SUM(G966:P966)</f>
        <v>-6313.6005257626666</v>
      </c>
      <c r="G966" s="593" cm="1">
        <f t="array" ref="G966">-SUMPRODUCT('EE Measures'!BZ$8:BZ$86,'EE Measures'!$IL$8:$IL$86,--('EE Measures'!$B$8:$B$86='Pathway Analysis'!$C966),'EE Measures'!$CR$8:$CR$86)</f>
        <v>-30.814851901214958</v>
      </c>
      <c r="H966" s="593" cm="1">
        <f t="array" ref="H966">-SUMPRODUCT('EE Measures'!CA$8:CA$86,'EE Measures'!$IL$8:$IL$86,--('EE Measures'!$B$8:$B$86='Pathway Analysis'!$C966),'EE Measures'!$CR$8:$CR$86)</f>
        <v>-39.011514036496656</v>
      </c>
      <c r="I966" s="593" cm="1">
        <f t="array" ref="I966">-SUMPRODUCT('EE Measures'!CB$8:CB$86,'EE Measures'!$IL$8:$IL$86,--('EE Measures'!$B$8:$B$86='Pathway Analysis'!$C966),'EE Measures'!$CR$8:$CR$86)</f>
        <v>-49.313634062288372</v>
      </c>
      <c r="J966" s="593" cm="1">
        <f t="array" ref="J966">-SUMPRODUCT('EE Measures'!CC$8:CC$86,'EE Measures'!$IL$8:$IL$86,--('EE Measures'!$B$8:$B$86='Pathway Analysis'!$C966),'EE Measures'!$CR$8:$CR$86)</f>
        <v>0</v>
      </c>
      <c r="K966" s="593" cm="1">
        <f t="array" ref="K966">-SUMPRODUCT('EE Measures'!CD$8:CD$86,'EE Measures'!$IL$8:$IL$86,--('EE Measures'!$B$8:$B$86='Pathway Analysis'!$C966),'EE Measures'!$CR$8:$CR$86)</f>
        <v>-981.98188682487228</v>
      </c>
      <c r="L966" s="593" cm="1">
        <f t="array" ref="L966">-SUMPRODUCT('EE Measures'!CE$8:CE$86,'EE Measures'!$IL$8:$IL$86,--('EE Measures'!$B$8:$B$86='Pathway Analysis'!$C966),'EE Measures'!$CR$8:$CR$86)</f>
        <v>-1001.6215245613698</v>
      </c>
      <c r="M966" s="593" cm="1">
        <f t="array" ref="M966">-SUMPRODUCT('EE Measures'!CF$8:CF$86,'EE Measures'!$IL$8:$IL$86,--('EE Measures'!$B$8:$B$86='Pathway Analysis'!$C966),'EE Measures'!$CR$8:$CR$86)</f>
        <v>-1021.6539550525971</v>
      </c>
      <c r="N966" s="593" cm="1">
        <f t="array" ref="N966">-SUMPRODUCT('EE Measures'!CG$8:CG$86,'EE Measures'!$IL$8:$IL$86,--('EE Measures'!$B$8:$B$86='Pathway Analysis'!$C966),'EE Measures'!$CR$8:$CR$86)</f>
        <v>-1042.087034153649</v>
      </c>
      <c r="O966" s="593" cm="1">
        <f t="array" ref="O966">-SUMPRODUCT('EE Measures'!CH$8:CH$86,'EE Measures'!$IL$8:$IL$86,--('EE Measures'!$B$8:$B$86='Pathway Analysis'!$C966),'EE Measures'!$CR$8:$CR$86)</f>
        <v>-1062.9287748367221</v>
      </c>
      <c r="P966" s="593" cm="1">
        <f t="array" ref="P966">-SUMPRODUCT('EE Measures'!CI$8:CI$86,'EE Measures'!$IL$8:$IL$86,--('EE Measures'!$B$8:$B$86='Pathway Analysis'!$C966),'EE Measures'!$CR$8:$CR$86)</f>
        <v>-1084.1873503334566</v>
      </c>
      <c r="Q966" s="593" cm="1">
        <f t="array" ref="Q966">-SUMPRODUCT('EE Measures'!CJ$8:CJ$86,'EE Measures'!$IL$8:$IL$86,--('EE Measures'!$B$8:$B$86='Pathway Analysis'!$C966),'EE Measures'!$CR$8:$CR$86)</f>
        <v>-1105.8710973401257</v>
      </c>
      <c r="R966" s="593" cm="1">
        <f t="array" ref="R966">-SUMPRODUCT('EE Measures'!CK$8:CK$86,'EE Measures'!$IL$8:$IL$86,--('EE Measures'!$B$8:$B$86='Pathway Analysis'!$C966),'EE Measures'!$CR$8:$CR$86)</f>
        <v>-1127.9885192869283</v>
      </c>
      <c r="S966" s="593" cm="1">
        <f t="array" ref="S966">-SUMPRODUCT('EE Measures'!CL$8:CL$86,'EE Measures'!$IL$8:$IL$86,--('EE Measures'!$B$8:$B$86='Pathway Analysis'!$C966),'EE Measures'!$CR$8:$CR$86)</f>
        <v>-1150.5482896726669</v>
      </c>
      <c r="T966" s="593" cm="1">
        <f t="array" ref="T966">-SUMPRODUCT('EE Measures'!CM$8:CM$86,'EE Measures'!$IL$8:$IL$86,--('EE Measures'!$B$8:$B$86='Pathway Analysis'!$C966),'EE Measures'!$CR$8:$CR$86)</f>
        <v>-1173.5592554661202</v>
      </c>
      <c r="U966" s="593" cm="1">
        <f t="array" ref="U966">-SUMPRODUCT('EE Measures'!CN$8:CN$86,'EE Measures'!$IL$8:$IL$86,--('EE Measures'!$B$8:$B$86='Pathway Analysis'!$C966),'EE Measures'!$CR$8:$CR$86)</f>
        <v>-1197.0304405754425</v>
      </c>
      <c r="V966" s="898">
        <f t="shared" ref="V966:V976" si="2803">SUM(G966:P966)</f>
        <v>-6313.6005257626666</v>
      </c>
    </row>
    <row r="967" spans="3:22" hidden="1" outlineLevel="1" x14ac:dyDescent="0.3">
      <c r="C967" s="587" t="s">
        <v>53</v>
      </c>
      <c r="D967" s="56" t="str">
        <f t="shared" si="2802"/>
        <v>CEER2</v>
      </c>
      <c r="E967" s="630" t="s">
        <v>206</v>
      </c>
      <c r="F967" s="874">
        <f>SUM(G967:P967)</f>
        <v>-39.418319309920939</v>
      </c>
      <c r="G967" s="593" cm="1">
        <f t="array" ref="G967">-SUMPRODUCT('EE Measures'!BZ$8:BZ$86,'EE Measures'!$IL$8:$IL$86,--('EE Measures'!$B$8:$B$86=$C967),'EE Measures'!$CR$8:$CR$86,'EE Measures'!$AO$8:$AO$86)</f>
        <v>0</v>
      </c>
      <c r="H967" s="593" cm="1">
        <f t="array" ref="H967">-SUMPRODUCT('EE Measures'!CA$8:CA$86,'EE Measures'!$IL$8:$IL$86,--('EE Measures'!$B$8:$B$86=$C967),'EE Measures'!$CR$8:$CR$86,'EE Measures'!$AO$8:$AO$86)</f>
        <v>0</v>
      </c>
      <c r="I967" s="593" cm="1">
        <f t="array" ref="I967">-SUMPRODUCT('EE Measures'!CB$8:CB$86,'EE Measures'!$IL$8:$IL$86,--('EE Measures'!$B$8:$B$86=$C967),'EE Measures'!$CR$8:$CR$86,'EE Measures'!$AO$8:$AO$86)</f>
        <v>0</v>
      </c>
      <c r="J967" s="593" cm="1">
        <f t="array" ref="J967">-SUMPRODUCT('EE Measures'!CC$8:CC$86,'EE Measures'!$IL$8:$IL$86,--('EE Measures'!$B$8:$B$86=$C967),'EE Measures'!$CR$8:$CR$86,'EE Measures'!$AO$8:$AO$86)</f>
        <v>0</v>
      </c>
      <c r="K967" s="593" cm="1">
        <f t="array" ref="K967">-SUMPRODUCT('EE Measures'!CD$8:CD$86,'EE Measures'!$IL$8:$IL$86,--('EE Measures'!$B$8:$B$86=$C967),'EE Measures'!$CR$8:$CR$86,'EE Measures'!$AO$8:$AO$86)</f>
        <v>-6.5697198849868235</v>
      </c>
      <c r="L967" s="593" cm="1">
        <f t="array" ref="L967">-SUMPRODUCT('EE Measures'!CE$8:CE$86,'EE Measures'!$IL$8:$IL$86,--('EE Measures'!$B$8:$B$86=$C967),'EE Measures'!$CR$8:$CR$86,'EE Measures'!$AO$8:$AO$86)</f>
        <v>-6.5697198849868235</v>
      </c>
      <c r="M967" s="593" cm="1">
        <f t="array" ref="M967">-SUMPRODUCT('EE Measures'!CF$8:CF$86,'EE Measures'!$IL$8:$IL$86,--('EE Measures'!$B$8:$B$86=$C967),'EE Measures'!$CR$8:$CR$86,'EE Measures'!$AO$8:$AO$86)</f>
        <v>-6.5697198849868235</v>
      </c>
      <c r="N967" s="593" cm="1">
        <f t="array" ref="N967">-SUMPRODUCT('EE Measures'!CG$8:CG$86,'EE Measures'!$IL$8:$IL$86,--('EE Measures'!$B$8:$B$86=$C967),'EE Measures'!$CR$8:$CR$86,'EE Measures'!$AO$8:$AO$86)</f>
        <v>-6.5697198849868235</v>
      </c>
      <c r="O967" s="593" cm="1">
        <f t="array" ref="O967">-SUMPRODUCT('EE Measures'!CH$8:CH$86,'EE Measures'!$IL$8:$IL$86,--('EE Measures'!$B$8:$B$86=$C967),'EE Measures'!$CR$8:$CR$86,'EE Measures'!$AO$8:$AO$86)</f>
        <v>-6.5697198849868235</v>
      </c>
      <c r="P967" s="593" cm="1">
        <f t="array" ref="P967">-SUMPRODUCT('EE Measures'!CI$8:CI$86,'EE Measures'!$IL$8:$IL$86,--('EE Measures'!$B$8:$B$86=$C967),'EE Measures'!$CR$8:$CR$86,'EE Measures'!$AO$8:$AO$86)</f>
        <v>-6.5697198849868235</v>
      </c>
      <c r="Q967" s="593" cm="1">
        <f t="array" ref="Q967">-SUMPRODUCT('EE Measures'!CJ$8:CJ$86,'EE Measures'!$IL$8:$IL$86,--('EE Measures'!$B$8:$B$86=$C967),'EE Measures'!$CR$8:$CR$86,'EE Measures'!$AO$8:$AO$86)</f>
        <v>-6.5697198849868235</v>
      </c>
      <c r="R967" s="593" cm="1">
        <f t="array" ref="R967">-SUMPRODUCT('EE Measures'!CK$8:CK$86,'EE Measures'!$IL$8:$IL$86,--('EE Measures'!$B$8:$B$86=$C967),'EE Measures'!$CR$8:$CR$86,'EE Measures'!$AO$8:$AO$86)</f>
        <v>-6.5697198849868235</v>
      </c>
      <c r="S967" s="593" cm="1">
        <f t="array" ref="S967">-SUMPRODUCT('EE Measures'!CL$8:CL$86,'EE Measures'!$IL$8:$IL$86,--('EE Measures'!$B$8:$B$86=$C967),'EE Measures'!$CR$8:$CR$86,'EE Measures'!$AO$8:$AO$86)</f>
        <v>-6.5697198849868235</v>
      </c>
      <c r="T967" s="593" cm="1">
        <f t="array" ref="T967">-SUMPRODUCT('EE Measures'!CM$8:CM$86,'EE Measures'!$IL$8:$IL$86,--('EE Measures'!$B$8:$B$86=$C967),'EE Measures'!$CR$8:$CR$86,'EE Measures'!$AO$8:$AO$86)</f>
        <v>-6.5697198849868235</v>
      </c>
      <c r="U967" s="593" cm="1">
        <f t="array" ref="U967">-SUMPRODUCT('EE Measures'!CN$8:CN$86,'EE Measures'!$IL$8:$IL$86,--('EE Measures'!$B$8:$B$86=$C967),'EE Measures'!$CR$8:$CR$86,'EE Measures'!$AO$8:$AO$86)</f>
        <v>-6.5697198849868235</v>
      </c>
      <c r="V967" s="898">
        <f t="shared" si="2803"/>
        <v>-39.418319309920939</v>
      </c>
    </row>
    <row r="968" spans="3:22" hidden="1" outlineLevel="1" x14ac:dyDescent="0.3">
      <c r="D968" s="56" t="str">
        <f t="shared" si="2802"/>
        <v>CEER2</v>
      </c>
      <c r="E968" s="630" t="s">
        <v>207</v>
      </c>
      <c r="F968" s="874">
        <f>SUM(G968:P968)</f>
        <v>-2100.4790281258238</v>
      </c>
      <c r="G968" s="593">
        <f>SUM(G969:G971)</f>
        <v>-6.0172515650332716</v>
      </c>
      <c r="H968" s="593">
        <f>SUM(H969:H971)</f>
        <v>-10.649730401005812</v>
      </c>
      <c r="I968" s="593">
        <f t="shared" ref="I968:P968" si="2804">SUM(I969:I971)</f>
        <v>-16.111006803419109</v>
      </c>
      <c r="J968" s="593">
        <f t="shared" si="2804"/>
        <v>-24.127779275902284</v>
      </c>
      <c r="K968" s="593">
        <f t="shared" si="2804"/>
        <v>-320.67784937761888</v>
      </c>
      <c r="L968" s="593">
        <f t="shared" si="2804"/>
        <v>-328.34849577792937</v>
      </c>
      <c r="M968" s="593">
        <f t="shared" si="2804"/>
        <v>-336.24014001907926</v>
      </c>
      <c r="N968" s="593">
        <f t="shared" si="2804"/>
        <v>-344.353524530914</v>
      </c>
      <c r="O968" s="593">
        <f t="shared" si="2804"/>
        <v>-352.69163566627435</v>
      </c>
      <c r="P968" s="593">
        <f t="shared" si="2804"/>
        <v>-361.26161470864741</v>
      </c>
      <c r="Q968" s="593">
        <f t="shared" ref="Q968:U968" si="2805">SUM(Q969:Q971)</f>
        <v>-370.07085977058466</v>
      </c>
      <c r="R968" s="593">
        <f t="shared" si="2805"/>
        <v>-379.12703588878554</v>
      </c>
      <c r="S968" s="593">
        <f t="shared" si="2805"/>
        <v>-388.43808554288273</v>
      </c>
      <c r="T968" s="593">
        <f t="shared" si="2805"/>
        <v>-398.01223961640318</v>
      </c>
      <c r="U968" s="593">
        <f t="shared" si="2805"/>
        <v>-407.85802881920227</v>
      </c>
      <c r="V968" s="898">
        <f t="shared" si="2803"/>
        <v>-2100.4790281258238</v>
      </c>
    </row>
    <row r="969" spans="3:22" hidden="1" outlineLevel="1" x14ac:dyDescent="0.3">
      <c r="C969" s="587" t="s">
        <v>51</v>
      </c>
      <c r="D969" s="56" t="str">
        <f t="shared" si="2802"/>
        <v>CEER2</v>
      </c>
      <c r="E969" s="632" t="s">
        <v>468</v>
      </c>
      <c r="F969" s="584"/>
      <c r="G969" s="619" cm="1">
        <f t="array" ref="G969">-SUMPRODUCT('EE Measures'!EE$8:EE$86,'EE Measures'!$IL$8:$IL$86,--('EE Measures'!$B$8:$B$86='Pathway Analysis'!$C969),'EE Measures'!$CR$8:$CR$86)</f>
        <v>-6.0172515650332716</v>
      </c>
      <c r="H969" s="619" cm="1">
        <f t="array" ref="H969">-SUMPRODUCT('EE Measures'!EF$8:EF$86,'EE Measures'!$IL$8:$IL$86,--('EE Measures'!$B$8:$B$86='Pathway Analysis'!$C969),'EE Measures'!$CR$8:$CR$86)</f>
        <v>-7.9382106950073572</v>
      </c>
      <c r="I969" s="619" cm="1">
        <f t="array" ref="I969">-SUMPRODUCT('EE Measures'!EG$8:EG$86,'EE Measures'!$IL$8:$IL$86,--('EE Measures'!$B$8:$B$86='Pathway Analysis'!$C969),'EE Measures'!$CR$8:$CR$86)</f>
        <v>-10.588217739959365</v>
      </c>
      <c r="J969" s="619" cm="1">
        <f t="array" ref="J969">-SUMPRODUCT('EE Measures'!EH$8:EH$86,'EE Measures'!$IL$8:$IL$86,--('EE Measures'!$B$8:$B$86='Pathway Analysis'!$C969),'EE Measures'!$CR$8:$CR$86)</f>
        <v>0</v>
      </c>
      <c r="K969" s="619" cm="1">
        <f t="array" ref="K969">-SUMPRODUCT('EE Measures'!EI$8:EI$86,'EE Measures'!$IL$8:$IL$86,--('EE Measures'!$B$8:$B$86='Pathway Analysis'!$C969),'EE Measures'!$CR$8:$CR$86)</f>
        <v>-284.56453189721555</v>
      </c>
      <c r="L969" s="619" cm="1">
        <f t="array" ref="L969">-SUMPRODUCT('EE Measures'!EJ$8:EJ$86,'EE Measures'!$IL$8:$IL$86,--('EE Measures'!$B$8:$B$86='Pathway Analysis'!$C969),'EE Measures'!$CR$8:$CR$86)</f>
        <v>-288.91582253515986</v>
      </c>
      <c r="M969" s="619" cm="1">
        <f t="array" ref="M969">-SUMPRODUCT('EE Measures'!EK$8:EK$86,'EE Measures'!$IL$8:$IL$86,--('EE Measures'!$B$8:$B$86='Pathway Analysis'!$C969),'EE Measures'!$CR$8:$CR$86)</f>
        <v>-293.35413898586307</v>
      </c>
      <c r="N969" s="619" cm="1">
        <f t="array" ref="N969">-SUMPRODUCT('EE Measures'!EL$8:EL$86,'EE Measures'!$IL$8:$IL$86,--('EE Measures'!$B$8:$B$86='Pathway Analysis'!$C969),'EE Measures'!$CR$8:$CR$86)</f>
        <v>-297.88122176558028</v>
      </c>
      <c r="O969" s="619" cm="1">
        <f t="array" ref="O969">-SUMPRODUCT('EE Measures'!EM$8:EM$86,'EE Measures'!$IL$8:$IL$86,--('EE Measures'!$B$8:$B$86='Pathway Analysis'!$C969),'EE Measures'!$CR$8:$CR$86)</f>
        <v>-302.49884620089193</v>
      </c>
      <c r="P969" s="619" cm="1">
        <f t="array" ref="P969">-SUMPRODUCT('EE Measures'!EN$8:EN$86,'EE Measures'!$IL$8:$IL$86,--('EE Measures'!$B$8:$B$86='Pathway Analysis'!$C969),'EE Measures'!$CR$8:$CR$86)</f>
        <v>-307.20882312490977</v>
      </c>
      <c r="Q969" s="619" cm="1">
        <f t="array" ref="Q969">-SUMPRODUCT('EE Measures'!EO$8:EO$86,'EE Measures'!$IL$8:$IL$86,--('EE Measures'!$B$8:$B$86='Pathway Analysis'!$C969),'EE Measures'!$CR$8:$CR$86)</f>
        <v>-312.01299958740788</v>
      </c>
      <c r="R969" s="619" cm="1">
        <f t="array" ref="R969">-SUMPRODUCT('EE Measures'!EP$8:EP$86,'EE Measures'!$IL$8:$IL$86,--('EE Measures'!$B$8:$B$86='Pathway Analysis'!$C969),'EE Measures'!$CR$8:$CR$86)</f>
        <v>-316.91325957915609</v>
      </c>
      <c r="S969" s="619" cm="1">
        <f t="array" ref="S969">-SUMPRODUCT('EE Measures'!EQ$8:EQ$86,'EE Measures'!$IL$8:$IL$86,--('EE Measures'!$B$8:$B$86='Pathway Analysis'!$C969),'EE Measures'!$CR$8:$CR$86)</f>
        <v>-321.91152477073922</v>
      </c>
      <c r="T969" s="619" cm="1">
        <f t="array" ref="T969">-SUMPRODUCT('EE Measures'!ER$8:ER$86,'EE Measures'!$IL$8:$IL$86,--('EE Measures'!$B$8:$B$86='Pathway Analysis'!$C969),'EE Measures'!$CR$8:$CR$86)</f>
        <v>-327.009755266154</v>
      </c>
      <c r="U969" s="619" cm="1">
        <f t="array" ref="U969">-SUMPRODUCT('EE Measures'!ES$8:ES$86,'EE Measures'!$IL$8:$IL$86,--('EE Measures'!$B$8:$B$86='Pathway Analysis'!$C969),'EE Measures'!$CR$8:$CR$86)</f>
        <v>-332.20995037147713</v>
      </c>
      <c r="V969" s="898">
        <f t="shared" si="2803"/>
        <v>-1798.9670645096203</v>
      </c>
    </row>
    <row r="970" spans="3:22" hidden="1" outlineLevel="1" x14ac:dyDescent="0.3">
      <c r="D970" s="56" t="str">
        <f t="shared" si="2802"/>
        <v>CEER2</v>
      </c>
      <c r="E970" s="632" t="s">
        <v>469</v>
      </c>
      <c r="F970" s="584"/>
      <c r="G970" s="620">
        <f>-SUMPRODUCT('EE Measures'!EE$8:EE$86,'EE Measures'!$IL$8:$IL$86,'EE Measures'!$AO$8:$AO$86,'EE Measures'!$CR$8:$CR$86,'EE Measures'!$Q$8:$Q$86)</f>
        <v>0</v>
      </c>
      <c r="H970" s="620">
        <f>-SUMPRODUCT('EE Measures'!EF$8:EF$86,'EE Measures'!$IL$8:$IL$86,'EE Measures'!$AO$8:$AO$86,'EE Measures'!$CR$8:$CR$86,'EE Measures'!$Q$8:$Q$86)</f>
        <v>-1.3601031238834424E-2</v>
      </c>
      <c r="I970" s="620">
        <f>-SUMPRODUCT('EE Measures'!EG$8:EG$86,'EE Measures'!$IL$8:$IL$86,'EE Measures'!$AO$8:$AO$86,'EE Measures'!$CR$8:$CR$86,'EE Measures'!$Q$8:$Q$86)</f>
        <v>-2.8022770906001616E-2</v>
      </c>
      <c r="J970" s="620">
        <f>-SUMPRODUCT('EE Measures'!EH$8:EH$86,'EE Measures'!$IL$8:$IL$86,'EE Measures'!$AO$8:$AO$86,'EE Measures'!$CR$8:$CR$86,'EE Measures'!$Q$8:$Q$86)</f>
        <v>-5.579300303866356</v>
      </c>
      <c r="K970" s="620">
        <f>-SUMPRODUCT('EE Measures'!EI$8:EI$86,'EE Measures'!$IL$8:$IL$86,'EE Measures'!$AO$8:$AO$86,'EE Measures'!$CR$8:$CR$86,'EE Measures'!$Q$8:$Q$86)</f>
        <v>-9.047870589780624</v>
      </c>
      <c r="L970" s="620">
        <f>-SUMPRODUCT('EE Measures'!EJ$8:EJ$86,'EE Measures'!$IL$8:$IL$86,'EE Measures'!$AO$8:$AO$86,'EE Measures'!$CR$8:$CR$86,'EE Measures'!$Q$8:$Q$86)</f>
        <v>-9.1212512377437314</v>
      </c>
      <c r="M970" s="620">
        <f>-SUMPRODUCT('EE Measures'!EK$8:EK$86,'EE Measures'!$IL$8:$IL$86,'EE Measures'!$AO$8:$AO$86,'EE Measures'!$CR$8:$CR$86,'EE Measures'!$Q$8:$Q$86)</f>
        <v>-9.1980508813543995</v>
      </c>
      <c r="N970" s="620">
        <f>-SUMPRODUCT('EE Measures'!EL$8:EL$86,'EE Measures'!$IL$8:$IL$86,'EE Measures'!$AO$8:$AO$86,'EE Measures'!$CR$8:$CR$86,'EE Measures'!$Q$8:$Q$86)</f>
        <v>-9.2811409368319122</v>
      </c>
      <c r="O970" s="620">
        <f>-SUMPRODUCT('EE Measures'!EM$8:EM$86,'EE Measures'!$IL$8:$IL$86,'EE Measures'!$AO$8:$AO$86,'EE Measures'!$CR$8:$CR$86,'EE Measures'!$Q$8:$Q$86)</f>
        <v>-9.3672467392154246</v>
      </c>
      <c r="P970" s="620">
        <f>-SUMPRODUCT('EE Measures'!EN$8:EN$86,'EE Measures'!$IL$8:$IL$86,'EE Measures'!$AO$8:$AO$86,'EE Measures'!$CR$8:$CR$86,'EE Measures'!$Q$8:$Q$86)</f>
        <v>-9.4564148953115019</v>
      </c>
      <c r="Q970" s="620">
        <f>-SUMPRODUCT('EE Measures'!EO$8:EO$86,'EE Measures'!$IL$8:$IL$86,'EE Measures'!$AO$8:$AO$86,'EE Measures'!$CR$8:$CR$86,'EE Measures'!$Q$8:$Q$86)</f>
        <v>-9.5486941266822427</v>
      </c>
      <c r="R970" s="620">
        <f>-SUMPRODUCT('EE Measures'!EP$8:EP$86,'EE Measures'!$IL$8:$IL$86,'EE Measures'!$AO$8:$AO$86,'EE Measures'!$CR$8:$CR$86,'EE Measures'!$Q$8:$Q$86)</f>
        <v>-9.6441353290153558</v>
      </c>
      <c r="S970" s="620">
        <f>-SUMPRODUCT('EE Measures'!EQ$8:EQ$86,'EE Measures'!$IL$8:$IL$86,'EE Measures'!$AO$8:$AO$86,'EE Measures'!$CR$8:$CR$86,'EE Measures'!$Q$8:$Q$86)</f>
        <v>-9.7427916340371485</v>
      </c>
      <c r="T970" s="620">
        <f>-SUMPRODUCT('EE Measures'!ER$8:ER$86,'EE Measures'!$IL$8:$IL$86,'EE Measures'!$AO$8:$AO$86,'EE Measures'!$CR$8:$CR$86,'EE Measures'!$Q$8:$Q$86)</f>
        <v>-9.8447184740609881</v>
      </c>
      <c r="U970" s="620">
        <f>-SUMPRODUCT('EE Measures'!ES$8:ES$86,'EE Measures'!$IL$8:$IL$86,'EE Measures'!$AO$8:$AO$86,'EE Measures'!$CR$8:$CR$86,'EE Measures'!$Q$8:$Q$86)</f>
        <v>-9.9499736492674931</v>
      </c>
      <c r="V970" s="898">
        <f t="shared" si="2803"/>
        <v>-61.092899386248789</v>
      </c>
    </row>
    <row r="971" spans="3:22" hidden="1" outlineLevel="1" x14ac:dyDescent="0.3">
      <c r="C971" s="587" t="s">
        <v>470</v>
      </c>
      <c r="D971" s="56" t="str">
        <f t="shared" si="2802"/>
        <v>CEER2</v>
      </c>
      <c r="E971" s="632" t="s">
        <v>471</v>
      </c>
      <c r="F971" s="584"/>
      <c r="G971" s="619" cm="1">
        <f t="array" ref="G971">-((SUMPRODUCT('EE Measures'!EE$8:EE$86,'EE Measures'!$IL$8:$IL$86,--('EE Measures'!$B$8:$B$86='Pathway Analysis'!$C971),'EE Measures'!$O$8:$O$86)))</f>
        <v>0</v>
      </c>
      <c r="H971" s="619" cm="1">
        <f t="array" ref="H971">-((SUMPRODUCT('EE Measures'!EF$8:EF$86,'EE Measures'!$IL$8:$IL$86,--('EE Measures'!$B$8:$B$86='Pathway Analysis'!$C971),'EE Measures'!$O$8:$O$86)))</f>
        <v>-2.6979186747596207</v>
      </c>
      <c r="I971" s="619" cm="1">
        <f t="array" ref="I971">-((SUMPRODUCT('EE Measures'!EG$8:EG$86,'EE Measures'!$IL$8:$IL$86,--('EE Measures'!$B$8:$B$86='Pathway Analysis'!$C971),'EE Measures'!$O$8:$O$86)))</f>
        <v>-5.4947662925537406</v>
      </c>
      <c r="J971" s="619" cm="1">
        <f t="array" ref="J971">-((SUMPRODUCT('EE Measures'!EH$8:EH$86,'EE Measures'!$IL$8:$IL$86,--('EE Measures'!$B$8:$B$86='Pathway Analysis'!$C971),'EE Measures'!$O$8:$O$86)))</f>
        <v>-18.54847897203593</v>
      </c>
      <c r="K971" s="619" cm="1">
        <f t="array" ref="K971">-((SUMPRODUCT('EE Measures'!EI$8:EI$86,'EE Measures'!$IL$8:$IL$86,--('EE Measures'!$B$8:$B$86='Pathway Analysis'!$C971),'EE Measures'!$O$8:$O$86)))</f>
        <v>-27.065446890622692</v>
      </c>
      <c r="L971" s="619" cm="1">
        <f t="array" ref="L971">-((SUMPRODUCT('EE Measures'!EJ$8:EJ$86,'EE Measures'!$IL$8:$IL$86,--('EE Measures'!$B$8:$B$86='Pathway Analysis'!$C971),'EE Measures'!$O$8:$O$86)))</f>
        <v>-30.311422005025822</v>
      </c>
      <c r="M971" s="619" cm="1">
        <f t="array" ref="M971">-((SUMPRODUCT('EE Measures'!EK$8:EK$86,'EE Measures'!$IL$8:$IL$86,--('EE Measures'!$B$8:$B$86='Pathway Analysis'!$C971),'EE Measures'!$O$8:$O$86)))</f>
        <v>-33.687950151861791</v>
      </c>
      <c r="N971" s="619" cm="1">
        <f t="array" ref="N971">-((SUMPRODUCT('EE Measures'!EL$8:EL$86,'EE Measures'!$IL$8:$IL$86,--('EE Measures'!$B$8:$B$86='Pathway Analysis'!$C971),'EE Measures'!$O$8:$O$86)))</f>
        <v>-37.191161828501841</v>
      </c>
      <c r="O971" s="619" cm="1">
        <f t="array" ref="O971">-((SUMPRODUCT('EE Measures'!EM$8:EM$86,'EE Measures'!$IL$8:$IL$86,--('EE Measures'!$B$8:$B$86='Pathway Analysis'!$C971),'EE Measures'!$O$8:$O$86)))</f>
        <v>-40.825542726166994</v>
      </c>
      <c r="P971" s="619" cm="1">
        <f t="array" ref="P971">-((SUMPRODUCT('EE Measures'!EN$8:EN$86,'EE Measures'!$IL$8:$IL$86,--('EE Measures'!$B$8:$B$86='Pathway Analysis'!$C971),'EE Measures'!$O$8:$O$86)))</f>
        <v>-44.596376688426112</v>
      </c>
      <c r="Q971" s="619" cm="1">
        <f t="array" ref="Q971">-((SUMPRODUCT('EE Measures'!EO$8:EO$86,'EE Measures'!$IL$8:$IL$86,--('EE Measures'!$B$8:$B$86='Pathway Analysis'!$C971),'EE Measures'!$O$8:$O$86)))</f>
        <v>-48.509166056494543</v>
      </c>
      <c r="R971" s="619" cm="1">
        <f t="array" ref="R971">-((SUMPRODUCT('EE Measures'!EP$8:EP$86,'EE Measures'!$IL$8:$IL$86,--('EE Measures'!$B$8:$B$86='Pathway Analysis'!$C971),'EE Measures'!$O$8:$O$86)))</f>
        <v>-52.569640980614132</v>
      </c>
      <c r="S971" s="619" cm="1">
        <f t="array" ref="S971">-((SUMPRODUCT('EE Measures'!EQ$8:EQ$86,'EE Measures'!$IL$8:$IL$86,--('EE Measures'!$B$8:$B$86='Pathway Analysis'!$C971),'EE Measures'!$O$8:$O$86)))</f>
        <v>-56.783769138106365</v>
      </c>
      <c r="T971" s="619" cm="1">
        <f t="array" ref="T971">-((SUMPRODUCT('EE Measures'!ER$8:ER$86,'EE Measures'!$IL$8:$IL$86,--('EE Measures'!$B$8:$B$86='Pathway Analysis'!$C971),'EE Measures'!$O$8:$O$86)))</f>
        <v>-61.157765876188201</v>
      </c>
      <c r="U971" s="619" cm="1">
        <f t="array" ref="U971">-((SUMPRODUCT('EE Measures'!ES$8:ES$86,'EE Measures'!$IL$8:$IL$86,--('EE Measures'!$B$8:$B$86='Pathway Analysis'!$C971),'EE Measures'!$O$8:$O$86)))</f>
        <v>-65.698104798457607</v>
      </c>
      <c r="V971" s="898">
        <f t="shared" si="2803"/>
        <v>-240.41906422995453</v>
      </c>
    </row>
    <row r="972" spans="3:22" hidden="1" outlineLevel="1" x14ac:dyDescent="0.3">
      <c r="D972" s="56" t="str">
        <f t="shared" si="2802"/>
        <v>CEER2</v>
      </c>
      <c r="E972" s="630" t="s">
        <v>208</v>
      </c>
      <c r="F972" s="874">
        <f>SUM(G972:P972)</f>
        <v>11358.221893809057</v>
      </c>
      <c r="G972" s="621">
        <f>G852-G$803</f>
        <v>275.21489363537876</v>
      </c>
      <c r="H972" s="621">
        <f>H852-H$803</f>
        <v>197.64502428062042</v>
      </c>
      <c r="I972" s="621">
        <f t="shared" ref="I972:P972" si="2806">I852-I$803</f>
        <v>164.66990494999118</v>
      </c>
      <c r="J972" s="621">
        <f t="shared" si="2806"/>
        <v>362.33260046581927</v>
      </c>
      <c r="K972" s="621">
        <f t="shared" si="2806"/>
        <v>1768.8880900682998</v>
      </c>
      <c r="L972" s="621">
        <f t="shared" si="2806"/>
        <v>1656.1710409698935</v>
      </c>
      <c r="M972" s="621">
        <f t="shared" si="2806"/>
        <v>1645.5797492941529</v>
      </c>
      <c r="N972" s="621">
        <f t="shared" si="2806"/>
        <v>1682.5760006715464</v>
      </c>
      <c r="O972" s="621">
        <f t="shared" si="2806"/>
        <v>1764.0801329377355</v>
      </c>
      <c r="P972" s="621">
        <f t="shared" si="2806"/>
        <v>1841.0644565356197</v>
      </c>
      <c r="Q972" s="621">
        <f t="shared" ref="Q972:U972" si="2807">Q852-Q$803</f>
        <v>1891.6955458231241</v>
      </c>
      <c r="R972" s="621">
        <f t="shared" si="2807"/>
        <v>1965.2464563179092</v>
      </c>
      <c r="S972" s="621">
        <f t="shared" si="2807"/>
        <v>2041.4389226780586</v>
      </c>
      <c r="T972" s="621">
        <f t="shared" si="2807"/>
        <v>2120.3725844605397</v>
      </c>
      <c r="U972" s="621">
        <f t="shared" si="2807"/>
        <v>2202.1427107453383</v>
      </c>
      <c r="V972" s="898">
        <f t="shared" si="2803"/>
        <v>11358.221893809057</v>
      </c>
    </row>
    <row r="973" spans="3:22" hidden="1" outlineLevel="1" x14ac:dyDescent="0.3">
      <c r="C973" s="587" t="s">
        <v>51</v>
      </c>
      <c r="D973" s="56" t="str">
        <f t="shared" si="2802"/>
        <v>CEER2</v>
      </c>
      <c r="E973" s="630" t="s">
        <v>342</v>
      </c>
      <c r="F973" s="874">
        <f>SUM(G973:P973)</f>
        <v>1101.9524645561678</v>
      </c>
      <c r="G973" s="618">
        <f>SUM(G974:G976)</f>
        <v>2.7670850444209973</v>
      </c>
      <c r="H973" s="618">
        <f>SUM(H974:H976)</f>
        <v>5.5122141118042833</v>
      </c>
      <c r="I973" s="618">
        <f t="shared" ref="I973:P973" si="2808">SUM(I974:I976)</f>
        <v>7.9048898542456829</v>
      </c>
      <c r="J973" s="618">
        <f t="shared" si="2808"/>
        <v>13.461086312838386</v>
      </c>
      <c r="K973" s="618">
        <f t="shared" si="2808"/>
        <v>69.831159583219318</v>
      </c>
      <c r="L973" s="618">
        <f t="shared" si="2808"/>
        <v>111.14819198731364</v>
      </c>
      <c r="M973" s="618">
        <f t="shared" si="2808"/>
        <v>154.0968371616155</v>
      </c>
      <c r="N973" s="618">
        <f t="shared" si="2808"/>
        <v>198.72902115764231</v>
      </c>
      <c r="O973" s="618">
        <f t="shared" si="2808"/>
        <v>245.13013823639338</v>
      </c>
      <c r="P973" s="618">
        <f t="shared" si="2808"/>
        <v>293.37184110667431</v>
      </c>
      <c r="Q973" s="618">
        <f t="shared" ref="Q973:U973" si="2809">SUM(Q974:Q976)</f>
        <v>333.42564743094329</v>
      </c>
      <c r="R973" s="618">
        <f t="shared" si="2809"/>
        <v>375.0717013485388</v>
      </c>
      <c r="S973" s="618">
        <f t="shared" si="2809"/>
        <v>418.36909441960404</v>
      </c>
      <c r="T973" s="618">
        <f t="shared" si="2809"/>
        <v>463.37896818583147</v>
      </c>
      <c r="U973" s="618">
        <f t="shared" si="2809"/>
        <v>510.06160589895808</v>
      </c>
      <c r="V973" s="898">
        <f t="shared" si="2803"/>
        <v>1101.9524645561678</v>
      </c>
    </row>
    <row r="974" spans="3:22" hidden="1" outlineLevel="1" x14ac:dyDescent="0.3">
      <c r="C974" s="587" t="s">
        <v>51</v>
      </c>
      <c r="D974" s="56" t="str">
        <f t="shared" si="2802"/>
        <v>CEER2</v>
      </c>
      <c r="E974" s="632" t="s">
        <v>468</v>
      </c>
      <c r="F974" s="584"/>
      <c r="G974" s="622" cm="1">
        <f t="array" ref="G974">SUMPRODUCT('EE Measures'!CV$8:CV$86,'EE Measures'!$IL$8:$IL$86,--('EE Measures'!$B$8:$B$86='Pathway Analysis'!$C974),'EE Measures'!$EA$8:$EA$86)</f>
        <v>0.23941384115742395</v>
      </c>
      <c r="H974" s="622" cm="1">
        <f t="array" ref="H974">SUMPRODUCT('EE Measures'!CW$8:CW$86,'EE Measures'!$IL$8:$IL$86,--('EE Measures'!$B$8:$B$86='Pathway Analysis'!$C974),'EE Measures'!$EA$8:$EA$86)</f>
        <v>0.54679056353570332</v>
      </c>
      <c r="I974" s="622" cm="1">
        <f t="array" ref="I974">SUMPRODUCT('EE Measures'!CX$8:CX$86,'EE Measures'!$IL$8:$IL$86,--('EE Measures'!$B$8:$B$86='Pathway Analysis'!$C974),'EE Measures'!$EA$8:$EA$86)</f>
        <v>0.93560122025568349</v>
      </c>
      <c r="J974" s="622" cm="1">
        <f t="array" ref="J974">SUMPRODUCT('EE Measures'!CY$8:CY$86,'EE Measures'!$IL$8:$IL$86,--('EE Measures'!$B$8:$B$86='Pathway Analysis'!$C974),'EE Measures'!$EA$8:$EA$86)</f>
        <v>0.98899557306727859</v>
      </c>
      <c r="K974" s="622" cm="1">
        <f t="array" ref="K974">SUMPRODUCT('EE Measures'!CZ$8:CZ$86,'EE Measures'!$IL$8:$IL$86,--('EE Measures'!$B$8:$B$86='Pathway Analysis'!$C974),'EE Measures'!$EA$8:$EA$86)</f>
        <v>29.238373890772728</v>
      </c>
      <c r="L974" s="622" cm="1">
        <f t="array" ref="L974">SUMPRODUCT('EE Measures'!DA$8:DA$86,'EE Measures'!$IL$8:$IL$86,--('EE Measures'!$B$8:$B$86='Pathway Analysis'!$C974),'EE Measures'!$EA$8:$EA$86)</f>
        <v>55.555280766093162</v>
      </c>
      <c r="M974" s="622" cm="1">
        <f t="array" ref="M974">SUMPRODUCT('EE Measures'!DB$8:DB$86,'EE Measures'!$IL$8:$IL$86,--('EE Measures'!$B$8:$B$86='Pathway Analysis'!$C974),'EE Measures'!$EA$8:$EA$86)</f>
        <v>82.9810565417378</v>
      </c>
      <c r="N974" s="622" cm="1">
        <f t="array" ref="N974">SUMPRODUCT('EE Measures'!DC$8:DC$86,'EE Measures'!$IL$8:$IL$86,--('EE Measures'!$B$8:$B$86='Pathway Analysis'!$C974),'EE Measures'!$EA$8:$EA$86)</f>
        <v>111.54129953457968</v>
      </c>
      <c r="O974" s="622" cm="1">
        <f t="array" ref="O974">SUMPRODUCT('EE Measures'!DD$8:DD$86,'EE Measures'!$IL$8:$IL$86,--('EE Measures'!$B$8:$B$86='Pathway Analysis'!$C974),'EE Measures'!$EA$8:$EA$86)</f>
        <v>141.29441349729404</v>
      </c>
      <c r="P974" s="622" cm="1">
        <f t="array" ref="P974">SUMPRODUCT('EE Measures'!DE$8:DE$86,'EE Measures'!$IL$8:$IL$86,--('EE Measures'!$B$8:$B$86='Pathway Analysis'!$C974),'EE Measures'!$EA$8:$EA$86)</f>
        <v>172.28429407913296</v>
      </c>
      <c r="Q974" s="622" cm="1">
        <f t="array" ref="Q974">SUMPRODUCT('EE Measures'!DF$8:DF$86,'EE Measures'!$IL$8:$IL$86,--('EE Measures'!$B$8:$B$86='Pathway Analysis'!$C974),'EE Measures'!$EA$8:$EA$86)</f>
        <v>204.49172513155239</v>
      </c>
      <c r="R974" s="622" cm="1">
        <f t="array" ref="R974">SUMPRODUCT('EE Measures'!DG$8:DG$86,'EE Measures'!$IL$8:$IL$86,--('EE Measures'!$B$8:$B$86='Pathway Analysis'!$C974),'EE Measures'!$EA$8:$EA$86)</f>
        <v>238.00668006607083</v>
      </c>
      <c r="S974" s="622" cm="1">
        <f t="array" ref="S974">SUMPRODUCT('EE Measures'!DH$8:DH$86,'EE Measures'!$IL$8:$IL$86,--('EE Measures'!$B$8:$B$86='Pathway Analysis'!$C974),'EE Measures'!$EA$8:$EA$86)</f>
        <v>272.8763494140477</v>
      </c>
      <c r="T974" s="622" cm="1">
        <f t="array" ref="T974">SUMPRODUCT('EE Measures'!DI$8:DI$86,'EE Measures'!$IL$8:$IL$86,--('EE Measures'!$B$8:$B$86='Pathway Analysis'!$C974),'EE Measures'!$EA$8:$EA$86)</f>
        <v>309.14950640642019</v>
      </c>
      <c r="U974" s="622" cm="1">
        <f t="array" ref="U974">SUMPRODUCT('EE Measures'!DJ$8:DJ$86,'EE Measures'!$IL$8:$IL$86,--('EE Measures'!$B$8:$B$86='Pathway Analysis'!$C974),'EE Measures'!$EA$8:$EA$86)</f>
        <v>346.77358106317433</v>
      </c>
      <c r="V974" s="898">
        <f t="shared" si="2803"/>
        <v>595.60551950762647</v>
      </c>
    </row>
    <row r="975" spans="3:22" hidden="1" outlineLevel="1" x14ac:dyDescent="0.3">
      <c r="C975" s="587" t="s">
        <v>53</v>
      </c>
      <c r="D975" s="56" t="str">
        <f t="shared" si="2802"/>
        <v>CEER2</v>
      </c>
      <c r="E975" s="632" t="s">
        <v>469</v>
      </c>
      <c r="F975" s="584"/>
      <c r="G975" s="623">
        <f>SUMPRODUCT('EE Measures'!CV$8:CV$86,'EE Measures'!$IL$8:$IL$86,'EE Measures'!$AO$8:$AO$86,'EE Measures'!$EA$8:$EA$86,'EE Measures'!$Q$8:$Q$86)</f>
        <v>0.77271453974391213</v>
      </c>
      <c r="H975" s="623">
        <f>SUMPRODUCT('EE Measures'!CW$8:CW$86,'EE Measures'!$IL$8:$IL$86,'EE Measures'!$AO$8:$AO$86,'EE Measures'!$EA$8:$EA$86,'EE Measures'!$Q$8:$Q$86)</f>
        <v>2.5669611312484504</v>
      </c>
      <c r="I975" s="623">
        <f>SUMPRODUCT('EE Measures'!CX$8:CX$86,'EE Measures'!$IL$8:$IL$86,'EE Measures'!$AO$8:$AO$86,'EE Measures'!$EA$8:$EA$86,'EE Measures'!$Q$8:$Q$86)</f>
        <v>3.8969878535446947</v>
      </c>
      <c r="J975" s="623">
        <f>SUMPRODUCT('EE Measures'!CY$8:CY$86,'EE Measures'!$IL$8:$IL$86,'EE Measures'!$AO$8:$AO$86,'EE Measures'!$EA$8:$EA$86,'EE Measures'!$Q$8:$Q$86)</f>
        <v>6.4370079207362201</v>
      </c>
      <c r="K975" s="623">
        <f>SUMPRODUCT('EE Measures'!CZ$8:CZ$86,'EE Measures'!$IL$8:$IL$86,'EE Measures'!$AO$8:$AO$86,'EE Measures'!$EA$8:$EA$86,'EE Measures'!$Q$8:$Q$86)</f>
        <v>32.412340590330807</v>
      </c>
      <c r="L975" s="623">
        <f>SUMPRODUCT('EE Measures'!DA$8:DA$86,'EE Measures'!$IL$8:$IL$86,'EE Measures'!$AO$8:$AO$86,'EE Measures'!$EA$8:$EA$86,'EE Measures'!$Q$8:$Q$86)</f>
        <v>46.515211995883298</v>
      </c>
      <c r="M975" s="623">
        <f>SUMPRODUCT('EE Measures'!DB$8:DB$86,'EE Measures'!$IL$8:$IL$86,'EE Measures'!$AO$8:$AO$86,'EE Measures'!$EA$8:$EA$86,'EE Measures'!$Q$8:$Q$86)</f>
        <v>61.104858992724758</v>
      </c>
      <c r="N975" s="623">
        <f>SUMPRODUCT('EE Measures'!DC$8:DC$86,'EE Measures'!$IL$8:$IL$86,'EE Measures'!$AO$8:$AO$86,'EE Measures'!$EA$8:$EA$86,'EE Measures'!$Q$8:$Q$86)</f>
        <v>76.205927913122935</v>
      </c>
      <c r="O975" s="623">
        <f>SUMPRODUCT('EE Measures'!DD$8:DD$86,'EE Measures'!$IL$8:$IL$86,'EE Measures'!$AO$8:$AO$86,'EE Measures'!$EA$8:$EA$86,'EE Measures'!$Q$8:$Q$86)</f>
        <v>91.84372585229589</v>
      </c>
      <c r="P975" s="623">
        <f>SUMPRODUCT('EE Measures'!DE$8:DE$86,'EE Measures'!$IL$8:$IL$86,'EE Measures'!$AO$8:$AO$86,'EE Measures'!$EA$8:$EA$86,'EE Measures'!$Q$8:$Q$86)</f>
        <v>108.04425123896054</v>
      </c>
      <c r="Q975" s="623">
        <f>SUMPRODUCT('EE Measures'!DF$8:DF$86,'EE Measures'!$IL$8:$IL$86,'EE Measures'!$AO$8:$AO$86,'EE Measures'!$EA$8:$EA$86,'EE Measures'!$Q$8:$Q$86)</f>
        <v>114.79668406474268</v>
      </c>
      <c r="R975" s="623">
        <f>SUMPRODUCT('EE Measures'!DG$8:DG$86,'EE Measures'!$IL$8:$IL$86,'EE Measures'!$AO$8:$AO$86,'EE Measures'!$EA$8:$EA$86,'EE Measures'!$Q$8:$Q$86)</f>
        <v>121.78901604729107</v>
      </c>
      <c r="S975" s="623">
        <f>SUMPRODUCT('EE Measures'!DH$8:DH$86,'EE Measures'!$IL$8:$IL$86,'EE Measures'!$AO$8:$AO$86,'EE Measures'!$EA$8:$EA$86,'EE Measures'!$Q$8:$Q$86)</f>
        <v>129.03114144218418</v>
      </c>
      <c r="T975" s="623">
        <f>SUMPRODUCT('EE Measures'!DI$8:DI$86,'EE Measures'!$IL$8:$IL$86,'EE Measures'!$AO$8:$AO$86,'EE Measures'!$EA$8:$EA$86,'EE Measures'!$Q$8:$Q$86)</f>
        <v>136.53333269099937</v>
      </c>
      <c r="U975" s="623">
        <f>SUMPRODUCT('EE Measures'!DJ$8:DJ$86,'EE Measures'!$IL$8:$IL$86,'EE Measures'!$AO$8:$AO$86,'EE Measures'!$EA$8:$EA$86,'EE Measures'!$Q$8:$Q$86)</f>
        <v>144.30625422654603</v>
      </c>
      <c r="V975" s="898">
        <f t="shared" si="2803"/>
        <v>429.79998802859154</v>
      </c>
    </row>
    <row r="976" spans="3:22" hidden="1" outlineLevel="1" x14ac:dyDescent="0.3">
      <c r="C976" s="587" t="s">
        <v>470</v>
      </c>
      <c r="D976" s="56" t="str">
        <f t="shared" si="2802"/>
        <v>CEER2</v>
      </c>
      <c r="E976" s="632" t="s">
        <v>471</v>
      </c>
      <c r="F976" s="584"/>
      <c r="G976" s="622" cm="1">
        <f t="array" ref="G976">SUMPRODUCT('EE Measures'!CV$8:CV$86,'EE Measures'!$IL$8:$IL$86,--('EE Measures'!$B$8:$B$86='Pathway Analysis'!$C976),'EE Measures'!$EA$8:$EA$86,'EE Measures'!$O$8:$O$86)</f>
        <v>1.7549566635196614</v>
      </c>
      <c r="H976" s="622" cm="1">
        <f t="array" ref="H976">SUMPRODUCT('EE Measures'!CW$8:CW$86,'EE Measures'!$IL$8:$IL$86,--('EE Measures'!$B$8:$B$86='Pathway Analysis'!$C976),'EE Measures'!$EA$8:$EA$86,'EE Measures'!$O$8:$O$86)</f>
        <v>2.3984624170201299</v>
      </c>
      <c r="I976" s="622" cm="1">
        <f t="array" ref="I976">SUMPRODUCT('EE Measures'!CX$8:CX$86,'EE Measures'!$IL$8:$IL$86,--('EE Measures'!$B$8:$B$86='Pathway Analysis'!$C976),'EE Measures'!$EA$8:$EA$86,'EE Measures'!$O$8:$O$86)</f>
        <v>3.0723007804453051</v>
      </c>
      <c r="J976" s="622" cm="1">
        <f t="array" ref="J976">SUMPRODUCT('EE Measures'!CY$8:CY$86,'EE Measures'!$IL$8:$IL$86,--('EE Measures'!$B$8:$B$86='Pathway Analysis'!$C976),'EE Measures'!$EA$8:$EA$86,'EE Measures'!$O$8:$O$86)</f>
        <v>6.035082819034888</v>
      </c>
      <c r="K976" s="622" cm="1">
        <f t="array" ref="K976">SUMPRODUCT('EE Measures'!CZ$8:CZ$86,'EE Measures'!$IL$8:$IL$86,--('EE Measures'!$B$8:$B$86='Pathway Analysis'!$C976),'EE Measures'!$EA$8:$EA$86,'EE Measures'!$O$8:$O$86)</f>
        <v>8.1804451021157849</v>
      </c>
      <c r="L976" s="622" cm="1">
        <f t="array" ref="L976">SUMPRODUCT('EE Measures'!DA$8:DA$86,'EE Measures'!$IL$8:$IL$86,--('EE Measures'!$B$8:$B$86='Pathway Analysis'!$C976),'EE Measures'!$EA$8:$EA$86,'EE Measures'!$O$8:$O$86)</f>
        <v>9.077699225337188</v>
      </c>
      <c r="M976" s="622" cm="1">
        <f t="array" ref="M976">SUMPRODUCT('EE Measures'!DB$8:DB$86,'EE Measures'!$IL$8:$IL$86,--('EE Measures'!$B$8:$B$86='Pathway Analysis'!$C976),'EE Measures'!$EA$8:$EA$86,'EE Measures'!$O$8:$O$86)</f>
        <v>10.010921627152918</v>
      </c>
      <c r="N976" s="622" cm="1">
        <f t="array" ref="N976">SUMPRODUCT('EE Measures'!DC$8:DC$86,'EE Measures'!$IL$8:$IL$86,--('EE Measures'!$B$8:$B$86='Pathway Analysis'!$C976),'EE Measures'!$EA$8:$EA$86,'EE Measures'!$O$8:$O$86)</f>
        <v>10.981793709939705</v>
      </c>
      <c r="O976" s="622" cm="1">
        <f t="array" ref="O976">SUMPRODUCT('EE Measures'!DD$8:DD$86,'EE Measures'!$IL$8:$IL$86,--('EE Measures'!$B$8:$B$86='Pathway Analysis'!$C976),'EE Measures'!$EA$8:$EA$86,'EE Measures'!$O$8:$O$86)</f>
        <v>11.991998886803431</v>
      </c>
      <c r="P976" s="622" cm="1">
        <f t="array" ref="P976">SUMPRODUCT('EE Measures'!DE$8:DE$86,'EE Measures'!$IL$8:$IL$86,--('EE Measures'!$B$8:$B$86='Pathway Analysis'!$C976),'EE Measures'!$EA$8:$EA$86,'EE Measures'!$O$8:$O$86)</f>
        <v>13.043295788580794</v>
      </c>
      <c r="Q976" s="622" cm="1">
        <f t="array" ref="Q976">SUMPRODUCT('EE Measures'!DF$8:DF$86,'EE Measures'!$IL$8:$IL$86,--('EE Measures'!$B$8:$B$86='Pathway Analysis'!$C976),'EE Measures'!$EA$8:$EA$86,'EE Measures'!$O$8:$O$86)</f>
        <v>14.137238234648224</v>
      </c>
      <c r="R976" s="622" cm="1">
        <f t="array" ref="R976">SUMPRODUCT('EE Measures'!DG$8:DG$86,'EE Measures'!$IL$8:$IL$86,--('EE Measures'!$B$8:$B$86='Pathway Analysis'!$C976),'EE Measures'!$EA$8:$EA$86,'EE Measures'!$O$8:$O$86)</f>
        <v>15.276005235176923</v>
      </c>
      <c r="S976" s="622" cm="1">
        <f t="array" ref="S976">SUMPRODUCT('EE Measures'!DH$8:DH$86,'EE Measures'!$IL$8:$IL$86,--('EE Measures'!$B$8:$B$86='Pathway Analysis'!$C976),'EE Measures'!$EA$8:$EA$86,'EE Measures'!$O$8:$O$86)</f>
        <v>16.461603563372165</v>
      </c>
      <c r="T976" s="622" cm="1">
        <f t="array" ref="T976">SUMPRODUCT('EE Measures'!DI$8:DI$86,'EE Measures'!$IL$8:$IL$86,--('EE Measures'!$B$8:$B$86='Pathway Analysis'!$C976),'EE Measures'!$EA$8:$EA$86,'EE Measures'!$O$8:$O$86)</f>
        <v>17.696129088411894</v>
      </c>
      <c r="U976" s="622" cm="1">
        <f t="array" ref="U976">SUMPRODUCT('EE Measures'!DJ$8:DJ$86,'EE Measures'!$IL$8:$IL$86,--('EE Measures'!$B$8:$B$86='Pathway Analysis'!$C976),'EE Measures'!$EA$8:$EA$86,'EE Measures'!$O$8:$O$86)</f>
        <v>18.981770609237717</v>
      </c>
      <c r="V976" s="898">
        <f t="shared" si="2803"/>
        <v>76.546957019949801</v>
      </c>
    </row>
    <row r="977" spans="2:60" hidden="1" outlineLevel="1" x14ac:dyDescent="0.3">
      <c r="D977" s="56" t="str">
        <f t="shared" si="2802"/>
        <v>CEER2</v>
      </c>
      <c r="E977" s="631" t="s">
        <v>472</v>
      </c>
      <c r="F977" s="584"/>
      <c r="G977" s="566">
        <f t="shared" ref="G977" si="2810">(G964*1000)/G739</f>
        <v>13650.276863222667</v>
      </c>
      <c r="H977" s="566">
        <f t="shared" ref="H977:P977" si="2811">(H964*1000)/H739</f>
        <v>15545.248173118927</v>
      </c>
      <c r="I977" s="566">
        <f t="shared" si="2811"/>
        <v>16301.715458498958</v>
      </c>
      <c r="J977" s="566">
        <f t="shared" si="2811"/>
        <v>17341.639850400552</v>
      </c>
      <c r="K977" s="566">
        <f t="shared" si="2811"/>
        <v>17374.788509676349</v>
      </c>
      <c r="L977" s="566">
        <f t="shared" si="2811"/>
        <v>18187.686424372157</v>
      </c>
      <c r="M977" s="566">
        <f t="shared" si="2811"/>
        <v>19039.140602453484</v>
      </c>
      <c r="N977" s="566">
        <f t="shared" si="2811"/>
        <v>20572.96093402828</v>
      </c>
      <c r="O977" s="566">
        <f t="shared" si="2811"/>
        <v>21814.710494402229</v>
      </c>
      <c r="P977" s="566">
        <f t="shared" si="2811"/>
        <v>23110.434279318404</v>
      </c>
      <c r="Q977" s="566">
        <f t="shared" ref="Q977:U977" si="2812">(Q964*1000)/Q739</f>
        <v>24311.455163464463</v>
      </c>
      <c r="R977" s="566">
        <f t="shared" si="2812"/>
        <v>25666.233489055154</v>
      </c>
      <c r="S977" s="566">
        <f t="shared" si="2812"/>
        <v>27077.214655756332</v>
      </c>
      <c r="T977" s="566">
        <f t="shared" si="2812"/>
        <v>28539.925201091814</v>
      </c>
      <c r="U977" s="566">
        <f t="shared" si="2812"/>
        <v>30044.075527693374</v>
      </c>
    </row>
    <row r="978" spans="2:60" x14ac:dyDescent="0.3"/>
    <row r="979" spans="2:60" ht="19.5" collapsed="1" thickBot="1" x14ac:dyDescent="0.35">
      <c r="B979" s="1" t="s">
        <v>473</v>
      </c>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row>
    <row r="980" spans="2:60" customFormat="1" hidden="1" outlineLevel="1" x14ac:dyDescent="0.3"/>
    <row r="981" spans="2:60" ht="15" hidden="1" outlineLevel="1" x14ac:dyDescent="0.3">
      <c r="C981" s="1227" t="s">
        <v>474</v>
      </c>
      <c r="D981" s="1227"/>
      <c r="E981" s="1227"/>
      <c r="F981" s="1227"/>
      <c r="G981" s="1227"/>
      <c r="H981" s="1227"/>
      <c r="I981" s="1227"/>
      <c r="J981" s="1227"/>
      <c r="K981" s="1227"/>
      <c r="L981" s="1227"/>
      <c r="M981" s="1227"/>
      <c r="N981" s="1227"/>
      <c r="O981" s="1227"/>
      <c r="P981" s="1227"/>
      <c r="Q981" s="1227"/>
      <c r="R981" s="1227"/>
      <c r="S981" s="1227"/>
      <c r="T981" s="1227"/>
      <c r="U981" s="1227"/>
      <c r="V981" s="1227"/>
      <c r="W981"/>
      <c r="X981"/>
      <c r="Y981"/>
    </row>
    <row r="982" spans="2:60" hidden="1" outlineLevel="1" x14ac:dyDescent="0.3">
      <c r="C982" s="56"/>
      <c r="D982" s="56"/>
      <c r="E982" s="56" t="s">
        <v>475</v>
      </c>
      <c r="F982" s="56"/>
      <c r="G982" s="56"/>
      <c r="H982" s="56"/>
      <c r="I982" s="56"/>
      <c r="J982" s="56"/>
      <c r="K982" s="56"/>
      <c r="L982" s="56"/>
      <c r="M982" s="56"/>
      <c r="N982" s="56"/>
      <c r="O982" s="56"/>
      <c r="P982" s="56"/>
      <c r="Q982" s="56"/>
      <c r="R982" s="56"/>
      <c r="S982" s="56"/>
      <c r="T982" s="56"/>
      <c r="U982" s="56"/>
      <c r="V982" s="56"/>
      <c r="W982"/>
      <c r="X982"/>
      <c r="Y982"/>
    </row>
    <row r="983" spans="2:60" hidden="1" outlineLevel="1" x14ac:dyDescent="0.3">
      <c r="E983" s="625"/>
      <c r="F983" s="625" t="s">
        <v>476</v>
      </c>
      <c r="G983" s="625">
        <v>2021</v>
      </c>
      <c r="H983" s="625">
        <v>2022</v>
      </c>
      <c r="I983" s="625">
        <v>2023</v>
      </c>
      <c r="J983" s="625">
        <v>2024</v>
      </c>
      <c r="K983" s="625">
        <v>2025</v>
      </c>
      <c r="L983" s="625">
        <v>2026</v>
      </c>
      <c r="M983" s="625">
        <v>2027</v>
      </c>
      <c r="N983" s="625">
        <v>2028</v>
      </c>
      <c r="O983" s="625">
        <v>2029</v>
      </c>
      <c r="P983" s="625">
        <v>2030</v>
      </c>
      <c r="Q983" s="625">
        <v>2031</v>
      </c>
      <c r="R983" s="625">
        <v>2032</v>
      </c>
      <c r="S983" s="625">
        <v>2033</v>
      </c>
      <c r="T983" s="625">
        <v>2034</v>
      </c>
      <c r="U983" s="625">
        <v>2035</v>
      </c>
    </row>
    <row r="984" spans="2:60" hidden="1" outlineLevel="1" x14ac:dyDescent="0.3">
      <c r="E984" s="628" t="s">
        <v>345</v>
      </c>
      <c r="F984" s="1218">
        <f>AVERAGE(H984:P984)</f>
        <v>8.1361602768743602E-2</v>
      </c>
      <c r="G984" s="850">
        <f>((G$11*Assumptions!D$496)/G878)</f>
        <v>9.8655539695314681E-2</v>
      </c>
      <c r="H984" s="850">
        <f>((H$11*Assumptions!E$496)/H878)</f>
        <v>8.4877554525475768E-2</v>
      </c>
      <c r="I984" s="850">
        <f>((I$11*Assumptions!F$496)/I878)</f>
        <v>8.304726539688348E-2</v>
      </c>
      <c r="J984" s="850">
        <f>((J$11*Assumptions!G$496)/J878)</f>
        <v>8.281559464425467E-2</v>
      </c>
      <c r="K984" s="850">
        <f>((K$11*Assumptions!H$496)/K878)</f>
        <v>8.2541306852183416E-2</v>
      </c>
      <c r="L984" s="850">
        <f>((L$11*Assumptions!I$496)/L878)</f>
        <v>8.1956305115581482E-2</v>
      </c>
      <c r="M984" s="850">
        <f>((M$11*Assumptions!J$496)/M878)</f>
        <v>8.1535098372314777E-2</v>
      </c>
      <c r="N984" s="850">
        <f>((N$11*Assumptions!K$496)/N878)</f>
        <v>7.9926374134731679E-2</v>
      </c>
      <c r="O984" s="850">
        <f>((O$11*Assumptions!L$496)/O878)</f>
        <v>7.8454582197528461E-2</v>
      </c>
      <c r="P984" s="850">
        <f>((P$11*Assumptions!M$496)/P878)</f>
        <v>7.7100343679738725E-2</v>
      </c>
      <c r="Q984" s="850">
        <f>((Q$11*Assumptions!N$496)/Q878)</f>
        <v>7.5764441104324093E-2</v>
      </c>
      <c r="R984" s="850">
        <f>((R$11*Assumptions!O$496)/R878)</f>
        <v>7.4499641535204483E-2</v>
      </c>
      <c r="S984" s="850">
        <f>((S$11*Assumptions!P$496)/S878)</f>
        <v>7.3300335663719657E-2</v>
      </c>
      <c r="T984" s="850">
        <f>((T$11*Assumptions!Q$496)/T878)</f>
        <v>7.2214283259682432E-2</v>
      </c>
      <c r="U984" s="850">
        <f>((U$11*Assumptions!R$496)/U878)</f>
        <v>7.1326057346866589E-2</v>
      </c>
    </row>
    <row r="985" spans="2:60" hidden="1" outlineLevel="1" x14ac:dyDescent="0.3">
      <c r="E985" s="628" t="str">
        <f>'EE Measures'!$IF$6</f>
        <v>Baseline</v>
      </c>
      <c r="F985" s="1218">
        <f t="shared" ref="F985:F991" si="2813">AVERAGE(H985:P985)</f>
        <v>7.9751925040030258E-2</v>
      </c>
      <c r="G985" s="850">
        <f>((G$17*Assumptions!D$496)/G880)</f>
        <v>9.749025637603255E-2</v>
      </c>
      <c r="H985" s="850">
        <f>((H$17*Assumptions!E$496)/H880)</f>
        <v>8.4050454574671224E-2</v>
      </c>
      <c r="I985" s="850">
        <f>((I$17*Assumptions!F$496)/I880)</f>
        <v>8.2293834359138673E-2</v>
      </c>
      <c r="J985" s="850">
        <f>((J$17*Assumptions!G$496)/J880)</f>
        <v>8.1496967515123128E-2</v>
      </c>
      <c r="K985" s="850">
        <f>((K$17*Assumptions!H$496)/K880)</f>
        <v>8.0699838209752295E-2</v>
      </c>
      <c r="L985" s="850">
        <f>((L$17*Assumptions!I$496)/L880)</f>
        <v>8.0030665528768044E-2</v>
      </c>
      <c r="M985" s="850">
        <f>((M$17*Assumptions!J$496)/M880)</f>
        <v>7.9544915129257432E-2</v>
      </c>
      <c r="N985" s="850">
        <f>((N$17*Assumptions!K$496)/N880)</f>
        <v>7.8023896660600611E-2</v>
      </c>
      <c r="O985" s="850">
        <f>((O$17*Assumptions!L$496)/O880)</f>
        <v>7.6511399313910475E-2</v>
      </c>
      <c r="P985" s="850">
        <f>((P$17*Assumptions!M$496)/P880)</f>
        <v>7.5115354069050469E-2</v>
      </c>
      <c r="Q985" s="850">
        <f>((Q$17*Assumptions!N$496)/Q880)</f>
        <v>7.3739406100159235E-2</v>
      </c>
      <c r="R985" s="850">
        <f>((R$17*Assumptions!O$496)/R880)</f>
        <v>7.243469054094144E-2</v>
      </c>
      <c r="S985" s="850">
        <f>((S$17*Assumptions!P$496)/S880)</f>
        <v>7.1195655240084435E-2</v>
      </c>
      <c r="T985" s="850">
        <f>((T$17*Assumptions!Q$496)/T880)</f>
        <v>7.0068168476153242E-2</v>
      </c>
      <c r="U985" s="850">
        <f>((U$17*Assumptions!R$496)/U880)</f>
        <v>6.9133352115008651E-2</v>
      </c>
    </row>
    <row r="986" spans="2:60" hidden="1" outlineLevel="1" x14ac:dyDescent="0.3">
      <c r="E986" s="628" t="str">
        <f>'EE Measures'!$IG$6</f>
        <v>EEO</v>
      </c>
      <c r="F986" s="1218">
        <f t="shared" si="2813"/>
        <v>7.6053103442772552E-2</v>
      </c>
      <c r="G986" s="850">
        <f>((G$23*Assumptions!D$496)/G894)</f>
        <v>9.6743307745435728E-2</v>
      </c>
      <c r="H986" s="850">
        <f>((H$23*Assumptions!E$496)/H894)</f>
        <v>8.3713302258396016E-2</v>
      </c>
      <c r="I986" s="850">
        <f>((I$23*Assumptions!F$496)/I894)</f>
        <v>8.2044456861066553E-2</v>
      </c>
      <c r="J986" s="850">
        <f>((J$23*Assumptions!G$496)/J894)</f>
        <v>8.0550962632492257E-2</v>
      </c>
      <c r="K986" s="850">
        <f>((K$23*Assumptions!H$496)/K894)</f>
        <v>7.8411839616602363E-2</v>
      </c>
      <c r="L986" s="850">
        <f>((L$23*Assumptions!I$496)/L894)</f>
        <v>7.6714397934499426E-2</v>
      </c>
      <c r="M986" s="850">
        <f>((M$23*Assumptions!J$496)/M894)</f>
        <v>7.4939716965217604E-2</v>
      </c>
      <c r="N986" s="850">
        <f>((N$23*Assumptions!K$496)/N894)</f>
        <v>7.2096586758210832E-2</v>
      </c>
      <c r="O986" s="850">
        <f>((O$23*Assumptions!L$496)/O894)</f>
        <v>6.9303373274945526E-2</v>
      </c>
      <c r="P986" s="850">
        <f>((P$23*Assumptions!M$496)/P894)</f>
        <v>6.6703294683522305E-2</v>
      </c>
      <c r="Q986" s="850">
        <f>((Q$23*Assumptions!N$496)/Q894)</f>
        <v>6.4225309952168311E-2</v>
      </c>
      <c r="R986" s="850">
        <f>((R$23*Assumptions!O$496)/R894)</f>
        <v>6.1848142535423326E-2</v>
      </c>
      <c r="S986" s="850">
        <f>((S$23*Assumptions!P$496)/S894)</f>
        <v>5.958943356855291E-2</v>
      </c>
      <c r="T986" s="850">
        <f>((T$23*Assumptions!Q$496)/T894)</f>
        <v>5.7480913120981046E-2</v>
      </c>
      <c r="U986" s="850">
        <f>((U$23*Assumptions!R$496)/U894)</f>
        <v>5.5579069938421877E-2</v>
      </c>
    </row>
    <row r="987" spans="2:60" hidden="1" outlineLevel="1" x14ac:dyDescent="0.3">
      <c r="E987" s="628" t="s">
        <v>36</v>
      </c>
      <c r="F987" s="1218">
        <f t="shared" si="2813"/>
        <v>7.5832367247901919E-2</v>
      </c>
      <c r="G987" s="850">
        <f>((G$29*Assumptions!D$496/G908))</f>
        <v>9.6743307745435728E-2</v>
      </c>
      <c r="H987" s="850">
        <f>((H$29*Assumptions!E$496/H908))</f>
        <v>8.3712973926733422E-2</v>
      </c>
      <c r="I987" s="850">
        <f>((I$29*Assumptions!F$496/I908))</f>
        <v>8.2044028279348646E-2</v>
      </c>
      <c r="J987" s="850">
        <f>((J$29*Assumptions!G$496/J908))</f>
        <v>8.0545575437931075E-2</v>
      </c>
      <c r="K987" s="850">
        <f>((K$29*Assumptions!H$496/K908))</f>
        <v>7.7743255803853703E-2</v>
      </c>
      <c r="L987" s="850">
        <f>((L$29*Assumptions!I$496/L908))</f>
        <v>7.61752926247284E-2</v>
      </c>
      <c r="M987" s="850">
        <f>((M$29*Assumptions!J$496/M908))</f>
        <v>7.4532687653073484E-2</v>
      </c>
      <c r="N987" s="850">
        <f>((N$29*Assumptions!K$496/N908))</f>
        <v>7.1833498767292461E-2</v>
      </c>
      <c r="O987" s="850">
        <f>((O$29*Assumptions!L$496/O908))</f>
        <v>6.9177697384782882E-2</v>
      </c>
      <c r="P987" s="850">
        <f>((P$29*Assumptions!M$496/P908))</f>
        <v>6.6726295353373211E-2</v>
      </c>
      <c r="Q987" s="850">
        <f>((Q$29*Assumptions!N$496/Q908))</f>
        <v>6.4424691014898755E-2</v>
      </c>
      <c r="R987" s="850">
        <f>((R$29*Assumptions!O$496/R908))</f>
        <v>6.2225890261163971E-2</v>
      </c>
      <c r="S987" s="850">
        <f>((S$29*Assumptions!P$496/S908))</f>
        <v>6.0147113058707395E-2</v>
      </c>
      <c r="T987" s="850">
        <f>((T$29*Assumptions!Q$496/T908))</f>
        <v>5.8220156662434332E-2</v>
      </c>
      <c r="U987" s="850">
        <f>((U$29*Assumptions!R$496/U908))</f>
        <v>5.6505028459837549E-2</v>
      </c>
    </row>
    <row r="988" spans="2:60" hidden="1" outlineLevel="1" x14ac:dyDescent="0.3">
      <c r="E988" s="628" t="str">
        <f>'EE Measures'!$II$6</f>
        <v>Renowave</v>
      </c>
      <c r="F988" s="1218">
        <f t="shared" si="2813"/>
        <v>7.3263246032060123E-2</v>
      </c>
      <c r="G988" s="850">
        <f>((G$35*Assumptions!D$496/G922))</f>
        <v>9.6743307745435728E-2</v>
      </c>
      <c r="H988" s="850">
        <f>((H$35*Assumptions!E$496/H922))</f>
        <v>8.3712973926733422E-2</v>
      </c>
      <c r="I988" s="850">
        <f>((I$35*Assumptions!F$496/I922))</f>
        <v>8.2044028279348646E-2</v>
      </c>
      <c r="J988" s="850">
        <f>((J$35*Assumptions!G$496/J922))</f>
        <v>8.0645222647612438E-2</v>
      </c>
      <c r="K988" s="850">
        <f>((K$35*Assumptions!H$496/K922))</f>
        <v>7.8052381046382319E-2</v>
      </c>
      <c r="L988" s="850">
        <f>((L$35*Assumptions!I$496/L922))</f>
        <v>7.4674449329166462E-2</v>
      </c>
      <c r="M988" s="850">
        <f>((M$35*Assumptions!J$496/M922))</f>
        <v>7.1297286537139917E-2</v>
      </c>
      <c r="N988" s="850">
        <f>((N$35*Assumptions!K$496/N922))</f>
        <v>6.7005430996397539E-2</v>
      </c>
      <c r="O988" s="850">
        <f>((O$35*Assumptions!L$496/O922))</f>
        <v>6.2883473982284541E-2</v>
      </c>
      <c r="P988" s="850">
        <f>((P$35*Assumptions!M$496/P922))</f>
        <v>5.9053967543475923E-2</v>
      </c>
      <c r="Q988" s="850">
        <f>((Q$35*Assumptions!N$496/Q922))</f>
        <v>5.5441286225135708E-2</v>
      </c>
      <c r="R988" s="850">
        <f>((R$35*Assumptions!O$496/R922))</f>
        <v>5.2017843962150964E-2</v>
      </c>
      <c r="S988" s="850">
        <f>((S$35*Assumptions!P$496/S922))</f>
        <v>4.8790531440053679E-2</v>
      </c>
      <c r="T988" s="850">
        <f>((T$35*Assumptions!Q$496/T922))</f>
        <v>4.5775944402969698E-2</v>
      </c>
      <c r="U988" s="850">
        <f>((U$35*Assumptions!R$496/U922))</f>
        <v>4.3011511212614408E-2</v>
      </c>
    </row>
    <row r="989" spans="2:60" hidden="1" outlineLevel="1" x14ac:dyDescent="0.3">
      <c r="E989" s="628" t="str">
        <f>'EE Measures'!$IJ$6</f>
        <v>EET</v>
      </c>
      <c r="F989" s="1218">
        <f t="shared" si="2813"/>
        <v>7.488551184880464E-2</v>
      </c>
      <c r="G989" s="850">
        <f>((G$41*Assumptions!D$496/G936))</f>
        <v>9.5124096058611537E-2</v>
      </c>
      <c r="H989" s="850">
        <f>((H$41*Assumptions!E$496/H936))</f>
        <v>8.2564884609969399E-2</v>
      </c>
      <c r="I989" s="850">
        <f>((I$41*Assumptions!F$496/I936))</f>
        <v>8.1242507791473198E-2</v>
      </c>
      <c r="J989" s="850">
        <f>((J$41*Assumptions!G$496/J936))</f>
        <v>7.7926295987201993E-2</v>
      </c>
      <c r="K989" s="850">
        <f>((K$41*Assumptions!H$496/K936))</f>
        <v>7.5001388642319061E-2</v>
      </c>
      <c r="L989" s="850">
        <f>((L$41*Assumptions!I$496/L936))</f>
        <v>7.501438152904237E-2</v>
      </c>
      <c r="M989" s="850">
        <f>((M$41*Assumptions!J$496/M936))</f>
        <v>7.4262361290275386E-2</v>
      </c>
      <c r="N989" s="850">
        <f>((N$41*Assumptions!K$496/N936))</f>
        <v>7.1760966163704573E-2</v>
      </c>
      <c r="O989" s="850">
        <f>((O$41*Assumptions!L$496/O936))</f>
        <v>6.9250527083863297E-2</v>
      </c>
      <c r="P989" s="850">
        <f>((P$41*Assumptions!M$496/P936))</f>
        <v>6.6946293541392574E-2</v>
      </c>
      <c r="Q989" s="850">
        <f>((Q$41*Assumptions!N$496/Q936))</f>
        <v>6.4857951113428833E-2</v>
      </c>
      <c r="R989" s="850">
        <f>((R$41*Assumptions!O$496/R936))</f>
        <v>6.2801955448920338E-2</v>
      </c>
      <c r="S989" s="850">
        <f>((S$41*Assumptions!P$496/S936))</f>
        <v>6.0855711308294994E-2</v>
      </c>
      <c r="T989" s="850">
        <f>((T$41*Assumptions!Q$496/T936))</f>
        <v>5.9052247620770756E-2</v>
      </c>
      <c r="U989" s="850">
        <f>((U$41*Assumptions!R$496/U936))</f>
        <v>5.7452975722319909E-2</v>
      </c>
    </row>
    <row r="990" spans="2:60" hidden="1" outlineLevel="1" x14ac:dyDescent="0.3">
      <c r="E990" s="628" t="str">
        <f>'EE Measures'!$IK$6</f>
        <v>CEER1</v>
      </c>
      <c r="F990" s="1218">
        <f t="shared" si="2813"/>
        <v>7.4833078803128145E-2</v>
      </c>
      <c r="G990" s="850">
        <f>((G$47*Assumptions!D$496/G950))</f>
        <v>9.5644102034602704E-2</v>
      </c>
      <c r="H990" s="850">
        <f>((H$47*Assumptions!E$496/H950))</f>
        <v>8.3211803998416586E-2</v>
      </c>
      <c r="I990" s="850">
        <f>((I$47*Assumptions!F$496/I950))</f>
        <v>8.1672149880162359E-2</v>
      </c>
      <c r="J990" s="850">
        <f>((J$47*Assumptions!G$496/J950))</f>
        <v>7.9545808922553932E-2</v>
      </c>
      <c r="K990" s="850">
        <f>((K$47*Assumptions!H$496/K950))</f>
        <v>7.6331925615161736E-2</v>
      </c>
      <c r="L990" s="850">
        <f>((L$47*Assumptions!I$496/L950))</f>
        <v>7.5173733702779286E-2</v>
      </c>
      <c r="M990" s="850">
        <f>((M$47*Assumptions!J$496/M950))</f>
        <v>7.3568089485292018E-2</v>
      </c>
      <c r="N990" s="850">
        <f>((N$47*Assumptions!K$496/N950))</f>
        <v>7.0741085327399783E-2</v>
      </c>
      <c r="O990" s="850">
        <f>((O$47*Assumptions!L$496/O950))</f>
        <v>6.7921006058234437E-2</v>
      </c>
      <c r="P990" s="850">
        <f>((P$47*Assumptions!M$496/P950))</f>
        <v>6.5332106238153081E-2</v>
      </c>
      <c r="Q990" s="850">
        <f>((Q$47*Assumptions!N$496/Q950))</f>
        <v>6.2931740268998199E-2</v>
      </c>
      <c r="R990" s="850">
        <f>((R$47*Assumptions!O$496/R950))</f>
        <v>6.061466330469073E-2</v>
      </c>
      <c r="S990" s="850">
        <f>((S$47*Assumptions!P$496/S950))</f>
        <v>5.8426496875612625E-2</v>
      </c>
      <c r="T990" s="850">
        <f>((T$47*Assumptions!Q$496/T950))</f>
        <v>5.6396763234746863E-2</v>
      </c>
      <c r="U990" s="850">
        <f>((U$47*Assumptions!R$496/U950))</f>
        <v>5.4582479979592764E-2</v>
      </c>
    </row>
    <row r="991" spans="2:60" hidden="1" outlineLevel="1" x14ac:dyDescent="0.3">
      <c r="E991" s="628" t="str">
        <f>'EE Measures'!$IL$6</f>
        <v>CEER2</v>
      </c>
      <c r="F991" s="1218">
        <f t="shared" si="2813"/>
        <v>7.2530564765294139E-2</v>
      </c>
      <c r="G991" s="850">
        <f>((G$53*Assumptions!D$496/G964))</f>
        <v>9.5644102034602704E-2</v>
      </c>
      <c r="H991" s="850">
        <f>((H$53*Assumptions!E$496/H964))</f>
        <v>8.3211803998416586E-2</v>
      </c>
      <c r="I991" s="850">
        <f>((I$53*Assumptions!F$496/I964))</f>
        <v>8.1672149880162359E-2</v>
      </c>
      <c r="J991" s="850">
        <f>((J$53*Assumptions!G$496/J964))</f>
        <v>7.9545808922553932E-2</v>
      </c>
      <c r="K991" s="850">
        <f>((K$53*Assumptions!H$496/K964))</f>
        <v>7.4339884064694203E-2</v>
      </c>
      <c r="L991" s="850">
        <f>((L$53*Assumptions!I$496/L964))</f>
        <v>7.2512122494241257E-2</v>
      </c>
      <c r="M991" s="850">
        <f>((M$53*Assumptions!J$496/M964))</f>
        <v>7.0281088152139765E-2</v>
      </c>
      <c r="N991" s="850">
        <f>((N$53*Assumptions!K$496/N964))</f>
        <v>6.6935721484971025E-2</v>
      </c>
      <c r="O991" s="850">
        <f>((O$53*Assumptions!L$496/O964))</f>
        <v>6.3648514037690021E-2</v>
      </c>
      <c r="P991" s="850">
        <f>((P$53*Assumptions!M$496/P964))</f>
        <v>6.0627989852778119E-2</v>
      </c>
      <c r="Q991" s="850">
        <f>((Q$53*Assumptions!N$496/Q964))</f>
        <v>5.7886504011915758E-2</v>
      </c>
      <c r="R991" s="850">
        <f>((R$53*Assumptions!O$496/R964))</f>
        <v>5.5234506149354143E-2</v>
      </c>
      <c r="S991" s="850">
        <f>((S$53*Assumptions!P$496/S964))</f>
        <v>5.2735517595879515E-2</v>
      </c>
      <c r="T991" s="850">
        <f>((T$53*Assumptions!Q$496/T964))</f>
        <v>5.0412086304451396E-2</v>
      </c>
      <c r="U991" s="850">
        <f>((U$53*Assumptions!R$496/U964))</f>
        <v>4.8311766540814573E-2</v>
      </c>
    </row>
    <row r="992" spans="2:60" x14ac:dyDescent="0.3"/>
    <row r="993" x14ac:dyDescent="0.3"/>
    <row r="994" x14ac:dyDescent="0.3"/>
  </sheetData>
  <mergeCells count="9">
    <mergeCell ref="Z635:AD635"/>
    <mergeCell ref="AE635:AI635"/>
    <mergeCell ref="W637:W638"/>
    <mergeCell ref="W639:W652"/>
    <mergeCell ref="W653:W663"/>
    <mergeCell ref="X639:X644"/>
    <mergeCell ref="X645:X652"/>
    <mergeCell ref="X653:X656"/>
    <mergeCell ref="X657:X66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38DC18-8EFF-4A45-9F99-DC7598340DF1}">
  <sheetPr codeName="Sheet5">
    <tabColor theme="4" tint="0.249977111117893"/>
    <outlinePr summaryRight="0"/>
  </sheetPr>
  <dimension ref="A1:IV291"/>
  <sheetViews>
    <sheetView showGridLines="0" tabSelected="1" topLeftCell="GY4" zoomScale="85" zoomScaleNormal="85" workbookViewId="0">
      <selection activeCell="IE4" sqref="IE1:IN1048576"/>
    </sheetView>
  </sheetViews>
  <sheetFormatPr defaultColWidth="9" defaultRowHeight="13.5" zeroHeight="1" outlineLevelCol="1" x14ac:dyDescent="0.3"/>
  <cols>
    <col min="1" max="1" width="9" style="56"/>
    <col min="2" max="2" width="9.83203125" style="1703" customWidth="1"/>
    <col min="3" max="3" width="19" customWidth="1"/>
    <col min="4" max="4" width="9.1640625" customWidth="1"/>
    <col min="5" max="5" width="55.83203125" style="69" customWidth="1"/>
    <col min="6" max="6" width="4.1640625" style="69" bestFit="1" customWidth="1"/>
    <col min="7" max="7" width="9.83203125" style="69" customWidth="1" outlineLevel="1"/>
    <col min="8" max="8" width="14.6640625" style="1175" customWidth="1" outlineLevel="1"/>
    <col min="9" max="9" width="37.6640625" customWidth="1" outlineLevel="1"/>
    <col min="10" max="10" width="16.1640625" style="69" customWidth="1" outlineLevel="1"/>
    <col min="11" max="11" width="20.6640625" customWidth="1" outlineLevel="1"/>
    <col min="12" max="12" width="28.1640625" style="1153" customWidth="1" outlineLevel="1"/>
    <col min="13" max="13" width="4.1640625" style="1153" bestFit="1" customWidth="1"/>
    <col min="14" max="17" width="5.1640625" customWidth="1" outlineLevel="1"/>
    <col min="18" max="18" width="6.6640625" customWidth="1" outlineLevel="1"/>
    <col min="19" max="20" width="6.1640625" customWidth="1" outlineLevel="1"/>
    <col min="21" max="21" width="4" customWidth="1" outlineLevel="1"/>
    <col min="22" max="22" width="6.6640625" customWidth="1" outlineLevel="1"/>
    <col min="23" max="23" width="6.1640625" customWidth="1" outlineLevel="1"/>
    <col min="24" max="24" width="6.6640625" customWidth="1" outlineLevel="1"/>
    <col min="25" max="25" width="5.1640625" customWidth="1" outlineLevel="1"/>
    <col min="26" max="27" width="4.1640625" customWidth="1" outlineLevel="1"/>
    <col min="28" max="28" width="6.6640625" customWidth="1" outlineLevel="1"/>
    <col min="29" max="29" width="4.1640625" customWidth="1" outlineLevel="1"/>
    <col min="30" max="30" width="6.6640625" customWidth="1" outlineLevel="1"/>
    <col min="31" max="31" width="9.6640625" customWidth="1" outlineLevel="1"/>
    <col min="32" max="32" width="5.1640625" customWidth="1" outlineLevel="1"/>
    <col min="33" max="35" width="6.6640625" customWidth="1" outlineLevel="1"/>
    <col min="36" max="37" width="5.1640625" customWidth="1" outlineLevel="1"/>
    <col min="38" max="39" width="6.6640625" customWidth="1" outlineLevel="1"/>
    <col min="40" max="40" width="5.1640625" customWidth="1" outlineLevel="1"/>
    <col min="41" max="41" width="10.1640625" customWidth="1" outlineLevel="1"/>
    <col min="42" max="42" width="4.1640625" customWidth="1"/>
    <col min="43" max="43" width="22.1640625" customWidth="1" outlineLevel="1" collapsed="1"/>
    <col min="44" max="58" width="6.1640625" customWidth="1" outlineLevel="1"/>
    <col min="59" max="59" width="10.1640625" customWidth="1" outlineLevel="1"/>
    <col min="60" max="74" width="7.1640625" customWidth="1" outlineLevel="1"/>
    <col min="75" max="75" width="4.1640625" bestFit="1" customWidth="1"/>
    <col min="76" max="76" width="11.6640625" customWidth="1" outlineLevel="1" collapsed="1"/>
    <col min="77" max="77" width="9.6640625" customWidth="1" outlineLevel="1"/>
    <col min="78" max="81" width="6.1640625" customWidth="1" outlineLevel="1"/>
    <col min="82" max="92" width="7.1640625" customWidth="1" outlineLevel="1"/>
    <col min="93" max="93" width="9.6640625" customWidth="1" outlineLevel="1"/>
    <col min="94" max="94" width="7.1640625" customWidth="1" outlineLevel="1"/>
    <col min="95" max="95" width="9.1640625" customWidth="1" outlineLevel="1" collapsed="1"/>
    <col min="96" max="96" width="9.1640625" customWidth="1" outlineLevel="1"/>
    <col min="97" max="97" width="20" customWidth="1" outlineLevel="1"/>
    <col min="98" max="98" width="16.6640625" customWidth="1" outlineLevel="1"/>
    <col min="99" max="99" width="4.1640625" bestFit="1" customWidth="1"/>
    <col min="100" max="100" width="4.1640625" customWidth="1" outlineLevel="1" collapsed="1"/>
    <col min="101" max="103" width="4.1640625" customWidth="1" outlineLevel="1"/>
    <col min="104" max="108" width="5" customWidth="1" outlineLevel="1"/>
    <col min="109" max="114" width="6.1640625" customWidth="1" outlineLevel="1"/>
    <col min="115" max="118" width="4.1640625" customWidth="1" outlineLevel="1"/>
    <col min="119" max="123" width="5" customWidth="1" outlineLevel="1"/>
    <col min="124" max="129" width="6.1640625" customWidth="1" outlineLevel="1"/>
    <col min="130" max="130" width="9.1640625" customWidth="1" outlineLevel="1"/>
    <col min="131" max="131" width="10.1640625" customWidth="1" outlineLevel="1"/>
    <col min="132" max="132" width="15.83203125" customWidth="1" outlineLevel="1"/>
    <col min="133" max="133" width="4.1640625" bestFit="1" customWidth="1"/>
    <col min="134" max="134" width="11.1640625" customWidth="1" outlineLevel="1" collapsed="1"/>
    <col min="135" max="149" width="6.1640625" customWidth="1" outlineLevel="1"/>
    <col min="150" max="150" width="9.6640625" customWidth="1" outlineLevel="1"/>
    <col min="151" max="169" width="6.1640625" customWidth="1" outlineLevel="1"/>
    <col min="170" max="180" width="7.1640625" customWidth="1" outlineLevel="1"/>
    <col min="181" max="181" width="4.1640625" bestFit="1" customWidth="1"/>
    <col min="182" max="182" width="6.1640625" customWidth="1" outlineLevel="1" collapsed="1"/>
    <col min="183" max="185" width="6.1640625" customWidth="1" outlineLevel="1"/>
    <col min="186" max="186" width="6.6640625" customWidth="1" outlineLevel="1"/>
    <col min="187" max="196" width="6.1640625" customWidth="1" outlineLevel="1"/>
    <col min="197" max="197" width="4.1640625" customWidth="1"/>
    <col min="198" max="198" width="6.1640625" customWidth="1" outlineLevel="1" collapsed="1"/>
    <col min="199" max="212" width="6.1640625" customWidth="1" outlineLevel="1"/>
    <col min="213" max="213" width="6.1640625" customWidth="1"/>
    <col min="214" max="217" width="8.1640625" customWidth="1" outlineLevel="1"/>
    <col min="218" max="218" width="6.1640625" customWidth="1" outlineLevel="1"/>
    <col min="219" max="228" width="8.1640625" customWidth="1" outlineLevel="1"/>
    <col min="229" max="229" width="15.1640625" customWidth="1" outlineLevel="1"/>
    <col min="230" max="230" width="8.1640625" customWidth="1" outlineLevel="1"/>
    <col min="231" max="231" width="17.1640625" customWidth="1" outlineLevel="1"/>
    <col min="232" max="232" width="4.83203125" customWidth="1"/>
    <col min="233" max="233" width="12" customWidth="1" outlineLevel="1"/>
    <col min="234" max="236" width="10.83203125" customWidth="1" outlineLevel="1"/>
    <col min="237" max="237" width="22.1640625" customWidth="1" outlineLevel="1"/>
    <col min="238" max="238" width="44" style="1213" customWidth="1" outlineLevel="1"/>
    <col min="239" max="239" width="4.83203125" style="1213" bestFit="1" customWidth="1" collapsed="1"/>
    <col min="240" max="240" width="11.1640625" hidden="1" customWidth="1" outlineLevel="1"/>
    <col min="241" max="246" width="11.6640625" hidden="1" customWidth="1" outlineLevel="1"/>
    <col min="247" max="247" width="108" hidden="1" customWidth="1" outlineLevel="1"/>
    <col min="249" max="256" width="9" customWidth="1"/>
  </cols>
  <sheetData>
    <row r="1" spans="2:247" s="1552" customFormat="1" ht="18" x14ac:dyDescent="0.35">
      <c r="B1" s="2077" t="s">
        <v>477</v>
      </c>
      <c r="C1" s="2077"/>
      <c r="D1" s="2077"/>
      <c r="E1" s="2077"/>
      <c r="F1" s="2077"/>
      <c r="G1" s="2077"/>
      <c r="H1" s="2077"/>
      <c r="I1" s="2077"/>
      <c r="J1" s="2077"/>
      <c r="K1" s="2077"/>
      <c r="L1" s="2077"/>
      <c r="M1" s="2077"/>
      <c r="N1" s="2077"/>
    </row>
    <row r="2" spans="2:247" ht="15.95" customHeight="1" x14ac:dyDescent="0.3">
      <c r="E2"/>
      <c r="F2"/>
      <c r="G2"/>
      <c r="H2"/>
      <c r="J2"/>
      <c r="L2"/>
      <c r="M2"/>
      <c r="BH2" s="599"/>
      <c r="BI2" s="599"/>
      <c r="BJ2" s="599"/>
      <c r="BK2" s="599"/>
      <c r="BL2" s="599"/>
      <c r="BM2" s="599"/>
      <c r="BN2" s="599"/>
      <c r="BO2" s="599"/>
      <c r="BP2" s="599"/>
      <c r="BQ2" s="599"/>
      <c r="BR2" s="599"/>
      <c r="BS2" s="599"/>
      <c r="BT2" s="599"/>
      <c r="BU2" s="599"/>
      <c r="BV2" s="599"/>
      <c r="BW2" s="599"/>
      <c r="BX2" s="599"/>
      <c r="BY2" s="599"/>
      <c r="EB2" s="1757" t="s">
        <v>478</v>
      </c>
      <c r="EC2" s="1757"/>
      <c r="ED2" s="552"/>
      <c r="EE2" s="552"/>
      <c r="EF2" s="552"/>
      <c r="EG2" s="552"/>
      <c r="EH2" s="552"/>
      <c r="EI2" s="552"/>
      <c r="EJ2" s="552"/>
      <c r="EK2" s="552"/>
      <c r="EL2" s="552"/>
      <c r="EM2" s="552"/>
      <c r="EN2" s="552"/>
      <c r="EO2" s="552"/>
      <c r="EP2" s="552"/>
      <c r="EQ2" s="552"/>
      <c r="ER2" s="552"/>
      <c r="ES2" s="552"/>
      <c r="ET2" s="552"/>
      <c r="EU2" s="552"/>
      <c r="EV2" s="552"/>
      <c r="EW2" s="552"/>
      <c r="EX2" s="552"/>
      <c r="EY2" s="552"/>
      <c r="EZ2" s="552"/>
      <c r="FA2" s="552"/>
      <c r="FB2" s="552"/>
      <c r="FC2" s="552"/>
      <c r="FD2" s="552"/>
      <c r="FE2" s="552"/>
      <c r="FF2" s="552"/>
      <c r="FG2" s="552"/>
      <c r="FH2" s="552"/>
      <c r="FI2" s="552"/>
      <c r="FJ2" s="552"/>
      <c r="FK2" s="552"/>
      <c r="FL2" s="552"/>
      <c r="FM2" s="552"/>
      <c r="FN2" s="552"/>
      <c r="FO2" s="552"/>
      <c r="FP2" s="552"/>
      <c r="FQ2" s="552"/>
      <c r="FR2" s="552"/>
      <c r="FS2" s="552"/>
      <c r="FT2" s="552"/>
      <c r="FU2" s="552"/>
      <c r="FV2" s="552"/>
      <c r="FW2" s="552"/>
      <c r="FX2" s="552"/>
      <c r="FY2" s="552"/>
      <c r="FZ2" s="552"/>
      <c r="GA2" s="552"/>
      <c r="GB2" s="552"/>
      <c r="GC2" s="552"/>
      <c r="GD2" s="552"/>
      <c r="GE2" s="552"/>
      <c r="GF2" s="552"/>
      <c r="GG2" s="552"/>
      <c r="GH2" s="552"/>
      <c r="GI2" s="552"/>
      <c r="GJ2" s="552"/>
      <c r="GK2" s="552"/>
      <c r="GL2" s="552"/>
      <c r="GM2" s="552"/>
      <c r="GN2" s="552"/>
      <c r="GO2" s="552"/>
      <c r="GP2" s="552"/>
      <c r="GQ2" s="552"/>
      <c r="GR2" s="552"/>
      <c r="GS2" s="552"/>
      <c r="GT2" s="552"/>
      <c r="GU2" s="552"/>
      <c r="GV2" s="552"/>
      <c r="GW2" s="552"/>
      <c r="GX2" s="552"/>
      <c r="GY2" s="552"/>
      <c r="GZ2" s="552"/>
      <c r="HA2" s="552"/>
      <c r="HB2" s="552"/>
      <c r="HC2" s="552"/>
      <c r="HD2" s="552"/>
      <c r="HE2" s="552"/>
      <c r="HF2" s="552"/>
      <c r="HG2" s="552"/>
      <c r="HH2" s="552"/>
      <c r="HI2" s="552"/>
      <c r="HJ2" s="552"/>
      <c r="HK2" s="552"/>
      <c r="HL2" s="552"/>
      <c r="HM2" s="552"/>
      <c r="HN2" s="552"/>
      <c r="HO2" s="552"/>
      <c r="HP2" s="552"/>
      <c r="HQ2" s="552"/>
      <c r="HR2" s="552"/>
      <c r="HS2" s="552"/>
      <c r="HT2" s="552"/>
      <c r="HU2" s="552"/>
      <c r="HV2" s="552"/>
      <c r="HW2" s="552"/>
      <c r="HX2" s="552"/>
      <c r="ID2"/>
      <c r="IE2"/>
    </row>
    <row r="3" spans="2:247" ht="12.95" customHeight="1" x14ac:dyDescent="0.3">
      <c r="E3" s="1970" t="s">
        <v>479</v>
      </c>
      <c r="BH3" s="599"/>
      <c r="BI3" s="599"/>
      <c r="BJ3" s="599"/>
      <c r="BK3" s="599"/>
      <c r="BL3" s="599"/>
      <c r="BM3" s="599"/>
      <c r="BN3" s="599"/>
      <c r="BO3" s="599"/>
      <c r="BP3" s="599"/>
      <c r="BQ3" s="599"/>
      <c r="BR3" s="599"/>
      <c r="BS3" s="599"/>
      <c r="BT3" s="599"/>
      <c r="BU3" s="599"/>
      <c r="BV3" s="599"/>
      <c r="BW3" s="599"/>
      <c r="BX3" s="599"/>
      <c r="BY3" s="599"/>
      <c r="CT3" s="1757" t="s">
        <v>480</v>
      </c>
      <c r="CU3" s="1757"/>
      <c r="EB3" s="1757"/>
      <c r="EC3" s="1757"/>
      <c r="ED3" s="552"/>
      <c r="EE3" s="552"/>
      <c r="EF3" s="552"/>
      <c r="EG3" s="552"/>
      <c r="EH3" s="552"/>
      <c r="EI3" s="552"/>
      <c r="EJ3" s="552"/>
      <c r="EK3" s="552"/>
      <c r="EL3" s="552"/>
      <c r="EM3" s="552"/>
      <c r="EN3" s="552"/>
      <c r="EO3" s="552"/>
      <c r="EP3" s="552"/>
      <c r="EQ3" s="552"/>
      <c r="ER3" s="552"/>
      <c r="ES3" s="552"/>
      <c r="ET3" s="552"/>
      <c r="EU3" s="552"/>
      <c r="EV3" s="552"/>
      <c r="EW3" s="552"/>
      <c r="EX3" s="552"/>
      <c r="EY3" s="552"/>
      <c r="EZ3" s="552"/>
      <c r="FA3" s="552"/>
      <c r="FB3" s="552"/>
      <c r="FC3" s="552"/>
      <c r="FD3" s="552"/>
      <c r="FE3" s="552"/>
      <c r="FF3" s="552"/>
      <c r="FG3" s="552"/>
      <c r="FH3" s="552"/>
      <c r="FI3" s="552"/>
      <c r="FJ3" s="552"/>
      <c r="FK3" s="552"/>
      <c r="FL3" s="552"/>
      <c r="FM3" s="552"/>
      <c r="FN3" s="552"/>
      <c r="FO3" s="552"/>
      <c r="FP3" s="552"/>
      <c r="FQ3" s="552"/>
      <c r="FR3" s="552"/>
      <c r="FS3" s="552"/>
      <c r="FT3" s="552"/>
      <c r="FU3" s="552"/>
      <c r="FV3" s="552"/>
      <c r="FW3" s="552"/>
      <c r="FX3" s="552"/>
      <c r="FY3" s="552"/>
      <c r="FZ3" s="552"/>
      <c r="GA3" s="552"/>
      <c r="GB3" s="552"/>
      <c r="GC3" s="552"/>
      <c r="GD3" s="552"/>
      <c r="GE3" s="552"/>
      <c r="GF3" s="552"/>
      <c r="GG3" s="552"/>
      <c r="GH3" s="552"/>
      <c r="GI3" s="552"/>
      <c r="GJ3" s="552"/>
      <c r="GK3" s="552"/>
      <c r="GL3" s="552"/>
      <c r="GM3" s="552"/>
      <c r="GN3" s="552"/>
      <c r="GO3" s="552"/>
      <c r="GP3" s="552"/>
      <c r="GQ3" s="552"/>
      <c r="GR3" s="552"/>
      <c r="GS3" s="552"/>
      <c r="GT3" s="552"/>
      <c r="GU3" s="552"/>
      <c r="GV3" s="552"/>
      <c r="GW3" s="552"/>
      <c r="GX3" s="552"/>
      <c r="GY3" s="552"/>
      <c r="GZ3" s="552"/>
      <c r="HA3" s="552"/>
      <c r="HB3" s="552"/>
      <c r="HC3" s="552"/>
      <c r="HD3" s="552"/>
      <c r="HE3" s="552"/>
      <c r="HF3" s="552"/>
      <c r="HG3" s="552"/>
      <c r="HH3" s="552"/>
      <c r="HI3" s="552"/>
      <c r="HJ3" s="552"/>
      <c r="HK3" s="552"/>
      <c r="HL3" s="552"/>
      <c r="HM3" s="552"/>
      <c r="HN3" s="552"/>
      <c r="HO3" s="552"/>
      <c r="HP3" s="552"/>
      <c r="HQ3" s="552"/>
      <c r="HR3" s="552"/>
      <c r="HS3" s="552"/>
      <c r="HT3" s="552"/>
      <c r="HU3" s="552"/>
      <c r="HV3" s="552"/>
      <c r="HW3" s="552"/>
      <c r="HX3" s="552"/>
      <c r="ID3"/>
      <c r="IE3"/>
    </row>
    <row r="4" spans="2:247" x14ac:dyDescent="0.3">
      <c r="C4" s="1706"/>
      <c r="D4" s="1706"/>
      <c r="E4" s="1721"/>
      <c r="F4" s="2079" t="s">
        <v>481</v>
      </c>
      <c r="G4" s="2078" t="s">
        <v>482</v>
      </c>
      <c r="H4" s="2078"/>
      <c r="I4" s="2078"/>
      <c r="J4" s="2078"/>
      <c r="K4" s="2078"/>
      <c r="L4" s="2078"/>
      <c r="M4" s="2120" t="s">
        <v>483</v>
      </c>
      <c r="N4" s="2121" t="s">
        <v>483</v>
      </c>
      <c r="O4" s="2121"/>
      <c r="P4" s="2121"/>
      <c r="Q4" s="2121"/>
      <c r="R4" s="2121"/>
      <c r="S4" s="2121"/>
      <c r="T4" s="2121"/>
      <c r="U4" s="2121"/>
      <c r="V4" s="2121"/>
      <c r="W4" s="2121"/>
      <c r="X4" s="2121"/>
      <c r="Y4" s="2121"/>
      <c r="Z4" s="2121"/>
      <c r="AA4" s="2121"/>
      <c r="AB4" s="2121"/>
      <c r="AC4" s="2121"/>
      <c r="AD4" s="2121"/>
      <c r="AE4" s="2121"/>
      <c r="AF4" s="2121"/>
      <c r="AG4" s="2121"/>
      <c r="AH4" s="2121"/>
      <c r="AI4" s="2121"/>
      <c r="AJ4" s="2121"/>
      <c r="AK4" s="2121"/>
      <c r="AL4" s="2121"/>
      <c r="AM4" s="2121"/>
      <c r="AN4" s="2121"/>
      <c r="AO4" s="2121"/>
      <c r="AP4" s="2122" t="s">
        <v>484</v>
      </c>
      <c r="AQ4" s="2087" t="s">
        <v>484</v>
      </c>
      <c r="AR4" s="2087"/>
      <c r="AS4" s="2087"/>
      <c r="AT4" s="2087"/>
      <c r="AU4" s="2087"/>
      <c r="AV4" s="2087"/>
      <c r="AW4" s="2087"/>
      <c r="AX4" s="2087"/>
      <c r="AY4" s="2087"/>
      <c r="AZ4" s="2087"/>
      <c r="BA4" s="2087"/>
      <c r="BB4" s="2087"/>
      <c r="BC4" s="2087"/>
      <c r="BD4" s="2087"/>
      <c r="BE4" s="2087"/>
      <c r="BF4" s="2087"/>
      <c r="BG4" s="2087"/>
      <c r="BH4" s="2087"/>
      <c r="BI4" s="2087"/>
      <c r="BJ4" s="2087"/>
      <c r="BK4" s="2087"/>
      <c r="BL4" s="2087"/>
      <c r="BM4" s="2087"/>
      <c r="BN4" s="2087"/>
      <c r="BO4" s="2087"/>
      <c r="BP4" s="2087"/>
      <c r="BQ4" s="2087"/>
      <c r="BR4" s="2087"/>
      <c r="BS4" s="2087"/>
      <c r="BT4" s="2087"/>
      <c r="BU4" s="2087"/>
      <c r="BV4" s="2087"/>
      <c r="BW4" s="2085" t="s">
        <v>485</v>
      </c>
      <c r="BX4" s="2086" t="s">
        <v>485</v>
      </c>
      <c r="BY4" s="2086"/>
      <c r="BZ4" s="2086"/>
      <c r="CA4" s="2086"/>
      <c r="CB4" s="2086"/>
      <c r="CC4" s="2086"/>
      <c r="CD4" s="2086"/>
      <c r="CE4" s="2086"/>
      <c r="CF4" s="2086"/>
      <c r="CG4" s="2086"/>
      <c r="CH4" s="2086"/>
      <c r="CI4" s="2086"/>
      <c r="CJ4" s="2086"/>
      <c r="CK4" s="2086"/>
      <c r="CL4" s="2086"/>
      <c r="CM4" s="2086"/>
      <c r="CN4" s="2086"/>
      <c r="CO4" s="2086"/>
      <c r="CP4" s="2086"/>
      <c r="CQ4" s="2086"/>
      <c r="CR4" s="2086"/>
      <c r="CS4" s="2086"/>
      <c r="CT4" s="2086"/>
      <c r="CU4" s="2079" t="s">
        <v>486</v>
      </c>
      <c r="CV4" s="2080" t="s">
        <v>486</v>
      </c>
      <c r="CW4" s="2080"/>
      <c r="CX4" s="2080"/>
      <c r="CY4" s="2080"/>
      <c r="CZ4" s="2080"/>
      <c r="DA4" s="2080"/>
      <c r="DB4" s="2080"/>
      <c r="DC4" s="2080"/>
      <c r="DD4" s="2080"/>
      <c r="DE4" s="2080"/>
      <c r="DF4" s="2080"/>
      <c r="DG4" s="2080"/>
      <c r="DH4" s="2080"/>
      <c r="DI4" s="2080"/>
      <c r="DJ4" s="2080"/>
      <c r="DK4" s="2080"/>
      <c r="DL4" s="2080"/>
      <c r="DM4" s="2080"/>
      <c r="DN4" s="2080"/>
      <c r="DO4" s="2080"/>
      <c r="DP4" s="2080"/>
      <c r="DQ4" s="2080"/>
      <c r="DR4" s="2080"/>
      <c r="DS4" s="2080"/>
      <c r="DT4" s="2080"/>
      <c r="DU4" s="2080"/>
      <c r="DV4" s="2080"/>
      <c r="DW4" s="2080"/>
      <c r="DX4" s="2080"/>
      <c r="DY4" s="2080"/>
      <c r="DZ4" s="2080"/>
      <c r="EA4" s="2080"/>
      <c r="EB4" s="2080"/>
      <c r="EC4" s="2081" t="s">
        <v>487</v>
      </c>
      <c r="ED4" s="2071" t="s">
        <v>487</v>
      </c>
      <c r="EE4" s="2071"/>
      <c r="EF4" s="2071"/>
      <c r="EG4" s="2071"/>
      <c r="EH4" s="2071"/>
      <c r="EI4" s="2071"/>
      <c r="EJ4" s="2071"/>
      <c r="EK4" s="2071"/>
      <c r="EL4" s="2071"/>
      <c r="EM4" s="2071"/>
      <c r="EN4" s="2071"/>
      <c r="EO4" s="2071"/>
      <c r="EP4" s="2071"/>
      <c r="EQ4" s="2071"/>
      <c r="ER4" s="2071"/>
      <c r="ES4" s="2071"/>
      <c r="ET4" s="2071"/>
      <c r="EU4" s="2071"/>
      <c r="EV4" s="2071"/>
      <c r="EW4" s="2071"/>
      <c r="EX4" s="2071"/>
      <c r="EY4" s="2071"/>
      <c r="EZ4" s="2071"/>
      <c r="FA4" s="2071"/>
      <c r="FB4" s="2071"/>
      <c r="FC4" s="2071"/>
      <c r="FD4" s="2071"/>
      <c r="FE4" s="2071"/>
      <c r="FF4" s="2071"/>
      <c r="FG4" s="2071"/>
      <c r="FH4" s="2071"/>
      <c r="FI4" s="2071"/>
      <c r="FJ4" s="2071"/>
      <c r="FK4" s="2071"/>
      <c r="FL4" s="2071"/>
      <c r="FM4" s="2071"/>
      <c r="FN4" s="2071"/>
      <c r="FO4" s="2071"/>
      <c r="FP4" s="2071"/>
      <c r="FQ4" s="2071"/>
      <c r="FR4" s="2071"/>
      <c r="FS4" s="2071"/>
      <c r="FT4" s="2071"/>
      <c r="FU4" s="2071"/>
      <c r="FV4" s="2071"/>
      <c r="FW4" s="2071"/>
      <c r="FX4" s="2071"/>
      <c r="FY4" s="2072" t="s">
        <v>488</v>
      </c>
      <c r="FZ4" s="2073" t="s">
        <v>488</v>
      </c>
      <c r="GA4" s="2073"/>
      <c r="GB4" s="2073"/>
      <c r="GC4" s="2073"/>
      <c r="GD4" s="2073"/>
      <c r="GE4" s="2073"/>
      <c r="GF4" s="2073"/>
      <c r="GG4" s="2073"/>
      <c r="GH4" s="2073"/>
      <c r="GI4" s="2073"/>
      <c r="GJ4" s="2073"/>
      <c r="GK4" s="2073"/>
      <c r="GL4" s="2073"/>
      <c r="GM4" s="2073"/>
      <c r="GN4" s="2073"/>
      <c r="GO4" s="2074" t="s">
        <v>489</v>
      </c>
      <c r="GP4" s="2075" t="s">
        <v>489</v>
      </c>
      <c r="GQ4" s="2075"/>
      <c r="GR4" s="2075"/>
      <c r="GS4" s="2075"/>
      <c r="GT4" s="2075"/>
      <c r="GU4" s="2075"/>
      <c r="GV4" s="2075"/>
      <c r="GW4" s="2075"/>
      <c r="GX4" s="2075"/>
      <c r="GY4" s="2075"/>
      <c r="GZ4" s="2075"/>
      <c r="HA4" s="2075"/>
      <c r="HB4" s="2075"/>
      <c r="HC4" s="2075"/>
      <c r="HD4" s="2075"/>
      <c r="HE4" s="2106" t="s">
        <v>410</v>
      </c>
      <c r="HF4" s="1917"/>
      <c r="HG4" s="1917"/>
      <c r="HH4" s="1917"/>
      <c r="HI4" s="1917"/>
      <c r="HJ4" s="1917"/>
      <c r="HK4" s="1917"/>
      <c r="HL4" s="1917"/>
      <c r="HM4" s="1917"/>
      <c r="HN4" s="1917"/>
      <c r="HO4" s="1917"/>
      <c r="HP4" s="1917"/>
      <c r="HQ4" s="1917"/>
      <c r="HR4" s="1917"/>
      <c r="HS4" s="1917"/>
      <c r="HT4" s="1917"/>
      <c r="HU4" s="1917"/>
      <c r="HV4" s="1917"/>
      <c r="HW4" s="1917"/>
      <c r="HX4" s="2108" t="s">
        <v>338</v>
      </c>
      <c r="HY4" s="2109" t="s">
        <v>338</v>
      </c>
      <c r="HZ4" s="2109"/>
      <c r="IA4" s="2109"/>
      <c r="IB4" s="2109"/>
      <c r="IC4" s="2109"/>
      <c r="ID4" s="2109"/>
      <c r="IE4" s="2110" t="s">
        <v>490</v>
      </c>
      <c r="IF4" s="2111" t="s">
        <v>490</v>
      </c>
      <c r="IG4" s="2111"/>
      <c r="IH4" s="2111"/>
      <c r="II4" s="2111"/>
      <c r="IJ4" s="2111"/>
      <c r="IK4" s="2111"/>
      <c r="IL4" s="2111"/>
    </row>
    <row r="5" spans="2:247" ht="36" customHeight="1" x14ac:dyDescent="0.3">
      <c r="C5" s="2119" t="s">
        <v>49</v>
      </c>
      <c r="D5" s="2118" t="s">
        <v>491</v>
      </c>
      <c r="E5" s="2118" t="s">
        <v>492</v>
      </c>
      <c r="F5" s="2079"/>
      <c r="G5" s="2118" t="s">
        <v>493</v>
      </c>
      <c r="H5" s="2118" t="s">
        <v>494</v>
      </c>
      <c r="I5" s="2118" t="s">
        <v>495</v>
      </c>
      <c r="J5" s="2118" t="s">
        <v>496</v>
      </c>
      <c r="K5" s="2118" t="s">
        <v>497</v>
      </c>
      <c r="L5" s="2118" t="s">
        <v>498</v>
      </c>
      <c r="M5" s="2120"/>
      <c r="N5" s="2082" t="s">
        <v>499</v>
      </c>
      <c r="O5" s="2083"/>
      <c r="P5" s="2083"/>
      <c r="Q5" s="2083"/>
      <c r="R5" s="2084"/>
      <c r="S5" s="2082" t="s">
        <v>500</v>
      </c>
      <c r="T5" s="2083"/>
      <c r="U5" s="2083"/>
      <c r="V5" s="2083"/>
      <c r="W5" s="2083"/>
      <c r="X5" s="2084"/>
      <c r="Y5" s="2082" t="s">
        <v>221</v>
      </c>
      <c r="Z5" s="2083"/>
      <c r="AA5" s="2083"/>
      <c r="AB5" s="2083"/>
      <c r="AC5" s="2084"/>
      <c r="AD5" s="2114" t="s">
        <v>501</v>
      </c>
      <c r="AE5" s="2115"/>
      <c r="AF5" s="2115"/>
      <c r="AG5" s="2116"/>
      <c r="AH5" s="2114" t="s">
        <v>502</v>
      </c>
      <c r="AI5" s="2116"/>
      <c r="AJ5" s="2082" t="s">
        <v>503</v>
      </c>
      <c r="AK5" s="2083"/>
      <c r="AL5" s="2083"/>
      <c r="AM5" s="2083"/>
      <c r="AN5" s="2084"/>
      <c r="AO5" s="1713" t="s">
        <v>504</v>
      </c>
      <c r="AP5" s="2122"/>
      <c r="AQ5" s="1715" t="s">
        <v>505</v>
      </c>
      <c r="AR5" s="2089" t="s">
        <v>506</v>
      </c>
      <c r="AS5" s="2090"/>
      <c r="AT5" s="2090"/>
      <c r="AU5" s="2090"/>
      <c r="AV5" s="2090"/>
      <c r="AW5" s="2090"/>
      <c r="AX5" s="2090"/>
      <c r="AY5" s="2090"/>
      <c r="AZ5" s="2090"/>
      <c r="BA5" s="2090"/>
      <c r="BB5" s="2090"/>
      <c r="BC5" s="2090"/>
      <c r="BD5" s="2090"/>
      <c r="BE5" s="2090"/>
      <c r="BF5" s="2090"/>
      <c r="BG5" s="2091"/>
      <c r="BH5" s="2089" t="s">
        <v>507</v>
      </c>
      <c r="BI5" s="2090"/>
      <c r="BJ5" s="2090"/>
      <c r="BK5" s="2090"/>
      <c r="BL5" s="2090"/>
      <c r="BM5" s="2090"/>
      <c r="BN5" s="2090"/>
      <c r="BO5" s="2090"/>
      <c r="BP5" s="2090"/>
      <c r="BQ5" s="2090"/>
      <c r="BR5" s="2090"/>
      <c r="BS5" s="2090"/>
      <c r="BT5" s="2090"/>
      <c r="BU5" s="2090"/>
      <c r="BV5" s="2091"/>
      <c r="BW5" s="2085"/>
      <c r="BX5" s="1758" t="s">
        <v>508</v>
      </c>
      <c r="BY5" s="1758" t="s">
        <v>509</v>
      </c>
      <c r="BZ5" s="2092" t="s">
        <v>510</v>
      </c>
      <c r="CA5" s="2093"/>
      <c r="CB5" s="2093"/>
      <c r="CC5" s="2093"/>
      <c r="CD5" s="2093"/>
      <c r="CE5" s="2093"/>
      <c r="CF5" s="2093"/>
      <c r="CG5" s="2093"/>
      <c r="CH5" s="2093"/>
      <c r="CI5" s="2093"/>
      <c r="CJ5" s="2093"/>
      <c r="CK5" s="2093"/>
      <c r="CL5" s="2093"/>
      <c r="CM5" s="2093"/>
      <c r="CN5" s="2093"/>
      <c r="CO5" s="2093"/>
      <c r="CP5" s="2094"/>
      <c r="CQ5" s="1764" t="s">
        <v>511</v>
      </c>
      <c r="CR5" s="1764" t="s">
        <v>512</v>
      </c>
      <c r="CS5" s="1758" t="s">
        <v>513</v>
      </c>
      <c r="CT5" s="1758" t="s">
        <v>514</v>
      </c>
      <c r="CU5" s="2079"/>
      <c r="CV5" s="2095" t="s">
        <v>515</v>
      </c>
      <c r="CW5" s="2096"/>
      <c r="CX5" s="2096"/>
      <c r="CY5" s="2096"/>
      <c r="CZ5" s="2096"/>
      <c r="DA5" s="2096"/>
      <c r="DB5" s="2096"/>
      <c r="DC5" s="2096"/>
      <c r="DD5" s="2096"/>
      <c r="DE5" s="2096"/>
      <c r="DF5" s="2096"/>
      <c r="DG5" s="2096"/>
      <c r="DH5" s="2096"/>
      <c r="DI5" s="2096"/>
      <c r="DJ5" s="2097"/>
      <c r="DK5" s="2098" t="s">
        <v>516</v>
      </c>
      <c r="DL5" s="2099"/>
      <c r="DM5" s="2099"/>
      <c r="DN5" s="2099"/>
      <c r="DO5" s="2099"/>
      <c r="DP5" s="2099"/>
      <c r="DQ5" s="2099"/>
      <c r="DR5" s="2099"/>
      <c r="DS5" s="2099"/>
      <c r="DT5" s="2099"/>
      <c r="DU5" s="2099"/>
      <c r="DV5" s="2099"/>
      <c r="DW5" s="2099"/>
      <c r="DX5" s="2099"/>
      <c r="DY5" s="2100"/>
      <c r="DZ5" s="1768" t="s">
        <v>517</v>
      </c>
      <c r="EA5" s="1768" t="s">
        <v>518</v>
      </c>
      <c r="EB5" s="1768" t="s">
        <v>519</v>
      </c>
      <c r="EC5" s="2081"/>
      <c r="ED5" s="1770" t="s">
        <v>520</v>
      </c>
      <c r="EE5" s="2101" t="s">
        <v>521</v>
      </c>
      <c r="EF5" s="2102"/>
      <c r="EG5" s="2102"/>
      <c r="EH5" s="2102"/>
      <c r="EI5" s="2102"/>
      <c r="EJ5" s="2102"/>
      <c r="EK5" s="2102"/>
      <c r="EL5" s="2102"/>
      <c r="EM5" s="2102"/>
      <c r="EN5" s="2102"/>
      <c r="EO5" s="2102"/>
      <c r="EP5" s="2102"/>
      <c r="EQ5" s="2102"/>
      <c r="ER5" s="2102"/>
      <c r="ES5" s="2102"/>
      <c r="ET5" s="2103"/>
      <c r="EU5" s="2101" t="s">
        <v>522</v>
      </c>
      <c r="EV5" s="2102"/>
      <c r="EW5" s="2102"/>
      <c r="EX5" s="2102"/>
      <c r="EY5" s="2102"/>
      <c r="EZ5" s="2102"/>
      <c r="FA5" s="2102"/>
      <c r="FB5" s="2102"/>
      <c r="FC5" s="2102"/>
      <c r="FD5" s="2102"/>
      <c r="FE5" s="2102"/>
      <c r="FF5" s="2102"/>
      <c r="FG5" s="2102"/>
      <c r="FH5" s="2102"/>
      <c r="FI5" s="2103"/>
      <c r="FJ5" s="2101" t="s">
        <v>523</v>
      </c>
      <c r="FK5" s="2102"/>
      <c r="FL5" s="2102"/>
      <c r="FM5" s="2102"/>
      <c r="FN5" s="2102"/>
      <c r="FO5" s="2102"/>
      <c r="FP5" s="2102"/>
      <c r="FQ5" s="2102"/>
      <c r="FR5" s="2102"/>
      <c r="FS5" s="2102"/>
      <c r="FT5" s="2102"/>
      <c r="FU5" s="2102"/>
      <c r="FV5" s="2102"/>
      <c r="FW5" s="2102"/>
      <c r="FX5" s="2103"/>
      <c r="FY5" s="2072"/>
      <c r="FZ5" s="2104" t="s">
        <v>524</v>
      </c>
      <c r="GA5" s="2105"/>
      <c r="GB5" s="2105"/>
      <c r="GC5" s="2105"/>
      <c r="GD5" s="2105"/>
      <c r="GE5" s="2105"/>
      <c r="GF5" s="2105"/>
      <c r="GG5" s="2105"/>
      <c r="GH5" s="2105"/>
      <c r="GI5" s="2105"/>
      <c r="GJ5" s="2105"/>
      <c r="GK5" s="2105"/>
      <c r="GL5" s="2105"/>
      <c r="GM5" s="2105"/>
      <c r="GN5" s="2105"/>
      <c r="GO5" s="2074"/>
      <c r="GP5" s="2076" t="s">
        <v>525</v>
      </c>
      <c r="GQ5" s="2076"/>
      <c r="GR5" s="2076"/>
      <c r="GS5" s="2076"/>
      <c r="GT5" s="2076"/>
      <c r="GU5" s="2076"/>
      <c r="GV5" s="2076"/>
      <c r="GW5" s="2076"/>
      <c r="GX5" s="2076"/>
      <c r="GY5" s="2076"/>
      <c r="GZ5" s="2076"/>
      <c r="HA5" s="2076"/>
      <c r="HB5" s="2076"/>
      <c r="HC5" s="2076"/>
      <c r="HD5" s="2076"/>
      <c r="HE5" s="2106"/>
      <c r="HF5" s="2107" t="s">
        <v>526</v>
      </c>
      <c r="HG5" s="2107"/>
      <c r="HH5" s="2107"/>
      <c r="HI5" s="2107"/>
      <c r="HJ5" s="2107"/>
      <c r="HK5" s="2107"/>
      <c r="HL5" s="2107"/>
      <c r="HM5" s="2107"/>
      <c r="HN5" s="2107"/>
      <c r="HO5" s="2107"/>
      <c r="HP5" s="2107"/>
      <c r="HQ5" s="2107"/>
      <c r="HR5" s="2107"/>
      <c r="HS5" s="2107"/>
      <c r="HT5" s="2107"/>
      <c r="HU5" s="2107"/>
      <c r="HV5" s="1918" t="s">
        <v>527</v>
      </c>
      <c r="HW5" s="1705" t="s">
        <v>528</v>
      </c>
      <c r="HX5" s="2108"/>
      <c r="HY5" s="1948" t="s">
        <v>529</v>
      </c>
      <c r="HZ5" s="1948" t="s">
        <v>530</v>
      </c>
      <c r="IA5" s="1948" t="s">
        <v>531</v>
      </c>
      <c r="IB5" s="1948" t="s">
        <v>532</v>
      </c>
      <c r="IC5" s="1949" t="s">
        <v>533</v>
      </c>
      <c r="ID5" s="1948" t="s">
        <v>534</v>
      </c>
      <c r="IE5" s="2110"/>
      <c r="IF5" s="2088"/>
      <c r="IG5" s="2088"/>
      <c r="IH5" s="2088"/>
      <c r="II5" s="2088"/>
      <c r="IJ5" s="2088"/>
      <c r="IK5" s="2088"/>
      <c r="IL5" s="2088"/>
    </row>
    <row r="6" spans="2:247" ht="75.75" x14ac:dyDescent="0.3">
      <c r="C6" s="2119"/>
      <c r="D6" s="2118"/>
      <c r="E6" s="2118"/>
      <c r="F6" s="2079"/>
      <c r="G6" s="2118"/>
      <c r="H6" s="2118"/>
      <c r="I6" s="2118"/>
      <c r="J6" s="2118"/>
      <c r="K6" s="2118"/>
      <c r="L6" s="2118"/>
      <c r="M6" s="2120"/>
      <c r="N6" s="1710" t="s">
        <v>50</v>
      </c>
      <c r="O6" s="1711" t="s">
        <v>51</v>
      </c>
      <c r="P6" s="1711" t="s">
        <v>52</v>
      </c>
      <c r="Q6" s="1711" t="s">
        <v>53</v>
      </c>
      <c r="R6" s="1712" t="s">
        <v>535</v>
      </c>
      <c r="S6" s="1707" t="s">
        <v>388</v>
      </c>
      <c r="T6" s="1708" t="s">
        <v>389</v>
      </c>
      <c r="U6" s="1708" t="s">
        <v>390</v>
      </c>
      <c r="V6" s="1708" t="s">
        <v>391</v>
      </c>
      <c r="W6" s="1708" t="s">
        <v>392</v>
      </c>
      <c r="X6" s="1709" t="s">
        <v>393</v>
      </c>
      <c r="Y6" s="1707" t="s">
        <v>536</v>
      </c>
      <c r="Z6" s="1708" t="s">
        <v>537</v>
      </c>
      <c r="AA6" s="1708" t="s">
        <v>538</v>
      </c>
      <c r="AB6" s="1708" t="s">
        <v>539</v>
      </c>
      <c r="AC6" s="1709" t="s">
        <v>540</v>
      </c>
      <c r="AD6" s="1707" t="s">
        <v>541</v>
      </c>
      <c r="AE6" s="1708" t="s">
        <v>542</v>
      </c>
      <c r="AF6" s="1708" t="s">
        <v>543</v>
      </c>
      <c r="AG6" s="1709" t="s">
        <v>544</v>
      </c>
      <c r="AH6" s="1707" t="s">
        <v>545</v>
      </c>
      <c r="AI6" s="1709" t="s">
        <v>546</v>
      </c>
      <c r="AJ6" s="1707" t="s">
        <v>125</v>
      </c>
      <c r="AK6" s="1708" t="s">
        <v>547</v>
      </c>
      <c r="AL6" s="1708" t="s">
        <v>416</v>
      </c>
      <c r="AM6" s="1708" t="s">
        <v>190</v>
      </c>
      <c r="AN6" s="1709" t="s">
        <v>189</v>
      </c>
      <c r="AO6" s="1714"/>
      <c r="AP6" s="2122"/>
      <c r="AQ6" s="1716" t="s">
        <v>77</v>
      </c>
      <c r="AR6" s="1717">
        <v>2021</v>
      </c>
      <c r="AS6" s="1718">
        <v>2022</v>
      </c>
      <c r="AT6" s="1718">
        <v>2023</v>
      </c>
      <c r="AU6" s="1718">
        <v>2024</v>
      </c>
      <c r="AV6" s="1718">
        <v>2025</v>
      </c>
      <c r="AW6" s="1718">
        <v>2026</v>
      </c>
      <c r="AX6" s="1718">
        <v>2027</v>
      </c>
      <c r="AY6" s="1718">
        <v>2028</v>
      </c>
      <c r="AZ6" s="1718">
        <v>2029</v>
      </c>
      <c r="BA6" s="1718">
        <v>2030</v>
      </c>
      <c r="BB6" s="1718">
        <v>2031</v>
      </c>
      <c r="BC6" s="1718">
        <v>2032</v>
      </c>
      <c r="BD6" s="1718">
        <v>2033</v>
      </c>
      <c r="BE6" s="1718">
        <v>2034</v>
      </c>
      <c r="BF6" s="1718">
        <v>2035</v>
      </c>
      <c r="BG6" s="1719" t="s">
        <v>548</v>
      </c>
      <c r="BH6" s="1717">
        <v>2021</v>
      </c>
      <c r="BI6" s="1718">
        <v>2022</v>
      </c>
      <c r="BJ6" s="1718">
        <v>2023</v>
      </c>
      <c r="BK6" s="1718">
        <v>2024</v>
      </c>
      <c r="BL6" s="1718">
        <v>2025</v>
      </c>
      <c r="BM6" s="1718">
        <v>2026</v>
      </c>
      <c r="BN6" s="1718">
        <v>2027</v>
      </c>
      <c r="BO6" s="1718">
        <v>2028</v>
      </c>
      <c r="BP6" s="1718">
        <v>2029</v>
      </c>
      <c r="BQ6" s="1718">
        <v>2030</v>
      </c>
      <c r="BR6" s="1718">
        <v>2031</v>
      </c>
      <c r="BS6" s="1718">
        <v>2032</v>
      </c>
      <c r="BT6" s="1718">
        <v>2033</v>
      </c>
      <c r="BU6" s="1718">
        <v>2034</v>
      </c>
      <c r="BV6" s="1720">
        <v>2035</v>
      </c>
      <c r="BW6" s="2085"/>
      <c r="BX6" s="1759" t="s">
        <v>98</v>
      </c>
      <c r="BY6" s="1759" t="s">
        <v>549</v>
      </c>
      <c r="BZ6" s="1760">
        <v>2021</v>
      </c>
      <c r="CA6" s="1761">
        <v>2022</v>
      </c>
      <c r="CB6" s="1761">
        <v>2023</v>
      </c>
      <c r="CC6" s="1761">
        <v>2024</v>
      </c>
      <c r="CD6" s="1761">
        <v>2025</v>
      </c>
      <c r="CE6" s="1761">
        <v>2026</v>
      </c>
      <c r="CF6" s="1761">
        <v>2027</v>
      </c>
      <c r="CG6" s="1761">
        <v>2028</v>
      </c>
      <c r="CH6" s="1761">
        <v>2029</v>
      </c>
      <c r="CI6" s="1761">
        <v>2030</v>
      </c>
      <c r="CJ6" s="1762">
        <v>2031</v>
      </c>
      <c r="CK6" s="1762">
        <v>2032</v>
      </c>
      <c r="CL6" s="1762">
        <v>2033</v>
      </c>
      <c r="CM6" s="1762">
        <v>2034</v>
      </c>
      <c r="CN6" s="1762">
        <v>2035</v>
      </c>
      <c r="CO6" s="1762" t="s">
        <v>550</v>
      </c>
      <c r="CP6" s="1763" t="s">
        <v>551</v>
      </c>
      <c r="CQ6" s="1759" t="s">
        <v>68</v>
      </c>
      <c r="CR6" s="1759" t="s">
        <v>68</v>
      </c>
      <c r="CS6" s="1759"/>
      <c r="CT6" s="1759" t="s">
        <v>98</v>
      </c>
      <c r="CU6" s="2079"/>
      <c r="CV6" s="1765">
        <v>2021</v>
      </c>
      <c r="CW6" s="1766">
        <v>2022</v>
      </c>
      <c r="CX6" s="1766">
        <v>2023</v>
      </c>
      <c r="CY6" s="1766">
        <v>2024</v>
      </c>
      <c r="CZ6" s="1766">
        <v>2025</v>
      </c>
      <c r="DA6" s="1766">
        <v>2026</v>
      </c>
      <c r="DB6" s="1766">
        <v>2027</v>
      </c>
      <c r="DC6" s="1766">
        <v>2028</v>
      </c>
      <c r="DD6" s="1766">
        <v>2029</v>
      </c>
      <c r="DE6" s="1766">
        <v>2030</v>
      </c>
      <c r="DF6" s="1766">
        <v>2031</v>
      </c>
      <c r="DG6" s="1766">
        <v>2032</v>
      </c>
      <c r="DH6" s="1766">
        <v>2033</v>
      </c>
      <c r="DI6" s="1766">
        <v>2034</v>
      </c>
      <c r="DJ6" s="1767">
        <v>2035</v>
      </c>
      <c r="DK6" s="1765">
        <v>2021</v>
      </c>
      <c r="DL6" s="1766">
        <v>2022</v>
      </c>
      <c r="DM6" s="1766">
        <v>2023</v>
      </c>
      <c r="DN6" s="1766">
        <v>2024</v>
      </c>
      <c r="DO6" s="1766">
        <v>2025</v>
      </c>
      <c r="DP6" s="1766">
        <v>2026</v>
      </c>
      <c r="DQ6" s="1766">
        <v>2027</v>
      </c>
      <c r="DR6" s="1766">
        <v>2028</v>
      </c>
      <c r="DS6" s="1766">
        <v>2029</v>
      </c>
      <c r="DT6" s="1766">
        <v>2030</v>
      </c>
      <c r="DU6" s="1766">
        <v>2031</v>
      </c>
      <c r="DV6" s="1766">
        <v>2032</v>
      </c>
      <c r="DW6" s="1766">
        <v>2033</v>
      </c>
      <c r="DX6" s="1766">
        <v>2034</v>
      </c>
      <c r="DY6" s="1767">
        <v>2035</v>
      </c>
      <c r="DZ6" s="1769" t="s">
        <v>68</v>
      </c>
      <c r="EA6" s="1769" t="s">
        <v>68</v>
      </c>
      <c r="EB6" s="1769" t="s">
        <v>98</v>
      </c>
      <c r="EC6" s="2081"/>
      <c r="ED6" s="1771" t="s">
        <v>552</v>
      </c>
      <c r="EE6" s="1772">
        <v>2021</v>
      </c>
      <c r="EF6" s="1773">
        <v>2022</v>
      </c>
      <c r="EG6" s="1773">
        <v>2023</v>
      </c>
      <c r="EH6" s="1773">
        <v>2024</v>
      </c>
      <c r="EI6" s="1773">
        <v>2025</v>
      </c>
      <c r="EJ6" s="1773">
        <v>2026</v>
      </c>
      <c r="EK6" s="1773">
        <v>2027</v>
      </c>
      <c r="EL6" s="1773">
        <v>2028</v>
      </c>
      <c r="EM6" s="1773">
        <v>2029</v>
      </c>
      <c r="EN6" s="1773">
        <v>2030</v>
      </c>
      <c r="EO6" s="1773">
        <v>2031</v>
      </c>
      <c r="EP6" s="1773">
        <v>2032</v>
      </c>
      <c r="EQ6" s="1773">
        <v>2033</v>
      </c>
      <c r="ER6" s="1773">
        <v>2034</v>
      </c>
      <c r="ES6" s="1773">
        <v>2035</v>
      </c>
      <c r="ET6" s="1774" t="s">
        <v>553</v>
      </c>
      <c r="EU6" s="1772">
        <v>2021</v>
      </c>
      <c r="EV6" s="1773">
        <v>2022</v>
      </c>
      <c r="EW6" s="1773">
        <v>2023</v>
      </c>
      <c r="EX6" s="1773">
        <v>2024</v>
      </c>
      <c r="EY6" s="1773">
        <v>2025</v>
      </c>
      <c r="EZ6" s="1773">
        <v>2026</v>
      </c>
      <c r="FA6" s="1773">
        <v>2027</v>
      </c>
      <c r="FB6" s="1773">
        <v>2028</v>
      </c>
      <c r="FC6" s="1773">
        <v>2029</v>
      </c>
      <c r="FD6" s="1773">
        <v>2030</v>
      </c>
      <c r="FE6" s="1773">
        <v>2031</v>
      </c>
      <c r="FF6" s="1773">
        <v>2032</v>
      </c>
      <c r="FG6" s="1773">
        <v>2033</v>
      </c>
      <c r="FH6" s="1773">
        <v>2034</v>
      </c>
      <c r="FI6" s="1774">
        <v>2035</v>
      </c>
      <c r="FJ6" s="1772">
        <v>2021</v>
      </c>
      <c r="FK6" s="1773">
        <v>2022</v>
      </c>
      <c r="FL6" s="1773">
        <v>2023</v>
      </c>
      <c r="FM6" s="1773">
        <v>2024</v>
      </c>
      <c r="FN6" s="1773">
        <v>2025</v>
      </c>
      <c r="FO6" s="1773">
        <v>2026</v>
      </c>
      <c r="FP6" s="1773">
        <v>2027</v>
      </c>
      <c r="FQ6" s="1773">
        <v>2028</v>
      </c>
      <c r="FR6" s="1773">
        <v>2029</v>
      </c>
      <c r="FS6" s="1773">
        <v>2030</v>
      </c>
      <c r="FT6" s="1773">
        <v>2031</v>
      </c>
      <c r="FU6" s="1773">
        <v>2032</v>
      </c>
      <c r="FV6" s="1773">
        <v>2033</v>
      </c>
      <c r="FW6" s="1773">
        <v>2034</v>
      </c>
      <c r="FX6" s="1774">
        <v>2035</v>
      </c>
      <c r="FY6" s="2072"/>
      <c r="FZ6" s="1756">
        <v>2021</v>
      </c>
      <c r="GA6" s="1756">
        <v>2022</v>
      </c>
      <c r="GB6" s="1756">
        <v>2023</v>
      </c>
      <c r="GC6" s="1756">
        <v>2024</v>
      </c>
      <c r="GD6" s="1756">
        <v>2025</v>
      </c>
      <c r="GE6" s="1756">
        <v>2026</v>
      </c>
      <c r="GF6" s="1756">
        <v>2027</v>
      </c>
      <c r="GG6" s="1756">
        <v>2028</v>
      </c>
      <c r="GH6" s="1756">
        <v>2029</v>
      </c>
      <c r="GI6" s="1756">
        <v>2030</v>
      </c>
      <c r="GJ6" s="1756">
        <v>2031</v>
      </c>
      <c r="GK6" s="1756">
        <v>2032</v>
      </c>
      <c r="GL6" s="1756">
        <v>2033</v>
      </c>
      <c r="GM6" s="1756">
        <v>2034</v>
      </c>
      <c r="GN6" s="1756">
        <v>2035</v>
      </c>
      <c r="GO6" s="2074"/>
      <c r="GP6" s="1897">
        <v>2021</v>
      </c>
      <c r="GQ6" s="1897">
        <v>2022</v>
      </c>
      <c r="GR6" s="1897">
        <v>2023</v>
      </c>
      <c r="GS6" s="1897">
        <v>2024</v>
      </c>
      <c r="GT6" s="1897">
        <v>2025</v>
      </c>
      <c r="GU6" s="1897">
        <v>2026</v>
      </c>
      <c r="GV6" s="1897">
        <v>2027</v>
      </c>
      <c r="GW6" s="1897">
        <v>2028</v>
      </c>
      <c r="GX6" s="1897">
        <v>2029</v>
      </c>
      <c r="GY6" s="1897">
        <v>2030</v>
      </c>
      <c r="GZ6" s="1897">
        <v>2031</v>
      </c>
      <c r="HA6" s="1897">
        <v>2032</v>
      </c>
      <c r="HB6" s="1897">
        <v>2033</v>
      </c>
      <c r="HC6" s="1897">
        <v>2034</v>
      </c>
      <c r="HD6" s="1897">
        <v>2035</v>
      </c>
      <c r="HE6" s="2106"/>
      <c r="HF6" s="1919">
        <v>2021</v>
      </c>
      <c r="HG6" s="1919">
        <v>2022</v>
      </c>
      <c r="HH6" s="1919">
        <v>2023</v>
      </c>
      <c r="HI6" s="1919">
        <v>2024</v>
      </c>
      <c r="HJ6" s="1919">
        <v>2025</v>
      </c>
      <c r="HK6" s="1919">
        <v>2026</v>
      </c>
      <c r="HL6" s="1919">
        <v>2027</v>
      </c>
      <c r="HM6" s="1919">
        <v>2028</v>
      </c>
      <c r="HN6" s="1919">
        <v>2029</v>
      </c>
      <c r="HO6" s="1919">
        <v>2030</v>
      </c>
      <c r="HP6" s="1919">
        <v>2031</v>
      </c>
      <c r="HQ6" s="1919">
        <v>2032</v>
      </c>
      <c r="HR6" s="1919">
        <v>2033</v>
      </c>
      <c r="HS6" s="1919">
        <v>2034</v>
      </c>
      <c r="HT6" s="1919">
        <v>2035</v>
      </c>
      <c r="HU6" s="1919" t="s">
        <v>554</v>
      </c>
      <c r="HV6" s="1919" t="s">
        <v>555</v>
      </c>
      <c r="HW6" s="1920" t="s">
        <v>68</v>
      </c>
      <c r="HX6" s="2108"/>
      <c r="HY6" s="1950"/>
      <c r="HZ6" s="1950"/>
      <c r="IA6" s="1950" t="s">
        <v>556</v>
      </c>
      <c r="IB6" s="1950"/>
      <c r="IC6" s="1951"/>
      <c r="ID6" s="1950"/>
      <c r="IE6" s="2110"/>
      <c r="IF6" s="1704" t="s">
        <v>13</v>
      </c>
      <c r="IG6" s="1704" t="s">
        <v>35</v>
      </c>
      <c r="IH6" s="1704" t="s">
        <v>36</v>
      </c>
      <c r="II6" s="1704" t="s">
        <v>296</v>
      </c>
      <c r="IJ6" s="1704" t="s">
        <v>38</v>
      </c>
      <c r="IK6" s="1704" t="s">
        <v>39</v>
      </c>
      <c r="IL6" s="1704" t="s">
        <v>40</v>
      </c>
    </row>
    <row r="7" spans="2:247" ht="13.5" customHeight="1" x14ac:dyDescent="0.3">
      <c r="C7" s="1986" t="s">
        <v>557</v>
      </c>
      <c r="D7" s="1662"/>
      <c r="E7" s="1663"/>
      <c r="F7" s="1775"/>
      <c r="G7" s="1664"/>
      <c r="H7" s="1663"/>
      <c r="I7" s="1663"/>
      <c r="J7" s="1665"/>
      <c r="K7" s="1663"/>
      <c r="L7" s="1666"/>
      <c r="M7" s="1812"/>
      <c r="N7" s="1667"/>
      <c r="O7" s="1667"/>
      <c r="P7" s="1667"/>
      <c r="Q7" s="1667"/>
      <c r="R7" s="1667"/>
      <c r="S7" s="1668"/>
      <c r="T7" s="1668"/>
      <c r="U7" s="1668"/>
      <c r="V7" s="1668"/>
      <c r="W7" s="1668"/>
      <c r="X7" s="1668"/>
      <c r="Y7" s="1669"/>
      <c r="Z7" s="1669"/>
      <c r="AA7" s="1669"/>
      <c r="AB7" s="1669"/>
      <c r="AC7" s="1669"/>
      <c r="AD7" s="1667"/>
      <c r="AE7" s="1670"/>
      <c r="AF7" s="1671"/>
      <c r="AG7" s="1672"/>
      <c r="AH7" s="1672"/>
      <c r="AI7" s="1672"/>
      <c r="AJ7" s="1672"/>
      <c r="AK7" s="1673"/>
      <c r="AL7" s="1672"/>
      <c r="AM7" s="1672"/>
      <c r="AN7" s="1672"/>
      <c r="AO7" s="1674"/>
      <c r="AP7" s="1833"/>
      <c r="AQ7" s="1675"/>
      <c r="AR7" s="1676"/>
      <c r="AS7" s="1676"/>
      <c r="AT7" s="1676"/>
      <c r="AU7" s="1676"/>
      <c r="AV7" s="1676"/>
      <c r="AW7" s="1676"/>
      <c r="AX7" s="1676"/>
      <c r="AY7" s="1677"/>
      <c r="AZ7" s="1677"/>
      <c r="BA7" s="1677"/>
      <c r="BB7" s="1677"/>
      <c r="BC7" s="1677"/>
      <c r="BD7" s="1677"/>
      <c r="BE7" s="1677"/>
      <c r="BF7" s="1677"/>
      <c r="BG7" s="1678"/>
      <c r="BH7" s="1679"/>
      <c r="BI7" s="1680"/>
      <c r="BJ7" s="1680"/>
      <c r="BK7" s="1680"/>
      <c r="BL7" s="1680"/>
      <c r="BM7" s="1680"/>
      <c r="BN7" s="1680"/>
      <c r="BO7" s="1680"/>
      <c r="BP7" s="1680"/>
      <c r="BQ7" s="1680"/>
      <c r="BR7" s="1680"/>
      <c r="BS7" s="1680"/>
      <c r="BT7" s="1680"/>
      <c r="BU7" s="1680"/>
      <c r="BV7" s="1680"/>
      <c r="BW7" s="1680"/>
      <c r="BX7" s="1681"/>
      <c r="BY7" s="1682"/>
      <c r="BZ7" s="1683"/>
      <c r="CA7" s="1683"/>
      <c r="CB7" s="1683"/>
      <c r="CC7" s="1683"/>
      <c r="CD7" s="1683"/>
      <c r="CE7" s="1683"/>
      <c r="CF7" s="1683"/>
      <c r="CG7" s="1683"/>
      <c r="CH7" s="1683"/>
      <c r="CI7" s="1683"/>
      <c r="CJ7" s="1683"/>
      <c r="CK7" s="1683"/>
      <c r="CL7" s="1683"/>
      <c r="CM7" s="1683"/>
      <c r="CN7" s="1683"/>
      <c r="CO7" s="1683"/>
      <c r="CP7" s="1684"/>
      <c r="CQ7" s="1685"/>
      <c r="CR7" s="1686"/>
      <c r="CS7" s="1688"/>
      <c r="CT7" s="1689"/>
      <c r="CU7" s="1860"/>
      <c r="CV7" s="1690"/>
      <c r="CW7" s="1690"/>
      <c r="CX7" s="1690"/>
      <c r="CY7" s="1690"/>
      <c r="CZ7" s="1690"/>
      <c r="DA7" s="1690"/>
      <c r="DB7" s="1690"/>
      <c r="DC7" s="1690"/>
      <c r="DD7" s="1690"/>
      <c r="DE7" s="1690"/>
      <c r="DF7" s="1690"/>
      <c r="DG7" s="1690"/>
      <c r="DH7" s="1690"/>
      <c r="DI7" s="1690"/>
      <c r="DJ7" s="1690"/>
      <c r="DK7" s="1691"/>
      <c r="DL7" s="1691"/>
      <c r="DM7" s="1691"/>
      <c r="DN7" s="1691"/>
      <c r="DO7" s="1691"/>
      <c r="DP7" s="1691"/>
      <c r="DQ7" s="1691"/>
      <c r="DR7" s="1691"/>
      <c r="DS7" s="1691"/>
      <c r="DT7" s="1691"/>
      <c r="DU7" s="1691"/>
      <c r="DV7" s="1691"/>
      <c r="DW7" s="1691"/>
      <c r="DX7" s="1691"/>
      <c r="DY7" s="1691"/>
      <c r="DZ7" s="1692"/>
      <c r="EA7" s="1693"/>
      <c r="EB7" s="1689"/>
      <c r="EC7" s="1874"/>
      <c r="ED7" s="1694"/>
      <c r="EE7" s="1695"/>
      <c r="EF7" s="1695"/>
      <c r="EG7" s="1695"/>
      <c r="EH7" s="1695"/>
      <c r="EI7" s="1695"/>
      <c r="EJ7" s="1695"/>
      <c r="EK7" s="1695"/>
      <c r="EL7" s="1695"/>
      <c r="EM7" s="1695"/>
      <c r="EN7" s="1695"/>
      <c r="EO7" s="1695"/>
      <c r="EP7" s="1695"/>
      <c r="EQ7" s="1695"/>
      <c r="ER7" s="1695"/>
      <c r="ES7" s="1695"/>
      <c r="ET7" s="1696"/>
      <c r="EU7" s="1697"/>
      <c r="EV7" s="1697"/>
      <c r="EW7" s="1697"/>
      <c r="EX7" s="1697"/>
      <c r="EY7" s="1697"/>
      <c r="EZ7" s="1697"/>
      <c r="FA7" s="1697"/>
      <c r="FB7" s="1697"/>
      <c r="FC7" s="1697"/>
      <c r="FD7" s="1697"/>
      <c r="FE7" s="1697"/>
      <c r="FF7" s="1697"/>
      <c r="FG7" s="1697"/>
      <c r="FH7" s="1697"/>
      <c r="FI7" s="1697"/>
      <c r="FJ7" s="1698"/>
      <c r="FK7" s="1698"/>
      <c r="FL7" s="1698"/>
      <c r="FM7" s="1698"/>
      <c r="FN7" s="1698"/>
      <c r="FO7" s="1698"/>
      <c r="FP7" s="1698"/>
      <c r="FQ7" s="1698"/>
      <c r="FR7" s="1698"/>
      <c r="FS7" s="1698"/>
      <c r="FT7" s="1698"/>
      <c r="FU7" s="1698"/>
      <c r="FV7" s="1698"/>
      <c r="FW7" s="1698"/>
      <c r="FX7" s="1698"/>
      <c r="FY7" s="1894"/>
      <c r="FZ7" s="1689"/>
      <c r="GA7" s="1689"/>
      <c r="GB7" s="1689"/>
      <c r="GC7" s="1689"/>
      <c r="GD7" s="1689"/>
      <c r="GE7" s="1689"/>
      <c r="GF7" s="1689"/>
      <c r="GG7" s="1689"/>
      <c r="GH7" s="1689"/>
      <c r="GI7" s="1689"/>
      <c r="GJ7" s="1689"/>
      <c r="GK7" s="1689"/>
      <c r="GL7" s="1689"/>
      <c r="GM7" s="1689"/>
      <c r="GN7" s="1689"/>
      <c r="GO7" s="1909"/>
      <c r="GP7" s="1691"/>
      <c r="GQ7" s="1691"/>
      <c r="GR7" s="1691"/>
      <c r="GS7" s="1691"/>
      <c r="GT7" s="1691"/>
      <c r="GU7" s="1691"/>
      <c r="GV7" s="1691"/>
      <c r="GW7" s="1691"/>
      <c r="GX7" s="1691"/>
      <c r="GY7" s="1691"/>
      <c r="GZ7" s="1691"/>
      <c r="HA7" s="1691"/>
      <c r="HB7" s="1691"/>
      <c r="HC7" s="1691"/>
      <c r="HD7" s="1691"/>
      <c r="HE7" s="1921"/>
      <c r="HF7" s="1678"/>
      <c r="HG7" s="1678"/>
      <c r="HH7" s="1678"/>
      <c r="HI7" s="1678"/>
      <c r="HJ7" s="1678"/>
      <c r="HK7" s="1678"/>
      <c r="HL7" s="1678"/>
      <c r="HM7" s="1678"/>
      <c r="HN7" s="1678"/>
      <c r="HO7" s="1678"/>
      <c r="HP7" s="1678"/>
      <c r="HQ7" s="1678"/>
      <c r="HR7" s="1678"/>
      <c r="HS7" s="1678"/>
      <c r="HT7" s="1678"/>
      <c r="HU7" s="1678"/>
      <c r="HV7" s="1691"/>
      <c r="HW7" s="1691"/>
      <c r="HX7" s="1935"/>
      <c r="HY7" s="1699"/>
      <c r="HZ7" s="1699"/>
      <c r="IA7" s="1699"/>
      <c r="IB7" s="1699"/>
      <c r="IC7" s="1700"/>
      <c r="ID7" s="1701"/>
      <c r="IE7" s="1952"/>
      <c r="IF7" s="1702"/>
      <c r="IG7" s="1702"/>
      <c r="IH7" s="1702"/>
      <c r="II7" s="1702"/>
      <c r="IJ7" s="1702"/>
      <c r="IK7" s="1702"/>
      <c r="IL7" s="1702"/>
      <c r="IM7" s="1687"/>
    </row>
    <row r="8" spans="2:247" ht="13.5" customHeight="1" x14ac:dyDescent="0.3">
      <c r="B8" s="1703" t="s">
        <v>51</v>
      </c>
      <c r="C8" s="2113" t="s">
        <v>125</v>
      </c>
      <c r="D8" s="654" t="s">
        <v>558</v>
      </c>
      <c r="E8" s="1777" t="s">
        <v>559</v>
      </c>
      <c r="F8" s="1800"/>
      <c r="G8" s="1789" t="s">
        <v>560</v>
      </c>
      <c r="H8" s="1155" t="s">
        <v>561</v>
      </c>
      <c r="I8" s="1155" t="s">
        <v>562</v>
      </c>
      <c r="J8" s="514" t="s">
        <v>563</v>
      </c>
      <c r="K8" s="655" t="s">
        <v>564</v>
      </c>
      <c r="L8" s="2043" t="s">
        <v>565</v>
      </c>
      <c r="M8" s="1827"/>
      <c r="N8" s="1817"/>
      <c r="O8" s="1178">
        <v>1</v>
      </c>
      <c r="P8" s="1177"/>
      <c r="Q8" s="1177"/>
      <c r="R8" s="1177"/>
      <c r="S8" s="1445"/>
      <c r="T8" s="1445"/>
      <c r="U8" s="1445"/>
      <c r="V8" s="1445"/>
      <c r="W8" s="1445">
        <f>W47</f>
        <v>0.94444444444444442</v>
      </c>
      <c r="X8" s="1445">
        <f>X47</f>
        <v>5.555555555555558E-2</v>
      </c>
      <c r="Y8" s="1179" cm="1">
        <f t="array" ref="Y8:AC8">(TRANSPOSE(Assumptions!$E$668:$E$672)*'EE Measures'!$AD8)+(TRANSPOSE(_xlfn.ANCHORARRAY(Assumptions!$F$668))*'EE Measures'!$AE8)+(TRANSPOSE(Assumptions!$G$668:$G$672)*'EE Measures'!$AF8)</f>
        <v>0.45129539252418882</v>
      </c>
      <c r="Z8" s="1179">
        <v>9.553546736185943E-2</v>
      </c>
      <c r="AA8" s="1179">
        <v>0.15356901081070537</v>
      </c>
      <c r="AB8" s="1179">
        <v>0.20832544195240479</v>
      </c>
      <c r="AC8" s="1179">
        <v>9.1274687350841585E-2</v>
      </c>
      <c r="AD8" s="1177"/>
      <c r="AE8" s="1177"/>
      <c r="AF8" s="1181">
        <v>1</v>
      </c>
      <c r="AG8" s="1177"/>
      <c r="AH8" s="1178">
        <v>1</v>
      </c>
      <c r="AI8" s="1177"/>
      <c r="AJ8" s="1178">
        <v>1</v>
      </c>
      <c r="AK8" s="1417">
        <f>AL8+AM8</f>
        <v>0</v>
      </c>
      <c r="AL8" s="1177"/>
      <c r="AM8" s="1177"/>
      <c r="AN8" s="1177"/>
      <c r="AO8" s="1221"/>
      <c r="AP8" s="1846"/>
      <c r="AQ8" s="1837">
        <f>AVERAGE(AR8:BA8)</f>
        <v>0.87378098310806196</v>
      </c>
      <c r="AR8" s="656">
        <f>_xlfn.XLOOKUP($D8,'KLIM 2021-30'!$C$4:$C$40,'KLIM 2021-30'!T$4:T$40)</f>
        <v>2.5259165613147911</v>
      </c>
      <c r="AS8" s="656">
        <f>_xlfn.XLOOKUP($D8,'KLIM 2021-30'!$C$4:$C$40,'KLIM 2021-30'!U$4:U$40)</f>
        <v>2.2836557287179882</v>
      </c>
      <c r="AT8" s="656">
        <f>_xlfn.XLOOKUP($D8,'KLIM 2021-30'!$C$4:$C$40,'KLIM 2021-30'!V$4:V$40)</f>
        <v>1.3068945917236547</v>
      </c>
      <c r="AU8" s="656">
        <f>_xlfn.XLOOKUP($D8,'KLIM 2021-30'!$C$4:$C$40,'KLIM 2021-30'!W$4:W$40)</f>
        <v>0</v>
      </c>
      <c r="AV8" s="656">
        <f>_xlfn.XLOOKUP($D8,'KLIM 2021-30'!$C$4:$C$40,'KLIM 2021-30'!X$4:X$40)</f>
        <v>0</v>
      </c>
      <c r="AW8" s="656">
        <f>_xlfn.XLOOKUP($D8,'KLIM 2021-30'!$C$4:$C$40,'KLIM 2021-30'!Y$4:Y$40)</f>
        <v>0</v>
      </c>
      <c r="AX8" s="656">
        <f>_xlfn.XLOOKUP($D8,'KLIM 2021-30'!$C$4:$C$40,'KLIM 2021-30'!Z$4:Z$40)</f>
        <v>0</v>
      </c>
      <c r="AY8" s="663"/>
      <c r="AZ8" s="663"/>
      <c r="BA8" s="663"/>
      <c r="BB8" s="663"/>
      <c r="BC8" s="663"/>
      <c r="BD8" s="663"/>
      <c r="BE8" s="663"/>
      <c r="BF8" s="663"/>
      <c r="BG8" s="501">
        <f>IFERROR(AVERAGE(AU8:BF8),0)</f>
        <v>0</v>
      </c>
      <c r="BH8" s="657">
        <f t="shared" ref="BH8:BH40" si="0">AR8</f>
        <v>2.5259165613147911</v>
      </c>
      <c r="BI8" s="658">
        <f t="shared" ref="BI8:BI40" si="1">BH8+AS8</f>
        <v>4.8095722900327793</v>
      </c>
      <c r="BJ8" s="658">
        <f t="shared" ref="BJ8:BJ40" si="2">BI8+AT8</f>
        <v>6.116466881756434</v>
      </c>
      <c r="BK8" s="658">
        <f t="shared" ref="BK8:BK40" si="3">BJ8+AU8</f>
        <v>6.116466881756434</v>
      </c>
      <c r="BL8" s="658">
        <f t="shared" ref="BL8:BL40" si="4">BK8+AV8</f>
        <v>6.116466881756434</v>
      </c>
      <c r="BM8" s="658">
        <f t="shared" ref="BM8:BM40" si="5">BL8+AW8</f>
        <v>6.116466881756434</v>
      </c>
      <c r="BN8" s="658">
        <f t="shared" ref="BN8:BN40" si="6">BM8+AX8</f>
        <v>6.116466881756434</v>
      </c>
      <c r="BO8" s="658">
        <f t="shared" ref="BO8:BO40" si="7">BN8+AY8</f>
        <v>6.116466881756434</v>
      </c>
      <c r="BP8" s="658">
        <f t="shared" ref="BP8:BP40" si="8">BO8+AZ8</f>
        <v>6.116466881756434</v>
      </c>
      <c r="BQ8" s="658">
        <f t="shared" ref="BQ8:BQ40" si="9">BP8+BA8</f>
        <v>6.116466881756434</v>
      </c>
      <c r="BR8" s="658">
        <f t="shared" ref="BR8:BR40" si="10">BQ8+BB8</f>
        <v>6.116466881756434</v>
      </c>
      <c r="BS8" s="658">
        <f t="shared" ref="BS8:BS40" si="11">BR8+BC8</f>
        <v>6.116466881756434</v>
      </c>
      <c r="BT8" s="658">
        <f t="shared" ref="BT8:BT40" si="12">BS8+BD8</f>
        <v>6.116466881756434</v>
      </c>
      <c r="BU8" s="658">
        <f t="shared" ref="BU8:BU40" si="13">BT8+BE8</f>
        <v>6.116466881756434</v>
      </c>
      <c r="BV8" s="1851">
        <f t="shared" ref="BV8:BV40" si="14">BU8+BF8</f>
        <v>6.116466881756434</v>
      </c>
      <c r="BW8" s="1661"/>
      <c r="BX8" s="1854">
        <f>(_xlfn.XLOOKUP(D8,'KLIM 2021-30'!$C$4:$C$40,'KLIM 2021-30'!$G$4:$G$40)/1000000)/CQ8</f>
        <v>111.64999999999996</v>
      </c>
      <c r="BY8" s="1192">
        <f t="shared" ref="BY8:BY40" si="15">IFERROR((SUM(BZ8:CI8)*1000000)/(SUM(AR8:BA8)*1000),"")</f>
        <v>18254.002213764627</v>
      </c>
      <c r="BZ8" s="680">
        <f t="shared" ref="BZ8:CF9" si="16">($BX8)*(AR8/SUM($AR8:$BA8))</f>
        <v>46.108086502024925</v>
      </c>
      <c r="CA8" s="680">
        <f t="shared" si="16"/>
        <v>41.685856727494425</v>
      </c>
      <c r="CB8" s="680">
        <f t="shared" si="16"/>
        <v>23.85605677048061</v>
      </c>
      <c r="CC8" s="680">
        <f t="shared" si="16"/>
        <v>0</v>
      </c>
      <c r="CD8" s="680">
        <f t="shared" si="16"/>
        <v>0</v>
      </c>
      <c r="CE8" s="680">
        <f t="shared" si="16"/>
        <v>0</v>
      </c>
      <c r="CF8" s="680">
        <f t="shared" si="16"/>
        <v>0</v>
      </c>
      <c r="CG8" s="660"/>
      <c r="CH8" s="660"/>
      <c r="CI8" s="660"/>
      <c r="CJ8" s="660"/>
      <c r="CK8" s="660"/>
      <c r="CL8" s="660"/>
      <c r="CM8" s="660"/>
      <c r="CN8" s="660"/>
      <c r="CO8" s="479">
        <f t="shared" ref="CO8:CO26" si="17">IFERROR(AVERAGE(CC8:CN8),0)</f>
        <v>0</v>
      </c>
      <c r="CP8" s="660">
        <f t="shared" ref="CP8:CP40" si="18">SUM(BZ8:CI8)</f>
        <v>111.64999999999996</v>
      </c>
      <c r="CQ8" s="661">
        <f>INDEX(Sources!BJ$27:BJ$42,MATCH($D8,Sources!$E$27:$E$42,0))</f>
        <v>0.4</v>
      </c>
      <c r="CR8" s="662">
        <f>1-CQ8</f>
        <v>0.6</v>
      </c>
      <c r="CS8" s="672" t="s">
        <v>566</v>
      </c>
      <c r="CT8" s="1861">
        <f t="shared" ref="CT8:CT27" si="19">IFERROR(AVERAGE(BZ8:CI8),"n/a")</f>
        <v>15.949999999999994</v>
      </c>
      <c r="CU8" s="1872"/>
      <c r="CV8" s="1865">
        <f>BH8*Assumptions!D$496</f>
        <v>0.20501204087330283</v>
      </c>
      <c r="CW8" s="659">
        <f>BI8*Assumptions!E$496</f>
        <v>0.40199010223861059</v>
      </c>
      <c r="CX8" s="659">
        <f>BJ8*Assumptions!F$496</f>
        <v>0.52646055710635942</v>
      </c>
      <c r="CY8" s="659">
        <f>BK8*Assumptions!G$496</f>
        <v>0.54808491417928151</v>
      </c>
      <c r="CZ8" s="659">
        <f>BL8*Assumptions!H$496</f>
        <v>0.56742201614668974</v>
      </c>
      <c r="DA8" s="659">
        <f>BM8*Assumptions!I$496</f>
        <v>0.58411309845060089</v>
      </c>
      <c r="DB8" s="659">
        <f>BN8*Assumptions!J$496</f>
        <v>0.60127918386000467</v>
      </c>
      <c r="DC8" s="659">
        <f>BO8*Assumptions!K$496</f>
        <v>0.618965861975736</v>
      </c>
      <c r="DD8" s="659">
        <f>BP8*Assumptions!L$496</f>
        <v>0.63718891511534437</v>
      </c>
      <c r="DE8" s="659">
        <f>BQ8*Assumptions!M$496</f>
        <v>0.65596460266397394</v>
      </c>
      <c r="DF8" s="659">
        <f>BR8*Assumptions!N$496</f>
        <v>0.67509249653986148</v>
      </c>
      <c r="DG8" s="659">
        <f>BS8*Assumptions!O$496</f>
        <v>0.69479422723202566</v>
      </c>
      <c r="DH8" s="659">
        <f>BT8*Assumptions!P$496</f>
        <v>0.71508700984495477</v>
      </c>
      <c r="DI8" s="659">
        <f>BU8*Assumptions!Q$496</f>
        <v>0.73598857593627176</v>
      </c>
      <c r="DJ8" s="659">
        <f>BV8*Assumptions!R$496</f>
        <v>0.75751718901032838</v>
      </c>
      <c r="DK8" s="675">
        <f>BH8*Assumptions!D$503</f>
        <v>0.20501204087330283</v>
      </c>
      <c r="DL8" s="675">
        <f>BI8*Assumptions!E$503</f>
        <v>0.40199010223861059</v>
      </c>
      <c r="DM8" s="675">
        <f>BJ8*Assumptions!F$503</f>
        <v>0.52646055710635942</v>
      </c>
      <c r="DN8" s="675">
        <f>BK8*Assumptions!G$503</f>
        <v>0.54808491417928151</v>
      </c>
      <c r="DO8" s="675">
        <f>BL8*Assumptions!H$503</f>
        <v>0.59786833664832617</v>
      </c>
      <c r="DP8" s="675">
        <f>BM8*Assumptions!I$503</f>
        <v>0.61499515364851509</v>
      </c>
      <c r="DQ8" s="675">
        <f>BN8*Assumptions!J$503</f>
        <v>0.63259626194273422</v>
      </c>
      <c r="DR8" s="675">
        <f>BO8*Assumptions!K$503</f>
        <v>0.65072164392580889</v>
      </c>
      <c r="DS8" s="675">
        <f>BP8*Assumptions!L$503</f>
        <v>0.669387069311</v>
      </c>
      <c r="DT8" s="675">
        <f>BQ8*Assumptions!M$503</f>
        <v>0.68860878441474271</v>
      </c>
      <c r="DU8" s="675">
        <f>BR8*Assumptions!N$503</f>
        <v>0.70825184597283231</v>
      </c>
      <c r="DV8" s="675">
        <f>BS8*Assumptions!O$503</f>
        <v>0.7284743426190341</v>
      </c>
      <c r="DW8" s="675">
        <f>BT8*Assumptions!P$503</f>
        <v>0.74929349285461289</v>
      </c>
      <c r="DX8" s="675">
        <f>BU8*Assumptions!Q$503</f>
        <v>0.77072703052371416</v>
      </c>
      <c r="DY8" s="675">
        <f>BV8*Assumptions!R$503</f>
        <v>0.792793220309716</v>
      </c>
      <c r="DZ8" s="678">
        <v>0</v>
      </c>
      <c r="EA8" s="661">
        <f>1-DZ8</f>
        <v>1</v>
      </c>
      <c r="EB8" s="1861">
        <f t="shared" ref="EB8:EB27" si="20">IFERROR(AVERAGE(CV8:DE8),"n/a")</f>
        <v>0.53464812926099037</v>
      </c>
      <c r="EC8" s="1881"/>
      <c r="ED8" s="1877">
        <v>0</v>
      </c>
      <c r="EE8" s="665">
        <f t="shared" ref="EE8:EE23" si="21">(BZ8*0.32*$CR8)</f>
        <v>8.8527526083887853</v>
      </c>
      <c r="EF8" s="665">
        <f t="shared" ref="EF8:EF23" si="22">(CA8*0.32*$CR8)</f>
        <v>8.0036844916789285</v>
      </c>
      <c r="EG8" s="665">
        <f t="shared" ref="EG8:EG23" si="23">(CB8*0.32*$CR8)</f>
        <v>4.5803628999322772</v>
      </c>
      <c r="EH8" s="665">
        <f t="shared" ref="EH8:EH23" si="24">(CC8*0.32*$CR8)</f>
        <v>0</v>
      </c>
      <c r="EI8" s="665">
        <f t="shared" ref="EI8:EI23" si="25">(CD8*0.32*$CR8)</f>
        <v>0</v>
      </c>
      <c r="EJ8" s="665">
        <f t="shared" ref="EJ8:EJ23" si="26">(CE8*0.32*$CR8)</f>
        <v>0</v>
      </c>
      <c r="EK8" s="665">
        <f t="shared" ref="EK8:EK23" si="27">(CF8*0.32*$CR8)</f>
        <v>0</v>
      </c>
      <c r="EL8" s="665">
        <f t="shared" ref="EL8:EL23" si="28">(CG8*0.32*$CR8)</f>
        <v>0</v>
      </c>
      <c r="EM8" s="665">
        <f t="shared" ref="EM8:EM23" si="29">(CH8*0.32*$CR8)</f>
        <v>0</v>
      </c>
      <c r="EN8" s="665">
        <f t="shared" ref="EN8:EN23" si="30">(CI8*0.32*$CR8)</f>
        <v>0</v>
      </c>
      <c r="EO8" s="665">
        <f t="shared" ref="EO8:EO23" si="31">(CJ8*0.32*$CR8)</f>
        <v>0</v>
      </c>
      <c r="EP8" s="665">
        <f t="shared" ref="EP8:EP23" si="32">(CK8*0.32*$CR8)</f>
        <v>0</v>
      </c>
      <c r="EQ8" s="665">
        <f t="shared" ref="EQ8:EQ23" si="33">(CL8*0.32*$CR8)</f>
        <v>0</v>
      </c>
      <c r="ER8" s="665">
        <f t="shared" ref="ER8:ER23" si="34">(CM8*0.32*$CR8)</f>
        <v>0</v>
      </c>
      <c r="ES8" s="665">
        <f t="shared" ref="ES8:ES23" si="35">(CN8*0.32*$CR8)</f>
        <v>0</v>
      </c>
      <c r="ET8" s="541">
        <f>AVERAGE(EH8:ES8)</f>
        <v>0</v>
      </c>
      <c r="EU8" s="479" cm="1">
        <f t="array" ref="EU8">BH8*SUMPRODUCT($W8:$X8,TRANSPOSE(Assumptions!$D$289:$D$290))/1000</f>
        <v>3.6367559651079094E-2</v>
      </c>
      <c r="EV8" s="479" cm="1">
        <f t="array" ref="EV8">BI8*SUMPRODUCT($W8:$X8,TRANSPOSE(Assumptions!$D$289:$D$290))/1000</f>
        <v>6.9247104133518436E-2</v>
      </c>
      <c r="EW8" s="479" cm="1">
        <f t="array" ref="EW8">BJ8*SUMPRODUCT($W8:$X8,TRANSPOSE(Assumptions!$D$289:$D$290))/1000</f>
        <v>8.8063468755413585E-2</v>
      </c>
      <c r="EX8" s="479" cm="1">
        <f t="array" ref="EX8">BK8*SUMPRODUCT($W8:$X8,TRANSPOSE(Assumptions!$D$289:$D$290))/1000</f>
        <v>8.8063468755413585E-2</v>
      </c>
      <c r="EY8" s="479" cm="1">
        <f t="array" ref="EY8">BL8*SUMPRODUCT($W8:$X8,TRANSPOSE(Assumptions!$D$289:$D$290))/1000</f>
        <v>8.8063468755413585E-2</v>
      </c>
      <c r="EZ8" s="479" cm="1">
        <f t="array" ref="EZ8">BM8*SUMPRODUCT($W8:$X8,TRANSPOSE(Assumptions!$D$289:$D$290))/1000</f>
        <v>8.8063468755413585E-2</v>
      </c>
      <c r="FA8" s="479" cm="1">
        <f t="array" ref="FA8">BN8*SUMPRODUCT($W8:$X8,TRANSPOSE(Assumptions!$D$289:$D$290))/1000</f>
        <v>8.8063468755413585E-2</v>
      </c>
      <c r="FB8" s="479" cm="1">
        <f t="array" ref="FB8">BO8*SUMPRODUCT($W8:$X8,TRANSPOSE(Assumptions!$D$289:$D$290))/1000</f>
        <v>8.8063468755413585E-2</v>
      </c>
      <c r="FC8" s="479" cm="1">
        <f t="array" ref="FC8">BP8*SUMPRODUCT($W8:$X8,TRANSPOSE(Assumptions!$D$289:$D$290))/1000</f>
        <v>8.8063468755413585E-2</v>
      </c>
      <c r="FD8" s="479" cm="1">
        <f t="array" ref="FD8">BQ8*SUMPRODUCT($W8:$X8,TRANSPOSE(Assumptions!$D$289:$D$290))/1000</f>
        <v>8.8063468755413585E-2</v>
      </c>
      <c r="FE8" s="479" cm="1">
        <f t="array" ref="FE8">BR8*SUMPRODUCT($W8:$X8,TRANSPOSE(Assumptions!$D$289:$D$290))/1000</f>
        <v>8.8063468755413585E-2</v>
      </c>
      <c r="FF8" s="479" cm="1">
        <f t="array" ref="FF8">BS8*SUMPRODUCT($W8:$X8,TRANSPOSE(Assumptions!$D$289:$D$290))/1000</f>
        <v>8.8063468755413585E-2</v>
      </c>
      <c r="FG8" s="479" cm="1">
        <f t="array" ref="FG8">BT8*SUMPRODUCT($W8:$X8,TRANSPOSE(Assumptions!$D$289:$D$290))/1000</f>
        <v>8.8063468755413585E-2</v>
      </c>
      <c r="FH8" s="479" cm="1">
        <f t="array" ref="FH8">BU8*SUMPRODUCT($W8:$X8,TRANSPOSE(Assumptions!$D$289:$D$290))/1000</f>
        <v>8.8063468755413585E-2</v>
      </c>
      <c r="FI8" s="479" cm="1">
        <f t="array" ref="FI8">BV8*SUMPRODUCT($W8:$X8,TRANSPOSE(Assumptions!$D$289:$D$290))/1000</f>
        <v>8.8063468755413585E-2</v>
      </c>
      <c r="FJ8" s="666">
        <f t="shared" ref="FJ8:FX8" si="36">EE8-EU8</f>
        <v>8.8163850487377058</v>
      </c>
      <c r="FK8" s="666">
        <f t="shared" si="36"/>
        <v>7.9344373875454099</v>
      </c>
      <c r="FL8" s="666">
        <f t="shared" si="36"/>
        <v>4.492299431176864</v>
      </c>
      <c r="FM8" s="666">
        <f t="shared" si="36"/>
        <v>-8.8063468755413585E-2</v>
      </c>
      <c r="FN8" s="666">
        <f t="shared" si="36"/>
        <v>-8.8063468755413585E-2</v>
      </c>
      <c r="FO8" s="666">
        <f t="shared" si="36"/>
        <v>-8.8063468755413585E-2</v>
      </c>
      <c r="FP8" s="666">
        <f t="shared" si="36"/>
        <v>-8.8063468755413585E-2</v>
      </c>
      <c r="FQ8" s="666">
        <f t="shared" si="36"/>
        <v>-8.8063468755413585E-2</v>
      </c>
      <c r="FR8" s="666">
        <f t="shared" si="36"/>
        <v>-8.8063468755413585E-2</v>
      </c>
      <c r="FS8" s="666">
        <f t="shared" si="36"/>
        <v>-8.8063468755413585E-2</v>
      </c>
      <c r="FT8" s="666">
        <f t="shared" si="36"/>
        <v>-8.8063468755413585E-2</v>
      </c>
      <c r="FU8" s="666">
        <f t="shared" si="36"/>
        <v>-8.8063468755413585E-2</v>
      </c>
      <c r="FV8" s="666">
        <f t="shared" si="36"/>
        <v>-8.8063468755413585E-2</v>
      </c>
      <c r="FW8" s="666">
        <f t="shared" si="36"/>
        <v>-8.8063468755413585E-2</v>
      </c>
      <c r="FX8" s="1883">
        <f t="shared" si="36"/>
        <v>-8.8063468755413585E-2</v>
      </c>
      <c r="FY8" s="1895"/>
      <c r="FZ8" s="1887">
        <f t="shared" ref="FZ8:FZ18" si="37">BZ8*17</f>
        <v>783.83747053442369</v>
      </c>
      <c r="GA8" s="664">
        <f t="shared" ref="GA8:GA18" si="38">CA8*17</f>
        <v>708.65956436740521</v>
      </c>
      <c r="GB8" s="664">
        <f t="shared" ref="GB8:GB18" si="39">CB8*17</f>
        <v>405.55296509817038</v>
      </c>
      <c r="GC8" s="664">
        <f t="shared" ref="GC8:GC18" si="40">CC8*17</f>
        <v>0</v>
      </c>
      <c r="GD8" s="664">
        <f t="shared" ref="GD8:GD18" si="41">CD8*17</f>
        <v>0</v>
      </c>
      <c r="GE8" s="664">
        <f t="shared" ref="GE8:GE18" si="42">CE8*17</f>
        <v>0</v>
      </c>
      <c r="GF8" s="664">
        <f t="shared" ref="GF8:GF18" si="43">CF8*17</f>
        <v>0</v>
      </c>
      <c r="GG8" s="664">
        <f t="shared" ref="GG8:GG18" si="44">CG8*17</f>
        <v>0</v>
      </c>
      <c r="GH8" s="664">
        <f t="shared" ref="GH8:GH18" si="45">CH8*17</f>
        <v>0</v>
      </c>
      <c r="GI8" s="664">
        <f t="shared" ref="GI8:GI18" si="46">CI8*17</f>
        <v>0</v>
      </c>
      <c r="GJ8" s="664">
        <f t="shared" ref="GJ8:GJ18" si="47">CJ8*17</f>
        <v>0</v>
      </c>
      <c r="GK8" s="664">
        <f t="shared" ref="GK8:GK18" si="48">CK8*17</f>
        <v>0</v>
      </c>
      <c r="GL8" s="664">
        <f t="shared" ref="GL8:GL18" si="49">CL8*17</f>
        <v>0</v>
      </c>
      <c r="GM8" s="664">
        <f t="shared" ref="GM8:GM18" si="50">CM8*17</f>
        <v>0</v>
      </c>
      <c r="GN8" s="1861">
        <f t="shared" ref="GN8:GN18" si="51">CN8*17</f>
        <v>0</v>
      </c>
      <c r="GO8" s="1910"/>
      <c r="GP8" s="1868">
        <f>BH8*INDEX(Assumptions!G$565:G$570,MATCH($B8,Assumptions!$B$565:$B$570,0))</f>
        <v>0.62521415668357516</v>
      </c>
      <c r="GQ8" s="656">
        <f>BI8*INDEX(Assumptions!H$565:H$570,MATCH($B8,Assumptions!$B$565:$B$570,0))</f>
        <v>1.1542099615753143</v>
      </c>
      <c r="GR8" s="656">
        <f>BJ8*INDEX(Assumptions!I$565:I$570,MATCH($B8,Assumptions!$B$565:$B$570,0))</f>
        <v>1.4213001334916231</v>
      </c>
      <c r="GS8" s="656">
        <f>BK8*INDEX(Assumptions!J$565:J$570,MATCH($B8,Assumptions!$B$565:$B$570,0))</f>
        <v>1.3743194485583479</v>
      </c>
      <c r="GT8" s="656">
        <f>BL8*INDEX(Assumptions!K$565:K$570,MATCH($B8,Assumptions!$B$565:$B$570,0))</f>
        <v>1.3268946999195144</v>
      </c>
      <c r="GU8" s="656">
        <f>BM8*INDEX(Assumptions!L$565:L$570,MATCH($B8,Assumptions!$B$565:$B$570,0))</f>
        <v>1.2790219279545405</v>
      </c>
      <c r="GV8" s="656">
        <f>BN8*INDEX(Assumptions!M$565:M$570,MATCH($B8,Assumptions!$B$565:$B$570,0))</f>
        <v>1.2301032560755625</v>
      </c>
      <c r="GW8" s="656">
        <f>BO8*INDEX(Assumptions!N$565:N$570,MATCH($B8,Assumptions!$B$565:$B$570,0))</f>
        <v>1.1807929275470306</v>
      </c>
      <c r="GX8" s="656">
        <f>BP8*INDEX(Assumptions!O$565:O$570,MATCH($B8,Assumptions!$B$565:$B$570,0))</f>
        <v>1.1310887679566175</v>
      </c>
      <c r="GY8" s="656">
        <f>BQ8*INDEX(Assumptions!P$565:P$570,MATCH($B8,Assumptions!$B$565:$B$570,0))</f>
        <v>1.027719495113715</v>
      </c>
      <c r="GZ8" s="656">
        <f>BR8*INDEX(Assumptions!Q$565:Q$570,MATCH($B8,Assumptions!$B$565:$B$570,0))</f>
        <v>0</v>
      </c>
      <c r="HA8" s="656">
        <f>BS8*INDEX(Assumptions!R$565:R$570,MATCH($B8,Assumptions!$B$565:$B$570,0))</f>
        <v>1.5604116545583364</v>
      </c>
      <c r="HB8" s="656">
        <f>BT8*INDEX(Assumptions!S$565:S$570,MATCH($B8,Assumptions!$B$565:$B$570,0))</f>
        <v>1.5604116545583364</v>
      </c>
      <c r="HC8" s="656">
        <f>BU8*INDEX(Assumptions!T$565:T$570,MATCH($B8,Assumptions!$B$565:$B$570,0))</f>
        <v>1.5071424386138743</v>
      </c>
      <c r="HD8" s="1922">
        <f>BV8*INDEX(Assumptions!U$565:U$570,MATCH($B8,Assumptions!$B$565:$B$570,0))</f>
        <v>1.453873222669412</v>
      </c>
      <c r="HE8" s="1933"/>
      <c r="HF8" s="1926">
        <f t="shared" ref="HF8:HT10" si="52">AR8/$HV8</f>
        <v>4.2098609355246522E-2</v>
      </c>
      <c r="HG8" s="1399">
        <f t="shared" si="52"/>
        <v>3.8060928811966467E-2</v>
      </c>
      <c r="HH8" s="1399">
        <f t="shared" si="52"/>
        <v>2.1781576528727579E-2</v>
      </c>
      <c r="HI8" s="1399">
        <f t="shared" si="52"/>
        <v>0</v>
      </c>
      <c r="HJ8" s="1399">
        <f t="shared" si="52"/>
        <v>0</v>
      </c>
      <c r="HK8" s="1399">
        <f t="shared" si="52"/>
        <v>0</v>
      </c>
      <c r="HL8" s="1399">
        <f t="shared" si="52"/>
        <v>0</v>
      </c>
      <c r="HM8" s="1399">
        <f t="shared" si="52"/>
        <v>0</v>
      </c>
      <c r="HN8" s="1399">
        <f t="shared" si="52"/>
        <v>0</v>
      </c>
      <c r="HO8" s="1399">
        <f t="shared" si="52"/>
        <v>0</v>
      </c>
      <c r="HP8" s="1399">
        <f t="shared" si="52"/>
        <v>0</v>
      </c>
      <c r="HQ8" s="1399">
        <f t="shared" si="52"/>
        <v>0</v>
      </c>
      <c r="HR8" s="1399">
        <f t="shared" si="52"/>
        <v>0</v>
      </c>
      <c r="HS8" s="1399">
        <f t="shared" si="52"/>
        <v>0</v>
      </c>
      <c r="HT8" s="1399">
        <f t="shared" si="52"/>
        <v>0</v>
      </c>
      <c r="HU8" s="1399"/>
      <c r="HV8" s="656">
        <f>_xlfn.XLOOKUP(D8,'KLIM 2021-30'!$C:$C,'KLIM 2021-30'!$AN:$AN)</f>
        <v>60</v>
      </c>
      <c r="HW8" s="1936">
        <f>HF8/(Assumptions!$I$651/1000000)</f>
        <v>1.057757857541102E-3</v>
      </c>
      <c r="HX8" s="1944"/>
      <c r="HY8" s="1939">
        <v>2014</v>
      </c>
      <c r="HZ8" s="667">
        <v>2020</v>
      </c>
      <c r="IA8" s="668"/>
      <c r="IB8" s="668"/>
      <c r="IC8" s="669" t="s">
        <v>567</v>
      </c>
      <c r="ID8" s="1955" t="s">
        <v>568</v>
      </c>
      <c r="IE8" s="1953"/>
      <c r="IF8" s="1960">
        <v>1</v>
      </c>
      <c r="IG8" s="537">
        <v>1</v>
      </c>
      <c r="IH8" s="537">
        <v>1</v>
      </c>
      <c r="II8" s="537">
        <v>1</v>
      </c>
      <c r="IJ8" s="537">
        <v>1</v>
      </c>
      <c r="IK8" s="537">
        <v>1</v>
      </c>
      <c r="IL8" s="537">
        <v>1</v>
      </c>
    </row>
    <row r="9" spans="2:247" ht="13.5" customHeight="1" x14ac:dyDescent="0.3">
      <c r="B9" s="1703" t="s">
        <v>51</v>
      </c>
      <c r="C9" s="2113"/>
      <c r="D9" s="671" t="s">
        <v>569</v>
      </c>
      <c r="E9" s="1778" t="s">
        <v>570</v>
      </c>
      <c r="F9" s="1800"/>
      <c r="G9" s="1790"/>
      <c r="H9" s="1157"/>
      <c r="I9" s="1157" t="s">
        <v>571</v>
      </c>
      <c r="J9" s="70" t="s">
        <v>563</v>
      </c>
      <c r="K9" s="71" t="s">
        <v>564</v>
      </c>
      <c r="L9" s="2043" t="s">
        <v>565</v>
      </c>
      <c r="M9" s="1827"/>
      <c r="N9" s="1817"/>
      <c r="O9" s="1178">
        <v>1</v>
      </c>
      <c r="P9" s="1177"/>
      <c r="Q9" s="1177"/>
      <c r="R9" s="1177"/>
      <c r="S9" s="1445"/>
      <c r="T9" s="1445"/>
      <c r="U9" s="1445"/>
      <c r="V9" s="1445"/>
      <c r="W9" s="1445">
        <f>W45</f>
        <v>0.94444444444444442</v>
      </c>
      <c r="X9" s="1445">
        <f>X45</f>
        <v>5.555555555555558E-2</v>
      </c>
      <c r="Y9" s="1179" cm="1">
        <f t="array" ref="Y9:AC9">(TRANSPOSE(Assumptions!$E$668:$E$672)*'EE Measures'!$AD9)+(TRANSPOSE(_xlfn.ANCHORARRAY(Assumptions!$F$668))*'EE Measures'!$AE9)+(TRANSPOSE(Assumptions!$G$668:$G$672)*'EE Measures'!$AF9)</f>
        <v>0.21849296083119868</v>
      </c>
      <c r="Z9" s="1179">
        <v>0.19221783771882242</v>
      </c>
      <c r="AA9" s="1179">
        <v>4.7611906394164946E-2</v>
      </c>
      <c r="AB9" s="1179">
        <v>0.3692139800862041</v>
      </c>
      <c r="AC9" s="1179">
        <v>0.17246331496960984</v>
      </c>
      <c r="AD9" s="1182">
        <v>1</v>
      </c>
      <c r="AE9" s="1177"/>
      <c r="AF9" s="1177"/>
      <c r="AG9" s="1177"/>
      <c r="AH9" s="1178">
        <v>1</v>
      </c>
      <c r="AI9" s="1177"/>
      <c r="AJ9" s="1178">
        <v>1</v>
      </c>
      <c r="AK9" s="1417">
        <f t="shared" ref="AK9:AK40" si="53">AL9+AM9</f>
        <v>0</v>
      </c>
      <c r="AL9" s="1177"/>
      <c r="AM9" s="1177"/>
      <c r="AN9" s="1177"/>
      <c r="AO9" s="1221"/>
      <c r="AP9" s="1846"/>
      <c r="AQ9" s="1837">
        <f>AVERAGE(AR9:BA9)</f>
        <v>0.60749051833122636</v>
      </c>
      <c r="AR9" s="656">
        <f>_xlfn.XLOOKUP($D9,'KLIM 2021-30'!$C$4:$C$40,'KLIM 2021-30'!T$4:T$40)</f>
        <v>0.25685840707964602</v>
      </c>
      <c r="AS9" s="656">
        <f>_xlfn.XLOOKUP($D9,'KLIM 2021-30'!$C$4:$C$40,'KLIM 2021-30'!U$4:U$40)</f>
        <v>1.1415929203539825</v>
      </c>
      <c r="AT9" s="656">
        <f>_xlfn.XLOOKUP($D9,'KLIM 2021-30'!$C$4:$C$40,'KLIM 2021-30'!V$4:V$40)</f>
        <v>2.8539823008849563</v>
      </c>
      <c r="AU9" s="656">
        <f>_xlfn.XLOOKUP($D9,'KLIM 2021-30'!$C$4:$C$40,'KLIM 2021-30'!W$4:W$40)</f>
        <v>0</v>
      </c>
      <c r="AV9" s="656">
        <f>_xlfn.XLOOKUP($D9,'KLIM 2021-30'!$C$4:$C$40,'KLIM 2021-30'!X$4:X$40)</f>
        <v>0</v>
      </c>
      <c r="AW9" s="656">
        <f>_xlfn.XLOOKUP($D9,'KLIM 2021-30'!$C$4:$C$40,'KLIM 2021-30'!Y$4:Y$40)</f>
        <v>0</v>
      </c>
      <c r="AX9" s="656">
        <f>_xlfn.XLOOKUP($D9,'KLIM 2021-30'!$C$4:$C$40,'KLIM 2021-30'!Z$4:Z$40)</f>
        <v>0</v>
      </c>
      <c r="AY9" s="663"/>
      <c r="AZ9" s="663"/>
      <c r="BA9" s="663"/>
      <c r="BB9" s="663"/>
      <c r="BC9" s="663"/>
      <c r="BD9" s="663"/>
      <c r="BE9" s="663"/>
      <c r="BF9" s="663"/>
      <c r="BG9" s="501">
        <f t="shared" ref="BG9:BG40" si="54">IFERROR(AVERAGE(AU9:BF9),0)</f>
        <v>0</v>
      </c>
      <c r="BH9" s="657">
        <f t="shared" si="0"/>
        <v>0.25685840707964602</v>
      </c>
      <c r="BI9" s="658">
        <f t="shared" si="1"/>
        <v>1.3984513274336285</v>
      </c>
      <c r="BJ9" s="658">
        <f t="shared" si="2"/>
        <v>4.2524336283185846</v>
      </c>
      <c r="BK9" s="658">
        <f t="shared" si="3"/>
        <v>4.2524336283185846</v>
      </c>
      <c r="BL9" s="658">
        <f t="shared" si="4"/>
        <v>4.2524336283185846</v>
      </c>
      <c r="BM9" s="658">
        <f t="shared" si="5"/>
        <v>4.2524336283185846</v>
      </c>
      <c r="BN9" s="658">
        <f t="shared" si="6"/>
        <v>4.2524336283185846</v>
      </c>
      <c r="BO9" s="658">
        <f t="shared" si="7"/>
        <v>4.2524336283185846</v>
      </c>
      <c r="BP9" s="658">
        <f t="shared" si="8"/>
        <v>4.2524336283185846</v>
      </c>
      <c r="BQ9" s="658">
        <f t="shared" si="9"/>
        <v>4.2524336283185846</v>
      </c>
      <c r="BR9" s="658">
        <f t="shared" si="10"/>
        <v>4.2524336283185846</v>
      </c>
      <c r="BS9" s="658">
        <f t="shared" si="11"/>
        <v>4.2524336283185846</v>
      </c>
      <c r="BT9" s="658">
        <f t="shared" si="12"/>
        <v>4.2524336283185846</v>
      </c>
      <c r="BU9" s="658">
        <f t="shared" si="13"/>
        <v>4.2524336283185846</v>
      </c>
      <c r="BV9" s="1851">
        <f t="shared" si="14"/>
        <v>4.2524336283185846</v>
      </c>
      <c r="BW9" s="1661"/>
      <c r="BX9" s="1854">
        <f>(_xlfn.XLOOKUP(D9,'KLIM 2021-30'!$C$4:$C$40,'KLIM 2021-30'!$G$4:$G$40)/1000000)/CQ9</f>
        <v>74.500000000000014</v>
      </c>
      <c r="BY9" s="1192">
        <f t="shared" si="15"/>
        <v>17519.37984496124</v>
      </c>
      <c r="BZ9" s="680">
        <f t="shared" si="16"/>
        <v>4.5000000000000009</v>
      </c>
      <c r="CA9" s="680">
        <f t="shared" si="16"/>
        <v>20.000000000000004</v>
      </c>
      <c r="CB9" s="680">
        <f t="shared" si="16"/>
        <v>50.000000000000014</v>
      </c>
      <c r="CC9" s="680">
        <f t="shared" si="16"/>
        <v>0</v>
      </c>
      <c r="CD9" s="680">
        <f t="shared" si="16"/>
        <v>0</v>
      </c>
      <c r="CE9" s="680">
        <f t="shared" si="16"/>
        <v>0</v>
      </c>
      <c r="CF9" s="680">
        <f t="shared" si="16"/>
        <v>0</v>
      </c>
      <c r="CG9" s="660"/>
      <c r="CH9" s="660"/>
      <c r="CI9" s="660"/>
      <c r="CJ9" s="660"/>
      <c r="CK9" s="660"/>
      <c r="CL9" s="660"/>
      <c r="CM9" s="660"/>
      <c r="CN9" s="660"/>
      <c r="CO9" s="479">
        <f t="shared" si="17"/>
        <v>0</v>
      </c>
      <c r="CP9" s="660">
        <f t="shared" si="18"/>
        <v>74.500000000000014</v>
      </c>
      <c r="CQ9" s="661">
        <f>INDEX(Sources!BJ$27:BJ$42,MATCH($D9,Sources!$E$27:$E$42,0))</f>
        <v>0.3</v>
      </c>
      <c r="CR9" s="662">
        <f t="shared" ref="CR9:CR40" si="55">1-CQ9</f>
        <v>0.7</v>
      </c>
      <c r="CS9" s="672" t="s">
        <v>572</v>
      </c>
      <c r="CT9" s="1862">
        <f t="shared" si="19"/>
        <v>10.642857142857144</v>
      </c>
      <c r="CU9" s="1872"/>
      <c r="CV9" s="1865">
        <f>BH9*Assumptions!D$496</f>
        <v>2.0847508210427083E-2</v>
      </c>
      <c r="CW9" s="659">
        <f>BI9*Assumptions!E$496</f>
        <v>0.11688432113927819</v>
      </c>
      <c r="CX9" s="659">
        <f>BJ9*Assumptions!F$496</f>
        <v>0.36601826189885828</v>
      </c>
      <c r="CY9" s="659">
        <f>BK9*Assumptions!G$496</f>
        <v>0.38105245483823968</v>
      </c>
      <c r="CZ9" s="659">
        <f>BL9*Assumptions!H$496</f>
        <v>0.39449644861276634</v>
      </c>
      <c r="DA9" s="659">
        <f>BM9*Assumptions!I$496</f>
        <v>0.40610081450803343</v>
      </c>
      <c r="DB9" s="659">
        <f>BN9*Assumptions!J$496</f>
        <v>0.41803542320824039</v>
      </c>
      <c r="DC9" s="659">
        <f>BO9*Assumptions!K$496</f>
        <v>0.43033197058543859</v>
      </c>
      <c r="DD9" s="659">
        <f>BP9*Assumptions!L$496</f>
        <v>0.44300142919276692</v>
      </c>
      <c r="DE9" s="659">
        <f>BQ9*Assumptions!M$496</f>
        <v>0.45605510326149118</v>
      </c>
      <c r="DF9" s="659">
        <f>BR9*Assumptions!N$496</f>
        <v>0.46935364647756678</v>
      </c>
      <c r="DG9" s="659">
        <f>BS9*Assumptions!O$496</f>
        <v>0.48305114599012466</v>
      </c>
      <c r="DH9" s="659">
        <f>BT9*Assumptions!P$496</f>
        <v>0.49715957048805937</v>
      </c>
      <c r="DI9" s="659">
        <f>BU9*Assumptions!Q$496</f>
        <v>0.511691247720932</v>
      </c>
      <c r="DJ9" s="659">
        <f>BV9*Assumptions!R$496</f>
        <v>0.52665887527079092</v>
      </c>
      <c r="DK9" s="675">
        <f>BH9*Assumptions!D$503</f>
        <v>2.0847508210427083E-2</v>
      </c>
      <c r="DL9" s="675">
        <f>BI9*Assumptions!E$503</f>
        <v>0.11688432113927819</v>
      </c>
      <c r="DM9" s="675">
        <f>BJ9*Assumptions!F$503</f>
        <v>0.36601826189885828</v>
      </c>
      <c r="DN9" s="675">
        <f>BK9*Assumptions!G$503</f>
        <v>0.38105245483823968</v>
      </c>
      <c r="DO9" s="675">
        <f>BL9*Assumptions!H$503</f>
        <v>0.41566405397426959</v>
      </c>
      <c r="DP9" s="675">
        <f>BM9*Assumptions!I$503</f>
        <v>0.42757136156958958</v>
      </c>
      <c r="DQ9" s="675">
        <f>BN9*Assumptions!J$503</f>
        <v>0.43980841708758184</v>
      </c>
      <c r="DR9" s="675">
        <f>BO9*Assumptions!K$503</f>
        <v>0.45240997046161285</v>
      </c>
      <c r="DS9" s="675">
        <f>BP9*Assumptions!L$503</f>
        <v>0.46538698548177176</v>
      </c>
      <c r="DT9" s="675">
        <f>BQ9*Assumptions!M$503</f>
        <v>0.47875075729339028</v>
      </c>
      <c r="DU9" s="675">
        <f>BR9*Assumptions!N$503</f>
        <v>0.49240746747388675</v>
      </c>
      <c r="DV9" s="675">
        <f>BS9*Assumptions!O$503</f>
        <v>0.50646702611277428</v>
      </c>
      <c r="DW9" s="675">
        <f>BT9*Assumptions!P$503</f>
        <v>0.52094140426053415</v>
      </c>
      <c r="DX9" s="675">
        <f>BU9*Assumptions!Q$503</f>
        <v>0.53584293125641735</v>
      </c>
      <c r="DY9" s="675">
        <f>BV9*Assumptions!R$503</f>
        <v>0.55118430550218256</v>
      </c>
      <c r="DZ9" s="678">
        <v>0</v>
      </c>
      <c r="EA9" s="661">
        <f t="shared" ref="EA9:EA40" si="56">1-DZ9</f>
        <v>1</v>
      </c>
      <c r="EB9" s="1861">
        <f t="shared" si="20"/>
        <v>0.34328237354555396</v>
      </c>
      <c r="EC9" s="1881"/>
      <c r="ED9" s="1877">
        <v>0</v>
      </c>
      <c r="EE9" s="665">
        <f t="shared" si="21"/>
        <v>1.0080000000000002</v>
      </c>
      <c r="EF9" s="665">
        <f t="shared" si="22"/>
        <v>4.4800000000000004</v>
      </c>
      <c r="EG9" s="665">
        <f t="shared" si="23"/>
        <v>11.200000000000001</v>
      </c>
      <c r="EH9" s="665">
        <f t="shared" si="24"/>
        <v>0</v>
      </c>
      <c r="EI9" s="665">
        <f t="shared" si="25"/>
        <v>0</v>
      </c>
      <c r="EJ9" s="665">
        <f t="shared" si="26"/>
        <v>0</v>
      </c>
      <c r="EK9" s="665">
        <f t="shared" si="27"/>
        <v>0</v>
      </c>
      <c r="EL9" s="665">
        <f t="shared" si="28"/>
        <v>0</v>
      </c>
      <c r="EM9" s="665">
        <f t="shared" si="29"/>
        <v>0</v>
      </c>
      <c r="EN9" s="665">
        <f t="shared" si="30"/>
        <v>0</v>
      </c>
      <c r="EO9" s="665">
        <f t="shared" si="31"/>
        <v>0</v>
      </c>
      <c r="EP9" s="665">
        <f t="shared" si="32"/>
        <v>0</v>
      </c>
      <c r="EQ9" s="665">
        <f t="shared" si="33"/>
        <v>0</v>
      </c>
      <c r="ER9" s="665">
        <f t="shared" si="34"/>
        <v>0</v>
      </c>
      <c r="ES9" s="665">
        <f t="shared" si="35"/>
        <v>0</v>
      </c>
      <c r="ET9" s="541">
        <f t="shared" ref="ET9:ET40" si="57">AVERAGE(EH9:ES9)</f>
        <v>0</v>
      </c>
      <c r="EU9" s="479" cm="1">
        <f t="array" ref="EU9">BH9*SUMPRODUCT($W9:$X9,TRANSPOSE(Assumptions!$D$289:$D$290))/1000</f>
        <v>3.6981876537077051E-3</v>
      </c>
      <c r="EV9" s="479" cm="1">
        <f t="array" ref="EV9">BI9*SUMPRODUCT($W9:$X9,TRANSPOSE(Assumptions!$D$289:$D$290))/1000</f>
        <v>2.0134577225741954E-2</v>
      </c>
      <c r="EW9" s="479" cm="1">
        <f t="array" ref="EW9">BJ9*SUMPRODUCT($W9:$X9,TRANSPOSE(Assumptions!$D$289:$D$290))/1000</f>
        <v>6.1225551155827569E-2</v>
      </c>
      <c r="EX9" s="479" cm="1">
        <f t="array" ref="EX9">BK9*SUMPRODUCT($W9:$X9,TRANSPOSE(Assumptions!$D$289:$D$290))/1000</f>
        <v>6.1225551155827569E-2</v>
      </c>
      <c r="EY9" s="479" cm="1">
        <f t="array" ref="EY9">BL9*SUMPRODUCT($W9:$X9,TRANSPOSE(Assumptions!$D$289:$D$290))/1000</f>
        <v>6.1225551155827569E-2</v>
      </c>
      <c r="EZ9" s="479" cm="1">
        <f t="array" ref="EZ9">BM9*SUMPRODUCT($W9:$X9,TRANSPOSE(Assumptions!$D$289:$D$290))/1000</f>
        <v>6.1225551155827569E-2</v>
      </c>
      <c r="FA9" s="479" cm="1">
        <f t="array" ref="FA9">BN9*SUMPRODUCT($W9:$X9,TRANSPOSE(Assumptions!$D$289:$D$290))/1000</f>
        <v>6.1225551155827569E-2</v>
      </c>
      <c r="FB9" s="479" cm="1">
        <f t="array" ref="FB9">BO9*SUMPRODUCT($W9:$X9,TRANSPOSE(Assumptions!$D$289:$D$290))/1000</f>
        <v>6.1225551155827569E-2</v>
      </c>
      <c r="FC9" s="479" cm="1">
        <f t="array" ref="FC9">BP9*SUMPRODUCT($W9:$X9,TRANSPOSE(Assumptions!$D$289:$D$290))/1000</f>
        <v>6.1225551155827569E-2</v>
      </c>
      <c r="FD9" s="479" cm="1">
        <f t="array" ref="FD9">BQ9*SUMPRODUCT($W9:$X9,TRANSPOSE(Assumptions!$D$289:$D$290))/1000</f>
        <v>6.1225551155827569E-2</v>
      </c>
      <c r="FE9" s="479" cm="1">
        <f t="array" ref="FE9">BR9*SUMPRODUCT($W9:$X9,TRANSPOSE(Assumptions!$D$289:$D$290))/1000</f>
        <v>6.1225551155827569E-2</v>
      </c>
      <c r="FF9" s="479" cm="1">
        <f t="array" ref="FF9">BS9*SUMPRODUCT($W9:$X9,TRANSPOSE(Assumptions!$D$289:$D$290))/1000</f>
        <v>6.1225551155827569E-2</v>
      </c>
      <c r="FG9" s="479" cm="1">
        <f t="array" ref="FG9">BT9*SUMPRODUCT($W9:$X9,TRANSPOSE(Assumptions!$D$289:$D$290))/1000</f>
        <v>6.1225551155827569E-2</v>
      </c>
      <c r="FH9" s="479" cm="1">
        <f t="array" ref="FH9">BU9*SUMPRODUCT($W9:$X9,TRANSPOSE(Assumptions!$D$289:$D$290))/1000</f>
        <v>6.1225551155827569E-2</v>
      </c>
      <c r="FI9" s="479" cm="1">
        <f t="array" ref="FI9">BV9*SUMPRODUCT($W9:$X9,TRANSPOSE(Assumptions!$D$289:$D$290))/1000</f>
        <v>6.1225551155827569E-2</v>
      </c>
      <c r="FJ9" s="666">
        <f t="shared" ref="FJ9:FJ40" si="58">EE9-EU9</f>
        <v>1.0043018123462926</v>
      </c>
      <c r="FK9" s="666">
        <f t="shared" ref="FK9:FK40" si="59">EF9-EV9</f>
        <v>4.4598654227742589</v>
      </c>
      <c r="FL9" s="666">
        <f t="shared" ref="FL9:FL40" si="60">EG9-EW9</f>
        <v>11.138774448844174</v>
      </c>
      <c r="FM9" s="666">
        <f t="shared" ref="FM9:FM40" si="61">EH9-EX9</f>
        <v>-6.1225551155827569E-2</v>
      </c>
      <c r="FN9" s="666">
        <f t="shared" ref="FN9:FN40" si="62">EI9-EY9</f>
        <v>-6.1225551155827569E-2</v>
      </c>
      <c r="FO9" s="666">
        <f t="shared" ref="FO9:FO40" si="63">EJ9-EZ9</f>
        <v>-6.1225551155827569E-2</v>
      </c>
      <c r="FP9" s="666">
        <f t="shared" ref="FP9:FP40" si="64">EK9-FA9</f>
        <v>-6.1225551155827569E-2</v>
      </c>
      <c r="FQ9" s="666">
        <f t="shared" ref="FQ9:FQ40" si="65">EL9-FB9</f>
        <v>-6.1225551155827569E-2</v>
      </c>
      <c r="FR9" s="666">
        <f t="shared" ref="FR9:FR40" si="66">EM9-FC9</f>
        <v>-6.1225551155827569E-2</v>
      </c>
      <c r="FS9" s="666">
        <f t="shared" ref="FS9:FS40" si="67">EN9-FD9</f>
        <v>-6.1225551155827569E-2</v>
      </c>
      <c r="FT9" s="666">
        <f t="shared" ref="FT9:FT23" si="68">EO9-FE9</f>
        <v>-6.1225551155827569E-2</v>
      </c>
      <c r="FU9" s="666">
        <f t="shared" ref="FU9:FU23" si="69">EP9-FF9</f>
        <v>-6.1225551155827569E-2</v>
      </c>
      <c r="FV9" s="666">
        <f t="shared" ref="FV9:FV23" si="70">EQ9-FG9</f>
        <v>-6.1225551155827569E-2</v>
      </c>
      <c r="FW9" s="666">
        <f t="shared" ref="FW9:FW23" si="71">ER9-FH9</f>
        <v>-6.1225551155827569E-2</v>
      </c>
      <c r="FX9" s="1883">
        <f t="shared" ref="FX9:FX23" si="72">ES9-FI9</f>
        <v>-6.1225551155827569E-2</v>
      </c>
      <c r="FY9" s="1895"/>
      <c r="FZ9" s="1887">
        <f t="shared" si="37"/>
        <v>76.500000000000014</v>
      </c>
      <c r="GA9" s="664">
        <f t="shared" si="38"/>
        <v>340.00000000000006</v>
      </c>
      <c r="GB9" s="664">
        <f t="shared" si="39"/>
        <v>850.00000000000023</v>
      </c>
      <c r="GC9" s="664">
        <f t="shared" si="40"/>
        <v>0</v>
      </c>
      <c r="GD9" s="664">
        <f t="shared" si="41"/>
        <v>0</v>
      </c>
      <c r="GE9" s="664">
        <f t="shared" si="42"/>
        <v>0</v>
      </c>
      <c r="GF9" s="664">
        <f t="shared" si="43"/>
        <v>0</v>
      </c>
      <c r="GG9" s="664">
        <f t="shared" si="44"/>
        <v>0</v>
      </c>
      <c r="GH9" s="664">
        <f t="shared" si="45"/>
        <v>0</v>
      </c>
      <c r="GI9" s="664">
        <f t="shared" si="46"/>
        <v>0</v>
      </c>
      <c r="GJ9" s="664">
        <f t="shared" si="47"/>
        <v>0</v>
      </c>
      <c r="GK9" s="664">
        <f t="shared" si="48"/>
        <v>0</v>
      </c>
      <c r="GL9" s="664">
        <f t="shared" si="49"/>
        <v>0</v>
      </c>
      <c r="GM9" s="664">
        <f t="shared" si="50"/>
        <v>0</v>
      </c>
      <c r="GN9" s="1861">
        <f t="shared" si="51"/>
        <v>0</v>
      </c>
      <c r="GO9" s="1910"/>
      <c r="GP9" s="1868">
        <f>BH9*INDEX(Assumptions!G$565:G$570,MATCH($B9,Assumptions!$B$565:$B$570,0))</f>
        <v>6.3577520662755446E-2</v>
      </c>
      <c r="GQ9" s="656">
        <f>BI9*INDEX(Assumptions!H$565:H$570,MATCH($B9,Assumptions!$B$565:$B$570,0))</f>
        <v>0.3356029092747278</v>
      </c>
      <c r="GR9" s="656">
        <f>BJ9*INDEX(Assumptions!I$565:I$570,MATCH($B9,Assumptions!$B$565:$B$570,0))</f>
        <v>0.98814962958776809</v>
      </c>
      <c r="GS9" s="656">
        <f>BK9*INDEX(Assumptions!J$565:J$570,MATCH($B9,Assumptions!$B$565:$B$570,0))</f>
        <v>0.9554866154075411</v>
      </c>
      <c r="GT9" s="656">
        <f>BL9*INDEX(Assumptions!K$565:K$570,MATCH($B9,Assumptions!$B$565:$B$570,0))</f>
        <v>0.92251486883798883</v>
      </c>
      <c r="GU9" s="656">
        <f>BM9*INDEX(Assumptions!L$565:L$570,MATCH($B9,Assumptions!$B$565:$B$570,0))</f>
        <v>0.88923163697877838</v>
      </c>
      <c r="GV9" s="656">
        <f>BN9*INDEX(Assumptions!M$565:M$570,MATCH($B9,Assumptions!$B$565:$B$570,0))</f>
        <v>0.85522125003933147</v>
      </c>
      <c r="GW9" s="656">
        <f>BO9*INDEX(Assumptions!N$565:N$570,MATCH($B9,Assumptions!$B$565:$B$570,0))</f>
        <v>0.8209385663737655</v>
      </c>
      <c r="GX9" s="656">
        <f>BP9*INDEX(Assumptions!O$565:O$570,MATCH($B9,Assumptions!$B$565:$B$570,0))</f>
        <v>0.78638207423611983</v>
      </c>
      <c r="GY9" s="656">
        <f>BQ9*INDEX(Assumptions!P$565:P$570,MATCH($B9,Assumptions!$B$565:$B$570,0))</f>
        <v>0.71451526281217426</v>
      </c>
      <c r="GZ9" s="656">
        <f>BR9*INDEX(Assumptions!Q$565:Q$570,MATCH($B9,Assumptions!$B$565:$B$570,0))</f>
        <v>0</v>
      </c>
      <c r="HA9" s="656">
        <f>BS9*INDEX(Assumptions!R$565:R$570,MATCH($B9,Assumptions!$B$565:$B$570,0))</f>
        <v>1.0848660055130743</v>
      </c>
      <c r="HB9" s="656">
        <f>BT9*INDEX(Assumptions!S$565:S$570,MATCH($B9,Assumptions!$B$565:$B$570,0))</f>
        <v>1.0848660055130743</v>
      </c>
      <c r="HC9" s="656">
        <f>BU9*INDEX(Assumptions!T$565:T$570,MATCH($B9,Assumptions!$B$565:$B$570,0))</f>
        <v>1.0478309312429843</v>
      </c>
      <c r="HD9" s="1922">
        <f>BV9*INDEX(Assumptions!U$565:U$570,MATCH($B9,Assumptions!$B$565:$B$570,0))</f>
        <v>1.0107958569728943</v>
      </c>
      <c r="HE9" s="1933"/>
      <c r="HF9" s="1926">
        <f t="shared" si="52"/>
        <v>2.9867256637168141E-3</v>
      </c>
      <c r="HG9" s="1399">
        <f t="shared" si="52"/>
        <v>1.3274336283185844E-2</v>
      </c>
      <c r="HH9" s="1399">
        <f t="shared" si="52"/>
        <v>3.3185840707964605E-2</v>
      </c>
      <c r="HI9" s="1399">
        <f t="shared" si="52"/>
        <v>0</v>
      </c>
      <c r="HJ9" s="1399">
        <f t="shared" si="52"/>
        <v>0</v>
      </c>
      <c r="HK9" s="1399">
        <f t="shared" si="52"/>
        <v>0</v>
      </c>
      <c r="HL9" s="1399">
        <f t="shared" si="52"/>
        <v>0</v>
      </c>
      <c r="HM9" s="1399">
        <f t="shared" si="52"/>
        <v>0</v>
      </c>
      <c r="HN9" s="1399">
        <f t="shared" si="52"/>
        <v>0</v>
      </c>
      <c r="HO9" s="1399">
        <f t="shared" si="52"/>
        <v>0</v>
      </c>
      <c r="HP9" s="1399">
        <f t="shared" si="52"/>
        <v>0</v>
      </c>
      <c r="HQ9" s="1399">
        <f t="shared" si="52"/>
        <v>0</v>
      </c>
      <c r="HR9" s="1399">
        <f t="shared" si="52"/>
        <v>0</v>
      </c>
      <c r="HS9" s="1399">
        <f t="shared" si="52"/>
        <v>0</v>
      </c>
      <c r="HT9" s="1399">
        <f t="shared" si="52"/>
        <v>0</v>
      </c>
      <c r="HU9" s="1399"/>
      <c r="HV9" s="656">
        <f>_xlfn.XLOOKUP(D9,'KLIM 2021-30'!$C:$C,'KLIM 2021-30'!$AN:$AN)</f>
        <v>86</v>
      </c>
      <c r="HW9" s="1936">
        <f>HF9/(Assumptions!$I$651/1000000)</f>
        <v>7.5043631785010626E-5</v>
      </c>
      <c r="HX9" s="1944"/>
      <c r="HY9" s="1940">
        <v>2019</v>
      </c>
      <c r="HZ9" s="14">
        <v>2027</v>
      </c>
      <c r="IA9" s="673"/>
      <c r="IB9" s="673"/>
      <c r="IC9" s="674" t="s">
        <v>567</v>
      </c>
      <c r="ID9" s="1956" t="s">
        <v>573</v>
      </c>
      <c r="IE9" s="1953"/>
      <c r="IF9" s="1960">
        <v>1</v>
      </c>
      <c r="IG9" s="537">
        <v>1</v>
      </c>
      <c r="IH9" s="537">
        <v>1</v>
      </c>
      <c r="II9" s="537">
        <v>1</v>
      </c>
      <c r="IJ9" s="537">
        <v>1</v>
      </c>
      <c r="IK9" s="537">
        <v>1</v>
      </c>
      <c r="IL9" s="537">
        <v>1</v>
      </c>
    </row>
    <row r="10" spans="2:247" ht="13.5" customHeight="1" x14ac:dyDescent="0.3">
      <c r="B10" s="1703" t="s">
        <v>51</v>
      </c>
      <c r="C10" s="2113"/>
      <c r="D10" s="671" t="s">
        <v>574</v>
      </c>
      <c r="E10" s="1778" t="s">
        <v>575</v>
      </c>
      <c r="F10" s="1800"/>
      <c r="G10" s="1790"/>
      <c r="H10" s="1157"/>
      <c r="I10" s="1157"/>
      <c r="J10" s="70" t="s">
        <v>563</v>
      </c>
      <c r="K10" s="71" t="s">
        <v>564</v>
      </c>
      <c r="L10" s="1813" t="s">
        <v>576</v>
      </c>
      <c r="M10" s="1828"/>
      <c r="N10" s="1817"/>
      <c r="O10" s="1178">
        <v>1</v>
      </c>
      <c r="P10" s="1177"/>
      <c r="Q10" s="1177"/>
      <c r="R10" s="1177"/>
      <c r="S10" s="1445"/>
      <c r="T10" s="1445"/>
      <c r="U10" s="1445"/>
      <c r="V10" s="1445"/>
      <c r="W10" s="1445"/>
      <c r="X10" s="1445"/>
      <c r="Y10" s="1179" cm="1">
        <f t="array" ref="Y10:AC10">(TRANSPOSE(Assumptions!$E$668:$E$672)*'EE Measures'!$AD10)+(TRANSPOSE(_xlfn.ANCHORARRAY(Assumptions!$F$668))*'EE Measures'!$AE10)+(TRANSPOSE(Assumptions!$G$668:$G$672)*'EE Measures'!$AF10)</f>
        <v>0.44878839467819137</v>
      </c>
      <c r="Z10" s="1179">
        <v>9.7381699102427804E-2</v>
      </c>
      <c r="AA10" s="1179">
        <v>0.15097786861604018</v>
      </c>
      <c r="AB10" s="1179">
        <v>0.2115186959895817</v>
      </c>
      <c r="AC10" s="1179">
        <v>9.1333341613758917E-2</v>
      </c>
      <c r="AD10" s="1177"/>
      <c r="AE10" s="1180">
        <f>Assumptions!$F$651/SUM(Assumptions!$F$651:$G$651)</f>
        <v>2.266213047220475E-2</v>
      </c>
      <c r="AF10" s="1181">
        <f>1-AE10</f>
        <v>0.97733786952779522</v>
      </c>
      <c r="AG10" s="1177"/>
      <c r="AH10" s="1178">
        <v>1</v>
      </c>
      <c r="AI10" s="1177"/>
      <c r="AJ10" s="1178">
        <v>1</v>
      </c>
      <c r="AK10" s="1417">
        <f t="shared" si="53"/>
        <v>0</v>
      </c>
      <c r="AL10" s="1177"/>
      <c r="AM10" s="1177"/>
      <c r="AN10" s="1177"/>
      <c r="AO10" s="1221"/>
      <c r="AP10" s="1846"/>
      <c r="AQ10" s="1838">
        <f>INDEX(Sources!$Q$73:$Q$104,MATCH($E10,Sources!$E$73:$E$104,0))</f>
        <v>0.36582000000000003</v>
      </c>
      <c r="AR10" s="675">
        <f>_xlfn.XLOOKUP($D10,'MKM 2014-20'!$C$4:$C$28,'MKM 2014-20'!N$4:N$28)</f>
        <v>0</v>
      </c>
      <c r="AS10" s="675">
        <f>_xlfn.XLOOKUP($D10,'MKM 2014-20'!$C$4:$C$28,'MKM 2014-20'!O$4:O$28)</f>
        <v>0</v>
      </c>
      <c r="AT10" s="675">
        <f>_xlfn.XLOOKUP($D10,'MKM 2014-20'!$C$4:$C$28,'MKM 2014-20'!P$4:P$28)</f>
        <v>0</v>
      </c>
      <c r="AU10" s="675">
        <f>_xlfn.XLOOKUP($D10,'MKM 2014-20'!$C$4:$C$28,'MKM 2014-20'!Q$4:Q$28)</f>
        <v>0</v>
      </c>
      <c r="AV10" s="675">
        <f>_xlfn.XLOOKUP($D10,'MKM 2014-20'!$C$4:$C$28,'MKM 2014-20'!R$4:R$28)</f>
        <v>0</v>
      </c>
      <c r="AW10" s="675">
        <f>_xlfn.XLOOKUP($D10,'MKM 2014-20'!$C$4:$C$28,'MKM 2014-20'!S$4:S$28)</f>
        <v>0</v>
      </c>
      <c r="AX10" s="675">
        <f>_xlfn.XLOOKUP($D10,'MKM 2014-20'!$C$4:$C$28,'MKM 2014-20'!T$4:T$28)</f>
        <v>0</v>
      </c>
      <c r="AY10" s="663"/>
      <c r="AZ10" s="663"/>
      <c r="BA10" s="663"/>
      <c r="BB10" s="663"/>
      <c r="BC10" s="663"/>
      <c r="BD10" s="663"/>
      <c r="BE10" s="663"/>
      <c r="BF10" s="663"/>
      <c r="BG10" s="501">
        <f t="shared" si="54"/>
        <v>0</v>
      </c>
      <c r="BH10" s="657">
        <f t="shared" si="0"/>
        <v>0</v>
      </c>
      <c r="BI10" s="658">
        <f t="shared" si="1"/>
        <v>0</v>
      </c>
      <c r="BJ10" s="658">
        <f t="shared" si="2"/>
        <v>0</v>
      </c>
      <c r="BK10" s="658">
        <f t="shared" si="3"/>
        <v>0</v>
      </c>
      <c r="BL10" s="658">
        <f t="shared" si="4"/>
        <v>0</v>
      </c>
      <c r="BM10" s="658">
        <f t="shared" si="5"/>
        <v>0</v>
      </c>
      <c r="BN10" s="658">
        <f t="shared" si="6"/>
        <v>0</v>
      </c>
      <c r="BO10" s="658">
        <f t="shared" si="7"/>
        <v>0</v>
      </c>
      <c r="BP10" s="658">
        <f t="shared" si="8"/>
        <v>0</v>
      </c>
      <c r="BQ10" s="658">
        <f t="shared" si="9"/>
        <v>0</v>
      </c>
      <c r="BR10" s="658">
        <f t="shared" si="10"/>
        <v>0</v>
      </c>
      <c r="BS10" s="658">
        <f t="shared" si="11"/>
        <v>0</v>
      </c>
      <c r="BT10" s="658">
        <f t="shared" si="12"/>
        <v>0</v>
      </c>
      <c r="BU10" s="658">
        <f t="shared" si="13"/>
        <v>0</v>
      </c>
      <c r="BV10" s="1851">
        <f t="shared" si="14"/>
        <v>0</v>
      </c>
      <c r="BW10" s="1661"/>
      <c r="BX10" s="1855">
        <v>0</v>
      </c>
      <c r="BY10" s="1192" t="str">
        <f t="shared" si="15"/>
        <v/>
      </c>
      <c r="BZ10" s="663"/>
      <c r="CA10" s="663"/>
      <c r="CB10" s="663"/>
      <c r="CC10" s="663"/>
      <c r="CD10" s="663"/>
      <c r="CE10" s="663"/>
      <c r="CF10" s="663"/>
      <c r="CG10" s="663"/>
      <c r="CH10" s="663"/>
      <c r="CI10" s="663"/>
      <c r="CJ10" s="663"/>
      <c r="CK10" s="663"/>
      <c r="CL10" s="663"/>
      <c r="CM10" s="663"/>
      <c r="CN10" s="663"/>
      <c r="CO10" s="479">
        <f t="shared" si="17"/>
        <v>0</v>
      </c>
      <c r="CP10" s="660">
        <f t="shared" si="18"/>
        <v>0</v>
      </c>
      <c r="CQ10" s="681">
        <f>'MKM 2014-20'!X4/'MKM 2014-20'!Y4</f>
        <v>0.45731108930323849</v>
      </c>
      <c r="CR10" s="662">
        <f t="shared" si="55"/>
        <v>0.54268891069676151</v>
      </c>
      <c r="CS10" s="672" t="s">
        <v>577</v>
      </c>
      <c r="CT10" s="1862" t="str">
        <f t="shared" si="19"/>
        <v>n/a</v>
      </c>
      <c r="CU10" s="1872"/>
      <c r="CV10" s="1865">
        <f>BH10*Assumptions!D$496</f>
        <v>0</v>
      </c>
      <c r="CW10" s="659">
        <f>BI10*Assumptions!E$496</f>
        <v>0</v>
      </c>
      <c r="CX10" s="659">
        <f>BJ10*Assumptions!F$496</f>
        <v>0</v>
      </c>
      <c r="CY10" s="659">
        <f>BK10*Assumptions!G$496</f>
        <v>0</v>
      </c>
      <c r="CZ10" s="659">
        <f>BL10*Assumptions!H$496</f>
        <v>0</v>
      </c>
      <c r="DA10" s="659">
        <f>BM10*Assumptions!I$496</f>
        <v>0</v>
      </c>
      <c r="DB10" s="659">
        <f>BN10*Assumptions!J$496</f>
        <v>0</v>
      </c>
      <c r="DC10" s="659">
        <f>BO10*Assumptions!K$496</f>
        <v>0</v>
      </c>
      <c r="DD10" s="659">
        <f>BP10*Assumptions!L$496</f>
        <v>0</v>
      </c>
      <c r="DE10" s="659">
        <f>BQ10*Assumptions!M$496</f>
        <v>0</v>
      </c>
      <c r="DF10" s="659">
        <f>BR10*Assumptions!N$496</f>
        <v>0</v>
      </c>
      <c r="DG10" s="659">
        <f>BS10*Assumptions!O$496</f>
        <v>0</v>
      </c>
      <c r="DH10" s="659">
        <f>BT10*Assumptions!P$496</f>
        <v>0</v>
      </c>
      <c r="DI10" s="659">
        <f>BU10*Assumptions!Q$496</f>
        <v>0</v>
      </c>
      <c r="DJ10" s="659">
        <f>BV10*Assumptions!R$496</f>
        <v>0</v>
      </c>
      <c r="DK10" s="675">
        <f>BH10*Assumptions!D$503</f>
        <v>0</v>
      </c>
      <c r="DL10" s="675">
        <f>BI10*Assumptions!E$503</f>
        <v>0</v>
      </c>
      <c r="DM10" s="675">
        <f>BJ10*Assumptions!F$503</f>
        <v>0</v>
      </c>
      <c r="DN10" s="675">
        <f>BK10*Assumptions!G$503</f>
        <v>0</v>
      </c>
      <c r="DO10" s="675">
        <f>BL10*Assumptions!H$503</f>
        <v>0</v>
      </c>
      <c r="DP10" s="675">
        <f>BM10*Assumptions!I$503</f>
        <v>0</v>
      </c>
      <c r="DQ10" s="675">
        <f>BN10*Assumptions!J$503</f>
        <v>0</v>
      </c>
      <c r="DR10" s="675">
        <f>BO10*Assumptions!K$503</f>
        <v>0</v>
      </c>
      <c r="DS10" s="675">
        <f>BP10*Assumptions!L$503</f>
        <v>0</v>
      </c>
      <c r="DT10" s="675">
        <f>BQ10*Assumptions!M$503</f>
        <v>0</v>
      </c>
      <c r="DU10" s="675">
        <f>BR10*Assumptions!N$503</f>
        <v>0</v>
      </c>
      <c r="DV10" s="675">
        <f>BS10*Assumptions!O$503</f>
        <v>0</v>
      </c>
      <c r="DW10" s="675">
        <f>BT10*Assumptions!P$503</f>
        <v>0</v>
      </c>
      <c r="DX10" s="675">
        <f>BU10*Assumptions!Q$503</f>
        <v>0</v>
      </c>
      <c r="DY10" s="675">
        <f>BV10*Assumptions!R$503</f>
        <v>0</v>
      </c>
      <c r="DZ10" s="678">
        <v>0</v>
      </c>
      <c r="EA10" s="661">
        <f t="shared" si="56"/>
        <v>1</v>
      </c>
      <c r="EB10" s="1861">
        <f t="shared" si="20"/>
        <v>0</v>
      </c>
      <c r="EC10" s="1881"/>
      <c r="ED10" s="1877">
        <v>0</v>
      </c>
      <c r="EE10" s="665">
        <f t="shared" si="21"/>
        <v>0</v>
      </c>
      <c r="EF10" s="665">
        <f t="shared" si="22"/>
        <v>0</v>
      </c>
      <c r="EG10" s="665">
        <f t="shared" si="23"/>
        <v>0</v>
      </c>
      <c r="EH10" s="665">
        <f t="shared" si="24"/>
        <v>0</v>
      </c>
      <c r="EI10" s="665">
        <f t="shared" si="25"/>
        <v>0</v>
      </c>
      <c r="EJ10" s="665">
        <f t="shared" si="26"/>
        <v>0</v>
      </c>
      <c r="EK10" s="665">
        <f t="shared" si="27"/>
        <v>0</v>
      </c>
      <c r="EL10" s="665">
        <f t="shared" si="28"/>
        <v>0</v>
      </c>
      <c r="EM10" s="665">
        <f t="shared" si="29"/>
        <v>0</v>
      </c>
      <c r="EN10" s="665">
        <f t="shared" si="30"/>
        <v>0</v>
      </c>
      <c r="EO10" s="665">
        <f t="shared" si="31"/>
        <v>0</v>
      </c>
      <c r="EP10" s="665">
        <f t="shared" si="32"/>
        <v>0</v>
      </c>
      <c r="EQ10" s="665">
        <f t="shared" si="33"/>
        <v>0</v>
      </c>
      <c r="ER10" s="665">
        <f t="shared" si="34"/>
        <v>0</v>
      </c>
      <c r="ES10" s="665">
        <f t="shared" si="35"/>
        <v>0</v>
      </c>
      <c r="ET10" s="541">
        <f t="shared" si="57"/>
        <v>0</v>
      </c>
      <c r="EU10" s="479" cm="1">
        <f t="array" ref="EU10">BH10*SUMPRODUCT($W10:$X10,TRANSPOSE(Assumptions!$D$289:$D$290))/1000</f>
        <v>0</v>
      </c>
      <c r="EV10" s="479" cm="1">
        <f t="array" ref="EV10">BI10*SUMPRODUCT($W10:$X10,TRANSPOSE(Assumptions!$D$289:$D$290))/1000</f>
        <v>0</v>
      </c>
      <c r="EW10" s="479" cm="1">
        <f t="array" ref="EW10">BJ10*SUMPRODUCT($W10:$X10,TRANSPOSE(Assumptions!$D$289:$D$290))/1000</f>
        <v>0</v>
      </c>
      <c r="EX10" s="479" cm="1">
        <f t="array" ref="EX10">BK10*SUMPRODUCT($W10:$X10,TRANSPOSE(Assumptions!$D$289:$D$290))/1000</f>
        <v>0</v>
      </c>
      <c r="EY10" s="479" cm="1">
        <f t="array" ref="EY10">BL10*SUMPRODUCT($W10:$X10,TRANSPOSE(Assumptions!$D$289:$D$290))/1000</f>
        <v>0</v>
      </c>
      <c r="EZ10" s="479" cm="1">
        <f t="array" ref="EZ10">BM10*SUMPRODUCT($W10:$X10,TRANSPOSE(Assumptions!$D$289:$D$290))/1000</f>
        <v>0</v>
      </c>
      <c r="FA10" s="479" cm="1">
        <f t="array" ref="FA10">BN10*SUMPRODUCT($W10:$X10,TRANSPOSE(Assumptions!$D$289:$D$290))/1000</f>
        <v>0</v>
      </c>
      <c r="FB10" s="479" cm="1">
        <f t="array" ref="FB10">BO10*SUMPRODUCT($W10:$X10,TRANSPOSE(Assumptions!$D$289:$D$290))/1000</f>
        <v>0</v>
      </c>
      <c r="FC10" s="479" cm="1">
        <f t="array" ref="FC10">BP10*SUMPRODUCT($W10:$X10,TRANSPOSE(Assumptions!$D$289:$D$290))/1000</f>
        <v>0</v>
      </c>
      <c r="FD10" s="479" cm="1">
        <f t="array" ref="FD10">BQ10*SUMPRODUCT($W10:$X10,TRANSPOSE(Assumptions!$D$289:$D$290))/1000</f>
        <v>0</v>
      </c>
      <c r="FE10" s="479" cm="1">
        <f t="array" ref="FE10">BR10*SUMPRODUCT($W10:$X10,TRANSPOSE(Assumptions!$D$289:$D$290))/1000</f>
        <v>0</v>
      </c>
      <c r="FF10" s="479" cm="1">
        <f t="array" ref="FF10">BS10*SUMPRODUCT($W10:$X10,TRANSPOSE(Assumptions!$D$289:$D$290))/1000</f>
        <v>0</v>
      </c>
      <c r="FG10" s="479" cm="1">
        <f t="array" ref="FG10">BT10*SUMPRODUCT($W10:$X10,TRANSPOSE(Assumptions!$D$289:$D$290))/1000</f>
        <v>0</v>
      </c>
      <c r="FH10" s="479" cm="1">
        <f t="array" ref="FH10">BU10*SUMPRODUCT($W10:$X10,TRANSPOSE(Assumptions!$D$289:$D$290))/1000</f>
        <v>0</v>
      </c>
      <c r="FI10" s="479" cm="1">
        <f t="array" ref="FI10">BV10*SUMPRODUCT($W10:$X10,TRANSPOSE(Assumptions!$D$289:$D$290))/1000</f>
        <v>0</v>
      </c>
      <c r="FJ10" s="666">
        <f t="shared" si="58"/>
        <v>0</v>
      </c>
      <c r="FK10" s="666">
        <f t="shared" si="59"/>
        <v>0</v>
      </c>
      <c r="FL10" s="666">
        <f t="shared" si="60"/>
        <v>0</v>
      </c>
      <c r="FM10" s="666">
        <f t="shared" si="61"/>
        <v>0</v>
      </c>
      <c r="FN10" s="666">
        <f t="shared" si="62"/>
        <v>0</v>
      </c>
      <c r="FO10" s="666">
        <f t="shared" si="63"/>
        <v>0</v>
      </c>
      <c r="FP10" s="666">
        <f t="shared" si="64"/>
        <v>0</v>
      </c>
      <c r="FQ10" s="666">
        <f t="shared" si="65"/>
        <v>0</v>
      </c>
      <c r="FR10" s="666">
        <f t="shared" si="66"/>
        <v>0</v>
      </c>
      <c r="FS10" s="666">
        <f t="shared" si="67"/>
        <v>0</v>
      </c>
      <c r="FT10" s="666">
        <f t="shared" si="68"/>
        <v>0</v>
      </c>
      <c r="FU10" s="666">
        <f t="shared" si="69"/>
        <v>0</v>
      </c>
      <c r="FV10" s="666">
        <f t="shared" si="70"/>
        <v>0</v>
      </c>
      <c r="FW10" s="666">
        <f t="shared" si="71"/>
        <v>0</v>
      </c>
      <c r="FX10" s="1883">
        <f t="shared" si="72"/>
        <v>0</v>
      </c>
      <c r="FY10" s="1895"/>
      <c r="FZ10" s="1887">
        <f t="shared" si="37"/>
        <v>0</v>
      </c>
      <c r="GA10" s="664">
        <f t="shared" si="38"/>
        <v>0</v>
      </c>
      <c r="GB10" s="664">
        <f t="shared" si="39"/>
        <v>0</v>
      </c>
      <c r="GC10" s="664">
        <f t="shared" si="40"/>
        <v>0</v>
      </c>
      <c r="GD10" s="664">
        <f t="shared" si="41"/>
        <v>0</v>
      </c>
      <c r="GE10" s="664">
        <f t="shared" si="42"/>
        <v>0</v>
      </c>
      <c r="GF10" s="664">
        <f t="shared" si="43"/>
        <v>0</v>
      </c>
      <c r="GG10" s="664">
        <f t="shared" si="44"/>
        <v>0</v>
      </c>
      <c r="GH10" s="664">
        <f t="shared" si="45"/>
        <v>0</v>
      </c>
      <c r="GI10" s="664">
        <f t="shared" si="46"/>
        <v>0</v>
      </c>
      <c r="GJ10" s="664">
        <f t="shared" si="47"/>
        <v>0</v>
      </c>
      <c r="GK10" s="664">
        <f t="shared" si="48"/>
        <v>0</v>
      </c>
      <c r="GL10" s="664">
        <f t="shared" si="49"/>
        <v>0</v>
      </c>
      <c r="GM10" s="664">
        <f t="shared" si="50"/>
        <v>0</v>
      </c>
      <c r="GN10" s="1861">
        <f t="shared" si="51"/>
        <v>0</v>
      </c>
      <c r="GO10" s="1910"/>
      <c r="GP10" s="1868">
        <f>BH10*INDEX(Assumptions!G$565:G$570,MATCH($B10,Assumptions!$B$565:$B$570,0))</f>
        <v>0</v>
      </c>
      <c r="GQ10" s="656">
        <f>BI10*INDEX(Assumptions!H$565:H$570,MATCH($B10,Assumptions!$B$565:$B$570,0))</f>
        <v>0</v>
      </c>
      <c r="GR10" s="656">
        <f>BJ10*INDEX(Assumptions!I$565:I$570,MATCH($B10,Assumptions!$B$565:$B$570,0))</f>
        <v>0</v>
      </c>
      <c r="GS10" s="656">
        <f>BK10*INDEX(Assumptions!J$565:J$570,MATCH($B10,Assumptions!$B$565:$B$570,0))</f>
        <v>0</v>
      </c>
      <c r="GT10" s="656">
        <f>BL10*INDEX(Assumptions!K$565:K$570,MATCH($B10,Assumptions!$B$565:$B$570,0))</f>
        <v>0</v>
      </c>
      <c r="GU10" s="656">
        <f>BM10*INDEX(Assumptions!L$565:L$570,MATCH($B10,Assumptions!$B$565:$B$570,0))</f>
        <v>0</v>
      </c>
      <c r="GV10" s="656">
        <f>BN10*INDEX(Assumptions!M$565:M$570,MATCH($B10,Assumptions!$B$565:$B$570,0))</f>
        <v>0</v>
      </c>
      <c r="GW10" s="656">
        <f>BO10*INDEX(Assumptions!N$565:N$570,MATCH($B10,Assumptions!$B$565:$B$570,0))</f>
        <v>0</v>
      </c>
      <c r="GX10" s="656">
        <f>BP10*INDEX(Assumptions!O$565:O$570,MATCH($B10,Assumptions!$B$565:$B$570,0))</f>
        <v>0</v>
      </c>
      <c r="GY10" s="656">
        <f>BQ10*INDEX(Assumptions!P$565:P$570,MATCH($B10,Assumptions!$B$565:$B$570,0))</f>
        <v>0</v>
      </c>
      <c r="GZ10" s="656">
        <f>BR10*INDEX(Assumptions!Q$565:Q$570,MATCH($B10,Assumptions!$B$565:$B$570,0))</f>
        <v>0</v>
      </c>
      <c r="HA10" s="656">
        <f>BS10*INDEX(Assumptions!R$565:R$570,MATCH($B10,Assumptions!$B$565:$B$570,0))</f>
        <v>0</v>
      </c>
      <c r="HB10" s="656">
        <f>BT10*INDEX(Assumptions!S$565:S$570,MATCH($B10,Assumptions!$B$565:$B$570,0))</f>
        <v>0</v>
      </c>
      <c r="HC10" s="656">
        <f>BU10*INDEX(Assumptions!T$565:T$570,MATCH($B10,Assumptions!$B$565:$B$570,0))</f>
        <v>0</v>
      </c>
      <c r="HD10" s="1922">
        <f>BV10*INDEX(Assumptions!U$565:U$570,MATCH($B10,Assumptions!$B$565:$B$570,0))</f>
        <v>0</v>
      </c>
      <c r="HE10" s="1933"/>
      <c r="HF10" s="1926">
        <f t="shared" si="52"/>
        <v>0</v>
      </c>
      <c r="HG10" s="1399">
        <f t="shared" si="52"/>
        <v>0</v>
      </c>
      <c r="HH10" s="1399">
        <f t="shared" si="52"/>
        <v>0</v>
      </c>
      <c r="HI10" s="1399">
        <f t="shared" si="52"/>
        <v>0</v>
      </c>
      <c r="HJ10" s="1399">
        <f t="shared" si="52"/>
        <v>0</v>
      </c>
      <c r="HK10" s="1399">
        <f t="shared" si="52"/>
        <v>0</v>
      </c>
      <c r="HL10" s="1399">
        <f t="shared" si="52"/>
        <v>0</v>
      </c>
      <c r="HM10" s="1399">
        <f t="shared" si="52"/>
        <v>0</v>
      </c>
      <c r="HN10" s="1399">
        <f t="shared" si="52"/>
        <v>0</v>
      </c>
      <c r="HO10" s="1399">
        <f t="shared" si="52"/>
        <v>0</v>
      </c>
      <c r="HP10" s="1399">
        <f t="shared" si="52"/>
        <v>0</v>
      </c>
      <c r="HQ10" s="1399">
        <f t="shared" si="52"/>
        <v>0</v>
      </c>
      <c r="HR10" s="1399">
        <f t="shared" si="52"/>
        <v>0</v>
      </c>
      <c r="HS10" s="1399">
        <f t="shared" si="52"/>
        <v>0</v>
      </c>
      <c r="HT10" s="1399">
        <f t="shared" si="52"/>
        <v>0</v>
      </c>
      <c r="HU10" s="1399"/>
      <c r="HV10" s="494">
        <f>HV8</f>
        <v>60</v>
      </c>
      <c r="HW10" s="1936">
        <f>HF10/(Assumptions!$I$651/1000000)</f>
        <v>0</v>
      </c>
      <c r="HX10" s="1944"/>
      <c r="HY10" s="1940">
        <v>2016</v>
      </c>
      <c r="HZ10" s="14">
        <v>2027</v>
      </c>
      <c r="IA10" s="673"/>
      <c r="IB10" s="673"/>
      <c r="IC10" s="674" t="s">
        <v>578</v>
      </c>
      <c r="ID10" s="1956" t="s">
        <v>579</v>
      </c>
      <c r="IE10" s="1953"/>
      <c r="IF10" s="1960">
        <v>1</v>
      </c>
      <c r="IG10" s="537">
        <v>1</v>
      </c>
      <c r="IH10" s="537">
        <v>1</v>
      </c>
      <c r="II10" s="537">
        <v>1</v>
      </c>
      <c r="IJ10" s="537">
        <v>1</v>
      </c>
      <c r="IK10" s="537">
        <v>1</v>
      </c>
      <c r="IL10" s="537">
        <v>1</v>
      </c>
    </row>
    <row r="11" spans="2:247" ht="13.5" customHeight="1" x14ac:dyDescent="0.3">
      <c r="B11" s="1703" t="s">
        <v>51</v>
      </c>
      <c r="C11" s="2117"/>
      <c r="D11" s="671" t="s">
        <v>580</v>
      </c>
      <c r="E11" s="1778" t="s">
        <v>581</v>
      </c>
      <c r="F11" s="1800"/>
      <c r="G11" s="1791"/>
      <c r="H11" s="1157"/>
      <c r="I11" s="1158"/>
      <c r="J11" s="70" t="s">
        <v>563</v>
      </c>
      <c r="K11" s="71" t="s">
        <v>564</v>
      </c>
      <c r="L11" s="2043" t="s">
        <v>565</v>
      </c>
      <c r="M11" s="1827"/>
      <c r="N11" s="1817"/>
      <c r="O11" s="1178">
        <v>1</v>
      </c>
      <c r="P11" s="1177"/>
      <c r="Q11" s="1177"/>
      <c r="R11" s="1177"/>
      <c r="S11" s="1445" cm="1">
        <f t="array" ref="S11:X11">TRANSPOSE(_xlfn.XLOOKUP(B11,Assumptions!$C$134:$I$134,Assumptions!$C$135:$I$140))</f>
        <v>0</v>
      </c>
      <c r="T11" s="1445">
        <v>0</v>
      </c>
      <c r="U11" s="1445">
        <v>0</v>
      </c>
      <c r="V11" s="1445">
        <v>0</v>
      </c>
      <c r="W11" s="1445">
        <v>0.81424863687308147</v>
      </c>
      <c r="X11" s="1445">
        <v>0.18575136312691845</v>
      </c>
      <c r="Y11" s="1179" cm="1">
        <f t="array" ref="Y11:AC11">(TRANSPOSE(Assumptions!$E$668:$E$672)*'EE Measures'!$AD11)+(TRANSPOSE(_xlfn.ANCHORARRAY(Assumptions!$F$668))*'EE Measures'!$AE11)+(TRANSPOSE(Assumptions!$G$668:$G$672)*'EE Measures'!$AF11)</f>
        <v>0.3493177927472812</v>
      </c>
      <c r="Z11" s="1179">
        <v>0.13834389985211143</v>
      </c>
      <c r="AA11" s="1179">
        <v>0.10633141466937233</v>
      </c>
      <c r="AB11" s="1179">
        <v>0.27963140047845425</v>
      </c>
      <c r="AC11" s="1179">
        <v>0.12637549225278072</v>
      </c>
      <c r="AD11" s="1182">
        <f>Assumptions!E667</f>
        <v>0.43192607108744491</v>
      </c>
      <c r="AE11" s="1180">
        <f>Assumptions!F667</f>
        <v>1.287376549487429E-2</v>
      </c>
      <c r="AF11" s="1181">
        <f>Assumptions!G667</f>
        <v>0.55520016341768075</v>
      </c>
      <c r="AG11" s="1177"/>
      <c r="AH11" s="1178">
        <v>1</v>
      </c>
      <c r="AI11" s="1177"/>
      <c r="AJ11" s="1178">
        <v>1</v>
      </c>
      <c r="AK11" s="1417">
        <f t="shared" si="53"/>
        <v>0</v>
      </c>
      <c r="AL11" s="1177"/>
      <c r="AM11" s="1177"/>
      <c r="AN11" s="1177"/>
      <c r="AO11" s="1221"/>
      <c r="AP11" s="1846"/>
      <c r="AQ11" s="1837">
        <f>AVERAGE(AR11:BA11)</f>
        <v>0.16700000000000004</v>
      </c>
      <c r="AR11" s="656">
        <f>_xlfn.XLOOKUP($D11,'KLIM 2021-30'!$C$4:$C$40,'KLIM 2021-30'!T$4:T$40)</f>
        <v>0.16700000000000004</v>
      </c>
      <c r="AS11" s="656">
        <f>_xlfn.XLOOKUP($D11,'KLIM 2021-30'!$C$4:$C$40,'KLIM 2021-30'!U$4:U$40)</f>
        <v>0.16700000000000004</v>
      </c>
      <c r="AT11" s="656">
        <f>_xlfn.XLOOKUP($D11,'KLIM 2021-30'!$C$4:$C$40,'KLIM 2021-30'!V$4:V$40)</f>
        <v>0.16700000000000004</v>
      </c>
      <c r="AU11" s="656">
        <f>_xlfn.XLOOKUP($D11,'KLIM 2021-30'!$C$4:$C$40,'KLIM 2021-30'!W$4:W$40)</f>
        <v>0.16700000000000004</v>
      </c>
      <c r="AV11" s="656">
        <f>_xlfn.XLOOKUP($D11,'KLIM 2021-30'!$C$4:$C$40,'KLIM 2021-30'!X$4:X$40)</f>
        <v>0.16700000000000004</v>
      </c>
      <c r="AW11" s="656">
        <f>_xlfn.XLOOKUP($D11,'KLIM 2021-30'!$C$4:$C$40,'KLIM 2021-30'!Y$4:Y$40)</f>
        <v>0.16700000000000004</v>
      </c>
      <c r="AX11" s="656">
        <f>_xlfn.XLOOKUP($D11,'KLIM 2021-30'!$C$4:$C$40,'KLIM 2021-30'!Z$4:Z$40)</f>
        <v>0.16700000000000004</v>
      </c>
      <c r="AY11" s="663"/>
      <c r="AZ11" s="663"/>
      <c r="BA11" s="663"/>
      <c r="BB11" s="663"/>
      <c r="BC11" s="663"/>
      <c r="BD11" s="663"/>
      <c r="BE11" s="663"/>
      <c r="BF11" s="663"/>
      <c r="BG11" s="501">
        <f t="shared" si="54"/>
        <v>0.16700000000000004</v>
      </c>
      <c r="BH11" s="657">
        <f t="shared" si="0"/>
        <v>0.16700000000000004</v>
      </c>
      <c r="BI11" s="658">
        <f t="shared" si="1"/>
        <v>0.33400000000000007</v>
      </c>
      <c r="BJ11" s="658">
        <f t="shared" si="2"/>
        <v>0.50100000000000011</v>
      </c>
      <c r="BK11" s="658">
        <f t="shared" si="3"/>
        <v>0.66800000000000015</v>
      </c>
      <c r="BL11" s="658">
        <f t="shared" si="4"/>
        <v>0.83500000000000019</v>
      </c>
      <c r="BM11" s="658">
        <f t="shared" si="5"/>
        <v>1.0020000000000002</v>
      </c>
      <c r="BN11" s="658">
        <f t="shared" si="6"/>
        <v>1.1690000000000003</v>
      </c>
      <c r="BO11" s="658">
        <f t="shared" si="7"/>
        <v>1.1690000000000003</v>
      </c>
      <c r="BP11" s="658">
        <f t="shared" si="8"/>
        <v>1.1690000000000003</v>
      </c>
      <c r="BQ11" s="658">
        <f t="shared" si="9"/>
        <v>1.1690000000000003</v>
      </c>
      <c r="BR11" s="658">
        <f t="shared" si="10"/>
        <v>1.1690000000000003</v>
      </c>
      <c r="BS11" s="658">
        <f t="shared" si="11"/>
        <v>1.1690000000000003</v>
      </c>
      <c r="BT11" s="658">
        <f t="shared" si="12"/>
        <v>1.1690000000000003</v>
      </c>
      <c r="BU11" s="658">
        <f t="shared" si="13"/>
        <v>1.1690000000000003</v>
      </c>
      <c r="BV11" s="1851">
        <f t="shared" si="14"/>
        <v>1.1690000000000003</v>
      </c>
      <c r="BW11" s="1661"/>
      <c r="BX11" s="1854">
        <f>(_xlfn.XLOOKUP(D11,'KLIM 2021-30'!$C$4:$C$40,'KLIM 2021-30'!$G$4:$G$40)/1000000)/CQ11</f>
        <v>0</v>
      </c>
      <c r="BY11" s="1192">
        <f t="shared" si="15"/>
        <v>0</v>
      </c>
      <c r="BZ11" s="680">
        <f t="shared" ref="BZ11:CF12" si="73">($BX11)*(AR11/SUM($AR11:$BA11))</f>
        <v>0</v>
      </c>
      <c r="CA11" s="680">
        <f t="shared" si="73"/>
        <v>0</v>
      </c>
      <c r="CB11" s="680">
        <f t="shared" si="73"/>
        <v>0</v>
      </c>
      <c r="CC11" s="680">
        <f t="shared" si="73"/>
        <v>0</v>
      </c>
      <c r="CD11" s="680">
        <f t="shared" si="73"/>
        <v>0</v>
      </c>
      <c r="CE11" s="680">
        <f t="shared" si="73"/>
        <v>0</v>
      </c>
      <c r="CF11" s="680">
        <f t="shared" si="73"/>
        <v>0</v>
      </c>
      <c r="CG11" s="663"/>
      <c r="CH11" s="663"/>
      <c r="CI11" s="663"/>
      <c r="CJ11" s="663"/>
      <c r="CK11" s="663"/>
      <c r="CL11" s="663"/>
      <c r="CM11" s="663"/>
      <c r="CN11" s="663"/>
      <c r="CO11" s="479">
        <f t="shared" si="17"/>
        <v>0</v>
      </c>
      <c r="CP11" s="660">
        <f t="shared" si="18"/>
        <v>0</v>
      </c>
      <c r="CQ11" s="681">
        <f>'MKM 2014-20'!X5/'MKM 2014-20'!Y5</f>
        <v>0.44096013658876831</v>
      </c>
      <c r="CR11" s="662">
        <f t="shared" si="55"/>
        <v>0.55903986341123169</v>
      </c>
      <c r="CS11" s="672" t="s">
        <v>582</v>
      </c>
      <c r="CT11" s="1862">
        <f t="shared" si="19"/>
        <v>0</v>
      </c>
      <c r="CU11" s="1872"/>
      <c r="CV11" s="1865">
        <f>BH11*Assumptions!D$496</f>
        <v>1.3554292073694041E-2</v>
      </c>
      <c r="CW11" s="659">
        <f>BI11*Assumptions!E$496</f>
        <v>2.791614015781451E-2</v>
      </c>
      <c r="CX11" s="659">
        <f>BJ11*Assumptions!F$496</f>
        <v>4.3122401250465771E-2</v>
      </c>
      <c r="CY11" s="659">
        <f>BK11*Assumptions!G$496</f>
        <v>5.9858204049757426E-2</v>
      </c>
      <c r="CZ11" s="659">
        <f>BL11*Assumptions!H$496</f>
        <v>7.7462592807569994E-2</v>
      </c>
      <c r="DA11" s="659">
        <f>BM11*Assumptions!I$496</f>
        <v>9.5689445551192132E-2</v>
      </c>
      <c r="DB11" s="659">
        <f>BN11*Assumptions!J$496</f>
        <v>0.11491852723487629</v>
      </c>
      <c r="DC11" s="659">
        <f>BO11*Assumptions!K$496</f>
        <v>0.1182988654459699</v>
      </c>
      <c r="DD11" s="659">
        <f>BP11*Assumptions!L$496</f>
        <v>0.12178171747999987</v>
      </c>
      <c r="DE11" s="659">
        <f>BQ11*Assumptions!M$496</f>
        <v>0.1253701908860792</v>
      </c>
      <c r="DF11" s="659">
        <f>BR11*Assumptions!N$496</f>
        <v>0.12902597916601038</v>
      </c>
      <c r="DG11" s="659">
        <f>BS11*Assumptions!O$496</f>
        <v>0.13279144109433955</v>
      </c>
      <c r="DH11" s="659">
        <f>BT11*Assumptions!P$496</f>
        <v>0.13666986688051855</v>
      </c>
      <c r="DI11" s="659">
        <f>BU11*Assumptions!Q$496</f>
        <v>0.14066464544028295</v>
      </c>
      <c r="DJ11" s="659">
        <f>BV11*Assumptions!R$496</f>
        <v>0.1447792673568403</v>
      </c>
      <c r="DK11" s="675">
        <f>BH11*Assumptions!D$503</f>
        <v>1.3554292073694041E-2</v>
      </c>
      <c r="DL11" s="675">
        <f>BI11*Assumptions!E$503</f>
        <v>2.791614015781451E-2</v>
      </c>
      <c r="DM11" s="675">
        <f>BJ11*Assumptions!F$503</f>
        <v>4.3122401250465771E-2</v>
      </c>
      <c r="DN11" s="675">
        <f>BK11*Assumptions!G$503</f>
        <v>5.9858204049757426E-2</v>
      </c>
      <c r="DO11" s="675">
        <f>BL11*Assumptions!H$503</f>
        <v>8.1619024635018383E-2</v>
      </c>
      <c r="DP11" s="675">
        <f>BM11*Assumptions!I$503</f>
        <v>0.10074854583024474</v>
      </c>
      <c r="DQ11" s="675">
        <f>BN11*Assumptions!J$503</f>
        <v>0.12090395395040489</v>
      </c>
      <c r="DR11" s="675">
        <f>BO11*Assumptions!K$503</f>
        <v>0.12436813874006071</v>
      </c>
      <c r="DS11" s="675">
        <f>BP11*Assumptions!L$503</f>
        <v>0.1279355384656066</v>
      </c>
      <c r="DT11" s="675">
        <f>BQ11*Assumptions!M$503</f>
        <v>0.1316092581784194</v>
      </c>
      <c r="DU11" s="675">
        <f>BR11*Assumptions!N$503</f>
        <v>0.13536350706185532</v>
      </c>
      <c r="DV11" s="675">
        <f>BS11*Assumptions!O$503</f>
        <v>0.13922849955448552</v>
      </c>
      <c r="DW11" s="675">
        <f>BT11*Assumptions!P$503</f>
        <v>0.14320752651496546</v>
      </c>
      <c r="DX11" s="675">
        <f>BU11*Assumptions!Q$503</f>
        <v>0.14730397729603864</v>
      </c>
      <c r="DY11" s="675">
        <f>BV11*Assumptions!R$503</f>
        <v>0.15152134270625217</v>
      </c>
      <c r="DZ11" s="678">
        <v>0</v>
      </c>
      <c r="EA11" s="661">
        <f t="shared" si="56"/>
        <v>1</v>
      </c>
      <c r="EB11" s="1861">
        <f t="shared" si="20"/>
        <v>7.9797237693741918E-2</v>
      </c>
      <c r="EC11" s="1881"/>
      <c r="ED11" s="1877">
        <v>0</v>
      </c>
      <c r="EE11" s="665">
        <f t="shared" si="21"/>
        <v>0</v>
      </c>
      <c r="EF11" s="665">
        <f t="shared" si="22"/>
        <v>0</v>
      </c>
      <c r="EG11" s="665">
        <f t="shared" si="23"/>
        <v>0</v>
      </c>
      <c r="EH11" s="665">
        <f t="shared" si="24"/>
        <v>0</v>
      </c>
      <c r="EI11" s="665">
        <f t="shared" si="25"/>
        <v>0</v>
      </c>
      <c r="EJ11" s="665">
        <f t="shared" si="26"/>
        <v>0</v>
      </c>
      <c r="EK11" s="665">
        <f t="shared" si="27"/>
        <v>0</v>
      </c>
      <c r="EL11" s="665">
        <f t="shared" si="28"/>
        <v>0</v>
      </c>
      <c r="EM11" s="665">
        <f t="shared" si="29"/>
        <v>0</v>
      </c>
      <c r="EN11" s="665">
        <f t="shared" si="30"/>
        <v>0</v>
      </c>
      <c r="EO11" s="665">
        <f t="shared" si="31"/>
        <v>0</v>
      </c>
      <c r="EP11" s="665">
        <f t="shared" si="32"/>
        <v>0</v>
      </c>
      <c r="EQ11" s="665">
        <f t="shared" si="33"/>
        <v>0</v>
      </c>
      <c r="ER11" s="665">
        <f t="shared" si="34"/>
        <v>0</v>
      </c>
      <c r="ES11" s="665">
        <f t="shared" si="35"/>
        <v>0</v>
      </c>
      <c r="ET11" s="541">
        <f t="shared" si="57"/>
        <v>0</v>
      </c>
      <c r="EU11" s="479" cm="1">
        <f t="array" ref="EU11">BH11*SUMPRODUCT($W11:$X11,TRANSPOSE(Assumptions!$D$289:$D$290))/1000</f>
        <v>2.4726227635269711E-3</v>
      </c>
      <c r="EV11" s="479" cm="1">
        <f t="array" ref="EV11">BI11*SUMPRODUCT($W11:$X11,TRANSPOSE(Assumptions!$D$289:$D$290))/1000</f>
        <v>4.9452455270539422E-3</v>
      </c>
      <c r="EW11" s="479" cm="1">
        <f t="array" ref="EW11">BJ11*SUMPRODUCT($W11:$X11,TRANSPOSE(Assumptions!$D$289:$D$290))/1000</f>
        <v>7.4178682905809137E-3</v>
      </c>
      <c r="EX11" s="479" cm="1">
        <f t="array" ref="EX11">BK11*SUMPRODUCT($W11:$X11,TRANSPOSE(Assumptions!$D$289:$D$290))/1000</f>
        <v>9.8904910541078844E-3</v>
      </c>
      <c r="EY11" s="479" cm="1">
        <f t="array" ref="EY11">BL11*SUMPRODUCT($W11:$X11,TRANSPOSE(Assumptions!$D$289:$D$290))/1000</f>
        <v>1.2363113817634856E-2</v>
      </c>
      <c r="EZ11" s="479" cm="1">
        <f t="array" ref="EZ11">BM11*SUMPRODUCT($W11:$X11,TRANSPOSE(Assumptions!$D$289:$D$290))/1000</f>
        <v>1.4835736581161827E-2</v>
      </c>
      <c r="FA11" s="479" cm="1">
        <f t="array" ref="FA11">BN11*SUMPRODUCT($W11:$X11,TRANSPOSE(Assumptions!$D$289:$D$290))/1000</f>
        <v>1.7308359344688801E-2</v>
      </c>
      <c r="FB11" s="479" cm="1">
        <f t="array" ref="FB11">BO11*SUMPRODUCT($W11:$X11,TRANSPOSE(Assumptions!$D$289:$D$290))/1000</f>
        <v>1.7308359344688801E-2</v>
      </c>
      <c r="FC11" s="479" cm="1">
        <f t="array" ref="FC11">BP11*SUMPRODUCT($W11:$X11,TRANSPOSE(Assumptions!$D$289:$D$290))/1000</f>
        <v>1.7308359344688801E-2</v>
      </c>
      <c r="FD11" s="479" cm="1">
        <f t="array" ref="FD11">BQ11*SUMPRODUCT($W11:$X11,TRANSPOSE(Assumptions!$D$289:$D$290))/1000</f>
        <v>1.7308359344688801E-2</v>
      </c>
      <c r="FE11" s="479" cm="1">
        <f t="array" ref="FE11">BR11*SUMPRODUCT($W11:$X11,TRANSPOSE(Assumptions!$D$289:$D$290))/1000</f>
        <v>1.7308359344688801E-2</v>
      </c>
      <c r="FF11" s="479" cm="1">
        <f t="array" ref="FF11">BS11*SUMPRODUCT($W11:$X11,TRANSPOSE(Assumptions!$D$289:$D$290))/1000</f>
        <v>1.7308359344688801E-2</v>
      </c>
      <c r="FG11" s="479" cm="1">
        <f t="array" ref="FG11">BT11*SUMPRODUCT($W11:$X11,TRANSPOSE(Assumptions!$D$289:$D$290))/1000</f>
        <v>1.7308359344688801E-2</v>
      </c>
      <c r="FH11" s="479" cm="1">
        <f t="array" ref="FH11">BU11*SUMPRODUCT($W11:$X11,TRANSPOSE(Assumptions!$D$289:$D$290))/1000</f>
        <v>1.7308359344688801E-2</v>
      </c>
      <c r="FI11" s="479" cm="1">
        <f t="array" ref="FI11">BV11*SUMPRODUCT($W11:$X11,TRANSPOSE(Assumptions!$D$289:$D$290))/1000</f>
        <v>1.7308359344688801E-2</v>
      </c>
      <c r="FJ11" s="666">
        <f t="shared" si="58"/>
        <v>-2.4726227635269711E-3</v>
      </c>
      <c r="FK11" s="666">
        <f t="shared" si="59"/>
        <v>-4.9452455270539422E-3</v>
      </c>
      <c r="FL11" s="666">
        <f t="shared" si="60"/>
        <v>-7.4178682905809137E-3</v>
      </c>
      <c r="FM11" s="666">
        <f t="shared" si="61"/>
        <v>-9.8904910541078844E-3</v>
      </c>
      <c r="FN11" s="666">
        <f t="shared" si="62"/>
        <v>-1.2363113817634856E-2</v>
      </c>
      <c r="FO11" s="666">
        <f t="shared" si="63"/>
        <v>-1.4835736581161827E-2</v>
      </c>
      <c r="FP11" s="666">
        <f t="shared" si="64"/>
        <v>-1.7308359344688801E-2</v>
      </c>
      <c r="FQ11" s="666">
        <f t="shared" si="65"/>
        <v>-1.7308359344688801E-2</v>
      </c>
      <c r="FR11" s="666">
        <f t="shared" si="66"/>
        <v>-1.7308359344688801E-2</v>
      </c>
      <c r="FS11" s="666">
        <f t="shared" si="67"/>
        <v>-1.7308359344688801E-2</v>
      </c>
      <c r="FT11" s="666">
        <f t="shared" si="68"/>
        <v>-1.7308359344688801E-2</v>
      </c>
      <c r="FU11" s="666">
        <f t="shared" si="69"/>
        <v>-1.7308359344688801E-2</v>
      </c>
      <c r="FV11" s="666">
        <f t="shared" si="70"/>
        <v>-1.7308359344688801E-2</v>
      </c>
      <c r="FW11" s="666">
        <f t="shared" si="71"/>
        <v>-1.7308359344688801E-2</v>
      </c>
      <c r="FX11" s="1883">
        <f t="shared" si="72"/>
        <v>-1.7308359344688801E-2</v>
      </c>
      <c r="FY11" s="1895"/>
      <c r="FZ11" s="1887">
        <f t="shared" si="37"/>
        <v>0</v>
      </c>
      <c r="GA11" s="664">
        <f t="shared" si="38"/>
        <v>0</v>
      </c>
      <c r="GB11" s="664">
        <f t="shared" si="39"/>
        <v>0</v>
      </c>
      <c r="GC11" s="664">
        <f t="shared" si="40"/>
        <v>0</v>
      </c>
      <c r="GD11" s="664">
        <f t="shared" si="41"/>
        <v>0</v>
      </c>
      <c r="GE11" s="664">
        <f t="shared" si="42"/>
        <v>0</v>
      </c>
      <c r="GF11" s="664">
        <f t="shared" si="43"/>
        <v>0</v>
      </c>
      <c r="GG11" s="664">
        <f t="shared" si="44"/>
        <v>0</v>
      </c>
      <c r="GH11" s="664">
        <f t="shared" si="45"/>
        <v>0</v>
      </c>
      <c r="GI11" s="664">
        <f t="shared" si="46"/>
        <v>0</v>
      </c>
      <c r="GJ11" s="664">
        <f t="shared" si="47"/>
        <v>0</v>
      </c>
      <c r="GK11" s="664">
        <f t="shared" si="48"/>
        <v>0</v>
      </c>
      <c r="GL11" s="664">
        <f t="shared" si="49"/>
        <v>0</v>
      </c>
      <c r="GM11" s="664">
        <f t="shared" si="50"/>
        <v>0</v>
      </c>
      <c r="GN11" s="1861">
        <f t="shared" si="51"/>
        <v>0</v>
      </c>
      <c r="GO11" s="1910"/>
      <c r="GP11" s="1868">
        <f>BH11*INDEX(Assumptions!G$565:G$570,MATCH($B11,Assumptions!$B$565:$B$570,0))</f>
        <v>4.133579302073586E-2</v>
      </c>
      <c r="GQ11" s="656">
        <f>BI11*INDEX(Assumptions!H$565:H$570,MATCH($B11,Assumptions!$B$565:$B$570,0))</f>
        <v>8.0153931351664473E-2</v>
      </c>
      <c r="GR11" s="656">
        <f>BJ11*INDEX(Assumptions!I$565:I$570,MATCH($B11,Assumptions!$B$565:$B$570,0))</f>
        <v>0.11641873987795082</v>
      </c>
      <c r="GS11" s="656">
        <f>BK11*INDEX(Assumptions!J$565:J$570,MATCH($B11,Assumptions!$B$565:$B$570,0))</f>
        <v>0.15009406727521532</v>
      </c>
      <c r="GT11" s="656">
        <f>BL11*INDEX(Assumptions!K$565:K$570,MATCH($B11,Assumptions!$B$565:$B$570,0))</f>
        <v>0.18114331293732575</v>
      </c>
      <c r="GU11" s="656">
        <f>BM11*INDEX(Assumptions!L$565:L$570,MATCH($B11,Assumptions!$B$565:$B$570,0))</f>
        <v>0.20952945492650574</v>
      </c>
      <c r="GV11" s="656">
        <f>BN11*INDEX(Assumptions!M$565:M$570,MATCH($B11,Assumptions!$B$565:$B$570,0))</f>
        <v>0.2351015274261393</v>
      </c>
      <c r="GW11" s="656">
        <f>BO11*INDEX(Assumptions!N$565:N$570,MATCH($B11,Assumptions!$B$565:$B$570,0))</f>
        <v>0.22567716935076285</v>
      </c>
      <c r="GX11" s="656">
        <f>BP11*INDEX(Assumptions!O$565:O$570,MATCH($B11,Assumptions!$B$565:$B$570,0))</f>
        <v>0.21617754094036468</v>
      </c>
      <c r="GY11" s="656">
        <f>BQ11*INDEX(Assumptions!P$565:P$570,MATCH($B11,Assumptions!$B$565:$B$570,0))</f>
        <v>0.19642125315373768</v>
      </c>
      <c r="GZ11" s="656">
        <f>BR11*INDEX(Assumptions!Q$565:Q$570,MATCH($B11,Assumptions!$B$565:$B$570,0))</f>
        <v>0</v>
      </c>
      <c r="HA11" s="656">
        <f>BS11*INDEX(Assumptions!R$565:R$570,MATCH($B11,Assumptions!$B$565:$B$570,0))</f>
        <v>0.29823119448574081</v>
      </c>
      <c r="HB11" s="656">
        <f>BT11*INDEX(Assumptions!S$565:S$570,MATCH($B11,Assumptions!$B$565:$B$570,0))</f>
        <v>0.29823119448574081</v>
      </c>
      <c r="HC11" s="656">
        <f>BU11*INDEX(Assumptions!T$565:T$570,MATCH($B11,Assumptions!$B$565:$B$570,0))</f>
        <v>0.28805020035254048</v>
      </c>
      <c r="HD11" s="1922">
        <f>BV11*INDEX(Assumptions!U$565:U$570,MATCH($B11,Assumptions!$B$565:$B$570,0))</f>
        <v>0.27786920621934014</v>
      </c>
      <c r="HE11" s="1933"/>
      <c r="HF11" s="1926"/>
      <c r="HG11" s="1399"/>
      <c r="HH11" s="1399"/>
      <c r="HI11" s="1399"/>
      <c r="HJ11" s="1399"/>
      <c r="HK11" s="1399"/>
      <c r="HL11" s="1399"/>
      <c r="HM11" s="1399"/>
      <c r="HN11" s="1399"/>
      <c r="HO11" s="1399"/>
      <c r="HP11" s="1399"/>
      <c r="HQ11" s="1399"/>
      <c r="HR11" s="1399"/>
      <c r="HS11" s="1399"/>
      <c r="HT11" s="1399"/>
      <c r="HU11" s="1399"/>
      <c r="HV11" s="656"/>
      <c r="HW11" s="1936">
        <f>HF11/(Assumptions!$I$651/1000000)</f>
        <v>0</v>
      </c>
      <c r="HX11" s="1944"/>
      <c r="HY11" s="1940">
        <v>2014</v>
      </c>
      <c r="HZ11" s="14">
        <v>2027</v>
      </c>
      <c r="IA11" s="673"/>
      <c r="IB11" s="673"/>
      <c r="IC11" s="674" t="s">
        <v>578</v>
      </c>
      <c r="ID11" s="1956" t="s">
        <v>583</v>
      </c>
      <c r="IE11" s="1953"/>
      <c r="IF11" s="1960">
        <v>1</v>
      </c>
      <c r="IG11" s="537">
        <v>1</v>
      </c>
      <c r="IH11" s="537">
        <v>1</v>
      </c>
      <c r="II11" s="537">
        <v>1</v>
      </c>
      <c r="IJ11" s="537">
        <v>1</v>
      </c>
      <c r="IK11" s="537">
        <v>1</v>
      </c>
      <c r="IL11" s="537">
        <v>1</v>
      </c>
    </row>
    <row r="12" spans="2:247" ht="13.5" customHeight="1" x14ac:dyDescent="0.3">
      <c r="B12" s="1703" t="s">
        <v>52</v>
      </c>
      <c r="C12" s="2113" t="s">
        <v>414</v>
      </c>
      <c r="D12" s="679" t="s">
        <v>584</v>
      </c>
      <c r="E12" s="1778" t="s">
        <v>585</v>
      </c>
      <c r="F12" s="1800"/>
      <c r="G12" s="1792" t="s">
        <v>586</v>
      </c>
      <c r="H12" s="1156" t="s">
        <v>587</v>
      </c>
      <c r="I12" s="1156" t="s">
        <v>588</v>
      </c>
      <c r="J12" s="70" t="s">
        <v>563</v>
      </c>
      <c r="K12" s="71" t="s">
        <v>564</v>
      </c>
      <c r="L12" s="2043" t="s">
        <v>565</v>
      </c>
      <c r="M12" s="1827"/>
      <c r="N12" s="1817"/>
      <c r="O12" s="1177"/>
      <c r="P12" s="1178">
        <v>1</v>
      </c>
      <c r="Q12" s="1177"/>
      <c r="R12" s="1177"/>
      <c r="S12" s="1445" cm="1">
        <f t="array" ref="S12:X12">TRANSPOSE(_xlfn.XLOOKUP(B12,Assumptions!$C$134:$I$134,Assumptions!$C$135:$I$140))</f>
        <v>0</v>
      </c>
      <c r="T12" s="1445">
        <v>0</v>
      </c>
      <c r="U12" s="1445">
        <v>0</v>
      </c>
      <c r="V12" s="1445">
        <v>0</v>
      </c>
      <c r="W12" s="1445">
        <v>0.47804953523320071</v>
      </c>
      <c r="X12" s="1445">
        <v>0.52195046476679907</v>
      </c>
      <c r="Y12" s="1183" cm="1">
        <f t="array" ref="Y12:AC12">_xlfn.XLOOKUP(Y6:AC6,Assumptions!H708:L708,Assumptions!H720:L720)</f>
        <v>0.77185666783812279</v>
      </c>
      <c r="Z12" s="1183">
        <v>1.1617690789651537E-2</v>
      </c>
      <c r="AA12" s="1183">
        <v>1.5922792030493901E-2</v>
      </c>
      <c r="AB12" s="1183">
        <v>0.15988348517206885</v>
      </c>
      <c r="AC12" s="1183">
        <v>4.0719364169662889E-2</v>
      </c>
      <c r="AD12" s="1177"/>
      <c r="AE12" s="1177"/>
      <c r="AF12" s="1177"/>
      <c r="AG12" s="1184">
        <v>1</v>
      </c>
      <c r="AH12" s="1178">
        <v>1</v>
      </c>
      <c r="AI12" s="1184"/>
      <c r="AJ12" s="1194"/>
      <c r="AK12" s="1417">
        <f t="shared" si="53"/>
        <v>0.25756710451170761</v>
      </c>
      <c r="AL12" s="1244">
        <f>Assumptions!$G$763</f>
        <v>1.1993146773272416E-2</v>
      </c>
      <c r="AM12" s="1246">
        <f>Assumptions!$J$763</f>
        <v>0.24557395773843518</v>
      </c>
      <c r="AN12" s="1244">
        <f>1-SUM(AL12:AM12)</f>
        <v>0.74243289548829239</v>
      </c>
      <c r="AO12" s="1221"/>
      <c r="AP12" s="1846"/>
      <c r="AQ12" s="1837">
        <f>AVERAGE(AR12:BA12)</f>
        <v>0.15763051428571431</v>
      </c>
      <c r="AR12" s="656">
        <f>_xlfn.XLOOKUP($D12,'KLIM 2021-30'!$C$4:$C$40,'KLIM 2021-30'!T$4:T$40)</f>
        <v>0.47316880000000006</v>
      </c>
      <c r="AS12" s="656">
        <f>_xlfn.XLOOKUP($D12,'KLIM 2021-30'!$C$4:$C$40,'KLIM 2021-30'!U$4:U$40)</f>
        <v>0.48735880000000009</v>
      </c>
      <c r="AT12" s="656">
        <f>_xlfn.XLOOKUP($D12,'KLIM 2021-30'!$C$4:$C$40,'KLIM 2021-30'!V$4:V$40)</f>
        <v>7.8537999999999886E-2</v>
      </c>
      <c r="AU12" s="656">
        <f>_xlfn.XLOOKUP($D12,'KLIM 2021-30'!$C$4:$C$40,'KLIM 2021-30'!W$4:W$40)</f>
        <v>6.4348000000000072E-2</v>
      </c>
      <c r="AV12" s="656">
        <f>_xlfn.XLOOKUP($D12,'KLIM 2021-30'!$C$4:$C$40,'KLIM 2021-30'!X$4:X$40)</f>
        <v>0</v>
      </c>
      <c r="AW12" s="656">
        <f>_xlfn.XLOOKUP($D12,'KLIM 2021-30'!$C$4:$C$40,'KLIM 2021-30'!Y$4:Y$40)</f>
        <v>0</v>
      </c>
      <c r="AX12" s="656">
        <f>_xlfn.XLOOKUP($D12,'KLIM 2021-30'!$C$4:$C$40,'KLIM 2021-30'!Z$4:Z$40)</f>
        <v>0</v>
      </c>
      <c r="AY12" s="663"/>
      <c r="AZ12" s="663"/>
      <c r="BA12" s="663"/>
      <c r="BB12" s="663"/>
      <c r="BC12" s="663"/>
      <c r="BD12" s="663"/>
      <c r="BE12" s="663"/>
      <c r="BF12" s="663"/>
      <c r="BG12" s="501">
        <f t="shared" si="54"/>
        <v>1.6087000000000018E-2</v>
      </c>
      <c r="BH12" s="657">
        <f t="shared" si="0"/>
        <v>0.47316880000000006</v>
      </c>
      <c r="BI12" s="658">
        <f t="shared" si="1"/>
        <v>0.96052760000000015</v>
      </c>
      <c r="BJ12" s="658">
        <f t="shared" si="2"/>
        <v>1.0390656</v>
      </c>
      <c r="BK12" s="658">
        <f t="shared" si="3"/>
        <v>1.1034136000000001</v>
      </c>
      <c r="BL12" s="658">
        <f t="shared" si="4"/>
        <v>1.1034136000000001</v>
      </c>
      <c r="BM12" s="658">
        <f t="shared" si="5"/>
        <v>1.1034136000000001</v>
      </c>
      <c r="BN12" s="658">
        <f t="shared" si="6"/>
        <v>1.1034136000000001</v>
      </c>
      <c r="BO12" s="658">
        <f t="shared" si="7"/>
        <v>1.1034136000000001</v>
      </c>
      <c r="BP12" s="658">
        <f t="shared" si="8"/>
        <v>1.1034136000000001</v>
      </c>
      <c r="BQ12" s="658">
        <f t="shared" si="9"/>
        <v>1.1034136000000001</v>
      </c>
      <c r="BR12" s="658">
        <f t="shared" si="10"/>
        <v>1.1034136000000001</v>
      </c>
      <c r="BS12" s="658">
        <f t="shared" si="11"/>
        <v>1.1034136000000001</v>
      </c>
      <c r="BT12" s="658">
        <f t="shared" si="12"/>
        <v>1.1034136000000001</v>
      </c>
      <c r="BU12" s="658">
        <f t="shared" si="13"/>
        <v>1.1034136000000001</v>
      </c>
      <c r="BV12" s="1851">
        <f t="shared" si="14"/>
        <v>1.1034136000000001</v>
      </c>
      <c r="BW12" s="1661"/>
      <c r="BX12" s="1855">
        <f>CF!S50/1000000</f>
        <v>35.294117647058819</v>
      </c>
      <c r="BY12" s="1192">
        <f t="shared" si="15"/>
        <v>31986.299287102152</v>
      </c>
      <c r="BZ12" s="680">
        <f t="shared" si="73"/>
        <v>15.134918850118982</v>
      </c>
      <c r="CA12" s="680">
        <f t="shared" si="73"/>
        <v>15.588804437002961</v>
      </c>
      <c r="CB12" s="680">
        <f t="shared" si="73"/>
        <v>2.5121399734104251</v>
      </c>
      <c r="CC12" s="680">
        <f t="shared" si="73"/>
        <v>2.0582543865264511</v>
      </c>
      <c r="CD12" s="680">
        <f t="shared" si="73"/>
        <v>0</v>
      </c>
      <c r="CE12" s="680">
        <f t="shared" si="73"/>
        <v>0</v>
      </c>
      <c r="CF12" s="680">
        <f t="shared" si="73"/>
        <v>0</v>
      </c>
      <c r="CG12" s="663"/>
      <c r="CH12" s="663"/>
      <c r="CI12" s="663"/>
      <c r="CJ12" s="663"/>
      <c r="CK12" s="663"/>
      <c r="CL12" s="663"/>
      <c r="CM12" s="663"/>
      <c r="CN12" s="663"/>
      <c r="CO12" s="479">
        <f t="shared" si="17"/>
        <v>0.51456359663161277</v>
      </c>
      <c r="CP12" s="660">
        <f t="shared" si="18"/>
        <v>35.294117647058819</v>
      </c>
      <c r="CQ12" s="1185">
        <f>1-CF!R50</f>
        <v>0.95</v>
      </c>
      <c r="CR12" s="662">
        <f t="shared" si="55"/>
        <v>5.0000000000000044E-2</v>
      </c>
      <c r="CS12" s="672" t="s">
        <v>589</v>
      </c>
      <c r="CT12" s="1862">
        <f t="shared" si="19"/>
        <v>5.042016806722688</v>
      </c>
      <c r="CU12" s="1872"/>
      <c r="CV12" s="1866">
        <f>BH12*Assumptions!D$497</f>
        <v>3.3795851806718256E-2</v>
      </c>
      <c r="CW12" s="675">
        <f>BI12*Assumptions!E$497</f>
        <v>7.0601667786060918E-2</v>
      </c>
      <c r="CX12" s="675">
        <f>BJ12*Assumptions!F$497</f>
        <v>7.859810126740846E-2</v>
      </c>
      <c r="CY12" s="675">
        <f>BK12*Assumptions!G$497</f>
        <v>8.7507045116469617E-2</v>
      </c>
      <c r="CZ12" s="675">
        <f>BL12*Assumptions!H$497</f>
        <v>9.0831172430644758E-2</v>
      </c>
      <c r="DA12" s="675">
        <f>BM12*Assumptions!I$497</f>
        <v>9.3404093468635416E-2</v>
      </c>
      <c r="DB12" s="675">
        <f>BN12*Assumptions!J$497</f>
        <v>9.6054382913142319E-2</v>
      </c>
      <c r="DC12" s="675">
        <f>BO12*Assumptions!K$497</f>
        <v>9.8783366582354884E-2</v>
      </c>
      <c r="DD12" s="675">
        <f>BP12*Assumptions!L$497</f>
        <v>0.10159338783446975</v>
      </c>
      <c r="DE12" s="675">
        <f>BQ12*Assumptions!M$497</f>
        <v>0.10448686020745766</v>
      </c>
      <c r="DF12" s="675">
        <f>BR12*Assumptions!N$497</f>
        <v>0.10750519625489137</v>
      </c>
      <c r="DG12" s="675">
        <f>BS12*Assumptions!O$497</f>
        <v>0.11061408238374809</v>
      </c>
      <c r="DH12" s="675">
        <f>BT12*Assumptions!P$497</f>
        <v>0.1138162350964705</v>
      </c>
      <c r="DI12" s="675">
        <f>BU12*Assumptions!Q$497</f>
        <v>0.11711445239057459</v>
      </c>
      <c r="DJ12" s="675">
        <f>BV12*Assumptions!R$497</f>
        <v>0.12051161620350179</v>
      </c>
      <c r="DK12" s="656">
        <f>BH12*Assumptions!D$504</f>
        <v>3.3795851806718256E-2</v>
      </c>
      <c r="DL12" s="656">
        <f>BI12*Assumptions!E$504</f>
        <v>7.0601667786060918E-2</v>
      </c>
      <c r="DM12" s="656">
        <f>BJ12*Assumptions!F$504</f>
        <v>7.859810126740846E-2</v>
      </c>
      <c r="DN12" s="656">
        <f>BK12*Assumptions!G$504</f>
        <v>8.7507045116469617E-2</v>
      </c>
      <c r="DO12" s="656">
        <f>BL12*Assumptions!H$504</f>
        <v>9.2413346252857909E-2</v>
      </c>
      <c r="DP12" s="656">
        <f>BM12*Assumptions!I$504</f>
        <v>9.5013057974370776E-2</v>
      </c>
      <c r="DQ12" s="656">
        <f>BN12*Assumptions!J$504</f>
        <v>9.7689719497800032E-2</v>
      </c>
      <c r="DR12" s="656">
        <f>BO12*Assumptions!K$504</f>
        <v>0.10044541941693452</v>
      </c>
      <c r="DS12" s="656">
        <f>BP12*Assumptions!L$504</f>
        <v>0.10328250319987993</v>
      </c>
      <c r="DT12" s="656">
        <f>BQ12*Assumptions!M$504</f>
        <v>0.10620338642218445</v>
      </c>
      <c r="DU12" s="656">
        <f>BR12*Assumptions!N$504</f>
        <v>0.10924881148775412</v>
      </c>
      <c r="DV12" s="656">
        <f>BS12*Assumptions!O$504</f>
        <v>0.11238508100819551</v>
      </c>
      <c r="DW12" s="656">
        <f>BT12*Assumptions!P$504</f>
        <v>0.11561491166456374</v>
      </c>
      <c r="DX12" s="656">
        <f>BU12*Assumptions!Q$504</f>
        <v>0.11894110157460681</v>
      </c>
      <c r="DY12" s="656">
        <f>BV12*Assumptions!R$504</f>
        <v>0.12236653273776277</v>
      </c>
      <c r="DZ12" s="678">
        <v>0.95</v>
      </c>
      <c r="EA12" s="661">
        <f t="shared" si="56"/>
        <v>5.0000000000000044E-2</v>
      </c>
      <c r="EB12" s="1861">
        <f t="shared" si="20"/>
        <v>8.5565592941336199E-2</v>
      </c>
      <c r="EC12" s="1881"/>
      <c r="ED12" s="1877">
        <v>0</v>
      </c>
      <c r="EE12" s="665">
        <f t="shared" si="21"/>
        <v>0.24215870160190395</v>
      </c>
      <c r="EF12" s="665">
        <f t="shared" si="22"/>
        <v>0.24942087099204763</v>
      </c>
      <c r="EG12" s="665">
        <f t="shared" si="23"/>
        <v>4.0194239574566838E-2</v>
      </c>
      <c r="EH12" s="665">
        <f t="shared" si="24"/>
        <v>3.2932070184423248E-2</v>
      </c>
      <c r="EI12" s="665">
        <f t="shared" si="25"/>
        <v>0</v>
      </c>
      <c r="EJ12" s="665">
        <f t="shared" si="26"/>
        <v>0</v>
      </c>
      <c r="EK12" s="665">
        <f t="shared" si="27"/>
        <v>0</v>
      </c>
      <c r="EL12" s="665">
        <f t="shared" si="28"/>
        <v>0</v>
      </c>
      <c r="EM12" s="665">
        <f t="shared" si="29"/>
        <v>0</v>
      </c>
      <c r="EN12" s="665">
        <f t="shared" si="30"/>
        <v>0</v>
      </c>
      <c r="EO12" s="665">
        <f t="shared" si="31"/>
        <v>0</v>
      </c>
      <c r="EP12" s="665">
        <f t="shared" si="32"/>
        <v>0</v>
      </c>
      <c r="EQ12" s="665">
        <f t="shared" si="33"/>
        <v>0</v>
      </c>
      <c r="ER12" s="665">
        <f t="shared" si="34"/>
        <v>0</v>
      </c>
      <c r="ES12" s="665">
        <f t="shared" si="35"/>
        <v>0</v>
      </c>
      <c r="ET12" s="541">
        <f t="shared" si="57"/>
        <v>2.7443391820352707E-3</v>
      </c>
      <c r="EU12" s="1450" cm="1">
        <f t="array" ref="EU12">(BH12*SUMPRODUCT($S12:$X12,TRANSPOSE(Assumptions!D$281:D$286)))*0.001</f>
        <v>6.1420754846244405E-4</v>
      </c>
      <c r="EV12" s="1450" cm="1">
        <f t="array" ref="EV12">(BI12*SUMPRODUCT($S12:$X12,TRANSPOSE(Assumptions!E$281:E$286)))*0.001</f>
        <v>1.2468347499381093E-3</v>
      </c>
      <c r="EW12" s="1450" cm="1">
        <f t="array" ref="EW12">(BJ12*SUMPRODUCT($S12:$X12,TRANSPOSE(Assumptions!F$281:F$286)))*0.001</f>
        <v>1.3487827914005711E-3</v>
      </c>
      <c r="EX12" s="1450" cm="1">
        <f t="array" ref="EX12">(BK12*SUMPRODUCT($S12:$X12,TRANSPOSE(Assumptions!G$281:G$286)))*0.001</f>
        <v>3.1160285130068508E-3</v>
      </c>
      <c r="EY12" s="1450" cm="1">
        <f t="array" ref="EY12">(BL12*SUMPRODUCT($S12:$X12,TRANSPOSE(Assumptions!H$281:H$286)))*0.001</f>
        <v>3.9766041487602211E-3</v>
      </c>
      <c r="EZ12" s="1450" cm="1">
        <f t="array" ref="EZ12">(BM12*SUMPRODUCT($S12:$X12,TRANSPOSE(Assumptions!I$281:I$286)))*0.001</f>
        <v>3.9766041487602211E-3</v>
      </c>
      <c r="FA12" s="1450" cm="1">
        <f t="array" ref="FA12">(BN12*SUMPRODUCT($S12:$X12,TRANSPOSE(Assumptions!J$281:J$286)))*0.001</f>
        <v>3.9766041487602211E-3</v>
      </c>
      <c r="FB12" s="1450" cm="1">
        <f t="array" ref="FB12">(BO12*SUMPRODUCT($S12:$X12,TRANSPOSE(Assumptions!K$281:K$286)))*0.001</f>
        <v>3.9766041487602211E-3</v>
      </c>
      <c r="FC12" s="1450" cm="1">
        <f t="array" ref="FC12">(BP12*SUMPRODUCT($S12:$X12,TRANSPOSE(Assumptions!L$281:L$286)))*0.001</f>
        <v>3.9766041487602211E-3</v>
      </c>
      <c r="FD12" s="1450" cm="1">
        <f t="array" ref="FD12">(BQ12*SUMPRODUCT($S12:$X12,TRANSPOSE(Assumptions!M$281:M$286)))*0.001</f>
        <v>3.9766041487602211E-3</v>
      </c>
      <c r="FE12" s="1450" cm="1">
        <f t="array" ref="FE12">(BR12*SUMPRODUCT($S12:$X12,TRANSPOSE(Assumptions!N$281:N$286)))*0.001</f>
        <v>3.9766041487602211E-3</v>
      </c>
      <c r="FF12" s="1450" cm="1">
        <f t="array" ref="FF12">(BS12*SUMPRODUCT($S12:$X12,TRANSPOSE(Assumptions!O$281:O$286)))*0.001</f>
        <v>3.9766041487602211E-3</v>
      </c>
      <c r="FG12" s="1450" cm="1">
        <f t="array" ref="FG12">(BT12*SUMPRODUCT($S12:$X12,TRANSPOSE(Assumptions!P$281:P$286)))*0.001</f>
        <v>3.9766041487602211E-3</v>
      </c>
      <c r="FH12" s="1450" cm="1">
        <f t="array" ref="FH12">(BU12*SUMPRODUCT($S12:$X12,TRANSPOSE(Assumptions!Q$281:Q$286)))*0.001</f>
        <v>3.9766041487602211E-3</v>
      </c>
      <c r="FI12" s="1450" cm="1">
        <f t="array" ref="FI12">(BV12*SUMPRODUCT($S12:$X12,TRANSPOSE(Assumptions!R$281:R$286)))*0.001</f>
        <v>3.9766041487602211E-3</v>
      </c>
      <c r="FJ12" s="666">
        <f t="shared" si="58"/>
        <v>0.2415444940534415</v>
      </c>
      <c r="FK12" s="666">
        <f t="shared" si="59"/>
        <v>0.24817403624210951</v>
      </c>
      <c r="FL12" s="666">
        <f t="shared" si="60"/>
        <v>3.8845456783166268E-2</v>
      </c>
      <c r="FM12" s="666">
        <f t="shared" si="61"/>
        <v>2.9816041671416396E-2</v>
      </c>
      <c r="FN12" s="666">
        <f t="shared" si="62"/>
        <v>-3.9766041487602211E-3</v>
      </c>
      <c r="FO12" s="666">
        <f t="shared" si="63"/>
        <v>-3.9766041487602211E-3</v>
      </c>
      <c r="FP12" s="666">
        <f t="shared" si="64"/>
        <v>-3.9766041487602211E-3</v>
      </c>
      <c r="FQ12" s="666">
        <f t="shared" si="65"/>
        <v>-3.9766041487602211E-3</v>
      </c>
      <c r="FR12" s="666">
        <f t="shared" si="66"/>
        <v>-3.9766041487602211E-3</v>
      </c>
      <c r="FS12" s="666">
        <f t="shared" si="67"/>
        <v>-3.9766041487602211E-3</v>
      </c>
      <c r="FT12" s="666">
        <f t="shared" si="68"/>
        <v>-3.9766041487602211E-3</v>
      </c>
      <c r="FU12" s="666">
        <f t="shared" si="69"/>
        <v>-3.9766041487602211E-3</v>
      </c>
      <c r="FV12" s="666">
        <f t="shared" si="70"/>
        <v>-3.9766041487602211E-3</v>
      </c>
      <c r="FW12" s="666">
        <f t="shared" si="71"/>
        <v>-3.9766041487602211E-3</v>
      </c>
      <c r="FX12" s="1883">
        <f t="shared" si="72"/>
        <v>-3.9766041487602211E-3</v>
      </c>
      <c r="FY12" s="1895"/>
      <c r="FZ12" s="1887">
        <f t="shared" si="37"/>
        <v>257.29362045202271</v>
      </c>
      <c r="GA12" s="664">
        <f t="shared" si="38"/>
        <v>265.00967542905033</v>
      </c>
      <c r="GB12" s="664">
        <f t="shared" si="39"/>
        <v>42.706379547977228</v>
      </c>
      <c r="GC12" s="664">
        <f t="shared" si="40"/>
        <v>34.990324570949667</v>
      </c>
      <c r="GD12" s="664">
        <f t="shared" si="41"/>
        <v>0</v>
      </c>
      <c r="GE12" s="664">
        <f t="shared" si="42"/>
        <v>0</v>
      </c>
      <c r="GF12" s="664">
        <f t="shared" si="43"/>
        <v>0</v>
      </c>
      <c r="GG12" s="664">
        <f t="shared" si="44"/>
        <v>0</v>
      </c>
      <c r="GH12" s="664">
        <f t="shared" si="45"/>
        <v>0</v>
      </c>
      <c r="GI12" s="664">
        <f t="shared" si="46"/>
        <v>0</v>
      </c>
      <c r="GJ12" s="664">
        <f t="shared" si="47"/>
        <v>0</v>
      </c>
      <c r="GK12" s="664">
        <f t="shared" si="48"/>
        <v>0</v>
      </c>
      <c r="GL12" s="664">
        <f t="shared" si="49"/>
        <v>0</v>
      </c>
      <c r="GM12" s="664">
        <f t="shared" si="50"/>
        <v>0</v>
      </c>
      <c r="GN12" s="1861">
        <f t="shared" si="51"/>
        <v>0</v>
      </c>
      <c r="GO12" s="1910"/>
      <c r="GP12" s="1868">
        <f>BH12*INDEX(Assumptions!G$565:G$570,MATCH($B12,Assumptions!$B$565:$B$570,0))</f>
        <v>0.24929689407841965</v>
      </c>
      <c r="GQ12" s="656">
        <f>BI12*INDEX(Assumptions!H$565:H$570,MATCH($B12,Assumptions!$B$565:$B$570,0))</f>
        <v>0.48973074672262407</v>
      </c>
      <c r="GR12" s="656">
        <f>BJ12*INDEX(Assumptions!I$565:I$570,MATCH($B12,Assumptions!$B$565:$B$570,0))</f>
        <v>0.51221601323547938</v>
      </c>
      <c r="GS12" s="656">
        <f>BK12*INDEX(Assumptions!J$565:J$570,MATCH($B12,Assumptions!$B$565:$B$570,0))</f>
        <v>0.52541669789156209</v>
      </c>
      <c r="GT12" s="656">
        <f>BL12*INDEX(Assumptions!K$565:K$570,MATCH($B12,Assumptions!$B$565:$B$570,0))</f>
        <v>0.50702157138018566</v>
      </c>
      <c r="GU12" s="656">
        <f>BM12*INDEX(Assumptions!L$565:L$570,MATCH($B12,Assumptions!$B$565:$B$570,0))</f>
        <v>0.48875157771774957</v>
      </c>
      <c r="GV12" s="656">
        <f>BN12*INDEX(Assumptions!M$565:M$570,MATCH($B12,Assumptions!$B$565:$B$570,0))</f>
        <v>0.47062681285179897</v>
      </c>
      <c r="GW12" s="656">
        <f>BO12*INDEX(Assumptions!N$565:N$570,MATCH($B12,Assumptions!$B$565:$B$570,0))</f>
        <v>0.45262341521867699</v>
      </c>
      <c r="GX12" s="656">
        <f>BP12*INDEX(Assumptions!O$565:O$570,MATCH($B12,Assumptions!$B$565:$B$570,0))</f>
        <v>0.43474132010855826</v>
      </c>
      <c r="GY12" s="656">
        <f>BQ12*INDEX(Assumptions!P$565:P$570,MATCH($B12,Assumptions!$B$565:$B$570,0))</f>
        <v>0.39981350562376877</v>
      </c>
      <c r="GZ12" s="656">
        <f>BR12*INDEX(Assumptions!Q$565:Q$570,MATCH($B12,Assumptions!$B$565:$B$570,0))</f>
        <v>0.13970900038505327</v>
      </c>
      <c r="HA12" s="656">
        <f>BS12*INDEX(Assumptions!R$565:R$570,MATCH($B12,Assumptions!$B$565:$B$570,0))</f>
        <v>0.57148247908132099</v>
      </c>
      <c r="HB12" s="656">
        <f>BT12*INDEX(Assumptions!S$565:S$570,MATCH($B12,Assumptions!$B$565:$B$570,0))</f>
        <v>0.57148247908132099</v>
      </c>
      <c r="HC12" s="656">
        <f>BU12*INDEX(Assumptions!T$565:T$570,MATCH($B12,Assumptions!$B$565:$B$570,0))</f>
        <v>0.55431558173556572</v>
      </c>
      <c r="HD12" s="1922">
        <f>BV12*INDEX(Assumptions!U$565:U$570,MATCH($B12,Assumptions!$B$565:$B$570,0))</f>
        <v>0.53714868438981045</v>
      </c>
      <c r="HE12" s="1933"/>
      <c r="HF12" s="1926">
        <f t="shared" ref="HF12:HT12" si="74">AR12/$HV12</f>
        <v>1.1829220000000001E-2</v>
      </c>
      <c r="HG12" s="1399">
        <f t="shared" si="74"/>
        <v>1.2183970000000002E-2</v>
      </c>
      <c r="HH12" s="1399">
        <f t="shared" si="74"/>
        <v>1.9634499999999972E-3</v>
      </c>
      <c r="HI12" s="1399">
        <f t="shared" si="74"/>
        <v>1.6087000000000018E-3</v>
      </c>
      <c r="HJ12" s="1399">
        <f t="shared" si="74"/>
        <v>0</v>
      </c>
      <c r="HK12" s="1399">
        <f t="shared" si="74"/>
        <v>0</v>
      </c>
      <c r="HL12" s="1399">
        <f t="shared" si="74"/>
        <v>0</v>
      </c>
      <c r="HM12" s="1399">
        <f t="shared" si="74"/>
        <v>0</v>
      </c>
      <c r="HN12" s="1399">
        <f t="shared" si="74"/>
        <v>0</v>
      </c>
      <c r="HO12" s="1399">
        <f t="shared" si="74"/>
        <v>0</v>
      </c>
      <c r="HP12" s="1399">
        <f t="shared" si="74"/>
        <v>0</v>
      </c>
      <c r="HQ12" s="1399">
        <f t="shared" si="74"/>
        <v>0</v>
      </c>
      <c r="HR12" s="1399">
        <f t="shared" si="74"/>
        <v>0</v>
      </c>
      <c r="HS12" s="1399">
        <f t="shared" si="74"/>
        <v>0</v>
      </c>
      <c r="HT12" s="1399">
        <f t="shared" si="74"/>
        <v>0</v>
      </c>
      <c r="HU12" s="1399"/>
      <c r="HV12" s="656">
        <f>_xlfn.XLOOKUP(D12,'KLIM 2021-30'!$C:$C,'KLIM 2021-30'!$AN:$AN)</f>
        <v>40</v>
      </c>
      <c r="HW12" s="1937">
        <f>HF12/(Assumptions!$C$790/1000000)</f>
        <v>6.2398628511143358E-4</v>
      </c>
      <c r="HX12" s="1945"/>
      <c r="HY12" s="1940">
        <v>2016</v>
      </c>
      <c r="HZ12" s="14">
        <v>2024</v>
      </c>
      <c r="IA12" s="673"/>
      <c r="IB12" s="673"/>
      <c r="IC12" s="674" t="s">
        <v>590</v>
      </c>
      <c r="ID12" s="1956" t="s">
        <v>591</v>
      </c>
      <c r="IE12" s="1953"/>
      <c r="IF12" s="1960">
        <v>1</v>
      </c>
      <c r="IG12" s="537">
        <v>1</v>
      </c>
      <c r="IH12" s="537">
        <v>1</v>
      </c>
      <c r="II12" s="537">
        <v>1</v>
      </c>
      <c r="IJ12" s="537">
        <v>1</v>
      </c>
      <c r="IK12" s="537">
        <v>1</v>
      </c>
      <c r="IL12" s="537">
        <v>1</v>
      </c>
    </row>
    <row r="13" spans="2:247" ht="13.5" customHeight="1" x14ac:dyDescent="0.3">
      <c r="B13" s="1703" t="s">
        <v>52</v>
      </c>
      <c r="C13" s="2113"/>
      <c r="D13" s="679" t="s">
        <v>592</v>
      </c>
      <c r="E13" s="1778" t="s">
        <v>593</v>
      </c>
      <c r="F13" s="1800"/>
      <c r="G13" s="1792" t="s">
        <v>594</v>
      </c>
      <c r="H13" s="1156" t="s">
        <v>595</v>
      </c>
      <c r="I13" s="1156" t="s">
        <v>596</v>
      </c>
      <c r="J13" s="70" t="s">
        <v>563</v>
      </c>
      <c r="K13" s="71" t="s">
        <v>597</v>
      </c>
      <c r="L13" s="2043" t="s">
        <v>565</v>
      </c>
      <c r="M13" s="1827"/>
      <c r="N13" s="1817"/>
      <c r="O13" s="1177"/>
      <c r="P13" s="1178">
        <v>1</v>
      </c>
      <c r="Q13" s="1177"/>
      <c r="R13" s="1177"/>
      <c r="S13" s="1445"/>
      <c r="T13" s="1445"/>
      <c r="U13" s="1445"/>
      <c r="V13" s="1445"/>
      <c r="W13" s="1445"/>
      <c r="X13" s="1445">
        <v>1</v>
      </c>
      <c r="Y13" s="1186" cm="1">
        <f t="array" ref="Y13:AC13">_xlfn.XLOOKUP(Y6:AC6,Assumptions!H708:L708,Assumptions!H719:L719)</f>
        <v>0.52117980003543229</v>
      </c>
      <c r="Z13" s="1186">
        <v>8.8353267708129873E-2</v>
      </c>
      <c r="AA13" s="1186">
        <v>9.8960202417563453E-2</v>
      </c>
      <c r="AB13" s="1186">
        <v>0.20288544964772259</v>
      </c>
      <c r="AC13" s="1186">
        <v>8.8621280191151966E-2</v>
      </c>
      <c r="AD13" s="1177"/>
      <c r="AE13" s="1177"/>
      <c r="AF13" s="1177"/>
      <c r="AG13" s="1184">
        <v>1</v>
      </c>
      <c r="AH13" s="1178"/>
      <c r="AI13" s="1184"/>
      <c r="AJ13" s="1194"/>
      <c r="AK13" s="1417">
        <f t="shared" si="53"/>
        <v>0</v>
      </c>
      <c r="AL13" s="1194"/>
      <c r="AM13" s="1194"/>
      <c r="AN13" s="1194"/>
      <c r="AO13" s="1221"/>
      <c r="AP13" s="1846"/>
      <c r="AQ13" s="1837">
        <f t="shared" ref="AQ13:AQ22" si="75">AVERAGE(AR13:BA13)</f>
        <v>1.5991171428571429</v>
      </c>
      <c r="AR13" s="656">
        <f>_xlfn.XLOOKUP($D13,'KLIM 2021-30'!$C$4:$C$40,'KLIM 2021-30'!T$4:T$40)</f>
        <v>7.4620800000000003</v>
      </c>
      <c r="AS13" s="656">
        <f>_xlfn.XLOOKUP($D13,'KLIM 2021-30'!$C$4:$C$40,'KLIM 2021-30'!U$4:U$40)</f>
        <v>3.7317400000000003</v>
      </c>
      <c r="AT13" s="656">
        <f>_xlfn.XLOOKUP($D13,'KLIM 2021-30'!$C$4:$C$40,'KLIM 2021-30'!V$4:V$40)</f>
        <v>0</v>
      </c>
      <c r="AU13" s="656">
        <f>_xlfn.XLOOKUP($D13,'KLIM 2021-30'!$C$4:$C$40,'KLIM 2021-30'!W$4:W$40)</f>
        <v>0</v>
      </c>
      <c r="AV13" s="656">
        <f>_xlfn.XLOOKUP($D13,'KLIM 2021-30'!$C$4:$C$40,'KLIM 2021-30'!X$4:X$40)</f>
        <v>0</v>
      </c>
      <c r="AW13" s="656">
        <f>_xlfn.XLOOKUP($D13,'KLIM 2021-30'!$C$4:$C$40,'KLIM 2021-30'!Y$4:Y$40)</f>
        <v>0</v>
      </c>
      <c r="AX13" s="656">
        <f>_xlfn.XLOOKUP($D13,'KLIM 2021-30'!$C$4:$C$40,'KLIM 2021-30'!Z$4:Z$40)</f>
        <v>0</v>
      </c>
      <c r="AY13" s="663"/>
      <c r="AZ13" s="663"/>
      <c r="BA13" s="663"/>
      <c r="BB13" s="663"/>
      <c r="BC13" s="663"/>
      <c r="BD13" s="663"/>
      <c r="BE13" s="663"/>
      <c r="BF13" s="663"/>
      <c r="BG13" s="501">
        <f t="shared" si="54"/>
        <v>0</v>
      </c>
      <c r="BH13" s="657">
        <f t="shared" si="0"/>
        <v>7.4620800000000003</v>
      </c>
      <c r="BI13" s="658">
        <f t="shared" si="1"/>
        <v>11.193820000000001</v>
      </c>
      <c r="BJ13" s="658">
        <f t="shared" si="2"/>
        <v>11.193820000000001</v>
      </c>
      <c r="BK13" s="658">
        <f t="shared" si="3"/>
        <v>11.193820000000001</v>
      </c>
      <c r="BL13" s="658">
        <f t="shared" si="4"/>
        <v>11.193820000000001</v>
      </c>
      <c r="BM13" s="658">
        <f t="shared" si="5"/>
        <v>11.193820000000001</v>
      </c>
      <c r="BN13" s="658">
        <f t="shared" si="6"/>
        <v>11.193820000000001</v>
      </c>
      <c r="BO13" s="658">
        <f t="shared" si="7"/>
        <v>11.193820000000001</v>
      </c>
      <c r="BP13" s="658">
        <f t="shared" si="8"/>
        <v>11.193820000000001</v>
      </c>
      <c r="BQ13" s="658">
        <f t="shared" si="9"/>
        <v>11.193820000000001</v>
      </c>
      <c r="BR13" s="658">
        <f t="shared" si="10"/>
        <v>11.193820000000001</v>
      </c>
      <c r="BS13" s="658">
        <f t="shared" si="11"/>
        <v>11.193820000000001</v>
      </c>
      <c r="BT13" s="658">
        <f t="shared" si="12"/>
        <v>11.193820000000001</v>
      </c>
      <c r="BU13" s="658">
        <f t="shared" si="13"/>
        <v>11.193820000000001</v>
      </c>
      <c r="BV13" s="1851">
        <f t="shared" si="14"/>
        <v>11.193820000000001</v>
      </c>
      <c r="BW13" s="1661"/>
      <c r="BX13" s="1854">
        <f>(_xlfn.XLOOKUP(D13,'KLIM 2021-30'!$C$4:$C$40,'KLIM 2021-30'!$G$4:$G$40)/1000000)/CQ13</f>
        <v>45.618046</v>
      </c>
      <c r="BY13" s="1192">
        <f t="shared" si="15"/>
        <v>4075.288507408553</v>
      </c>
      <c r="BZ13" s="675">
        <f t="shared" ref="BZ13:CF13" si="76">($BX13/$CQ13)*(AR13/SUM($AR13:$BA13))</f>
        <v>30.410128865363212</v>
      </c>
      <c r="CA13" s="675">
        <f t="shared" si="76"/>
        <v>15.207917134636791</v>
      </c>
      <c r="CB13" s="675">
        <f t="shared" si="76"/>
        <v>0</v>
      </c>
      <c r="CC13" s="675">
        <f t="shared" si="76"/>
        <v>0</v>
      </c>
      <c r="CD13" s="675">
        <f t="shared" si="76"/>
        <v>0</v>
      </c>
      <c r="CE13" s="675">
        <f t="shared" si="76"/>
        <v>0</v>
      </c>
      <c r="CF13" s="675">
        <f t="shared" si="76"/>
        <v>0</v>
      </c>
      <c r="CG13" s="663"/>
      <c r="CH13" s="663"/>
      <c r="CI13" s="663"/>
      <c r="CJ13" s="663"/>
      <c r="CK13" s="663"/>
      <c r="CL13" s="663"/>
      <c r="CM13" s="663"/>
      <c r="CN13" s="663"/>
      <c r="CO13" s="479">
        <f t="shared" si="17"/>
        <v>0</v>
      </c>
      <c r="CP13" s="660">
        <f t="shared" si="18"/>
        <v>45.618046000000007</v>
      </c>
      <c r="CQ13" s="681">
        <v>1</v>
      </c>
      <c r="CR13" s="662">
        <f t="shared" si="55"/>
        <v>0</v>
      </c>
      <c r="CS13" s="672" t="s">
        <v>598</v>
      </c>
      <c r="CT13" s="1862">
        <f t="shared" si="19"/>
        <v>6.5168637142857149</v>
      </c>
      <c r="CU13" s="1872"/>
      <c r="CV13" s="1866">
        <f>BH13*Assumptions!D$497</f>
        <v>0.53297544100514693</v>
      </c>
      <c r="CW13" s="675">
        <f>BI13*Assumptions!E$497</f>
        <v>0.8227794400670676</v>
      </c>
      <c r="CX13" s="675">
        <f>BJ13*Assumptions!F$497</f>
        <v>0.84673479511701888</v>
      </c>
      <c r="CY13" s="675">
        <f>BK13*Assumptions!G$497</f>
        <v>0.88773431083832932</v>
      </c>
      <c r="CZ13" s="675">
        <f>BL13*Assumptions!H$497</f>
        <v>0.92145664561103824</v>
      </c>
      <c r="DA13" s="675">
        <f>BM13*Assumptions!I$497</f>
        <v>0.94755820442224059</v>
      </c>
      <c r="DB13" s="675">
        <f>BN13*Assumptions!J$497</f>
        <v>0.97444464391302654</v>
      </c>
      <c r="DC13" s="675">
        <f>BO13*Assumptions!K$497</f>
        <v>1.0021294141352759</v>
      </c>
      <c r="DD13" s="675">
        <f>BP13*Assumptions!L$497</f>
        <v>1.0306362877974715</v>
      </c>
      <c r="DE13" s="675">
        <f>BQ13*Assumptions!M$497</f>
        <v>1.0599897495621258</v>
      </c>
      <c r="DF13" s="675">
        <f>BR13*Assumptions!N$497</f>
        <v>1.0906099181140489</v>
      </c>
      <c r="DG13" s="675">
        <f>BS13*Assumptions!O$497</f>
        <v>1.1221486917225298</v>
      </c>
      <c r="DH13" s="675">
        <f>BT13*Assumptions!P$497</f>
        <v>1.1546336285392651</v>
      </c>
      <c r="DI13" s="675">
        <f>BU13*Assumptions!Q$497</f>
        <v>1.1880931134605026</v>
      </c>
      <c r="DJ13" s="675">
        <f>BV13*Assumptions!R$497</f>
        <v>1.2225563829293769</v>
      </c>
      <c r="DK13" s="656">
        <f>BH13*Assumptions!D$504</f>
        <v>0.53297544100514693</v>
      </c>
      <c r="DL13" s="656">
        <f>BI13*Assumptions!E$504</f>
        <v>0.8227794400670676</v>
      </c>
      <c r="DM13" s="656">
        <f>BJ13*Assumptions!F$504</f>
        <v>0.84673479511701888</v>
      </c>
      <c r="DN13" s="656">
        <f>BK13*Assumptions!G$504</f>
        <v>0.88773431083832932</v>
      </c>
      <c r="DO13" s="656">
        <f>BL13*Assumptions!H$504</f>
        <v>0.93750735313772271</v>
      </c>
      <c r="DP13" s="656">
        <f>BM13*Assumptions!I$504</f>
        <v>0.96388069588291381</v>
      </c>
      <c r="DQ13" s="656">
        <f>BN13*Assumptions!J$504</f>
        <v>0.99103467268199696</v>
      </c>
      <c r="DR13" s="656">
        <f>BO13*Assumptions!K$504</f>
        <v>1.0189904717303375</v>
      </c>
      <c r="DS13" s="656">
        <f>BP13*Assumptions!L$504</f>
        <v>1.0477718871408508</v>
      </c>
      <c r="DT13" s="656">
        <f>BQ13*Assumptions!M$504</f>
        <v>1.0774034242466983</v>
      </c>
      <c r="DU13" s="656">
        <f>BR13*Assumptions!N$504</f>
        <v>1.108298403253188</v>
      </c>
      <c r="DV13" s="656">
        <f>BS13*Assumptions!O$504</f>
        <v>1.1401149736519098</v>
      </c>
      <c r="DW13" s="656">
        <f>BT13*Assumptions!P$504</f>
        <v>1.1728806954065336</v>
      </c>
      <c r="DX13" s="656">
        <f>BU13*Assumptions!Q$504</f>
        <v>1.2066239546330271</v>
      </c>
      <c r="DY13" s="656">
        <f>BV13*Assumptions!R$504</f>
        <v>1.2413739884034631</v>
      </c>
      <c r="DZ13" s="678">
        <v>1</v>
      </c>
      <c r="EA13" s="661">
        <f t="shared" si="56"/>
        <v>0</v>
      </c>
      <c r="EB13" s="1861">
        <f t="shared" si="20"/>
        <v>0.90264389324687411</v>
      </c>
      <c r="EC13" s="1881"/>
      <c r="ED13" s="1877">
        <v>0</v>
      </c>
      <c r="EE13" s="665">
        <f t="shared" si="21"/>
        <v>0</v>
      </c>
      <c r="EF13" s="665">
        <f t="shared" si="22"/>
        <v>0</v>
      </c>
      <c r="EG13" s="665">
        <f t="shared" si="23"/>
        <v>0</v>
      </c>
      <c r="EH13" s="665">
        <f t="shared" si="24"/>
        <v>0</v>
      </c>
      <c r="EI13" s="665">
        <f t="shared" si="25"/>
        <v>0</v>
      </c>
      <c r="EJ13" s="665">
        <f t="shared" si="26"/>
        <v>0</v>
      </c>
      <c r="EK13" s="665">
        <f t="shared" si="27"/>
        <v>0</v>
      </c>
      <c r="EL13" s="665">
        <f t="shared" si="28"/>
        <v>0</v>
      </c>
      <c r="EM13" s="665">
        <f t="shared" si="29"/>
        <v>0</v>
      </c>
      <c r="EN13" s="665">
        <f t="shared" si="30"/>
        <v>0</v>
      </c>
      <c r="EO13" s="665">
        <f t="shared" si="31"/>
        <v>0</v>
      </c>
      <c r="EP13" s="665">
        <f t="shared" si="32"/>
        <v>0</v>
      </c>
      <c r="EQ13" s="665">
        <f t="shared" si="33"/>
        <v>0</v>
      </c>
      <c r="ER13" s="665">
        <f t="shared" si="34"/>
        <v>0</v>
      </c>
      <c r="ES13" s="665">
        <f t="shared" si="35"/>
        <v>0</v>
      </c>
      <c r="ET13" s="541">
        <f t="shared" si="57"/>
        <v>0</v>
      </c>
      <c r="EU13" s="1450" cm="1">
        <f t="array" ref="EU13">(BH13*SUMPRODUCT($S13:$X13,TRANSPOSE(Assumptions!D$281:D$286)))*0.001</f>
        <v>7.4620800000000003E-3</v>
      </c>
      <c r="EV13" s="1450" cm="1">
        <f t="array" ref="EV13">(BI13*SUMPRODUCT($S13:$X13,TRANSPOSE(Assumptions!E$281:E$286)))*0.001</f>
        <v>1.119382E-2</v>
      </c>
      <c r="EW13" s="1450" cm="1">
        <f t="array" ref="EW13">(BJ13*SUMPRODUCT($S13:$X13,TRANSPOSE(Assumptions!F$281:F$286)))*0.001</f>
        <v>1.119382E-2</v>
      </c>
      <c r="EX13" s="1450" cm="1">
        <f t="array" ref="EX13">(BK13*SUMPRODUCT($S13:$X13,TRANSPOSE(Assumptions!G$281:G$286)))*0.001</f>
        <v>3.7088856933333338E-2</v>
      </c>
      <c r="EY13" s="1450" cm="1">
        <f t="array" ref="EY13">(BL13*SUMPRODUCT($S13:$X13,TRANSPOSE(Assumptions!H$281:H$286)))*0.001</f>
        <v>5.0036375399999999E-2</v>
      </c>
      <c r="EZ13" s="1450" cm="1">
        <f t="array" ref="EZ13">(BM13*SUMPRODUCT($S13:$X13,TRANSPOSE(Assumptions!I$281:I$286)))*0.001</f>
        <v>5.0036375399999999E-2</v>
      </c>
      <c r="FA13" s="1450" cm="1">
        <f t="array" ref="FA13">(BN13*SUMPRODUCT($S13:$X13,TRANSPOSE(Assumptions!J$281:J$286)))*0.001</f>
        <v>5.0036375399999999E-2</v>
      </c>
      <c r="FB13" s="1450" cm="1">
        <f t="array" ref="FB13">(BO13*SUMPRODUCT($S13:$X13,TRANSPOSE(Assumptions!K$281:K$286)))*0.001</f>
        <v>5.0036375399999999E-2</v>
      </c>
      <c r="FC13" s="1450" cm="1">
        <f t="array" ref="FC13">(BP13*SUMPRODUCT($S13:$X13,TRANSPOSE(Assumptions!L$281:L$286)))*0.001</f>
        <v>5.0036375399999999E-2</v>
      </c>
      <c r="FD13" s="1450" cm="1">
        <f t="array" ref="FD13">(BQ13*SUMPRODUCT($S13:$X13,TRANSPOSE(Assumptions!M$281:M$286)))*0.001</f>
        <v>5.0036375399999999E-2</v>
      </c>
      <c r="FE13" s="1450" cm="1">
        <f t="array" ref="FE13">(BR13*SUMPRODUCT($S13:$X13,TRANSPOSE(Assumptions!N$281:N$286)))*0.001</f>
        <v>5.0036375399999999E-2</v>
      </c>
      <c r="FF13" s="1450" cm="1">
        <f t="array" ref="FF13">(BS13*SUMPRODUCT($S13:$X13,TRANSPOSE(Assumptions!O$281:O$286)))*0.001</f>
        <v>5.0036375399999999E-2</v>
      </c>
      <c r="FG13" s="1450" cm="1">
        <f t="array" ref="FG13">(BT13*SUMPRODUCT($S13:$X13,TRANSPOSE(Assumptions!P$281:P$286)))*0.001</f>
        <v>5.0036375399999999E-2</v>
      </c>
      <c r="FH13" s="1450" cm="1">
        <f t="array" ref="FH13">(BU13*SUMPRODUCT($S13:$X13,TRANSPOSE(Assumptions!Q$281:Q$286)))*0.001</f>
        <v>5.0036375399999999E-2</v>
      </c>
      <c r="FI13" s="1450" cm="1">
        <f t="array" ref="FI13">(BV13*SUMPRODUCT($S13:$X13,TRANSPOSE(Assumptions!R$281:R$286)))*0.001</f>
        <v>5.0036375399999999E-2</v>
      </c>
      <c r="FJ13" s="666">
        <f t="shared" si="58"/>
        <v>-7.4620800000000003E-3</v>
      </c>
      <c r="FK13" s="666">
        <f t="shared" si="59"/>
        <v>-1.119382E-2</v>
      </c>
      <c r="FL13" s="666">
        <f t="shared" si="60"/>
        <v>-1.119382E-2</v>
      </c>
      <c r="FM13" s="666">
        <f t="shared" si="61"/>
        <v>-3.7088856933333338E-2</v>
      </c>
      <c r="FN13" s="666">
        <f t="shared" si="62"/>
        <v>-5.0036375399999999E-2</v>
      </c>
      <c r="FO13" s="666">
        <f t="shared" si="63"/>
        <v>-5.0036375399999999E-2</v>
      </c>
      <c r="FP13" s="666">
        <f t="shared" si="64"/>
        <v>-5.0036375399999999E-2</v>
      </c>
      <c r="FQ13" s="666">
        <f t="shared" si="65"/>
        <v>-5.0036375399999999E-2</v>
      </c>
      <c r="FR13" s="666">
        <f t="shared" si="66"/>
        <v>-5.0036375399999999E-2</v>
      </c>
      <c r="FS13" s="666">
        <f t="shared" si="67"/>
        <v>-5.0036375399999999E-2</v>
      </c>
      <c r="FT13" s="666">
        <f t="shared" si="68"/>
        <v>-5.0036375399999999E-2</v>
      </c>
      <c r="FU13" s="666">
        <f t="shared" si="69"/>
        <v>-5.0036375399999999E-2</v>
      </c>
      <c r="FV13" s="666">
        <f t="shared" si="70"/>
        <v>-5.0036375399999999E-2</v>
      </c>
      <c r="FW13" s="666">
        <f t="shared" si="71"/>
        <v>-5.0036375399999999E-2</v>
      </c>
      <c r="FX13" s="1883">
        <f t="shared" si="72"/>
        <v>-5.0036375399999999E-2</v>
      </c>
      <c r="FY13" s="1895"/>
      <c r="FZ13" s="1887">
        <f t="shared" si="37"/>
        <v>516.97219071117456</v>
      </c>
      <c r="GA13" s="664">
        <f t="shared" si="38"/>
        <v>258.53459128882542</v>
      </c>
      <c r="GB13" s="664">
        <f t="shared" si="39"/>
        <v>0</v>
      </c>
      <c r="GC13" s="664">
        <f t="shared" si="40"/>
        <v>0</v>
      </c>
      <c r="GD13" s="664">
        <f t="shared" si="41"/>
        <v>0</v>
      </c>
      <c r="GE13" s="664">
        <f t="shared" si="42"/>
        <v>0</v>
      </c>
      <c r="GF13" s="664">
        <f t="shared" si="43"/>
        <v>0</v>
      </c>
      <c r="GG13" s="664">
        <f t="shared" si="44"/>
        <v>0</v>
      </c>
      <c r="GH13" s="664">
        <f t="shared" si="45"/>
        <v>0</v>
      </c>
      <c r="GI13" s="664">
        <f t="shared" si="46"/>
        <v>0</v>
      </c>
      <c r="GJ13" s="664">
        <f t="shared" si="47"/>
        <v>0</v>
      </c>
      <c r="GK13" s="664">
        <f t="shared" si="48"/>
        <v>0</v>
      </c>
      <c r="GL13" s="664">
        <f t="shared" si="49"/>
        <v>0</v>
      </c>
      <c r="GM13" s="664">
        <f t="shared" si="50"/>
        <v>0</v>
      </c>
      <c r="GN13" s="1861">
        <f t="shared" si="51"/>
        <v>0</v>
      </c>
      <c r="GO13" s="1910"/>
      <c r="GP13" s="1868">
        <f>BH13*INDEX(Assumptions!G$565:G$570,MATCH($B13,Assumptions!$B$565:$B$570,0))</f>
        <v>3.9315216205394221</v>
      </c>
      <c r="GQ13" s="656">
        <f>BI13*INDEX(Assumptions!H$565:H$570,MATCH($B13,Assumptions!$B$565:$B$570,0))</f>
        <v>5.7072361348894542</v>
      </c>
      <c r="GR13" s="656">
        <f>BJ13*INDEX(Assumptions!I$565:I$570,MATCH($B13,Assumptions!$B$565:$B$570,0))</f>
        <v>5.5180864935530289</v>
      </c>
      <c r="GS13" s="656">
        <f>BK13*INDEX(Assumptions!J$565:J$570,MATCH($B13,Assumptions!$B$565:$B$570,0))</f>
        <v>5.3302043233765879</v>
      </c>
      <c r="GT13" s="656">
        <f>BL13*INDEX(Assumptions!K$565:K$570,MATCH($B13,Assumptions!$B$565:$B$570,0))</f>
        <v>5.1435909491662501</v>
      </c>
      <c r="GU13" s="656">
        <f>BM13*INDEX(Assumptions!L$565:L$570,MATCH($B13,Assumptions!$B$565:$B$570,0))</f>
        <v>4.9582470124425688</v>
      </c>
      <c r="GV13" s="656">
        <f>BN13*INDEX(Assumptions!M$565:M$570,MATCH($B13,Assumptions!$B$565:$B$570,0))</f>
        <v>4.7743763809298017</v>
      </c>
      <c r="GW13" s="656">
        <f>BO13*INDEX(Assumptions!N$565:N$570,MATCH($B13,Assumptions!$B$565:$B$570,0))</f>
        <v>4.5917369857894901</v>
      </c>
      <c r="GX13" s="656">
        <f>BP13*INDEX(Assumptions!O$565:O$570,MATCH($B13,Assumptions!$B$565:$B$570,0))</f>
        <v>4.4103281705586932</v>
      </c>
      <c r="GY13" s="656">
        <f>BQ13*INDEX(Assumptions!P$565:P$570,MATCH($B13,Assumptions!$B$565:$B$570,0))</f>
        <v>4.0559953362197589</v>
      </c>
      <c r="GZ13" s="656">
        <f>BR13*INDEX(Assumptions!Q$565:Q$570,MATCH($B13,Assumptions!$B$565:$B$570,0))</f>
        <v>1.4173084351055822</v>
      </c>
      <c r="HA13" s="656">
        <f>BS13*INDEX(Assumptions!R$565:R$570,MATCH($B13,Assumptions!$B$565:$B$570,0))</f>
        <v>5.797528690955116</v>
      </c>
      <c r="HB13" s="656">
        <f>BT13*INDEX(Assumptions!S$565:S$570,MATCH($B13,Assumptions!$B$565:$B$570,0))</f>
        <v>5.797528690955116</v>
      </c>
      <c r="HC13" s="656">
        <f>BU13*INDEX(Assumptions!T$565:T$570,MATCH($B13,Assumptions!$B$565:$B$570,0))</f>
        <v>5.6233753554815795</v>
      </c>
      <c r="HD13" s="1922">
        <f>BV13*INDEX(Assumptions!U$565:U$570,MATCH($B13,Assumptions!$B$565:$B$570,0))</f>
        <v>5.4492220200080439</v>
      </c>
      <c r="HE13" s="1933"/>
      <c r="HF13" s="1926"/>
      <c r="HG13" s="1399"/>
      <c r="HH13" s="1399"/>
      <c r="HI13" s="1399"/>
      <c r="HJ13" s="1399"/>
      <c r="HK13" s="1399"/>
      <c r="HL13" s="1399"/>
      <c r="HM13" s="1399"/>
      <c r="HN13" s="1399"/>
      <c r="HO13" s="1399"/>
      <c r="HP13" s="1399"/>
      <c r="HQ13" s="1399"/>
      <c r="HR13" s="1399"/>
      <c r="HS13" s="1399"/>
      <c r="HT13" s="1399"/>
      <c r="HU13" s="1399"/>
      <c r="HV13" s="656"/>
      <c r="HW13" s="1937">
        <f>HF13/(Assumptions!$C$790/1000000)</f>
        <v>0</v>
      </c>
      <c r="HX13" s="1945"/>
      <c r="HY13" s="1940">
        <v>2016</v>
      </c>
      <c r="HZ13" s="14">
        <v>2023</v>
      </c>
      <c r="IA13" s="673"/>
      <c r="IB13" s="673"/>
      <c r="IC13" s="674" t="s">
        <v>578</v>
      </c>
      <c r="ID13" s="1957" t="s">
        <v>599</v>
      </c>
      <c r="IE13" s="1967"/>
      <c r="IF13" s="1960">
        <v>1</v>
      </c>
      <c r="IG13" s="537">
        <v>1</v>
      </c>
      <c r="IH13" s="537">
        <v>1</v>
      </c>
      <c r="II13" s="537">
        <v>1</v>
      </c>
      <c r="IJ13" s="537">
        <v>1</v>
      </c>
      <c r="IK13" s="537">
        <v>1</v>
      </c>
      <c r="IL13" s="537">
        <v>1</v>
      </c>
    </row>
    <row r="14" spans="2:247" ht="13.5" customHeight="1" x14ac:dyDescent="0.3">
      <c r="B14" s="1703" t="s">
        <v>52</v>
      </c>
      <c r="C14" s="2113"/>
      <c r="D14" s="679" t="s">
        <v>600</v>
      </c>
      <c r="E14" s="1778" t="s">
        <v>601</v>
      </c>
      <c r="F14" s="1800"/>
      <c r="G14" s="1792" t="s">
        <v>602</v>
      </c>
      <c r="H14" s="1156" t="s">
        <v>603</v>
      </c>
      <c r="I14" s="1156" t="s">
        <v>604</v>
      </c>
      <c r="J14" s="70" t="s">
        <v>563</v>
      </c>
      <c r="K14" s="71" t="s">
        <v>564</v>
      </c>
      <c r="L14" s="1159" t="s">
        <v>605</v>
      </c>
      <c r="M14" s="1829"/>
      <c r="N14" s="1817"/>
      <c r="O14" s="1177"/>
      <c r="P14" s="1178">
        <v>1</v>
      </c>
      <c r="Q14" s="1177"/>
      <c r="R14" s="1177"/>
      <c r="S14" s="1445" cm="1">
        <f t="array" ref="S14:X14">TRANSPOSE(_xlfn.XLOOKUP(B14,Assumptions!$C$134:$I$134,Assumptions!$C$135:$I$140))</f>
        <v>0</v>
      </c>
      <c r="T14" s="1445">
        <v>0</v>
      </c>
      <c r="U14" s="1445">
        <v>0</v>
      </c>
      <c r="V14" s="1445">
        <v>0</v>
      </c>
      <c r="W14" s="1445">
        <v>0.47804953523320071</v>
      </c>
      <c r="X14" s="1445">
        <v>0.52195046476679907</v>
      </c>
      <c r="Y14" s="1187" cm="1">
        <f t="array" ref="Y14:AC14">TRANSPOSE(_xlfn.ANCHORARRAY(Assumptions!$H$668))</f>
        <v>0.28487054651199106</v>
      </c>
      <c r="Z14" s="1187">
        <v>0.22102001228428755</v>
      </c>
      <c r="AA14" s="1187">
        <v>4.8710323312732284E-2</v>
      </c>
      <c r="AB14" s="1187">
        <v>0.29755737005201738</v>
      </c>
      <c r="AC14" s="1187">
        <v>0.14784174783897172</v>
      </c>
      <c r="AD14" s="1177"/>
      <c r="AE14" s="1177"/>
      <c r="AF14" s="1177"/>
      <c r="AG14" s="1184">
        <v>1</v>
      </c>
      <c r="AH14" s="1178">
        <v>1</v>
      </c>
      <c r="AI14" s="1184"/>
      <c r="AJ14" s="1194"/>
      <c r="AK14" s="1417">
        <f t="shared" si="53"/>
        <v>0.25756710451170761</v>
      </c>
      <c r="AL14" s="1244">
        <f>Assumptions!$G$763</f>
        <v>1.1993146773272416E-2</v>
      </c>
      <c r="AM14" s="1246">
        <f>Assumptions!$J$763</f>
        <v>0.24557395773843518</v>
      </c>
      <c r="AN14" s="1244">
        <f>1-SUM(AL14:AM14)</f>
        <v>0.74243289548829239</v>
      </c>
      <c r="AO14" s="1221"/>
      <c r="AP14" s="1846"/>
      <c r="AQ14" s="1837">
        <f t="shared" si="75"/>
        <v>3.9111428571428568E-2</v>
      </c>
      <c r="AR14" s="680">
        <f>INDEX(Sources!U$51:U$63,MATCH($D14,Sources!$C$51:$C$63,0))</f>
        <v>7.3889999999999983E-2</v>
      </c>
      <c r="AS14" s="680">
        <f>INDEX(Sources!V$51:V$63,MATCH($D14,Sources!$C$51:$C$63,0))</f>
        <v>0.13688999999999998</v>
      </c>
      <c r="AT14" s="680">
        <f>INDEX(Sources!W$51:W$63,MATCH($D14,Sources!$C$51:$C$63,0))</f>
        <v>6.3E-2</v>
      </c>
      <c r="AU14" s="680">
        <f>INDEX(Sources!X$51:X$63,MATCH($D14,Sources!$C$51:$C$63,0))</f>
        <v>0</v>
      </c>
      <c r="AV14" s="680">
        <f>INDEX(Sources!Y$51:Y$63,MATCH($D14,Sources!$C$51:$C$63,0))</f>
        <v>0</v>
      </c>
      <c r="AW14" s="680">
        <f>INDEX(Sources!Z$51:Z$63,MATCH($D14,Sources!$C$51:$C$63,0))</f>
        <v>0</v>
      </c>
      <c r="AX14" s="680">
        <f>INDEX(Sources!AA$51:AA$63,MATCH($D14,Sources!$C$51:$C$63,0))</f>
        <v>0</v>
      </c>
      <c r="AY14" s="663"/>
      <c r="AZ14" s="663"/>
      <c r="BA14" s="663"/>
      <c r="BB14" s="663"/>
      <c r="BC14" s="663"/>
      <c r="BD14" s="663"/>
      <c r="BE14" s="663"/>
      <c r="BF14" s="663"/>
      <c r="BG14" s="501">
        <f t="shared" si="54"/>
        <v>0</v>
      </c>
      <c r="BH14" s="657">
        <f t="shared" si="0"/>
        <v>7.3889999999999983E-2</v>
      </c>
      <c r="BI14" s="658">
        <f t="shared" si="1"/>
        <v>0.21077999999999997</v>
      </c>
      <c r="BJ14" s="658">
        <f t="shared" si="2"/>
        <v>0.27377999999999997</v>
      </c>
      <c r="BK14" s="658">
        <f t="shared" si="3"/>
        <v>0.27377999999999997</v>
      </c>
      <c r="BL14" s="658">
        <f t="shared" si="4"/>
        <v>0.27377999999999997</v>
      </c>
      <c r="BM14" s="658">
        <f t="shared" si="5"/>
        <v>0.27377999999999997</v>
      </c>
      <c r="BN14" s="658">
        <f t="shared" si="6"/>
        <v>0.27377999999999997</v>
      </c>
      <c r="BO14" s="658">
        <f t="shared" si="7"/>
        <v>0.27377999999999997</v>
      </c>
      <c r="BP14" s="658">
        <f t="shared" si="8"/>
        <v>0.27377999999999997</v>
      </c>
      <c r="BQ14" s="658">
        <f t="shared" si="9"/>
        <v>0.27377999999999997</v>
      </c>
      <c r="BR14" s="658">
        <f t="shared" si="10"/>
        <v>0.27377999999999997</v>
      </c>
      <c r="BS14" s="658">
        <f t="shared" si="11"/>
        <v>0.27377999999999997</v>
      </c>
      <c r="BT14" s="658">
        <f t="shared" si="12"/>
        <v>0.27377999999999997</v>
      </c>
      <c r="BU14" s="658">
        <f t="shared" si="13"/>
        <v>0.27377999999999997</v>
      </c>
      <c r="BV14" s="1851">
        <f t="shared" si="14"/>
        <v>0.27377999999999997</v>
      </c>
      <c r="BW14" s="1661"/>
      <c r="BX14" s="1855" t="s">
        <v>606</v>
      </c>
      <c r="BY14" s="1192">
        <f t="shared" si="15"/>
        <v>24921.635452167793</v>
      </c>
      <c r="BZ14" s="656">
        <f>INDEX(Sources!AZ$51:AZ$65,MATCH($D14,Sources!$C$51:$C$65,0))</f>
        <v>1.841459643560678</v>
      </c>
      <c r="CA14" s="656">
        <f>INDEX(Sources!BA$51:BA$65,MATCH($D14,Sources!$C$51:$C$65,0))</f>
        <v>3.4115226770472487</v>
      </c>
      <c r="CB14" s="656">
        <f>INDEX(Sources!BB$51:BB$65,MATCH($D14,Sources!$C$51:$C$65,0))</f>
        <v>1.5700630334865708</v>
      </c>
      <c r="CC14" s="656">
        <f>INDEX(Sources!BC$51:BC$65,MATCH($D14,Sources!$C$51:$C$65,0))</f>
        <v>0</v>
      </c>
      <c r="CD14" s="656">
        <f>INDEX(Sources!BD$51:BD$65,MATCH($D14,Sources!$C$51:$C$65,0))</f>
        <v>0</v>
      </c>
      <c r="CE14" s="656">
        <f>INDEX(Sources!BE$51:BE$65,MATCH($D14,Sources!$C$51:$C$65,0))</f>
        <v>0</v>
      </c>
      <c r="CF14" s="656">
        <f>INDEX(Sources!BF$51:BF$65,MATCH($D14,Sources!$C$51:$C$65,0))</f>
        <v>0</v>
      </c>
      <c r="CG14" s="663"/>
      <c r="CH14" s="663"/>
      <c r="CI14" s="663"/>
      <c r="CJ14" s="663"/>
      <c r="CK14" s="663"/>
      <c r="CL14" s="663"/>
      <c r="CM14" s="663"/>
      <c r="CN14" s="663"/>
      <c r="CO14" s="479">
        <f t="shared" si="17"/>
        <v>0</v>
      </c>
      <c r="CP14" s="660">
        <f t="shared" si="18"/>
        <v>6.8230453540944982</v>
      </c>
      <c r="CQ14" s="681">
        <v>1</v>
      </c>
      <c r="CR14" s="662">
        <f t="shared" si="55"/>
        <v>0</v>
      </c>
      <c r="CS14" s="672" t="s">
        <v>598</v>
      </c>
      <c r="CT14" s="1862">
        <f t="shared" si="19"/>
        <v>0.97472076487064263</v>
      </c>
      <c r="CU14" s="1872"/>
      <c r="CV14" s="1866">
        <f>BH14*Assumptions!D$497</f>
        <v>5.2775573748700486E-3</v>
      </c>
      <c r="CW14" s="675">
        <f>BI14*Assumptions!E$497</f>
        <v>1.5492964008474004E-2</v>
      </c>
      <c r="CX14" s="675">
        <f>BJ14*Assumptions!F$497</f>
        <v>2.0709556898997606E-2</v>
      </c>
      <c r="CY14" s="675">
        <f>BK14*Assumptions!G$497</f>
        <v>2.1712328733293706E-2</v>
      </c>
      <c r="CZ14" s="675">
        <f>BL14*Assumptions!H$497</f>
        <v>2.2537114267996983E-2</v>
      </c>
      <c r="DA14" s="675">
        <f>BM14*Assumptions!I$497</f>
        <v>2.3175509808690955E-2</v>
      </c>
      <c r="DB14" s="675">
        <f>BN14*Assumptions!J$497</f>
        <v>2.3833102069758881E-2</v>
      </c>
      <c r="DC14" s="675">
        <f>BO14*Assumptions!K$497</f>
        <v>2.4510220014432586E-2</v>
      </c>
      <c r="DD14" s="675">
        <f>BP14*Assumptions!L$497</f>
        <v>2.5207445078908871E-2</v>
      </c>
      <c r="DE14" s="675">
        <f>BQ14*Assumptions!M$497</f>
        <v>2.5925376112454799E-2</v>
      </c>
      <c r="DF14" s="675">
        <f>BR14*Assumptions!N$497</f>
        <v>2.6674288436053493E-2</v>
      </c>
      <c r="DG14" s="675">
        <f>BS14*Assumptions!O$497</f>
        <v>2.7445668129360147E-2</v>
      </c>
      <c r="DH14" s="675">
        <f>BT14*Assumptions!P$497</f>
        <v>2.8240189213465997E-2</v>
      </c>
      <c r="DI14" s="675">
        <f>BU14*Assumptions!Q$497</f>
        <v>2.905854593009503E-2</v>
      </c>
      <c r="DJ14" s="675">
        <f>BV14*Assumptions!R$497</f>
        <v>2.9901453348222924E-2</v>
      </c>
      <c r="DK14" s="656">
        <f>BH14*Assumptions!D$504</f>
        <v>5.2775573748700486E-3</v>
      </c>
      <c r="DL14" s="656">
        <f>BI14*Assumptions!E$504</f>
        <v>1.5492964008474004E-2</v>
      </c>
      <c r="DM14" s="656">
        <f>BJ14*Assumptions!F$504</f>
        <v>2.0709556898997606E-2</v>
      </c>
      <c r="DN14" s="656">
        <f>BK14*Assumptions!G$504</f>
        <v>2.1712328733293706E-2</v>
      </c>
      <c r="DO14" s="656">
        <f>BL14*Assumptions!H$504</f>
        <v>2.2929684695845179E-2</v>
      </c>
      <c r="DP14" s="656">
        <f>BM14*Assumptions!I$504</f>
        <v>2.3574727565641048E-2</v>
      </c>
      <c r="DQ14" s="656">
        <f>BN14*Assumptions!J$504</f>
        <v>2.4238863291251519E-2</v>
      </c>
      <c r="DR14" s="656">
        <f>BO14*Assumptions!K$504</f>
        <v>2.4922610096493582E-2</v>
      </c>
      <c r="DS14" s="656">
        <f>BP14*Assumptions!L$504</f>
        <v>2.5626549941076601E-2</v>
      </c>
      <c r="DT14" s="656">
        <f>BQ14*Assumptions!M$504</f>
        <v>2.6351282179833249E-2</v>
      </c>
      <c r="DU14" s="656">
        <f>BR14*Assumptions!N$504</f>
        <v>2.7106915855593331E-2</v>
      </c>
      <c r="DV14" s="656">
        <f>BS14*Assumptions!O$504</f>
        <v>2.7885089941272936E-2</v>
      </c>
      <c r="DW14" s="656">
        <f>BT14*Assumptions!P$504</f>
        <v>2.8686478502280788E-2</v>
      </c>
      <c r="DX14" s="656">
        <f>BU14*Assumptions!Q$504</f>
        <v>2.9511775810172943E-2</v>
      </c>
      <c r="DY14" s="656">
        <f>BV14*Assumptions!R$504</f>
        <v>3.0361696949307751E-2</v>
      </c>
      <c r="DZ14" s="678">
        <v>1</v>
      </c>
      <c r="EA14" s="661">
        <f t="shared" si="56"/>
        <v>0</v>
      </c>
      <c r="EB14" s="1861">
        <f t="shared" si="20"/>
        <v>2.0838117436787845E-2</v>
      </c>
      <c r="EC14" s="1881"/>
      <c r="ED14" s="1877">
        <v>0</v>
      </c>
      <c r="EE14" s="665">
        <f t="shared" si="21"/>
        <v>0</v>
      </c>
      <c r="EF14" s="665">
        <f t="shared" si="22"/>
        <v>0</v>
      </c>
      <c r="EG14" s="665">
        <f t="shared" si="23"/>
        <v>0</v>
      </c>
      <c r="EH14" s="665">
        <f t="shared" si="24"/>
        <v>0</v>
      </c>
      <c r="EI14" s="665">
        <f t="shared" si="25"/>
        <v>0</v>
      </c>
      <c r="EJ14" s="665">
        <f t="shared" si="26"/>
        <v>0</v>
      </c>
      <c r="EK14" s="665">
        <f t="shared" si="27"/>
        <v>0</v>
      </c>
      <c r="EL14" s="665">
        <f t="shared" si="28"/>
        <v>0</v>
      </c>
      <c r="EM14" s="665">
        <f t="shared" si="29"/>
        <v>0</v>
      </c>
      <c r="EN14" s="665">
        <f t="shared" si="30"/>
        <v>0</v>
      </c>
      <c r="EO14" s="665">
        <f t="shared" si="31"/>
        <v>0</v>
      </c>
      <c r="EP14" s="665">
        <f t="shared" si="32"/>
        <v>0</v>
      </c>
      <c r="EQ14" s="665">
        <f t="shared" si="33"/>
        <v>0</v>
      </c>
      <c r="ER14" s="665">
        <f t="shared" si="34"/>
        <v>0</v>
      </c>
      <c r="ES14" s="665">
        <f t="shared" si="35"/>
        <v>0</v>
      </c>
      <c r="ET14" s="541">
        <f t="shared" si="57"/>
        <v>0</v>
      </c>
      <c r="EU14" s="1450" cm="1">
        <f t="array" ref="EU14">(BH14*SUMPRODUCT($S14:$X14,TRANSPOSE(Assumptions!D$281:D$286)))*0.001</f>
        <v>9.5914599094213261E-5</v>
      </c>
      <c r="EV14" s="1450" cm="1">
        <f t="array" ref="EV14">(BI14*SUMPRODUCT($S14:$X14,TRANSPOSE(Assumptions!E$281:E$286)))*0.001</f>
        <v>2.7360778450505173E-4</v>
      </c>
      <c r="EW14" s="1450" cm="1">
        <f t="array" ref="EW14">(BJ14*SUMPRODUCT($S14:$X14,TRANSPOSE(Assumptions!F$281:F$286)))*0.001</f>
        <v>3.5538637082167698E-4</v>
      </c>
      <c r="EX14" s="1450" cm="1">
        <f t="array" ref="EX14">(BK14*SUMPRODUCT($S14:$X14,TRANSPOSE(Assumptions!G$281:G$286)))*0.001</f>
        <v>7.7315186824869248E-4</v>
      </c>
      <c r="EY14" s="1450" cm="1">
        <f t="array" ref="EY14">(BL14*SUMPRODUCT($S14:$X14,TRANSPOSE(Assumptions!H$281:H$286)))*0.001</f>
        <v>9.8667868861465288E-4</v>
      </c>
      <c r="EZ14" s="1450" cm="1">
        <f t="array" ref="EZ14">(BM14*SUMPRODUCT($S14:$X14,TRANSPOSE(Assumptions!I$281:I$286)))*0.001</f>
        <v>9.8667868861465288E-4</v>
      </c>
      <c r="FA14" s="1450" cm="1">
        <f t="array" ref="FA14">(BN14*SUMPRODUCT($S14:$X14,TRANSPOSE(Assumptions!J$281:J$286)))*0.001</f>
        <v>9.8667868861465288E-4</v>
      </c>
      <c r="FB14" s="1450" cm="1">
        <f t="array" ref="FB14">(BO14*SUMPRODUCT($S14:$X14,TRANSPOSE(Assumptions!K$281:K$286)))*0.001</f>
        <v>9.8667868861465288E-4</v>
      </c>
      <c r="FC14" s="1450" cm="1">
        <f t="array" ref="FC14">(BP14*SUMPRODUCT($S14:$X14,TRANSPOSE(Assumptions!L$281:L$286)))*0.001</f>
        <v>9.8667868861465288E-4</v>
      </c>
      <c r="FD14" s="1450" cm="1">
        <f t="array" ref="FD14">(BQ14*SUMPRODUCT($S14:$X14,TRANSPOSE(Assumptions!M$281:M$286)))*0.001</f>
        <v>9.8667868861465288E-4</v>
      </c>
      <c r="FE14" s="1450" cm="1">
        <f t="array" ref="FE14">(BR14*SUMPRODUCT($S14:$X14,TRANSPOSE(Assumptions!N$281:N$286)))*0.001</f>
        <v>9.8667868861465288E-4</v>
      </c>
      <c r="FF14" s="1450" cm="1">
        <f t="array" ref="FF14">(BS14*SUMPRODUCT($S14:$X14,TRANSPOSE(Assumptions!O$281:O$286)))*0.001</f>
        <v>9.8667868861465288E-4</v>
      </c>
      <c r="FG14" s="1450" cm="1">
        <f t="array" ref="FG14">(BT14*SUMPRODUCT($S14:$X14,TRANSPOSE(Assumptions!P$281:P$286)))*0.001</f>
        <v>9.8667868861465288E-4</v>
      </c>
      <c r="FH14" s="1450" cm="1">
        <f t="array" ref="FH14">(BU14*SUMPRODUCT($S14:$X14,TRANSPOSE(Assumptions!Q$281:Q$286)))*0.001</f>
        <v>9.8667868861465288E-4</v>
      </c>
      <c r="FI14" s="1450" cm="1">
        <f t="array" ref="FI14">(BV14*SUMPRODUCT($S14:$X14,TRANSPOSE(Assumptions!R$281:R$286)))*0.001</f>
        <v>9.8667868861465288E-4</v>
      </c>
      <c r="FJ14" s="666">
        <f t="shared" si="58"/>
        <v>-9.5914599094213261E-5</v>
      </c>
      <c r="FK14" s="666">
        <f t="shared" si="59"/>
        <v>-2.7360778450505173E-4</v>
      </c>
      <c r="FL14" s="666">
        <f t="shared" si="60"/>
        <v>-3.5538637082167698E-4</v>
      </c>
      <c r="FM14" s="666">
        <f t="shared" si="61"/>
        <v>-7.7315186824869248E-4</v>
      </c>
      <c r="FN14" s="666">
        <f t="shared" si="62"/>
        <v>-9.8667868861465288E-4</v>
      </c>
      <c r="FO14" s="666">
        <f t="shared" si="63"/>
        <v>-9.8667868861465288E-4</v>
      </c>
      <c r="FP14" s="666">
        <f t="shared" si="64"/>
        <v>-9.8667868861465288E-4</v>
      </c>
      <c r="FQ14" s="666">
        <f t="shared" si="65"/>
        <v>-9.8667868861465288E-4</v>
      </c>
      <c r="FR14" s="666">
        <f t="shared" si="66"/>
        <v>-9.8667868861465288E-4</v>
      </c>
      <c r="FS14" s="666">
        <f t="shared" si="67"/>
        <v>-9.8667868861465288E-4</v>
      </c>
      <c r="FT14" s="666">
        <f t="shared" si="68"/>
        <v>-9.8667868861465288E-4</v>
      </c>
      <c r="FU14" s="666">
        <f t="shared" si="69"/>
        <v>-9.8667868861465288E-4</v>
      </c>
      <c r="FV14" s="666">
        <f t="shared" si="70"/>
        <v>-9.8667868861465288E-4</v>
      </c>
      <c r="FW14" s="666">
        <f t="shared" si="71"/>
        <v>-9.8667868861465288E-4</v>
      </c>
      <c r="FX14" s="1883">
        <f t="shared" si="72"/>
        <v>-9.8667868861465288E-4</v>
      </c>
      <c r="FY14" s="1895"/>
      <c r="FZ14" s="1887">
        <f t="shared" si="37"/>
        <v>31.304813940531528</v>
      </c>
      <c r="GA14" s="664">
        <f t="shared" si="38"/>
        <v>57.99588550980323</v>
      </c>
      <c r="GB14" s="664">
        <f t="shared" si="39"/>
        <v>26.691071569271703</v>
      </c>
      <c r="GC14" s="664">
        <f t="shared" si="40"/>
        <v>0</v>
      </c>
      <c r="GD14" s="664">
        <f t="shared" si="41"/>
        <v>0</v>
      </c>
      <c r="GE14" s="664">
        <f t="shared" si="42"/>
        <v>0</v>
      </c>
      <c r="GF14" s="664">
        <f t="shared" si="43"/>
        <v>0</v>
      </c>
      <c r="GG14" s="664">
        <f t="shared" si="44"/>
        <v>0</v>
      </c>
      <c r="GH14" s="664">
        <f t="shared" si="45"/>
        <v>0</v>
      </c>
      <c r="GI14" s="664">
        <f t="shared" si="46"/>
        <v>0</v>
      </c>
      <c r="GJ14" s="664">
        <f t="shared" si="47"/>
        <v>0</v>
      </c>
      <c r="GK14" s="664">
        <f t="shared" si="48"/>
        <v>0</v>
      </c>
      <c r="GL14" s="664">
        <f t="shared" si="49"/>
        <v>0</v>
      </c>
      <c r="GM14" s="664">
        <f t="shared" si="50"/>
        <v>0</v>
      </c>
      <c r="GN14" s="1861">
        <f t="shared" si="51"/>
        <v>0</v>
      </c>
      <c r="GO14" s="1910"/>
      <c r="GP14" s="1868">
        <f>BH14*INDEX(Assumptions!G$565:G$570,MATCH($B14,Assumptions!$B$565:$B$570,0))</f>
        <v>3.8930182005775575E-2</v>
      </c>
      <c r="GQ14" s="656">
        <f>BI14*INDEX(Assumptions!H$565:H$570,MATCH($B14,Assumptions!$B$565:$B$570,0))</f>
        <v>0.10746744476076968</v>
      </c>
      <c r="GR14" s="656">
        <f>BJ14*INDEX(Assumptions!I$565:I$570,MATCH($B14,Assumptions!$B$565:$B$570,0))</f>
        <v>0.13496212376158881</v>
      </c>
      <c r="GS14" s="656">
        <f>BK14*INDEX(Assumptions!J$565:J$570,MATCH($B14,Assumptions!$B$565:$B$570,0))</f>
        <v>0.1303668756201227</v>
      </c>
      <c r="GT14" s="656">
        <f>BL14*INDEX(Assumptions!K$565:K$570,MATCH($B14,Assumptions!$B$565:$B$570,0))</f>
        <v>0.12580265986613468</v>
      </c>
      <c r="GU14" s="656">
        <f>BM14*INDEX(Assumptions!L$565:L$570,MATCH($B14,Assumptions!$B$565:$B$570,0))</f>
        <v>0.12126949219002325</v>
      </c>
      <c r="GV14" s="656">
        <f>BN14*INDEX(Assumptions!M$565:M$570,MATCH($B14,Assumptions!$B$565:$B$570,0))</f>
        <v>0.11677235881682579</v>
      </c>
      <c r="GW14" s="656">
        <f>BO14*INDEX(Assumptions!N$565:N$570,MATCH($B14,Assumptions!$B$565:$B$570,0))</f>
        <v>0.11230533919336264</v>
      </c>
      <c r="GX14" s="656">
        <f>BP14*INDEX(Assumptions!O$565:O$570,MATCH($B14,Assumptions!$B$565:$B$570,0))</f>
        <v>0.10786841726377222</v>
      </c>
      <c r="GY14" s="656">
        <f>BQ14*INDEX(Assumptions!P$565:P$570,MATCH($B14,Assumptions!$B$565:$B$570,0))</f>
        <v>9.9202095723376432E-2</v>
      </c>
      <c r="GZ14" s="656">
        <f>BR14*INDEX(Assumptions!Q$565:Q$570,MATCH($B14,Assumptions!$B$565:$B$570,0))</f>
        <v>3.466472601517679E-2</v>
      </c>
      <c r="HA14" s="656">
        <f>BS14*INDEX(Assumptions!R$565:R$570,MATCH($B14,Assumptions!$B$565:$B$570,0))</f>
        <v>0.14179675973078817</v>
      </c>
      <c r="HB14" s="656">
        <f>BT14*INDEX(Assumptions!S$565:S$570,MATCH($B14,Assumptions!$B$565:$B$570,0))</f>
        <v>0.14179675973078817</v>
      </c>
      <c r="HC14" s="656">
        <f>BU14*INDEX(Assumptions!T$565:T$570,MATCH($B14,Assumptions!$B$565:$B$570,0))</f>
        <v>0.13753729333004699</v>
      </c>
      <c r="HD14" s="1922">
        <f>BV14*INDEX(Assumptions!U$565:U$570,MATCH($B14,Assumptions!$B$565:$B$570,0))</f>
        <v>0.13327782692930581</v>
      </c>
      <c r="HE14" s="1933"/>
      <c r="HF14" s="1926">
        <f t="shared" ref="HF14:HT18" si="77">AR14/$HV14</f>
        <v>1.8472499999999995E-3</v>
      </c>
      <c r="HG14" s="1399">
        <f t="shared" si="77"/>
        <v>3.4222499999999995E-3</v>
      </c>
      <c r="HH14" s="1399">
        <f t="shared" si="77"/>
        <v>1.575E-3</v>
      </c>
      <c r="HI14" s="1399">
        <f t="shared" si="77"/>
        <v>0</v>
      </c>
      <c r="HJ14" s="1399">
        <f t="shared" si="77"/>
        <v>0</v>
      </c>
      <c r="HK14" s="1399">
        <f t="shared" si="77"/>
        <v>0</v>
      </c>
      <c r="HL14" s="1399">
        <f t="shared" si="77"/>
        <v>0</v>
      </c>
      <c r="HM14" s="1399">
        <f t="shared" si="77"/>
        <v>0</v>
      </c>
      <c r="HN14" s="1399">
        <f t="shared" si="77"/>
        <v>0</v>
      </c>
      <c r="HO14" s="1399">
        <f t="shared" si="77"/>
        <v>0</v>
      </c>
      <c r="HP14" s="1399">
        <f t="shared" si="77"/>
        <v>0</v>
      </c>
      <c r="HQ14" s="1399">
        <f t="shared" si="77"/>
        <v>0</v>
      </c>
      <c r="HR14" s="1399">
        <f t="shared" si="77"/>
        <v>0</v>
      </c>
      <c r="HS14" s="1399">
        <f t="shared" si="77"/>
        <v>0</v>
      </c>
      <c r="HT14" s="1399">
        <f t="shared" si="77"/>
        <v>0</v>
      </c>
      <c r="HU14" s="1399"/>
      <c r="HV14" s="656">
        <f>_xlfn.XLOOKUP(D14,'KLIM 2021-30'!$C:$C,'KLIM 2021-30'!$AN:$AN)</f>
        <v>40</v>
      </c>
      <c r="HW14" s="1937">
        <f>HF14/(Assumptions!$C$790/1000000)</f>
        <v>9.7441645786627953E-5</v>
      </c>
      <c r="HX14" s="1945"/>
      <c r="HY14" s="1940">
        <v>2017</v>
      </c>
      <c r="HZ14" s="14">
        <v>2023</v>
      </c>
      <c r="IA14" s="673"/>
      <c r="IB14" s="673"/>
      <c r="IC14" s="674" t="s">
        <v>590</v>
      </c>
      <c r="ID14" s="1956" t="s">
        <v>607</v>
      </c>
      <c r="IE14" s="1953"/>
      <c r="IF14" s="1960">
        <v>1</v>
      </c>
      <c r="IG14" s="537">
        <v>1</v>
      </c>
      <c r="IH14" s="537">
        <v>1</v>
      </c>
      <c r="II14" s="537">
        <v>1</v>
      </c>
      <c r="IJ14" s="537">
        <v>1</v>
      </c>
      <c r="IK14" s="537">
        <v>1</v>
      </c>
      <c r="IL14" s="537">
        <v>1</v>
      </c>
    </row>
    <row r="15" spans="2:247" ht="13.5" customHeight="1" x14ac:dyDescent="0.3">
      <c r="B15" s="1703" t="s">
        <v>52</v>
      </c>
      <c r="C15" s="2113"/>
      <c r="D15" s="679" t="s">
        <v>608</v>
      </c>
      <c r="E15" s="1778" t="s">
        <v>609</v>
      </c>
      <c r="F15" s="1800"/>
      <c r="G15" s="1792" t="s">
        <v>610</v>
      </c>
      <c r="H15" s="1156" t="s">
        <v>611</v>
      </c>
      <c r="I15" s="1156" t="s">
        <v>612</v>
      </c>
      <c r="J15" s="70" t="s">
        <v>563</v>
      </c>
      <c r="K15" s="71" t="s">
        <v>564</v>
      </c>
      <c r="L15" s="2043" t="s">
        <v>565</v>
      </c>
      <c r="M15" s="1827"/>
      <c r="N15" s="1817"/>
      <c r="O15" s="1177"/>
      <c r="P15" s="1178">
        <v>1</v>
      </c>
      <c r="Q15" s="1177"/>
      <c r="R15" s="1177"/>
      <c r="S15" s="1445" cm="1">
        <f t="array" ref="S15:X15">TRANSPOSE(_xlfn.XLOOKUP(B15,Assumptions!$C$134:$I$134,Assumptions!$C$135:$I$140))</f>
        <v>0</v>
      </c>
      <c r="T15" s="1445">
        <v>0</v>
      </c>
      <c r="U15" s="1445">
        <v>0</v>
      </c>
      <c r="V15" s="1445">
        <v>0</v>
      </c>
      <c r="W15" s="1445">
        <v>0.47804953523320071</v>
      </c>
      <c r="X15" s="1445">
        <v>0.52195046476679907</v>
      </c>
      <c r="Y15" s="1183" cm="1">
        <f t="array" ref="Y15:AC15">_xlfn.XLOOKUP(Y6:AC6,Assumptions!H708:L708,Assumptions!H730:L730)</f>
        <v>0.41726247947378869</v>
      </c>
      <c r="Z15" s="1183">
        <v>0.13637774192652824</v>
      </c>
      <c r="AA15" s="1183">
        <v>8.332371930322445E-2</v>
      </c>
      <c r="AB15" s="1183">
        <v>0.25687619082872942</v>
      </c>
      <c r="AC15" s="1183">
        <v>0.10615986846772925</v>
      </c>
      <c r="AD15" s="1177"/>
      <c r="AE15" s="1177"/>
      <c r="AF15" s="1177"/>
      <c r="AG15" s="1184">
        <v>1</v>
      </c>
      <c r="AH15" s="1178">
        <v>1</v>
      </c>
      <c r="AI15" s="1184"/>
      <c r="AJ15" s="1194"/>
      <c r="AK15" s="1417">
        <f t="shared" si="53"/>
        <v>0.76376335250616267</v>
      </c>
      <c r="AL15" s="1243">
        <f>Assumptions!$G$756</f>
        <v>9.8962612982744447E-2</v>
      </c>
      <c r="AM15" s="1245">
        <f>Assumptions!$J$756</f>
        <v>0.66480073952341823</v>
      </c>
      <c r="AN15" s="1244">
        <f>1-SUM(AL15:AM15)</f>
        <v>0.23623664749383733</v>
      </c>
      <c r="AO15" s="1221"/>
      <c r="AP15" s="1846"/>
      <c r="AQ15" s="1837">
        <f t="shared" si="75"/>
        <v>0.174565</v>
      </c>
      <c r="AR15" s="656">
        <f>_xlfn.XLOOKUP($D15,'KLIM 2021-30'!$C$4:$C$40,'KLIM 2021-30'!T$4:T$40)</f>
        <v>0.23905999999999999</v>
      </c>
      <c r="AS15" s="656">
        <f>_xlfn.XLOOKUP($D15,'KLIM 2021-30'!$C$4:$C$40,'KLIM 2021-30'!U$4:U$40)</f>
        <v>0.5722974999999999</v>
      </c>
      <c r="AT15" s="656">
        <f>_xlfn.XLOOKUP($D15,'KLIM 2021-30'!$C$4:$C$40,'KLIM 2021-30'!V$4:V$40)</f>
        <v>0.3719174999999999</v>
      </c>
      <c r="AU15" s="656">
        <f>_xlfn.XLOOKUP($D15,'KLIM 2021-30'!$C$4:$C$40,'KLIM 2021-30'!W$4:W$40)</f>
        <v>3.8680000000000048E-2</v>
      </c>
      <c r="AV15" s="656">
        <f>_xlfn.XLOOKUP($D15,'KLIM 2021-30'!$C$4:$C$40,'KLIM 2021-30'!X$4:X$40)</f>
        <v>0</v>
      </c>
      <c r="AW15" s="656">
        <f>_xlfn.XLOOKUP($D15,'KLIM 2021-30'!$C$4:$C$40,'KLIM 2021-30'!Y$4:Y$40)</f>
        <v>0</v>
      </c>
      <c r="AX15" s="656">
        <f>_xlfn.XLOOKUP($D15,'KLIM 2021-30'!$C$4:$C$40,'KLIM 2021-30'!Z$4:Z$40)</f>
        <v>0</v>
      </c>
      <c r="AY15" s="663"/>
      <c r="AZ15" s="663"/>
      <c r="BA15" s="663"/>
      <c r="BB15" s="663"/>
      <c r="BC15" s="663"/>
      <c r="BD15" s="663"/>
      <c r="BE15" s="663"/>
      <c r="BF15" s="663"/>
      <c r="BG15" s="501">
        <f t="shared" si="54"/>
        <v>9.6700000000000119E-3</v>
      </c>
      <c r="BH15" s="657">
        <f t="shared" si="0"/>
        <v>0.23905999999999999</v>
      </c>
      <c r="BI15" s="658">
        <f t="shared" si="1"/>
        <v>0.81135749999999995</v>
      </c>
      <c r="BJ15" s="658">
        <f t="shared" si="2"/>
        <v>1.1832749999999999</v>
      </c>
      <c r="BK15" s="658">
        <f t="shared" si="3"/>
        <v>1.2219549999999999</v>
      </c>
      <c r="BL15" s="658">
        <f t="shared" si="4"/>
        <v>1.2219549999999999</v>
      </c>
      <c r="BM15" s="658">
        <f t="shared" si="5"/>
        <v>1.2219549999999999</v>
      </c>
      <c r="BN15" s="658">
        <f t="shared" si="6"/>
        <v>1.2219549999999999</v>
      </c>
      <c r="BO15" s="658">
        <f t="shared" si="7"/>
        <v>1.2219549999999999</v>
      </c>
      <c r="BP15" s="658">
        <f t="shared" si="8"/>
        <v>1.2219549999999999</v>
      </c>
      <c r="BQ15" s="658">
        <f t="shared" si="9"/>
        <v>1.2219549999999999</v>
      </c>
      <c r="BR15" s="658">
        <f t="shared" si="10"/>
        <v>1.2219549999999999</v>
      </c>
      <c r="BS15" s="658">
        <f t="shared" si="11"/>
        <v>1.2219549999999999</v>
      </c>
      <c r="BT15" s="658">
        <f t="shared" si="12"/>
        <v>1.2219549999999999</v>
      </c>
      <c r="BU15" s="658">
        <f t="shared" si="13"/>
        <v>1.2219549999999999</v>
      </c>
      <c r="BV15" s="1851">
        <f t="shared" si="14"/>
        <v>1.2219549999999999</v>
      </c>
      <c r="BW15" s="1661"/>
      <c r="BX15" s="1855">
        <v>72.5</v>
      </c>
      <c r="BY15" s="1192">
        <f t="shared" si="15"/>
        <v>59331.153765891548</v>
      </c>
      <c r="BZ15" s="680">
        <f t="shared" ref="BZ15:CF15" si="78">($BX15)*(AR15/SUM($AR15:$BA15))</f>
        <v>14.183705619274033</v>
      </c>
      <c r="CA15" s="680">
        <f t="shared" si="78"/>
        <v>33.955070972335314</v>
      </c>
      <c r="CB15" s="680">
        <f t="shared" si="78"/>
        <v>22.06629438072596</v>
      </c>
      <c r="CC15" s="680">
        <f t="shared" si="78"/>
        <v>2.2949290276646881</v>
      </c>
      <c r="CD15" s="680">
        <f t="shared" si="78"/>
        <v>0</v>
      </c>
      <c r="CE15" s="680">
        <f t="shared" si="78"/>
        <v>0</v>
      </c>
      <c r="CF15" s="680">
        <f t="shared" si="78"/>
        <v>0</v>
      </c>
      <c r="CG15" s="663"/>
      <c r="CH15" s="663"/>
      <c r="CI15" s="663"/>
      <c r="CJ15" s="663"/>
      <c r="CK15" s="663"/>
      <c r="CL15" s="663"/>
      <c r="CM15" s="663"/>
      <c r="CN15" s="663"/>
      <c r="CO15" s="479">
        <f t="shared" si="17"/>
        <v>0.57373225691617202</v>
      </c>
      <c r="CP15" s="660">
        <f t="shared" si="18"/>
        <v>72.5</v>
      </c>
      <c r="CQ15" s="681">
        <v>1</v>
      </c>
      <c r="CR15" s="662">
        <f t="shared" si="55"/>
        <v>0</v>
      </c>
      <c r="CS15" s="672" t="s">
        <v>598</v>
      </c>
      <c r="CT15" s="1862">
        <f t="shared" si="19"/>
        <v>10.357142857142858</v>
      </c>
      <c r="CU15" s="1872"/>
      <c r="CV15" s="1866">
        <f>BH15*Assumptions!D$497</f>
        <v>1.7074744431403902E-2</v>
      </c>
      <c r="CW15" s="675">
        <f>BI15*Assumptions!E$497</f>
        <v>5.9637216744973187E-2</v>
      </c>
      <c r="CX15" s="675">
        <f>BJ15*Assumptions!F$497</f>
        <v>8.9506541528458591E-2</v>
      </c>
      <c r="CY15" s="675">
        <f>BK15*Assumptions!G$497</f>
        <v>9.6908059965271062E-2</v>
      </c>
      <c r="CZ15" s="675">
        <f>BL15*Assumptions!H$497</f>
        <v>0.10058930332876856</v>
      </c>
      <c r="DA15" s="675">
        <f>BM15*Assumptions!I$497</f>
        <v>0.10343863718415866</v>
      </c>
      <c r="DB15" s="675">
        <f>BN15*Assumptions!J$497</f>
        <v>0.10637365125156042</v>
      </c>
      <c r="DC15" s="675">
        <f>BO15*Assumptions!K$497</f>
        <v>0.10939581378382633</v>
      </c>
      <c r="DD15" s="675">
        <f>BP15*Assumptions!L$497</f>
        <v>0.11250771988968548</v>
      </c>
      <c r="DE15" s="675">
        <f>BQ15*Assumptions!M$497</f>
        <v>0.11571204239716087</v>
      </c>
      <c r="DF15" s="675">
        <f>BR15*Assumptions!N$497</f>
        <v>0.11905464287339376</v>
      </c>
      <c r="DG15" s="675">
        <f>BS15*Assumptions!O$497</f>
        <v>0.12249752136391365</v>
      </c>
      <c r="DH15" s="675">
        <f>BT15*Assumptions!P$497</f>
        <v>0.1260436862091491</v>
      </c>
      <c r="DI15" s="675">
        <f>BU15*Assumptions!Q$497</f>
        <v>0.12969623599974167</v>
      </c>
      <c r="DJ15" s="675">
        <f>BV15*Assumptions!R$497</f>
        <v>0.13345836228405197</v>
      </c>
      <c r="DK15" s="656">
        <f>BH15*Assumptions!D$504</f>
        <v>1.7074744431403902E-2</v>
      </c>
      <c r="DL15" s="656">
        <f>BI15*Assumptions!E$504</f>
        <v>5.9637216744973187E-2</v>
      </c>
      <c r="DM15" s="656">
        <f>BJ15*Assumptions!F$504</f>
        <v>8.9506541528458591E-2</v>
      </c>
      <c r="DN15" s="656">
        <f>BK15*Assumptions!G$504</f>
        <v>9.6908059965271062E-2</v>
      </c>
      <c r="DO15" s="656">
        <f>BL15*Assumptions!H$504</f>
        <v>0.10234145248926692</v>
      </c>
      <c r="DP15" s="656">
        <f>BM15*Assumptions!I$504</f>
        <v>0.10522045519202611</v>
      </c>
      <c r="DQ15" s="656">
        <f>BN15*Assumptions!J$504</f>
        <v>0.10818467453086877</v>
      </c>
      <c r="DR15" s="656">
        <f>BO15*Assumptions!K$504</f>
        <v>0.11123642348038869</v>
      </c>
      <c r="DS15" s="656">
        <f>BP15*Assumptions!L$504</f>
        <v>0.11437829948589473</v>
      </c>
      <c r="DT15" s="656">
        <f>BQ15*Assumptions!M$504</f>
        <v>0.11761297763188742</v>
      </c>
      <c r="DU15" s="656">
        <f>BR15*Assumptions!N$504</f>
        <v>0.12098557734064412</v>
      </c>
      <c r="DV15" s="656">
        <f>BS15*Assumptions!O$504</f>
        <v>0.12445878106212351</v>
      </c>
      <c r="DW15" s="656">
        <f>BT15*Assumptions!P$504</f>
        <v>0.12803559733455519</v>
      </c>
      <c r="DX15" s="656">
        <f>BU15*Assumptions!Q$504</f>
        <v>0.13171912488172943</v>
      </c>
      <c r="DY15" s="656">
        <f>BV15*Assumptions!R$504</f>
        <v>0.13551255532066386</v>
      </c>
      <c r="DZ15" s="678">
        <v>1</v>
      </c>
      <c r="EA15" s="661">
        <f t="shared" si="56"/>
        <v>0</v>
      </c>
      <c r="EB15" s="1861">
        <f t="shared" si="20"/>
        <v>9.1114373050526692E-2</v>
      </c>
      <c r="EC15" s="1881"/>
      <c r="ED15" s="1877">
        <v>0</v>
      </c>
      <c r="EE15" s="665">
        <f t="shared" si="21"/>
        <v>0</v>
      </c>
      <c r="EF15" s="665">
        <f t="shared" si="22"/>
        <v>0</v>
      </c>
      <c r="EG15" s="665">
        <f t="shared" si="23"/>
        <v>0</v>
      </c>
      <c r="EH15" s="665">
        <f t="shared" si="24"/>
        <v>0</v>
      </c>
      <c r="EI15" s="665">
        <f t="shared" si="25"/>
        <v>0</v>
      </c>
      <c r="EJ15" s="665">
        <f t="shared" si="26"/>
        <v>0</v>
      </c>
      <c r="EK15" s="665">
        <f t="shared" si="27"/>
        <v>0</v>
      </c>
      <c r="EL15" s="665">
        <f t="shared" si="28"/>
        <v>0</v>
      </c>
      <c r="EM15" s="665">
        <f t="shared" si="29"/>
        <v>0</v>
      </c>
      <c r="EN15" s="665">
        <f t="shared" si="30"/>
        <v>0</v>
      </c>
      <c r="EO15" s="665">
        <f t="shared" si="31"/>
        <v>0</v>
      </c>
      <c r="EP15" s="665">
        <f t="shared" si="32"/>
        <v>0</v>
      </c>
      <c r="EQ15" s="665">
        <f t="shared" si="33"/>
        <v>0</v>
      </c>
      <c r="ER15" s="665">
        <f t="shared" si="34"/>
        <v>0</v>
      </c>
      <c r="ES15" s="665">
        <f t="shared" si="35"/>
        <v>0</v>
      </c>
      <c r="ET15" s="541">
        <f t="shared" si="57"/>
        <v>0</v>
      </c>
      <c r="EU15" s="1450" cm="1">
        <f t="array" ref="EU15">(BH15*SUMPRODUCT($S15:$X15,TRANSPOSE(Assumptions!D$281:D$286)))*0.001</f>
        <v>3.1031728325162577E-4</v>
      </c>
      <c r="EV15" s="1450" cm="1">
        <f t="array" ref="EV15">(BI15*SUMPRODUCT($S15:$X15,TRANSPOSE(Assumptions!E$281:E$286)))*0.001</f>
        <v>1.053201100752242E-3</v>
      </c>
      <c r="EW15" s="1450" cm="1">
        <f t="array" ref="EW15">(BJ15*SUMPRODUCT($S15:$X15,TRANSPOSE(Assumptions!F$281:F$286)))*0.001</f>
        <v>1.5359770908540426E-3</v>
      </c>
      <c r="EX15" s="1450" cm="1">
        <f t="array" ref="EX15">(BK15*SUMPRODUCT($S15:$X15,TRANSPOSE(Assumptions!G$281:G$286)))*0.001</f>
        <v>3.4507881918541569E-3</v>
      </c>
      <c r="EY15" s="1450" cm="1">
        <f t="array" ref="EY15">(BL15*SUMPRODUCT($S15:$X15,TRANSPOSE(Assumptions!H$281:H$286)))*0.001</f>
        <v>4.4038167760468922E-3</v>
      </c>
      <c r="EZ15" s="1450" cm="1">
        <f t="array" ref="EZ15">(BM15*SUMPRODUCT($S15:$X15,TRANSPOSE(Assumptions!I$281:I$286)))*0.001</f>
        <v>4.4038167760468922E-3</v>
      </c>
      <c r="FA15" s="1450" cm="1">
        <f t="array" ref="FA15">(BN15*SUMPRODUCT($S15:$X15,TRANSPOSE(Assumptions!J$281:J$286)))*0.001</f>
        <v>4.4038167760468922E-3</v>
      </c>
      <c r="FB15" s="1450" cm="1">
        <f t="array" ref="FB15">(BO15*SUMPRODUCT($S15:$X15,TRANSPOSE(Assumptions!K$281:K$286)))*0.001</f>
        <v>4.4038167760468922E-3</v>
      </c>
      <c r="FC15" s="1450" cm="1">
        <f t="array" ref="FC15">(BP15*SUMPRODUCT($S15:$X15,TRANSPOSE(Assumptions!L$281:L$286)))*0.001</f>
        <v>4.4038167760468922E-3</v>
      </c>
      <c r="FD15" s="1450" cm="1">
        <f t="array" ref="FD15">(BQ15*SUMPRODUCT($S15:$X15,TRANSPOSE(Assumptions!M$281:M$286)))*0.001</f>
        <v>4.4038167760468922E-3</v>
      </c>
      <c r="FE15" s="1450" cm="1">
        <f t="array" ref="FE15">(BR15*SUMPRODUCT($S15:$X15,TRANSPOSE(Assumptions!N$281:N$286)))*0.001</f>
        <v>4.4038167760468922E-3</v>
      </c>
      <c r="FF15" s="1450" cm="1">
        <f t="array" ref="FF15">(BS15*SUMPRODUCT($S15:$X15,TRANSPOSE(Assumptions!O$281:O$286)))*0.001</f>
        <v>4.4038167760468922E-3</v>
      </c>
      <c r="FG15" s="1450" cm="1">
        <f t="array" ref="FG15">(BT15*SUMPRODUCT($S15:$X15,TRANSPOSE(Assumptions!P$281:P$286)))*0.001</f>
        <v>4.4038167760468922E-3</v>
      </c>
      <c r="FH15" s="1450" cm="1">
        <f t="array" ref="FH15">(BU15*SUMPRODUCT($S15:$X15,TRANSPOSE(Assumptions!Q$281:Q$286)))*0.001</f>
        <v>4.4038167760468922E-3</v>
      </c>
      <c r="FI15" s="1450" cm="1">
        <f t="array" ref="FI15">(BV15*SUMPRODUCT($S15:$X15,TRANSPOSE(Assumptions!R$281:R$286)))*0.001</f>
        <v>4.4038167760468922E-3</v>
      </c>
      <c r="FJ15" s="666">
        <f t="shared" si="58"/>
        <v>-3.1031728325162577E-4</v>
      </c>
      <c r="FK15" s="666">
        <f t="shared" si="59"/>
        <v>-1.053201100752242E-3</v>
      </c>
      <c r="FL15" s="666">
        <f t="shared" si="60"/>
        <v>-1.5359770908540426E-3</v>
      </c>
      <c r="FM15" s="666">
        <f t="shared" si="61"/>
        <v>-3.4507881918541569E-3</v>
      </c>
      <c r="FN15" s="666">
        <f t="shared" si="62"/>
        <v>-4.4038167760468922E-3</v>
      </c>
      <c r="FO15" s="666">
        <f t="shared" si="63"/>
        <v>-4.4038167760468922E-3</v>
      </c>
      <c r="FP15" s="666">
        <f t="shared" si="64"/>
        <v>-4.4038167760468922E-3</v>
      </c>
      <c r="FQ15" s="666">
        <f t="shared" si="65"/>
        <v>-4.4038167760468922E-3</v>
      </c>
      <c r="FR15" s="666">
        <f t="shared" si="66"/>
        <v>-4.4038167760468922E-3</v>
      </c>
      <c r="FS15" s="666">
        <f t="shared" si="67"/>
        <v>-4.4038167760468922E-3</v>
      </c>
      <c r="FT15" s="666">
        <f t="shared" si="68"/>
        <v>-4.4038167760468922E-3</v>
      </c>
      <c r="FU15" s="666">
        <f t="shared" si="69"/>
        <v>-4.4038167760468922E-3</v>
      </c>
      <c r="FV15" s="666">
        <f t="shared" si="70"/>
        <v>-4.4038167760468922E-3</v>
      </c>
      <c r="FW15" s="666">
        <f t="shared" si="71"/>
        <v>-4.4038167760468922E-3</v>
      </c>
      <c r="FX15" s="1883">
        <f t="shared" si="72"/>
        <v>-4.4038167760468922E-3</v>
      </c>
      <c r="FY15" s="1895"/>
      <c r="FZ15" s="1887">
        <f t="shared" si="37"/>
        <v>241.12299552765856</v>
      </c>
      <c r="GA15" s="664">
        <f t="shared" si="38"/>
        <v>577.23620652970033</v>
      </c>
      <c r="GB15" s="664">
        <f t="shared" si="39"/>
        <v>375.1270044723413</v>
      </c>
      <c r="GC15" s="664">
        <f t="shared" si="40"/>
        <v>39.013793470299696</v>
      </c>
      <c r="GD15" s="664">
        <f t="shared" si="41"/>
        <v>0</v>
      </c>
      <c r="GE15" s="664">
        <f t="shared" si="42"/>
        <v>0</v>
      </c>
      <c r="GF15" s="664">
        <f t="shared" si="43"/>
        <v>0</v>
      </c>
      <c r="GG15" s="664">
        <f t="shared" si="44"/>
        <v>0</v>
      </c>
      <c r="GH15" s="664">
        <f t="shared" si="45"/>
        <v>0</v>
      </c>
      <c r="GI15" s="664">
        <f t="shared" si="46"/>
        <v>0</v>
      </c>
      <c r="GJ15" s="664">
        <f t="shared" si="47"/>
        <v>0</v>
      </c>
      <c r="GK15" s="664">
        <f t="shared" si="48"/>
        <v>0</v>
      </c>
      <c r="GL15" s="664">
        <f t="shared" si="49"/>
        <v>0</v>
      </c>
      <c r="GM15" s="664">
        <f t="shared" si="50"/>
        <v>0</v>
      </c>
      <c r="GN15" s="1861">
        <f t="shared" si="51"/>
        <v>0</v>
      </c>
      <c r="GO15" s="1910"/>
      <c r="GP15" s="1868">
        <f>BH15*INDEX(Assumptions!G$565:G$570,MATCH($B15,Assumptions!$B$565:$B$570,0))</f>
        <v>0.12595275829341876</v>
      </c>
      <c r="GQ15" s="656">
        <f>BI15*INDEX(Assumptions!H$565:H$570,MATCH($B15,Assumptions!$B$565:$B$570,0))</f>
        <v>0.4136754782829784</v>
      </c>
      <c r="GR15" s="656">
        <f>BJ15*INDEX(Assumptions!I$565:I$570,MATCH($B15,Assumptions!$B$565:$B$570,0))</f>
        <v>0.58330523410765578</v>
      </c>
      <c r="GS15" s="656">
        <f>BK15*INDEX(Assumptions!J$565:J$570,MATCH($B15,Assumptions!$B$565:$B$570,0))</f>
        <v>0.5818630122667362</v>
      </c>
      <c r="GT15" s="656">
        <f>BL15*INDEX(Assumptions!K$565:K$570,MATCH($B15,Assumptions!$B$565:$B$570,0))</f>
        <v>0.56149166935759598</v>
      </c>
      <c r="GU15" s="656">
        <f>BM15*INDEX(Assumptions!L$565:L$570,MATCH($B15,Assumptions!$B$565:$B$570,0))</f>
        <v>0.54125890250953279</v>
      </c>
      <c r="GV15" s="656">
        <f>BN15*INDEX(Assumptions!M$565:M$570,MATCH($B15,Assumptions!$B$565:$B$570,0))</f>
        <v>0.52118696660827812</v>
      </c>
      <c r="GW15" s="656">
        <f>BO15*INDEX(Assumptions!N$565:N$570,MATCH($B15,Assumptions!$B$565:$B$570,0))</f>
        <v>0.50124943660612697</v>
      </c>
      <c r="GX15" s="656">
        <f>BP15*INDEX(Assumptions!O$565:O$570,MATCH($B15,Assumptions!$B$565:$B$570,0))</f>
        <v>0.48144624084137916</v>
      </c>
      <c r="GY15" s="656">
        <f>BQ15*INDEX(Assumptions!P$565:P$570,MATCH($B15,Assumptions!$B$565:$B$570,0))</f>
        <v>0.44276607816370239</v>
      </c>
      <c r="GZ15" s="656">
        <f>BR15*INDEX(Assumptions!Q$565:Q$570,MATCH($B15,Assumptions!$B$565:$B$570,0))</f>
        <v>0.15471815062413383</v>
      </c>
      <c r="HA15" s="656">
        <f>BS15*INDEX(Assumptions!R$565:R$570,MATCH($B15,Assumptions!$B$565:$B$570,0))</f>
        <v>0.63287771033981766</v>
      </c>
      <c r="HB15" s="656">
        <f>BT15*INDEX(Assumptions!S$565:S$570,MATCH($B15,Assumptions!$B$565:$B$570,0))</f>
        <v>0.63287771033981766</v>
      </c>
      <c r="HC15" s="656">
        <f>BU15*INDEX(Assumptions!T$565:T$570,MATCH($B15,Assumptions!$B$565:$B$570,0))</f>
        <v>0.61386654712220612</v>
      </c>
      <c r="HD15" s="1922">
        <f>BV15*INDEX(Assumptions!U$565:U$570,MATCH($B15,Assumptions!$B$565:$B$570,0))</f>
        <v>0.59485538390459458</v>
      </c>
      <c r="HE15" s="1933"/>
      <c r="HF15" s="1926">
        <f t="shared" si="77"/>
        <v>4.7812000000000002E-3</v>
      </c>
      <c r="HG15" s="1399">
        <f t="shared" si="77"/>
        <v>1.1445949999999998E-2</v>
      </c>
      <c r="HH15" s="1399">
        <f t="shared" si="77"/>
        <v>7.4383499999999981E-3</v>
      </c>
      <c r="HI15" s="1399">
        <f t="shared" si="77"/>
        <v>7.7360000000000091E-4</v>
      </c>
      <c r="HJ15" s="1399">
        <f t="shared" si="77"/>
        <v>0</v>
      </c>
      <c r="HK15" s="1399">
        <f t="shared" si="77"/>
        <v>0</v>
      </c>
      <c r="HL15" s="1399">
        <f t="shared" si="77"/>
        <v>0</v>
      </c>
      <c r="HM15" s="1399">
        <f t="shared" si="77"/>
        <v>0</v>
      </c>
      <c r="HN15" s="1399">
        <f t="shared" si="77"/>
        <v>0</v>
      </c>
      <c r="HO15" s="1399">
        <f t="shared" si="77"/>
        <v>0</v>
      </c>
      <c r="HP15" s="1399">
        <f t="shared" si="77"/>
        <v>0</v>
      </c>
      <c r="HQ15" s="1399">
        <f t="shared" si="77"/>
        <v>0</v>
      </c>
      <c r="HR15" s="1399">
        <f t="shared" si="77"/>
        <v>0</v>
      </c>
      <c r="HS15" s="1399">
        <f t="shared" si="77"/>
        <v>0</v>
      </c>
      <c r="HT15" s="1399">
        <f t="shared" si="77"/>
        <v>0</v>
      </c>
      <c r="HU15" s="1399"/>
      <c r="HV15" s="656">
        <f>_xlfn.XLOOKUP(D15,'KLIM 2021-30'!$C:$C,'KLIM 2021-30'!$AN:$AN)</f>
        <v>50</v>
      </c>
      <c r="HW15" s="1937">
        <f>HF15/(Assumptions!$C$790/1000000)</f>
        <v>2.5220625082421209E-4</v>
      </c>
      <c r="HX15" s="1945"/>
      <c r="HY15" s="1940">
        <v>2018</v>
      </c>
      <c r="HZ15" s="14">
        <v>2027</v>
      </c>
      <c r="IA15" s="673"/>
      <c r="IB15" s="673"/>
      <c r="IC15" s="674" t="s">
        <v>590</v>
      </c>
      <c r="ID15" s="1956" t="s">
        <v>607</v>
      </c>
      <c r="IE15" s="1953"/>
      <c r="IF15" s="1960">
        <v>1</v>
      </c>
      <c r="IG15" s="537">
        <v>1</v>
      </c>
      <c r="IH15" s="537">
        <v>1</v>
      </c>
      <c r="II15" s="537">
        <v>1</v>
      </c>
      <c r="IJ15" s="537">
        <v>1</v>
      </c>
      <c r="IK15" s="537">
        <v>1</v>
      </c>
      <c r="IL15" s="537">
        <v>1</v>
      </c>
    </row>
    <row r="16" spans="2:247" ht="13.5" customHeight="1" x14ac:dyDescent="0.3">
      <c r="B16" s="1703" t="s">
        <v>52</v>
      </c>
      <c r="C16" s="2113"/>
      <c r="D16" s="679" t="s">
        <v>613</v>
      </c>
      <c r="E16" s="1778" t="s">
        <v>614</v>
      </c>
      <c r="F16" s="1800"/>
      <c r="G16" s="1792" t="s">
        <v>615</v>
      </c>
      <c r="H16" s="1156" t="s">
        <v>616</v>
      </c>
      <c r="I16" s="1156" t="s">
        <v>617</v>
      </c>
      <c r="J16" s="70" t="s">
        <v>563</v>
      </c>
      <c r="K16" s="71" t="s">
        <v>564</v>
      </c>
      <c r="L16" s="1159" t="s">
        <v>618</v>
      </c>
      <c r="M16" s="1829"/>
      <c r="N16" s="1817"/>
      <c r="O16" s="1177"/>
      <c r="P16" s="1178">
        <v>1</v>
      </c>
      <c r="Q16" s="1177"/>
      <c r="R16" s="1177"/>
      <c r="S16" s="1445" cm="1">
        <f t="array" ref="S16:X16">TRANSPOSE(_xlfn.XLOOKUP(B16,Assumptions!$C$134:$I$134,Assumptions!$C$135:$I$140))</f>
        <v>0</v>
      </c>
      <c r="T16" s="1445">
        <v>0</v>
      </c>
      <c r="U16" s="1445">
        <v>0</v>
      </c>
      <c r="V16" s="1445">
        <v>0</v>
      </c>
      <c r="W16" s="1445">
        <v>0.47804953523320071</v>
      </c>
      <c r="X16" s="1445">
        <v>0.52195046476679907</v>
      </c>
      <c r="Y16" s="1186" cm="1">
        <f t="array" ref="Y16:AC16">_xlfn.XLOOKUP(Y6:AC6,Assumptions!H708:L708,Assumptions!H732:L732)</f>
        <v>0.43114754098360658</v>
      </c>
      <c r="Z16" s="1186">
        <v>5.2459016393442623E-2</v>
      </c>
      <c r="AA16" s="1186">
        <v>1.3934426229508197E-2</v>
      </c>
      <c r="AB16" s="1186">
        <v>0.50245901639344259</v>
      </c>
      <c r="AC16" s="1186">
        <v>0</v>
      </c>
      <c r="AD16" s="1177"/>
      <c r="AE16" s="1177"/>
      <c r="AF16" s="1177"/>
      <c r="AG16" s="1184">
        <v>1</v>
      </c>
      <c r="AH16" s="1178">
        <v>1</v>
      </c>
      <c r="AI16" s="1184"/>
      <c r="AJ16" s="1194"/>
      <c r="AK16" s="1417">
        <f t="shared" si="53"/>
        <v>0.76376335250616267</v>
      </c>
      <c r="AL16" s="1243">
        <f>Assumptions!$G$756</f>
        <v>9.8962612982744447E-2</v>
      </c>
      <c r="AM16" s="1245">
        <f>Assumptions!$J$756</f>
        <v>0.66480073952341823</v>
      </c>
      <c r="AN16" s="1244">
        <f>1-SUM(AL16:AM16)</f>
        <v>0.23623664749383733</v>
      </c>
      <c r="AO16" s="1221"/>
      <c r="AP16" s="1846"/>
      <c r="AQ16" s="1837">
        <f t="shared" si="75"/>
        <v>0</v>
      </c>
      <c r="AR16" s="680">
        <f>INDEX(Sources!U$51:U$63,MATCH($D16,Sources!$C$51:$C$63,0))</f>
        <v>0</v>
      </c>
      <c r="AS16" s="680">
        <f>INDEX(Sources!V$51:V$63,MATCH($D16,Sources!$C$51:$C$63,0))</f>
        <v>0</v>
      </c>
      <c r="AT16" s="680">
        <f>INDEX(Sources!W$51:W$63,MATCH($D16,Sources!$C$51:$C$63,0))</f>
        <v>0</v>
      </c>
      <c r="AU16" s="680">
        <f>INDEX(Sources!X$51:X$63,MATCH($D16,Sources!$C$51:$C$63,0))</f>
        <v>0</v>
      </c>
      <c r="AV16" s="680">
        <f>INDEX(Sources!Y$51:Y$63,MATCH($D16,Sources!$C$51:$C$63,0))</f>
        <v>0</v>
      </c>
      <c r="AW16" s="680">
        <f>INDEX(Sources!Z$51:Z$63,MATCH($D16,Sources!$C$51:$C$63,0))</f>
        <v>0</v>
      </c>
      <c r="AX16" s="680">
        <f>INDEX(Sources!AA$51:AA$63,MATCH($D16,Sources!$C$51:$C$63,0))</f>
        <v>0</v>
      </c>
      <c r="AY16" s="663"/>
      <c r="AZ16" s="663"/>
      <c r="BA16" s="663"/>
      <c r="BB16" s="663"/>
      <c r="BC16" s="663"/>
      <c r="BD16" s="663"/>
      <c r="BE16" s="663"/>
      <c r="BF16" s="663"/>
      <c r="BG16" s="501">
        <f t="shared" si="54"/>
        <v>0</v>
      </c>
      <c r="BH16" s="657">
        <f t="shared" si="0"/>
        <v>0</v>
      </c>
      <c r="BI16" s="658">
        <f t="shared" si="1"/>
        <v>0</v>
      </c>
      <c r="BJ16" s="658">
        <f t="shared" si="2"/>
        <v>0</v>
      </c>
      <c r="BK16" s="658">
        <f t="shared" si="3"/>
        <v>0</v>
      </c>
      <c r="BL16" s="658">
        <f t="shared" si="4"/>
        <v>0</v>
      </c>
      <c r="BM16" s="658">
        <f t="shared" si="5"/>
        <v>0</v>
      </c>
      <c r="BN16" s="658">
        <f t="shared" si="6"/>
        <v>0</v>
      </c>
      <c r="BO16" s="658">
        <f t="shared" si="7"/>
        <v>0</v>
      </c>
      <c r="BP16" s="658">
        <f t="shared" si="8"/>
        <v>0</v>
      </c>
      <c r="BQ16" s="658">
        <f t="shared" si="9"/>
        <v>0</v>
      </c>
      <c r="BR16" s="658">
        <f t="shared" si="10"/>
        <v>0</v>
      </c>
      <c r="BS16" s="658">
        <f t="shared" si="11"/>
        <v>0</v>
      </c>
      <c r="BT16" s="658">
        <f t="shared" si="12"/>
        <v>0</v>
      </c>
      <c r="BU16" s="658">
        <f t="shared" si="13"/>
        <v>0</v>
      </c>
      <c r="BV16" s="1851">
        <f t="shared" si="14"/>
        <v>0</v>
      </c>
      <c r="BW16" s="1661"/>
      <c r="BX16" s="1855"/>
      <c r="BY16" s="1192" t="str">
        <f t="shared" si="15"/>
        <v/>
      </c>
      <c r="BZ16" s="656">
        <f>INDEX(Sources!AZ$51:AZ$65,MATCH($D16,Sources!$C$51:$C$65,0))</f>
        <v>0</v>
      </c>
      <c r="CA16" s="656">
        <f>INDEX(Sources!BA$51:BA$65,MATCH($D16,Sources!$C$51:$C$65,0))</f>
        <v>0</v>
      </c>
      <c r="CB16" s="656">
        <f>INDEX(Sources!BB$51:BB$65,MATCH($D16,Sources!$C$51:$C$65,0))</f>
        <v>0</v>
      </c>
      <c r="CC16" s="656">
        <f>INDEX(Sources!BC$51:BC$65,MATCH($D16,Sources!$C$51:$C$65,0))</f>
        <v>0</v>
      </c>
      <c r="CD16" s="656">
        <f>INDEX(Sources!BD$51:BD$65,MATCH($D16,Sources!$C$51:$C$65,0))</f>
        <v>0</v>
      </c>
      <c r="CE16" s="656">
        <f>INDEX(Sources!BE$51:BE$65,MATCH($D16,Sources!$C$51:$C$65,0))</f>
        <v>0</v>
      </c>
      <c r="CF16" s="656">
        <f>INDEX(Sources!BF$51:BF$65,MATCH($D16,Sources!$C$51:$C$65,0))</f>
        <v>0</v>
      </c>
      <c r="CG16" s="663"/>
      <c r="CH16" s="663"/>
      <c r="CI16" s="663"/>
      <c r="CJ16" s="663"/>
      <c r="CK16" s="663"/>
      <c r="CL16" s="663"/>
      <c r="CM16" s="663"/>
      <c r="CN16" s="663"/>
      <c r="CO16" s="479">
        <f t="shared" si="17"/>
        <v>0</v>
      </c>
      <c r="CP16" s="660">
        <f t="shared" si="18"/>
        <v>0</v>
      </c>
      <c r="CQ16" s="681">
        <v>1</v>
      </c>
      <c r="CR16" s="662">
        <f t="shared" si="55"/>
        <v>0</v>
      </c>
      <c r="CS16" s="672" t="s">
        <v>598</v>
      </c>
      <c r="CT16" s="1862">
        <f t="shared" si="19"/>
        <v>0</v>
      </c>
      <c r="CU16" s="1872"/>
      <c r="CV16" s="1866">
        <f>BH16*Assumptions!D$497</f>
        <v>0</v>
      </c>
      <c r="CW16" s="675">
        <f>BI16*Assumptions!E$497</f>
        <v>0</v>
      </c>
      <c r="CX16" s="675">
        <f>BJ16*Assumptions!F$497</f>
        <v>0</v>
      </c>
      <c r="CY16" s="675">
        <f>BK16*Assumptions!G$497</f>
        <v>0</v>
      </c>
      <c r="CZ16" s="675">
        <f>BL16*Assumptions!H$497</f>
        <v>0</v>
      </c>
      <c r="DA16" s="675">
        <f>BM16*Assumptions!I$497</f>
        <v>0</v>
      </c>
      <c r="DB16" s="675">
        <f>BN16*Assumptions!J$497</f>
        <v>0</v>
      </c>
      <c r="DC16" s="675">
        <f>BO16*Assumptions!K$497</f>
        <v>0</v>
      </c>
      <c r="DD16" s="675">
        <f>BP16*Assumptions!L$497</f>
        <v>0</v>
      </c>
      <c r="DE16" s="675">
        <f>BQ16*Assumptions!M$497</f>
        <v>0</v>
      </c>
      <c r="DF16" s="675">
        <f>BR16*Assumptions!N$497</f>
        <v>0</v>
      </c>
      <c r="DG16" s="675">
        <f>BS16*Assumptions!O$497</f>
        <v>0</v>
      </c>
      <c r="DH16" s="675">
        <f>BT16*Assumptions!P$497</f>
        <v>0</v>
      </c>
      <c r="DI16" s="675">
        <f>BU16*Assumptions!Q$497</f>
        <v>0</v>
      </c>
      <c r="DJ16" s="675">
        <f>BV16*Assumptions!R$497</f>
        <v>0</v>
      </c>
      <c r="DK16" s="656">
        <f>BH16*Assumptions!D$504</f>
        <v>0</v>
      </c>
      <c r="DL16" s="656">
        <f>BI16*Assumptions!E$504</f>
        <v>0</v>
      </c>
      <c r="DM16" s="656">
        <f>BJ16*Assumptions!F$504</f>
        <v>0</v>
      </c>
      <c r="DN16" s="656">
        <f>BK16*Assumptions!G$504</f>
        <v>0</v>
      </c>
      <c r="DO16" s="656">
        <f>BL16*Assumptions!H$504</f>
        <v>0</v>
      </c>
      <c r="DP16" s="656">
        <f>BM16*Assumptions!I$504</f>
        <v>0</v>
      </c>
      <c r="DQ16" s="656">
        <f>BN16*Assumptions!J$504</f>
        <v>0</v>
      </c>
      <c r="DR16" s="656">
        <f>BO16*Assumptions!K$504</f>
        <v>0</v>
      </c>
      <c r="DS16" s="656">
        <f>BP16*Assumptions!L$504</f>
        <v>0</v>
      </c>
      <c r="DT16" s="656">
        <f>BQ16*Assumptions!M$504</f>
        <v>0</v>
      </c>
      <c r="DU16" s="656">
        <f>BR16*Assumptions!N$504</f>
        <v>0</v>
      </c>
      <c r="DV16" s="656">
        <f>BS16*Assumptions!O$504</f>
        <v>0</v>
      </c>
      <c r="DW16" s="656">
        <f>BT16*Assumptions!P$504</f>
        <v>0</v>
      </c>
      <c r="DX16" s="656">
        <f>BU16*Assumptions!Q$504</f>
        <v>0</v>
      </c>
      <c r="DY16" s="656">
        <f>BV16*Assumptions!R$504</f>
        <v>0</v>
      </c>
      <c r="DZ16" s="678">
        <v>1</v>
      </c>
      <c r="EA16" s="661">
        <f t="shared" si="56"/>
        <v>0</v>
      </c>
      <c r="EB16" s="1861">
        <f t="shared" si="20"/>
        <v>0</v>
      </c>
      <c r="EC16" s="1881"/>
      <c r="ED16" s="1877">
        <v>0</v>
      </c>
      <c r="EE16" s="665">
        <f t="shared" si="21"/>
        <v>0</v>
      </c>
      <c r="EF16" s="665">
        <f t="shared" si="22"/>
        <v>0</v>
      </c>
      <c r="EG16" s="665">
        <f t="shared" si="23"/>
        <v>0</v>
      </c>
      <c r="EH16" s="665">
        <f t="shared" si="24"/>
        <v>0</v>
      </c>
      <c r="EI16" s="665">
        <f t="shared" si="25"/>
        <v>0</v>
      </c>
      <c r="EJ16" s="665">
        <f t="shared" si="26"/>
        <v>0</v>
      </c>
      <c r="EK16" s="665">
        <f t="shared" si="27"/>
        <v>0</v>
      </c>
      <c r="EL16" s="665">
        <f t="shared" si="28"/>
        <v>0</v>
      </c>
      <c r="EM16" s="665">
        <f t="shared" si="29"/>
        <v>0</v>
      </c>
      <c r="EN16" s="665">
        <f t="shared" si="30"/>
        <v>0</v>
      </c>
      <c r="EO16" s="665">
        <f t="shared" si="31"/>
        <v>0</v>
      </c>
      <c r="EP16" s="665">
        <f t="shared" si="32"/>
        <v>0</v>
      </c>
      <c r="EQ16" s="665">
        <f t="shared" si="33"/>
        <v>0</v>
      </c>
      <c r="ER16" s="665">
        <f t="shared" si="34"/>
        <v>0</v>
      </c>
      <c r="ES16" s="665">
        <f t="shared" si="35"/>
        <v>0</v>
      </c>
      <c r="ET16" s="541">
        <f t="shared" si="57"/>
        <v>0</v>
      </c>
      <c r="EU16" s="1450" cm="1">
        <f t="array" ref="EU16">(BH16*SUMPRODUCT($S16:$X16,TRANSPOSE(Assumptions!D$281:D$286)))*0.001</f>
        <v>0</v>
      </c>
      <c r="EV16" s="1450" cm="1">
        <f t="array" ref="EV16">(BI16*SUMPRODUCT($S16:$X16,TRANSPOSE(Assumptions!E$281:E$286)))*0.001</f>
        <v>0</v>
      </c>
      <c r="EW16" s="1450" cm="1">
        <f t="array" ref="EW16">(BJ16*SUMPRODUCT($S16:$X16,TRANSPOSE(Assumptions!F$281:F$286)))*0.001</f>
        <v>0</v>
      </c>
      <c r="EX16" s="1450" cm="1">
        <f t="array" ref="EX16">(BK16*SUMPRODUCT($S16:$X16,TRANSPOSE(Assumptions!G$281:G$286)))*0.001</f>
        <v>0</v>
      </c>
      <c r="EY16" s="1450" cm="1">
        <f t="array" ref="EY16">(BL16*SUMPRODUCT($S16:$X16,TRANSPOSE(Assumptions!H$281:H$286)))*0.001</f>
        <v>0</v>
      </c>
      <c r="EZ16" s="1450" cm="1">
        <f t="array" ref="EZ16">(BM16*SUMPRODUCT($S16:$X16,TRANSPOSE(Assumptions!I$281:I$286)))*0.001</f>
        <v>0</v>
      </c>
      <c r="FA16" s="1450" cm="1">
        <f t="array" ref="FA16">(BN16*SUMPRODUCT($S16:$X16,TRANSPOSE(Assumptions!J$281:J$286)))*0.001</f>
        <v>0</v>
      </c>
      <c r="FB16" s="1450" cm="1">
        <f t="array" ref="FB16">(BO16*SUMPRODUCT($S16:$X16,TRANSPOSE(Assumptions!K$281:K$286)))*0.001</f>
        <v>0</v>
      </c>
      <c r="FC16" s="1450" cm="1">
        <f t="array" ref="FC16">(BP16*SUMPRODUCT($S16:$X16,TRANSPOSE(Assumptions!L$281:L$286)))*0.001</f>
        <v>0</v>
      </c>
      <c r="FD16" s="1450" cm="1">
        <f t="array" ref="FD16">(BQ16*SUMPRODUCT($S16:$X16,TRANSPOSE(Assumptions!M$281:M$286)))*0.001</f>
        <v>0</v>
      </c>
      <c r="FE16" s="1450" cm="1">
        <f t="array" ref="FE16">(BR16*SUMPRODUCT($S16:$X16,TRANSPOSE(Assumptions!N$281:N$286)))*0.001</f>
        <v>0</v>
      </c>
      <c r="FF16" s="1450" cm="1">
        <f t="array" ref="FF16">(BS16*SUMPRODUCT($S16:$X16,TRANSPOSE(Assumptions!O$281:O$286)))*0.001</f>
        <v>0</v>
      </c>
      <c r="FG16" s="1450" cm="1">
        <f t="array" ref="FG16">(BT16*SUMPRODUCT($S16:$X16,TRANSPOSE(Assumptions!P$281:P$286)))*0.001</f>
        <v>0</v>
      </c>
      <c r="FH16" s="1450" cm="1">
        <f t="array" ref="FH16">(BU16*SUMPRODUCT($S16:$X16,TRANSPOSE(Assumptions!Q$281:Q$286)))*0.001</f>
        <v>0</v>
      </c>
      <c r="FI16" s="1450" cm="1">
        <f t="array" ref="FI16">(BV16*SUMPRODUCT($S16:$X16,TRANSPOSE(Assumptions!R$281:R$286)))*0.001</f>
        <v>0</v>
      </c>
      <c r="FJ16" s="666">
        <f t="shared" si="58"/>
        <v>0</v>
      </c>
      <c r="FK16" s="666">
        <f t="shared" si="59"/>
        <v>0</v>
      </c>
      <c r="FL16" s="666">
        <f t="shared" si="60"/>
        <v>0</v>
      </c>
      <c r="FM16" s="666">
        <f t="shared" si="61"/>
        <v>0</v>
      </c>
      <c r="FN16" s="666">
        <f t="shared" si="62"/>
        <v>0</v>
      </c>
      <c r="FO16" s="666">
        <f t="shared" si="63"/>
        <v>0</v>
      </c>
      <c r="FP16" s="666">
        <f t="shared" si="64"/>
        <v>0</v>
      </c>
      <c r="FQ16" s="666">
        <f t="shared" si="65"/>
        <v>0</v>
      </c>
      <c r="FR16" s="666">
        <f t="shared" si="66"/>
        <v>0</v>
      </c>
      <c r="FS16" s="666">
        <f t="shared" si="67"/>
        <v>0</v>
      </c>
      <c r="FT16" s="666">
        <f t="shared" si="68"/>
        <v>0</v>
      </c>
      <c r="FU16" s="666">
        <f t="shared" si="69"/>
        <v>0</v>
      </c>
      <c r="FV16" s="666">
        <f t="shared" si="70"/>
        <v>0</v>
      </c>
      <c r="FW16" s="666">
        <f t="shared" si="71"/>
        <v>0</v>
      </c>
      <c r="FX16" s="1883">
        <f t="shared" si="72"/>
        <v>0</v>
      </c>
      <c r="FY16" s="1895"/>
      <c r="FZ16" s="1887">
        <f t="shared" si="37"/>
        <v>0</v>
      </c>
      <c r="GA16" s="664">
        <f t="shared" si="38"/>
        <v>0</v>
      </c>
      <c r="GB16" s="664">
        <f t="shared" si="39"/>
        <v>0</v>
      </c>
      <c r="GC16" s="664">
        <f t="shared" si="40"/>
        <v>0</v>
      </c>
      <c r="GD16" s="664">
        <f t="shared" si="41"/>
        <v>0</v>
      </c>
      <c r="GE16" s="664">
        <f t="shared" si="42"/>
        <v>0</v>
      </c>
      <c r="GF16" s="664">
        <f t="shared" si="43"/>
        <v>0</v>
      </c>
      <c r="GG16" s="664">
        <f t="shared" si="44"/>
        <v>0</v>
      </c>
      <c r="GH16" s="664">
        <f t="shared" si="45"/>
        <v>0</v>
      </c>
      <c r="GI16" s="664">
        <f t="shared" si="46"/>
        <v>0</v>
      </c>
      <c r="GJ16" s="664">
        <f t="shared" si="47"/>
        <v>0</v>
      </c>
      <c r="GK16" s="664">
        <f t="shared" si="48"/>
        <v>0</v>
      </c>
      <c r="GL16" s="664">
        <f t="shared" si="49"/>
        <v>0</v>
      </c>
      <c r="GM16" s="664">
        <f t="shared" si="50"/>
        <v>0</v>
      </c>
      <c r="GN16" s="1861">
        <f t="shared" si="51"/>
        <v>0</v>
      </c>
      <c r="GO16" s="1910"/>
      <c r="GP16" s="1868">
        <f>BH16*INDEX(Assumptions!G$565:G$570,MATCH($B16,Assumptions!$B$565:$B$570,0))</f>
        <v>0</v>
      </c>
      <c r="GQ16" s="656">
        <f>BI16*INDEX(Assumptions!H$565:H$570,MATCH($B16,Assumptions!$B$565:$B$570,0))</f>
        <v>0</v>
      </c>
      <c r="GR16" s="656">
        <f>BJ16*INDEX(Assumptions!I$565:I$570,MATCH($B16,Assumptions!$B$565:$B$570,0))</f>
        <v>0</v>
      </c>
      <c r="GS16" s="656">
        <f>BK16*INDEX(Assumptions!J$565:J$570,MATCH($B16,Assumptions!$B$565:$B$570,0))</f>
        <v>0</v>
      </c>
      <c r="GT16" s="656">
        <f>BL16*INDEX(Assumptions!K$565:K$570,MATCH($B16,Assumptions!$B$565:$B$570,0))</f>
        <v>0</v>
      </c>
      <c r="GU16" s="656">
        <f>BM16*INDEX(Assumptions!L$565:L$570,MATCH($B16,Assumptions!$B$565:$B$570,0))</f>
        <v>0</v>
      </c>
      <c r="GV16" s="656">
        <f>BN16*INDEX(Assumptions!M$565:M$570,MATCH($B16,Assumptions!$B$565:$B$570,0))</f>
        <v>0</v>
      </c>
      <c r="GW16" s="656">
        <f>BO16*INDEX(Assumptions!N$565:N$570,MATCH($B16,Assumptions!$B$565:$B$570,0))</f>
        <v>0</v>
      </c>
      <c r="GX16" s="656">
        <f>BP16*INDEX(Assumptions!O$565:O$570,MATCH($B16,Assumptions!$B$565:$B$570,0))</f>
        <v>0</v>
      </c>
      <c r="GY16" s="656">
        <f>BQ16*INDEX(Assumptions!P$565:P$570,MATCH($B16,Assumptions!$B$565:$B$570,0))</f>
        <v>0</v>
      </c>
      <c r="GZ16" s="656">
        <f>BR16*INDEX(Assumptions!Q$565:Q$570,MATCH($B16,Assumptions!$B$565:$B$570,0))</f>
        <v>0</v>
      </c>
      <c r="HA16" s="656">
        <f>BS16*INDEX(Assumptions!R$565:R$570,MATCH($B16,Assumptions!$B$565:$B$570,0))</f>
        <v>0</v>
      </c>
      <c r="HB16" s="656">
        <f>BT16*INDEX(Assumptions!S$565:S$570,MATCH($B16,Assumptions!$B$565:$B$570,0))</f>
        <v>0</v>
      </c>
      <c r="HC16" s="656">
        <f>BU16*INDEX(Assumptions!T$565:T$570,MATCH($B16,Assumptions!$B$565:$B$570,0))</f>
        <v>0</v>
      </c>
      <c r="HD16" s="1922">
        <f>BV16*INDEX(Assumptions!U$565:U$570,MATCH($B16,Assumptions!$B$565:$B$570,0))</f>
        <v>0</v>
      </c>
      <c r="HE16" s="1933"/>
      <c r="HF16" s="1926">
        <f t="shared" si="77"/>
        <v>0</v>
      </c>
      <c r="HG16" s="1399">
        <f t="shared" si="77"/>
        <v>0</v>
      </c>
      <c r="HH16" s="1399">
        <f t="shared" si="77"/>
        <v>0</v>
      </c>
      <c r="HI16" s="1399">
        <f t="shared" si="77"/>
        <v>0</v>
      </c>
      <c r="HJ16" s="1399">
        <f t="shared" si="77"/>
        <v>0</v>
      </c>
      <c r="HK16" s="1399">
        <f t="shared" si="77"/>
        <v>0</v>
      </c>
      <c r="HL16" s="1399">
        <f t="shared" si="77"/>
        <v>0</v>
      </c>
      <c r="HM16" s="1399">
        <f t="shared" si="77"/>
        <v>0</v>
      </c>
      <c r="HN16" s="1399">
        <f t="shared" si="77"/>
        <v>0</v>
      </c>
      <c r="HO16" s="1399">
        <f t="shared" si="77"/>
        <v>0</v>
      </c>
      <c r="HP16" s="1399">
        <f t="shared" si="77"/>
        <v>0</v>
      </c>
      <c r="HQ16" s="1399">
        <f t="shared" si="77"/>
        <v>0</v>
      </c>
      <c r="HR16" s="1399">
        <f t="shared" si="77"/>
        <v>0</v>
      </c>
      <c r="HS16" s="1399">
        <f t="shared" si="77"/>
        <v>0</v>
      </c>
      <c r="HT16" s="1399">
        <f t="shared" si="77"/>
        <v>0</v>
      </c>
      <c r="HU16" s="1399"/>
      <c r="HV16" s="494">
        <f>HV15</f>
        <v>50</v>
      </c>
      <c r="HW16" s="1937">
        <f>HF16/(Assumptions!$C$790/1000000)</f>
        <v>0</v>
      </c>
      <c r="HX16" s="1945"/>
      <c r="HY16" s="1940">
        <v>2016</v>
      </c>
      <c r="HZ16" s="14">
        <v>2027</v>
      </c>
      <c r="IA16" s="673"/>
      <c r="IB16" s="673"/>
      <c r="IC16" s="674" t="s">
        <v>590</v>
      </c>
      <c r="ID16" s="1956" t="s">
        <v>607</v>
      </c>
      <c r="IE16" s="1953"/>
      <c r="IF16" s="1960">
        <v>1</v>
      </c>
      <c r="IG16" s="537">
        <v>1</v>
      </c>
      <c r="IH16" s="537">
        <v>1</v>
      </c>
      <c r="II16" s="537">
        <v>1</v>
      </c>
      <c r="IJ16" s="537">
        <v>1</v>
      </c>
      <c r="IK16" s="537">
        <v>1</v>
      </c>
      <c r="IL16" s="537">
        <v>1</v>
      </c>
    </row>
    <row r="17" spans="2:246" ht="13.5" customHeight="1" x14ac:dyDescent="0.3">
      <c r="B17" s="1703" t="s">
        <v>52</v>
      </c>
      <c r="C17" s="2113"/>
      <c r="D17" s="679" t="s">
        <v>619</v>
      </c>
      <c r="E17" s="1778" t="s">
        <v>620</v>
      </c>
      <c r="F17" s="1800"/>
      <c r="G17" s="1792" t="s">
        <v>621</v>
      </c>
      <c r="H17" s="1156" t="s">
        <v>622</v>
      </c>
      <c r="I17" s="1156" t="s">
        <v>623</v>
      </c>
      <c r="J17" s="70" t="s">
        <v>563</v>
      </c>
      <c r="K17" s="71" t="s">
        <v>564</v>
      </c>
      <c r="L17" s="1814" t="s">
        <v>624</v>
      </c>
      <c r="M17" s="1830"/>
      <c r="N17" s="1817"/>
      <c r="O17" s="1177"/>
      <c r="P17" s="1178">
        <v>1</v>
      </c>
      <c r="Q17" s="1177"/>
      <c r="R17" s="1177"/>
      <c r="S17" s="1445" cm="1">
        <f t="array" ref="S17:X17">TRANSPOSE(_xlfn.XLOOKUP(B17,Assumptions!$C$134:$I$134,Assumptions!$C$135:$I$140))</f>
        <v>0</v>
      </c>
      <c r="T17" s="1445">
        <v>0</v>
      </c>
      <c r="U17" s="1445">
        <v>0</v>
      </c>
      <c r="V17" s="1445">
        <v>0</v>
      </c>
      <c r="W17" s="1445">
        <v>0.47804953523320071</v>
      </c>
      <c r="X17" s="1445">
        <v>0.52195046476679907</v>
      </c>
      <c r="Y17" s="1179" cm="1">
        <f t="array" ref="Y17:AC17">_xlfn.XLOOKUP(Y6:AC6,Assumptions!H708:L708,Assumptions!H729:L729)</f>
        <v>0.46617507739311187</v>
      </c>
      <c r="Z17" s="1179">
        <v>0.1012815754933873</v>
      </c>
      <c r="AA17" s="1179">
        <v>9.3499775272842672E-2</v>
      </c>
      <c r="AB17" s="1179">
        <v>0.26423830771487994</v>
      </c>
      <c r="AC17" s="1179">
        <v>7.4805264125778162E-2</v>
      </c>
      <c r="AD17" s="1177"/>
      <c r="AE17" s="1177"/>
      <c r="AF17" s="1177"/>
      <c r="AG17" s="1184">
        <v>1</v>
      </c>
      <c r="AH17" s="1178">
        <v>1</v>
      </c>
      <c r="AI17" s="1184"/>
      <c r="AJ17" s="1194"/>
      <c r="AK17" s="1417">
        <f t="shared" si="53"/>
        <v>0.76376335250616267</v>
      </c>
      <c r="AL17" s="1243">
        <f>Assumptions!$G$756</f>
        <v>9.8962612982744447E-2</v>
      </c>
      <c r="AM17" s="1245">
        <f>Assumptions!$J$756</f>
        <v>0.66480073952341823</v>
      </c>
      <c r="AN17" s="1244">
        <f>1-SUM(AL17:AM17)</f>
        <v>0.23623664749383733</v>
      </c>
      <c r="AO17" s="1221"/>
      <c r="AP17" s="1846"/>
      <c r="AQ17" s="1838">
        <f>INDEX(Sources!$Q$73:$Q$104,MATCH($E17,Sources!$E$73:$E$104,0))</f>
        <v>2.0619447100000023</v>
      </c>
      <c r="AR17" s="675">
        <f>_xlfn.XLOOKUP($D17,'MKM 2014-20'!$C$4:$C$28,'MKM 2014-20'!N$4:N$28)</f>
        <v>0</v>
      </c>
      <c r="AS17" s="675">
        <f>_xlfn.XLOOKUP($D17,'MKM 2014-20'!$C$4:$C$28,'MKM 2014-20'!O$4:O$28)</f>
        <v>0</v>
      </c>
      <c r="AT17" s="675">
        <f>_xlfn.XLOOKUP($D17,'MKM 2014-20'!$C$4:$C$28,'MKM 2014-20'!P$4:P$28)</f>
        <v>0</v>
      </c>
      <c r="AU17" s="675">
        <f>_xlfn.XLOOKUP($D17,'MKM 2014-20'!$C$4:$C$28,'MKM 2014-20'!Q$4:Q$28)</f>
        <v>0</v>
      </c>
      <c r="AV17" s="675">
        <f>_xlfn.XLOOKUP($D17,'MKM 2014-20'!$C$4:$C$28,'MKM 2014-20'!R$4:R$28)</f>
        <v>0</v>
      </c>
      <c r="AW17" s="675">
        <f>_xlfn.XLOOKUP($D17,'MKM 2014-20'!$C$4:$C$28,'MKM 2014-20'!S$4:S$28)</f>
        <v>0</v>
      </c>
      <c r="AX17" s="675">
        <f>_xlfn.XLOOKUP($D17,'MKM 2014-20'!$C$4:$C$28,'MKM 2014-20'!T$4:T$28)</f>
        <v>0</v>
      </c>
      <c r="AY17" s="663"/>
      <c r="AZ17" s="663"/>
      <c r="BA17" s="663"/>
      <c r="BB17" s="663"/>
      <c r="BC17" s="663"/>
      <c r="BD17" s="663"/>
      <c r="BE17" s="663"/>
      <c r="BF17" s="663"/>
      <c r="BG17" s="501">
        <f t="shared" si="54"/>
        <v>0</v>
      </c>
      <c r="BH17" s="657">
        <f t="shared" si="0"/>
        <v>0</v>
      </c>
      <c r="BI17" s="658">
        <f t="shared" si="1"/>
        <v>0</v>
      </c>
      <c r="BJ17" s="658">
        <f t="shared" si="2"/>
        <v>0</v>
      </c>
      <c r="BK17" s="658">
        <f t="shared" si="3"/>
        <v>0</v>
      </c>
      <c r="BL17" s="658">
        <f t="shared" si="4"/>
        <v>0</v>
      </c>
      <c r="BM17" s="658">
        <f t="shared" si="5"/>
        <v>0</v>
      </c>
      <c r="BN17" s="658">
        <f t="shared" si="6"/>
        <v>0</v>
      </c>
      <c r="BO17" s="658">
        <f t="shared" si="7"/>
        <v>0</v>
      </c>
      <c r="BP17" s="658">
        <f t="shared" si="8"/>
        <v>0</v>
      </c>
      <c r="BQ17" s="658">
        <f t="shared" si="9"/>
        <v>0</v>
      </c>
      <c r="BR17" s="658">
        <f t="shared" si="10"/>
        <v>0</v>
      </c>
      <c r="BS17" s="658">
        <f t="shared" si="11"/>
        <v>0</v>
      </c>
      <c r="BT17" s="658">
        <f t="shared" si="12"/>
        <v>0</v>
      </c>
      <c r="BU17" s="658">
        <f t="shared" si="13"/>
        <v>0</v>
      </c>
      <c r="BV17" s="1851">
        <f t="shared" si="14"/>
        <v>0</v>
      </c>
      <c r="BW17" s="1661"/>
      <c r="BX17" s="1855">
        <v>0</v>
      </c>
      <c r="BY17" s="1192" t="str">
        <f t="shared" si="15"/>
        <v/>
      </c>
      <c r="BZ17" s="663"/>
      <c r="CA17" s="663"/>
      <c r="CB17" s="663"/>
      <c r="CC17" s="663"/>
      <c r="CD17" s="663"/>
      <c r="CE17" s="663"/>
      <c r="CF17" s="663"/>
      <c r="CG17" s="663"/>
      <c r="CH17" s="663"/>
      <c r="CI17" s="663"/>
      <c r="CJ17" s="663"/>
      <c r="CK17" s="663"/>
      <c r="CL17" s="663"/>
      <c r="CM17" s="663"/>
      <c r="CN17" s="663"/>
      <c r="CO17" s="479">
        <f t="shared" si="17"/>
        <v>0</v>
      </c>
      <c r="CP17" s="660">
        <f t="shared" si="18"/>
        <v>0</v>
      </c>
      <c r="CQ17" s="681">
        <v>1</v>
      </c>
      <c r="CR17" s="662">
        <f t="shared" si="55"/>
        <v>0</v>
      </c>
      <c r="CS17" s="672" t="s">
        <v>598</v>
      </c>
      <c r="CT17" s="1862" t="str">
        <f t="shared" si="19"/>
        <v>n/a</v>
      </c>
      <c r="CU17" s="1872"/>
      <c r="CV17" s="1866">
        <f>BH17*Assumptions!D$497</f>
        <v>0</v>
      </c>
      <c r="CW17" s="675">
        <f>BI17*Assumptions!E$497</f>
        <v>0</v>
      </c>
      <c r="CX17" s="675">
        <f>BJ17*Assumptions!F$497</f>
        <v>0</v>
      </c>
      <c r="CY17" s="675">
        <f>BK17*Assumptions!G$497</f>
        <v>0</v>
      </c>
      <c r="CZ17" s="675">
        <f>BL17*Assumptions!H$497</f>
        <v>0</v>
      </c>
      <c r="DA17" s="675">
        <f>BM17*Assumptions!I$497</f>
        <v>0</v>
      </c>
      <c r="DB17" s="675">
        <f>BN17*Assumptions!J$497</f>
        <v>0</v>
      </c>
      <c r="DC17" s="675">
        <f>BO17*Assumptions!K$497</f>
        <v>0</v>
      </c>
      <c r="DD17" s="675">
        <f>BP17*Assumptions!L$497</f>
        <v>0</v>
      </c>
      <c r="DE17" s="675">
        <f>BQ17*Assumptions!M$497</f>
        <v>0</v>
      </c>
      <c r="DF17" s="675">
        <f>BR17*Assumptions!N$497</f>
        <v>0</v>
      </c>
      <c r="DG17" s="675">
        <f>BS17*Assumptions!O$497</f>
        <v>0</v>
      </c>
      <c r="DH17" s="675">
        <f>BT17*Assumptions!P$497</f>
        <v>0</v>
      </c>
      <c r="DI17" s="675">
        <f>BU17*Assumptions!Q$497</f>
        <v>0</v>
      </c>
      <c r="DJ17" s="675">
        <f>BV17*Assumptions!R$497</f>
        <v>0</v>
      </c>
      <c r="DK17" s="656">
        <f>BH17*Assumptions!D$504</f>
        <v>0</v>
      </c>
      <c r="DL17" s="656">
        <f>BI17*Assumptions!E$504</f>
        <v>0</v>
      </c>
      <c r="DM17" s="656">
        <f>BJ17*Assumptions!F$504</f>
        <v>0</v>
      </c>
      <c r="DN17" s="656">
        <f>BK17*Assumptions!G$504</f>
        <v>0</v>
      </c>
      <c r="DO17" s="656">
        <f>BL17*Assumptions!H$504</f>
        <v>0</v>
      </c>
      <c r="DP17" s="656">
        <f>BM17*Assumptions!I$504</f>
        <v>0</v>
      </c>
      <c r="DQ17" s="656">
        <f>BN17*Assumptions!J$504</f>
        <v>0</v>
      </c>
      <c r="DR17" s="656">
        <f>BO17*Assumptions!K$504</f>
        <v>0</v>
      </c>
      <c r="DS17" s="656">
        <f>BP17*Assumptions!L$504</f>
        <v>0</v>
      </c>
      <c r="DT17" s="656">
        <f>BQ17*Assumptions!M$504</f>
        <v>0</v>
      </c>
      <c r="DU17" s="656">
        <f>BR17*Assumptions!N$504</f>
        <v>0</v>
      </c>
      <c r="DV17" s="656">
        <f>BS17*Assumptions!O$504</f>
        <v>0</v>
      </c>
      <c r="DW17" s="656">
        <f>BT17*Assumptions!P$504</f>
        <v>0</v>
      </c>
      <c r="DX17" s="656">
        <f>BU17*Assumptions!Q$504</f>
        <v>0</v>
      </c>
      <c r="DY17" s="656">
        <f>BV17*Assumptions!R$504</f>
        <v>0</v>
      </c>
      <c r="DZ17" s="678">
        <v>1</v>
      </c>
      <c r="EA17" s="661">
        <f t="shared" si="56"/>
        <v>0</v>
      </c>
      <c r="EB17" s="1861">
        <f t="shared" si="20"/>
        <v>0</v>
      </c>
      <c r="EC17" s="1881"/>
      <c r="ED17" s="1877">
        <v>0</v>
      </c>
      <c r="EE17" s="665">
        <f t="shared" si="21"/>
        <v>0</v>
      </c>
      <c r="EF17" s="665">
        <f t="shared" si="22"/>
        <v>0</v>
      </c>
      <c r="EG17" s="665">
        <f t="shared" si="23"/>
        <v>0</v>
      </c>
      <c r="EH17" s="665">
        <f t="shared" si="24"/>
        <v>0</v>
      </c>
      <c r="EI17" s="665">
        <f t="shared" si="25"/>
        <v>0</v>
      </c>
      <c r="EJ17" s="665">
        <f t="shared" si="26"/>
        <v>0</v>
      </c>
      <c r="EK17" s="665">
        <f t="shared" si="27"/>
        <v>0</v>
      </c>
      <c r="EL17" s="665">
        <f t="shared" si="28"/>
        <v>0</v>
      </c>
      <c r="EM17" s="665">
        <f t="shared" si="29"/>
        <v>0</v>
      </c>
      <c r="EN17" s="665">
        <f t="shared" si="30"/>
        <v>0</v>
      </c>
      <c r="EO17" s="665">
        <f t="shared" si="31"/>
        <v>0</v>
      </c>
      <c r="EP17" s="665">
        <f t="shared" si="32"/>
        <v>0</v>
      </c>
      <c r="EQ17" s="665">
        <f t="shared" si="33"/>
        <v>0</v>
      </c>
      <c r="ER17" s="665">
        <f t="shared" si="34"/>
        <v>0</v>
      </c>
      <c r="ES17" s="665">
        <f t="shared" si="35"/>
        <v>0</v>
      </c>
      <c r="ET17" s="541">
        <f t="shared" si="57"/>
        <v>0</v>
      </c>
      <c r="EU17" s="1450" cm="1">
        <f t="array" ref="EU17">(BH17*SUMPRODUCT($S17:$X17,TRANSPOSE(Assumptions!D$281:D$286)))*0.001</f>
        <v>0</v>
      </c>
      <c r="EV17" s="1450" cm="1">
        <f t="array" ref="EV17">(BI17*SUMPRODUCT($S17:$X17,TRANSPOSE(Assumptions!E$281:E$286)))*0.001</f>
        <v>0</v>
      </c>
      <c r="EW17" s="1450" cm="1">
        <f t="array" ref="EW17">(BJ17*SUMPRODUCT($S17:$X17,TRANSPOSE(Assumptions!F$281:F$286)))*0.001</f>
        <v>0</v>
      </c>
      <c r="EX17" s="1450" cm="1">
        <f t="array" ref="EX17">(BK17*SUMPRODUCT($S17:$X17,TRANSPOSE(Assumptions!G$281:G$286)))*0.001</f>
        <v>0</v>
      </c>
      <c r="EY17" s="1450" cm="1">
        <f t="array" ref="EY17">(BL17*SUMPRODUCT($S17:$X17,TRANSPOSE(Assumptions!H$281:H$286)))*0.001</f>
        <v>0</v>
      </c>
      <c r="EZ17" s="1450" cm="1">
        <f t="array" ref="EZ17">(BM17*SUMPRODUCT($S17:$X17,TRANSPOSE(Assumptions!I$281:I$286)))*0.001</f>
        <v>0</v>
      </c>
      <c r="FA17" s="1450" cm="1">
        <f t="array" ref="FA17">(BN17*SUMPRODUCT($S17:$X17,TRANSPOSE(Assumptions!J$281:J$286)))*0.001</f>
        <v>0</v>
      </c>
      <c r="FB17" s="1450" cm="1">
        <f t="array" ref="FB17">(BO17*SUMPRODUCT($S17:$X17,TRANSPOSE(Assumptions!K$281:K$286)))*0.001</f>
        <v>0</v>
      </c>
      <c r="FC17" s="1450" cm="1">
        <f t="array" ref="FC17">(BP17*SUMPRODUCT($S17:$X17,TRANSPOSE(Assumptions!L$281:L$286)))*0.001</f>
        <v>0</v>
      </c>
      <c r="FD17" s="1450" cm="1">
        <f t="array" ref="FD17">(BQ17*SUMPRODUCT($S17:$X17,TRANSPOSE(Assumptions!M$281:M$286)))*0.001</f>
        <v>0</v>
      </c>
      <c r="FE17" s="1450" cm="1">
        <f t="array" ref="FE17">(BR17*SUMPRODUCT($S17:$X17,TRANSPOSE(Assumptions!N$281:N$286)))*0.001</f>
        <v>0</v>
      </c>
      <c r="FF17" s="1450" cm="1">
        <f t="array" ref="FF17">(BS17*SUMPRODUCT($S17:$X17,TRANSPOSE(Assumptions!O$281:O$286)))*0.001</f>
        <v>0</v>
      </c>
      <c r="FG17" s="1450" cm="1">
        <f t="array" ref="FG17">(BT17*SUMPRODUCT($S17:$X17,TRANSPOSE(Assumptions!P$281:P$286)))*0.001</f>
        <v>0</v>
      </c>
      <c r="FH17" s="1450" cm="1">
        <f t="array" ref="FH17">(BU17*SUMPRODUCT($S17:$X17,TRANSPOSE(Assumptions!Q$281:Q$286)))*0.001</f>
        <v>0</v>
      </c>
      <c r="FI17" s="1450" cm="1">
        <f t="array" ref="FI17">(BV17*SUMPRODUCT($S17:$X17,TRANSPOSE(Assumptions!R$281:R$286)))*0.001</f>
        <v>0</v>
      </c>
      <c r="FJ17" s="666">
        <f t="shared" si="58"/>
        <v>0</v>
      </c>
      <c r="FK17" s="666">
        <f t="shared" si="59"/>
        <v>0</v>
      </c>
      <c r="FL17" s="666">
        <f t="shared" si="60"/>
        <v>0</v>
      </c>
      <c r="FM17" s="666">
        <f t="shared" si="61"/>
        <v>0</v>
      </c>
      <c r="FN17" s="666">
        <f t="shared" si="62"/>
        <v>0</v>
      </c>
      <c r="FO17" s="666">
        <f t="shared" si="63"/>
        <v>0</v>
      </c>
      <c r="FP17" s="666">
        <f t="shared" si="64"/>
        <v>0</v>
      </c>
      <c r="FQ17" s="666">
        <f t="shared" si="65"/>
        <v>0</v>
      </c>
      <c r="FR17" s="666">
        <f t="shared" si="66"/>
        <v>0</v>
      </c>
      <c r="FS17" s="666">
        <f t="shared" si="67"/>
        <v>0</v>
      </c>
      <c r="FT17" s="666">
        <f t="shared" si="68"/>
        <v>0</v>
      </c>
      <c r="FU17" s="666">
        <f t="shared" si="69"/>
        <v>0</v>
      </c>
      <c r="FV17" s="666">
        <f t="shared" si="70"/>
        <v>0</v>
      </c>
      <c r="FW17" s="666">
        <f t="shared" si="71"/>
        <v>0</v>
      </c>
      <c r="FX17" s="1883">
        <f t="shared" si="72"/>
        <v>0</v>
      </c>
      <c r="FY17" s="1895"/>
      <c r="FZ17" s="1887">
        <f t="shared" si="37"/>
        <v>0</v>
      </c>
      <c r="GA17" s="664">
        <f t="shared" si="38"/>
        <v>0</v>
      </c>
      <c r="GB17" s="664">
        <f t="shared" si="39"/>
        <v>0</v>
      </c>
      <c r="GC17" s="664">
        <f t="shared" si="40"/>
        <v>0</v>
      </c>
      <c r="GD17" s="664">
        <f t="shared" si="41"/>
        <v>0</v>
      </c>
      <c r="GE17" s="664">
        <f t="shared" si="42"/>
        <v>0</v>
      </c>
      <c r="GF17" s="664">
        <f t="shared" si="43"/>
        <v>0</v>
      </c>
      <c r="GG17" s="664">
        <f t="shared" si="44"/>
        <v>0</v>
      </c>
      <c r="GH17" s="664">
        <f t="shared" si="45"/>
        <v>0</v>
      </c>
      <c r="GI17" s="664">
        <f t="shared" si="46"/>
        <v>0</v>
      </c>
      <c r="GJ17" s="664">
        <f t="shared" si="47"/>
        <v>0</v>
      </c>
      <c r="GK17" s="664">
        <f t="shared" si="48"/>
        <v>0</v>
      </c>
      <c r="GL17" s="664">
        <f t="shared" si="49"/>
        <v>0</v>
      </c>
      <c r="GM17" s="664">
        <f t="shared" si="50"/>
        <v>0</v>
      </c>
      <c r="GN17" s="1861">
        <f t="shared" si="51"/>
        <v>0</v>
      </c>
      <c r="GO17" s="1910"/>
      <c r="GP17" s="1868">
        <f>BH17*INDEX(Assumptions!G$565:G$570,MATCH($B17,Assumptions!$B$565:$B$570,0))</f>
        <v>0</v>
      </c>
      <c r="GQ17" s="656">
        <f>BI17*INDEX(Assumptions!H$565:H$570,MATCH($B17,Assumptions!$B$565:$B$570,0))</f>
        <v>0</v>
      </c>
      <c r="GR17" s="656">
        <f>BJ17*INDEX(Assumptions!I$565:I$570,MATCH($B17,Assumptions!$B$565:$B$570,0))</f>
        <v>0</v>
      </c>
      <c r="GS17" s="656">
        <f>BK17*INDEX(Assumptions!J$565:J$570,MATCH($B17,Assumptions!$B$565:$B$570,0))</f>
        <v>0</v>
      </c>
      <c r="GT17" s="656">
        <f>BL17*INDEX(Assumptions!K$565:K$570,MATCH($B17,Assumptions!$B$565:$B$570,0))</f>
        <v>0</v>
      </c>
      <c r="GU17" s="656">
        <f>BM17*INDEX(Assumptions!L$565:L$570,MATCH($B17,Assumptions!$B$565:$B$570,0))</f>
        <v>0</v>
      </c>
      <c r="GV17" s="656">
        <f>BN17*INDEX(Assumptions!M$565:M$570,MATCH($B17,Assumptions!$B$565:$B$570,0))</f>
        <v>0</v>
      </c>
      <c r="GW17" s="656">
        <f>BO17*INDEX(Assumptions!N$565:N$570,MATCH($B17,Assumptions!$B$565:$B$570,0))</f>
        <v>0</v>
      </c>
      <c r="GX17" s="656">
        <f>BP17*INDEX(Assumptions!O$565:O$570,MATCH($B17,Assumptions!$B$565:$B$570,0))</f>
        <v>0</v>
      </c>
      <c r="GY17" s="656">
        <f>BQ17*INDEX(Assumptions!P$565:P$570,MATCH($B17,Assumptions!$B$565:$B$570,0))</f>
        <v>0</v>
      </c>
      <c r="GZ17" s="656">
        <f>BR17*INDEX(Assumptions!Q$565:Q$570,MATCH($B17,Assumptions!$B$565:$B$570,0))</f>
        <v>0</v>
      </c>
      <c r="HA17" s="656">
        <f>BS17*INDEX(Assumptions!R$565:R$570,MATCH($B17,Assumptions!$B$565:$B$570,0))</f>
        <v>0</v>
      </c>
      <c r="HB17" s="656">
        <f>BT17*INDEX(Assumptions!S$565:S$570,MATCH($B17,Assumptions!$B$565:$B$570,0))</f>
        <v>0</v>
      </c>
      <c r="HC17" s="656">
        <f>BU17*INDEX(Assumptions!T$565:T$570,MATCH($B17,Assumptions!$B$565:$B$570,0))</f>
        <v>0</v>
      </c>
      <c r="HD17" s="1922">
        <f>BV17*INDEX(Assumptions!U$565:U$570,MATCH($B17,Assumptions!$B$565:$B$570,0))</f>
        <v>0</v>
      </c>
      <c r="HE17" s="1933"/>
      <c r="HF17" s="1926">
        <f t="shared" si="77"/>
        <v>0</v>
      </c>
      <c r="HG17" s="1399">
        <f t="shared" si="77"/>
        <v>0</v>
      </c>
      <c r="HH17" s="1399">
        <f t="shared" si="77"/>
        <v>0</v>
      </c>
      <c r="HI17" s="1399">
        <f t="shared" si="77"/>
        <v>0</v>
      </c>
      <c r="HJ17" s="1399">
        <f t="shared" si="77"/>
        <v>0</v>
      </c>
      <c r="HK17" s="1399">
        <f t="shared" si="77"/>
        <v>0</v>
      </c>
      <c r="HL17" s="1399">
        <f t="shared" si="77"/>
        <v>0</v>
      </c>
      <c r="HM17" s="1399">
        <f t="shared" si="77"/>
        <v>0</v>
      </c>
      <c r="HN17" s="1399">
        <f t="shared" si="77"/>
        <v>0</v>
      </c>
      <c r="HO17" s="1399">
        <f t="shared" si="77"/>
        <v>0</v>
      </c>
      <c r="HP17" s="1399">
        <f t="shared" si="77"/>
        <v>0</v>
      </c>
      <c r="HQ17" s="1399">
        <f t="shared" si="77"/>
        <v>0</v>
      </c>
      <c r="HR17" s="1399">
        <f t="shared" si="77"/>
        <v>0</v>
      </c>
      <c r="HS17" s="1399">
        <f t="shared" si="77"/>
        <v>0</v>
      </c>
      <c r="HT17" s="1399">
        <f t="shared" si="77"/>
        <v>0</v>
      </c>
      <c r="HU17" s="1399"/>
      <c r="HV17" s="494">
        <f>HV16</f>
        <v>50</v>
      </c>
      <c r="HW17" s="1937">
        <f>HF17/(Assumptions!$C$790/1000000)</f>
        <v>0</v>
      </c>
      <c r="HX17" s="1945"/>
      <c r="HY17" s="1940">
        <v>2017</v>
      </c>
      <c r="HZ17" s="14">
        <v>2027</v>
      </c>
      <c r="IA17" s="673"/>
      <c r="IB17" s="673"/>
      <c r="IC17" s="674" t="s">
        <v>590</v>
      </c>
      <c r="ID17" s="1956" t="s">
        <v>607</v>
      </c>
      <c r="IE17" s="1953"/>
      <c r="IF17" s="1960">
        <v>1</v>
      </c>
      <c r="IG17" s="537">
        <v>1</v>
      </c>
      <c r="IH17" s="537">
        <v>1</v>
      </c>
      <c r="II17" s="537">
        <v>1</v>
      </c>
      <c r="IJ17" s="537">
        <v>1</v>
      </c>
      <c r="IK17" s="537">
        <v>1</v>
      </c>
      <c r="IL17" s="537">
        <v>1</v>
      </c>
    </row>
    <row r="18" spans="2:246" ht="13.5" customHeight="1" x14ac:dyDescent="0.3">
      <c r="B18" s="1703" t="s">
        <v>52</v>
      </c>
      <c r="C18" s="2113"/>
      <c r="D18" s="679" t="s">
        <v>625</v>
      </c>
      <c r="E18" s="1778" t="s">
        <v>626</v>
      </c>
      <c r="F18" s="1800"/>
      <c r="G18" s="1792" t="s">
        <v>627</v>
      </c>
      <c r="H18" s="1156" t="s">
        <v>628</v>
      </c>
      <c r="I18" s="1156" t="s">
        <v>629</v>
      </c>
      <c r="J18" s="70" t="s">
        <v>563</v>
      </c>
      <c r="K18" s="71" t="s">
        <v>564</v>
      </c>
      <c r="L18" s="1159" t="s">
        <v>618</v>
      </c>
      <c r="M18" s="1829"/>
      <c r="N18" s="1817"/>
      <c r="O18" s="1177"/>
      <c r="P18" s="1178">
        <v>1</v>
      </c>
      <c r="Q18" s="1177"/>
      <c r="R18" s="1177"/>
      <c r="S18" s="1445" cm="1">
        <f t="array" ref="S18:X18">TRANSPOSE(_xlfn.XLOOKUP(B18,Assumptions!$C$134:$I$134,Assumptions!$C$135:$I$140))</f>
        <v>0</v>
      </c>
      <c r="T18" s="1445">
        <v>0</v>
      </c>
      <c r="U18" s="1445">
        <v>0</v>
      </c>
      <c r="V18" s="1445">
        <v>0</v>
      </c>
      <c r="W18" s="1445">
        <v>0.47804953523320071</v>
      </c>
      <c r="X18" s="1445">
        <v>0.52195046476679907</v>
      </c>
      <c r="Y18" s="1179" cm="1">
        <f t="array" ref="Y18:AC18">_xlfn.XLOOKUP(Y6:AC6,Assumptions!H708:L708,Assumptions!H729:L729)</f>
        <v>0.46617507739311187</v>
      </c>
      <c r="Z18" s="1179">
        <v>0.1012815754933873</v>
      </c>
      <c r="AA18" s="1179">
        <v>9.3499775272842672E-2</v>
      </c>
      <c r="AB18" s="1179">
        <v>0.26423830771487994</v>
      </c>
      <c r="AC18" s="1179">
        <v>7.4805264125778162E-2</v>
      </c>
      <c r="AD18" s="1177"/>
      <c r="AE18" s="1177"/>
      <c r="AF18" s="1177"/>
      <c r="AG18" s="1184">
        <v>1</v>
      </c>
      <c r="AH18" s="1178">
        <v>1</v>
      </c>
      <c r="AI18" s="1184"/>
      <c r="AJ18" s="1194"/>
      <c r="AK18" s="1417">
        <f t="shared" si="53"/>
        <v>0.76376335250616267</v>
      </c>
      <c r="AL18" s="1243">
        <f>Assumptions!$G$756</f>
        <v>9.8962612982744447E-2</v>
      </c>
      <c r="AM18" s="1245">
        <f>Assumptions!$J$756</f>
        <v>0.66480073952341823</v>
      </c>
      <c r="AN18" s="1244">
        <f>1-SUM(AL18:AM18)</f>
        <v>0.23623664749383733</v>
      </c>
      <c r="AO18" s="1221"/>
      <c r="AP18" s="1846"/>
      <c r="AQ18" s="1837">
        <f t="shared" si="75"/>
        <v>0</v>
      </c>
      <c r="AR18" s="680">
        <f>INDEX(Sources!U$51:U$63,MATCH($D18,Sources!$C$51:$C$63,0))</f>
        <v>0</v>
      </c>
      <c r="AS18" s="680">
        <f>INDEX(Sources!V$51:V$63,MATCH($D18,Sources!$C$51:$C$63,0))</f>
        <v>0</v>
      </c>
      <c r="AT18" s="680">
        <f>INDEX(Sources!W$51:W$63,MATCH($D18,Sources!$C$51:$C$63,0))</f>
        <v>0</v>
      </c>
      <c r="AU18" s="680">
        <f>INDEX(Sources!X$51:X$63,MATCH($D18,Sources!$C$51:$C$63,0))</f>
        <v>0</v>
      </c>
      <c r="AV18" s="680">
        <f>INDEX(Sources!Y$51:Y$63,MATCH($D18,Sources!$C$51:$C$63,0))</f>
        <v>0</v>
      </c>
      <c r="AW18" s="680">
        <f>INDEX(Sources!Z$51:Z$63,MATCH($D18,Sources!$C$51:$C$63,0))</f>
        <v>0</v>
      </c>
      <c r="AX18" s="680">
        <f>INDEX(Sources!AA$51:AA$63,MATCH($D18,Sources!$C$51:$C$63,0))</f>
        <v>0</v>
      </c>
      <c r="AY18" s="663"/>
      <c r="AZ18" s="663"/>
      <c r="BA18" s="663"/>
      <c r="BB18" s="663"/>
      <c r="BC18" s="663"/>
      <c r="BD18" s="663"/>
      <c r="BE18" s="663"/>
      <c r="BF18" s="663"/>
      <c r="BG18" s="501">
        <f t="shared" si="54"/>
        <v>0</v>
      </c>
      <c r="BH18" s="657">
        <f t="shared" si="0"/>
        <v>0</v>
      </c>
      <c r="BI18" s="658">
        <f t="shared" si="1"/>
        <v>0</v>
      </c>
      <c r="BJ18" s="658">
        <f t="shared" si="2"/>
        <v>0</v>
      </c>
      <c r="BK18" s="658">
        <f t="shared" si="3"/>
        <v>0</v>
      </c>
      <c r="BL18" s="658">
        <f t="shared" si="4"/>
        <v>0</v>
      </c>
      <c r="BM18" s="658">
        <f t="shared" si="5"/>
        <v>0</v>
      </c>
      <c r="BN18" s="658">
        <f t="shared" si="6"/>
        <v>0</v>
      </c>
      <c r="BO18" s="658">
        <f t="shared" si="7"/>
        <v>0</v>
      </c>
      <c r="BP18" s="658">
        <f t="shared" si="8"/>
        <v>0</v>
      </c>
      <c r="BQ18" s="658">
        <f t="shared" si="9"/>
        <v>0</v>
      </c>
      <c r="BR18" s="658">
        <f t="shared" si="10"/>
        <v>0</v>
      </c>
      <c r="BS18" s="658">
        <f t="shared" si="11"/>
        <v>0</v>
      </c>
      <c r="BT18" s="658">
        <f t="shared" si="12"/>
        <v>0</v>
      </c>
      <c r="BU18" s="658">
        <f t="shared" si="13"/>
        <v>0</v>
      </c>
      <c r="BV18" s="1851">
        <f t="shared" si="14"/>
        <v>0</v>
      </c>
      <c r="BW18" s="1661"/>
      <c r="BX18" s="1855"/>
      <c r="BY18" s="1192" t="str">
        <f t="shared" si="15"/>
        <v/>
      </c>
      <c r="BZ18" s="656">
        <f>INDEX(Sources!AZ$51:AZ$65,MATCH($D18,Sources!$C$51:$C$65,0))</f>
        <v>0</v>
      </c>
      <c r="CA18" s="656">
        <f>INDEX(Sources!BA$51:BA$65,MATCH($D18,Sources!$C$51:$C$65,0))</f>
        <v>0</v>
      </c>
      <c r="CB18" s="656">
        <f>INDEX(Sources!BB$51:BB$65,MATCH($D18,Sources!$C$51:$C$65,0))</f>
        <v>0</v>
      </c>
      <c r="CC18" s="656">
        <f>INDEX(Sources!BC$51:BC$65,MATCH($D18,Sources!$C$51:$C$65,0))</f>
        <v>0</v>
      </c>
      <c r="CD18" s="656">
        <f>INDEX(Sources!BD$51:BD$65,MATCH($D18,Sources!$C$51:$C$65,0))</f>
        <v>0</v>
      </c>
      <c r="CE18" s="656">
        <f>INDEX(Sources!BE$51:BE$65,MATCH($D18,Sources!$C$51:$C$65,0))</f>
        <v>0</v>
      </c>
      <c r="CF18" s="656">
        <f>INDEX(Sources!BF$51:BF$65,MATCH($D18,Sources!$C$51:$C$65,0))</f>
        <v>0</v>
      </c>
      <c r="CG18" s="663"/>
      <c r="CH18" s="663"/>
      <c r="CI18" s="663"/>
      <c r="CJ18" s="663"/>
      <c r="CK18" s="663"/>
      <c r="CL18" s="663"/>
      <c r="CM18" s="663"/>
      <c r="CN18" s="663"/>
      <c r="CO18" s="479">
        <f t="shared" si="17"/>
        <v>0</v>
      </c>
      <c r="CP18" s="660">
        <f t="shared" si="18"/>
        <v>0</v>
      </c>
      <c r="CQ18" s="681">
        <v>1</v>
      </c>
      <c r="CR18" s="662">
        <f t="shared" si="55"/>
        <v>0</v>
      </c>
      <c r="CS18" s="672" t="s">
        <v>598</v>
      </c>
      <c r="CT18" s="1862">
        <f t="shared" si="19"/>
        <v>0</v>
      </c>
      <c r="CU18" s="1872"/>
      <c r="CV18" s="1866">
        <f>BH18*Assumptions!D$497</f>
        <v>0</v>
      </c>
      <c r="CW18" s="675">
        <f>BI18*Assumptions!E$497</f>
        <v>0</v>
      </c>
      <c r="CX18" s="675">
        <f>BJ18*Assumptions!F$497</f>
        <v>0</v>
      </c>
      <c r="CY18" s="675">
        <f>BK18*Assumptions!G$497</f>
        <v>0</v>
      </c>
      <c r="CZ18" s="675">
        <f>BL18*Assumptions!H$497</f>
        <v>0</v>
      </c>
      <c r="DA18" s="675">
        <f>BM18*Assumptions!I$497</f>
        <v>0</v>
      </c>
      <c r="DB18" s="675">
        <f>BN18*Assumptions!J$497</f>
        <v>0</v>
      </c>
      <c r="DC18" s="675">
        <f>BO18*Assumptions!K$497</f>
        <v>0</v>
      </c>
      <c r="DD18" s="675">
        <f>BP18*Assumptions!L$497</f>
        <v>0</v>
      </c>
      <c r="DE18" s="675">
        <f>BQ18*Assumptions!M$497</f>
        <v>0</v>
      </c>
      <c r="DF18" s="675">
        <f>BR18*Assumptions!N$497</f>
        <v>0</v>
      </c>
      <c r="DG18" s="675">
        <f>BS18*Assumptions!O$497</f>
        <v>0</v>
      </c>
      <c r="DH18" s="675">
        <f>BT18*Assumptions!P$497</f>
        <v>0</v>
      </c>
      <c r="DI18" s="675">
        <f>BU18*Assumptions!Q$497</f>
        <v>0</v>
      </c>
      <c r="DJ18" s="675">
        <f>BV18*Assumptions!R$497</f>
        <v>0</v>
      </c>
      <c r="DK18" s="656">
        <f>BH18*Assumptions!D$504</f>
        <v>0</v>
      </c>
      <c r="DL18" s="656">
        <f>BI18*Assumptions!E$504</f>
        <v>0</v>
      </c>
      <c r="DM18" s="656">
        <f>BJ18*Assumptions!F$504</f>
        <v>0</v>
      </c>
      <c r="DN18" s="656">
        <f>BK18*Assumptions!G$504</f>
        <v>0</v>
      </c>
      <c r="DO18" s="656">
        <f>BL18*Assumptions!H$504</f>
        <v>0</v>
      </c>
      <c r="DP18" s="656">
        <f>BM18*Assumptions!I$504</f>
        <v>0</v>
      </c>
      <c r="DQ18" s="656">
        <f>BN18*Assumptions!J$504</f>
        <v>0</v>
      </c>
      <c r="DR18" s="656">
        <f>BO18*Assumptions!K$504</f>
        <v>0</v>
      </c>
      <c r="DS18" s="656">
        <f>BP18*Assumptions!L$504</f>
        <v>0</v>
      </c>
      <c r="DT18" s="656">
        <f>BQ18*Assumptions!M$504</f>
        <v>0</v>
      </c>
      <c r="DU18" s="656">
        <f>BR18*Assumptions!N$504</f>
        <v>0</v>
      </c>
      <c r="DV18" s="656">
        <f>BS18*Assumptions!O$504</f>
        <v>0</v>
      </c>
      <c r="DW18" s="656">
        <f>BT18*Assumptions!P$504</f>
        <v>0</v>
      </c>
      <c r="DX18" s="656">
        <f>BU18*Assumptions!Q$504</f>
        <v>0</v>
      </c>
      <c r="DY18" s="656">
        <f>BV18*Assumptions!R$504</f>
        <v>0</v>
      </c>
      <c r="DZ18" s="678">
        <v>1</v>
      </c>
      <c r="EA18" s="661">
        <f t="shared" si="56"/>
        <v>0</v>
      </c>
      <c r="EB18" s="1861">
        <f t="shared" si="20"/>
        <v>0</v>
      </c>
      <c r="EC18" s="1881"/>
      <c r="ED18" s="1877">
        <v>0</v>
      </c>
      <c r="EE18" s="665">
        <f t="shared" si="21"/>
        <v>0</v>
      </c>
      <c r="EF18" s="665">
        <f t="shared" si="22"/>
        <v>0</v>
      </c>
      <c r="EG18" s="665">
        <f t="shared" si="23"/>
        <v>0</v>
      </c>
      <c r="EH18" s="665">
        <f t="shared" si="24"/>
        <v>0</v>
      </c>
      <c r="EI18" s="665">
        <f t="shared" si="25"/>
        <v>0</v>
      </c>
      <c r="EJ18" s="665">
        <f t="shared" si="26"/>
        <v>0</v>
      </c>
      <c r="EK18" s="665">
        <f t="shared" si="27"/>
        <v>0</v>
      </c>
      <c r="EL18" s="665">
        <f t="shared" si="28"/>
        <v>0</v>
      </c>
      <c r="EM18" s="665">
        <f t="shared" si="29"/>
        <v>0</v>
      </c>
      <c r="EN18" s="665">
        <f t="shared" si="30"/>
        <v>0</v>
      </c>
      <c r="EO18" s="665">
        <f t="shared" si="31"/>
        <v>0</v>
      </c>
      <c r="EP18" s="665">
        <f t="shared" si="32"/>
        <v>0</v>
      </c>
      <c r="EQ18" s="665">
        <f t="shared" si="33"/>
        <v>0</v>
      </c>
      <c r="ER18" s="665">
        <f t="shared" si="34"/>
        <v>0</v>
      </c>
      <c r="ES18" s="665">
        <f t="shared" si="35"/>
        <v>0</v>
      </c>
      <c r="ET18" s="541">
        <f t="shared" si="57"/>
        <v>0</v>
      </c>
      <c r="EU18" s="1450" cm="1">
        <f t="array" ref="EU18">(BH18*SUMPRODUCT($S18:$X18,TRANSPOSE(Assumptions!D$281:D$286)))*0.001</f>
        <v>0</v>
      </c>
      <c r="EV18" s="1450" cm="1">
        <f t="array" ref="EV18">(BI18*SUMPRODUCT($S18:$X18,TRANSPOSE(Assumptions!E$281:E$286)))*0.001</f>
        <v>0</v>
      </c>
      <c r="EW18" s="1450" cm="1">
        <f t="array" ref="EW18">(BJ18*SUMPRODUCT($S18:$X18,TRANSPOSE(Assumptions!F$281:F$286)))*0.001</f>
        <v>0</v>
      </c>
      <c r="EX18" s="1450" cm="1">
        <f t="array" ref="EX18">(BK18*SUMPRODUCT($S18:$X18,TRANSPOSE(Assumptions!G$281:G$286)))*0.001</f>
        <v>0</v>
      </c>
      <c r="EY18" s="1450" cm="1">
        <f t="array" ref="EY18">(BL18*SUMPRODUCT($S18:$X18,TRANSPOSE(Assumptions!H$281:H$286)))*0.001</f>
        <v>0</v>
      </c>
      <c r="EZ18" s="1450" cm="1">
        <f t="array" ref="EZ18">(BM18*SUMPRODUCT($S18:$X18,TRANSPOSE(Assumptions!I$281:I$286)))*0.001</f>
        <v>0</v>
      </c>
      <c r="FA18" s="1450" cm="1">
        <f t="array" ref="FA18">(BN18*SUMPRODUCT($S18:$X18,TRANSPOSE(Assumptions!J$281:J$286)))*0.001</f>
        <v>0</v>
      </c>
      <c r="FB18" s="1450" cm="1">
        <f t="array" ref="FB18">(BO18*SUMPRODUCT($S18:$X18,TRANSPOSE(Assumptions!K$281:K$286)))*0.001</f>
        <v>0</v>
      </c>
      <c r="FC18" s="1450" cm="1">
        <f t="array" ref="FC18">(BP18*SUMPRODUCT($S18:$X18,TRANSPOSE(Assumptions!L$281:L$286)))*0.001</f>
        <v>0</v>
      </c>
      <c r="FD18" s="1450" cm="1">
        <f t="array" ref="FD18">(BQ18*SUMPRODUCT($S18:$X18,TRANSPOSE(Assumptions!M$281:M$286)))*0.001</f>
        <v>0</v>
      </c>
      <c r="FE18" s="1450" cm="1">
        <f t="array" ref="FE18">(BR18*SUMPRODUCT($S18:$X18,TRANSPOSE(Assumptions!N$281:N$286)))*0.001</f>
        <v>0</v>
      </c>
      <c r="FF18" s="1450" cm="1">
        <f t="array" ref="FF18">(BS18*SUMPRODUCT($S18:$X18,TRANSPOSE(Assumptions!O$281:O$286)))*0.001</f>
        <v>0</v>
      </c>
      <c r="FG18" s="1450" cm="1">
        <f t="array" ref="FG18">(BT18*SUMPRODUCT($S18:$X18,TRANSPOSE(Assumptions!P$281:P$286)))*0.001</f>
        <v>0</v>
      </c>
      <c r="FH18" s="1450" cm="1">
        <f t="array" ref="FH18">(BU18*SUMPRODUCT($S18:$X18,TRANSPOSE(Assumptions!Q$281:Q$286)))*0.001</f>
        <v>0</v>
      </c>
      <c r="FI18" s="1450" cm="1">
        <f t="array" ref="FI18">(BV18*SUMPRODUCT($S18:$X18,TRANSPOSE(Assumptions!R$281:R$286)))*0.001</f>
        <v>0</v>
      </c>
      <c r="FJ18" s="666">
        <f t="shared" si="58"/>
        <v>0</v>
      </c>
      <c r="FK18" s="666">
        <f t="shared" si="59"/>
        <v>0</v>
      </c>
      <c r="FL18" s="666">
        <f t="shared" si="60"/>
        <v>0</v>
      </c>
      <c r="FM18" s="666">
        <f t="shared" si="61"/>
        <v>0</v>
      </c>
      <c r="FN18" s="666">
        <f t="shared" si="62"/>
        <v>0</v>
      </c>
      <c r="FO18" s="666">
        <f t="shared" si="63"/>
        <v>0</v>
      </c>
      <c r="FP18" s="666">
        <f t="shared" si="64"/>
        <v>0</v>
      </c>
      <c r="FQ18" s="666">
        <f t="shared" si="65"/>
        <v>0</v>
      </c>
      <c r="FR18" s="666">
        <f t="shared" si="66"/>
        <v>0</v>
      </c>
      <c r="FS18" s="666">
        <f t="shared" si="67"/>
        <v>0</v>
      </c>
      <c r="FT18" s="666">
        <f t="shared" si="68"/>
        <v>0</v>
      </c>
      <c r="FU18" s="666">
        <f t="shared" si="69"/>
        <v>0</v>
      </c>
      <c r="FV18" s="666">
        <f t="shared" si="70"/>
        <v>0</v>
      </c>
      <c r="FW18" s="666">
        <f t="shared" si="71"/>
        <v>0</v>
      </c>
      <c r="FX18" s="1883">
        <f t="shared" si="72"/>
        <v>0</v>
      </c>
      <c r="FY18" s="1895"/>
      <c r="FZ18" s="1887">
        <f t="shared" si="37"/>
        <v>0</v>
      </c>
      <c r="GA18" s="664">
        <f t="shared" si="38"/>
        <v>0</v>
      </c>
      <c r="GB18" s="664">
        <f t="shared" si="39"/>
        <v>0</v>
      </c>
      <c r="GC18" s="664">
        <f t="shared" si="40"/>
        <v>0</v>
      </c>
      <c r="GD18" s="664">
        <f t="shared" si="41"/>
        <v>0</v>
      </c>
      <c r="GE18" s="664">
        <f t="shared" si="42"/>
        <v>0</v>
      </c>
      <c r="GF18" s="664">
        <f t="shared" si="43"/>
        <v>0</v>
      </c>
      <c r="GG18" s="664">
        <f t="shared" si="44"/>
        <v>0</v>
      </c>
      <c r="GH18" s="664">
        <f t="shared" si="45"/>
        <v>0</v>
      </c>
      <c r="GI18" s="664">
        <f t="shared" si="46"/>
        <v>0</v>
      </c>
      <c r="GJ18" s="664">
        <f t="shared" si="47"/>
        <v>0</v>
      </c>
      <c r="GK18" s="664">
        <f t="shared" si="48"/>
        <v>0</v>
      </c>
      <c r="GL18" s="664">
        <f t="shared" si="49"/>
        <v>0</v>
      </c>
      <c r="GM18" s="664">
        <f t="shared" si="50"/>
        <v>0</v>
      </c>
      <c r="GN18" s="1861">
        <f t="shared" si="51"/>
        <v>0</v>
      </c>
      <c r="GO18" s="1910"/>
      <c r="GP18" s="1868">
        <f>BH18*INDEX(Assumptions!G$565:G$570,MATCH($B18,Assumptions!$B$565:$B$570,0))</f>
        <v>0</v>
      </c>
      <c r="GQ18" s="656">
        <f>BI18*INDEX(Assumptions!H$565:H$570,MATCH($B18,Assumptions!$B$565:$B$570,0))</f>
        <v>0</v>
      </c>
      <c r="GR18" s="656">
        <f>BJ18*INDEX(Assumptions!I$565:I$570,MATCH($B18,Assumptions!$B$565:$B$570,0))</f>
        <v>0</v>
      </c>
      <c r="GS18" s="656">
        <f>BK18*INDEX(Assumptions!J$565:J$570,MATCH($B18,Assumptions!$B$565:$B$570,0))</f>
        <v>0</v>
      </c>
      <c r="GT18" s="656">
        <f>BL18*INDEX(Assumptions!K$565:K$570,MATCH($B18,Assumptions!$B$565:$B$570,0))</f>
        <v>0</v>
      </c>
      <c r="GU18" s="656">
        <f>BM18*INDEX(Assumptions!L$565:L$570,MATCH($B18,Assumptions!$B$565:$B$570,0))</f>
        <v>0</v>
      </c>
      <c r="GV18" s="656">
        <f>BN18*INDEX(Assumptions!M$565:M$570,MATCH($B18,Assumptions!$B$565:$B$570,0))</f>
        <v>0</v>
      </c>
      <c r="GW18" s="656">
        <f>BO18*INDEX(Assumptions!N$565:N$570,MATCH($B18,Assumptions!$B$565:$B$570,0))</f>
        <v>0</v>
      </c>
      <c r="GX18" s="656">
        <f>BP18*INDEX(Assumptions!O$565:O$570,MATCH($B18,Assumptions!$B$565:$B$570,0))</f>
        <v>0</v>
      </c>
      <c r="GY18" s="656">
        <f>BQ18*INDEX(Assumptions!P$565:P$570,MATCH($B18,Assumptions!$B$565:$B$570,0))</f>
        <v>0</v>
      </c>
      <c r="GZ18" s="656">
        <f>BR18*INDEX(Assumptions!Q$565:Q$570,MATCH($B18,Assumptions!$B$565:$B$570,0))</f>
        <v>0</v>
      </c>
      <c r="HA18" s="656">
        <f>BS18*INDEX(Assumptions!R$565:R$570,MATCH($B18,Assumptions!$B$565:$B$570,0))</f>
        <v>0</v>
      </c>
      <c r="HB18" s="656">
        <f>BT18*INDEX(Assumptions!S$565:S$570,MATCH($B18,Assumptions!$B$565:$B$570,0))</f>
        <v>0</v>
      </c>
      <c r="HC18" s="656">
        <f>BU18*INDEX(Assumptions!T$565:T$570,MATCH($B18,Assumptions!$B$565:$B$570,0))</f>
        <v>0</v>
      </c>
      <c r="HD18" s="1922">
        <f>BV18*INDEX(Assumptions!U$565:U$570,MATCH($B18,Assumptions!$B$565:$B$570,0))</f>
        <v>0</v>
      </c>
      <c r="HE18" s="1933"/>
      <c r="HF18" s="1926">
        <f t="shared" si="77"/>
        <v>0</v>
      </c>
      <c r="HG18" s="1399">
        <f t="shared" si="77"/>
        <v>0</v>
      </c>
      <c r="HH18" s="1399">
        <f t="shared" si="77"/>
        <v>0</v>
      </c>
      <c r="HI18" s="1399">
        <f t="shared" si="77"/>
        <v>0</v>
      </c>
      <c r="HJ18" s="1399">
        <f t="shared" si="77"/>
        <v>0</v>
      </c>
      <c r="HK18" s="1399">
        <f t="shared" si="77"/>
        <v>0</v>
      </c>
      <c r="HL18" s="1399">
        <f t="shared" si="77"/>
        <v>0</v>
      </c>
      <c r="HM18" s="1399">
        <f t="shared" si="77"/>
        <v>0</v>
      </c>
      <c r="HN18" s="1399">
        <f t="shared" si="77"/>
        <v>0</v>
      </c>
      <c r="HO18" s="1399">
        <f t="shared" si="77"/>
        <v>0</v>
      </c>
      <c r="HP18" s="1399">
        <f t="shared" si="77"/>
        <v>0</v>
      </c>
      <c r="HQ18" s="1399">
        <f t="shared" si="77"/>
        <v>0</v>
      </c>
      <c r="HR18" s="1399">
        <f t="shared" si="77"/>
        <v>0</v>
      </c>
      <c r="HS18" s="1399">
        <f t="shared" si="77"/>
        <v>0</v>
      </c>
      <c r="HT18" s="1399">
        <f t="shared" si="77"/>
        <v>0</v>
      </c>
      <c r="HU18" s="1399"/>
      <c r="HV18" s="494">
        <f>HV17</f>
        <v>50</v>
      </c>
      <c r="HW18" s="1937">
        <f>HF18/(Assumptions!$C$790/1000000)</f>
        <v>0</v>
      </c>
      <c r="HX18" s="1945"/>
      <c r="HY18" s="1940">
        <v>2016</v>
      </c>
      <c r="HZ18" s="14">
        <v>2027</v>
      </c>
      <c r="IA18" s="673"/>
      <c r="IB18" s="673"/>
      <c r="IC18" s="674" t="s">
        <v>578</v>
      </c>
      <c r="ID18" s="1956" t="s">
        <v>630</v>
      </c>
      <c r="IE18" s="1953"/>
      <c r="IF18" s="1960">
        <v>1</v>
      </c>
      <c r="IG18" s="537">
        <v>1</v>
      </c>
      <c r="IH18" s="537">
        <v>1</v>
      </c>
      <c r="II18" s="537">
        <v>1</v>
      </c>
      <c r="IJ18" s="537">
        <v>1</v>
      </c>
      <c r="IK18" s="537">
        <v>1</v>
      </c>
      <c r="IL18" s="537">
        <v>1</v>
      </c>
    </row>
    <row r="19" spans="2:246" ht="13.5" customHeight="1" x14ac:dyDescent="0.3">
      <c r="B19" s="1703" t="s">
        <v>50</v>
      </c>
      <c r="C19" s="2112" t="s">
        <v>50</v>
      </c>
      <c r="D19" s="679" t="s">
        <v>631</v>
      </c>
      <c r="E19" s="1778" t="s">
        <v>632</v>
      </c>
      <c r="F19" s="1800"/>
      <c r="G19" s="1792" t="s">
        <v>633</v>
      </c>
      <c r="H19" s="1156" t="s">
        <v>634</v>
      </c>
      <c r="I19" s="1156" t="s">
        <v>632</v>
      </c>
      <c r="J19" s="70" t="s">
        <v>563</v>
      </c>
      <c r="K19" s="71" t="s">
        <v>564</v>
      </c>
      <c r="L19" s="2043" t="s">
        <v>565</v>
      </c>
      <c r="M19" s="1827"/>
      <c r="N19" s="1818">
        <v>1</v>
      </c>
      <c r="O19" s="1177"/>
      <c r="P19" s="1177"/>
      <c r="Q19" s="1177"/>
      <c r="R19" s="1177"/>
      <c r="S19" s="1445" cm="1">
        <f t="array" ref="S19:X19">TRANSPOSE(_xlfn.XLOOKUP(B19,Assumptions!$C$134:$I$134,Assumptions!$C$135:$I$140))</f>
        <v>0.10317241638291583</v>
      </c>
      <c r="T19" s="1445">
        <v>0.23872907169427657</v>
      </c>
      <c r="U19" s="1445">
        <v>3.2568433019642524E-3</v>
      </c>
      <c r="V19" s="1445">
        <v>4.5216233578577056E-2</v>
      </c>
      <c r="W19" s="1445">
        <v>9.7069623729229393E-2</v>
      </c>
      <c r="X19" s="1445">
        <v>0.51265511199796931</v>
      </c>
      <c r="Y19" s="1183" cm="1">
        <f t="array" ref="Y19:AC19">TRANSPOSE(_xlfn.ANCHORARRAY(Assumptions!$F$698))</f>
        <v>0.510495150787874</v>
      </c>
      <c r="Z19" s="1183">
        <v>8.3095626856569543E-2</v>
      </c>
      <c r="AA19" s="1183">
        <v>0.12648279660850237</v>
      </c>
      <c r="AB19" s="1183">
        <v>0.19450947219326029</v>
      </c>
      <c r="AC19" s="1183">
        <v>8.5416953553793806E-2</v>
      </c>
      <c r="AD19" s="1177"/>
      <c r="AE19" s="1177"/>
      <c r="AF19" s="1177"/>
      <c r="AG19" s="1177"/>
      <c r="AH19" s="1177"/>
      <c r="AI19" s="1177"/>
      <c r="AJ19" s="1177"/>
      <c r="AK19" s="1417">
        <f t="shared" si="53"/>
        <v>0</v>
      </c>
      <c r="AL19" s="1177"/>
      <c r="AM19" s="1177"/>
      <c r="AN19" s="1177"/>
      <c r="AO19" s="1221"/>
      <c r="AP19" s="1846"/>
      <c r="AQ19" s="1837">
        <f t="shared" si="75"/>
        <v>29.167220141725455</v>
      </c>
      <c r="AR19" s="656">
        <f>_xlfn.XLOOKUP($D19,'KLIM 2021-30'!$C$4:$C$40,'KLIM 2021-30'!T$4:T$40)</f>
        <v>59.509250000000002</v>
      </c>
      <c r="AS19" s="656">
        <f>_xlfn.XLOOKUP($D19,'KLIM 2021-30'!$C$4:$C$40,'KLIM 2021-30'!U$4:U$40)</f>
        <v>3.2802999999999969</v>
      </c>
      <c r="AT19" s="656">
        <f>_xlfn.XLOOKUP($D19,'KLIM 2021-30'!$C$4:$C$40,'KLIM 2021-30'!V$4:V$40)</f>
        <v>0</v>
      </c>
      <c r="AU19" s="656">
        <f>_xlfn.XLOOKUP($D19,'KLIM 2021-30'!$C$4:$C$40,'KLIM 2021-30'!W$4:W$40)</f>
        <v>0</v>
      </c>
      <c r="AV19" s="656">
        <f>_xlfn.XLOOKUP($D19,'KLIM 2021-30'!$C$4:$C$40,'KLIM 2021-30'!X$4:X$40)</f>
        <v>49.483346847227359</v>
      </c>
      <c r="AW19" s="656">
        <f>_xlfn.XLOOKUP($D19,'KLIM 2021-30'!$C$4:$C$40,'KLIM 2021-30'!Y$4:Y$40)</f>
        <v>49.483346847227367</v>
      </c>
      <c r="AX19" s="656">
        <f>_xlfn.XLOOKUP($D19,'KLIM 2021-30'!$C$4:$C$40,'KLIM 2021-30'!Z$4:Z$40)</f>
        <v>42.414297297623449</v>
      </c>
      <c r="AY19" s="663"/>
      <c r="AZ19" s="663"/>
      <c r="BA19" s="663"/>
      <c r="BB19" s="663"/>
      <c r="BC19" s="663"/>
      <c r="BD19" s="663"/>
      <c r="BE19" s="663"/>
      <c r="BF19" s="663"/>
      <c r="BG19" s="501">
        <f t="shared" si="54"/>
        <v>35.345247748019545</v>
      </c>
      <c r="BH19" s="657">
        <f t="shared" si="0"/>
        <v>59.509250000000002</v>
      </c>
      <c r="BI19" s="658">
        <f t="shared" si="1"/>
        <v>62.789549999999998</v>
      </c>
      <c r="BJ19" s="658">
        <f t="shared" si="2"/>
        <v>62.789549999999998</v>
      </c>
      <c r="BK19" s="658">
        <f t="shared" si="3"/>
        <v>62.789549999999998</v>
      </c>
      <c r="BL19" s="658">
        <f t="shared" si="4"/>
        <v>112.27289684722736</v>
      </c>
      <c r="BM19" s="658">
        <f t="shared" si="5"/>
        <v>161.75624369445472</v>
      </c>
      <c r="BN19" s="658">
        <f t="shared" si="6"/>
        <v>204.17054099207817</v>
      </c>
      <c r="BO19" s="658">
        <f t="shared" si="7"/>
        <v>204.17054099207817</v>
      </c>
      <c r="BP19" s="658">
        <f t="shared" si="8"/>
        <v>204.17054099207817</v>
      </c>
      <c r="BQ19" s="658">
        <f t="shared" si="9"/>
        <v>204.17054099207817</v>
      </c>
      <c r="BR19" s="658">
        <f t="shared" si="10"/>
        <v>204.17054099207817</v>
      </c>
      <c r="BS19" s="658">
        <f t="shared" si="11"/>
        <v>204.17054099207817</v>
      </c>
      <c r="BT19" s="658">
        <f t="shared" si="12"/>
        <v>204.17054099207817</v>
      </c>
      <c r="BU19" s="658">
        <f t="shared" si="13"/>
        <v>204.17054099207817</v>
      </c>
      <c r="BV19" s="1851">
        <f t="shared" si="14"/>
        <v>204.17054099207817</v>
      </c>
      <c r="BW19" s="1661"/>
      <c r="BX19" s="1854">
        <f>(_xlfn.XLOOKUP(D19,'KLIM 2021-30'!$C$4:$C$40,'KLIM 2021-30'!$G$4:$G$40)/1000000)/CQ19</f>
        <v>169.62497148575713</v>
      </c>
      <c r="BY19" s="1192">
        <f t="shared" si="15"/>
        <v>830.80042136117277</v>
      </c>
      <c r="BZ19" s="680">
        <f t="shared" ref="BZ19:CF20" si="79">($BX19)*(AR19/SUM($AR19:$BA19))</f>
        <v>49.440309974887363</v>
      </c>
      <c r="CA19" s="680">
        <f t="shared" si="79"/>
        <v>2.7252746221910522</v>
      </c>
      <c r="CB19" s="680">
        <f t="shared" si="79"/>
        <v>0</v>
      </c>
      <c r="CC19" s="680">
        <f t="shared" si="79"/>
        <v>0</v>
      </c>
      <c r="CD19" s="680">
        <f t="shared" si="79"/>
        <v>41.110785411037547</v>
      </c>
      <c r="CE19" s="680">
        <f t="shared" si="79"/>
        <v>41.110785411037554</v>
      </c>
      <c r="CF19" s="680">
        <f t="shared" si="79"/>
        <v>35.237816066603614</v>
      </c>
      <c r="CG19" s="663"/>
      <c r="CH19" s="663"/>
      <c r="CI19" s="663"/>
      <c r="CJ19" s="663"/>
      <c r="CK19" s="663"/>
      <c r="CL19" s="663"/>
      <c r="CM19" s="663"/>
      <c r="CN19" s="663"/>
      <c r="CO19" s="479">
        <f t="shared" si="17"/>
        <v>29.364846722169681</v>
      </c>
      <c r="CP19" s="660">
        <f t="shared" si="18"/>
        <v>169.62497148575713</v>
      </c>
      <c r="CQ19" s="681">
        <f>49606788/103500000</f>
        <v>0.47929263768115943</v>
      </c>
      <c r="CR19" s="662">
        <f t="shared" si="55"/>
        <v>0.52070736231884052</v>
      </c>
      <c r="CS19" s="672" t="s">
        <v>635</v>
      </c>
      <c r="CT19" s="1862">
        <f t="shared" si="19"/>
        <v>24.232138783679591</v>
      </c>
      <c r="CU19" s="1872"/>
      <c r="CV19" s="1867">
        <f>BH19*Assumptions!D$495</f>
        <v>4.0103222995201335</v>
      </c>
      <c r="CW19" s="680">
        <f>BI19*Assumptions!E$495</f>
        <v>4.367408149668643</v>
      </c>
      <c r="CX19" s="680">
        <f>BJ19*Assumptions!F$495</f>
        <v>4.4871418719867107</v>
      </c>
      <c r="CY19" s="680">
        <f>BK19*Assumptions!G$495</f>
        <v>4.776149128996324</v>
      </c>
      <c r="CZ19" s="680">
        <f>BL19*Assumptions!H$495</f>
        <v>8.9179472005235034</v>
      </c>
      <c r="DA19" s="680">
        <f>BM19*Assumptions!I$495</f>
        <v>13.18223342648451</v>
      </c>
      <c r="DB19" s="680">
        <f>BN19*Assumptions!J$495</f>
        <v>17.090551200946095</v>
      </c>
      <c r="DC19" s="680">
        <f>BO19*Assumptions!K$495</f>
        <v>17.550809767526008</v>
      </c>
      <c r="DD19" s="680">
        <f>BP19*Assumptions!L$495</f>
        <v>18.031925854881468</v>
      </c>
      <c r="DE19" s="680">
        <f>BQ19*Assumptions!M$495</f>
        <v>18.502020384417349</v>
      </c>
      <c r="DF19" s="680">
        <f>BR19*Assumptions!N$495</f>
        <v>18.994808122295215</v>
      </c>
      <c r="DG19" s="680">
        <f>BS19*Assumptions!O$495</f>
        <v>19.502379492309416</v>
      </c>
      <c r="DH19" s="680">
        <f>BT19*Assumptions!P$495</f>
        <v>20.025178003424045</v>
      </c>
      <c r="DI19" s="680">
        <f>BU19*Assumptions!Q$495</f>
        <v>20.563660469872108</v>
      </c>
      <c r="DJ19" s="680">
        <f>BV19*Assumptions!R$495</f>
        <v>21.11829741031362</v>
      </c>
      <c r="DK19" s="680">
        <f t="shared" ref="DK19:DT19" si="80">CV19</f>
        <v>4.0103222995201335</v>
      </c>
      <c r="DL19" s="680">
        <f t="shared" si="80"/>
        <v>4.367408149668643</v>
      </c>
      <c r="DM19" s="680">
        <f t="shared" si="80"/>
        <v>4.4871418719867107</v>
      </c>
      <c r="DN19" s="680">
        <f t="shared" si="80"/>
        <v>4.776149128996324</v>
      </c>
      <c r="DO19" s="680">
        <f t="shared" si="80"/>
        <v>8.9179472005235034</v>
      </c>
      <c r="DP19" s="680">
        <f t="shared" si="80"/>
        <v>13.18223342648451</v>
      </c>
      <c r="DQ19" s="680">
        <f t="shared" si="80"/>
        <v>17.090551200946095</v>
      </c>
      <c r="DR19" s="680">
        <f t="shared" si="80"/>
        <v>17.550809767526008</v>
      </c>
      <c r="DS19" s="680">
        <f t="shared" si="80"/>
        <v>18.031925854881468</v>
      </c>
      <c r="DT19" s="680">
        <f t="shared" si="80"/>
        <v>18.502020384417349</v>
      </c>
      <c r="DU19" s="680">
        <f t="shared" ref="DU19:DY28" si="81">DF19</f>
        <v>18.994808122295215</v>
      </c>
      <c r="DV19" s="680">
        <f t="shared" si="81"/>
        <v>19.502379492309416</v>
      </c>
      <c r="DW19" s="680">
        <f t="shared" si="81"/>
        <v>20.025178003424045</v>
      </c>
      <c r="DX19" s="680">
        <f t="shared" si="81"/>
        <v>20.563660469872108</v>
      </c>
      <c r="DY19" s="680">
        <f t="shared" si="81"/>
        <v>21.11829741031362</v>
      </c>
      <c r="DZ19" s="678">
        <v>0</v>
      </c>
      <c r="EA19" s="661">
        <f t="shared" si="56"/>
        <v>1</v>
      </c>
      <c r="EB19" s="1861">
        <f t="shared" si="20"/>
        <v>11.091650928495074</v>
      </c>
      <c r="EC19" s="1881"/>
      <c r="ED19" s="1877">
        <v>0</v>
      </c>
      <c r="EE19" s="665">
        <f t="shared" si="21"/>
        <v>8.2380586877598265</v>
      </c>
      <c r="EF19" s="665">
        <f t="shared" si="22"/>
        <v>0.45410257923698477</v>
      </c>
      <c r="EG19" s="665">
        <f t="shared" si="23"/>
        <v>0</v>
      </c>
      <c r="EH19" s="665">
        <f t="shared" si="24"/>
        <v>0</v>
      </c>
      <c r="EI19" s="665">
        <f t="shared" si="25"/>
        <v>6.8501403629559139</v>
      </c>
      <c r="EJ19" s="665">
        <f t="shared" si="26"/>
        <v>6.8501403629559148</v>
      </c>
      <c r="EK19" s="665">
        <f t="shared" si="27"/>
        <v>5.8715488825336415</v>
      </c>
      <c r="EL19" s="665">
        <f t="shared" si="28"/>
        <v>0</v>
      </c>
      <c r="EM19" s="665">
        <f t="shared" si="29"/>
        <v>0</v>
      </c>
      <c r="EN19" s="665">
        <f t="shared" si="30"/>
        <v>0</v>
      </c>
      <c r="EO19" s="665">
        <f t="shared" si="31"/>
        <v>0</v>
      </c>
      <c r="EP19" s="665">
        <f t="shared" si="32"/>
        <v>0</v>
      </c>
      <c r="EQ19" s="665">
        <f t="shared" si="33"/>
        <v>0</v>
      </c>
      <c r="ER19" s="665">
        <f t="shared" si="34"/>
        <v>0</v>
      </c>
      <c r="ES19" s="665">
        <f t="shared" si="35"/>
        <v>0</v>
      </c>
      <c r="ET19" s="541">
        <f t="shared" si="57"/>
        <v>1.6309858007037892</v>
      </c>
      <c r="EU19" s="1450" cm="1">
        <f t="array" ref="EU19">(BH19*SUMPRODUCT($S19:$X19,TRANSPOSE(Assumptions!D$281:D$286)))*0.001</f>
        <v>0.34708996830497191</v>
      </c>
      <c r="EV19" s="1450" cm="1">
        <f t="array" ref="EV19">(BI19*SUMPRODUCT($S19:$X19,TRANSPOSE(Assumptions!E$281:E$286)))*0.001</f>
        <v>0.36622244305521323</v>
      </c>
      <c r="EW19" s="1450" cm="1">
        <f t="array" ref="EW19">(BJ19*SUMPRODUCT($S19:$X19,TRANSPOSE(Assumptions!F$281:F$286)))*0.001</f>
        <v>0.36622244305521323</v>
      </c>
      <c r="EX19" s="1450" cm="1">
        <f t="array" ref="EX19">(BK19*SUMPRODUCT($S19:$X19,TRANSPOSE(Assumptions!G$281:G$286)))*0.001</f>
        <v>0.52582311285716998</v>
      </c>
      <c r="EY19" s="1450" cm="1">
        <f t="array" ref="EY19">(BL19*SUMPRODUCT($S19:$X19,TRANSPOSE(Assumptions!H$281:H$286)))*0.001</f>
        <v>1.0832914086299663</v>
      </c>
      <c r="EZ19" s="1450" cm="1">
        <f t="array" ref="EZ19">(BM19*SUMPRODUCT($S19:$X19,TRANSPOSE(Assumptions!I$281:I$286)))*0.001</f>
        <v>1.5607431001348153</v>
      </c>
      <c r="FA19" s="1450" cm="1">
        <f t="array" ref="FA19">(BN19*SUMPRODUCT($S19:$X19,TRANSPOSE(Assumptions!J$281:J$286)))*0.001</f>
        <v>1.9699874071389716</v>
      </c>
      <c r="FB19" s="1450" cm="1">
        <f t="array" ref="FB19">(BO19*SUMPRODUCT($S19:$X19,TRANSPOSE(Assumptions!K$281:K$286)))*0.001</f>
        <v>1.9699874071389716</v>
      </c>
      <c r="FC19" s="1450" cm="1">
        <f t="array" ref="FC19">(BP19*SUMPRODUCT($S19:$X19,TRANSPOSE(Assumptions!L$281:L$286)))*0.001</f>
        <v>1.9699874071389716</v>
      </c>
      <c r="FD19" s="1450" cm="1">
        <f t="array" ref="FD19">(BQ19*SUMPRODUCT($S19:$X19,TRANSPOSE(Assumptions!M$281:M$286)))*0.001</f>
        <v>1.9699874071389716</v>
      </c>
      <c r="FE19" s="1450" cm="1">
        <f t="array" ref="FE19">(BR19*SUMPRODUCT($S19:$X19,TRANSPOSE(Assumptions!N$281:N$286)))*0.001</f>
        <v>1.9699874071389716</v>
      </c>
      <c r="FF19" s="1450" cm="1">
        <f t="array" ref="FF19">(BS19*SUMPRODUCT($S19:$X19,TRANSPOSE(Assumptions!O$281:O$286)))*0.001</f>
        <v>1.9699874071389716</v>
      </c>
      <c r="FG19" s="1450" cm="1">
        <f t="array" ref="FG19">(BT19*SUMPRODUCT($S19:$X19,TRANSPOSE(Assumptions!P$281:P$286)))*0.001</f>
        <v>1.9699874071389716</v>
      </c>
      <c r="FH19" s="1450" cm="1">
        <f t="array" ref="FH19">(BU19*SUMPRODUCT($S19:$X19,TRANSPOSE(Assumptions!Q$281:Q$286)))*0.001</f>
        <v>1.9699874071389716</v>
      </c>
      <c r="FI19" s="1450" cm="1">
        <f t="array" ref="FI19">(BV19*SUMPRODUCT($S19:$X19,TRANSPOSE(Assumptions!R$281:R$286)))*0.001</f>
        <v>1.9699874071389716</v>
      </c>
      <c r="FJ19" s="666">
        <f t="shared" si="58"/>
        <v>7.8909687194548548</v>
      </c>
      <c r="FK19" s="666">
        <f t="shared" si="59"/>
        <v>8.788013618177154E-2</v>
      </c>
      <c r="FL19" s="666">
        <f t="shared" si="60"/>
        <v>-0.36622244305521323</v>
      </c>
      <c r="FM19" s="666">
        <f t="shared" si="61"/>
        <v>-0.52582311285716998</v>
      </c>
      <c r="FN19" s="666">
        <f t="shared" si="62"/>
        <v>5.7668489543259476</v>
      </c>
      <c r="FO19" s="666">
        <f t="shared" si="63"/>
        <v>5.2893972628210992</v>
      </c>
      <c r="FP19" s="666">
        <f t="shared" si="64"/>
        <v>3.9015614753946699</v>
      </c>
      <c r="FQ19" s="666">
        <f t="shared" si="65"/>
        <v>-1.9699874071389716</v>
      </c>
      <c r="FR19" s="666">
        <f t="shared" si="66"/>
        <v>-1.9699874071389716</v>
      </c>
      <c r="FS19" s="666">
        <f t="shared" si="67"/>
        <v>-1.9699874071389716</v>
      </c>
      <c r="FT19" s="666">
        <f t="shared" si="68"/>
        <v>-1.9699874071389716</v>
      </c>
      <c r="FU19" s="666">
        <f t="shared" si="69"/>
        <v>-1.9699874071389716</v>
      </c>
      <c r="FV19" s="666">
        <f t="shared" si="70"/>
        <v>-1.9699874071389716</v>
      </c>
      <c r="FW19" s="666">
        <f t="shared" si="71"/>
        <v>-1.9699874071389716</v>
      </c>
      <c r="FX19" s="1883">
        <f t="shared" si="72"/>
        <v>-1.9699874071389716</v>
      </c>
      <c r="FY19" s="1895"/>
      <c r="FZ19" s="1888">
        <f t="shared" ref="FZ19:GN20" si="82">BZ19*14</f>
        <v>692.16433964842304</v>
      </c>
      <c r="GA19" s="665">
        <f t="shared" si="82"/>
        <v>38.153844710674733</v>
      </c>
      <c r="GB19" s="665">
        <f t="shared" si="82"/>
        <v>0</v>
      </c>
      <c r="GC19" s="665">
        <f t="shared" si="82"/>
        <v>0</v>
      </c>
      <c r="GD19" s="665">
        <f t="shared" si="82"/>
        <v>575.55099575452562</v>
      </c>
      <c r="GE19" s="665">
        <f t="shared" si="82"/>
        <v>575.55099575452573</v>
      </c>
      <c r="GF19" s="665">
        <f t="shared" si="82"/>
        <v>493.32942493245059</v>
      </c>
      <c r="GG19" s="665">
        <f t="shared" si="82"/>
        <v>0</v>
      </c>
      <c r="GH19" s="665">
        <f t="shared" si="82"/>
        <v>0</v>
      </c>
      <c r="GI19" s="665">
        <f t="shared" si="82"/>
        <v>0</v>
      </c>
      <c r="GJ19" s="665">
        <f t="shared" si="82"/>
        <v>0</v>
      </c>
      <c r="GK19" s="665">
        <f t="shared" si="82"/>
        <v>0</v>
      </c>
      <c r="GL19" s="665">
        <f t="shared" si="82"/>
        <v>0</v>
      </c>
      <c r="GM19" s="665">
        <f t="shared" si="82"/>
        <v>0</v>
      </c>
      <c r="GN19" s="1898">
        <f t="shared" si="82"/>
        <v>0</v>
      </c>
      <c r="GO19" s="1911"/>
      <c r="GP19" s="1868">
        <f>BH19*INDEX(Assumptions!G$565:G$570,MATCH($B19,Assumptions!$B$565:$B$570,0))</f>
        <v>31.751359688540099</v>
      </c>
      <c r="GQ19" s="656">
        <f>BI19*INDEX(Assumptions!H$565:H$570,MATCH($B19,Assumptions!$B$565:$B$570,0))</f>
        <v>32.624711771675422</v>
      </c>
      <c r="GR19" s="656">
        <f>BJ19*INDEX(Assumptions!I$565:I$570,MATCH($B19,Assumptions!$B$565:$B$570,0))</f>
        <v>31.67641499134329</v>
      </c>
      <c r="GS19" s="656">
        <f>BK19*INDEX(Assumptions!J$565:J$570,MATCH($B19,Assumptions!$B$565:$B$570,0))</f>
        <v>30.7373277382537</v>
      </c>
      <c r="GT19" s="656">
        <f>BL19*INDEX(Assumptions!K$565:K$570,MATCH($B19,Assumptions!$B$565:$B$570,0))</f>
        <v>53.287546518438354</v>
      </c>
      <c r="GU19" s="656">
        <f>BM19*INDEX(Assumptions!L$565:L$570,MATCH($B19,Assumptions!$B$565:$B$570,0))</f>
        <v>74.335564783168095</v>
      </c>
      <c r="GV19" s="656">
        <f>BN19*INDEX(Assumptions!M$565:M$570,MATCH($B19,Assumptions!$B$565:$B$570,0))</f>
        <v>90.73418869606185</v>
      </c>
      <c r="GW19" s="656">
        <f>BO19*INDEX(Assumptions!N$565:N$570,MATCH($B19,Assumptions!$B$565:$B$570,0))</f>
        <v>87.602769513298327</v>
      </c>
      <c r="GX19" s="656">
        <f>BP19*INDEX(Assumptions!O$565:O$570,MATCH($B19,Assumptions!$B$565:$B$570,0))</f>
        <v>84.413343037551286</v>
      </c>
      <c r="GY19" s="656">
        <f>BQ19*INDEX(Assumptions!P$565:P$570,MATCH($B19,Assumptions!$B$565:$B$570,0))</f>
        <v>77.645390037699229</v>
      </c>
      <c r="GZ19" s="656">
        <f>BR19*INDEX(Assumptions!Q$565:Q$570,MATCH($B19,Assumptions!$B$565:$B$570,0))</f>
        <v>24.159863980086495</v>
      </c>
      <c r="HA19" s="656">
        <f>BS19*INDEX(Assumptions!R$565:R$570,MATCH($B19,Assumptions!$B$565:$B$570,0))</f>
        <v>112.94583723572363</v>
      </c>
      <c r="HB19" s="656">
        <f>BT19*INDEX(Assumptions!S$565:S$570,MATCH($B19,Assumptions!$B$565:$B$570,0))</f>
        <v>112.94583723572363</v>
      </c>
      <c r="HC19" s="656">
        <f>BU19*INDEX(Assumptions!T$565:T$570,MATCH($B19,Assumptions!$B$565:$B$570,0))</f>
        <v>109.41579251592118</v>
      </c>
      <c r="HD19" s="1922">
        <f>BV19*INDEX(Assumptions!U$565:U$570,MATCH($B19,Assumptions!$B$565:$B$570,0))</f>
        <v>105.88574779611874</v>
      </c>
      <c r="HE19" s="1933"/>
      <c r="HF19" s="1927"/>
      <c r="HG19" s="501"/>
      <c r="HH19" s="501"/>
      <c r="HI19" s="501"/>
      <c r="HJ19" s="501"/>
      <c r="HK19" s="501"/>
      <c r="HL19" s="501"/>
      <c r="HM19" s="501"/>
      <c r="HN19" s="501"/>
      <c r="HO19" s="501"/>
      <c r="HP19" s="501"/>
      <c r="HQ19" s="501"/>
      <c r="HR19" s="501"/>
      <c r="HS19" s="501"/>
      <c r="HT19" s="501"/>
      <c r="HU19" s="501"/>
      <c r="HV19" s="656"/>
      <c r="HW19" s="1922"/>
      <c r="HX19" s="1946"/>
      <c r="HY19" s="1940">
        <v>2016</v>
      </c>
      <c r="HZ19" s="14">
        <v>2027</v>
      </c>
      <c r="IA19" s="682" t="s">
        <v>636</v>
      </c>
      <c r="IB19" s="683" t="s">
        <v>637</v>
      </c>
      <c r="IC19" s="674" t="s">
        <v>567</v>
      </c>
      <c r="ID19" s="1956" t="s">
        <v>638</v>
      </c>
      <c r="IE19" s="1953"/>
      <c r="IF19" s="1960">
        <v>1</v>
      </c>
      <c r="IG19" s="537">
        <v>1</v>
      </c>
      <c r="IH19" s="537">
        <v>1</v>
      </c>
      <c r="II19" s="537">
        <v>1</v>
      </c>
      <c r="IJ19" s="537">
        <v>1</v>
      </c>
      <c r="IK19" s="537">
        <v>1</v>
      </c>
      <c r="IL19" s="537">
        <v>1</v>
      </c>
    </row>
    <row r="20" spans="2:246" ht="14.1" customHeight="1" x14ac:dyDescent="0.3">
      <c r="B20" s="1703" t="s">
        <v>50</v>
      </c>
      <c r="C20" s="2117"/>
      <c r="D20" s="679" t="s">
        <v>639</v>
      </c>
      <c r="E20" s="1779" t="s">
        <v>640</v>
      </c>
      <c r="F20" s="1801"/>
      <c r="G20" s="1790"/>
      <c r="H20" s="1157"/>
      <c r="I20" s="1157"/>
      <c r="J20" s="70" t="s">
        <v>563</v>
      </c>
      <c r="K20" s="71" t="s">
        <v>641</v>
      </c>
      <c r="L20" s="2043" t="s">
        <v>565</v>
      </c>
      <c r="M20" s="1827"/>
      <c r="N20" s="1818">
        <v>1</v>
      </c>
      <c r="O20" s="1177"/>
      <c r="P20" s="1177"/>
      <c r="Q20" s="1177"/>
      <c r="R20" s="1177"/>
      <c r="S20" s="1445" cm="1">
        <f t="array" ref="S20:X20">TRANSPOSE(_xlfn.XLOOKUP(B20,Assumptions!$C$134:$I$134,Assumptions!$C$135:$I$140))</f>
        <v>0.10317241638291583</v>
      </c>
      <c r="T20" s="1445">
        <v>0.23872907169427657</v>
      </c>
      <c r="U20" s="1445">
        <v>3.2568433019642524E-3</v>
      </c>
      <c r="V20" s="1445">
        <v>4.5216233578577056E-2</v>
      </c>
      <c r="W20" s="1445">
        <v>9.7069623729229393E-2</v>
      </c>
      <c r="X20" s="1445">
        <v>0.51265511199796931</v>
      </c>
      <c r="Y20" s="1183" cm="1">
        <f t="array" ref="Y20:AC20">TRANSPOSE(_xlfn.ANCHORARRAY(Assumptions!$F$698))</f>
        <v>0.510495150787874</v>
      </c>
      <c r="Z20" s="1183">
        <v>8.3095626856569543E-2</v>
      </c>
      <c r="AA20" s="1183">
        <v>0.12648279660850237</v>
      </c>
      <c r="AB20" s="1183">
        <v>0.19450947219326029</v>
      </c>
      <c r="AC20" s="1183">
        <v>8.5416953553793806E-2</v>
      </c>
      <c r="AD20" s="1177"/>
      <c r="AE20" s="1177"/>
      <c r="AF20" s="1177"/>
      <c r="AG20" s="1177"/>
      <c r="AH20" s="1177"/>
      <c r="AI20" s="1177"/>
      <c r="AJ20" s="1177"/>
      <c r="AK20" s="1417">
        <f t="shared" si="53"/>
        <v>0</v>
      </c>
      <c r="AL20" s="1177"/>
      <c r="AM20" s="1177"/>
      <c r="AN20" s="1177"/>
      <c r="AO20" s="1221"/>
      <c r="AP20" s="1846"/>
      <c r="AQ20" s="1837">
        <f t="shared" si="75"/>
        <v>1.7071428571428573</v>
      </c>
      <c r="AR20" s="656">
        <f>_xlfn.XLOOKUP($D20,'KLIM 2021-30'!$C$4:$C$40,'KLIM 2021-30'!T$4:T$40)</f>
        <v>11.950000000000001</v>
      </c>
      <c r="AS20" s="656">
        <f>_xlfn.XLOOKUP($D20,'KLIM 2021-30'!$C$4:$C$40,'KLIM 2021-30'!U$4:U$40)</f>
        <v>0</v>
      </c>
      <c r="AT20" s="656">
        <f>_xlfn.XLOOKUP($D20,'KLIM 2021-30'!$C$4:$C$40,'KLIM 2021-30'!V$4:V$40)</f>
        <v>0</v>
      </c>
      <c r="AU20" s="656">
        <f>_xlfn.XLOOKUP($D20,'KLIM 2021-30'!$C$4:$C$40,'KLIM 2021-30'!W$4:W$40)</f>
        <v>0</v>
      </c>
      <c r="AV20" s="656">
        <f>_xlfn.XLOOKUP($D20,'KLIM 2021-30'!$C$4:$C$40,'KLIM 2021-30'!X$4:X$40)</f>
        <v>0</v>
      </c>
      <c r="AW20" s="656">
        <f>_xlfn.XLOOKUP($D20,'KLIM 2021-30'!$C$4:$C$40,'KLIM 2021-30'!Y$4:Y$40)</f>
        <v>0</v>
      </c>
      <c r="AX20" s="656">
        <f>_xlfn.XLOOKUP($D20,'KLIM 2021-30'!$C$4:$C$40,'KLIM 2021-30'!Z$4:Z$40)</f>
        <v>0</v>
      </c>
      <c r="AY20" s="663"/>
      <c r="AZ20" s="663"/>
      <c r="BA20" s="663"/>
      <c r="BB20" s="663"/>
      <c r="BC20" s="663"/>
      <c r="BD20" s="663"/>
      <c r="BE20" s="663"/>
      <c r="BF20" s="663"/>
      <c r="BG20" s="501">
        <f t="shared" si="54"/>
        <v>0</v>
      </c>
      <c r="BH20" s="657">
        <f t="shared" si="0"/>
        <v>11.950000000000001</v>
      </c>
      <c r="BI20" s="658">
        <f t="shared" si="1"/>
        <v>11.950000000000001</v>
      </c>
      <c r="BJ20" s="658">
        <f t="shared" si="2"/>
        <v>11.950000000000001</v>
      </c>
      <c r="BK20" s="658">
        <f t="shared" si="3"/>
        <v>11.950000000000001</v>
      </c>
      <c r="BL20" s="658">
        <f t="shared" si="4"/>
        <v>11.950000000000001</v>
      </c>
      <c r="BM20" s="658">
        <f t="shared" si="5"/>
        <v>11.950000000000001</v>
      </c>
      <c r="BN20" s="658">
        <f t="shared" si="6"/>
        <v>11.950000000000001</v>
      </c>
      <c r="BO20" s="658">
        <f t="shared" si="7"/>
        <v>11.950000000000001</v>
      </c>
      <c r="BP20" s="658">
        <f t="shared" si="8"/>
        <v>11.950000000000001</v>
      </c>
      <c r="BQ20" s="658">
        <f t="shared" si="9"/>
        <v>11.950000000000001</v>
      </c>
      <c r="BR20" s="658">
        <f t="shared" si="10"/>
        <v>11.950000000000001</v>
      </c>
      <c r="BS20" s="658">
        <f t="shared" si="11"/>
        <v>11.950000000000001</v>
      </c>
      <c r="BT20" s="658">
        <f t="shared" si="12"/>
        <v>11.950000000000001</v>
      </c>
      <c r="BU20" s="658">
        <f t="shared" si="13"/>
        <v>11.950000000000001</v>
      </c>
      <c r="BV20" s="1851">
        <f t="shared" si="14"/>
        <v>11.950000000000001</v>
      </c>
      <c r="BW20" s="1661"/>
      <c r="BX20" s="1854">
        <f>(_xlfn.XLOOKUP(D20,'KLIM 2021-30'!$C$4:$C$40,'KLIM 2021-30'!$G$4:$G$40)/1000000)/CQ20</f>
        <v>0</v>
      </c>
      <c r="BY20" s="1192">
        <f t="shared" si="15"/>
        <v>0</v>
      </c>
      <c r="BZ20" s="680">
        <f t="shared" si="79"/>
        <v>0</v>
      </c>
      <c r="CA20" s="680">
        <f t="shared" si="79"/>
        <v>0</v>
      </c>
      <c r="CB20" s="680">
        <f t="shared" si="79"/>
        <v>0</v>
      </c>
      <c r="CC20" s="680">
        <f t="shared" si="79"/>
        <v>0</v>
      </c>
      <c r="CD20" s="680">
        <f t="shared" si="79"/>
        <v>0</v>
      </c>
      <c r="CE20" s="680">
        <f t="shared" si="79"/>
        <v>0</v>
      </c>
      <c r="CF20" s="680">
        <f t="shared" si="79"/>
        <v>0</v>
      </c>
      <c r="CG20" s="663"/>
      <c r="CH20" s="663"/>
      <c r="CI20" s="663"/>
      <c r="CJ20" s="663"/>
      <c r="CK20" s="663"/>
      <c r="CL20" s="663"/>
      <c r="CM20" s="663"/>
      <c r="CN20" s="663"/>
      <c r="CO20" s="479">
        <f t="shared" si="17"/>
        <v>0</v>
      </c>
      <c r="CP20" s="660">
        <f t="shared" si="18"/>
        <v>0</v>
      </c>
      <c r="CQ20" s="681">
        <v>1</v>
      </c>
      <c r="CR20" s="662">
        <f t="shared" si="55"/>
        <v>0</v>
      </c>
      <c r="CS20" s="672" t="s">
        <v>50</v>
      </c>
      <c r="CT20" s="1862">
        <f t="shared" si="19"/>
        <v>0</v>
      </c>
      <c r="CU20" s="1872"/>
      <c r="CV20" s="1867">
        <f>BH20*Assumptions!D$495</f>
        <v>0.80530928350240683</v>
      </c>
      <c r="CW20" s="680">
        <f>BI20*Assumptions!E$495</f>
        <v>0.83119766567112352</v>
      </c>
      <c r="CX20" s="680">
        <f>BJ20*Assumptions!F$495</f>
        <v>0.85398518336635953</v>
      </c>
      <c r="CY20" s="680">
        <f>BK20*Assumptions!G$495</f>
        <v>0.90898855130361789</v>
      </c>
      <c r="CZ20" s="680">
        <f>BL20*Assumptions!H$495</f>
        <v>0.94920031493680712</v>
      </c>
      <c r="DA20" s="680">
        <f>BM20*Assumptions!I$495</f>
        <v>0.97385847895953725</v>
      </c>
      <c r="DB20" s="680">
        <f>BN20*Assumptions!J$495</f>
        <v>1.0003014433861448</v>
      </c>
      <c r="DC20" s="680">
        <f>BO20*Assumptions!K$495</f>
        <v>1.0272401478824187</v>
      </c>
      <c r="DD20" s="680">
        <f>BP20*Assumptions!L$495</f>
        <v>1.0553996326737178</v>
      </c>
      <c r="DE20" s="680">
        <f>BQ20*Assumptions!M$495</f>
        <v>1.0829140311792875</v>
      </c>
      <c r="DF20" s="680">
        <f>BR20*Assumptions!N$495</f>
        <v>1.1117566518581885</v>
      </c>
      <c r="DG20" s="680">
        <f>BS20*Assumptions!O$495</f>
        <v>1.1414645511574564</v>
      </c>
      <c r="DH20" s="680">
        <f>BT20*Assumptions!P$495</f>
        <v>1.1720636874357024</v>
      </c>
      <c r="DI20" s="680">
        <f>BU20*Assumptions!Q$495</f>
        <v>1.2035807978022954</v>
      </c>
      <c r="DJ20" s="680">
        <f>BV20*Assumptions!R$495</f>
        <v>1.2360434214798868</v>
      </c>
      <c r="DK20" s="680">
        <f t="shared" ref="DK20:DK33" si="83">CV20</f>
        <v>0.80530928350240683</v>
      </c>
      <c r="DL20" s="680">
        <f t="shared" ref="DL20:DL33" si="84">CW20</f>
        <v>0.83119766567112352</v>
      </c>
      <c r="DM20" s="680">
        <f t="shared" ref="DM20:DM33" si="85">CX20</f>
        <v>0.85398518336635953</v>
      </c>
      <c r="DN20" s="680">
        <f t="shared" ref="DN20:DN33" si="86">CY20</f>
        <v>0.90898855130361789</v>
      </c>
      <c r="DO20" s="680">
        <f t="shared" ref="DO20:DO33" si="87">CZ20</f>
        <v>0.94920031493680712</v>
      </c>
      <c r="DP20" s="680">
        <f t="shared" ref="DP20:DP33" si="88">DA20</f>
        <v>0.97385847895953725</v>
      </c>
      <c r="DQ20" s="680">
        <f t="shared" ref="DQ20:DQ33" si="89">DB20</f>
        <v>1.0003014433861448</v>
      </c>
      <c r="DR20" s="680">
        <f t="shared" ref="DR20:DR33" si="90">DC20</f>
        <v>1.0272401478824187</v>
      </c>
      <c r="DS20" s="680">
        <f t="shared" ref="DS20:DS33" si="91">DD20</f>
        <v>1.0553996326737178</v>
      </c>
      <c r="DT20" s="680">
        <f t="shared" ref="DT20:DT33" si="92">DE20</f>
        <v>1.0829140311792875</v>
      </c>
      <c r="DU20" s="680">
        <f t="shared" si="81"/>
        <v>1.1117566518581885</v>
      </c>
      <c r="DV20" s="680">
        <f t="shared" si="81"/>
        <v>1.1414645511574564</v>
      </c>
      <c r="DW20" s="680">
        <f t="shared" si="81"/>
        <v>1.1720636874357024</v>
      </c>
      <c r="DX20" s="680">
        <f t="shared" si="81"/>
        <v>1.2035807978022954</v>
      </c>
      <c r="DY20" s="680">
        <f t="shared" si="81"/>
        <v>1.2360434214798868</v>
      </c>
      <c r="DZ20" s="678">
        <v>0</v>
      </c>
      <c r="EA20" s="661">
        <f t="shared" si="56"/>
        <v>1</v>
      </c>
      <c r="EB20" s="1861">
        <f t="shared" si="20"/>
        <v>0.94883947328614204</v>
      </c>
      <c r="EC20" s="1881"/>
      <c r="ED20" s="1877">
        <v>0</v>
      </c>
      <c r="EE20" s="665">
        <f t="shared" si="21"/>
        <v>0</v>
      </c>
      <c r="EF20" s="665">
        <f t="shared" si="22"/>
        <v>0</v>
      </c>
      <c r="EG20" s="665">
        <f t="shared" si="23"/>
        <v>0</v>
      </c>
      <c r="EH20" s="665">
        <f t="shared" si="24"/>
        <v>0</v>
      </c>
      <c r="EI20" s="665">
        <f t="shared" si="25"/>
        <v>0</v>
      </c>
      <c r="EJ20" s="665">
        <f t="shared" si="26"/>
        <v>0</v>
      </c>
      <c r="EK20" s="665">
        <f t="shared" si="27"/>
        <v>0</v>
      </c>
      <c r="EL20" s="665">
        <f t="shared" si="28"/>
        <v>0</v>
      </c>
      <c r="EM20" s="665">
        <f t="shared" si="29"/>
        <v>0</v>
      </c>
      <c r="EN20" s="665">
        <f t="shared" si="30"/>
        <v>0</v>
      </c>
      <c r="EO20" s="665">
        <f t="shared" si="31"/>
        <v>0</v>
      </c>
      <c r="EP20" s="665">
        <f t="shared" si="32"/>
        <v>0</v>
      </c>
      <c r="EQ20" s="665">
        <f t="shared" si="33"/>
        <v>0</v>
      </c>
      <c r="ER20" s="665">
        <f t="shared" si="34"/>
        <v>0</v>
      </c>
      <c r="ES20" s="665">
        <f t="shared" si="35"/>
        <v>0</v>
      </c>
      <c r="ET20" s="541">
        <f t="shared" si="57"/>
        <v>0</v>
      </c>
      <c r="EU20" s="1450" cm="1">
        <f t="array" ref="EU20">(BH20*SUMPRODUCT($S20:$X20,TRANSPOSE(Assumptions!D$281:D$286)))*0.001</f>
        <v>6.9698830370814868E-2</v>
      </c>
      <c r="EV20" s="1450" cm="1">
        <f t="array" ref="EV20">(BI20*SUMPRODUCT($S20:$X20,TRANSPOSE(Assumptions!E$281:E$286)))*0.001</f>
        <v>6.9698830370814868E-2</v>
      </c>
      <c r="EW20" s="1450" cm="1">
        <f t="array" ref="EW20">(BJ20*SUMPRODUCT($S20:$X20,TRANSPOSE(Assumptions!F$281:F$286)))*0.001</f>
        <v>6.9698830370814868E-2</v>
      </c>
      <c r="EX20" s="1450" cm="1">
        <f t="array" ref="EX20">(BK20*SUMPRODUCT($S20:$X20,TRANSPOSE(Assumptions!G$281:G$286)))*0.001</f>
        <v>0.10007375747466229</v>
      </c>
      <c r="EY20" s="1450" cm="1">
        <f t="array" ref="EY20">(BL20*SUMPRODUCT($S20:$X20,TRANSPOSE(Assumptions!H$281:H$286)))*0.001</f>
        <v>0.11530238104342447</v>
      </c>
      <c r="EZ20" s="1450" cm="1">
        <f t="array" ref="EZ20">(BM20*SUMPRODUCT($S20:$X20,TRANSPOSE(Assumptions!I$281:I$286)))*0.001</f>
        <v>0.11530238104342447</v>
      </c>
      <c r="FA20" s="1450" cm="1">
        <f t="array" ref="FA20">(BN20*SUMPRODUCT($S20:$X20,TRANSPOSE(Assumptions!J$281:J$286)))*0.001</f>
        <v>0.11530238104342447</v>
      </c>
      <c r="FB20" s="1450" cm="1">
        <f t="array" ref="FB20">(BO20*SUMPRODUCT($S20:$X20,TRANSPOSE(Assumptions!K$281:K$286)))*0.001</f>
        <v>0.11530238104342447</v>
      </c>
      <c r="FC20" s="1450" cm="1">
        <f t="array" ref="FC20">(BP20*SUMPRODUCT($S20:$X20,TRANSPOSE(Assumptions!L$281:L$286)))*0.001</f>
        <v>0.11530238104342447</v>
      </c>
      <c r="FD20" s="1450" cm="1">
        <f t="array" ref="FD20">(BQ20*SUMPRODUCT($S20:$X20,TRANSPOSE(Assumptions!M$281:M$286)))*0.001</f>
        <v>0.11530238104342447</v>
      </c>
      <c r="FE20" s="1450" cm="1">
        <f t="array" ref="FE20">(BR20*SUMPRODUCT($S20:$X20,TRANSPOSE(Assumptions!N$281:N$286)))*0.001</f>
        <v>0.11530238104342447</v>
      </c>
      <c r="FF20" s="1450" cm="1">
        <f t="array" ref="FF20">(BS20*SUMPRODUCT($S20:$X20,TRANSPOSE(Assumptions!O$281:O$286)))*0.001</f>
        <v>0.11530238104342447</v>
      </c>
      <c r="FG20" s="1450" cm="1">
        <f t="array" ref="FG20">(BT20*SUMPRODUCT($S20:$X20,TRANSPOSE(Assumptions!P$281:P$286)))*0.001</f>
        <v>0.11530238104342447</v>
      </c>
      <c r="FH20" s="1450" cm="1">
        <f t="array" ref="FH20">(BU20*SUMPRODUCT($S20:$X20,TRANSPOSE(Assumptions!Q$281:Q$286)))*0.001</f>
        <v>0.11530238104342447</v>
      </c>
      <c r="FI20" s="1450" cm="1">
        <f t="array" ref="FI20">(BV20*SUMPRODUCT($S20:$X20,TRANSPOSE(Assumptions!R$281:R$286)))*0.001</f>
        <v>0.11530238104342447</v>
      </c>
      <c r="FJ20" s="666">
        <f t="shared" si="58"/>
        <v>-6.9698830370814868E-2</v>
      </c>
      <c r="FK20" s="666">
        <f t="shared" si="59"/>
        <v>-6.9698830370814868E-2</v>
      </c>
      <c r="FL20" s="666">
        <f t="shared" si="60"/>
        <v>-6.9698830370814868E-2</v>
      </c>
      <c r="FM20" s="666">
        <f t="shared" si="61"/>
        <v>-0.10007375747466229</v>
      </c>
      <c r="FN20" s="666">
        <f t="shared" si="62"/>
        <v>-0.11530238104342447</v>
      </c>
      <c r="FO20" s="666">
        <f t="shared" si="63"/>
        <v>-0.11530238104342447</v>
      </c>
      <c r="FP20" s="666">
        <f t="shared" si="64"/>
        <v>-0.11530238104342447</v>
      </c>
      <c r="FQ20" s="666">
        <f t="shared" si="65"/>
        <v>-0.11530238104342447</v>
      </c>
      <c r="FR20" s="666">
        <f t="shared" si="66"/>
        <v>-0.11530238104342447</v>
      </c>
      <c r="FS20" s="666">
        <f t="shared" si="67"/>
        <v>-0.11530238104342447</v>
      </c>
      <c r="FT20" s="666">
        <f t="shared" si="68"/>
        <v>-0.11530238104342447</v>
      </c>
      <c r="FU20" s="666">
        <f t="shared" si="69"/>
        <v>-0.11530238104342447</v>
      </c>
      <c r="FV20" s="666">
        <f t="shared" si="70"/>
        <v>-0.11530238104342447</v>
      </c>
      <c r="FW20" s="666">
        <f t="shared" si="71"/>
        <v>-0.11530238104342447</v>
      </c>
      <c r="FX20" s="1883">
        <f t="shared" si="72"/>
        <v>-0.11530238104342447</v>
      </c>
      <c r="FY20" s="1895"/>
      <c r="FZ20" s="1888">
        <f t="shared" si="82"/>
        <v>0</v>
      </c>
      <c r="GA20" s="665">
        <f t="shared" si="82"/>
        <v>0</v>
      </c>
      <c r="GB20" s="665">
        <f t="shared" si="82"/>
        <v>0</v>
      </c>
      <c r="GC20" s="665">
        <f t="shared" si="82"/>
        <v>0</v>
      </c>
      <c r="GD20" s="665">
        <f t="shared" si="82"/>
        <v>0</v>
      </c>
      <c r="GE20" s="665">
        <f t="shared" si="82"/>
        <v>0</v>
      </c>
      <c r="GF20" s="665">
        <f t="shared" si="82"/>
        <v>0</v>
      </c>
      <c r="GG20" s="665">
        <f t="shared" si="82"/>
        <v>0</v>
      </c>
      <c r="GH20" s="665">
        <f t="shared" si="82"/>
        <v>0</v>
      </c>
      <c r="GI20" s="665">
        <f t="shared" si="82"/>
        <v>0</v>
      </c>
      <c r="GJ20" s="665">
        <f t="shared" si="82"/>
        <v>0</v>
      </c>
      <c r="GK20" s="665">
        <f t="shared" si="82"/>
        <v>0</v>
      </c>
      <c r="GL20" s="665">
        <f t="shared" si="82"/>
        <v>0</v>
      </c>
      <c r="GM20" s="665">
        <f t="shared" si="82"/>
        <v>0</v>
      </c>
      <c r="GN20" s="1898">
        <f t="shared" si="82"/>
        <v>0</v>
      </c>
      <c r="GO20" s="1911"/>
      <c r="GP20" s="1868">
        <f>BH20*INDEX(Assumptions!G$565:G$570,MATCH($B20,Assumptions!$B$565:$B$570,0))</f>
        <v>6.3759625315065174</v>
      </c>
      <c r="GQ20" s="656">
        <f>BI20*INDEX(Assumptions!H$565:H$570,MATCH($B20,Assumptions!$B$565:$B$570,0))</f>
        <v>6.2090794673878271</v>
      </c>
      <c r="GR20" s="656">
        <f>BJ20*INDEX(Assumptions!I$565:I$570,MATCH($B20,Assumptions!$B$565:$B$570,0))</f>
        <v>6.028601242508544</v>
      </c>
      <c r="GS20" s="656">
        <f>BK20*INDEX(Assumptions!J$565:J$570,MATCH($B20,Assumptions!$B$565:$B$570,0))</f>
        <v>5.8498757591371779</v>
      </c>
      <c r="GT20" s="656">
        <f>BL20*INDEX(Assumptions!K$565:K$570,MATCH($B20,Assumptions!$B$565:$B$570,0))</f>
        <v>5.6717711823346812</v>
      </c>
      <c r="GU20" s="656">
        <f>BM20*INDEX(Assumptions!L$565:L$570,MATCH($B20,Assumptions!$B$565:$B$570,0))</f>
        <v>5.4916581819049224</v>
      </c>
      <c r="GV20" s="656">
        <f>BN20*INDEX(Assumptions!M$565:M$570,MATCH($B20,Assumptions!$B$565:$B$570,0))</f>
        <v>5.3106268399416594</v>
      </c>
      <c r="GW20" s="656">
        <f>BO20*INDEX(Assumptions!N$565:N$570,MATCH($B20,Assumptions!$B$565:$B$570,0))</f>
        <v>5.1273464359607743</v>
      </c>
      <c r="GX20" s="656">
        <f>BP20*INDEX(Assumptions!O$565:O$570,MATCH($B20,Assumptions!$B$565:$B$570,0))</f>
        <v>4.9406708940340085</v>
      </c>
      <c r="GY20" s="656">
        <f>BQ20*INDEX(Assumptions!P$565:P$570,MATCH($B20,Assumptions!$B$565:$B$570,0))</f>
        <v>4.5445459782883511</v>
      </c>
      <c r="GZ20" s="656">
        <f>BR20*INDEX(Assumptions!Q$565:Q$570,MATCH($B20,Assumptions!$B$565:$B$570,0))</f>
        <v>1.4140647968074671</v>
      </c>
      <c r="HA20" s="656">
        <f>BS20*INDEX(Assumptions!R$565:R$570,MATCH($B20,Assumptions!$B$565:$B$570,0))</f>
        <v>6.6106635580657347</v>
      </c>
      <c r="HB20" s="656">
        <f>BT20*INDEX(Assumptions!S$565:S$570,MATCH($B20,Assumptions!$B$565:$B$570,0))</f>
        <v>6.6106635580657347</v>
      </c>
      <c r="HC20" s="656">
        <f>BU20*INDEX(Assumptions!T$565:T$570,MATCH($B20,Assumptions!$B$565:$B$570,0))</f>
        <v>6.4040518000879958</v>
      </c>
      <c r="HD20" s="1922">
        <f>BV20*INDEX(Assumptions!U$565:U$570,MATCH($B20,Assumptions!$B$565:$B$570,0))</f>
        <v>6.1974400421102569</v>
      </c>
      <c r="HE20" s="1933"/>
      <c r="HF20" s="1927"/>
      <c r="HG20" s="501"/>
      <c r="HH20" s="501"/>
      <c r="HI20" s="501"/>
      <c r="HJ20" s="501"/>
      <c r="HK20" s="501"/>
      <c r="HL20" s="501"/>
      <c r="HM20" s="501"/>
      <c r="HN20" s="501"/>
      <c r="HO20" s="501"/>
      <c r="HP20" s="501"/>
      <c r="HQ20" s="501"/>
      <c r="HR20" s="501"/>
      <c r="HS20" s="501"/>
      <c r="HT20" s="501"/>
      <c r="HU20" s="501"/>
      <c r="HV20" s="656"/>
      <c r="HW20" s="1922"/>
      <c r="HX20" s="1946"/>
      <c r="HY20" s="1940">
        <v>2016</v>
      </c>
      <c r="HZ20" s="14">
        <v>2027</v>
      </c>
      <c r="IA20" s="682" t="s">
        <v>636</v>
      </c>
      <c r="IB20" s="683" t="s">
        <v>637</v>
      </c>
      <c r="IC20" s="674"/>
      <c r="ID20" s="1956" t="s">
        <v>642</v>
      </c>
      <c r="IE20" s="1953"/>
      <c r="IF20" s="1960">
        <v>1</v>
      </c>
      <c r="IG20" s="537">
        <v>1</v>
      </c>
      <c r="IH20" s="537">
        <v>1</v>
      </c>
      <c r="II20" s="537">
        <v>1</v>
      </c>
      <c r="IJ20" s="537">
        <v>1</v>
      </c>
      <c r="IK20" s="537">
        <v>1</v>
      </c>
      <c r="IL20" s="537">
        <v>1</v>
      </c>
    </row>
    <row r="21" spans="2:246" ht="13.5" customHeight="1" x14ac:dyDescent="0.3">
      <c r="B21" s="1703" t="s">
        <v>53</v>
      </c>
      <c r="C21" s="2112" t="s">
        <v>53</v>
      </c>
      <c r="D21" s="679" t="s">
        <v>643</v>
      </c>
      <c r="E21" s="1188" t="s">
        <v>644</v>
      </c>
      <c r="F21" s="1802"/>
      <c r="G21" s="1792" t="s">
        <v>645</v>
      </c>
      <c r="H21" s="1188" t="s">
        <v>646</v>
      </c>
      <c r="I21" s="1188" t="s">
        <v>647</v>
      </c>
      <c r="J21" s="70" t="s">
        <v>563</v>
      </c>
      <c r="K21" s="71" t="s">
        <v>648</v>
      </c>
      <c r="L21" s="2043" t="s">
        <v>565</v>
      </c>
      <c r="M21" s="1827"/>
      <c r="N21" s="1817"/>
      <c r="O21" s="1177"/>
      <c r="P21" s="1177"/>
      <c r="Q21" s="1178">
        <v>1</v>
      </c>
      <c r="R21" s="1178"/>
      <c r="S21" s="1445" cm="1">
        <f t="array" ref="S21:X21">TRANSPOSE(_xlfn.XLOOKUP(B21,Assumptions!$C$134:$I$134,Assumptions!$C$135:$I$140))</f>
        <v>0.89766686718609423</v>
      </c>
      <c r="T21" s="1445">
        <v>2.0574367766823833E-2</v>
      </c>
      <c r="U21" s="1445">
        <v>0</v>
      </c>
      <c r="V21" s="1445">
        <v>6.4936780001525515E-2</v>
      </c>
      <c r="W21" s="1445">
        <v>0</v>
      </c>
      <c r="X21" s="1445">
        <v>1.6821985045556383E-2</v>
      </c>
      <c r="Y21" s="1179" cm="1">
        <f t="array" ref="Y21:AC21">TRANSPOSE(_xlfn.ANCHORARRAY(Assumptions!$D$698))</f>
        <v>0.46715240825721654</v>
      </c>
      <c r="Z21" s="1179">
        <v>0.10872006700422583</v>
      </c>
      <c r="AA21" s="1179">
        <v>9.7634938252443113E-2</v>
      </c>
      <c r="AB21" s="1179">
        <v>0.23591534859475621</v>
      </c>
      <c r="AC21" s="1179">
        <v>9.057723789135827E-2</v>
      </c>
      <c r="AD21" s="1177"/>
      <c r="AE21" s="1177"/>
      <c r="AF21" s="1177"/>
      <c r="AG21" s="1177"/>
      <c r="AH21" s="1177"/>
      <c r="AI21" s="1177"/>
      <c r="AJ21" s="1177"/>
      <c r="AK21" s="1417">
        <f t="shared" si="53"/>
        <v>0</v>
      </c>
      <c r="AL21" s="1177"/>
      <c r="AM21" s="1177"/>
      <c r="AN21" s="1177"/>
      <c r="AO21" s="1834">
        <v>1</v>
      </c>
      <c r="AP21" s="1847"/>
      <c r="AQ21" s="1837">
        <f t="shared" si="75"/>
        <v>2.4610737575151007</v>
      </c>
      <c r="AR21" s="656">
        <f>_xlfn.XLOOKUP($D21,'KLIM 2021-30'!$C$4:$C$40,'KLIM 2021-30'!T$4:T$40)</f>
        <v>8.6137581513028518</v>
      </c>
      <c r="AS21" s="656">
        <f>_xlfn.XLOOKUP($D21,'KLIM 2021-30'!$C$4:$C$40,'KLIM 2021-30'!U$4:U$40)</f>
        <v>8.6137581513028518</v>
      </c>
      <c r="AT21" s="656">
        <f>_xlfn.XLOOKUP($D21,'KLIM 2021-30'!$C$4:$C$40,'KLIM 2021-30'!V$4:V$40)</f>
        <v>0</v>
      </c>
      <c r="AU21" s="656">
        <f>_xlfn.XLOOKUP($D21,'KLIM 2021-30'!$C$4:$C$40,'KLIM 2021-30'!W$4:W$40)</f>
        <v>0</v>
      </c>
      <c r="AV21" s="656">
        <f>_xlfn.XLOOKUP($D21,'KLIM 2021-30'!$C$4:$C$40,'KLIM 2021-30'!X$4:X$40)</f>
        <v>0</v>
      </c>
      <c r="AW21" s="656">
        <f>_xlfn.XLOOKUP($D21,'KLIM 2021-30'!$C$4:$C$40,'KLIM 2021-30'!Y$4:Y$40)</f>
        <v>0</v>
      </c>
      <c r="AX21" s="656">
        <f>_xlfn.XLOOKUP($D21,'KLIM 2021-30'!$C$4:$C$40,'KLIM 2021-30'!Z$4:Z$40)</f>
        <v>0</v>
      </c>
      <c r="AY21" s="663"/>
      <c r="AZ21" s="663"/>
      <c r="BA21" s="663"/>
      <c r="BB21" s="663"/>
      <c r="BC21" s="663"/>
      <c r="BD21" s="663"/>
      <c r="BE21" s="663"/>
      <c r="BF21" s="663"/>
      <c r="BG21" s="501">
        <f t="shared" si="54"/>
        <v>0</v>
      </c>
      <c r="BH21" s="657">
        <f t="shared" si="0"/>
        <v>8.6137581513028518</v>
      </c>
      <c r="BI21" s="658">
        <f t="shared" si="1"/>
        <v>17.227516302605704</v>
      </c>
      <c r="BJ21" s="658">
        <f t="shared" si="2"/>
        <v>17.227516302605704</v>
      </c>
      <c r="BK21" s="658">
        <f t="shared" si="3"/>
        <v>17.227516302605704</v>
      </c>
      <c r="BL21" s="658">
        <f t="shared" si="4"/>
        <v>17.227516302605704</v>
      </c>
      <c r="BM21" s="658">
        <f t="shared" si="5"/>
        <v>17.227516302605704</v>
      </c>
      <c r="BN21" s="658">
        <f t="shared" si="6"/>
        <v>17.227516302605704</v>
      </c>
      <c r="BO21" s="658">
        <f t="shared" si="7"/>
        <v>17.227516302605704</v>
      </c>
      <c r="BP21" s="658">
        <f t="shared" si="8"/>
        <v>17.227516302605704</v>
      </c>
      <c r="BQ21" s="658">
        <f t="shared" si="9"/>
        <v>17.227516302605704</v>
      </c>
      <c r="BR21" s="658">
        <f t="shared" si="10"/>
        <v>17.227516302605704</v>
      </c>
      <c r="BS21" s="658">
        <f t="shared" si="11"/>
        <v>17.227516302605704</v>
      </c>
      <c r="BT21" s="658">
        <f t="shared" si="12"/>
        <v>17.227516302605704</v>
      </c>
      <c r="BU21" s="658">
        <f t="shared" si="13"/>
        <v>17.227516302605704</v>
      </c>
      <c r="BV21" s="1851">
        <f t="shared" si="14"/>
        <v>17.227516302605704</v>
      </c>
      <c r="BW21" s="1661"/>
      <c r="BX21" s="1855" t="s">
        <v>606</v>
      </c>
      <c r="BY21" s="1192">
        <f t="shared" si="15"/>
        <v>48.759205055748396</v>
      </c>
      <c r="BZ21" s="700">
        <f>INDEX(Sources!AZ$27:AZ$42,MATCH($D21,Sources!$E$27:$E$42,0))</f>
        <v>0.12</v>
      </c>
      <c r="CA21" s="659">
        <f>INDEX(Sources!BA$27:BA$42,MATCH($D21,Sources!$E$27:$E$42,0))</f>
        <v>0.12</v>
      </c>
      <c r="CB21" s="659">
        <f>INDEX(Sources!BB$27:BB$42,MATCH($D21,Sources!$E$27:$E$42,0))</f>
        <v>0.12</v>
      </c>
      <c r="CC21" s="659">
        <f>INDEX(Sources!BC$27:BC$42,MATCH($D21,Sources!$E$27:$E$42,0))</f>
        <v>0.12</v>
      </c>
      <c r="CD21" s="659">
        <f>INDEX(Sources!BD$27:BD$42,MATCH($D21,Sources!$E$27:$E$42,0))</f>
        <v>0.12</v>
      </c>
      <c r="CE21" s="659">
        <f>INDEX(Sources!BE$27:BE$42,MATCH($D21,Sources!$E$27:$E$42,0))</f>
        <v>0.12</v>
      </c>
      <c r="CF21" s="659">
        <f>INDEX(Sources!BF$27:BF$42,MATCH($D21,Sources!$E$27:$E$42,0))</f>
        <v>0.12</v>
      </c>
      <c r="CG21" s="660"/>
      <c r="CH21" s="660"/>
      <c r="CI21" s="660"/>
      <c r="CJ21" s="660"/>
      <c r="CK21" s="660"/>
      <c r="CL21" s="660"/>
      <c r="CM21" s="660"/>
      <c r="CN21" s="660"/>
      <c r="CO21" s="479">
        <f t="shared" si="17"/>
        <v>0.12</v>
      </c>
      <c r="CP21" s="660">
        <f t="shared" si="18"/>
        <v>0.84</v>
      </c>
      <c r="CQ21" s="661">
        <f>INDEX(Sources!BJ$27:BJ$42,MATCH($D21,Sources!$E$27:$E$42,0))</f>
        <v>1</v>
      </c>
      <c r="CR21" s="662">
        <f t="shared" si="55"/>
        <v>0</v>
      </c>
      <c r="CS21" s="672" t="s">
        <v>598</v>
      </c>
      <c r="CT21" s="1862">
        <f t="shared" si="19"/>
        <v>0.12</v>
      </c>
      <c r="CU21" s="1872"/>
      <c r="CV21" s="1865">
        <f>BH21*Assumptions!D$498</f>
        <v>0.77271453974391213</v>
      </c>
      <c r="CW21" s="659">
        <f>BI21*Assumptions!E$498</f>
        <v>1.5720526731907232</v>
      </c>
      <c r="CX21" s="659">
        <f>BJ21*Assumptions!F$498</f>
        <v>1.5996466077910529</v>
      </c>
      <c r="CY21" s="659">
        <f>BK21*Assumptions!G$498</f>
        <v>1.7175271582161593</v>
      </c>
      <c r="CZ21" s="659">
        <f>BL21*Assumptions!H$498</f>
        <v>1.7914770286409933</v>
      </c>
      <c r="DA21" s="659">
        <f>BM21*Assumptions!I$498</f>
        <v>1.8218234480571784</v>
      </c>
      <c r="DB21" s="659">
        <f>BN21*Assumptions!J$498</f>
        <v>1.8532354693440911</v>
      </c>
      <c r="DC21" s="659">
        <f>BO21*Assumptions!K$498</f>
        <v>1.8857339638970056</v>
      </c>
      <c r="DD21" s="659">
        <f>BP21*Assumptions!L$498</f>
        <v>1.9193406027605588</v>
      </c>
      <c r="DE21" s="659">
        <f>BQ21*Assumptions!M$498</f>
        <v>1.9540778700757773</v>
      </c>
      <c r="DF21" s="659">
        <f>BR21*Assumptions!N$498</f>
        <v>1.9906326586974838</v>
      </c>
      <c r="DG21" s="659">
        <f>BS21*Assumptions!O$498</f>
        <v>2.0282840909778428</v>
      </c>
      <c r="DH21" s="659">
        <f>BT21*Assumptions!P$498</f>
        <v>2.0670650662266112</v>
      </c>
      <c r="DI21" s="659">
        <f>BU21*Assumptions!Q$498</f>
        <v>2.1070094707328439</v>
      </c>
      <c r="DJ21" s="659">
        <f>BV21*Assumptions!R$498</f>
        <v>2.1481522073742627</v>
      </c>
      <c r="DK21" s="680">
        <f t="shared" si="83"/>
        <v>0.77271453974391213</v>
      </c>
      <c r="DL21" s="680">
        <f t="shared" si="84"/>
        <v>1.5720526731907232</v>
      </c>
      <c r="DM21" s="680">
        <f t="shared" si="85"/>
        <v>1.5996466077910529</v>
      </c>
      <c r="DN21" s="680">
        <f t="shared" si="86"/>
        <v>1.7175271582161593</v>
      </c>
      <c r="DO21" s="680">
        <f t="shared" si="87"/>
        <v>1.7914770286409933</v>
      </c>
      <c r="DP21" s="680">
        <f t="shared" si="88"/>
        <v>1.8218234480571784</v>
      </c>
      <c r="DQ21" s="680">
        <f t="shared" si="89"/>
        <v>1.8532354693440911</v>
      </c>
      <c r="DR21" s="680">
        <f t="shared" si="90"/>
        <v>1.8857339638970056</v>
      </c>
      <c r="DS21" s="680">
        <f t="shared" si="91"/>
        <v>1.9193406027605588</v>
      </c>
      <c r="DT21" s="680">
        <f t="shared" si="92"/>
        <v>1.9540778700757773</v>
      </c>
      <c r="DU21" s="680">
        <f t="shared" si="81"/>
        <v>1.9906326586974838</v>
      </c>
      <c r="DV21" s="680">
        <f t="shared" si="81"/>
        <v>2.0282840909778428</v>
      </c>
      <c r="DW21" s="680">
        <f t="shared" si="81"/>
        <v>2.0670650662266112</v>
      </c>
      <c r="DX21" s="680">
        <f t="shared" si="81"/>
        <v>2.1070094707328439</v>
      </c>
      <c r="DY21" s="680">
        <f t="shared" si="81"/>
        <v>2.1481522073742627</v>
      </c>
      <c r="DZ21" s="678">
        <v>0</v>
      </c>
      <c r="EA21" s="661">
        <f t="shared" si="56"/>
        <v>1</v>
      </c>
      <c r="EB21" s="1861">
        <f t="shared" si="20"/>
        <v>1.6887629361717451</v>
      </c>
      <c r="EC21" s="1881"/>
      <c r="ED21" s="1877">
        <v>0</v>
      </c>
      <c r="EE21" s="665">
        <f t="shared" si="21"/>
        <v>0</v>
      </c>
      <c r="EF21" s="665">
        <f t="shared" si="22"/>
        <v>0</v>
      </c>
      <c r="EG21" s="665">
        <f t="shared" si="23"/>
        <v>0</v>
      </c>
      <c r="EH21" s="665">
        <f t="shared" si="24"/>
        <v>0</v>
      </c>
      <c r="EI21" s="665">
        <f t="shared" si="25"/>
        <v>0</v>
      </c>
      <c r="EJ21" s="665">
        <f t="shared" si="26"/>
        <v>0</v>
      </c>
      <c r="EK21" s="665">
        <f t="shared" si="27"/>
        <v>0</v>
      </c>
      <c r="EL21" s="665">
        <f t="shared" si="28"/>
        <v>0</v>
      </c>
      <c r="EM21" s="665">
        <f t="shared" si="29"/>
        <v>0</v>
      </c>
      <c r="EN21" s="665">
        <f t="shared" si="30"/>
        <v>0</v>
      </c>
      <c r="EO21" s="665">
        <f t="shared" si="31"/>
        <v>0</v>
      </c>
      <c r="EP21" s="665">
        <f t="shared" si="32"/>
        <v>0</v>
      </c>
      <c r="EQ21" s="665">
        <f t="shared" si="33"/>
        <v>0</v>
      </c>
      <c r="ER21" s="665">
        <f t="shared" si="34"/>
        <v>0</v>
      </c>
      <c r="ES21" s="665">
        <f t="shared" si="35"/>
        <v>0</v>
      </c>
      <c r="ET21" s="541">
        <f t="shared" si="57"/>
        <v>0</v>
      </c>
      <c r="EU21" s="1450" cm="1">
        <f t="array" ref="EU21">(BH21*SUMPRODUCT($S21:$X21,TRANSPOSE(Assumptions!D$281:D$286)))*0.001</f>
        <v>0.30562056154786904</v>
      </c>
      <c r="EV21" s="1450" cm="1">
        <f t="array" ref="EV21">(BI21*SUMPRODUCT($S21:$X21,TRANSPOSE(Assumptions!E$281:E$286)))*0.001</f>
        <v>0.61124112309573808</v>
      </c>
      <c r="EW21" s="1450" cm="1">
        <f t="array" ref="EW21">(BJ21*SUMPRODUCT($S21:$X21,TRANSPOSE(Assumptions!F$281:F$286)))*0.001</f>
        <v>0.61124112309573808</v>
      </c>
      <c r="EX21" s="1450" cm="1">
        <f t="array" ref="EX21">(BK21*SUMPRODUCT($S21:$X21,TRANSPOSE(Assumptions!G$281:G$286)))*0.001</f>
        <v>0.70030281475588008</v>
      </c>
      <c r="EY21" s="1450" cm="1">
        <f t="array" ref="EY21">(BL21*SUMPRODUCT($S21:$X21,TRANSPOSE(Assumptions!H$281:H$286)))*0.001</f>
        <v>0.74483366058595102</v>
      </c>
      <c r="EZ21" s="1450" cm="1">
        <f t="array" ref="EZ21">(BM21*SUMPRODUCT($S21:$X21,TRANSPOSE(Assumptions!I$281:I$286)))*0.001</f>
        <v>0.74483366058595102</v>
      </c>
      <c r="FA21" s="1450" cm="1">
        <f t="array" ref="FA21">(BN21*SUMPRODUCT($S21:$X21,TRANSPOSE(Assumptions!J$281:J$286)))*0.001</f>
        <v>0.74483366058595102</v>
      </c>
      <c r="FB21" s="1450" cm="1">
        <f t="array" ref="FB21">(BO21*SUMPRODUCT($S21:$X21,TRANSPOSE(Assumptions!K$281:K$286)))*0.001</f>
        <v>0.74483366058595102</v>
      </c>
      <c r="FC21" s="1450" cm="1">
        <f t="array" ref="FC21">(BP21*SUMPRODUCT($S21:$X21,TRANSPOSE(Assumptions!L$281:L$286)))*0.001</f>
        <v>0.74483366058595102</v>
      </c>
      <c r="FD21" s="1450" cm="1">
        <f t="array" ref="FD21">(BQ21*SUMPRODUCT($S21:$X21,TRANSPOSE(Assumptions!M$281:M$286)))*0.001</f>
        <v>0.74483366058595102</v>
      </c>
      <c r="FE21" s="1450" cm="1">
        <f t="array" ref="FE21">(BR21*SUMPRODUCT($S21:$X21,TRANSPOSE(Assumptions!N$281:N$286)))*0.001</f>
        <v>0.74483366058595102</v>
      </c>
      <c r="FF21" s="1450" cm="1">
        <f t="array" ref="FF21">(BS21*SUMPRODUCT($S21:$X21,TRANSPOSE(Assumptions!O$281:O$286)))*0.001</f>
        <v>0.74483366058595102</v>
      </c>
      <c r="FG21" s="1450" cm="1">
        <f t="array" ref="FG21">(BT21*SUMPRODUCT($S21:$X21,TRANSPOSE(Assumptions!P$281:P$286)))*0.001</f>
        <v>0.74483366058595102</v>
      </c>
      <c r="FH21" s="1450" cm="1">
        <f t="array" ref="FH21">(BU21*SUMPRODUCT($S21:$X21,TRANSPOSE(Assumptions!Q$281:Q$286)))*0.001</f>
        <v>0.74483366058595102</v>
      </c>
      <c r="FI21" s="1450" cm="1">
        <f t="array" ref="FI21">(BV21*SUMPRODUCT($S21:$X21,TRANSPOSE(Assumptions!R$281:R$286)))*0.001</f>
        <v>0.74483366058595102</v>
      </c>
      <c r="FJ21" s="666">
        <f t="shared" si="58"/>
        <v>-0.30562056154786904</v>
      </c>
      <c r="FK21" s="666">
        <f t="shared" si="59"/>
        <v>-0.61124112309573808</v>
      </c>
      <c r="FL21" s="666">
        <f t="shared" si="60"/>
        <v>-0.61124112309573808</v>
      </c>
      <c r="FM21" s="666">
        <f t="shared" si="61"/>
        <v>-0.70030281475588008</v>
      </c>
      <c r="FN21" s="666">
        <f t="shared" si="62"/>
        <v>-0.74483366058595102</v>
      </c>
      <c r="FO21" s="666">
        <f t="shared" si="63"/>
        <v>-0.74483366058595102</v>
      </c>
      <c r="FP21" s="666">
        <f t="shared" si="64"/>
        <v>-0.74483366058595102</v>
      </c>
      <c r="FQ21" s="666">
        <f t="shared" si="65"/>
        <v>-0.74483366058595102</v>
      </c>
      <c r="FR21" s="666">
        <f t="shared" si="66"/>
        <v>-0.74483366058595102</v>
      </c>
      <c r="FS21" s="666">
        <f t="shared" si="67"/>
        <v>-0.74483366058595102</v>
      </c>
      <c r="FT21" s="666">
        <f t="shared" si="68"/>
        <v>-0.74483366058595102</v>
      </c>
      <c r="FU21" s="666">
        <f t="shared" si="69"/>
        <v>-0.74483366058595102</v>
      </c>
      <c r="FV21" s="666">
        <f t="shared" si="70"/>
        <v>-0.74483366058595102</v>
      </c>
      <c r="FW21" s="666">
        <f t="shared" si="71"/>
        <v>-0.74483366058595102</v>
      </c>
      <c r="FX21" s="1883">
        <f t="shared" si="72"/>
        <v>-0.74483366058595102</v>
      </c>
      <c r="FY21" s="1895"/>
      <c r="FZ21" s="1889"/>
      <c r="GA21" s="704"/>
      <c r="GB21" s="704"/>
      <c r="GC21" s="704"/>
      <c r="GD21" s="704"/>
      <c r="GE21" s="704"/>
      <c r="GF21" s="704"/>
      <c r="GG21" s="704"/>
      <c r="GH21" s="704"/>
      <c r="GI21" s="704"/>
      <c r="GJ21" s="704"/>
      <c r="GK21" s="704"/>
      <c r="GL21" s="704"/>
      <c r="GM21" s="704"/>
      <c r="GN21" s="1899"/>
      <c r="GO21" s="1910"/>
      <c r="GP21" s="1868">
        <f>BH21*INDEX(Assumptions!G$565:G$570,MATCH($B21,Assumptions!$B$565:$B$570,0))</f>
        <v>2.3408904604362246</v>
      </c>
      <c r="GQ21" s="656">
        <f>BI21*INDEX(Assumptions!H$565:H$570,MATCH($B21,Assumptions!$B$565:$B$570,0))</f>
        <v>4.7142368862355779</v>
      </c>
      <c r="GR21" s="656">
        <f>BJ21*INDEX(Assumptions!I$565:I$570,MATCH($B21,Assumptions!$B$565:$B$570,0))</f>
        <v>4.7404875411642342</v>
      </c>
      <c r="GS21" s="656">
        <f>BK21*INDEX(Assumptions!J$565:J$570,MATCH($B21,Assumptions!$B$565:$B$570,0))</f>
        <v>4.7609918196956622</v>
      </c>
      <c r="GT21" s="656">
        <f>BL21*INDEX(Assumptions!K$565:K$570,MATCH($B21,Assumptions!$B$565:$B$570,0))</f>
        <v>4.7761924327980276</v>
      </c>
      <c r="GU21" s="656">
        <f>BM21*INDEX(Assumptions!L$565:L$570,MATCH($B21,Assumptions!$B$565:$B$570,0))</f>
        <v>4.7865164725052418</v>
      </c>
      <c r="GV21" s="656">
        <f>BN21*INDEX(Assumptions!M$565:M$570,MATCH($B21,Assumptions!$B$565:$B$570,0))</f>
        <v>4.7923759947197873</v>
      </c>
      <c r="GW21" s="656">
        <f>BO21*INDEX(Assumptions!N$565:N$570,MATCH($B21,Assumptions!$B$565:$B$570,0))</f>
        <v>4.7941685814221655</v>
      </c>
      <c r="GX21" s="656">
        <f>BP21*INDEX(Assumptions!O$565:O$570,MATCH($B21,Assumptions!$B$565:$B$570,0))</f>
        <v>4.792277883000307</v>
      </c>
      <c r="GY21" s="656">
        <f>BQ21*INDEX(Assumptions!P$565:P$570,MATCH($B21,Assumptions!$B$565:$B$570,0))</f>
        <v>4.7711826435332387</v>
      </c>
      <c r="GZ21" s="656">
        <f>BR21*INDEX(Assumptions!Q$565:Q$570,MATCH($B21,Assumptions!$B$565:$B$570,0))</f>
        <v>4.5304023730052023</v>
      </c>
      <c r="HA21" s="656">
        <f>BS21*INDEX(Assumptions!R$565:R$570,MATCH($B21,Assumptions!$B$565:$B$570,0))</f>
        <v>4.9300976220817425</v>
      </c>
      <c r="HB21" s="656">
        <f>BT21*INDEX(Assumptions!S$565:S$570,MATCH($B21,Assumptions!$B$565:$B$570,0))</f>
        <v>4.9300976220817425</v>
      </c>
      <c r="HC21" s="656">
        <f>BU21*INDEX(Assumptions!T$565:T$570,MATCH($B21,Assumptions!$B$565:$B$570,0))</f>
        <v>4.9142061242268928</v>
      </c>
      <c r="HD21" s="1922">
        <f>BV21*INDEX(Assumptions!U$565:U$570,MATCH($B21,Assumptions!$B$565:$B$570,0))</f>
        <v>4.8983146263720423</v>
      </c>
      <c r="HE21" s="1933"/>
      <c r="HF21" s="1927"/>
      <c r="HG21" s="501"/>
      <c r="HH21" s="501"/>
      <c r="HI21" s="501"/>
      <c r="HJ21" s="501"/>
      <c r="HK21" s="501"/>
      <c r="HL21" s="501"/>
      <c r="HM21" s="501"/>
      <c r="HN21" s="501"/>
      <c r="HO21" s="501"/>
      <c r="HP21" s="501"/>
      <c r="HQ21" s="501"/>
      <c r="HR21" s="501"/>
      <c r="HS21" s="501"/>
      <c r="HT21" s="501"/>
      <c r="HU21" s="501"/>
      <c r="HV21" s="656"/>
      <c r="HW21" s="1922"/>
      <c r="HX21" s="1946"/>
      <c r="HY21" s="1940">
        <v>2018</v>
      </c>
      <c r="HZ21" s="14">
        <v>2027</v>
      </c>
      <c r="IA21" s="673"/>
      <c r="IB21" s="673"/>
      <c r="IC21" s="674" t="s">
        <v>578</v>
      </c>
      <c r="ID21" s="1956" t="s">
        <v>649</v>
      </c>
      <c r="IE21" s="1953"/>
      <c r="IF21" s="1960">
        <v>1</v>
      </c>
      <c r="IG21" s="537">
        <v>1</v>
      </c>
      <c r="IH21" s="537">
        <v>1</v>
      </c>
      <c r="II21" s="537">
        <v>1</v>
      </c>
      <c r="IJ21" s="537">
        <v>1</v>
      </c>
      <c r="IK21" s="537">
        <v>1</v>
      </c>
      <c r="IL21" s="537">
        <v>1</v>
      </c>
    </row>
    <row r="22" spans="2:246" ht="13.5" customHeight="1" x14ac:dyDescent="0.3">
      <c r="B22" s="1703" t="s">
        <v>53</v>
      </c>
      <c r="C22" s="2113"/>
      <c r="D22" s="679" t="s">
        <v>650</v>
      </c>
      <c r="E22" s="1780" t="s">
        <v>651</v>
      </c>
      <c r="F22" s="1803"/>
      <c r="G22" s="1792" t="s">
        <v>652</v>
      </c>
      <c r="H22" s="1156" t="s">
        <v>653</v>
      </c>
      <c r="I22" s="1156" t="s">
        <v>654</v>
      </c>
      <c r="J22" s="70" t="s">
        <v>655</v>
      </c>
      <c r="K22" s="71" t="s">
        <v>648</v>
      </c>
      <c r="L22" s="2043" t="s">
        <v>565</v>
      </c>
      <c r="M22" s="1827"/>
      <c r="N22" s="1817"/>
      <c r="O22" s="1177"/>
      <c r="P22" s="1177"/>
      <c r="Q22" s="1178">
        <v>1</v>
      </c>
      <c r="R22" s="1178"/>
      <c r="S22" s="1445" cm="1">
        <f t="array" ref="S22:X22">TRANSPOSE(_xlfn.XLOOKUP(B22,Assumptions!$C$134:$I$134,Assumptions!$C$135:$I$140))</f>
        <v>0.89766686718609423</v>
      </c>
      <c r="T22" s="1445">
        <v>2.0574367766823833E-2</v>
      </c>
      <c r="U22" s="1445">
        <v>0</v>
      </c>
      <c r="V22" s="1445">
        <v>6.4936780001525515E-2</v>
      </c>
      <c r="W22" s="1445">
        <v>0</v>
      </c>
      <c r="X22" s="1445">
        <v>1.6821985045556383E-2</v>
      </c>
      <c r="Y22" s="1179" cm="1">
        <f t="array" ref="Y22:AC22">TRANSPOSE(_xlfn.ANCHORARRAY(Assumptions!$D$698))</f>
        <v>0.46715240825721654</v>
      </c>
      <c r="Z22" s="1179">
        <v>0.10872006700422583</v>
      </c>
      <c r="AA22" s="1179">
        <v>9.7634938252443113E-2</v>
      </c>
      <c r="AB22" s="1179">
        <v>0.23591534859475621</v>
      </c>
      <c r="AC22" s="1179">
        <v>9.057723789135827E-2</v>
      </c>
      <c r="AD22" s="1177"/>
      <c r="AE22" s="1177"/>
      <c r="AF22" s="1177"/>
      <c r="AG22" s="1177"/>
      <c r="AH22" s="1177"/>
      <c r="AI22" s="1177"/>
      <c r="AJ22" s="1177"/>
      <c r="AK22" s="1417">
        <f t="shared" si="53"/>
        <v>0</v>
      </c>
      <c r="AL22" s="1177"/>
      <c r="AM22" s="1177"/>
      <c r="AN22" s="1177"/>
      <c r="AO22" s="1834">
        <v>1</v>
      </c>
      <c r="AP22" s="1847"/>
      <c r="AQ22" s="1837">
        <f t="shared" si="75"/>
        <v>0.130670904</v>
      </c>
      <c r="AR22" s="656">
        <f>_xlfn.XLOOKUP($D22,'KLIM 2021-30'!$C$4:$C$40,'KLIM 2021-30'!T$4:T$40)</f>
        <v>0</v>
      </c>
      <c r="AS22" s="656">
        <f>_xlfn.XLOOKUP($D22,'KLIM 2021-30'!$C$4:$C$40,'KLIM 2021-30'!U$4:U$40)</f>
        <v>0</v>
      </c>
      <c r="AT22" s="656">
        <f>_xlfn.XLOOKUP($D22,'KLIM 2021-30'!$C$4:$C$40,'KLIM 2021-30'!V$4:V$40)</f>
        <v>0</v>
      </c>
      <c r="AU22" s="656">
        <f>_xlfn.XLOOKUP($D22,'KLIM 2021-30'!$C$4:$C$40,'KLIM 2021-30'!W$4:W$40)</f>
        <v>0.914696328</v>
      </c>
      <c r="AV22" s="656">
        <f>_xlfn.XLOOKUP($D22,'KLIM 2021-30'!$C$4:$C$40,'KLIM 2021-30'!X$4:X$40)</f>
        <v>0</v>
      </c>
      <c r="AW22" s="656">
        <f>_xlfn.XLOOKUP($D22,'KLIM 2021-30'!$C$4:$C$40,'KLIM 2021-30'!Y$4:Y$40)</f>
        <v>0</v>
      </c>
      <c r="AX22" s="656">
        <f>_xlfn.XLOOKUP($D22,'KLIM 2021-30'!$C$4:$C$40,'KLIM 2021-30'!Z$4:Z$40)</f>
        <v>0</v>
      </c>
      <c r="AY22" s="663"/>
      <c r="AZ22" s="663"/>
      <c r="BA22" s="663"/>
      <c r="BB22" s="663"/>
      <c r="BC22" s="663"/>
      <c r="BD22" s="663"/>
      <c r="BE22" s="663"/>
      <c r="BF22" s="663"/>
      <c r="BG22" s="501">
        <f t="shared" si="54"/>
        <v>0.228674082</v>
      </c>
      <c r="BH22" s="657">
        <f t="shared" si="0"/>
        <v>0</v>
      </c>
      <c r="BI22" s="658">
        <f t="shared" si="1"/>
        <v>0</v>
      </c>
      <c r="BJ22" s="658">
        <f t="shared" si="2"/>
        <v>0</v>
      </c>
      <c r="BK22" s="658">
        <f t="shared" si="3"/>
        <v>0.914696328</v>
      </c>
      <c r="BL22" s="658">
        <f t="shared" si="4"/>
        <v>0.914696328</v>
      </c>
      <c r="BM22" s="658">
        <f t="shared" si="5"/>
        <v>0.914696328</v>
      </c>
      <c r="BN22" s="658">
        <f t="shared" si="6"/>
        <v>0.914696328</v>
      </c>
      <c r="BO22" s="658">
        <f t="shared" si="7"/>
        <v>0.914696328</v>
      </c>
      <c r="BP22" s="658">
        <f t="shared" si="8"/>
        <v>0.914696328</v>
      </c>
      <c r="BQ22" s="658">
        <f t="shared" si="9"/>
        <v>0.914696328</v>
      </c>
      <c r="BR22" s="658">
        <f t="shared" si="10"/>
        <v>0.914696328</v>
      </c>
      <c r="BS22" s="658">
        <f t="shared" si="11"/>
        <v>0.914696328</v>
      </c>
      <c r="BT22" s="658">
        <f t="shared" si="12"/>
        <v>0.914696328</v>
      </c>
      <c r="BU22" s="658">
        <f t="shared" si="13"/>
        <v>0.914696328</v>
      </c>
      <c r="BV22" s="1851">
        <f t="shared" si="14"/>
        <v>0.914696328</v>
      </c>
      <c r="BW22" s="1661"/>
      <c r="BX22" s="1854">
        <f>(_xlfn.XLOOKUP(D22,'KLIM 2021-30'!$C$4:$C$40,'KLIM 2021-30'!$G$4:$G$40)/1000000)/CQ22</f>
        <v>0</v>
      </c>
      <c r="BY22" s="1192">
        <f t="shared" si="15"/>
        <v>0</v>
      </c>
      <c r="BZ22" s="680">
        <f t="shared" ref="BZ22:CF22" si="93">($BX22)*(AR22/SUM($AR22:$BA22))</f>
        <v>0</v>
      </c>
      <c r="CA22" s="680">
        <f t="shared" si="93"/>
        <v>0</v>
      </c>
      <c r="CB22" s="680">
        <f t="shared" si="93"/>
        <v>0</v>
      </c>
      <c r="CC22" s="680">
        <f t="shared" si="93"/>
        <v>0</v>
      </c>
      <c r="CD22" s="680">
        <f t="shared" si="93"/>
        <v>0</v>
      </c>
      <c r="CE22" s="680">
        <f t="shared" si="93"/>
        <v>0</v>
      </c>
      <c r="CF22" s="680">
        <f t="shared" si="93"/>
        <v>0</v>
      </c>
      <c r="CG22" s="663"/>
      <c r="CH22" s="663"/>
      <c r="CI22" s="663"/>
      <c r="CJ22" s="663"/>
      <c r="CK22" s="663"/>
      <c r="CL22" s="663"/>
      <c r="CM22" s="663"/>
      <c r="CN22" s="663"/>
      <c r="CO22" s="479">
        <f t="shared" si="17"/>
        <v>0</v>
      </c>
      <c r="CP22" s="660">
        <f t="shared" si="18"/>
        <v>0</v>
      </c>
      <c r="CQ22" s="681">
        <v>1</v>
      </c>
      <c r="CR22" s="662">
        <f t="shared" si="55"/>
        <v>0</v>
      </c>
      <c r="CS22" s="672" t="s">
        <v>598</v>
      </c>
      <c r="CT22" s="1862">
        <f t="shared" si="19"/>
        <v>0</v>
      </c>
      <c r="CU22" s="1872"/>
      <c r="CV22" s="1865">
        <f>BH22*Assumptions!D$498</f>
        <v>0</v>
      </c>
      <c r="CW22" s="659">
        <f>BI22*Assumptions!E$498</f>
        <v>0</v>
      </c>
      <c r="CX22" s="659">
        <f>BJ22*Assumptions!F$498</f>
        <v>0</v>
      </c>
      <c r="CY22" s="659">
        <f>BK22*Assumptions!G$498</f>
        <v>9.119223904742299E-2</v>
      </c>
      <c r="CZ22" s="659">
        <f>BL22*Assumptions!H$498</f>
        <v>9.5118613212191047E-2</v>
      </c>
      <c r="DA22" s="659">
        <f>BM22*Assumptions!I$498</f>
        <v>9.6729858728977117E-2</v>
      </c>
      <c r="DB22" s="659">
        <f>BN22*Assumptions!J$498</f>
        <v>9.839768246058786E-2</v>
      </c>
      <c r="DC22" s="659">
        <f>BO22*Assumptions!K$498</f>
        <v>0.10012319257539082</v>
      </c>
      <c r="DD22" s="659">
        <f>BP22*Assumptions!L$498</f>
        <v>0.10190753969919907</v>
      </c>
      <c r="DE22" s="659">
        <f>BQ22*Assumptions!M$498</f>
        <v>0.10375191762924223</v>
      </c>
      <c r="DF22" s="659">
        <f>BR22*Assumptions!N$498</f>
        <v>0.10569279699547066</v>
      </c>
      <c r="DG22" s="659">
        <f>BS22*Assumptions!O$498</f>
        <v>0.10769190274268597</v>
      </c>
      <c r="DH22" s="659">
        <f>BT22*Assumptions!P$498</f>
        <v>0.10975098166231773</v>
      </c>
      <c r="DI22" s="659">
        <f>BU22*Assumptions!Q$498</f>
        <v>0.11187183294953847</v>
      </c>
      <c r="DJ22" s="659">
        <f>BV22*Assumptions!R$498</f>
        <v>0.11405630977537579</v>
      </c>
      <c r="DK22" s="680">
        <f t="shared" si="83"/>
        <v>0</v>
      </c>
      <c r="DL22" s="680">
        <f t="shared" si="84"/>
        <v>0</v>
      </c>
      <c r="DM22" s="680">
        <f t="shared" si="85"/>
        <v>0</v>
      </c>
      <c r="DN22" s="680">
        <f t="shared" si="86"/>
        <v>9.119223904742299E-2</v>
      </c>
      <c r="DO22" s="680">
        <f t="shared" si="87"/>
        <v>9.5118613212191047E-2</v>
      </c>
      <c r="DP22" s="680">
        <f t="shared" si="88"/>
        <v>9.6729858728977117E-2</v>
      </c>
      <c r="DQ22" s="680">
        <f t="shared" si="89"/>
        <v>9.839768246058786E-2</v>
      </c>
      <c r="DR22" s="680">
        <f t="shared" si="90"/>
        <v>0.10012319257539082</v>
      </c>
      <c r="DS22" s="680">
        <f t="shared" si="91"/>
        <v>0.10190753969919907</v>
      </c>
      <c r="DT22" s="680">
        <f t="shared" si="92"/>
        <v>0.10375191762924223</v>
      </c>
      <c r="DU22" s="680">
        <f t="shared" si="81"/>
        <v>0.10569279699547066</v>
      </c>
      <c r="DV22" s="680">
        <f t="shared" si="81"/>
        <v>0.10769190274268597</v>
      </c>
      <c r="DW22" s="680">
        <f t="shared" si="81"/>
        <v>0.10975098166231773</v>
      </c>
      <c r="DX22" s="680">
        <f t="shared" si="81"/>
        <v>0.11187183294953847</v>
      </c>
      <c r="DY22" s="680">
        <f t="shared" si="81"/>
        <v>0.11405630977537579</v>
      </c>
      <c r="DZ22" s="678">
        <v>0</v>
      </c>
      <c r="EA22" s="661">
        <f t="shared" si="56"/>
        <v>1</v>
      </c>
      <c r="EB22" s="1861">
        <f t="shared" si="20"/>
        <v>6.8722104335301099E-2</v>
      </c>
      <c r="EC22" s="1881"/>
      <c r="ED22" s="1877">
        <v>0</v>
      </c>
      <c r="EE22" s="665">
        <f t="shared" si="21"/>
        <v>0</v>
      </c>
      <c r="EF22" s="665">
        <f t="shared" si="22"/>
        <v>0</v>
      </c>
      <c r="EG22" s="665">
        <f t="shared" si="23"/>
        <v>0</v>
      </c>
      <c r="EH22" s="665">
        <f t="shared" si="24"/>
        <v>0</v>
      </c>
      <c r="EI22" s="665">
        <f t="shared" si="25"/>
        <v>0</v>
      </c>
      <c r="EJ22" s="665">
        <f t="shared" si="26"/>
        <v>0</v>
      </c>
      <c r="EK22" s="665">
        <f t="shared" si="27"/>
        <v>0</v>
      </c>
      <c r="EL22" s="665">
        <f t="shared" si="28"/>
        <v>0</v>
      </c>
      <c r="EM22" s="665">
        <f t="shared" si="29"/>
        <v>0</v>
      </c>
      <c r="EN22" s="665">
        <f t="shared" si="30"/>
        <v>0</v>
      </c>
      <c r="EO22" s="665">
        <f t="shared" si="31"/>
        <v>0</v>
      </c>
      <c r="EP22" s="665">
        <f t="shared" si="32"/>
        <v>0</v>
      </c>
      <c r="EQ22" s="665">
        <f t="shared" si="33"/>
        <v>0</v>
      </c>
      <c r="ER22" s="665">
        <f t="shared" si="34"/>
        <v>0</v>
      </c>
      <c r="ES22" s="665">
        <f t="shared" si="35"/>
        <v>0</v>
      </c>
      <c r="ET22" s="541">
        <f t="shared" si="57"/>
        <v>0</v>
      </c>
      <c r="EU22" s="1450" cm="1">
        <f t="array" ref="EU22">(BH22*SUMPRODUCT($S22:$X22,TRANSPOSE(Assumptions!D$281:D$286)))*0.001</f>
        <v>0</v>
      </c>
      <c r="EV22" s="1450" cm="1">
        <f t="array" ref="EV22">(BI22*SUMPRODUCT($S22:$X22,TRANSPOSE(Assumptions!E$281:E$286)))*0.001</f>
        <v>0</v>
      </c>
      <c r="EW22" s="1450" cm="1">
        <f t="array" ref="EW22">(BJ22*SUMPRODUCT($S22:$X22,TRANSPOSE(Assumptions!F$281:F$286)))*0.001</f>
        <v>0</v>
      </c>
      <c r="EX22" s="1450" cm="1">
        <f t="array" ref="EX22">(BK22*SUMPRODUCT($S22:$X22,TRANSPOSE(Assumptions!G$281:G$286)))*0.001</f>
        <v>3.7182632823768144E-2</v>
      </c>
      <c r="EY22" s="1450" cm="1">
        <f t="array" ref="EY22">(BL22*SUMPRODUCT($S22:$X22,TRANSPOSE(Assumptions!H$281:H$286)))*0.001</f>
        <v>3.9547001572462298E-2</v>
      </c>
      <c r="EZ22" s="1450" cm="1">
        <f t="array" ref="EZ22">(BM22*SUMPRODUCT($S22:$X22,TRANSPOSE(Assumptions!I$281:I$286)))*0.001</f>
        <v>3.9547001572462298E-2</v>
      </c>
      <c r="FA22" s="1450" cm="1">
        <f t="array" ref="FA22">(BN22*SUMPRODUCT($S22:$X22,TRANSPOSE(Assumptions!J$281:J$286)))*0.001</f>
        <v>3.9547001572462298E-2</v>
      </c>
      <c r="FB22" s="1450" cm="1">
        <f t="array" ref="FB22">(BO22*SUMPRODUCT($S22:$X22,TRANSPOSE(Assumptions!K$281:K$286)))*0.001</f>
        <v>3.9547001572462298E-2</v>
      </c>
      <c r="FC22" s="1450" cm="1">
        <f t="array" ref="FC22">(BP22*SUMPRODUCT($S22:$X22,TRANSPOSE(Assumptions!L$281:L$286)))*0.001</f>
        <v>3.9547001572462298E-2</v>
      </c>
      <c r="FD22" s="1450" cm="1">
        <f t="array" ref="FD22">(BQ22*SUMPRODUCT($S22:$X22,TRANSPOSE(Assumptions!M$281:M$286)))*0.001</f>
        <v>3.9547001572462298E-2</v>
      </c>
      <c r="FE22" s="1450" cm="1">
        <f t="array" ref="FE22">(BR22*SUMPRODUCT($S22:$X22,TRANSPOSE(Assumptions!N$281:N$286)))*0.001</f>
        <v>3.9547001572462298E-2</v>
      </c>
      <c r="FF22" s="1450" cm="1">
        <f t="array" ref="FF22">(BS22*SUMPRODUCT($S22:$X22,TRANSPOSE(Assumptions!O$281:O$286)))*0.001</f>
        <v>3.9547001572462298E-2</v>
      </c>
      <c r="FG22" s="1450" cm="1">
        <f t="array" ref="FG22">(BT22*SUMPRODUCT($S22:$X22,TRANSPOSE(Assumptions!P$281:P$286)))*0.001</f>
        <v>3.9547001572462298E-2</v>
      </c>
      <c r="FH22" s="1450" cm="1">
        <f t="array" ref="FH22">(BU22*SUMPRODUCT($S22:$X22,TRANSPOSE(Assumptions!Q$281:Q$286)))*0.001</f>
        <v>3.9547001572462298E-2</v>
      </c>
      <c r="FI22" s="1450" cm="1">
        <f t="array" ref="FI22">(BV22*SUMPRODUCT($S22:$X22,TRANSPOSE(Assumptions!R$281:R$286)))*0.001</f>
        <v>3.9547001572462298E-2</v>
      </c>
      <c r="FJ22" s="666">
        <f t="shared" si="58"/>
        <v>0</v>
      </c>
      <c r="FK22" s="666">
        <f t="shared" si="59"/>
        <v>0</v>
      </c>
      <c r="FL22" s="666">
        <f t="shared" si="60"/>
        <v>0</v>
      </c>
      <c r="FM22" s="666">
        <f t="shared" si="61"/>
        <v>-3.7182632823768144E-2</v>
      </c>
      <c r="FN22" s="666">
        <f t="shared" si="62"/>
        <v>-3.9547001572462298E-2</v>
      </c>
      <c r="FO22" s="666">
        <f t="shared" si="63"/>
        <v>-3.9547001572462298E-2</v>
      </c>
      <c r="FP22" s="666">
        <f t="shared" si="64"/>
        <v>-3.9547001572462298E-2</v>
      </c>
      <c r="FQ22" s="666">
        <f t="shared" si="65"/>
        <v>-3.9547001572462298E-2</v>
      </c>
      <c r="FR22" s="666">
        <f t="shared" si="66"/>
        <v>-3.9547001572462298E-2</v>
      </c>
      <c r="FS22" s="666">
        <f t="shared" si="67"/>
        <v>-3.9547001572462298E-2</v>
      </c>
      <c r="FT22" s="666">
        <f t="shared" si="68"/>
        <v>-3.9547001572462298E-2</v>
      </c>
      <c r="FU22" s="666">
        <f t="shared" si="69"/>
        <v>-3.9547001572462298E-2</v>
      </c>
      <c r="FV22" s="666">
        <f t="shared" si="70"/>
        <v>-3.9547001572462298E-2</v>
      </c>
      <c r="FW22" s="666">
        <f t="shared" si="71"/>
        <v>-3.9547001572462298E-2</v>
      </c>
      <c r="FX22" s="1883">
        <f t="shared" si="72"/>
        <v>-3.9547001572462298E-2</v>
      </c>
      <c r="FY22" s="1895"/>
      <c r="FZ22" s="1890">
        <f>BZ22*Admin!$H$16</f>
        <v>0</v>
      </c>
      <c r="GA22" s="491">
        <f>CA22*Admin!$H$16</f>
        <v>0</v>
      </c>
      <c r="GB22" s="491">
        <f>CB22*Admin!$H$16</f>
        <v>0</v>
      </c>
      <c r="GC22" s="491">
        <f>CC22*Admin!$H$16</f>
        <v>0</v>
      </c>
      <c r="GD22" s="491">
        <f>CD22*Admin!$H$16</f>
        <v>0</v>
      </c>
      <c r="GE22" s="491">
        <f>CE22*Admin!$H$16</f>
        <v>0</v>
      </c>
      <c r="GF22" s="491">
        <f>CF22*Admin!$H$16</f>
        <v>0</v>
      </c>
      <c r="GG22" s="491">
        <f>CG22*Admin!$H$16</f>
        <v>0</v>
      </c>
      <c r="GH22" s="491">
        <f>CH22*Admin!$H$16</f>
        <v>0</v>
      </c>
      <c r="GI22" s="491">
        <f>CI22*Admin!$H$16</f>
        <v>0</v>
      </c>
      <c r="GJ22" s="491">
        <f>CJ22*Admin!$H$16</f>
        <v>0</v>
      </c>
      <c r="GK22" s="491">
        <f>CK22*Admin!$H$16</f>
        <v>0</v>
      </c>
      <c r="GL22" s="491">
        <f>CL22*Admin!$H$16</f>
        <v>0</v>
      </c>
      <c r="GM22" s="491">
        <f>CM22*Admin!$H$16</f>
        <v>0</v>
      </c>
      <c r="GN22" s="1900">
        <f>CN22*Admin!$H$16</f>
        <v>0</v>
      </c>
      <c r="GO22" s="1912"/>
      <c r="GP22" s="1868">
        <f>BH22*INDEX(Assumptions!G$565:G$570,MATCH($B22,Assumptions!$B$565:$B$570,0))</f>
        <v>0</v>
      </c>
      <c r="GQ22" s="656">
        <f>BI22*INDEX(Assumptions!H$565:H$570,MATCH($B22,Assumptions!$B$565:$B$570,0))</f>
        <v>0</v>
      </c>
      <c r="GR22" s="656">
        <f>BJ22*INDEX(Assumptions!I$565:I$570,MATCH($B22,Assumptions!$B$565:$B$570,0))</f>
        <v>0</v>
      </c>
      <c r="GS22" s="656">
        <f>BK22*INDEX(Assumptions!J$565:J$570,MATCH($B22,Assumptions!$B$565:$B$570,0))</f>
        <v>0.25278523372838002</v>
      </c>
      <c r="GT22" s="656">
        <f>BL22*INDEX(Assumptions!K$565:K$570,MATCH($B22,Assumptions!$B$565:$B$570,0))</f>
        <v>0.25359231147213929</v>
      </c>
      <c r="GU22" s="656">
        <f>BM22*INDEX(Assumptions!L$565:L$570,MATCH($B22,Assumptions!$B$565:$B$570,0))</f>
        <v>0.25414046716936456</v>
      </c>
      <c r="GV22" s="656">
        <f>BN22*INDEX(Assumptions!M$565:M$570,MATCH($B22,Assumptions!$B$565:$B$570,0))</f>
        <v>0.25445157896048609</v>
      </c>
      <c r="GW22" s="656">
        <f>BO22*INDEX(Assumptions!N$565:N$570,MATCH($B22,Assumptions!$B$565:$B$570,0))</f>
        <v>0.25454675649191233</v>
      </c>
      <c r="GX22" s="656">
        <f>BP22*INDEX(Assumptions!O$565:O$570,MATCH($B22,Assumptions!$B$565:$B$570,0))</f>
        <v>0.25444636971105244</v>
      </c>
      <c r="GY22" s="656">
        <f>BQ22*INDEX(Assumptions!P$565:P$570,MATCH($B22,Assumptions!$B$565:$B$570,0))</f>
        <v>0.25332631631856845</v>
      </c>
      <c r="GZ22" s="656">
        <f>BR22*INDEX(Assumptions!Q$565:Q$570,MATCH($B22,Assumptions!$B$565:$B$570,0))</f>
        <v>0.24054206898782987</v>
      </c>
      <c r="HA22" s="656">
        <f>BS22*INDEX(Assumptions!R$565:R$570,MATCH($B22,Assumptions!$B$565:$B$570,0))</f>
        <v>0.26176391955685585</v>
      </c>
      <c r="HB22" s="656">
        <f>BT22*INDEX(Assumptions!S$565:S$570,MATCH($B22,Assumptions!$B$565:$B$570,0))</f>
        <v>0.26176391955685585</v>
      </c>
      <c r="HC22" s="656">
        <f>BU22*INDEX(Assumptions!T$565:T$570,MATCH($B22,Assumptions!$B$565:$B$570,0))</f>
        <v>0.26092015923302714</v>
      </c>
      <c r="HD22" s="1922">
        <f>BV22*INDEX(Assumptions!U$565:U$570,MATCH($B22,Assumptions!$B$565:$B$570,0))</f>
        <v>0.26007639890919837</v>
      </c>
      <c r="HE22" s="1933"/>
      <c r="HF22" s="1927"/>
      <c r="HG22" s="501"/>
      <c r="HH22" s="501"/>
      <c r="HI22" s="501"/>
      <c r="HJ22" s="501"/>
      <c r="HK22" s="501"/>
      <c r="HL22" s="501"/>
      <c r="HM22" s="501"/>
      <c r="HN22" s="501"/>
      <c r="HO22" s="501"/>
      <c r="HP22" s="501"/>
      <c r="HQ22" s="501"/>
      <c r="HR22" s="501"/>
      <c r="HS22" s="501"/>
      <c r="HT22" s="501"/>
      <c r="HU22" s="501"/>
      <c r="HV22" s="656"/>
      <c r="HW22" s="1922"/>
      <c r="HX22" s="1946"/>
      <c r="HY22" s="1940">
        <v>2015</v>
      </c>
      <c r="HZ22" s="14">
        <v>2018</v>
      </c>
      <c r="IA22" s="673"/>
      <c r="IB22" s="673"/>
      <c r="IC22" s="674"/>
      <c r="ID22" s="1956" t="s">
        <v>656</v>
      </c>
      <c r="IE22" s="1953"/>
      <c r="IF22" s="1960">
        <v>1</v>
      </c>
      <c r="IG22" s="537">
        <v>1</v>
      </c>
      <c r="IH22" s="537">
        <v>1</v>
      </c>
      <c r="II22" s="537">
        <v>1</v>
      </c>
      <c r="IJ22" s="537">
        <v>1</v>
      </c>
      <c r="IK22" s="537">
        <v>1</v>
      </c>
      <c r="IL22" s="537">
        <v>1</v>
      </c>
    </row>
    <row r="23" spans="2:246" ht="13.5" customHeight="1" x14ac:dyDescent="0.3">
      <c r="B23" s="1703" t="s">
        <v>53</v>
      </c>
      <c r="C23" s="2113"/>
      <c r="D23" s="679" t="s">
        <v>657</v>
      </c>
      <c r="E23" s="1778" t="s">
        <v>658</v>
      </c>
      <c r="F23" s="1800"/>
      <c r="G23" s="1790"/>
      <c r="H23" s="1157"/>
      <c r="I23" s="1157"/>
      <c r="J23" s="70" t="s">
        <v>563</v>
      </c>
      <c r="K23" s="71" t="s">
        <v>648</v>
      </c>
      <c r="L23" s="1814" t="s">
        <v>624</v>
      </c>
      <c r="M23" s="1830"/>
      <c r="N23" s="1817"/>
      <c r="O23" s="1177"/>
      <c r="P23" s="1177"/>
      <c r="Q23" s="1178">
        <v>1</v>
      </c>
      <c r="R23" s="1178"/>
      <c r="S23" s="1445" cm="1">
        <f t="array" ref="S23:X23">TRANSPOSE(_xlfn.XLOOKUP(B23,Assumptions!$C$134:$I$134,Assumptions!$C$135:$I$140))</f>
        <v>0.89766686718609423</v>
      </c>
      <c r="T23" s="1445">
        <v>2.0574367766823833E-2</v>
      </c>
      <c r="U23" s="1445">
        <v>0</v>
      </c>
      <c r="V23" s="1445">
        <v>6.4936780001525515E-2</v>
      </c>
      <c r="W23" s="1445">
        <v>0</v>
      </c>
      <c r="X23" s="1445">
        <v>1.6821985045556383E-2</v>
      </c>
      <c r="Y23" s="1179" cm="1">
        <f t="array" ref="Y23:AC23">TRANSPOSE(_xlfn.ANCHORARRAY(Assumptions!$D$698))</f>
        <v>0.46715240825721654</v>
      </c>
      <c r="Z23" s="1179">
        <v>0.10872006700422583</v>
      </c>
      <c r="AA23" s="1179">
        <v>9.7634938252443113E-2</v>
      </c>
      <c r="AB23" s="1179">
        <v>0.23591534859475621</v>
      </c>
      <c r="AC23" s="1179">
        <v>9.057723789135827E-2</v>
      </c>
      <c r="AD23" s="1177"/>
      <c r="AE23" s="1177"/>
      <c r="AF23" s="1177"/>
      <c r="AG23" s="1177"/>
      <c r="AH23" s="1177"/>
      <c r="AI23" s="1177"/>
      <c r="AJ23" s="1177"/>
      <c r="AK23" s="1417">
        <f t="shared" si="53"/>
        <v>0</v>
      </c>
      <c r="AL23" s="1177"/>
      <c r="AM23" s="1177"/>
      <c r="AN23" s="1177"/>
      <c r="AO23" s="1835">
        <f>Assumptions!M$843</f>
        <v>0.74891566265060239</v>
      </c>
      <c r="AP23" s="1848"/>
      <c r="AQ23" s="1838">
        <f>'MKM 2014-20'!U11</f>
        <v>6.3146666666666587E-2</v>
      </c>
      <c r="AR23" s="675">
        <f>_xlfn.XLOOKUP($D23,'MKM 2014-20'!$C$4:$C$28,'MKM 2014-20'!N$4:N$28)</f>
        <v>0</v>
      </c>
      <c r="AS23" s="675">
        <f>_xlfn.XLOOKUP($D23,'MKM 2014-20'!$C$4:$C$28,'MKM 2014-20'!O$4:O$28)</f>
        <v>0</v>
      </c>
      <c r="AT23" s="675">
        <f>_xlfn.XLOOKUP($D23,'MKM 2014-20'!$C$4:$C$28,'MKM 2014-20'!P$4:P$28)</f>
        <v>0</v>
      </c>
      <c r="AU23" s="675">
        <f>_xlfn.XLOOKUP($D23,'MKM 2014-20'!$C$4:$C$28,'MKM 2014-20'!Q$4:Q$28)</f>
        <v>0</v>
      </c>
      <c r="AV23" s="675">
        <f>_xlfn.XLOOKUP($D23,'MKM 2014-20'!$C$4:$C$28,'MKM 2014-20'!R$4:R$28)</f>
        <v>0</v>
      </c>
      <c r="AW23" s="675">
        <f>_xlfn.XLOOKUP($D23,'MKM 2014-20'!$C$4:$C$28,'MKM 2014-20'!S$4:S$28)</f>
        <v>0</v>
      </c>
      <c r="AX23" s="675">
        <f>_xlfn.XLOOKUP($D23,'MKM 2014-20'!$C$4:$C$28,'MKM 2014-20'!T$4:T$28)</f>
        <v>0</v>
      </c>
      <c r="AY23" s="663"/>
      <c r="AZ23" s="663"/>
      <c r="BA23" s="663"/>
      <c r="BB23" s="663"/>
      <c r="BC23" s="663"/>
      <c r="BD23" s="663"/>
      <c r="BE23" s="663"/>
      <c r="BF23" s="663"/>
      <c r="BG23" s="501">
        <f t="shared" si="54"/>
        <v>0</v>
      </c>
      <c r="BH23" s="657">
        <f t="shared" si="0"/>
        <v>0</v>
      </c>
      <c r="BI23" s="658">
        <f t="shared" si="1"/>
        <v>0</v>
      </c>
      <c r="BJ23" s="658">
        <f t="shared" si="2"/>
        <v>0</v>
      </c>
      <c r="BK23" s="658">
        <f t="shared" si="3"/>
        <v>0</v>
      </c>
      <c r="BL23" s="658">
        <f t="shared" si="4"/>
        <v>0</v>
      </c>
      <c r="BM23" s="658">
        <f t="shared" si="5"/>
        <v>0</v>
      </c>
      <c r="BN23" s="658">
        <f t="shared" si="6"/>
        <v>0</v>
      </c>
      <c r="BO23" s="658">
        <f t="shared" si="7"/>
        <v>0</v>
      </c>
      <c r="BP23" s="658">
        <f t="shared" si="8"/>
        <v>0</v>
      </c>
      <c r="BQ23" s="658">
        <f t="shared" si="9"/>
        <v>0</v>
      </c>
      <c r="BR23" s="658">
        <f t="shared" si="10"/>
        <v>0</v>
      </c>
      <c r="BS23" s="658">
        <f t="shared" si="11"/>
        <v>0</v>
      </c>
      <c r="BT23" s="658">
        <f t="shared" si="12"/>
        <v>0</v>
      </c>
      <c r="BU23" s="658">
        <f t="shared" si="13"/>
        <v>0</v>
      </c>
      <c r="BV23" s="1851">
        <f t="shared" si="14"/>
        <v>0</v>
      </c>
      <c r="BW23" s="1661"/>
      <c r="BX23" s="1855">
        <v>0</v>
      </c>
      <c r="BY23" s="1192" t="str">
        <f t="shared" si="15"/>
        <v/>
      </c>
      <c r="BZ23" s="684"/>
      <c r="CA23" s="684"/>
      <c r="CB23" s="684"/>
      <c r="CC23" s="684"/>
      <c r="CD23" s="684"/>
      <c r="CE23" s="684"/>
      <c r="CF23" s="684"/>
      <c r="CG23" s="663"/>
      <c r="CH23" s="663"/>
      <c r="CI23" s="663"/>
      <c r="CJ23" s="663"/>
      <c r="CK23" s="663"/>
      <c r="CL23" s="663"/>
      <c r="CM23" s="663"/>
      <c r="CN23" s="663"/>
      <c r="CO23" s="479">
        <f t="shared" si="17"/>
        <v>0</v>
      </c>
      <c r="CP23" s="660">
        <f t="shared" si="18"/>
        <v>0</v>
      </c>
      <c r="CQ23" s="672">
        <v>0</v>
      </c>
      <c r="CR23" s="662">
        <f t="shared" si="55"/>
        <v>1</v>
      </c>
      <c r="CS23" s="672" t="s">
        <v>659</v>
      </c>
      <c r="CT23" s="1862" t="str">
        <f t="shared" si="19"/>
        <v>n/a</v>
      </c>
      <c r="CU23" s="1872"/>
      <c r="CV23" s="1865">
        <f>BH23*Assumptions!D$498</f>
        <v>0</v>
      </c>
      <c r="CW23" s="659">
        <f>BI23*Assumptions!E$498</f>
        <v>0</v>
      </c>
      <c r="CX23" s="659">
        <f>BJ23*Assumptions!F$498</f>
        <v>0</v>
      </c>
      <c r="CY23" s="659">
        <f>BK23*Assumptions!G$498</f>
        <v>0</v>
      </c>
      <c r="CZ23" s="659">
        <f>BL23*Assumptions!H$498</f>
        <v>0</v>
      </c>
      <c r="DA23" s="659">
        <f>BM23*Assumptions!I$498</f>
        <v>0</v>
      </c>
      <c r="DB23" s="659">
        <f>BN23*Assumptions!J$498</f>
        <v>0</v>
      </c>
      <c r="DC23" s="659">
        <f>BO23*Assumptions!K$498</f>
        <v>0</v>
      </c>
      <c r="DD23" s="659">
        <f>BP23*Assumptions!L$498</f>
        <v>0</v>
      </c>
      <c r="DE23" s="659">
        <f>BQ23*Assumptions!M$498</f>
        <v>0</v>
      </c>
      <c r="DF23" s="659">
        <f>BR23*Assumptions!N$498</f>
        <v>0</v>
      </c>
      <c r="DG23" s="659">
        <f>BS23*Assumptions!O$498</f>
        <v>0</v>
      </c>
      <c r="DH23" s="659">
        <f>BT23*Assumptions!P$498</f>
        <v>0</v>
      </c>
      <c r="DI23" s="659">
        <f>BU23*Assumptions!Q$498</f>
        <v>0</v>
      </c>
      <c r="DJ23" s="659">
        <f>BV23*Assumptions!R$498</f>
        <v>0</v>
      </c>
      <c r="DK23" s="680">
        <f t="shared" si="83"/>
        <v>0</v>
      </c>
      <c r="DL23" s="680">
        <f t="shared" si="84"/>
        <v>0</v>
      </c>
      <c r="DM23" s="680">
        <f t="shared" si="85"/>
        <v>0</v>
      </c>
      <c r="DN23" s="680">
        <f t="shared" si="86"/>
        <v>0</v>
      </c>
      <c r="DO23" s="680">
        <f t="shared" si="87"/>
        <v>0</v>
      </c>
      <c r="DP23" s="680">
        <f t="shared" si="88"/>
        <v>0</v>
      </c>
      <c r="DQ23" s="680">
        <f t="shared" si="89"/>
        <v>0</v>
      </c>
      <c r="DR23" s="680">
        <f t="shared" si="90"/>
        <v>0</v>
      </c>
      <c r="DS23" s="680">
        <f t="shared" si="91"/>
        <v>0</v>
      </c>
      <c r="DT23" s="680">
        <f t="shared" si="92"/>
        <v>0</v>
      </c>
      <c r="DU23" s="680">
        <f t="shared" si="81"/>
        <v>0</v>
      </c>
      <c r="DV23" s="680">
        <f t="shared" si="81"/>
        <v>0</v>
      </c>
      <c r="DW23" s="680">
        <f t="shared" si="81"/>
        <v>0</v>
      </c>
      <c r="DX23" s="680">
        <f t="shared" si="81"/>
        <v>0</v>
      </c>
      <c r="DY23" s="680">
        <f t="shared" si="81"/>
        <v>0</v>
      </c>
      <c r="DZ23" s="68">
        <f>Assumptions!M$840</f>
        <v>2.2650602409638555E-2</v>
      </c>
      <c r="EA23" s="661">
        <f t="shared" si="56"/>
        <v>0.97734939759036144</v>
      </c>
      <c r="EB23" s="1861">
        <f t="shared" si="20"/>
        <v>0</v>
      </c>
      <c r="EC23" s="1881"/>
      <c r="ED23" s="1877">
        <v>0</v>
      </c>
      <c r="EE23" s="665">
        <f t="shared" si="21"/>
        <v>0</v>
      </c>
      <c r="EF23" s="665">
        <f t="shared" si="22"/>
        <v>0</v>
      </c>
      <c r="EG23" s="665">
        <f t="shared" si="23"/>
        <v>0</v>
      </c>
      <c r="EH23" s="665">
        <f t="shared" si="24"/>
        <v>0</v>
      </c>
      <c r="EI23" s="665">
        <f t="shared" si="25"/>
        <v>0</v>
      </c>
      <c r="EJ23" s="665">
        <f t="shared" si="26"/>
        <v>0</v>
      </c>
      <c r="EK23" s="665">
        <f t="shared" si="27"/>
        <v>0</v>
      </c>
      <c r="EL23" s="665">
        <f t="shared" si="28"/>
        <v>0</v>
      </c>
      <c r="EM23" s="665">
        <f t="shared" si="29"/>
        <v>0</v>
      </c>
      <c r="EN23" s="665">
        <f t="shared" si="30"/>
        <v>0</v>
      </c>
      <c r="EO23" s="665">
        <f t="shared" si="31"/>
        <v>0</v>
      </c>
      <c r="EP23" s="665">
        <f t="shared" si="32"/>
        <v>0</v>
      </c>
      <c r="EQ23" s="665">
        <f t="shared" si="33"/>
        <v>0</v>
      </c>
      <c r="ER23" s="665">
        <f t="shared" si="34"/>
        <v>0</v>
      </c>
      <c r="ES23" s="665">
        <f t="shared" si="35"/>
        <v>0</v>
      </c>
      <c r="ET23" s="541">
        <f t="shared" si="57"/>
        <v>0</v>
      </c>
      <c r="EU23" s="1450" cm="1">
        <f t="array" ref="EU23">(BH23*SUMPRODUCT($S23:$X23,TRANSPOSE(Assumptions!D$281:D$286)))*0.001</f>
        <v>0</v>
      </c>
      <c r="EV23" s="1450" cm="1">
        <f t="array" ref="EV23">(BI23*SUMPRODUCT($S23:$X23,TRANSPOSE(Assumptions!E$281:E$286)))*0.001</f>
        <v>0</v>
      </c>
      <c r="EW23" s="1450" cm="1">
        <f t="array" ref="EW23">(BJ23*SUMPRODUCT($S23:$X23,TRANSPOSE(Assumptions!F$281:F$286)))*0.001</f>
        <v>0</v>
      </c>
      <c r="EX23" s="1450" cm="1">
        <f t="array" ref="EX23">(BK23*SUMPRODUCT($S23:$X23,TRANSPOSE(Assumptions!G$281:G$286)))*0.001</f>
        <v>0</v>
      </c>
      <c r="EY23" s="1450" cm="1">
        <f t="array" ref="EY23">(BL23*SUMPRODUCT($S23:$X23,TRANSPOSE(Assumptions!H$281:H$286)))*0.001</f>
        <v>0</v>
      </c>
      <c r="EZ23" s="1450" cm="1">
        <f t="array" ref="EZ23">(BM23*SUMPRODUCT($S23:$X23,TRANSPOSE(Assumptions!I$281:I$286)))*0.001</f>
        <v>0</v>
      </c>
      <c r="FA23" s="1450" cm="1">
        <f t="array" ref="FA23">(BN23*SUMPRODUCT($S23:$X23,TRANSPOSE(Assumptions!J$281:J$286)))*0.001</f>
        <v>0</v>
      </c>
      <c r="FB23" s="1450" cm="1">
        <f t="array" ref="FB23">(BO23*SUMPRODUCT($S23:$X23,TRANSPOSE(Assumptions!K$281:K$286)))*0.001</f>
        <v>0</v>
      </c>
      <c r="FC23" s="1450" cm="1">
        <f t="array" ref="FC23">(BP23*SUMPRODUCT($S23:$X23,TRANSPOSE(Assumptions!L$281:L$286)))*0.001</f>
        <v>0</v>
      </c>
      <c r="FD23" s="1450" cm="1">
        <f t="array" ref="FD23">(BQ23*SUMPRODUCT($S23:$X23,TRANSPOSE(Assumptions!M$281:M$286)))*0.001</f>
        <v>0</v>
      </c>
      <c r="FE23" s="1450" cm="1">
        <f t="array" ref="FE23">(BR23*SUMPRODUCT($S23:$X23,TRANSPOSE(Assumptions!N$281:N$286)))*0.001</f>
        <v>0</v>
      </c>
      <c r="FF23" s="1450" cm="1">
        <f t="array" ref="FF23">(BS23*SUMPRODUCT($S23:$X23,TRANSPOSE(Assumptions!O$281:O$286)))*0.001</f>
        <v>0</v>
      </c>
      <c r="FG23" s="1450" cm="1">
        <f t="array" ref="FG23">(BT23*SUMPRODUCT($S23:$X23,TRANSPOSE(Assumptions!P$281:P$286)))*0.001</f>
        <v>0</v>
      </c>
      <c r="FH23" s="1450" cm="1">
        <f t="array" ref="FH23">(BU23*SUMPRODUCT($S23:$X23,TRANSPOSE(Assumptions!Q$281:Q$286)))*0.001</f>
        <v>0</v>
      </c>
      <c r="FI23" s="1450" cm="1">
        <f t="array" ref="FI23">(BV23*SUMPRODUCT($S23:$X23,TRANSPOSE(Assumptions!R$281:R$286)))*0.001</f>
        <v>0</v>
      </c>
      <c r="FJ23" s="666">
        <f t="shared" si="58"/>
        <v>0</v>
      </c>
      <c r="FK23" s="666">
        <f t="shared" si="59"/>
        <v>0</v>
      </c>
      <c r="FL23" s="666">
        <f t="shared" si="60"/>
        <v>0</v>
      </c>
      <c r="FM23" s="666">
        <f t="shared" si="61"/>
        <v>0</v>
      </c>
      <c r="FN23" s="666">
        <f t="shared" si="62"/>
        <v>0</v>
      </c>
      <c r="FO23" s="666">
        <f t="shared" si="63"/>
        <v>0</v>
      </c>
      <c r="FP23" s="666">
        <f t="shared" si="64"/>
        <v>0</v>
      </c>
      <c r="FQ23" s="666">
        <f t="shared" si="65"/>
        <v>0</v>
      </c>
      <c r="FR23" s="666">
        <f t="shared" si="66"/>
        <v>0</v>
      </c>
      <c r="FS23" s="666">
        <f t="shared" si="67"/>
        <v>0</v>
      </c>
      <c r="FT23" s="666">
        <f t="shared" si="68"/>
        <v>0</v>
      </c>
      <c r="FU23" s="666">
        <f t="shared" si="69"/>
        <v>0</v>
      </c>
      <c r="FV23" s="666">
        <f t="shared" si="70"/>
        <v>0</v>
      </c>
      <c r="FW23" s="666">
        <f t="shared" si="71"/>
        <v>0</v>
      </c>
      <c r="FX23" s="1883">
        <f t="shared" si="72"/>
        <v>0</v>
      </c>
      <c r="FY23" s="1895"/>
      <c r="FZ23" s="1889"/>
      <c r="GA23" s="704"/>
      <c r="GB23" s="704"/>
      <c r="GC23" s="704"/>
      <c r="GD23" s="704"/>
      <c r="GE23" s="704"/>
      <c r="GF23" s="704"/>
      <c r="GG23" s="704"/>
      <c r="GH23" s="704"/>
      <c r="GI23" s="704"/>
      <c r="GJ23" s="704"/>
      <c r="GK23" s="704"/>
      <c r="GL23" s="704"/>
      <c r="GM23" s="704"/>
      <c r="GN23" s="1899"/>
      <c r="GO23" s="1910"/>
      <c r="GP23" s="1868">
        <f>BH23*INDEX(Assumptions!G$565:G$570,MATCH($B23,Assumptions!$B$565:$B$570,0))</f>
        <v>0</v>
      </c>
      <c r="GQ23" s="656">
        <f>BI23*INDEX(Assumptions!H$565:H$570,MATCH($B23,Assumptions!$B$565:$B$570,0))</f>
        <v>0</v>
      </c>
      <c r="GR23" s="656">
        <f>BJ23*INDEX(Assumptions!I$565:I$570,MATCH($B23,Assumptions!$B$565:$B$570,0))</f>
        <v>0</v>
      </c>
      <c r="GS23" s="656">
        <f>BK23*INDEX(Assumptions!J$565:J$570,MATCH($B23,Assumptions!$B$565:$B$570,0))</f>
        <v>0</v>
      </c>
      <c r="GT23" s="656">
        <f>BL23*INDEX(Assumptions!K$565:K$570,MATCH($B23,Assumptions!$B$565:$B$570,0))</f>
        <v>0</v>
      </c>
      <c r="GU23" s="656">
        <f>BM23*INDEX(Assumptions!L$565:L$570,MATCH($B23,Assumptions!$B$565:$B$570,0))</f>
        <v>0</v>
      </c>
      <c r="GV23" s="656">
        <f>BN23*INDEX(Assumptions!M$565:M$570,MATCH($B23,Assumptions!$B$565:$B$570,0))</f>
        <v>0</v>
      </c>
      <c r="GW23" s="656">
        <f>BO23*INDEX(Assumptions!N$565:N$570,MATCH($B23,Assumptions!$B$565:$B$570,0))</f>
        <v>0</v>
      </c>
      <c r="GX23" s="656">
        <f>BP23*INDEX(Assumptions!O$565:O$570,MATCH($B23,Assumptions!$B$565:$B$570,0))</f>
        <v>0</v>
      </c>
      <c r="GY23" s="656">
        <f>BQ23*INDEX(Assumptions!P$565:P$570,MATCH($B23,Assumptions!$B$565:$B$570,0))</f>
        <v>0</v>
      </c>
      <c r="GZ23" s="656">
        <f>BR23*INDEX(Assumptions!Q$565:Q$570,MATCH($B23,Assumptions!$B$565:$B$570,0))</f>
        <v>0</v>
      </c>
      <c r="HA23" s="656">
        <f>BS23*INDEX(Assumptions!R$565:R$570,MATCH($B23,Assumptions!$B$565:$B$570,0))</f>
        <v>0</v>
      </c>
      <c r="HB23" s="656">
        <f>BT23*INDEX(Assumptions!S$565:S$570,MATCH($B23,Assumptions!$B$565:$B$570,0))</f>
        <v>0</v>
      </c>
      <c r="HC23" s="656">
        <f>BU23*INDEX(Assumptions!T$565:T$570,MATCH($B23,Assumptions!$B$565:$B$570,0))</f>
        <v>0</v>
      </c>
      <c r="HD23" s="1922">
        <f>BV23*INDEX(Assumptions!U$565:U$570,MATCH($B23,Assumptions!$B$565:$B$570,0))</f>
        <v>0</v>
      </c>
      <c r="HE23" s="1933"/>
      <c r="HF23" s="1927"/>
      <c r="HG23" s="501"/>
      <c r="HH23" s="501"/>
      <c r="HI23" s="501"/>
      <c r="HJ23" s="501"/>
      <c r="HK23" s="501"/>
      <c r="HL23" s="501"/>
      <c r="HM23" s="501"/>
      <c r="HN23" s="501"/>
      <c r="HO23" s="501"/>
      <c r="HP23" s="501"/>
      <c r="HQ23" s="501"/>
      <c r="HR23" s="501"/>
      <c r="HS23" s="501"/>
      <c r="HT23" s="501"/>
      <c r="HU23" s="501"/>
      <c r="HV23" s="656"/>
      <c r="HW23" s="1922"/>
      <c r="HX23" s="1946"/>
      <c r="HY23" s="1940">
        <v>2019</v>
      </c>
      <c r="HZ23" s="14">
        <v>2027</v>
      </c>
      <c r="IA23" s="673"/>
      <c r="IB23" s="673"/>
      <c r="IC23" s="674" t="s">
        <v>578</v>
      </c>
      <c r="ID23" s="1956" t="s">
        <v>660</v>
      </c>
      <c r="IE23" s="1953"/>
      <c r="IF23" s="1960">
        <v>1</v>
      </c>
      <c r="IG23" s="537">
        <v>1</v>
      </c>
      <c r="IH23" s="537">
        <v>1</v>
      </c>
      <c r="II23" s="537">
        <v>1</v>
      </c>
      <c r="IJ23" s="537">
        <v>1</v>
      </c>
      <c r="IK23" s="537">
        <v>1</v>
      </c>
      <c r="IL23" s="537">
        <v>1</v>
      </c>
    </row>
    <row r="24" spans="2:246" ht="13.5" customHeight="1" x14ac:dyDescent="0.3">
      <c r="B24" s="1703" t="s">
        <v>53</v>
      </c>
      <c r="C24" s="2113"/>
      <c r="D24" s="679" t="s">
        <v>661</v>
      </c>
      <c r="E24" s="1778" t="s">
        <v>662</v>
      </c>
      <c r="F24" s="1800"/>
      <c r="G24" s="1792" t="s">
        <v>663</v>
      </c>
      <c r="H24" s="1156" t="s">
        <v>664</v>
      </c>
      <c r="I24" s="1156" t="s">
        <v>665</v>
      </c>
      <c r="J24" s="70" t="s">
        <v>563</v>
      </c>
      <c r="K24" s="71" t="s">
        <v>648</v>
      </c>
      <c r="L24" s="1815" t="s">
        <v>666</v>
      </c>
      <c r="M24" s="1831"/>
      <c r="N24" s="1817"/>
      <c r="O24" s="1177"/>
      <c r="P24" s="1177"/>
      <c r="Q24" s="1178">
        <v>1</v>
      </c>
      <c r="R24" s="1178"/>
      <c r="S24" s="1445" cm="1">
        <f t="array" ref="S24:X24">TRANSPOSE(_xlfn.XLOOKUP(B24,Assumptions!$C$134:$I$134,Assumptions!$C$135:$I$140))</f>
        <v>0.89766686718609423</v>
      </c>
      <c r="T24" s="1445">
        <v>2.0574367766823833E-2</v>
      </c>
      <c r="U24" s="1445">
        <v>0</v>
      </c>
      <c r="V24" s="1445">
        <v>6.4936780001525515E-2</v>
      </c>
      <c r="W24" s="1445">
        <v>0</v>
      </c>
      <c r="X24" s="1445">
        <v>1.6821985045556383E-2</v>
      </c>
      <c r="Y24" s="1179" cm="1">
        <f t="array" ref="Y24:AC24">TRANSPOSE(_xlfn.ANCHORARRAY(Assumptions!$D$698))</f>
        <v>0.46715240825721654</v>
      </c>
      <c r="Z24" s="1179">
        <v>0.10872006700422583</v>
      </c>
      <c r="AA24" s="1179">
        <v>9.7634938252443113E-2</v>
      </c>
      <c r="AB24" s="1179">
        <v>0.23591534859475621</v>
      </c>
      <c r="AC24" s="1179">
        <v>9.057723789135827E-2</v>
      </c>
      <c r="AD24" s="1177"/>
      <c r="AE24" s="1177"/>
      <c r="AF24" s="1177"/>
      <c r="AG24" s="1177"/>
      <c r="AH24" s="1177"/>
      <c r="AI24" s="1177"/>
      <c r="AJ24" s="1177"/>
      <c r="AK24" s="1417">
        <f t="shared" si="53"/>
        <v>0</v>
      </c>
      <c r="AL24" s="1177"/>
      <c r="AM24" s="1177"/>
      <c r="AN24" s="1177"/>
      <c r="AO24" s="1836">
        <f>Assumptions!L$843</f>
        <v>0.12450851900393181</v>
      </c>
      <c r="AP24" s="1849"/>
      <c r="AQ24" s="1837">
        <f t="shared" ref="AQ24:AQ25" si="94">AVERAGE(AR24:BA24)</f>
        <v>0</v>
      </c>
      <c r="AR24" s="680">
        <f>INDEX(Sources!U$11:U$21,MATCH($D24,Sources!$C$11:$C$21,0))</f>
        <v>0</v>
      </c>
      <c r="AS24" s="680">
        <f>INDEX(Sources!V$11:V$21,MATCH($D24,Sources!$C$11:$C$21,0))</f>
        <v>0</v>
      </c>
      <c r="AT24" s="680">
        <f>INDEX(Sources!W$11:W$21,MATCH($D24,Sources!$C$11:$C$21,0))</f>
        <v>0</v>
      </c>
      <c r="AU24" s="680">
        <f>INDEX(Sources!X$11:X$21,MATCH($D24,Sources!$C$11:$C$21,0))</f>
        <v>0</v>
      </c>
      <c r="AV24" s="680">
        <f>INDEX(Sources!Y$11:Y$21,MATCH($D24,Sources!$C$11:$C$21,0))</f>
        <v>0</v>
      </c>
      <c r="AW24" s="680">
        <f>INDEX(Sources!Z$11:Z$21,MATCH($D24,Sources!$C$11:$C$21,0))</f>
        <v>0</v>
      </c>
      <c r="AX24" s="680">
        <f>INDEX(Sources!AA$11:AA$21,MATCH($D24,Sources!$C$11:$C$21,0))</f>
        <v>0</v>
      </c>
      <c r="AY24" s="663"/>
      <c r="AZ24" s="663"/>
      <c r="BA24" s="663"/>
      <c r="BB24" s="663"/>
      <c r="BC24" s="663"/>
      <c r="BD24" s="663"/>
      <c r="BE24" s="663"/>
      <c r="BF24" s="663"/>
      <c r="BG24" s="501">
        <f t="shared" si="54"/>
        <v>0</v>
      </c>
      <c r="BH24" s="657">
        <f t="shared" si="0"/>
        <v>0</v>
      </c>
      <c r="BI24" s="658">
        <f t="shared" si="1"/>
        <v>0</v>
      </c>
      <c r="BJ24" s="658">
        <f t="shared" si="2"/>
        <v>0</v>
      </c>
      <c r="BK24" s="658">
        <f t="shared" si="3"/>
        <v>0</v>
      </c>
      <c r="BL24" s="658">
        <f t="shared" si="4"/>
        <v>0</v>
      </c>
      <c r="BM24" s="658">
        <f t="shared" si="5"/>
        <v>0</v>
      </c>
      <c r="BN24" s="658">
        <f t="shared" si="6"/>
        <v>0</v>
      </c>
      <c r="BO24" s="658">
        <f t="shared" si="7"/>
        <v>0</v>
      </c>
      <c r="BP24" s="658">
        <f t="shared" si="8"/>
        <v>0</v>
      </c>
      <c r="BQ24" s="658">
        <f t="shared" si="9"/>
        <v>0</v>
      </c>
      <c r="BR24" s="658">
        <f t="shared" si="10"/>
        <v>0</v>
      </c>
      <c r="BS24" s="658">
        <f t="shared" si="11"/>
        <v>0</v>
      </c>
      <c r="BT24" s="658">
        <f t="shared" si="12"/>
        <v>0</v>
      </c>
      <c r="BU24" s="658">
        <f t="shared" si="13"/>
        <v>0</v>
      </c>
      <c r="BV24" s="1851">
        <f t="shared" si="14"/>
        <v>0</v>
      </c>
      <c r="BW24" s="1661"/>
      <c r="BX24" s="1855"/>
      <c r="BY24" s="1192" t="str">
        <f t="shared" si="15"/>
        <v/>
      </c>
      <c r="BZ24" s="666">
        <f>INDEX(Sources!$M$11:$M$21,MATCH($D24,Sources!$C$11:$C$21,0))</f>
        <v>0.1</v>
      </c>
      <c r="CA24" s="666">
        <f>INDEX(Sources!$M$11:$M$21,MATCH($D24,Sources!$C$11:$C$21,0))</f>
        <v>0.1</v>
      </c>
      <c r="CB24" s="666">
        <f>INDEX(Sources!$M$11:$M$21,MATCH($D24,Sources!$C$11:$C$21,0))</f>
        <v>0.1</v>
      </c>
      <c r="CC24" s="666">
        <f>INDEX(Sources!$M$11:$M$21,MATCH($D24,Sources!$C$11:$C$21,0))</f>
        <v>0.1</v>
      </c>
      <c r="CD24" s="666">
        <f>INDEX(Sources!$M$11:$M$21,MATCH($D24,Sources!$C$11:$C$21,0))</f>
        <v>0.1</v>
      </c>
      <c r="CE24" s="666">
        <f>INDEX(Sources!$M$11:$M$21,MATCH($D24,Sources!$C$11:$C$21,0))</f>
        <v>0.1</v>
      </c>
      <c r="CF24" s="666">
        <f>INDEX(Sources!$M$11:$M$21,MATCH($D24,Sources!$C$11:$C$21,0))</f>
        <v>0.1</v>
      </c>
      <c r="CG24" s="684"/>
      <c r="CH24" s="684"/>
      <c r="CI24" s="684"/>
      <c r="CJ24" s="684"/>
      <c r="CK24" s="684"/>
      <c r="CL24" s="684"/>
      <c r="CM24" s="684"/>
      <c r="CN24" s="684"/>
      <c r="CO24" s="479">
        <f t="shared" si="17"/>
        <v>0.1</v>
      </c>
      <c r="CP24" s="660">
        <f t="shared" si="18"/>
        <v>0.7</v>
      </c>
      <c r="CQ24" s="681">
        <v>1</v>
      </c>
      <c r="CR24" s="662">
        <f t="shared" si="55"/>
        <v>0</v>
      </c>
      <c r="CS24" s="672"/>
      <c r="CT24" s="1862">
        <f t="shared" si="19"/>
        <v>9.9999999999999992E-2</v>
      </c>
      <c r="CU24" s="1872"/>
      <c r="CV24" s="1865">
        <f>BH24*Assumptions!D$498</f>
        <v>0</v>
      </c>
      <c r="CW24" s="659">
        <f>BI24*Assumptions!E$498</f>
        <v>0</v>
      </c>
      <c r="CX24" s="659">
        <f>BJ24*Assumptions!F$498</f>
        <v>0</v>
      </c>
      <c r="CY24" s="659">
        <f>BK24*Assumptions!G$498</f>
        <v>0</v>
      </c>
      <c r="CZ24" s="659">
        <f>BL24*Assumptions!H$498</f>
        <v>0</v>
      </c>
      <c r="DA24" s="659">
        <f>BM24*Assumptions!I$498</f>
        <v>0</v>
      </c>
      <c r="DB24" s="659">
        <f>BN24*Assumptions!J$498</f>
        <v>0</v>
      </c>
      <c r="DC24" s="659">
        <f>BO24*Assumptions!K$498</f>
        <v>0</v>
      </c>
      <c r="DD24" s="659">
        <f>BP24*Assumptions!L$498</f>
        <v>0</v>
      </c>
      <c r="DE24" s="659">
        <f>BQ24*Assumptions!M$498</f>
        <v>0</v>
      </c>
      <c r="DF24" s="659">
        <f>BR24*Assumptions!N$498</f>
        <v>0</v>
      </c>
      <c r="DG24" s="659">
        <f>BS24*Assumptions!O$498</f>
        <v>0</v>
      </c>
      <c r="DH24" s="659">
        <f>BT24*Assumptions!P$498</f>
        <v>0</v>
      </c>
      <c r="DI24" s="659">
        <f>BU24*Assumptions!Q$498</f>
        <v>0</v>
      </c>
      <c r="DJ24" s="659">
        <f>BV24*Assumptions!R$498</f>
        <v>0</v>
      </c>
      <c r="DK24" s="680">
        <f t="shared" si="83"/>
        <v>0</v>
      </c>
      <c r="DL24" s="680">
        <f t="shared" si="84"/>
        <v>0</v>
      </c>
      <c r="DM24" s="680">
        <f t="shared" si="85"/>
        <v>0</v>
      </c>
      <c r="DN24" s="680">
        <f t="shared" si="86"/>
        <v>0</v>
      </c>
      <c r="DO24" s="680">
        <f t="shared" si="87"/>
        <v>0</v>
      </c>
      <c r="DP24" s="680">
        <f t="shared" si="88"/>
        <v>0</v>
      </c>
      <c r="DQ24" s="680">
        <f t="shared" si="89"/>
        <v>0</v>
      </c>
      <c r="DR24" s="680">
        <f t="shared" si="90"/>
        <v>0</v>
      </c>
      <c r="DS24" s="680">
        <f t="shared" si="91"/>
        <v>0</v>
      </c>
      <c r="DT24" s="680">
        <f t="shared" si="92"/>
        <v>0</v>
      </c>
      <c r="DU24" s="680">
        <f t="shared" si="81"/>
        <v>0</v>
      </c>
      <c r="DV24" s="680">
        <f t="shared" si="81"/>
        <v>0</v>
      </c>
      <c r="DW24" s="680">
        <f t="shared" si="81"/>
        <v>0</v>
      </c>
      <c r="DX24" s="680">
        <f t="shared" si="81"/>
        <v>0</v>
      </c>
      <c r="DY24" s="680">
        <f t="shared" si="81"/>
        <v>0</v>
      </c>
      <c r="DZ24" s="1163">
        <f>Assumptions!L$840</f>
        <v>1.7431192660550453E-2</v>
      </c>
      <c r="EA24" s="661">
        <f t="shared" si="56"/>
        <v>0.98256880733944951</v>
      </c>
      <c r="EB24" s="1861">
        <f t="shared" si="20"/>
        <v>0</v>
      </c>
      <c r="EC24" s="1881"/>
      <c r="ED24" s="1877">
        <v>1</v>
      </c>
      <c r="EE24" s="491"/>
      <c r="EF24" s="491"/>
      <c r="EG24" s="491"/>
      <c r="EH24" s="491"/>
      <c r="EI24" s="491"/>
      <c r="EJ24" s="491"/>
      <c r="EK24" s="491"/>
      <c r="EL24" s="491"/>
      <c r="EM24" s="491"/>
      <c r="EN24" s="491"/>
      <c r="EO24" s="491"/>
      <c r="EP24" s="491"/>
      <c r="EQ24" s="491"/>
      <c r="ER24" s="491"/>
      <c r="ES24" s="491"/>
      <c r="ET24" s="541"/>
      <c r="EU24" s="1450" cm="1">
        <f t="array" ref="EU24">(BH24*SUMPRODUCT($S24:$X24,TRANSPOSE(Assumptions!D$281:D$286)))*0.001</f>
        <v>0</v>
      </c>
      <c r="EV24" s="1450" cm="1">
        <f t="array" ref="EV24">(BI24*SUMPRODUCT($S24:$X24,TRANSPOSE(Assumptions!E$281:E$286)))*0.001</f>
        <v>0</v>
      </c>
      <c r="EW24" s="1450" cm="1">
        <f t="array" ref="EW24">(BJ24*SUMPRODUCT($S24:$X24,TRANSPOSE(Assumptions!F$281:F$286)))*0.001</f>
        <v>0</v>
      </c>
      <c r="EX24" s="1450" cm="1">
        <f t="array" ref="EX24">(BK24*SUMPRODUCT($S24:$X24,TRANSPOSE(Assumptions!G$281:G$286)))*0.001</f>
        <v>0</v>
      </c>
      <c r="EY24" s="1450" cm="1">
        <f t="array" ref="EY24">(BL24*SUMPRODUCT($S24:$X24,TRANSPOSE(Assumptions!H$281:H$286)))*0.001</f>
        <v>0</v>
      </c>
      <c r="EZ24" s="1450" cm="1">
        <f t="array" ref="EZ24">(BM24*SUMPRODUCT($S24:$X24,TRANSPOSE(Assumptions!I$281:I$286)))*0.001</f>
        <v>0</v>
      </c>
      <c r="FA24" s="1450" cm="1">
        <f t="array" ref="FA24">(BN24*SUMPRODUCT($S24:$X24,TRANSPOSE(Assumptions!J$281:J$286)))*0.001</f>
        <v>0</v>
      </c>
      <c r="FB24" s="1450" cm="1">
        <f t="array" ref="FB24">(BO24*SUMPRODUCT($S24:$X24,TRANSPOSE(Assumptions!K$281:K$286)))*0.001</f>
        <v>0</v>
      </c>
      <c r="FC24" s="1450" cm="1">
        <f t="array" ref="FC24">(BP24*SUMPRODUCT($S24:$X24,TRANSPOSE(Assumptions!L$281:L$286)))*0.001</f>
        <v>0</v>
      </c>
      <c r="FD24" s="1450" cm="1">
        <f t="array" ref="FD24">(BQ24*SUMPRODUCT($S24:$X24,TRANSPOSE(Assumptions!M$281:M$286)))*0.001</f>
        <v>0</v>
      </c>
      <c r="FE24" s="1450" cm="1">
        <f t="array" ref="FE24">(BR24*SUMPRODUCT($S24:$X24,TRANSPOSE(Assumptions!N$281:N$286)))*0.001</f>
        <v>0</v>
      </c>
      <c r="FF24" s="1450" cm="1">
        <f t="array" ref="FF24">(BS24*SUMPRODUCT($S24:$X24,TRANSPOSE(Assumptions!O$281:O$286)))*0.001</f>
        <v>0</v>
      </c>
      <c r="FG24" s="1450" cm="1">
        <f t="array" ref="FG24">(BT24*SUMPRODUCT($S24:$X24,TRANSPOSE(Assumptions!P$281:P$286)))*0.001</f>
        <v>0</v>
      </c>
      <c r="FH24" s="1450" cm="1">
        <f t="array" ref="FH24">(BU24*SUMPRODUCT($S24:$X24,TRANSPOSE(Assumptions!Q$281:Q$286)))*0.001</f>
        <v>0</v>
      </c>
      <c r="FI24" s="1450" cm="1">
        <f t="array" ref="FI24">(BV24*SUMPRODUCT($S24:$X24,TRANSPOSE(Assumptions!R$281:R$286)))*0.001</f>
        <v>0</v>
      </c>
      <c r="FJ24" s="666">
        <f t="shared" si="58"/>
        <v>0</v>
      </c>
      <c r="FK24" s="666">
        <f t="shared" si="59"/>
        <v>0</v>
      </c>
      <c r="FL24" s="666">
        <f t="shared" si="60"/>
        <v>0</v>
      </c>
      <c r="FM24" s="666">
        <f t="shared" si="61"/>
        <v>0</v>
      </c>
      <c r="FN24" s="666">
        <f t="shared" si="62"/>
        <v>0</v>
      </c>
      <c r="FO24" s="666">
        <f t="shared" si="63"/>
        <v>0</v>
      </c>
      <c r="FP24" s="666">
        <f t="shared" si="64"/>
        <v>0</v>
      </c>
      <c r="FQ24" s="666">
        <f t="shared" si="65"/>
        <v>0</v>
      </c>
      <c r="FR24" s="666">
        <f t="shared" si="66"/>
        <v>0</v>
      </c>
      <c r="FS24" s="666">
        <f t="shared" si="67"/>
        <v>0</v>
      </c>
      <c r="FT24" s="666">
        <f t="shared" ref="FT24:FT40" si="95">EO24-FE24</f>
        <v>0</v>
      </c>
      <c r="FU24" s="666">
        <f t="shared" ref="FU24:FU40" si="96">EP24-FF24</f>
        <v>0</v>
      </c>
      <c r="FV24" s="666">
        <f t="shared" ref="FV24:FV40" si="97">EQ24-FG24</f>
        <v>0</v>
      </c>
      <c r="FW24" s="666">
        <f t="shared" ref="FW24:FW40" si="98">ER24-FH24</f>
        <v>0</v>
      </c>
      <c r="FX24" s="1883">
        <f t="shared" ref="FX24:FX40" si="99">ES24-FI24</f>
        <v>0</v>
      </c>
      <c r="FY24" s="1895"/>
      <c r="FZ24" s="1889"/>
      <c r="GA24" s="704"/>
      <c r="GB24" s="704"/>
      <c r="GC24" s="704"/>
      <c r="GD24" s="704"/>
      <c r="GE24" s="704"/>
      <c r="GF24" s="704"/>
      <c r="GG24" s="704"/>
      <c r="GH24" s="704"/>
      <c r="GI24" s="704"/>
      <c r="GJ24" s="704"/>
      <c r="GK24" s="704"/>
      <c r="GL24" s="704"/>
      <c r="GM24" s="704"/>
      <c r="GN24" s="1899"/>
      <c r="GO24" s="1910"/>
      <c r="GP24" s="1868">
        <f>BH24*INDEX(Assumptions!G$565:G$570,MATCH($B24,Assumptions!$B$565:$B$570,0))</f>
        <v>0</v>
      </c>
      <c r="GQ24" s="656">
        <f>BI24*INDEX(Assumptions!H$565:H$570,MATCH($B24,Assumptions!$B$565:$B$570,0))</f>
        <v>0</v>
      </c>
      <c r="GR24" s="656">
        <f>BJ24*INDEX(Assumptions!I$565:I$570,MATCH($B24,Assumptions!$B$565:$B$570,0))</f>
        <v>0</v>
      </c>
      <c r="GS24" s="656">
        <f>BK24*INDEX(Assumptions!J$565:J$570,MATCH($B24,Assumptions!$B$565:$B$570,0))</f>
        <v>0</v>
      </c>
      <c r="GT24" s="656">
        <f>BL24*INDEX(Assumptions!K$565:K$570,MATCH($B24,Assumptions!$B$565:$B$570,0))</f>
        <v>0</v>
      </c>
      <c r="GU24" s="656">
        <f>BM24*INDEX(Assumptions!L$565:L$570,MATCH($B24,Assumptions!$B$565:$B$570,0))</f>
        <v>0</v>
      </c>
      <c r="GV24" s="656">
        <f>BN24*INDEX(Assumptions!M$565:M$570,MATCH($B24,Assumptions!$B$565:$B$570,0))</f>
        <v>0</v>
      </c>
      <c r="GW24" s="656">
        <f>BO24*INDEX(Assumptions!N$565:N$570,MATCH($B24,Assumptions!$B$565:$B$570,0))</f>
        <v>0</v>
      </c>
      <c r="GX24" s="656">
        <f>BP24*INDEX(Assumptions!O$565:O$570,MATCH($B24,Assumptions!$B$565:$B$570,0))</f>
        <v>0</v>
      </c>
      <c r="GY24" s="656">
        <f>BQ24*INDEX(Assumptions!P$565:P$570,MATCH($B24,Assumptions!$B$565:$B$570,0))</f>
        <v>0</v>
      </c>
      <c r="GZ24" s="656">
        <f>BR24*INDEX(Assumptions!Q$565:Q$570,MATCH($B24,Assumptions!$B$565:$B$570,0))</f>
        <v>0</v>
      </c>
      <c r="HA24" s="656">
        <f>BS24*INDEX(Assumptions!R$565:R$570,MATCH($B24,Assumptions!$B$565:$B$570,0))</f>
        <v>0</v>
      </c>
      <c r="HB24" s="656">
        <f>BT24*INDEX(Assumptions!S$565:S$570,MATCH($B24,Assumptions!$B$565:$B$570,0))</f>
        <v>0</v>
      </c>
      <c r="HC24" s="656">
        <f>BU24*INDEX(Assumptions!T$565:T$570,MATCH($B24,Assumptions!$B$565:$B$570,0))</f>
        <v>0</v>
      </c>
      <c r="HD24" s="1922">
        <f>BV24*INDEX(Assumptions!U$565:U$570,MATCH($B24,Assumptions!$B$565:$B$570,0))</f>
        <v>0</v>
      </c>
      <c r="HE24" s="1933"/>
      <c r="HF24" s="1927"/>
      <c r="HG24" s="501"/>
      <c r="HH24" s="501"/>
      <c r="HI24" s="501"/>
      <c r="HJ24" s="501"/>
      <c r="HK24" s="501"/>
      <c r="HL24" s="501"/>
      <c r="HM24" s="501"/>
      <c r="HN24" s="501"/>
      <c r="HO24" s="501"/>
      <c r="HP24" s="501"/>
      <c r="HQ24" s="501"/>
      <c r="HR24" s="501"/>
      <c r="HS24" s="501"/>
      <c r="HT24" s="501"/>
      <c r="HU24" s="501"/>
      <c r="HV24" s="656"/>
      <c r="HW24" s="1922"/>
      <c r="HX24" s="1946"/>
      <c r="HY24" s="1940">
        <v>2018</v>
      </c>
      <c r="HZ24" s="14">
        <v>2027</v>
      </c>
      <c r="IA24" s="673"/>
      <c r="IB24" s="673"/>
      <c r="IC24" s="674" t="s">
        <v>567</v>
      </c>
      <c r="ID24" s="1956"/>
      <c r="IE24" s="1953"/>
      <c r="IF24" s="1960">
        <v>1</v>
      </c>
      <c r="IG24" s="537">
        <v>1</v>
      </c>
      <c r="IH24" s="537">
        <v>1</v>
      </c>
      <c r="II24" s="537">
        <v>1</v>
      </c>
      <c r="IJ24" s="537">
        <v>1</v>
      </c>
      <c r="IK24" s="537">
        <v>1</v>
      </c>
      <c r="IL24" s="537">
        <v>1</v>
      </c>
    </row>
    <row r="25" spans="2:246" ht="13.5" customHeight="1" x14ac:dyDescent="0.3">
      <c r="B25" s="1703" t="s">
        <v>53</v>
      </c>
      <c r="C25" s="2117"/>
      <c r="D25" s="679" t="s">
        <v>667</v>
      </c>
      <c r="E25" s="1778" t="s">
        <v>668</v>
      </c>
      <c r="F25" s="1800"/>
      <c r="G25" s="1792" t="s">
        <v>669</v>
      </c>
      <c r="H25" s="1156" t="s">
        <v>670</v>
      </c>
      <c r="I25" s="1156" t="s">
        <v>671</v>
      </c>
      <c r="J25" s="70" t="s">
        <v>563</v>
      </c>
      <c r="K25" s="71" t="s">
        <v>564</v>
      </c>
      <c r="L25" s="2043" t="s">
        <v>565</v>
      </c>
      <c r="M25" s="1827"/>
      <c r="N25" s="1817"/>
      <c r="O25" s="1177"/>
      <c r="P25" s="1177"/>
      <c r="Q25" s="1178">
        <v>1</v>
      </c>
      <c r="R25" s="1178"/>
      <c r="S25" s="1445">
        <v>1</v>
      </c>
      <c r="T25" s="1445"/>
      <c r="U25" s="1445"/>
      <c r="V25" s="1445"/>
      <c r="W25" s="1445"/>
      <c r="X25" s="1445"/>
      <c r="Y25" s="1179" cm="1">
        <f t="array" ref="Y25:AC25">TRANSPOSE(_xlfn.ANCHORARRAY(Assumptions!$D$698))</f>
        <v>0.46715240825721654</v>
      </c>
      <c r="Z25" s="1179">
        <v>0.10872006700422583</v>
      </c>
      <c r="AA25" s="1179">
        <v>9.7634938252443113E-2</v>
      </c>
      <c r="AB25" s="1179">
        <v>0.23591534859475621</v>
      </c>
      <c r="AC25" s="1179">
        <v>9.057723789135827E-2</v>
      </c>
      <c r="AD25" s="1177"/>
      <c r="AE25" s="1177"/>
      <c r="AF25" s="1177"/>
      <c r="AG25" s="1177"/>
      <c r="AH25" s="1177"/>
      <c r="AI25" s="1177"/>
      <c r="AJ25" s="1177"/>
      <c r="AK25" s="1417">
        <f t="shared" si="53"/>
        <v>0</v>
      </c>
      <c r="AL25" s="1177"/>
      <c r="AM25" s="1177"/>
      <c r="AN25" s="1177"/>
      <c r="AO25" s="1834">
        <v>0.5</v>
      </c>
      <c r="AP25" s="1847"/>
      <c r="AQ25" s="1837">
        <f t="shared" si="94"/>
        <v>0.83811428571428581</v>
      </c>
      <c r="AR25" s="656">
        <f>_xlfn.XLOOKUP($D25,'KLIM 2021-30'!$C$4:$C$40,'KLIM 2021-30'!T$4:T$40)</f>
        <v>0</v>
      </c>
      <c r="AS25" s="656">
        <f>_xlfn.XLOOKUP($D25,'KLIM 2021-30'!$C$4:$C$40,'KLIM 2021-30'!U$4:U$40)</f>
        <v>0</v>
      </c>
      <c r="AT25" s="656">
        <f>_xlfn.XLOOKUP($D25,'KLIM 2021-30'!$C$4:$C$40,'KLIM 2021-30'!V$4:V$40)</f>
        <v>5.8668000000000005</v>
      </c>
      <c r="AU25" s="656">
        <f>_xlfn.XLOOKUP($D25,'KLIM 2021-30'!$C$4:$C$40,'KLIM 2021-30'!W$4:W$40)</f>
        <v>0</v>
      </c>
      <c r="AV25" s="656">
        <f>_xlfn.XLOOKUP($D25,'KLIM 2021-30'!$C$4:$C$40,'KLIM 2021-30'!X$4:X$40)</f>
        <v>0</v>
      </c>
      <c r="AW25" s="656">
        <f>_xlfn.XLOOKUP($D25,'KLIM 2021-30'!$C$4:$C$40,'KLIM 2021-30'!Y$4:Y$40)</f>
        <v>0</v>
      </c>
      <c r="AX25" s="656">
        <f>_xlfn.XLOOKUP($D25,'KLIM 2021-30'!$C$4:$C$40,'KLIM 2021-30'!Z$4:Z$40)</f>
        <v>0</v>
      </c>
      <c r="AY25" s="663"/>
      <c r="AZ25" s="663"/>
      <c r="BA25" s="663"/>
      <c r="BB25" s="663"/>
      <c r="BC25" s="663"/>
      <c r="BD25" s="663"/>
      <c r="BE25" s="663"/>
      <c r="BF25" s="663"/>
      <c r="BG25" s="501">
        <f t="shared" si="54"/>
        <v>0</v>
      </c>
      <c r="BH25" s="657">
        <f t="shared" si="0"/>
        <v>0</v>
      </c>
      <c r="BI25" s="658">
        <f t="shared" si="1"/>
        <v>0</v>
      </c>
      <c r="BJ25" s="658">
        <f t="shared" si="2"/>
        <v>5.8668000000000005</v>
      </c>
      <c r="BK25" s="658">
        <f t="shared" si="3"/>
        <v>5.8668000000000005</v>
      </c>
      <c r="BL25" s="658">
        <f t="shared" si="4"/>
        <v>5.8668000000000005</v>
      </c>
      <c r="BM25" s="658">
        <f t="shared" si="5"/>
        <v>5.8668000000000005</v>
      </c>
      <c r="BN25" s="658">
        <f t="shared" si="6"/>
        <v>5.8668000000000005</v>
      </c>
      <c r="BO25" s="658">
        <f t="shared" si="7"/>
        <v>5.8668000000000005</v>
      </c>
      <c r="BP25" s="658">
        <f t="shared" si="8"/>
        <v>5.8668000000000005</v>
      </c>
      <c r="BQ25" s="658">
        <f t="shared" si="9"/>
        <v>5.8668000000000005</v>
      </c>
      <c r="BR25" s="658">
        <f t="shared" si="10"/>
        <v>5.8668000000000005</v>
      </c>
      <c r="BS25" s="658">
        <f t="shared" si="11"/>
        <v>5.8668000000000005</v>
      </c>
      <c r="BT25" s="658">
        <f t="shared" si="12"/>
        <v>5.8668000000000005</v>
      </c>
      <c r="BU25" s="658">
        <f t="shared" si="13"/>
        <v>5.8668000000000005</v>
      </c>
      <c r="BV25" s="1851">
        <f t="shared" si="14"/>
        <v>5.8668000000000005</v>
      </c>
      <c r="BW25" s="1661"/>
      <c r="BX25" s="1855" t="s">
        <v>606</v>
      </c>
      <c r="BY25" s="1192">
        <f t="shared" si="15"/>
        <v>1491.4433762869025</v>
      </c>
      <c r="BZ25" s="659">
        <v>0.75</v>
      </c>
      <c r="CA25" s="659"/>
      <c r="CB25" s="659">
        <v>8</v>
      </c>
      <c r="CC25" s="659"/>
      <c r="CD25" s="659"/>
      <c r="CE25" s="659"/>
      <c r="CF25" s="659"/>
      <c r="CG25" s="660"/>
      <c r="CH25" s="660"/>
      <c r="CI25" s="660"/>
      <c r="CJ25" s="660"/>
      <c r="CK25" s="660"/>
      <c r="CL25" s="660"/>
      <c r="CM25" s="660"/>
      <c r="CN25" s="660"/>
      <c r="CO25" s="479">
        <f t="shared" si="17"/>
        <v>0</v>
      </c>
      <c r="CP25" s="660">
        <f t="shared" si="18"/>
        <v>8.75</v>
      </c>
      <c r="CQ25" s="661">
        <f>INDEX(Sources!BJ$27:BJ$42,MATCH($D25,Sources!$E$27:$E$42,0))</f>
        <v>1</v>
      </c>
      <c r="CR25" s="662">
        <f t="shared" si="55"/>
        <v>0</v>
      </c>
      <c r="CS25" s="672" t="s">
        <v>598</v>
      </c>
      <c r="CT25" s="1862">
        <f t="shared" si="19"/>
        <v>4.375</v>
      </c>
      <c r="CU25" s="1872"/>
      <c r="CV25" s="1865">
        <f>BH25*Assumptions!D$498</f>
        <v>0</v>
      </c>
      <c r="CW25" s="659">
        <f>BI25*Assumptions!E$498</f>
        <v>0</v>
      </c>
      <c r="CX25" s="659">
        <f>BJ25*Assumptions!F$498</f>
        <v>0.54475680380979097</v>
      </c>
      <c r="CY25" s="659">
        <f>BK25*Assumptions!G$498</f>
        <v>0.58490081534843685</v>
      </c>
      <c r="CZ25" s="659">
        <f>BL25*Assumptions!H$498</f>
        <v>0.61008431203987779</v>
      </c>
      <c r="DA25" s="659">
        <f>BM25*Assumptions!I$498</f>
        <v>0.62041873113451806</v>
      </c>
      <c r="DB25" s="659">
        <f>BN25*Assumptions!J$498</f>
        <v>0.63111603904872882</v>
      </c>
      <c r="DC25" s="659">
        <f>BO25*Assumptions!K$498</f>
        <v>0.64218334349900541</v>
      </c>
      <c r="DD25" s="659">
        <f>BP25*Assumptions!L$498</f>
        <v>0.65362802452100921</v>
      </c>
      <c r="DE25" s="659">
        <f>BQ25*Assumptions!M$498</f>
        <v>0.6654577390489298</v>
      </c>
      <c r="DF25" s="659">
        <f>BR25*Assumptions!N$498</f>
        <v>0.67790640722133444</v>
      </c>
      <c r="DG25" s="659">
        <f>BS25*Assumptions!O$498</f>
        <v>0.69072853543891144</v>
      </c>
      <c r="DH25" s="659">
        <f>BT25*Assumptions!P$498</f>
        <v>0.70393532750301546</v>
      </c>
      <c r="DI25" s="659">
        <f>BU25*Assumptions!Q$498</f>
        <v>0.71753832332904299</v>
      </c>
      <c r="DJ25" s="659">
        <f>BV25*Assumptions!R$498</f>
        <v>0.73154940902985099</v>
      </c>
      <c r="DK25" s="680">
        <f t="shared" si="83"/>
        <v>0</v>
      </c>
      <c r="DL25" s="680">
        <f t="shared" si="84"/>
        <v>0</v>
      </c>
      <c r="DM25" s="680">
        <f t="shared" si="85"/>
        <v>0.54475680380979097</v>
      </c>
      <c r="DN25" s="680">
        <f t="shared" si="86"/>
        <v>0.58490081534843685</v>
      </c>
      <c r="DO25" s="680">
        <f t="shared" si="87"/>
        <v>0.61008431203987779</v>
      </c>
      <c r="DP25" s="680">
        <f t="shared" si="88"/>
        <v>0.62041873113451806</v>
      </c>
      <c r="DQ25" s="680">
        <f t="shared" si="89"/>
        <v>0.63111603904872882</v>
      </c>
      <c r="DR25" s="680">
        <f t="shared" si="90"/>
        <v>0.64218334349900541</v>
      </c>
      <c r="DS25" s="680">
        <f t="shared" si="91"/>
        <v>0.65362802452100921</v>
      </c>
      <c r="DT25" s="680">
        <f t="shared" si="92"/>
        <v>0.6654577390489298</v>
      </c>
      <c r="DU25" s="680">
        <f t="shared" si="81"/>
        <v>0.67790640722133444</v>
      </c>
      <c r="DV25" s="680">
        <f t="shared" si="81"/>
        <v>0.69072853543891144</v>
      </c>
      <c r="DW25" s="680">
        <f t="shared" si="81"/>
        <v>0.70393532750301546</v>
      </c>
      <c r="DX25" s="680">
        <f t="shared" si="81"/>
        <v>0.71753832332904299</v>
      </c>
      <c r="DY25" s="680">
        <f t="shared" si="81"/>
        <v>0.73154940902985099</v>
      </c>
      <c r="DZ25" s="678">
        <v>0</v>
      </c>
      <c r="EA25" s="661">
        <f t="shared" si="56"/>
        <v>1</v>
      </c>
      <c r="EB25" s="1861">
        <f t="shared" si="20"/>
        <v>0.49525458084502966</v>
      </c>
      <c r="EC25" s="1881"/>
      <c r="ED25" s="1877">
        <v>0</v>
      </c>
      <c r="EE25" s="665">
        <f t="shared" ref="EE25:ES27" si="100">(BZ25*0.32*$CR25)</f>
        <v>0</v>
      </c>
      <c r="EF25" s="665">
        <f t="shared" si="100"/>
        <v>0</v>
      </c>
      <c r="EG25" s="665">
        <f t="shared" si="100"/>
        <v>0</v>
      </c>
      <c r="EH25" s="665">
        <f t="shared" si="100"/>
        <v>0</v>
      </c>
      <c r="EI25" s="665">
        <f t="shared" si="100"/>
        <v>0</v>
      </c>
      <c r="EJ25" s="665">
        <f t="shared" si="100"/>
        <v>0</v>
      </c>
      <c r="EK25" s="665">
        <f t="shared" si="100"/>
        <v>0</v>
      </c>
      <c r="EL25" s="665">
        <f t="shared" si="100"/>
        <v>0</v>
      </c>
      <c r="EM25" s="665">
        <f t="shared" si="100"/>
        <v>0</v>
      </c>
      <c r="EN25" s="665">
        <f t="shared" si="100"/>
        <v>0</v>
      </c>
      <c r="EO25" s="665">
        <f t="shared" si="100"/>
        <v>0</v>
      </c>
      <c r="EP25" s="665">
        <f t="shared" si="100"/>
        <v>0</v>
      </c>
      <c r="EQ25" s="665">
        <f t="shared" si="100"/>
        <v>0</v>
      </c>
      <c r="ER25" s="665">
        <f t="shared" si="100"/>
        <v>0</v>
      </c>
      <c r="ES25" s="665">
        <f t="shared" si="100"/>
        <v>0</v>
      </c>
      <c r="ET25" s="541">
        <f t="shared" si="57"/>
        <v>0</v>
      </c>
      <c r="EU25" s="1450" cm="1">
        <f t="array" ref="EU25">(BH25*SUMPRODUCT($S25:$X25,TRANSPOSE(Assumptions!D$281:D$286)))*0.001</f>
        <v>0</v>
      </c>
      <c r="EV25" s="1450" cm="1">
        <f t="array" ref="EV25">(BI25*SUMPRODUCT($S25:$X25,TRANSPOSE(Assumptions!E$281:E$286)))*0.001</f>
        <v>0</v>
      </c>
      <c r="EW25" s="1450" cm="1">
        <f t="array" ref="EW25">(BJ25*SUMPRODUCT($S25:$X25,TRANSPOSE(Assumptions!F$281:F$286)))*0.001</f>
        <v>0.23116504581809322</v>
      </c>
      <c r="EX25" s="1450" cm="1">
        <f t="array" ref="EX25">(BK25*SUMPRODUCT($S25:$X25,TRANSPOSE(Assumptions!G$281:G$286)))*0.001</f>
        <v>0.26429899110913185</v>
      </c>
      <c r="EY25" s="1450" cm="1">
        <f t="array" ref="EY25">(BL25*SUMPRODUCT($S25:$X25,TRANSPOSE(Assumptions!H$281:H$286)))*0.001</f>
        <v>0.28086596375465117</v>
      </c>
      <c r="EZ25" s="1450" cm="1">
        <f t="array" ref="EZ25">(BM25*SUMPRODUCT($S25:$X25,TRANSPOSE(Assumptions!I$281:I$286)))*0.001</f>
        <v>0.28086596375465117</v>
      </c>
      <c r="FA25" s="1450" cm="1">
        <f t="array" ref="FA25">(BN25*SUMPRODUCT($S25:$X25,TRANSPOSE(Assumptions!J$281:J$286)))*0.001</f>
        <v>0.28086596375465117</v>
      </c>
      <c r="FB25" s="1450" cm="1">
        <f t="array" ref="FB25">(BO25*SUMPRODUCT($S25:$X25,TRANSPOSE(Assumptions!K$281:K$286)))*0.001</f>
        <v>0.28086596375465117</v>
      </c>
      <c r="FC25" s="1450" cm="1">
        <f t="array" ref="FC25">(BP25*SUMPRODUCT($S25:$X25,TRANSPOSE(Assumptions!L$281:L$286)))*0.001</f>
        <v>0.28086596375465117</v>
      </c>
      <c r="FD25" s="1450" cm="1">
        <f t="array" ref="FD25">(BQ25*SUMPRODUCT($S25:$X25,TRANSPOSE(Assumptions!M$281:M$286)))*0.001</f>
        <v>0.28086596375465117</v>
      </c>
      <c r="FE25" s="1450" cm="1">
        <f t="array" ref="FE25">(BR25*SUMPRODUCT($S25:$X25,TRANSPOSE(Assumptions!N$281:N$286)))*0.001</f>
        <v>0.28086596375465117</v>
      </c>
      <c r="FF25" s="1450" cm="1">
        <f t="array" ref="FF25">(BS25*SUMPRODUCT($S25:$X25,TRANSPOSE(Assumptions!O$281:O$286)))*0.001</f>
        <v>0.28086596375465117</v>
      </c>
      <c r="FG25" s="1450" cm="1">
        <f t="array" ref="FG25">(BT25*SUMPRODUCT($S25:$X25,TRANSPOSE(Assumptions!P$281:P$286)))*0.001</f>
        <v>0.28086596375465117</v>
      </c>
      <c r="FH25" s="1450" cm="1">
        <f t="array" ref="FH25">(BU25*SUMPRODUCT($S25:$X25,TRANSPOSE(Assumptions!Q$281:Q$286)))*0.001</f>
        <v>0.28086596375465117</v>
      </c>
      <c r="FI25" s="1450" cm="1">
        <f t="array" ref="FI25">(BV25*SUMPRODUCT($S25:$X25,TRANSPOSE(Assumptions!R$281:R$286)))*0.001</f>
        <v>0.28086596375465117</v>
      </c>
      <c r="FJ25" s="666">
        <f t="shared" si="58"/>
        <v>0</v>
      </c>
      <c r="FK25" s="666">
        <f t="shared" si="59"/>
        <v>0</v>
      </c>
      <c r="FL25" s="666">
        <f t="shared" si="60"/>
        <v>-0.23116504581809322</v>
      </c>
      <c r="FM25" s="666">
        <f t="shared" si="61"/>
        <v>-0.26429899110913185</v>
      </c>
      <c r="FN25" s="666">
        <f t="shared" si="62"/>
        <v>-0.28086596375465117</v>
      </c>
      <c r="FO25" s="666">
        <f t="shared" si="63"/>
        <v>-0.28086596375465117</v>
      </c>
      <c r="FP25" s="666">
        <f t="shared" si="64"/>
        <v>-0.28086596375465117</v>
      </c>
      <c r="FQ25" s="666">
        <f t="shared" si="65"/>
        <v>-0.28086596375465117</v>
      </c>
      <c r="FR25" s="666">
        <f t="shared" si="66"/>
        <v>-0.28086596375465117</v>
      </c>
      <c r="FS25" s="666">
        <f t="shared" si="67"/>
        <v>-0.28086596375465117</v>
      </c>
      <c r="FT25" s="666">
        <f t="shared" si="95"/>
        <v>-0.28086596375465117</v>
      </c>
      <c r="FU25" s="666">
        <f t="shared" si="96"/>
        <v>-0.28086596375465117</v>
      </c>
      <c r="FV25" s="666">
        <f t="shared" si="97"/>
        <v>-0.28086596375465117</v>
      </c>
      <c r="FW25" s="666">
        <f t="shared" si="98"/>
        <v>-0.28086596375465117</v>
      </c>
      <c r="FX25" s="1883">
        <f t="shared" si="99"/>
        <v>-0.28086596375465117</v>
      </c>
      <c r="FY25" s="1895"/>
      <c r="FZ25" s="1888">
        <f>CV25*Admin!$H$15</f>
        <v>0</v>
      </c>
      <c r="GA25" s="665">
        <f>CW25*Admin!$H$15</f>
        <v>0</v>
      </c>
      <c r="GB25" s="665">
        <f>CX25*Admin!$H$15</f>
        <v>-8.5853672280423048</v>
      </c>
      <c r="GC25" s="665">
        <f>CY25*Admin!$H$15</f>
        <v>-9.2180368498913641</v>
      </c>
      <c r="GD25" s="665">
        <f>CZ25*Admin!$H$15</f>
        <v>-9.6149287577484746</v>
      </c>
      <c r="GE25" s="665">
        <f>DA25*Admin!$H$15</f>
        <v>-9.7777992026800042</v>
      </c>
      <c r="GF25" s="665">
        <f>DB25*Admin!$H$15</f>
        <v>-9.9463887754079661</v>
      </c>
      <c r="GG25" s="665">
        <f>DC25*Admin!$H$15</f>
        <v>-10.120809493544325</v>
      </c>
      <c r="GH25" s="665">
        <f>DD25*Admin!$H$15</f>
        <v>-10.301177666451105</v>
      </c>
      <c r="GI25" s="665">
        <f>DE25*Admin!$H$15</f>
        <v>-10.487613967411134</v>
      </c>
      <c r="GJ25" s="665">
        <f>DF25*Admin!$H$15</f>
        <v>-10.683804977808231</v>
      </c>
      <c r="GK25" s="665">
        <f>DG25*Admin!$H$15</f>
        <v>-10.885881718517243</v>
      </c>
      <c r="GL25" s="665">
        <f>DH25*Admin!$H$15</f>
        <v>-11.094020761447524</v>
      </c>
      <c r="GM25" s="665">
        <f>DI25*Admin!$H$15</f>
        <v>-11.308403975665717</v>
      </c>
      <c r="GN25" s="1898">
        <f>DJ25*Admin!$H$15</f>
        <v>-11.529218686310452</v>
      </c>
      <c r="GO25" s="1911"/>
      <c r="GP25" s="1868">
        <f>BH25*INDEX(Assumptions!G$565:G$570,MATCH($B25,Assumptions!$B$565:$B$570,0))</f>
        <v>0</v>
      </c>
      <c r="GQ25" s="656">
        <f>BI25*INDEX(Assumptions!H$565:H$570,MATCH($B25,Assumptions!$B$565:$B$570,0))</f>
        <v>0</v>
      </c>
      <c r="GR25" s="656">
        <f>BJ25*INDEX(Assumptions!I$565:I$570,MATCH($B25,Assumptions!$B$565:$B$570,0))</f>
        <v>1.6143645908084716</v>
      </c>
      <c r="GS25" s="656">
        <f>BK25*INDEX(Assumptions!J$565:J$570,MATCH($B25,Assumptions!$B$565:$B$570,0))</f>
        <v>1.621347286350602</v>
      </c>
      <c r="GT25" s="656">
        <f>BL25*INDEX(Assumptions!K$565:K$570,MATCH($B25,Assumptions!$B$565:$B$570,0))</f>
        <v>1.6265238280750447</v>
      </c>
      <c r="GU25" s="656">
        <f>BM25*INDEX(Assumptions!L$565:L$570,MATCH($B25,Assumptions!$B$565:$B$570,0))</f>
        <v>1.6300396614134305</v>
      </c>
      <c r="GV25" s="656">
        <f>BN25*INDEX(Assumptions!M$565:M$570,MATCH($B25,Assumptions!$B$565:$B$570,0))</f>
        <v>1.6320351112696059</v>
      </c>
      <c r="GW25" s="656">
        <f>BO25*INDEX(Assumptions!N$565:N$570,MATCH($B25,Assumptions!$B$565:$B$570,0))</f>
        <v>1.632645573479061</v>
      </c>
      <c r="GX25" s="656">
        <f>BP25*INDEX(Assumptions!O$565:O$570,MATCH($B25,Assumptions!$B$565:$B$570,0))</f>
        <v>1.6320016994982434</v>
      </c>
      <c r="GY25" s="656">
        <f>BQ25*INDEX(Assumptions!P$565:P$570,MATCH($B25,Assumptions!$B$565:$B$570,0))</f>
        <v>1.6248177532617987</v>
      </c>
      <c r="GZ25" s="656">
        <f>BR25*INDEX(Assumptions!Q$565:Q$570,MATCH($B25,Assumptions!$B$565:$B$570,0))</f>
        <v>1.5428204608883052</v>
      </c>
      <c r="HA25" s="656">
        <f>BS25*INDEX(Assumptions!R$565:R$570,MATCH($B25,Assumptions!$B$565:$B$570,0))</f>
        <v>1.6789359662283043</v>
      </c>
      <c r="HB25" s="656">
        <f>BT25*INDEX(Assumptions!S$565:S$570,MATCH($B25,Assumptions!$B$565:$B$570,0))</f>
        <v>1.6789359662283043</v>
      </c>
      <c r="HC25" s="656">
        <f>BU25*INDEX(Assumptions!T$565:T$570,MATCH($B25,Assumptions!$B$565:$B$570,0))</f>
        <v>1.673524144931654</v>
      </c>
      <c r="HD25" s="1922">
        <f>BV25*INDEX(Assumptions!U$565:U$570,MATCH($B25,Assumptions!$B$565:$B$570,0))</f>
        <v>1.6681123236350033</v>
      </c>
      <c r="HE25" s="1933"/>
      <c r="HF25" s="1927"/>
      <c r="HG25" s="501"/>
      <c r="HH25" s="501"/>
      <c r="HI25" s="501"/>
      <c r="HJ25" s="501"/>
      <c r="HK25" s="501"/>
      <c r="HL25" s="501"/>
      <c r="HM25" s="501"/>
      <c r="HN25" s="501"/>
      <c r="HO25" s="501"/>
      <c r="HP25" s="501"/>
      <c r="HQ25" s="501"/>
      <c r="HR25" s="501"/>
      <c r="HS25" s="501"/>
      <c r="HT25" s="501"/>
      <c r="HU25" s="501"/>
      <c r="HV25" s="656"/>
      <c r="HW25" s="1922"/>
      <c r="HX25" s="1946"/>
      <c r="HY25" s="1940">
        <v>2019</v>
      </c>
      <c r="HZ25" s="14">
        <v>2027</v>
      </c>
      <c r="IA25" s="673"/>
      <c r="IB25" s="673"/>
      <c r="IC25" s="674" t="s">
        <v>567</v>
      </c>
      <c r="ID25" s="1956"/>
      <c r="IE25" s="1953"/>
      <c r="IF25" s="1960">
        <v>1</v>
      </c>
      <c r="IG25" s="537">
        <v>1</v>
      </c>
      <c r="IH25" s="537">
        <v>1</v>
      </c>
      <c r="II25" s="537">
        <v>1</v>
      </c>
      <c r="IJ25" s="537">
        <v>1</v>
      </c>
      <c r="IK25" s="537">
        <v>1</v>
      </c>
      <c r="IL25" s="537">
        <v>1</v>
      </c>
    </row>
    <row r="26" spans="2:246" ht="13.5" customHeight="1" x14ac:dyDescent="0.3">
      <c r="B26" s="1703" t="s">
        <v>54</v>
      </c>
      <c r="C26" s="2112" t="s">
        <v>535</v>
      </c>
      <c r="D26" s="679" t="s">
        <v>672</v>
      </c>
      <c r="E26" s="1778" t="s">
        <v>673</v>
      </c>
      <c r="F26" s="1800"/>
      <c r="G26" s="1792"/>
      <c r="H26" s="1156"/>
      <c r="I26" s="1156"/>
      <c r="J26" s="70"/>
      <c r="K26" s="71" t="s">
        <v>564</v>
      </c>
      <c r="L26" s="1814" t="s">
        <v>624</v>
      </c>
      <c r="M26" s="1830"/>
      <c r="N26" s="1817"/>
      <c r="O26" s="1177"/>
      <c r="P26" s="1177"/>
      <c r="Q26" s="1177"/>
      <c r="R26" s="1178">
        <v>1</v>
      </c>
      <c r="S26" s="1445" cm="1">
        <f t="array" ref="S26:X26">TRANSPOSE(_xlfn.XLOOKUP(B26,Assumptions!$C$134:$I$134,Assumptions!$C$135:$I$140))</f>
        <v>0.75525651808242222</v>
      </c>
      <c r="T26" s="1445">
        <v>3.4763106251752177E-2</v>
      </c>
      <c r="U26" s="1445">
        <v>3.3641715727502097E-3</v>
      </c>
      <c r="V26" s="1445">
        <v>2.9436501261564336E-2</v>
      </c>
      <c r="W26" s="1445">
        <v>1.9624334174376225E-2</v>
      </c>
      <c r="X26" s="1445">
        <v>0.15755536865713485</v>
      </c>
      <c r="Y26" s="1183" cm="1">
        <f t="array" ref="Y26:AC26">TRANSPOSE(_xlfn.ANCHORARRAY(Assumptions!$E$698))</f>
        <v>6.6969983920146997E-2</v>
      </c>
      <c r="Z26" s="1183">
        <v>0.22051716973331675</v>
      </c>
      <c r="AA26" s="1183">
        <v>3.5302344810288558E-2</v>
      </c>
      <c r="AB26" s="1183">
        <v>0.4111989321192141</v>
      </c>
      <c r="AC26" s="1183">
        <v>0.26601156941703358</v>
      </c>
      <c r="AD26" s="1177"/>
      <c r="AE26" s="1177"/>
      <c r="AF26" s="1177"/>
      <c r="AG26" s="1177"/>
      <c r="AH26" s="1177"/>
      <c r="AI26" s="1177"/>
      <c r="AJ26" s="1177"/>
      <c r="AK26" s="1417">
        <f t="shared" si="53"/>
        <v>0</v>
      </c>
      <c r="AL26" s="1177"/>
      <c r="AM26" s="1177"/>
      <c r="AN26" s="1177"/>
      <c r="AO26" s="1221"/>
      <c r="AP26" s="1846"/>
      <c r="AQ26" s="1838">
        <f>'MKM 2014-20'!U14</f>
        <v>6.8418613333333163</v>
      </c>
      <c r="AR26" s="675">
        <f>_xlfn.XLOOKUP($D26,'MKM 2014-20'!$C$4:$C$28,'MKM 2014-20'!N$4:N$28)</f>
        <v>0</v>
      </c>
      <c r="AS26" s="675">
        <f>_xlfn.XLOOKUP($D26,'MKM 2014-20'!$C$4:$C$28,'MKM 2014-20'!O$4:O$28)</f>
        <v>0</v>
      </c>
      <c r="AT26" s="675">
        <f>_xlfn.XLOOKUP($D26,'MKM 2014-20'!$C$4:$C$28,'MKM 2014-20'!P$4:P$28)</f>
        <v>0</v>
      </c>
      <c r="AU26" s="675">
        <f>_xlfn.XLOOKUP($D26,'MKM 2014-20'!$C$4:$C$28,'MKM 2014-20'!Q$4:Q$28)</f>
        <v>0</v>
      </c>
      <c r="AV26" s="675">
        <f>_xlfn.XLOOKUP($D26,'MKM 2014-20'!$C$4:$C$28,'MKM 2014-20'!R$4:R$28)</f>
        <v>0</v>
      </c>
      <c r="AW26" s="675">
        <f>_xlfn.XLOOKUP($D26,'MKM 2014-20'!$C$4:$C$28,'MKM 2014-20'!S$4:S$28)</f>
        <v>0</v>
      </c>
      <c r="AX26" s="675">
        <f>_xlfn.XLOOKUP($D26,'MKM 2014-20'!$C$4:$C$28,'MKM 2014-20'!T$4:T$28)</f>
        <v>0</v>
      </c>
      <c r="AY26" s="663"/>
      <c r="AZ26" s="663"/>
      <c r="BA26" s="663"/>
      <c r="BB26" s="663"/>
      <c r="BC26" s="663"/>
      <c r="BD26" s="663"/>
      <c r="BE26" s="663"/>
      <c r="BF26" s="663"/>
      <c r="BG26" s="501">
        <f t="shared" si="54"/>
        <v>0</v>
      </c>
      <c r="BH26" s="657">
        <f t="shared" si="0"/>
        <v>0</v>
      </c>
      <c r="BI26" s="658">
        <f t="shared" si="1"/>
        <v>0</v>
      </c>
      <c r="BJ26" s="658">
        <f t="shared" si="2"/>
        <v>0</v>
      </c>
      <c r="BK26" s="658">
        <f t="shared" si="3"/>
        <v>0</v>
      </c>
      <c r="BL26" s="658">
        <f t="shared" si="4"/>
        <v>0</v>
      </c>
      <c r="BM26" s="658">
        <f t="shared" si="5"/>
        <v>0</v>
      </c>
      <c r="BN26" s="658">
        <f t="shared" si="6"/>
        <v>0</v>
      </c>
      <c r="BO26" s="658">
        <f t="shared" si="7"/>
        <v>0</v>
      </c>
      <c r="BP26" s="658">
        <f t="shared" si="8"/>
        <v>0</v>
      </c>
      <c r="BQ26" s="658">
        <f t="shared" si="9"/>
        <v>0</v>
      </c>
      <c r="BR26" s="658">
        <f t="shared" si="10"/>
        <v>0</v>
      </c>
      <c r="BS26" s="658">
        <f t="shared" si="11"/>
        <v>0</v>
      </c>
      <c r="BT26" s="658">
        <f t="shared" si="12"/>
        <v>0</v>
      </c>
      <c r="BU26" s="658">
        <f t="shared" si="13"/>
        <v>0</v>
      </c>
      <c r="BV26" s="1851">
        <f t="shared" si="14"/>
        <v>0</v>
      </c>
      <c r="BW26" s="1661"/>
      <c r="BX26" s="1855">
        <v>0</v>
      </c>
      <c r="BY26" s="1192" t="str">
        <f t="shared" si="15"/>
        <v/>
      </c>
      <c r="BZ26" s="684"/>
      <c r="CA26" s="684"/>
      <c r="CB26" s="684"/>
      <c r="CC26" s="684"/>
      <c r="CD26" s="684"/>
      <c r="CE26" s="684"/>
      <c r="CF26" s="684"/>
      <c r="CG26" s="663"/>
      <c r="CH26" s="663"/>
      <c r="CI26" s="663"/>
      <c r="CJ26" s="663"/>
      <c r="CK26" s="663"/>
      <c r="CL26" s="663"/>
      <c r="CM26" s="663"/>
      <c r="CN26" s="663"/>
      <c r="CO26" s="479">
        <f t="shared" si="17"/>
        <v>0</v>
      </c>
      <c r="CP26" s="660">
        <f t="shared" si="18"/>
        <v>0</v>
      </c>
      <c r="CQ26" s="672"/>
      <c r="CR26" s="662">
        <f t="shared" si="55"/>
        <v>1</v>
      </c>
      <c r="CS26" s="672"/>
      <c r="CT26" s="1862" t="str">
        <f t="shared" si="19"/>
        <v>n/a</v>
      </c>
      <c r="CU26" s="1872"/>
      <c r="CV26" s="1867">
        <f>BH26*Assumptions!D$499</f>
        <v>0</v>
      </c>
      <c r="CW26" s="680">
        <f>BI26*Assumptions!E$499</f>
        <v>0</v>
      </c>
      <c r="CX26" s="680">
        <f>BJ26*Assumptions!F$499</f>
        <v>0</v>
      </c>
      <c r="CY26" s="680">
        <f>BK26*Assumptions!G$499</f>
        <v>0</v>
      </c>
      <c r="CZ26" s="680">
        <f>BL26*Assumptions!H$499</f>
        <v>0</v>
      </c>
      <c r="DA26" s="680">
        <f>BM26*Assumptions!I$499</f>
        <v>0</v>
      </c>
      <c r="DB26" s="680">
        <f>BN26*Assumptions!J$499</f>
        <v>0</v>
      </c>
      <c r="DC26" s="680">
        <f>BO26*Assumptions!K$499</f>
        <v>0</v>
      </c>
      <c r="DD26" s="680">
        <f>BP26*Assumptions!L$499</f>
        <v>0</v>
      </c>
      <c r="DE26" s="680">
        <f>BQ26*Assumptions!M$499</f>
        <v>0</v>
      </c>
      <c r="DF26" s="680">
        <f>BR26*Assumptions!N$499</f>
        <v>0</v>
      </c>
      <c r="DG26" s="680">
        <f>BS26*Assumptions!O$499</f>
        <v>0</v>
      </c>
      <c r="DH26" s="680">
        <f>BT26*Assumptions!P$499</f>
        <v>0</v>
      </c>
      <c r="DI26" s="680">
        <f>BU26*Assumptions!Q$499</f>
        <v>0</v>
      </c>
      <c r="DJ26" s="680">
        <f>BV26*Assumptions!R$499</f>
        <v>0</v>
      </c>
      <c r="DK26" s="680">
        <f t="shared" si="83"/>
        <v>0</v>
      </c>
      <c r="DL26" s="680">
        <f t="shared" si="84"/>
        <v>0</v>
      </c>
      <c r="DM26" s="680">
        <f t="shared" si="85"/>
        <v>0</v>
      </c>
      <c r="DN26" s="680">
        <f t="shared" si="86"/>
        <v>0</v>
      </c>
      <c r="DO26" s="680">
        <f t="shared" si="87"/>
        <v>0</v>
      </c>
      <c r="DP26" s="680">
        <f t="shared" si="88"/>
        <v>0</v>
      </c>
      <c r="DQ26" s="680">
        <f t="shared" si="89"/>
        <v>0</v>
      </c>
      <c r="DR26" s="680">
        <f t="shared" si="90"/>
        <v>0</v>
      </c>
      <c r="DS26" s="680">
        <f t="shared" si="91"/>
        <v>0</v>
      </c>
      <c r="DT26" s="680">
        <f t="shared" si="92"/>
        <v>0</v>
      </c>
      <c r="DU26" s="680">
        <f t="shared" si="81"/>
        <v>0</v>
      </c>
      <c r="DV26" s="680">
        <f t="shared" si="81"/>
        <v>0</v>
      </c>
      <c r="DW26" s="680">
        <f t="shared" si="81"/>
        <v>0</v>
      </c>
      <c r="DX26" s="680">
        <f t="shared" si="81"/>
        <v>0</v>
      </c>
      <c r="DY26" s="680">
        <f t="shared" si="81"/>
        <v>0</v>
      </c>
      <c r="DZ26" s="678">
        <v>0</v>
      </c>
      <c r="EA26" s="661">
        <f t="shared" si="56"/>
        <v>1</v>
      </c>
      <c r="EB26" s="1861">
        <f t="shared" si="20"/>
        <v>0</v>
      </c>
      <c r="EC26" s="1881"/>
      <c r="ED26" s="1877">
        <v>0</v>
      </c>
      <c r="EE26" s="665">
        <f t="shared" si="100"/>
        <v>0</v>
      </c>
      <c r="EF26" s="665">
        <f t="shared" si="100"/>
        <v>0</v>
      </c>
      <c r="EG26" s="665">
        <f t="shared" si="100"/>
        <v>0</v>
      </c>
      <c r="EH26" s="665">
        <f t="shared" si="100"/>
        <v>0</v>
      </c>
      <c r="EI26" s="665">
        <f t="shared" si="100"/>
        <v>0</v>
      </c>
      <c r="EJ26" s="665">
        <f t="shared" si="100"/>
        <v>0</v>
      </c>
      <c r="EK26" s="665">
        <f t="shared" si="100"/>
        <v>0</v>
      </c>
      <c r="EL26" s="665">
        <f t="shared" si="100"/>
        <v>0</v>
      </c>
      <c r="EM26" s="665">
        <f t="shared" si="100"/>
        <v>0</v>
      </c>
      <c r="EN26" s="665">
        <f t="shared" si="100"/>
        <v>0</v>
      </c>
      <c r="EO26" s="665">
        <f t="shared" si="100"/>
        <v>0</v>
      </c>
      <c r="EP26" s="665">
        <f t="shared" si="100"/>
        <v>0</v>
      </c>
      <c r="EQ26" s="665">
        <f t="shared" si="100"/>
        <v>0</v>
      </c>
      <c r="ER26" s="665">
        <f t="shared" si="100"/>
        <v>0</v>
      </c>
      <c r="ES26" s="665">
        <f t="shared" si="100"/>
        <v>0</v>
      </c>
      <c r="ET26" s="541">
        <f t="shared" si="57"/>
        <v>0</v>
      </c>
      <c r="EU26" s="1450" cm="1">
        <f t="array" ref="EU26">(BH26*SUMPRODUCT($S26:$X26,TRANSPOSE(Assumptions!D$281:D$286)))*0.001</f>
        <v>0</v>
      </c>
      <c r="EV26" s="1450" cm="1">
        <f t="array" ref="EV26">(BI26*SUMPRODUCT($S26:$X26,TRANSPOSE(Assumptions!E$281:E$286)))*0.001</f>
        <v>0</v>
      </c>
      <c r="EW26" s="1450" cm="1">
        <f t="array" ref="EW26">(BJ26*SUMPRODUCT($S26:$X26,TRANSPOSE(Assumptions!F$281:F$286)))*0.001</f>
        <v>0</v>
      </c>
      <c r="EX26" s="1450" cm="1">
        <f t="array" ref="EX26">(BK26*SUMPRODUCT($S26:$X26,TRANSPOSE(Assumptions!G$281:G$286)))*0.001</f>
        <v>0</v>
      </c>
      <c r="EY26" s="1450" cm="1">
        <f t="array" ref="EY26">(BL26*SUMPRODUCT($S26:$X26,TRANSPOSE(Assumptions!H$281:H$286)))*0.001</f>
        <v>0</v>
      </c>
      <c r="EZ26" s="1450" cm="1">
        <f t="array" ref="EZ26">(BM26*SUMPRODUCT($S26:$X26,TRANSPOSE(Assumptions!I$281:I$286)))*0.001</f>
        <v>0</v>
      </c>
      <c r="FA26" s="1450" cm="1">
        <f t="array" ref="FA26">(BN26*SUMPRODUCT($S26:$X26,TRANSPOSE(Assumptions!J$281:J$286)))*0.001</f>
        <v>0</v>
      </c>
      <c r="FB26" s="1450" cm="1">
        <f t="array" ref="FB26">(BO26*SUMPRODUCT($S26:$X26,TRANSPOSE(Assumptions!K$281:K$286)))*0.001</f>
        <v>0</v>
      </c>
      <c r="FC26" s="1450" cm="1">
        <f t="array" ref="FC26">(BP26*SUMPRODUCT($S26:$X26,TRANSPOSE(Assumptions!L$281:L$286)))*0.001</f>
        <v>0</v>
      </c>
      <c r="FD26" s="1450" cm="1">
        <f t="array" ref="FD26">(BQ26*SUMPRODUCT($S26:$X26,TRANSPOSE(Assumptions!M$281:M$286)))*0.001</f>
        <v>0</v>
      </c>
      <c r="FE26" s="1450" cm="1">
        <f t="array" ref="FE26">(BR26*SUMPRODUCT($S26:$X26,TRANSPOSE(Assumptions!N$281:N$286)))*0.001</f>
        <v>0</v>
      </c>
      <c r="FF26" s="1450" cm="1">
        <f t="array" ref="FF26">(BS26*SUMPRODUCT($S26:$X26,TRANSPOSE(Assumptions!O$281:O$286)))*0.001</f>
        <v>0</v>
      </c>
      <c r="FG26" s="1450" cm="1">
        <f t="array" ref="FG26">(BT26*SUMPRODUCT($S26:$X26,TRANSPOSE(Assumptions!P$281:P$286)))*0.001</f>
        <v>0</v>
      </c>
      <c r="FH26" s="1450" cm="1">
        <f t="array" ref="FH26">(BU26*SUMPRODUCT($S26:$X26,TRANSPOSE(Assumptions!Q$281:Q$286)))*0.001</f>
        <v>0</v>
      </c>
      <c r="FI26" s="1450" cm="1">
        <f t="array" ref="FI26">(BV26*SUMPRODUCT($S26:$X26,TRANSPOSE(Assumptions!R$281:R$286)))*0.001</f>
        <v>0</v>
      </c>
      <c r="FJ26" s="666">
        <f t="shared" si="58"/>
        <v>0</v>
      </c>
      <c r="FK26" s="666">
        <f t="shared" si="59"/>
        <v>0</v>
      </c>
      <c r="FL26" s="666">
        <f t="shared" si="60"/>
        <v>0</v>
      </c>
      <c r="FM26" s="666">
        <f t="shared" si="61"/>
        <v>0</v>
      </c>
      <c r="FN26" s="666">
        <f t="shared" si="62"/>
        <v>0</v>
      </c>
      <c r="FO26" s="666">
        <f t="shared" si="63"/>
        <v>0</v>
      </c>
      <c r="FP26" s="666">
        <f t="shared" si="64"/>
        <v>0</v>
      </c>
      <c r="FQ26" s="666">
        <f t="shared" si="65"/>
        <v>0</v>
      </c>
      <c r="FR26" s="666">
        <f t="shared" si="66"/>
        <v>0</v>
      </c>
      <c r="FS26" s="666">
        <f t="shared" si="67"/>
        <v>0</v>
      </c>
      <c r="FT26" s="666">
        <f t="shared" si="95"/>
        <v>0</v>
      </c>
      <c r="FU26" s="666">
        <f t="shared" si="96"/>
        <v>0</v>
      </c>
      <c r="FV26" s="666">
        <f t="shared" si="97"/>
        <v>0</v>
      </c>
      <c r="FW26" s="666">
        <f t="shared" si="98"/>
        <v>0</v>
      </c>
      <c r="FX26" s="1883">
        <f t="shared" si="99"/>
        <v>0</v>
      </c>
      <c r="FY26" s="1895"/>
      <c r="FZ26" s="1889"/>
      <c r="GA26" s="704"/>
      <c r="GB26" s="704"/>
      <c r="GC26" s="704"/>
      <c r="GD26" s="704"/>
      <c r="GE26" s="704"/>
      <c r="GF26" s="704"/>
      <c r="GG26" s="704"/>
      <c r="GH26" s="704"/>
      <c r="GI26" s="704"/>
      <c r="GJ26" s="704"/>
      <c r="GK26" s="704"/>
      <c r="GL26" s="704"/>
      <c r="GM26" s="704"/>
      <c r="GN26" s="1899"/>
      <c r="GO26" s="1910"/>
      <c r="GP26" s="1868">
        <f>BH26*INDEX(Assumptions!G$565:G$570,MATCH($B26,Assumptions!$B$565:$B$570,0))</f>
        <v>0</v>
      </c>
      <c r="GQ26" s="656">
        <f>BI26*INDEX(Assumptions!H$565:H$570,MATCH($B26,Assumptions!$B$565:$B$570,0))</f>
        <v>0</v>
      </c>
      <c r="GR26" s="656">
        <f>BJ26*INDEX(Assumptions!I$565:I$570,MATCH($B26,Assumptions!$B$565:$B$570,0))</f>
        <v>0</v>
      </c>
      <c r="GS26" s="656">
        <f>BK26*INDEX(Assumptions!J$565:J$570,MATCH($B26,Assumptions!$B$565:$B$570,0))</f>
        <v>0</v>
      </c>
      <c r="GT26" s="656">
        <f>BL26*INDEX(Assumptions!K$565:K$570,MATCH($B26,Assumptions!$B$565:$B$570,0))</f>
        <v>0</v>
      </c>
      <c r="GU26" s="656">
        <f>BM26*INDEX(Assumptions!L$565:L$570,MATCH($B26,Assumptions!$B$565:$B$570,0))</f>
        <v>0</v>
      </c>
      <c r="GV26" s="656">
        <f>BN26*INDEX(Assumptions!M$565:M$570,MATCH($B26,Assumptions!$B$565:$B$570,0))</f>
        <v>0</v>
      </c>
      <c r="GW26" s="656">
        <f>BO26*INDEX(Assumptions!N$565:N$570,MATCH($B26,Assumptions!$B$565:$B$570,0))</f>
        <v>0</v>
      </c>
      <c r="GX26" s="656">
        <f>BP26*INDEX(Assumptions!O$565:O$570,MATCH($B26,Assumptions!$B$565:$B$570,0))</f>
        <v>0</v>
      </c>
      <c r="GY26" s="656">
        <f>BQ26*INDEX(Assumptions!P$565:P$570,MATCH($B26,Assumptions!$B$565:$B$570,0))</f>
        <v>0</v>
      </c>
      <c r="GZ26" s="656">
        <f>BR26*INDEX(Assumptions!Q$565:Q$570,MATCH($B26,Assumptions!$B$565:$B$570,0))</f>
        <v>0</v>
      </c>
      <c r="HA26" s="656">
        <f>BS26*INDEX(Assumptions!R$565:R$570,MATCH($B26,Assumptions!$B$565:$B$570,0))</f>
        <v>0</v>
      </c>
      <c r="HB26" s="656">
        <f>BT26*INDEX(Assumptions!S$565:S$570,MATCH($B26,Assumptions!$B$565:$B$570,0))</f>
        <v>0</v>
      </c>
      <c r="HC26" s="656">
        <f>BU26*INDEX(Assumptions!T$565:T$570,MATCH($B26,Assumptions!$B$565:$B$570,0))</f>
        <v>0</v>
      </c>
      <c r="HD26" s="1922">
        <f>BV26*INDEX(Assumptions!U$565:U$570,MATCH($B26,Assumptions!$B$565:$B$570,0))</f>
        <v>0</v>
      </c>
      <c r="HE26" s="1933"/>
      <c r="HF26" s="1927"/>
      <c r="HG26" s="501"/>
      <c r="HH26" s="501"/>
      <c r="HI26" s="501"/>
      <c r="HJ26" s="501"/>
      <c r="HK26" s="501"/>
      <c r="HL26" s="501"/>
      <c r="HM26" s="501"/>
      <c r="HN26" s="501"/>
      <c r="HO26" s="501"/>
      <c r="HP26" s="501"/>
      <c r="HQ26" s="501"/>
      <c r="HR26" s="501"/>
      <c r="HS26" s="501"/>
      <c r="HT26" s="501"/>
      <c r="HU26" s="501"/>
      <c r="HV26" s="656"/>
      <c r="HW26" s="1922"/>
      <c r="HX26" s="1946"/>
      <c r="HY26" s="1940">
        <v>2017</v>
      </c>
      <c r="HZ26" s="14">
        <v>2027</v>
      </c>
      <c r="IA26" s="673"/>
      <c r="IB26" s="673"/>
      <c r="IC26" s="674" t="s">
        <v>590</v>
      </c>
      <c r="ID26" s="1956" t="s">
        <v>674</v>
      </c>
      <c r="IE26" s="1953"/>
      <c r="IF26" s="1960">
        <v>1</v>
      </c>
      <c r="IG26" s="537">
        <v>1</v>
      </c>
      <c r="IH26" s="537">
        <v>1</v>
      </c>
      <c r="II26" s="537">
        <v>1</v>
      </c>
      <c r="IJ26" s="537">
        <v>1</v>
      </c>
      <c r="IK26" s="537">
        <v>1</v>
      </c>
      <c r="IL26" s="537">
        <v>1</v>
      </c>
    </row>
    <row r="27" spans="2:246" ht="13.5" customHeight="1" x14ac:dyDescent="0.3">
      <c r="B27" s="1703" t="s">
        <v>54</v>
      </c>
      <c r="C27" s="2117"/>
      <c r="D27" s="679" t="s">
        <v>675</v>
      </c>
      <c r="E27" s="1778" t="s">
        <v>676</v>
      </c>
      <c r="F27" s="1800"/>
      <c r="G27" s="1792"/>
      <c r="H27" s="1156"/>
      <c r="I27" s="1156"/>
      <c r="J27" s="70"/>
      <c r="K27" s="71" t="s">
        <v>564</v>
      </c>
      <c r="L27" s="1814" t="s">
        <v>624</v>
      </c>
      <c r="M27" s="1830"/>
      <c r="N27" s="1817"/>
      <c r="O27" s="1177"/>
      <c r="P27" s="1177"/>
      <c r="Q27" s="1177"/>
      <c r="R27" s="1178">
        <v>1</v>
      </c>
      <c r="S27" s="1445">
        <v>1</v>
      </c>
      <c r="T27" s="1445"/>
      <c r="U27" s="1445"/>
      <c r="V27" s="1445"/>
      <c r="W27" s="1445"/>
      <c r="X27" s="1445"/>
      <c r="Y27" s="1183" cm="1">
        <f t="array" ref="Y27:AC27">TRANSPOSE(_xlfn.ANCHORARRAY(Assumptions!$E$698))</f>
        <v>6.6969983920146997E-2</v>
      </c>
      <c r="Z27" s="1183">
        <v>0.22051716973331675</v>
      </c>
      <c r="AA27" s="1183">
        <v>3.5302344810288558E-2</v>
      </c>
      <c r="AB27" s="1183">
        <v>0.4111989321192141</v>
      </c>
      <c r="AC27" s="1183">
        <v>0.26601156941703358</v>
      </c>
      <c r="AD27" s="1177"/>
      <c r="AE27" s="1177"/>
      <c r="AF27" s="1177"/>
      <c r="AG27" s="1177"/>
      <c r="AH27" s="1177"/>
      <c r="AI27" s="1177"/>
      <c r="AJ27" s="1177"/>
      <c r="AK27" s="1417">
        <f t="shared" si="53"/>
        <v>0</v>
      </c>
      <c r="AL27" s="1177"/>
      <c r="AM27" s="1177"/>
      <c r="AN27" s="1177"/>
      <c r="AO27" s="1221"/>
      <c r="AP27" s="1846"/>
      <c r="AQ27" s="1838">
        <f>'MKM 2014-20'!U15</f>
        <v>6.2730499999999911E-2</v>
      </c>
      <c r="AR27" s="675">
        <f>_xlfn.XLOOKUP($D27,'MKM 2014-20'!$C$4:$C$28,'MKM 2014-20'!N$4:N$28)</f>
        <v>0.18819149999999973</v>
      </c>
      <c r="AS27" s="675">
        <f>_xlfn.XLOOKUP($D27,'MKM 2014-20'!$C$4:$C$28,'MKM 2014-20'!O$4:O$28)</f>
        <v>0</v>
      </c>
      <c r="AT27" s="675">
        <f>_xlfn.XLOOKUP($D27,'MKM 2014-20'!$C$4:$C$28,'MKM 2014-20'!P$4:P$28)</f>
        <v>0</v>
      </c>
      <c r="AU27" s="675">
        <f>_xlfn.XLOOKUP($D27,'MKM 2014-20'!$C$4:$C$28,'MKM 2014-20'!Q$4:Q$28)</f>
        <v>0</v>
      </c>
      <c r="AV27" s="675">
        <f>_xlfn.XLOOKUP($D27,'MKM 2014-20'!$C$4:$C$28,'MKM 2014-20'!R$4:R$28)</f>
        <v>0</v>
      </c>
      <c r="AW27" s="675">
        <f>_xlfn.XLOOKUP($D27,'MKM 2014-20'!$C$4:$C$28,'MKM 2014-20'!S$4:S$28)</f>
        <v>0</v>
      </c>
      <c r="AX27" s="675">
        <f>_xlfn.XLOOKUP($D27,'MKM 2014-20'!$C$4:$C$28,'MKM 2014-20'!T$4:T$28)</f>
        <v>0</v>
      </c>
      <c r="AY27" s="663"/>
      <c r="AZ27" s="663"/>
      <c r="BA27" s="663"/>
      <c r="BB27" s="663"/>
      <c r="BC27" s="663"/>
      <c r="BD27" s="663"/>
      <c r="BE27" s="663"/>
      <c r="BF27" s="663"/>
      <c r="BG27" s="501">
        <f t="shared" si="54"/>
        <v>0</v>
      </c>
      <c r="BH27" s="657">
        <f t="shared" si="0"/>
        <v>0.18819149999999973</v>
      </c>
      <c r="BI27" s="658">
        <f t="shared" si="1"/>
        <v>0.18819149999999973</v>
      </c>
      <c r="BJ27" s="658">
        <f t="shared" si="2"/>
        <v>0.18819149999999973</v>
      </c>
      <c r="BK27" s="658">
        <f t="shared" si="3"/>
        <v>0.18819149999999973</v>
      </c>
      <c r="BL27" s="658">
        <f t="shared" si="4"/>
        <v>0.18819149999999973</v>
      </c>
      <c r="BM27" s="658">
        <f t="shared" si="5"/>
        <v>0.18819149999999973</v>
      </c>
      <c r="BN27" s="658">
        <f t="shared" si="6"/>
        <v>0.18819149999999973</v>
      </c>
      <c r="BO27" s="658">
        <f t="shared" si="7"/>
        <v>0.18819149999999973</v>
      </c>
      <c r="BP27" s="658">
        <f t="shared" si="8"/>
        <v>0.18819149999999973</v>
      </c>
      <c r="BQ27" s="658">
        <f t="shared" si="9"/>
        <v>0.18819149999999973</v>
      </c>
      <c r="BR27" s="658">
        <f t="shared" si="10"/>
        <v>0.18819149999999973</v>
      </c>
      <c r="BS27" s="658">
        <f t="shared" si="11"/>
        <v>0.18819149999999973</v>
      </c>
      <c r="BT27" s="658">
        <f t="shared" si="12"/>
        <v>0.18819149999999973</v>
      </c>
      <c r="BU27" s="658">
        <f t="shared" si="13"/>
        <v>0.18819149999999973</v>
      </c>
      <c r="BV27" s="1851">
        <f t="shared" si="14"/>
        <v>0.18819149999999973</v>
      </c>
      <c r="BW27" s="1661"/>
      <c r="BX27" s="1855"/>
      <c r="BY27" s="1192">
        <f t="shared" si="15"/>
        <v>0</v>
      </c>
      <c r="BZ27" s="676">
        <f>('MKM 2014-20'!N15/SUM('MKM 2014-20'!L15:N15))*'MKM 2014-20'!X15</f>
        <v>0</v>
      </c>
      <c r="CA27" s="684"/>
      <c r="CB27" s="684"/>
      <c r="CC27" s="684"/>
      <c r="CD27" s="684"/>
      <c r="CE27" s="684"/>
      <c r="CF27" s="684"/>
      <c r="CG27" s="663"/>
      <c r="CH27" s="663"/>
      <c r="CI27" s="663"/>
      <c r="CJ27" s="663"/>
      <c r="CK27" s="663"/>
      <c r="CL27" s="663"/>
      <c r="CM27" s="663"/>
      <c r="CN27" s="663"/>
      <c r="CO27" s="479">
        <f t="shared" ref="CO27:CO33" si="101">IFERROR(AVERAGE(CC27:CN27),0)</f>
        <v>0</v>
      </c>
      <c r="CP27" s="660">
        <f t="shared" si="18"/>
        <v>0</v>
      </c>
      <c r="CQ27" s="672"/>
      <c r="CR27" s="662">
        <f t="shared" si="55"/>
        <v>1</v>
      </c>
      <c r="CS27" s="672"/>
      <c r="CT27" s="1862">
        <f t="shared" si="19"/>
        <v>0</v>
      </c>
      <c r="CU27" s="1872"/>
      <c r="CV27" s="1867">
        <f>BH27*Assumptions!D$499</f>
        <v>1.6476918414212106E-2</v>
      </c>
      <c r="CW27" s="680">
        <f>BI27*Assumptions!E$499</f>
        <v>1.6801189453824628E-2</v>
      </c>
      <c r="CX27" s="680">
        <f>BJ27*Assumptions!F$499</f>
        <v>1.7135188624625534E-2</v>
      </c>
      <c r="CY27" s="680">
        <f>BK27*Assumptions!G$499</f>
        <v>1.8372400735729322E-2</v>
      </c>
      <c r="CZ27" s="680">
        <f>BL27*Assumptions!H$499</f>
        <v>1.9173467983250786E-2</v>
      </c>
      <c r="DA27" s="680">
        <f>BM27*Assumptions!I$499</f>
        <v>1.9538437895162547E-2</v>
      </c>
      <c r="DB27" s="680">
        <f>BN27*Assumptions!J$499</f>
        <v>1.9914356904431656E-2</v>
      </c>
      <c r="DC27" s="680">
        <f>BO27*Assumptions!K$499</f>
        <v>2.030155348397884E-2</v>
      </c>
      <c r="DD27" s="680">
        <f>BP27*Assumptions!L$499</f>
        <v>2.0700365960912442E-2</v>
      </c>
      <c r="DE27" s="680">
        <f>BQ27*Assumptions!M$499</f>
        <v>2.1111142812154048E-2</v>
      </c>
      <c r="DF27" s="680">
        <f>BR27*Assumptions!N$499</f>
        <v>2.1534242968932908E-2</v>
      </c>
      <c r="DG27" s="680">
        <f>BS27*Assumptions!O$499</f>
        <v>2.1970036130415128E-2</v>
      </c>
      <c r="DH27" s="680">
        <f>BT27*Assumptions!P$499</f>
        <v>2.2418903086741819E-2</v>
      </c>
      <c r="DI27" s="680">
        <f>BU27*Assumptions!Q$499</f>
        <v>2.2881236051758309E-2</v>
      </c>
      <c r="DJ27" s="680">
        <f>BV27*Assumptions!R$499</f>
        <v>2.3357439005725296E-2</v>
      </c>
      <c r="DK27" s="680">
        <f t="shared" si="83"/>
        <v>1.6476918414212106E-2</v>
      </c>
      <c r="DL27" s="680">
        <f t="shared" si="84"/>
        <v>1.6801189453824628E-2</v>
      </c>
      <c r="DM27" s="680">
        <f t="shared" si="85"/>
        <v>1.7135188624625534E-2</v>
      </c>
      <c r="DN27" s="680">
        <f t="shared" si="86"/>
        <v>1.8372400735729322E-2</v>
      </c>
      <c r="DO27" s="680">
        <f t="shared" si="87"/>
        <v>1.9173467983250786E-2</v>
      </c>
      <c r="DP27" s="680">
        <f t="shared" si="88"/>
        <v>1.9538437895162547E-2</v>
      </c>
      <c r="DQ27" s="680">
        <f t="shared" si="89"/>
        <v>1.9914356904431656E-2</v>
      </c>
      <c r="DR27" s="680">
        <f t="shared" si="90"/>
        <v>2.030155348397884E-2</v>
      </c>
      <c r="DS27" s="680">
        <f t="shared" si="91"/>
        <v>2.0700365960912442E-2</v>
      </c>
      <c r="DT27" s="680">
        <f t="shared" si="92"/>
        <v>2.1111142812154048E-2</v>
      </c>
      <c r="DU27" s="680">
        <f t="shared" si="81"/>
        <v>2.1534242968932908E-2</v>
      </c>
      <c r="DV27" s="680">
        <f t="shared" si="81"/>
        <v>2.1970036130415128E-2</v>
      </c>
      <c r="DW27" s="680">
        <f t="shared" si="81"/>
        <v>2.2418903086741819E-2</v>
      </c>
      <c r="DX27" s="680">
        <f t="shared" si="81"/>
        <v>2.2881236051758309E-2</v>
      </c>
      <c r="DY27" s="680">
        <f t="shared" si="81"/>
        <v>2.3357439005725296E-2</v>
      </c>
      <c r="DZ27" s="678">
        <v>0</v>
      </c>
      <c r="EA27" s="661">
        <f t="shared" si="56"/>
        <v>1</v>
      </c>
      <c r="EB27" s="1861">
        <f t="shared" si="20"/>
        <v>1.8952502226828188E-2</v>
      </c>
      <c r="EC27" s="1881"/>
      <c r="ED27" s="1877">
        <v>0</v>
      </c>
      <c r="EE27" s="665">
        <f t="shared" si="100"/>
        <v>0</v>
      </c>
      <c r="EF27" s="665">
        <f t="shared" si="100"/>
        <v>0</v>
      </c>
      <c r="EG27" s="665">
        <f t="shared" si="100"/>
        <v>0</v>
      </c>
      <c r="EH27" s="665">
        <f t="shared" si="100"/>
        <v>0</v>
      </c>
      <c r="EI27" s="665">
        <f t="shared" si="100"/>
        <v>0</v>
      </c>
      <c r="EJ27" s="665">
        <f t="shared" si="100"/>
        <v>0</v>
      </c>
      <c r="EK27" s="665">
        <f t="shared" si="100"/>
        <v>0</v>
      </c>
      <c r="EL27" s="665">
        <f t="shared" si="100"/>
        <v>0</v>
      </c>
      <c r="EM27" s="665">
        <f t="shared" si="100"/>
        <v>0</v>
      </c>
      <c r="EN27" s="665">
        <f t="shared" si="100"/>
        <v>0</v>
      </c>
      <c r="EO27" s="665">
        <f t="shared" si="100"/>
        <v>0</v>
      </c>
      <c r="EP27" s="665">
        <f t="shared" si="100"/>
        <v>0</v>
      </c>
      <c r="EQ27" s="665">
        <f t="shared" si="100"/>
        <v>0</v>
      </c>
      <c r="ER27" s="665">
        <f t="shared" si="100"/>
        <v>0</v>
      </c>
      <c r="ES27" s="665">
        <f t="shared" si="100"/>
        <v>0</v>
      </c>
      <c r="ET27" s="541">
        <f t="shared" si="57"/>
        <v>0</v>
      </c>
      <c r="EU27" s="1450" cm="1">
        <f t="array" ref="EU27">(BH27*SUMPRODUCT($S27:$X27,TRANSPOSE(Assumptions!D$281:D$286)))*0.001</f>
        <v>7.4151661416914883E-3</v>
      </c>
      <c r="EV27" s="1450" cm="1">
        <f t="array" ref="EV27">(BI27*SUMPRODUCT($S27:$X27,TRANSPOSE(Assumptions!E$281:E$286)))*0.001</f>
        <v>7.4151661416914883E-3</v>
      </c>
      <c r="EW27" s="1450" cm="1">
        <f t="array" ref="EW27">(BJ27*SUMPRODUCT($S27:$X27,TRANSPOSE(Assumptions!F$281:F$286)))*0.001</f>
        <v>7.4151661416914883E-3</v>
      </c>
      <c r="EX27" s="1450" cm="1">
        <f t="array" ref="EX27">(BK27*SUMPRODUCT($S27:$X27,TRANSPOSE(Assumptions!G$281:G$286)))*0.001</f>
        <v>8.4780158834993711E-3</v>
      </c>
      <c r="EY27" s="1450" cm="1">
        <f t="array" ref="EY27">(BL27*SUMPRODUCT($S27:$X27,TRANSPOSE(Assumptions!H$281:H$286)))*0.001</f>
        <v>9.0094407544033129E-3</v>
      </c>
      <c r="EZ27" s="1450" cm="1">
        <f t="array" ref="EZ27">(BM27*SUMPRODUCT($S27:$X27,TRANSPOSE(Assumptions!I$281:I$286)))*0.001</f>
        <v>9.0094407544033129E-3</v>
      </c>
      <c r="FA27" s="1450" cm="1">
        <f t="array" ref="FA27">(BN27*SUMPRODUCT($S27:$X27,TRANSPOSE(Assumptions!J$281:J$286)))*0.001</f>
        <v>9.0094407544033129E-3</v>
      </c>
      <c r="FB27" s="1450" cm="1">
        <f t="array" ref="FB27">(BO27*SUMPRODUCT($S27:$X27,TRANSPOSE(Assumptions!K$281:K$286)))*0.001</f>
        <v>9.0094407544033129E-3</v>
      </c>
      <c r="FC27" s="1450" cm="1">
        <f t="array" ref="FC27">(BP27*SUMPRODUCT($S27:$X27,TRANSPOSE(Assumptions!L$281:L$286)))*0.001</f>
        <v>9.0094407544033129E-3</v>
      </c>
      <c r="FD27" s="1450" cm="1">
        <f t="array" ref="FD27">(BQ27*SUMPRODUCT($S27:$X27,TRANSPOSE(Assumptions!M$281:M$286)))*0.001</f>
        <v>9.0094407544033129E-3</v>
      </c>
      <c r="FE27" s="1450" cm="1">
        <f t="array" ref="FE27">(BR27*SUMPRODUCT($S27:$X27,TRANSPOSE(Assumptions!N$281:N$286)))*0.001</f>
        <v>9.0094407544033129E-3</v>
      </c>
      <c r="FF27" s="1450" cm="1">
        <f t="array" ref="FF27">(BS27*SUMPRODUCT($S27:$X27,TRANSPOSE(Assumptions!O$281:O$286)))*0.001</f>
        <v>9.0094407544033129E-3</v>
      </c>
      <c r="FG27" s="1450" cm="1">
        <f t="array" ref="FG27">(BT27*SUMPRODUCT($S27:$X27,TRANSPOSE(Assumptions!P$281:P$286)))*0.001</f>
        <v>9.0094407544033129E-3</v>
      </c>
      <c r="FH27" s="1450" cm="1">
        <f t="array" ref="FH27">(BU27*SUMPRODUCT($S27:$X27,TRANSPOSE(Assumptions!Q$281:Q$286)))*0.001</f>
        <v>9.0094407544033129E-3</v>
      </c>
      <c r="FI27" s="1450" cm="1">
        <f t="array" ref="FI27">(BV27*SUMPRODUCT($S27:$X27,TRANSPOSE(Assumptions!R$281:R$286)))*0.001</f>
        <v>9.0094407544033129E-3</v>
      </c>
      <c r="FJ27" s="666">
        <f t="shared" si="58"/>
        <v>-7.4151661416914883E-3</v>
      </c>
      <c r="FK27" s="666">
        <f t="shared" si="59"/>
        <v>-7.4151661416914883E-3</v>
      </c>
      <c r="FL27" s="666">
        <f t="shared" si="60"/>
        <v>-7.4151661416914883E-3</v>
      </c>
      <c r="FM27" s="666">
        <f t="shared" si="61"/>
        <v>-8.4780158834993711E-3</v>
      </c>
      <c r="FN27" s="666">
        <f t="shared" si="62"/>
        <v>-9.0094407544033129E-3</v>
      </c>
      <c r="FO27" s="666">
        <f t="shared" si="63"/>
        <v>-9.0094407544033129E-3</v>
      </c>
      <c r="FP27" s="666">
        <f t="shared" si="64"/>
        <v>-9.0094407544033129E-3</v>
      </c>
      <c r="FQ27" s="666">
        <f t="shared" si="65"/>
        <v>-9.0094407544033129E-3</v>
      </c>
      <c r="FR27" s="666">
        <f t="shared" si="66"/>
        <v>-9.0094407544033129E-3</v>
      </c>
      <c r="FS27" s="666">
        <f t="shared" si="67"/>
        <v>-9.0094407544033129E-3</v>
      </c>
      <c r="FT27" s="666">
        <f t="shared" si="95"/>
        <v>-9.0094407544033129E-3</v>
      </c>
      <c r="FU27" s="666">
        <f t="shared" si="96"/>
        <v>-9.0094407544033129E-3</v>
      </c>
      <c r="FV27" s="666">
        <f t="shared" si="97"/>
        <v>-9.0094407544033129E-3</v>
      </c>
      <c r="FW27" s="666">
        <f t="shared" si="98"/>
        <v>-9.0094407544033129E-3</v>
      </c>
      <c r="FX27" s="1883">
        <f t="shared" si="99"/>
        <v>-9.0094407544033129E-3</v>
      </c>
      <c r="FY27" s="1895"/>
      <c r="FZ27" s="1889"/>
      <c r="GA27" s="704"/>
      <c r="GB27" s="704"/>
      <c r="GC27" s="704"/>
      <c r="GD27" s="704"/>
      <c r="GE27" s="704"/>
      <c r="GF27" s="704"/>
      <c r="GG27" s="704"/>
      <c r="GH27" s="704"/>
      <c r="GI27" s="704"/>
      <c r="GJ27" s="704"/>
      <c r="GK27" s="704"/>
      <c r="GL27" s="704"/>
      <c r="GM27" s="704"/>
      <c r="GN27" s="1899"/>
      <c r="GO27" s="1910"/>
      <c r="GP27" s="1868">
        <f>BH27*INDEX(Assumptions!G$565:G$570,MATCH($B27,Assumptions!$B$565:$B$570,0))</f>
        <v>6.6558181613637551E-2</v>
      </c>
      <c r="GQ27" s="656">
        <f>BI27*INDEX(Assumptions!H$565:H$570,MATCH($B27,Assumptions!$B$565:$B$570,0))</f>
        <v>6.557971243533646E-2</v>
      </c>
      <c r="GR27" s="656">
        <f>BJ27*INDEX(Assumptions!I$565:I$570,MATCH($B27,Assumptions!$B$565:$B$570,0))</f>
        <v>6.4601243257035368E-2</v>
      </c>
      <c r="GS27" s="656">
        <f>BK27*INDEX(Assumptions!J$565:J$570,MATCH($B27,Assumptions!$B$565:$B$570,0))</f>
        <v>6.3622774078734262E-2</v>
      </c>
      <c r="GT27" s="656">
        <f>BL27*INDEX(Assumptions!K$565:K$570,MATCH($B27,Assumptions!$B$565:$B$570,0))</f>
        <v>6.264430490043317E-2</v>
      </c>
      <c r="GU27" s="656">
        <f>BM27*INDEX(Assumptions!L$565:L$570,MATCH($B27,Assumptions!$B$565:$B$570,0))</f>
        <v>6.1665835722132085E-2</v>
      </c>
      <c r="GV27" s="656">
        <f>BN27*INDEX(Assumptions!M$565:M$570,MATCH($B27,Assumptions!$B$565:$B$570,0))</f>
        <v>6.0687366543830994E-2</v>
      </c>
      <c r="GW27" s="656">
        <f>BO27*INDEX(Assumptions!N$565:N$570,MATCH($B27,Assumptions!$B$565:$B$570,0))</f>
        <v>5.9708897365529902E-2</v>
      </c>
      <c r="GX27" s="656">
        <f>BP27*INDEX(Assumptions!O$565:O$570,MATCH($B27,Assumptions!$B$565:$B$570,0))</f>
        <v>5.8730428187228803E-2</v>
      </c>
      <c r="GY27" s="656">
        <f>BQ27*INDEX(Assumptions!P$565:P$570,MATCH($B27,Assumptions!$B$565:$B$570,0))</f>
        <v>5.6773489830626633E-2</v>
      </c>
      <c r="GZ27" s="656">
        <f>BR27*INDEX(Assumptions!Q$565:Q$570,MATCH($B27,Assumptions!$B$565:$B$570,0))</f>
        <v>4.1948199250307058E-2</v>
      </c>
      <c r="HA27" s="656">
        <f>BS27*INDEX(Assumptions!R$565:R$570,MATCH($B27,Assumptions!$B$565:$B$570,0))</f>
        <v>6.6558181613637551E-2</v>
      </c>
      <c r="HB27" s="656">
        <f>BT27*INDEX(Assumptions!S$565:S$570,MATCH($B27,Assumptions!$B$565:$B$570,0))</f>
        <v>6.6558181613637551E-2</v>
      </c>
      <c r="HC27" s="656">
        <f>BU27*INDEX(Assumptions!T$565:T$570,MATCH($B27,Assumptions!$B$565:$B$570,0))</f>
        <v>6.557971243533646E-2</v>
      </c>
      <c r="HD27" s="1922">
        <f>BV27*INDEX(Assumptions!U$565:U$570,MATCH($B27,Assumptions!$B$565:$B$570,0))</f>
        <v>6.4601243257035368E-2</v>
      </c>
      <c r="HE27" s="1933"/>
      <c r="HF27" s="1927"/>
      <c r="HG27" s="501"/>
      <c r="HH27" s="501"/>
      <c r="HI27" s="501"/>
      <c r="HJ27" s="501"/>
      <c r="HK27" s="501"/>
      <c r="HL27" s="501"/>
      <c r="HM27" s="501"/>
      <c r="HN27" s="501"/>
      <c r="HO27" s="501"/>
      <c r="HP27" s="501"/>
      <c r="HQ27" s="501"/>
      <c r="HR27" s="501"/>
      <c r="HS27" s="501"/>
      <c r="HT27" s="501"/>
      <c r="HU27" s="501"/>
      <c r="HV27" s="656"/>
      <c r="HW27" s="1922"/>
      <c r="HX27" s="1946"/>
      <c r="HY27" s="1940">
        <v>2019</v>
      </c>
      <c r="HZ27" s="14">
        <v>2027</v>
      </c>
      <c r="IA27" s="673"/>
      <c r="IB27" s="673"/>
      <c r="IC27" s="674" t="s">
        <v>578</v>
      </c>
      <c r="ID27" s="1956" t="s">
        <v>677</v>
      </c>
      <c r="IE27" s="1953"/>
      <c r="IF27" s="1960">
        <v>1</v>
      </c>
      <c r="IG27" s="537">
        <v>1</v>
      </c>
      <c r="IH27" s="537">
        <v>1</v>
      </c>
      <c r="II27" s="537">
        <v>1</v>
      </c>
      <c r="IJ27" s="537">
        <v>1</v>
      </c>
      <c r="IK27" s="537">
        <v>1</v>
      </c>
      <c r="IL27" s="537">
        <v>1</v>
      </c>
    </row>
    <row r="28" spans="2:246" ht="13.5" customHeight="1" x14ac:dyDescent="0.3">
      <c r="B28" s="1703" t="s">
        <v>470</v>
      </c>
      <c r="C28" s="2113" t="s">
        <v>470</v>
      </c>
      <c r="D28" s="679" t="s">
        <v>678</v>
      </c>
      <c r="E28" s="1778" t="s">
        <v>679</v>
      </c>
      <c r="F28" s="1800"/>
      <c r="G28" s="1792"/>
      <c r="H28" s="1156"/>
      <c r="I28" s="1156"/>
      <c r="J28" s="70"/>
      <c r="K28" s="71" t="s">
        <v>641</v>
      </c>
      <c r="L28" s="2043" t="s">
        <v>565</v>
      </c>
      <c r="M28" s="1827"/>
      <c r="N28" s="1819">
        <f>Assumptions!C143</f>
        <v>0.82886350367188644</v>
      </c>
      <c r="O28" s="1180">
        <f>Assumptions!D143</f>
        <v>0</v>
      </c>
      <c r="P28" s="1180">
        <f>Assumptions!E143</f>
        <v>0</v>
      </c>
      <c r="Q28" s="1180">
        <f>Assumptions!F143</f>
        <v>0.14620589770888645</v>
      </c>
      <c r="R28" s="1180">
        <f>Assumptions!G143</f>
        <v>2.4930598619227064E-2</v>
      </c>
      <c r="S28" s="1445"/>
      <c r="T28" s="1445">
        <v>1</v>
      </c>
      <c r="U28" s="1445"/>
      <c r="V28" s="1445"/>
      <c r="W28" s="1445"/>
      <c r="X28" s="1445"/>
      <c r="Y28" s="1190" cm="1">
        <f t="array" ref="Y28:AC28">(_xlfn.ANCHORARRAY($Y$19)*N28)+(_xlfn.ANCHORARRAY($Y$11)*O28)+(P28*_xlfn.ANCHORARRAY($Y$12))+(Q28*_xlfn.ANCHORARRAY($Y$21))+(_xlfn.ANCHORARRAY($Y$26)*R28)</f>
        <v>0.49310083829430906</v>
      </c>
      <c r="Z28" s="1190">
        <v>9.0268072458740342E-2</v>
      </c>
      <c r="AA28" s="1190">
        <v>0.11999188633487488</v>
      </c>
      <c r="AB28" s="1190">
        <v>0.2059654534733952</v>
      </c>
      <c r="AC28" s="1190">
        <v>9.0673749438680437E-2</v>
      </c>
      <c r="AD28" s="1182">
        <f>Assumptions!E$667*O28</f>
        <v>0</v>
      </c>
      <c r="AE28" s="1180">
        <f>Assumptions!F$667*O28</f>
        <v>0</v>
      </c>
      <c r="AF28" s="1181">
        <f>Assumptions!G$667*O28</f>
        <v>0</v>
      </c>
      <c r="AG28" s="1177"/>
      <c r="AH28" s="1177"/>
      <c r="AI28" s="1177"/>
      <c r="AJ28" s="1177"/>
      <c r="AK28" s="1417">
        <f t="shared" si="53"/>
        <v>0</v>
      </c>
      <c r="AL28" s="1177"/>
      <c r="AM28" s="1177"/>
      <c r="AN28" s="1177"/>
      <c r="AO28" s="1834">
        <v>0</v>
      </c>
      <c r="AP28" s="1847"/>
      <c r="AQ28" s="1837">
        <f t="shared" ref="AQ28:AQ36" si="102">AVERAGE(AR28:BA28)</f>
        <v>3.1814698508032451</v>
      </c>
      <c r="AR28" s="656">
        <f>Assumptions!D388</f>
        <v>0</v>
      </c>
      <c r="AS28" s="656">
        <f>Assumptions!E388</f>
        <v>0.2341651620547876</v>
      </c>
      <c r="AT28" s="656">
        <f>Assumptions!F388</f>
        <v>0.2384159152465348</v>
      </c>
      <c r="AU28" s="656">
        <f>Assumptions!G388</f>
        <v>20.01521769000891</v>
      </c>
      <c r="AV28" s="656">
        <f>Assumptions!H388</f>
        <v>10.009090130600669</v>
      </c>
      <c r="AW28" s="656">
        <f>Assumptions!I388</f>
        <v>0.25326517322473602</v>
      </c>
      <c r="AX28" s="656">
        <f>Assumptions!J388</f>
        <v>0.25834652528984803</v>
      </c>
      <c r="AY28" s="656">
        <f>Assumptions!K388</f>
        <v>0.26349460393750035</v>
      </c>
      <c r="AZ28" s="656">
        <f>Assumptions!L388</f>
        <v>0.26870999639136506</v>
      </c>
      <c r="BA28" s="656">
        <f>Assumptions!M388</f>
        <v>0.27399331127810034</v>
      </c>
      <c r="BB28" s="656">
        <f>Assumptions!N388</f>
        <v>0.27934517907477335</v>
      </c>
      <c r="BC28" s="656">
        <f>Assumptions!O388</f>
        <v>0.28476625253267535</v>
      </c>
      <c r="BD28" s="656">
        <f>Assumptions!P388</f>
        <v>0.29025720707789071</v>
      </c>
      <c r="BE28" s="656">
        <f>Assumptions!Q388</f>
        <v>0.29581874118966384</v>
      </c>
      <c r="BF28" s="656">
        <f>Assumptions!R388</f>
        <v>0.30145157675723078</v>
      </c>
      <c r="BG28" s="501">
        <f t="shared" si="54"/>
        <v>2.7328130322802804</v>
      </c>
      <c r="BH28" s="657">
        <f t="shared" si="0"/>
        <v>0</v>
      </c>
      <c r="BI28" s="658">
        <f t="shared" si="1"/>
        <v>0.2341651620547876</v>
      </c>
      <c r="BJ28" s="658">
        <f t="shared" si="2"/>
        <v>0.47258107730132237</v>
      </c>
      <c r="BK28" s="658">
        <f t="shared" si="3"/>
        <v>20.487798767310231</v>
      </c>
      <c r="BL28" s="658">
        <f t="shared" si="4"/>
        <v>30.4968888979109</v>
      </c>
      <c r="BM28" s="658">
        <f t="shared" si="5"/>
        <v>30.750154071135636</v>
      </c>
      <c r="BN28" s="658">
        <f t="shared" si="6"/>
        <v>31.008500596425485</v>
      </c>
      <c r="BO28" s="658">
        <f t="shared" si="7"/>
        <v>31.271995200362984</v>
      </c>
      <c r="BP28" s="658">
        <f t="shared" si="8"/>
        <v>31.540705196754349</v>
      </c>
      <c r="BQ28" s="658">
        <f t="shared" si="9"/>
        <v>31.81469850803245</v>
      </c>
      <c r="BR28" s="658">
        <f t="shared" si="10"/>
        <v>32.094043687107224</v>
      </c>
      <c r="BS28" s="658">
        <f t="shared" si="11"/>
        <v>32.378809939639901</v>
      </c>
      <c r="BT28" s="658">
        <f t="shared" si="12"/>
        <v>32.669067146717794</v>
      </c>
      <c r="BU28" s="658">
        <f t="shared" si="13"/>
        <v>32.964885887907457</v>
      </c>
      <c r="BV28" s="1851">
        <f t="shared" si="14"/>
        <v>33.266337464664687</v>
      </c>
      <c r="BW28" s="1661"/>
      <c r="BX28" s="1855"/>
      <c r="BY28" s="1192">
        <f t="shared" si="15"/>
        <v>18.859207477591355</v>
      </c>
      <c r="BZ28" s="666">
        <f>INDEX(Sources!$M$11:$M$21,MATCH($D28,Sources!$C$11:$C$21,0))</f>
        <v>0.06</v>
      </c>
      <c r="CA28" s="666">
        <f>INDEX(Sources!$M$11:$M$21,MATCH($D28,Sources!$C$11:$C$21,0))</f>
        <v>0.06</v>
      </c>
      <c r="CB28" s="666">
        <f>INDEX(Sources!$M$11:$M$21,MATCH($D28,Sources!$C$11:$C$21,0))</f>
        <v>0.06</v>
      </c>
      <c r="CC28" s="666">
        <f>INDEX(Sources!$M$11:$M$21,MATCH($D28,Sources!$C$11:$C$21,0))</f>
        <v>0.06</v>
      </c>
      <c r="CD28" s="666">
        <f>INDEX(Sources!$M$11:$M$21,MATCH($D28,Sources!$C$11:$C$21,0))</f>
        <v>0.06</v>
      </c>
      <c r="CE28" s="666">
        <f>INDEX(Sources!$M$11:$M$21,MATCH($D28,Sources!$C$11:$C$21,0))</f>
        <v>0.06</v>
      </c>
      <c r="CF28" s="666">
        <f>INDEX(Sources!$M$11:$M$21,MATCH($D28,Sources!$C$11:$C$21,0))</f>
        <v>0.06</v>
      </c>
      <c r="CG28" s="666">
        <f>INDEX(Sources!$M$11:$M$21,MATCH($D28,Sources!$C$11:$C$21,0))</f>
        <v>0.06</v>
      </c>
      <c r="CH28" s="666">
        <f>INDEX(Sources!$M$11:$M$21,MATCH($D28,Sources!$C$11:$C$21,0))</f>
        <v>0.06</v>
      </c>
      <c r="CI28" s="666">
        <f>INDEX(Sources!$M$11:$M$21,MATCH($D28,Sources!$C$11:$C$21,0))</f>
        <v>0.06</v>
      </c>
      <c r="CJ28" s="666">
        <f>INDEX(Sources!$M$11:$M$21,MATCH($D28,Sources!$C$11:$C$21,0))</f>
        <v>0.06</v>
      </c>
      <c r="CK28" s="666">
        <f>INDEX(Sources!$M$11:$M$21,MATCH($D28,Sources!$C$11:$C$21,0))</f>
        <v>0.06</v>
      </c>
      <c r="CL28" s="666">
        <f>INDEX(Sources!$M$11:$M$21,MATCH($D28,Sources!$C$11:$C$21,0))</f>
        <v>0.06</v>
      </c>
      <c r="CM28" s="666">
        <f>INDEX(Sources!$M$11:$M$21,MATCH($D28,Sources!$C$11:$C$21,0))</f>
        <v>0.06</v>
      </c>
      <c r="CN28" s="666">
        <f>INDEX(Sources!$M$11:$M$21,MATCH($D28,Sources!$C$11:$C$21,0))</f>
        <v>0.06</v>
      </c>
      <c r="CO28" s="479">
        <f t="shared" si="101"/>
        <v>6.0000000000000019E-2</v>
      </c>
      <c r="CP28" s="660">
        <f t="shared" si="18"/>
        <v>0.60000000000000009</v>
      </c>
      <c r="CQ28" s="681">
        <f t="shared" ref="CQ28:CQ33" si="103">SUM(CA28:CI28)/(SUM(CA28:CI28)+SUM(EF28:EN28))</f>
        <v>1.2600284613799254E-2</v>
      </c>
      <c r="CR28" s="662">
        <f t="shared" si="55"/>
        <v>0.98739971538620075</v>
      </c>
      <c r="CS28" s="685" t="s">
        <v>680</v>
      </c>
      <c r="CT28" s="1862"/>
      <c r="CU28" s="1872"/>
      <c r="CV28" s="1868">
        <f>(BH28*((Assumptions!D484*Assumptions!$C$143)+(Assumptions!D475*(1-Assumptions!$C$143))))/1000</f>
        <v>0</v>
      </c>
      <c r="CW28" s="656">
        <f>(BI28*((Assumptions!E484*Assumptions!$C$143)+(Assumptions!E475*(1-Assumptions!$C$143))))/1000</f>
        <v>9.8990679701287301E-3</v>
      </c>
      <c r="CX28" s="656">
        <f>(BJ28*((Assumptions!F484*Assumptions!$C$143)+(Assumptions!F475*(1-Assumptions!$C$143))))/1000</f>
        <v>2.0512662729020407E-2</v>
      </c>
      <c r="CY28" s="656">
        <f>(BK28*((Assumptions!G484*Assumptions!$C$143)+(Assumptions!G475*(1-Assumptions!$C$143))))/1000</f>
        <v>0.97397421445257193</v>
      </c>
      <c r="CZ28" s="656">
        <f>(BL28*((Assumptions!H484*Assumptions!$C$143)+(Assumptions!H475*(1-Assumptions!$C$143))))/1000</f>
        <v>1.5316714184300921</v>
      </c>
      <c r="DA28" s="656">
        <f>(BM28*((Assumptions!I484*Assumptions!$C$143)+(Assumptions!I475*(1-Assumptions!$C$143))))/1000</f>
        <v>1.5824189981699084</v>
      </c>
      <c r="DB28" s="656">
        <f>(BN28*((Assumptions!J484*Assumptions!$C$143)+(Assumptions!J475*(1-Assumptions!$C$143))))/1000</f>
        <v>1.6352111724052942</v>
      </c>
      <c r="DC28" s="656">
        <f>(BO28*((Assumptions!K484*Assumptions!$C$143)+(Assumptions!K475*(1-Assumptions!$C$143))))/1000</f>
        <v>1.6901345243124706</v>
      </c>
      <c r="DD28" s="656">
        <f>(BP28*((Assumptions!L484*Assumptions!$C$143)+(Assumptions!L475*(1-Assumptions!$C$143))))/1000</f>
        <v>1.7472794099202797</v>
      </c>
      <c r="DE28" s="656">
        <f>(BQ28*((Assumptions!M484*Assumptions!$C$143)+(Assumptions!M475*(1-Assumptions!$C$143))))/1000</f>
        <v>1.8067401245626706</v>
      </c>
      <c r="DF28" s="656">
        <f>(BR28*((Assumptions!N484*Assumptions!$C$143)+(Assumptions!N475*(1-Assumptions!$C$143))))/1000</f>
        <v>1.8686150767164798</v>
      </c>
      <c r="DG28" s="656">
        <f>(BS28*((Assumptions!O484*Assumptions!$C$143)+(Assumptions!O475*(1-Assumptions!$C$143))))/1000</f>
        <v>1.9330069695537837</v>
      </c>
      <c r="DH28" s="656">
        <f>(BT28*((Assumptions!P484*Assumptions!$C$143)+(Assumptions!P475*(1-Assumptions!$C$143))))/1000</f>
        <v>2.0000229905528033</v>
      </c>
      <c r="DI28" s="656">
        <f>(BU28*((Assumptions!Q484*Assumptions!$C$143)+(Assumptions!Q475*(1-Assumptions!$C$143))))/1000</f>
        <v>2.0697750095267553</v>
      </c>
      <c r="DJ28" s="656">
        <f>(BV28*((Assumptions!R484*Assumptions!$C$143)+(Assumptions!R475*(1-Assumptions!$C$143))))/1000</f>
        <v>2.1423797854461086</v>
      </c>
      <c r="DK28" s="680">
        <f t="shared" si="83"/>
        <v>0</v>
      </c>
      <c r="DL28" s="680">
        <f t="shared" si="84"/>
        <v>9.8990679701287301E-3</v>
      </c>
      <c r="DM28" s="680">
        <f t="shared" si="85"/>
        <v>2.0512662729020407E-2</v>
      </c>
      <c r="DN28" s="680">
        <f t="shared" si="86"/>
        <v>0.97397421445257193</v>
      </c>
      <c r="DO28" s="680">
        <f t="shared" si="87"/>
        <v>1.5316714184300921</v>
      </c>
      <c r="DP28" s="680">
        <f t="shared" si="88"/>
        <v>1.5824189981699084</v>
      </c>
      <c r="DQ28" s="680">
        <f t="shared" si="89"/>
        <v>1.6352111724052942</v>
      </c>
      <c r="DR28" s="680">
        <f t="shared" si="90"/>
        <v>1.6901345243124706</v>
      </c>
      <c r="DS28" s="680">
        <f t="shared" si="91"/>
        <v>1.7472794099202797</v>
      </c>
      <c r="DT28" s="680">
        <f t="shared" si="92"/>
        <v>1.8067401245626706</v>
      </c>
      <c r="DU28" s="680">
        <f t="shared" si="81"/>
        <v>1.8686150767164798</v>
      </c>
      <c r="DV28" s="680">
        <f t="shared" si="81"/>
        <v>1.9330069695537837</v>
      </c>
      <c r="DW28" s="680">
        <f t="shared" si="81"/>
        <v>2.0000229905528033</v>
      </c>
      <c r="DX28" s="680">
        <f t="shared" si="81"/>
        <v>2.0697750095267553</v>
      </c>
      <c r="DY28" s="680">
        <f t="shared" si="81"/>
        <v>2.1423797854461086</v>
      </c>
      <c r="DZ28" s="678">
        <v>0</v>
      </c>
      <c r="EA28" s="661">
        <f t="shared" si="56"/>
        <v>1</v>
      </c>
      <c r="EB28" s="1861"/>
      <c r="EC28" s="1881"/>
      <c r="ED28" s="1877">
        <v>1</v>
      </c>
      <c r="EE28" s="870">
        <v>0</v>
      </c>
      <c r="EF28" s="686">
        <f>((('Pathway Analysis'!BP10)*(Assumptions!E308))/1000)</f>
        <v>0</v>
      </c>
      <c r="EG28" s="686">
        <f>((('Pathway Analysis'!BQ10)*(Assumptions!F308))/1000)</f>
        <v>0</v>
      </c>
      <c r="EH28" s="686">
        <f>((('Pathway Analysis'!BR10)*(Assumptions!G308))/1000)</f>
        <v>4.0503747182106791</v>
      </c>
      <c r="EI28" s="686">
        <f>((('Pathway Analysis'!BS10)*(Assumptions!H308))/1000)</f>
        <v>6.1598084964029614</v>
      </c>
      <c r="EJ28" s="686">
        <f>((('Pathway Analysis'!BT10)*(Assumptions!I308))/1000)</f>
        <v>6.2452727433616451</v>
      </c>
      <c r="EK28" s="686">
        <f>((('Pathway Analysis'!BU10)*(Assumptions!J308))/1000)</f>
        <v>6.3319726269259906</v>
      </c>
      <c r="EL28" s="686">
        <f>((('Pathway Analysis'!BV10)*(Assumptions!K308))/1000)</f>
        <v>6.4199262183741066</v>
      </c>
      <c r="EM28" s="686">
        <f>((('Pathway Analysis'!BW10)*(Assumptions!L308))/1000)</f>
        <v>6.5091518554205452</v>
      </c>
      <c r="EN28" s="686">
        <f>((('Pathway Analysis'!BX10)*(Assumptions!M308))/1000)</f>
        <v>6.5996681461665512</v>
      </c>
      <c r="EO28" s="686">
        <f>((('Pathway Analysis'!BY10)*(Assumptions!N308))/1000)</f>
        <v>6.6914939731090541</v>
      </c>
      <c r="EP28" s="686">
        <f>((('Pathway Analysis'!BZ10)*(Assumptions!O308))/1000)</f>
        <v>6.7846484972093588</v>
      </c>
      <c r="EQ28" s="686">
        <f>((('Pathway Analysis'!CA10)*(Assumptions!P308))/1000)</f>
        <v>6.8791511620223602</v>
      </c>
      <c r="ER28" s="686">
        <f>((('Pathway Analysis'!CB10)*(Assumptions!Q308))/1000)</f>
        <v>6.9750216978872706</v>
      </c>
      <c r="ES28" s="686">
        <f>((('Pathway Analysis'!CC10)*(Assumptions!R308))/1000)</f>
        <v>7.0722801261806589</v>
      </c>
      <c r="ET28" s="541">
        <f t="shared" si="57"/>
        <v>6.3932308551059327</v>
      </c>
      <c r="EU28" s="1450" cm="1">
        <f t="array" ref="EU28">(BH28*SUMPRODUCT($S28:$X28,TRANSPOSE(Assumptions!D$281:D$286)))*0.001</f>
        <v>0</v>
      </c>
      <c r="EV28" s="1450" cm="1">
        <f t="array" ref="EV28">(BI28*SUMPRODUCT($S28:$X28,TRANSPOSE(Assumptions!E$281:E$286)))*0.001</f>
        <v>1.0653959979743891E-3</v>
      </c>
      <c r="EW28" s="1450" cm="1">
        <f t="array" ref="EW28">(BJ28*SUMPRODUCT($S28:$X28,TRANSPOSE(Assumptions!F$281:F$286)))*0.001</f>
        <v>2.1501319156837419E-3</v>
      </c>
      <c r="EX28" s="1450" cm="1">
        <f t="array" ref="EX28">(BK28*SUMPRODUCT($S28:$X28,TRANSPOSE(Assumptions!G$281:G$286)))*0.001</f>
        <v>0.15402163941544164</v>
      </c>
      <c r="EY28" s="1450" cm="1">
        <f t="array" ref="EY28">(BL28*SUMPRODUCT($S28:$X28,TRANSPOSE(Assumptions!H$281:H$286)))*0.001</f>
        <v>0.27452403268784858</v>
      </c>
      <c r="EZ28" s="1450" cm="1">
        <f t="array" ref="EZ28">(BM28*SUMPRODUCT($S28:$X28,TRANSPOSE(Assumptions!I$281:I$286)))*0.001</f>
        <v>0.27680385135806723</v>
      </c>
      <c r="FA28" s="1450" cm="1">
        <f t="array" ref="FA28">(BN28*SUMPRODUCT($S28:$X28,TRANSPOSE(Assumptions!J$281:J$286)))*0.001</f>
        <v>0.2791294108664773</v>
      </c>
      <c r="FB28" s="1450" cm="1">
        <f t="array" ref="FB28">(BO28*SUMPRODUCT($S28:$X28,TRANSPOSE(Assumptions!K$281:K$286)))*0.001</f>
        <v>0.28150131186616795</v>
      </c>
      <c r="FC28" s="1450" cm="1">
        <f t="array" ref="FC28">(BP28*SUMPRODUCT($S28:$X28,TRANSPOSE(Assumptions!L$281:L$286)))*0.001</f>
        <v>0.28392016029624334</v>
      </c>
      <c r="FD28" s="1450" cm="1">
        <f t="array" ref="FD28">(BQ28*SUMPRODUCT($S28:$X28,TRANSPOSE(Assumptions!M$281:M$286)))*0.001</f>
        <v>0.28638656757448588</v>
      </c>
      <c r="FE28" s="1450" cm="1">
        <f t="array" ref="FE28">(BR28*SUMPRODUCT($S28:$X28,TRANSPOSE(Assumptions!N$281:N$286)))*0.001</f>
        <v>0.28890115079404727</v>
      </c>
      <c r="FF28" s="1450" cm="1">
        <f t="array" ref="FF28">(BS28*SUMPRODUCT($S28:$X28,TRANSPOSE(Assumptions!O$281:O$286)))*0.001</f>
        <v>0.29146453292395474</v>
      </c>
      <c r="FG28" s="1450" cm="1">
        <f t="array" ref="FG28">(BT28*SUMPRODUCT($S28:$X28,TRANSPOSE(Assumptions!P$281:P$286)))*0.001</f>
        <v>0.29407734301322236</v>
      </c>
      <c r="FH28" s="1450" cm="1">
        <f t="array" ref="FH28">(BU28*SUMPRODUCT($S28:$X28,TRANSPOSE(Assumptions!Q$281:Q$286)))*0.001</f>
        <v>0.29674021639836923</v>
      </c>
      <c r="FI28" s="1450" cm="1">
        <f t="array" ref="FI28">(BV28*SUMPRODUCT($S28:$X28,TRANSPOSE(Assumptions!R$281:R$286)))*0.001</f>
        <v>0.29945379491414942</v>
      </c>
      <c r="FJ28" s="666">
        <f t="shared" si="58"/>
        <v>0</v>
      </c>
      <c r="FK28" s="666">
        <f t="shared" si="59"/>
        <v>-1.0653959979743891E-3</v>
      </c>
      <c r="FL28" s="666">
        <f t="shared" si="60"/>
        <v>-2.1501319156837419E-3</v>
      </c>
      <c r="FM28" s="666">
        <f t="shared" si="61"/>
        <v>3.8963530787952374</v>
      </c>
      <c r="FN28" s="666">
        <f t="shared" si="62"/>
        <v>5.8852844637151129</v>
      </c>
      <c r="FO28" s="666">
        <f t="shared" si="63"/>
        <v>5.9684688920035782</v>
      </c>
      <c r="FP28" s="666">
        <f t="shared" si="64"/>
        <v>6.0528432160595136</v>
      </c>
      <c r="FQ28" s="666">
        <f t="shared" si="65"/>
        <v>6.1384249065079386</v>
      </c>
      <c r="FR28" s="666">
        <f t="shared" si="66"/>
        <v>6.2252316951243021</v>
      </c>
      <c r="FS28" s="666">
        <f t="shared" si="67"/>
        <v>6.3132815785920648</v>
      </c>
      <c r="FT28" s="666">
        <f t="shared" si="95"/>
        <v>6.4025928223150066</v>
      </c>
      <c r="FU28" s="666">
        <f t="shared" si="96"/>
        <v>6.4931839642854037</v>
      </c>
      <c r="FV28" s="666">
        <f t="shared" si="97"/>
        <v>6.5850738190091382</v>
      </c>
      <c r="FW28" s="666">
        <f t="shared" si="98"/>
        <v>6.6782814814889013</v>
      </c>
      <c r="FX28" s="1883">
        <f t="shared" si="99"/>
        <v>6.7728263312665096</v>
      </c>
      <c r="FY28" s="1895"/>
      <c r="FZ28" s="1889"/>
      <c r="GA28" s="704"/>
      <c r="GB28" s="704"/>
      <c r="GC28" s="704"/>
      <c r="GD28" s="704"/>
      <c r="GE28" s="704"/>
      <c r="GF28" s="704"/>
      <c r="GG28" s="704"/>
      <c r="GH28" s="704"/>
      <c r="GI28" s="704"/>
      <c r="GJ28" s="704"/>
      <c r="GK28" s="704"/>
      <c r="GL28" s="704"/>
      <c r="GM28" s="704"/>
      <c r="GN28" s="1899"/>
      <c r="GO28" s="1910"/>
      <c r="GP28" s="1868">
        <f>BH28*INDEX(Assumptions!G$565:G$570,MATCH($B28,Assumptions!$B$565:$B$570,0))</f>
        <v>0</v>
      </c>
      <c r="GQ28" s="656">
        <f>BI28*INDEX(Assumptions!H$565:H$570,MATCH($B28,Assumptions!$B$565:$B$570,0))</f>
        <v>8.7716101199464949E-2</v>
      </c>
      <c r="GR28" s="656">
        <f>BJ28*INDEX(Assumptions!I$565:I$570,MATCH($B28,Assumptions!$B$565:$B$570,0))</f>
        <v>0.17399666667048128</v>
      </c>
      <c r="GS28" s="656">
        <f>BK28*INDEX(Assumptions!J$565:J$570,MATCH($B28,Assumptions!$B$565:$B$570,0))</f>
        <v>7.4099313001548683</v>
      </c>
      <c r="GT28" s="656">
        <f>BL28*INDEX(Assumptions!K$565:K$570,MATCH($B28,Assumptions!$B$565:$B$570,0))</f>
        <v>10.827016525398149</v>
      </c>
      <c r="GU28" s="656">
        <f>BM28*INDEX(Assumptions!L$565:L$570,MATCH($B28,Assumptions!$B$565:$B$570,0))</f>
        <v>10.707986410004526</v>
      </c>
      <c r="GV28" s="656">
        <f>BN28*INDEX(Assumptions!M$565:M$570,MATCH($B28,Assumptions!$B$565:$B$570,0))</f>
        <v>10.582203571776553</v>
      </c>
      <c r="GW28" s="656">
        <f>BO28*INDEX(Assumptions!N$565:N$570,MATCH($B28,Assumptions!$B$565:$B$570,0))</f>
        <v>10.45072908530638</v>
      </c>
      <c r="GX28" s="656">
        <f>BP28*INDEX(Assumptions!O$565:O$570,MATCH($B28,Assumptions!$B$565:$B$570,0))</f>
        <v>10.313573388761494</v>
      </c>
      <c r="GY28" s="656">
        <f>BQ28*INDEX(Assumptions!P$565:P$570,MATCH($B28,Assumptions!$B$565:$B$570,0))</f>
        <v>9.9235068043608425</v>
      </c>
      <c r="GZ28" s="656">
        <f>BR28*INDEX(Assumptions!Q$565:Q$570,MATCH($B28,Assumptions!$B$565:$B$570,0))</f>
        <v>6.2317423596227375</v>
      </c>
      <c r="HA28" s="656">
        <f>BS28*INDEX(Assumptions!R$565:R$570,MATCH($B28,Assumptions!$B$565:$B$570,0))</f>
        <v>12.615663406675512</v>
      </c>
      <c r="HB28" s="656">
        <f>BT28*INDEX(Assumptions!S$565:S$570,MATCH($B28,Assumptions!$B$565:$B$570,0))</f>
        <v>12.728755494762833</v>
      </c>
      <c r="HC28" s="656">
        <f>BU28*INDEX(Assumptions!T$565:T$570,MATCH($B28,Assumptions!$B$565:$B$570,0))</f>
        <v>12.58783989768572</v>
      </c>
      <c r="HD28" s="1922">
        <f>BV28*INDEX(Assumptions!U$565:U$570,MATCH($B28,Assumptions!$B$565:$B$570,0))</f>
        <v>12.444433763900649</v>
      </c>
      <c r="HE28" s="1933"/>
      <c r="HF28" s="1927"/>
      <c r="HG28" s="501"/>
      <c r="HH28" s="501"/>
      <c r="HI28" s="501"/>
      <c r="HJ28" s="501"/>
      <c r="HK28" s="501"/>
      <c r="HL28" s="501"/>
      <c r="HM28" s="501"/>
      <c r="HN28" s="501"/>
      <c r="HO28" s="501"/>
      <c r="HP28" s="501"/>
      <c r="HQ28" s="501"/>
      <c r="HR28" s="501"/>
      <c r="HS28" s="501"/>
      <c r="HT28" s="501"/>
      <c r="HU28" s="501"/>
      <c r="HV28" s="656"/>
      <c r="HW28" s="1922"/>
      <c r="HX28" s="1946"/>
      <c r="HY28" s="1940"/>
      <c r="HZ28" s="14"/>
      <c r="IA28" s="673"/>
      <c r="IB28" s="673"/>
      <c r="IC28" s="674"/>
      <c r="ID28" s="1956"/>
      <c r="IE28" s="1953"/>
      <c r="IF28" s="1960">
        <v>1</v>
      </c>
      <c r="IG28" s="537">
        <v>1</v>
      </c>
      <c r="IH28" s="537">
        <v>1</v>
      </c>
      <c r="II28" s="537">
        <v>1</v>
      </c>
      <c r="IJ28" s="537">
        <v>1</v>
      </c>
      <c r="IK28" s="537">
        <v>1</v>
      </c>
      <c r="IL28" s="537">
        <v>1</v>
      </c>
    </row>
    <row r="29" spans="2:246" ht="13.5" customHeight="1" x14ac:dyDescent="0.3">
      <c r="B29" s="1703" t="s">
        <v>470</v>
      </c>
      <c r="C29" s="2113"/>
      <c r="D29" s="679" t="s">
        <v>681</v>
      </c>
      <c r="E29" s="1778" t="s">
        <v>682</v>
      </c>
      <c r="F29" s="1800"/>
      <c r="G29" s="1792"/>
      <c r="H29" s="1156"/>
      <c r="I29" s="1156"/>
      <c r="J29" s="70"/>
      <c r="K29" s="71" t="s">
        <v>641</v>
      </c>
      <c r="L29" s="2043" t="s">
        <v>565</v>
      </c>
      <c r="M29" s="1827"/>
      <c r="N29" s="1820">
        <f>Assumptions!C146</f>
        <v>0.32484216324019144</v>
      </c>
      <c r="O29" s="1191">
        <f>Assumptions!D146</f>
        <v>0.25923520497902114</v>
      </c>
      <c r="P29" s="1191">
        <f>Assumptions!E146</f>
        <v>0.37349988109383597</v>
      </c>
      <c r="Q29" s="1191">
        <f>Assumptions!F146</f>
        <v>2.1816497531963762E-2</v>
      </c>
      <c r="R29" s="1191">
        <f>Assumptions!G146</f>
        <v>2.0621332772722115E-2</v>
      </c>
      <c r="S29" s="1445"/>
      <c r="T29" s="1445"/>
      <c r="U29" s="1445"/>
      <c r="V29" s="1445"/>
      <c r="W29" s="1445"/>
      <c r="X29" s="1445">
        <v>1</v>
      </c>
      <c r="Y29" s="1190" cm="1">
        <f t="array" ref="Y29:AC29">(_xlfn.ANCHORARRAY($Y$19)*N29)+(_xlfn.ANCHORARRAY($Y$11)*O29)+(P29*_xlfn.ANCHORARRAY($Y$12))+(Q29*_xlfn.ANCHORARRAY($Y$21))+(_xlfn.ANCHORARRAY($Y$26)*R29)</f>
        <v>0.55624683205624048</v>
      </c>
      <c r="Z29" s="1190">
        <v>7.4115027560809094E-2</v>
      </c>
      <c r="AA29" s="1190">
        <v>7.7456986059978639E-2</v>
      </c>
      <c r="AB29" s="1190">
        <v>0.20901796047559335</v>
      </c>
      <c r="AC29" s="1190">
        <v>8.3178273465112973E-2</v>
      </c>
      <c r="AD29" s="1182">
        <f>Assumptions!E$667*O29</f>
        <v>0.11197044357413703</v>
      </c>
      <c r="AE29" s="1180">
        <f>Assumptions!F$667*O29</f>
        <v>3.3373332369155862E-3</v>
      </c>
      <c r="AF29" s="1181">
        <f>Assumptions!G$667*O29</f>
        <v>0.1439274281679685</v>
      </c>
      <c r="AG29" s="1177"/>
      <c r="AH29" s="1177"/>
      <c r="AI29" s="1177"/>
      <c r="AJ29" s="1177"/>
      <c r="AK29" s="1417">
        <f t="shared" si="53"/>
        <v>0</v>
      </c>
      <c r="AL29" s="1177"/>
      <c r="AM29" s="1177"/>
      <c r="AN29" s="1177"/>
      <c r="AO29" s="1835">
        <f>Assumptions!E$591</f>
        <v>0.70419620672122185</v>
      </c>
      <c r="AP29" s="1848"/>
      <c r="AQ29" s="1837">
        <f t="shared" si="102"/>
        <v>3.9922700849147761</v>
      </c>
      <c r="AR29" s="656">
        <f>Assumptions!D389</f>
        <v>0</v>
      </c>
      <c r="AS29" s="656">
        <f>Assumptions!E389</f>
        <v>0.96872433605809716</v>
      </c>
      <c r="AT29" s="656">
        <f>Assumptions!F389</f>
        <v>0.98812509231677392</v>
      </c>
      <c r="AU29" s="656">
        <f>Assumptions!G389</f>
        <v>21.416966898314506</v>
      </c>
      <c r="AV29" s="656">
        <f>Assumptions!H389</f>
        <v>11.100843624472409</v>
      </c>
      <c r="AW29" s="656">
        <f>Assumptions!I389</f>
        <v>1.0491154121116018</v>
      </c>
      <c r="AX29" s="656">
        <f>Assumptions!J389</f>
        <v>1.0693492487176</v>
      </c>
      <c r="AY29" s="656">
        <f>Assumptions!K389</f>
        <v>1.089595760963733</v>
      </c>
      <c r="AZ29" s="656">
        <f>Assumptions!L389</f>
        <v>1.1098546657258712</v>
      </c>
      <c r="BA29" s="656">
        <f>Assumptions!M389</f>
        <v>1.1301258104671694</v>
      </c>
      <c r="BB29" s="656">
        <f>Assumptions!N389</f>
        <v>1.1504091702446422</v>
      </c>
      <c r="BC29" s="656">
        <f>Assumptions!O389</f>
        <v>1.1707048446415595</v>
      </c>
      <c r="BD29" s="656">
        <f>Assumptions!P389</f>
        <v>1.1910130546392574</v>
      </c>
      <c r="BE29" s="656">
        <f>Assumptions!Q389</f>
        <v>1.2113341394407449</v>
      </c>
      <c r="BF29" s="656">
        <f>Assumptions!R389</f>
        <v>1.2316685532585845</v>
      </c>
      <c r="BG29" s="501">
        <f t="shared" si="54"/>
        <v>3.660081765249807</v>
      </c>
      <c r="BH29" s="657">
        <f t="shared" si="0"/>
        <v>0</v>
      </c>
      <c r="BI29" s="658">
        <f t="shared" si="1"/>
        <v>0.96872433605809716</v>
      </c>
      <c r="BJ29" s="658">
        <f t="shared" si="2"/>
        <v>1.9568494283748712</v>
      </c>
      <c r="BK29" s="658">
        <f t="shared" si="3"/>
        <v>23.373816326689376</v>
      </c>
      <c r="BL29" s="658">
        <f t="shared" si="4"/>
        <v>34.474659951161783</v>
      </c>
      <c r="BM29" s="658">
        <f t="shared" si="5"/>
        <v>35.523775363273387</v>
      </c>
      <c r="BN29" s="658">
        <f t="shared" si="6"/>
        <v>36.593124611990987</v>
      </c>
      <c r="BO29" s="658">
        <f t="shared" si="7"/>
        <v>37.682720372954719</v>
      </c>
      <c r="BP29" s="658">
        <f t="shared" si="8"/>
        <v>38.792575038680589</v>
      </c>
      <c r="BQ29" s="658">
        <f t="shared" si="9"/>
        <v>39.922700849147759</v>
      </c>
      <c r="BR29" s="658">
        <f t="shared" si="10"/>
        <v>41.073110019392402</v>
      </c>
      <c r="BS29" s="658">
        <f t="shared" si="11"/>
        <v>42.243814864033965</v>
      </c>
      <c r="BT29" s="658">
        <f t="shared" si="12"/>
        <v>43.434827918673221</v>
      </c>
      <c r="BU29" s="658">
        <f t="shared" si="13"/>
        <v>44.646162058113966</v>
      </c>
      <c r="BV29" s="1851">
        <f t="shared" si="14"/>
        <v>45.877830611372552</v>
      </c>
      <c r="BW29" s="1661"/>
      <c r="BX29" s="1855"/>
      <c r="BY29" s="1192">
        <f t="shared" si="15"/>
        <v>69.133599212862833</v>
      </c>
      <c r="BZ29" s="666">
        <f>INDEX(Sources!$M$11:$M$21,MATCH($D29,Sources!$C$11:$C$21,0))</f>
        <v>0.27600000000000002</v>
      </c>
      <c r="CA29" s="666">
        <f>INDEX(Sources!$M$11:$M$21,MATCH($D29,Sources!$C$11:$C$21,0))</f>
        <v>0.27600000000000002</v>
      </c>
      <c r="CB29" s="666">
        <f>INDEX(Sources!$M$11:$M$21,MATCH($D29,Sources!$C$11:$C$21,0))</f>
        <v>0.27600000000000002</v>
      </c>
      <c r="CC29" s="666">
        <f>INDEX(Sources!$M$11:$M$21,MATCH($D29,Sources!$C$11:$C$21,0))</f>
        <v>0.27600000000000002</v>
      </c>
      <c r="CD29" s="666">
        <f>INDEX(Sources!$M$11:$M$21,MATCH($D29,Sources!$C$11:$C$21,0))</f>
        <v>0.27600000000000002</v>
      </c>
      <c r="CE29" s="666">
        <f>INDEX(Sources!$M$11:$M$21,MATCH($D29,Sources!$C$11:$C$21,0))</f>
        <v>0.27600000000000002</v>
      </c>
      <c r="CF29" s="666">
        <f>INDEX(Sources!$M$11:$M$21,MATCH($D29,Sources!$C$11:$C$21,0))</f>
        <v>0.27600000000000002</v>
      </c>
      <c r="CG29" s="666">
        <f>INDEX(Sources!$M$11:$M$21,MATCH($D29,Sources!$C$11:$C$21,0))</f>
        <v>0.27600000000000002</v>
      </c>
      <c r="CH29" s="666">
        <f>INDEX(Sources!$M$11:$M$21,MATCH($D29,Sources!$C$11:$C$21,0))</f>
        <v>0.27600000000000002</v>
      </c>
      <c r="CI29" s="666">
        <f>INDEX(Sources!$M$11:$M$21,MATCH($D29,Sources!$C$11:$C$21,0))</f>
        <v>0.27600000000000002</v>
      </c>
      <c r="CJ29" s="666">
        <f>INDEX(Sources!$M$11:$M$21,MATCH($D29,Sources!$C$11:$C$21,0))</f>
        <v>0.27600000000000002</v>
      </c>
      <c r="CK29" s="666">
        <f>INDEX(Sources!$M$11:$M$21,MATCH($D29,Sources!$C$11:$C$21,0))</f>
        <v>0.27600000000000002</v>
      </c>
      <c r="CL29" s="666">
        <f>INDEX(Sources!$M$11:$M$21,MATCH($D29,Sources!$C$11:$C$21,0))</f>
        <v>0.27600000000000002</v>
      </c>
      <c r="CM29" s="666">
        <f>INDEX(Sources!$M$11:$M$21,MATCH($D29,Sources!$C$11:$C$21,0))</f>
        <v>0.27600000000000002</v>
      </c>
      <c r="CN29" s="666">
        <f>INDEX(Sources!$M$11:$M$21,MATCH($D29,Sources!$C$11:$C$21,0))</f>
        <v>0.27600000000000002</v>
      </c>
      <c r="CO29" s="479">
        <f t="shared" si="101"/>
        <v>0.27599999999999997</v>
      </c>
      <c r="CP29" s="660">
        <f t="shared" si="18"/>
        <v>2.76</v>
      </c>
      <c r="CQ29" s="681">
        <f t="shared" si="103"/>
        <v>1.1011546857842282E-2</v>
      </c>
      <c r="CR29" s="662">
        <f t="shared" si="55"/>
        <v>0.98898845314215766</v>
      </c>
      <c r="CS29" s="685" t="s">
        <v>680</v>
      </c>
      <c r="CT29" s="1862"/>
      <c r="CU29" s="1872"/>
      <c r="CV29" s="1868">
        <f>(BH29*((Assumptions!D485*Assumptions!$C$143)+(Assumptions!D476*(1-Assumptions!$C$143))))/1000</f>
        <v>0</v>
      </c>
      <c r="CW29" s="656">
        <f>(BI29*((Assumptions!E485*Assumptions!$C$143)+(Assumptions!E476*(1-Assumptions!$C$143))))/1000</f>
        <v>0.10332816924958545</v>
      </c>
      <c r="CX29" s="656">
        <f>(BJ29*((Assumptions!F485*Assumptions!$C$143)+(Assumptions!F476*(1-Assumptions!$C$143))))/1000</f>
        <v>0.21207016508430124</v>
      </c>
      <c r="CY29" s="656">
        <f>(BK29*((Assumptions!G485*Assumptions!$C$143)+(Assumptions!G476*(1-Assumptions!$C$143))))/1000</f>
        <v>2.5742435876910608</v>
      </c>
      <c r="CZ29" s="656">
        <f>(BL29*((Assumptions!H485*Assumptions!$C$143)+(Assumptions!H476*(1-Assumptions!$C$143))))/1000</f>
        <v>3.8593290497048076</v>
      </c>
      <c r="DA29" s="656">
        <f>(BM29*((Assumptions!I485*Assumptions!$C$143)+(Assumptions!I476*(1-Assumptions!$C$143))))/1000</f>
        <v>4.0431178762152937</v>
      </c>
      <c r="DB29" s="656">
        <f>(BN29*((Assumptions!J485*Assumptions!$C$143)+(Assumptions!J476*(1-Assumptions!$C$143))))/1000</f>
        <v>4.2352162416865431</v>
      </c>
      <c r="DC29" s="656">
        <f>(BO29*((Assumptions!K485*Assumptions!$C$143)+(Assumptions!K476*(1-Assumptions!$C$143))))/1000</f>
        <v>4.4359854816608184</v>
      </c>
      <c r="DD29" s="656">
        <f>(BP29*((Assumptions!L485*Assumptions!$C$143)+(Assumptions!L476*(1-Assumptions!$C$143))))/1000</f>
        <v>4.6458032209045754</v>
      </c>
      <c r="DE29" s="656">
        <f>(BQ29*((Assumptions!M485*Assumptions!$C$143)+(Assumptions!M476*(1-Assumptions!$C$143))))/1000</f>
        <v>4.8650640795081568</v>
      </c>
      <c r="DF29" s="656">
        <f>(BR29*((Assumptions!N485*Assumptions!$C$143)+(Assumptions!N476*(1-Assumptions!$C$143))))/1000</f>
        <v>5.0941804081172117</v>
      </c>
      <c r="DG29" s="656">
        <f>(BS29*((Assumptions!O485*Assumptions!$C$143)+(Assumptions!O476*(1-Assumptions!$C$143))))/1000</f>
        <v>5.333583053495687</v>
      </c>
      <c r="DH29" s="656">
        <f>(BT29*((Assumptions!P485*Assumptions!$C$143)+(Assumptions!P476*(1-Assumptions!$C$143))))/1000</f>
        <v>5.5837221556698156</v>
      </c>
      <c r="DI29" s="656">
        <f>(BU29*((Assumptions!Q485*Assumptions!$C$143)+(Assumptions!Q476*(1-Assumptions!$C$143))))/1000</f>
        <v>5.8450679779538888</v>
      </c>
      <c r="DJ29" s="656">
        <f>(BV29*((Assumptions!R485*Assumptions!$C$143)+(Assumptions!R476*(1-Assumptions!$C$143))))/1000</f>
        <v>6.1181117712121589</v>
      </c>
      <c r="DK29" s="675">
        <f>BH29*((Assumptions!D492*Assumptions!$D$146)+(Assumptions!$C$146*Assumptions!D482)+(Assumptions!D491*Assumptions!$E$146)+(Assumptions!D479*SUM(Assumptions!$F$146:$G$146)))/1000</f>
        <v>0</v>
      </c>
      <c r="DL29" s="675">
        <f>BI29*((Assumptions!E492*Assumptions!$D$146)+(Assumptions!$C$146*Assumptions!E482)+(Assumptions!E491*Assumptions!$E$146)+(Assumptions!E479*SUM(Assumptions!$F$146:$G$146)))/1000</f>
        <v>8.3802718775923782E-2</v>
      </c>
      <c r="DM29" s="675">
        <f>BJ29*((Assumptions!F492*Assumptions!$D$146)+(Assumptions!$C$146*Assumptions!F482)+(Assumptions!F491*Assumptions!$E$146)+(Assumptions!F479*SUM(Assumptions!$F$146:$G$146)))/1000</f>
        <v>0.17429832677234136</v>
      </c>
      <c r="DN29" s="675">
        <f>BK29*((Assumptions!G492*Assumptions!$D$146)+(Assumptions!$C$146*Assumptions!G482)+(Assumptions!G491*Assumptions!$E$146)+(Assumptions!G479*SUM(Assumptions!$F$146:$G$146)))/1000</f>
        <v>2.1976928808306089</v>
      </c>
      <c r="DO29" s="675">
        <f>BL29*((Assumptions!H492*Assumptions!$D$146)+(Assumptions!$C$146*Assumptions!H482)+(Assumptions!H491*Assumptions!$E$146)+(Assumptions!H479*SUM(Assumptions!$F$146:$G$146)))/1000</f>
        <v>3.4044754364111101</v>
      </c>
      <c r="DP29" s="675">
        <f>BM29*((Assumptions!I492*Assumptions!$D$146)+(Assumptions!$C$146*Assumptions!I482)+(Assumptions!I491*Assumptions!$E$146)+(Assumptions!I479*SUM(Assumptions!$F$146:$G$146)))/1000</f>
        <v>3.6080757875061567</v>
      </c>
      <c r="DQ29" s="675">
        <f>BN29*((Assumptions!J492*Assumptions!$D$146)+(Assumptions!$C$146*Assumptions!J482)+(Assumptions!J491*Assumptions!$E$146)+(Assumptions!J479*SUM(Assumptions!$F$146:$G$146)))/1000</f>
        <v>3.8227497304308526</v>
      </c>
      <c r="DR29" s="675">
        <f>BO29*((Assumptions!K492*Assumptions!$D$146)+(Assumptions!$C$146*Assumptions!K482)+(Assumptions!K491*Assumptions!$E$146)+(Assumptions!K479*SUM(Assumptions!$F$146:$G$146)))/1000</f>
        <v>4.0490633926189821</v>
      </c>
      <c r="DS29" s="675">
        <f>BP29*((Assumptions!L492*Assumptions!$D$146)+(Assumptions!$C$146*Assumptions!L482)+(Assumptions!L491*Assumptions!$E$146)+(Assumptions!L479*SUM(Assumptions!$F$146:$G$146)))/1000</f>
        <v>4.2875835957797817</v>
      </c>
      <c r="DT29" s="675">
        <f>BQ29*((Assumptions!M492*Assumptions!$D$146)+(Assumptions!$C$146*Assumptions!M482)+(Assumptions!M491*Assumptions!$E$146)+(Assumptions!M479*SUM(Assumptions!$F$146:$G$146)))/1000</f>
        <v>4.5389026795588263</v>
      </c>
      <c r="DU29" s="675">
        <f>BR29*((Assumptions!N492*Assumptions!$D$146)+(Assumptions!$C$146*Assumptions!N482)+(Assumptions!N491*Assumptions!$E$146)+(Assumptions!N479*SUM(Assumptions!$F$146:$G$146)))/1000</f>
        <v>4.8036269321806095</v>
      </c>
      <c r="DV29" s="675">
        <f>BS29*((Assumptions!O492*Assumptions!$D$146)+(Assumptions!$C$146*Assumptions!O482)+(Assumptions!O491*Assumptions!$E$146)+(Assumptions!O479*SUM(Assumptions!$F$146:$G$146)))/1000</f>
        <v>5.0824141907553138</v>
      </c>
      <c r="DW29" s="675">
        <f>BT29*((Assumptions!P492*Assumptions!$D$146)+(Assumptions!$C$146*Assumptions!P482)+(Assumptions!P491*Assumptions!$E$146)+(Assumptions!P479*SUM(Assumptions!$F$146:$G$146)))/1000</f>
        <v>5.3759399764396338</v>
      </c>
      <c r="DX29" s="675">
        <f>BU29*((Assumptions!Q492*Assumptions!$D$146)+(Assumptions!$C$146*Assumptions!Q482)+(Assumptions!Q491*Assumptions!$E$146)+(Assumptions!Q479*SUM(Assumptions!$F$146:$G$146)))/1000</f>
        <v>5.6849099782862602</v>
      </c>
      <c r="DY29" s="675">
        <f>BV29*((Assumptions!R492*Assumptions!$D$146)+(Assumptions!$C$146*Assumptions!R482)+(Assumptions!R491*Assumptions!$E$146)+(Assumptions!R479*SUM(Assumptions!$F$146:$G$146)))/1000</f>
        <v>6.0100613410316344</v>
      </c>
      <c r="DZ29" s="1185">
        <f>P29*Assumptions!S$838</f>
        <v>0.15703798681573145</v>
      </c>
      <c r="EA29" s="661">
        <f t="shared" si="56"/>
        <v>0.84296201318426855</v>
      </c>
      <c r="EB29" s="1861"/>
      <c r="EC29" s="1881"/>
      <c r="ED29" s="1877">
        <v>1</v>
      </c>
      <c r="EE29" s="870">
        <v>0</v>
      </c>
      <c r="EF29" s="686">
        <f>(('Pathway Analysis'!BP14)*((Assumptions!E313*(1-Assumptions!$D$146))+(Assumptions!E316*Assumptions!$D$146)))*0.001</f>
        <v>0.89487231531097744</v>
      </c>
      <c r="EG29" s="686">
        <f>(('Pathway Analysis'!BQ14)*((Assumptions!F313*(1-Assumptions!$D$146))+(Assumptions!F316*Assumptions!$D$146)))*0.001</f>
        <v>1.8437514932862629</v>
      </c>
      <c r="EH29" s="686">
        <f>(('Pathway Analysis'!BR14)*((Assumptions!G313*(1-Assumptions!$D$146))+(Assumptions!G316*Assumptions!$D$146)))*0.001</f>
        <v>19.622176692153626</v>
      </c>
      <c r="EI29" s="686">
        <f>(('Pathway Analysis'!BS14)*((Assumptions!H313*(1-Assumptions!$D$146))+(Assumptions!H316*Assumptions!$D$146)))*0.001</f>
        <v>29.460424784590337</v>
      </c>
      <c r="EJ29" s="686">
        <f>(('Pathway Analysis'!BT14)*((Assumptions!I313*(1-Assumptions!$D$146))+(Assumptions!I316*Assumptions!$D$146)))*0.001</f>
        <v>30.974791062022241</v>
      </c>
      <c r="EK29" s="686">
        <f>(('Pathway Analysis'!BU14)*((Assumptions!J313*(1-Assumptions!$D$146))+(Assumptions!J316*Assumptions!$D$146)))*0.001</f>
        <v>32.548174986454072</v>
      </c>
      <c r="EL29" s="686">
        <f>(('Pathway Analysis'!BV14)*((Assumptions!K313*(1-Assumptions!$D$146))+(Assumptions!K316*Assumptions!$D$146)))*0.001</f>
        <v>34.187130205286678</v>
      </c>
      <c r="EM29" s="686">
        <f>(('Pathway Analysis'!BW14)*((Assumptions!L313*(1-Assumptions!$D$146))+(Assumptions!L316*Assumptions!$D$146)))*0.001</f>
        <v>35.894167700678729</v>
      </c>
      <c r="EN29" s="686">
        <f>(('Pathway Analysis'!BX14)*((Assumptions!M313*(1-Assumptions!$D$146))+(Assumptions!M316*Assumptions!$D$146)))*0.001</f>
        <v>37.671896560789449</v>
      </c>
      <c r="EO29" s="686">
        <f>(('Pathway Analysis'!BY14)*((Assumptions!N313*(1-Assumptions!$D$146))+(Assumptions!N316*Assumptions!$D$146)))*0.001</f>
        <v>39.523027784668379</v>
      </c>
      <c r="EP29" s="686">
        <f>(('Pathway Analysis'!BZ14)*((Assumptions!O313*(1-Assumptions!$D$146))+(Assumptions!O316*Assumptions!$D$146)))*0.001</f>
        <v>41.450378236926404</v>
      </c>
      <c r="EQ29" s="686">
        <f>(('Pathway Analysis'!CA14)*((Assumptions!P313*(1-Assumptions!$D$146))+(Assumptions!P316*Assumptions!$D$146)))*0.001</f>
        <v>43.456874758132024</v>
      </c>
      <c r="ER29" s="686">
        <f>(('Pathway Analysis'!CB14)*((Assumptions!Q313*(1-Assumptions!$D$146))+(Assumptions!Q316*Assumptions!$D$146)))*0.001</f>
        <v>45.545558437117464</v>
      </c>
      <c r="ES29" s="686">
        <f>(('Pathway Analysis'!CC14)*((Assumptions!R313*(1-Assumptions!$D$146))+(Assumptions!R316*Assumptions!$D$146)))*0.001</f>
        <v>47.719589051629136</v>
      </c>
      <c r="ET29" s="541">
        <f t="shared" si="57"/>
        <v>36.504515855037376</v>
      </c>
      <c r="EU29" s="479">
        <f>(BH29*((Assumptions!D$286*(1-Assumptions!$D$146))+(Assumptions!D$290*Assumptions!$D$146)))*0.001</f>
        <v>0</v>
      </c>
      <c r="EV29" s="479">
        <f>(BI29*((Assumptions!E$286*(1-Assumptions!$D$146))+(Assumptions!E$290*Assumptions!$D$146)))*0.001</f>
        <v>5.2004228012908094E-3</v>
      </c>
      <c r="EW29" s="479">
        <f>(BJ29*((Assumptions!F$286*(1-Assumptions!$D$146))+(Assumptions!F$290*Assumptions!$D$146)))*0.001</f>
        <v>1.0761439451512573E-2</v>
      </c>
      <c r="EX29" s="479">
        <f>(BK29*((Assumptions!G$286*(1-Assumptions!$D$146))+(Assumptions!G$290*Assumptions!$D$146)))*0.001</f>
        <v>0.18576772121870014</v>
      </c>
      <c r="EY29" s="479">
        <f>(BL29*((Assumptions!H$286*(1-Assumptions!$D$146))+(Assumptions!H$290*Assumptions!$D$146)))*0.001</f>
        <v>0.31866244627056545</v>
      </c>
      <c r="EZ29" s="479">
        <f>(BM29*((Assumptions!I$286*(1-Assumptions!$D$146))+(Assumptions!I$290*Assumptions!$D$146)))*0.001</f>
        <v>0.33344687697815295</v>
      </c>
      <c r="FA29" s="479">
        <f>(BN29*((Assumptions!J$286*(1-Assumptions!$D$146))+(Assumptions!J$290*Assumptions!$D$146)))*0.001</f>
        <v>0.34888180716331768</v>
      </c>
      <c r="FB29" s="479">
        <f>(BO29*((Assumptions!K$286*(1-Assumptions!$D$146))+(Assumptions!K$290*Assumptions!$D$146)))*0.001</f>
        <v>0.3649949514332041</v>
      </c>
      <c r="FC29" s="479">
        <f>(BP29*((Assumptions!L$286*(1-Assumptions!$D$146))+(Assumptions!L$290*Assumptions!$D$146)))*0.001</f>
        <v>0.38181527322250586</v>
      </c>
      <c r="FD29" s="479">
        <f>(BQ29*((Assumptions!M$286*(1-Assumptions!$D$146))+(Assumptions!M$290*Assumptions!$D$146)))*0.001</f>
        <v>0.39937303902144194</v>
      </c>
      <c r="FE29" s="479">
        <f>(BR29*((Assumptions!N$286*(1-Assumptions!$D$146))+(Assumptions!N$290*Assumptions!$D$146)))*0.001</f>
        <v>0.41769987483550386</v>
      </c>
      <c r="FF29" s="479">
        <f>(BS29*((Assumptions!O$286*(1-Assumptions!$D$146))+(Assumptions!O$290*Assumptions!$D$146)))*0.001</f>
        <v>0.4368288249689225</v>
      </c>
      <c r="FG29" s="479">
        <f>(BT29*((Assumptions!P$286*(1-Assumptions!$D$146))+(Assumptions!P$290*Assumptions!$D$146)))*0.001</f>
        <v>0.45679441322761771</v>
      </c>
      <c r="FH29" s="479">
        <f>(BU29*((Assumptions!Q$286*(1-Assumptions!$D$146))+(Assumptions!Q$290*Assumptions!$D$146)))*0.001</f>
        <v>0.47763270664134111</v>
      </c>
      <c r="FI29" s="479">
        <f>(BV29*((Assumptions!R$286*(1-Assumptions!$D$146))+(Assumptions!R$290*Assumptions!$D$146)))*0.001</f>
        <v>0.49938138180883634</v>
      </c>
      <c r="FJ29" s="666">
        <f t="shared" si="58"/>
        <v>0</v>
      </c>
      <c r="FK29" s="666">
        <f t="shared" si="59"/>
        <v>0.88967189250968659</v>
      </c>
      <c r="FL29" s="666">
        <f t="shared" si="60"/>
        <v>1.8329900538347503</v>
      </c>
      <c r="FM29" s="666">
        <f t="shared" si="61"/>
        <v>19.436408970934927</v>
      </c>
      <c r="FN29" s="666">
        <f t="shared" si="62"/>
        <v>29.141762338319772</v>
      </c>
      <c r="FO29" s="666">
        <f t="shared" si="63"/>
        <v>30.641344185044087</v>
      </c>
      <c r="FP29" s="666">
        <f t="shared" si="64"/>
        <v>32.199293179290756</v>
      </c>
      <c r="FQ29" s="666">
        <f t="shared" si="65"/>
        <v>33.822135253853475</v>
      </c>
      <c r="FR29" s="666">
        <f t="shared" si="66"/>
        <v>35.512352427456221</v>
      </c>
      <c r="FS29" s="666">
        <f t="shared" si="67"/>
        <v>37.272523521768008</v>
      </c>
      <c r="FT29" s="666">
        <f t="shared" si="95"/>
        <v>39.105327909832873</v>
      </c>
      <c r="FU29" s="666">
        <f t="shared" si="96"/>
        <v>41.013549411957484</v>
      </c>
      <c r="FV29" s="666">
        <f t="shared" si="97"/>
        <v>43.000080344904404</v>
      </c>
      <c r="FW29" s="666">
        <f t="shared" si="98"/>
        <v>45.067925730476119</v>
      </c>
      <c r="FX29" s="1883">
        <f t="shared" si="99"/>
        <v>47.220207669820297</v>
      </c>
      <c r="FY29" s="1895"/>
      <c r="FZ29" s="1889"/>
      <c r="GA29" s="704"/>
      <c r="GB29" s="704"/>
      <c r="GC29" s="704"/>
      <c r="GD29" s="704"/>
      <c r="GE29" s="704"/>
      <c r="GF29" s="704"/>
      <c r="GG29" s="704"/>
      <c r="GH29" s="704"/>
      <c r="GI29" s="704"/>
      <c r="GJ29" s="704"/>
      <c r="GK29" s="704"/>
      <c r="GL29" s="704"/>
      <c r="GM29" s="704"/>
      <c r="GN29" s="1899"/>
      <c r="GO29" s="1910"/>
      <c r="GP29" s="1868">
        <f>BH29*INDEX(Assumptions!G$565:G$570,MATCH($B29,Assumptions!$B$565:$B$570,0))</f>
        <v>0</v>
      </c>
      <c r="GQ29" s="656">
        <f>BI29*INDEX(Assumptions!H$565:H$570,MATCH($B29,Assumptions!$B$565:$B$570,0))</f>
        <v>0.36287516533384023</v>
      </c>
      <c r="GR29" s="656">
        <f>BJ29*INDEX(Assumptions!I$565:I$570,MATCH($B29,Assumptions!$B$565:$B$570,0))</f>
        <v>0.72048013360502694</v>
      </c>
      <c r="GS29" s="656">
        <f>BK29*INDEX(Assumptions!J$565:J$570,MATCH($B29,Assumptions!$B$565:$B$570,0))</f>
        <v>8.4537326420619223</v>
      </c>
      <c r="GT29" s="656">
        <f>BL29*INDEX(Assumptions!K$565:K$570,MATCH($B29,Assumptions!$B$565:$B$570,0))</f>
        <v>12.239206243240087</v>
      </c>
      <c r="GU29" s="656">
        <f>BM29*INDEX(Assumptions!L$565:L$570,MATCH($B29,Assumptions!$B$565:$B$570,0))</f>
        <v>12.370282859136806</v>
      </c>
      <c r="GV29" s="656">
        <f>BN29*INDEX(Assumptions!M$565:M$570,MATCH($B29,Assumptions!$B$565:$B$570,0))</f>
        <v>12.488056066023209</v>
      </c>
      <c r="GW29" s="656">
        <f>BO29*INDEX(Assumptions!N$565:N$570,MATCH($B29,Assumptions!$B$565:$B$570,0))</f>
        <v>12.593117237704554</v>
      </c>
      <c r="GX29" s="656">
        <f>BP29*INDEX(Assumptions!O$565:O$570,MATCH($B29,Assumptions!$B$565:$B$570,0))</f>
        <v>12.684880287383056</v>
      </c>
      <c r="GY29" s="656">
        <f>BQ29*INDEX(Assumptions!P$565:P$570,MATCH($B29,Assumptions!$B$565:$B$570,0))</f>
        <v>12.452520756245921</v>
      </c>
      <c r="GZ29" s="656">
        <f>BR29*INDEX(Assumptions!Q$565:Q$570,MATCH($B29,Assumptions!$B$565:$B$570,0))</f>
        <v>7.9752193910085385</v>
      </c>
      <c r="HA29" s="656">
        <f>BS29*INDEX(Assumptions!R$565:R$570,MATCH($B29,Assumptions!$B$565:$B$570,0))</f>
        <v>16.459337150811152</v>
      </c>
      <c r="HB29" s="656">
        <f>BT29*INDEX(Assumptions!S$565:S$570,MATCH($B29,Assumptions!$B$565:$B$570,0))</f>
        <v>16.923388171781205</v>
      </c>
      <c r="HC29" s="656">
        <f>BU29*INDEX(Assumptions!T$565:T$570,MATCH($B29,Assumptions!$B$565:$B$570,0))</f>
        <v>17.048405444043354</v>
      </c>
      <c r="HD29" s="1922">
        <f>BV29*INDEX(Assumptions!U$565:U$570,MATCH($B29,Assumptions!$B$565:$B$570,0))</f>
        <v>17.162202628441172</v>
      </c>
      <c r="HE29" s="1933"/>
      <c r="HF29" s="1927"/>
      <c r="HG29" s="501"/>
      <c r="HH29" s="501"/>
      <c r="HI29" s="501"/>
      <c r="HJ29" s="501"/>
      <c r="HK29" s="501"/>
      <c r="HL29" s="501"/>
      <c r="HM29" s="501"/>
      <c r="HN29" s="501"/>
      <c r="HO29" s="501"/>
      <c r="HP29" s="501"/>
      <c r="HQ29" s="501"/>
      <c r="HR29" s="501"/>
      <c r="HS29" s="501"/>
      <c r="HT29" s="501"/>
      <c r="HU29" s="501"/>
      <c r="HV29" s="656"/>
      <c r="HW29" s="1922"/>
      <c r="HX29" s="1946"/>
      <c r="HY29" s="1940"/>
      <c r="HZ29" s="14"/>
      <c r="IA29" s="673"/>
      <c r="IB29" s="673"/>
      <c r="IC29" s="674"/>
      <c r="ID29" s="1956"/>
      <c r="IE29" s="1953"/>
      <c r="IF29" s="1960">
        <v>1</v>
      </c>
      <c r="IG29" s="537">
        <v>1</v>
      </c>
      <c r="IH29" s="537">
        <v>1</v>
      </c>
      <c r="II29" s="537">
        <v>1</v>
      </c>
      <c r="IJ29" s="537">
        <v>1</v>
      </c>
      <c r="IK29" s="537">
        <v>1</v>
      </c>
      <c r="IL29" s="537">
        <v>1</v>
      </c>
    </row>
    <row r="30" spans="2:246" ht="13.5" customHeight="1" x14ac:dyDescent="0.3">
      <c r="B30" s="1703" t="s">
        <v>470</v>
      </c>
      <c r="C30" s="2113"/>
      <c r="D30" s="679" t="s">
        <v>683</v>
      </c>
      <c r="E30" s="1778" t="s">
        <v>684</v>
      </c>
      <c r="F30" s="1800"/>
      <c r="G30" s="1792"/>
      <c r="H30" s="1156"/>
      <c r="I30" s="1156"/>
      <c r="J30" s="70"/>
      <c r="K30" s="71" t="s">
        <v>641</v>
      </c>
      <c r="L30" s="2043" t="s">
        <v>565</v>
      </c>
      <c r="M30" s="1827"/>
      <c r="N30" s="1819">
        <f>Assumptions!C145</f>
        <v>3.9874660247461273E-2</v>
      </c>
      <c r="O30" s="1180">
        <f>Assumptions!D145</f>
        <v>0.73669132939831261</v>
      </c>
      <c r="P30" s="1180">
        <f>Assumptions!E145</f>
        <v>0.2217688924025227</v>
      </c>
      <c r="Q30" s="1180">
        <f>Assumptions!F145</f>
        <v>0</v>
      </c>
      <c r="R30" s="1180">
        <f>Assumptions!G145</f>
        <v>1.665117951703468E-3</v>
      </c>
      <c r="S30" s="1445"/>
      <c r="T30" s="1445"/>
      <c r="U30" s="1445"/>
      <c r="V30" s="1445"/>
      <c r="W30" s="1445">
        <v>1</v>
      </c>
      <c r="X30" s="1445"/>
      <c r="Y30" s="1190" cm="1">
        <f t="array" ref="Y30:AC30">(_xlfn.ANCHORARRAY($Y$19)*N30)+(_xlfn.ANCHORARRAY($Y$11)*O30)+(P30*_xlfn.ANCHORARRAY($Y$12))+(Q30*_xlfn.ANCHORARRAY($Y$21))+(_xlfn.ANCHORARRAY($Y$26)*R30)</f>
        <v>0.4489805210595349</v>
      </c>
      <c r="Z30" s="1190">
        <v>0.10817379090183231</v>
      </c>
      <c r="AA30" s="1190">
        <v>8.6966852292135105E-2</v>
      </c>
      <c r="AB30" s="1190">
        <v>0.24989990542226156</v>
      </c>
      <c r="AC30" s="1190">
        <v>0.10597893032423612</v>
      </c>
      <c r="AD30" s="1182">
        <f>Assumptions!E$667*O30</f>
        <v>0.31819619151119988</v>
      </c>
      <c r="AE30" s="1180">
        <f>Assumptions!F$667*O30</f>
        <v>9.4839914167810669E-3</v>
      </c>
      <c r="AF30" s="1181">
        <f>Assumptions!G$667*O30</f>
        <v>0.40901114647033165</v>
      </c>
      <c r="AG30" s="1177"/>
      <c r="AH30" s="1177"/>
      <c r="AI30" s="1177"/>
      <c r="AJ30" s="1177"/>
      <c r="AK30" s="1417">
        <f t="shared" si="53"/>
        <v>0</v>
      </c>
      <c r="AL30" s="1177"/>
      <c r="AM30" s="1177"/>
      <c r="AN30" s="1177"/>
      <c r="AO30" s="1834">
        <v>0</v>
      </c>
      <c r="AP30" s="1847"/>
      <c r="AQ30" s="1837">
        <f t="shared" si="102"/>
        <v>15.050862270265304</v>
      </c>
      <c r="AR30" s="656">
        <f>Assumptions!D390</f>
        <v>0</v>
      </c>
      <c r="AS30" s="656">
        <f>Assumptions!E390</f>
        <v>11.605387795037222</v>
      </c>
      <c r="AT30" s="656">
        <f>Assumptions!F390</f>
        <v>11.690610742755222</v>
      </c>
      <c r="AU30" s="656">
        <f>Assumptions!G390</f>
        <v>39.587262113156079</v>
      </c>
      <c r="AV30" s="656">
        <f>Assumptions!H390</f>
        <v>26.89570541417261</v>
      </c>
      <c r="AW30" s="656">
        <f>Assumptions!I390</f>
        <v>11.954298282025283</v>
      </c>
      <c r="AX30" s="656">
        <f>Assumptions!J390</f>
        <v>12.049741757354163</v>
      </c>
      <c r="AY30" s="656">
        <f>Assumptions!K390</f>
        <v>12.145543482971894</v>
      </c>
      <c r="AZ30" s="656">
        <f>Assumptions!L390</f>
        <v>12.241732936870024</v>
      </c>
      <c r="BA30" s="656">
        <f>Assumptions!M390</f>
        <v>12.338340178310542</v>
      </c>
      <c r="BB30" s="656">
        <f>Assumptions!N390</f>
        <v>12.435395826309627</v>
      </c>
      <c r="BC30" s="656">
        <f>Assumptions!O390</f>
        <v>12.532931038894409</v>
      </c>
      <c r="BD30" s="656">
        <f>Assumptions!P390</f>
        <v>12.630977493172248</v>
      </c>
      <c r="BE30" s="656">
        <f>Assumptions!Q390</f>
        <v>12.729567366237889</v>
      </c>
      <c r="BF30" s="656">
        <f>Assumptions!R390</f>
        <v>12.828733316945875</v>
      </c>
      <c r="BG30" s="501">
        <f t="shared" si="54"/>
        <v>15.864185767201723</v>
      </c>
      <c r="BH30" s="657">
        <f t="shared" si="0"/>
        <v>0</v>
      </c>
      <c r="BI30" s="658">
        <f t="shared" si="1"/>
        <v>11.605387795037222</v>
      </c>
      <c r="BJ30" s="658">
        <f t="shared" si="2"/>
        <v>23.295998537792443</v>
      </c>
      <c r="BK30" s="658">
        <f t="shared" si="3"/>
        <v>62.883260650948522</v>
      </c>
      <c r="BL30" s="658">
        <f t="shared" si="4"/>
        <v>89.778966065121125</v>
      </c>
      <c r="BM30" s="658">
        <f t="shared" si="5"/>
        <v>101.7332643471464</v>
      </c>
      <c r="BN30" s="658">
        <f t="shared" si="6"/>
        <v>113.78300610450057</v>
      </c>
      <c r="BO30" s="658">
        <f t="shared" si="7"/>
        <v>125.92854958747246</v>
      </c>
      <c r="BP30" s="658">
        <f t="shared" si="8"/>
        <v>138.1702825243425</v>
      </c>
      <c r="BQ30" s="658">
        <f t="shared" si="9"/>
        <v>150.50862270265304</v>
      </c>
      <c r="BR30" s="658">
        <f t="shared" si="10"/>
        <v>162.94401852896266</v>
      </c>
      <c r="BS30" s="658">
        <f t="shared" si="11"/>
        <v>175.47694956785708</v>
      </c>
      <c r="BT30" s="658">
        <f t="shared" si="12"/>
        <v>188.10792706102933</v>
      </c>
      <c r="BU30" s="658">
        <f t="shared" si="13"/>
        <v>200.83749442726722</v>
      </c>
      <c r="BV30" s="1851">
        <f t="shared" si="14"/>
        <v>213.6662277442131</v>
      </c>
      <c r="BW30" s="1661"/>
      <c r="BX30" s="1855"/>
      <c r="BY30" s="1192">
        <f t="shared" si="15"/>
        <v>23.387364370174062</v>
      </c>
      <c r="BZ30" s="666">
        <f>INDEX(Sources!$M$11:$M$21,MATCH($D30,Sources!$C$11:$C$21,0))</f>
        <v>0.35199999999999998</v>
      </c>
      <c r="CA30" s="666">
        <f>INDEX(Sources!$M$11:$M$21,MATCH($D30,Sources!$C$11:$C$21,0))</f>
        <v>0.35199999999999998</v>
      </c>
      <c r="CB30" s="666">
        <f>INDEX(Sources!$M$11:$M$21,MATCH($D30,Sources!$C$11:$C$21,0))</f>
        <v>0.35199999999999998</v>
      </c>
      <c r="CC30" s="666">
        <f>INDEX(Sources!$M$11:$M$21,MATCH($D30,Sources!$C$11:$C$21,0))</f>
        <v>0.35199999999999998</v>
      </c>
      <c r="CD30" s="666">
        <f>INDEX(Sources!$M$11:$M$21,MATCH($D30,Sources!$C$11:$C$21,0))</f>
        <v>0.35199999999999998</v>
      </c>
      <c r="CE30" s="666">
        <f>INDEX(Sources!$M$11:$M$21,MATCH($D30,Sources!$C$11:$C$21,0))</f>
        <v>0.35199999999999998</v>
      </c>
      <c r="CF30" s="666">
        <f>INDEX(Sources!$M$11:$M$21,MATCH($D30,Sources!$C$11:$C$21,0))</f>
        <v>0.35199999999999998</v>
      </c>
      <c r="CG30" s="666">
        <f>INDEX(Sources!$M$11:$M$21,MATCH($D30,Sources!$C$11:$C$21,0))</f>
        <v>0.35199999999999998</v>
      </c>
      <c r="CH30" s="666">
        <f>INDEX(Sources!$M$11:$M$21,MATCH($D30,Sources!$C$11:$C$21,0))</f>
        <v>0.35199999999999998</v>
      </c>
      <c r="CI30" s="666">
        <f>INDEX(Sources!$M$11:$M$21,MATCH($D30,Sources!$C$11:$C$21,0))</f>
        <v>0.35199999999999998</v>
      </c>
      <c r="CJ30" s="666">
        <f>INDEX(Sources!$M$11:$M$21,MATCH($D30,Sources!$C$11:$C$21,0))</f>
        <v>0.35199999999999998</v>
      </c>
      <c r="CK30" s="666">
        <f>INDEX(Sources!$M$11:$M$21,MATCH($D30,Sources!$C$11:$C$21,0))</f>
        <v>0.35199999999999998</v>
      </c>
      <c r="CL30" s="666">
        <f>INDEX(Sources!$M$11:$M$21,MATCH($D30,Sources!$C$11:$C$21,0))</f>
        <v>0.35199999999999998</v>
      </c>
      <c r="CM30" s="666">
        <f>INDEX(Sources!$M$11:$M$21,MATCH($D30,Sources!$C$11:$C$21,0))</f>
        <v>0.35199999999999998</v>
      </c>
      <c r="CN30" s="666">
        <f>INDEX(Sources!$M$11:$M$21,MATCH($D30,Sources!$C$11:$C$21,0))</f>
        <v>0.35199999999999998</v>
      </c>
      <c r="CO30" s="479">
        <f t="shared" si="101"/>
        <v>0.35199999999999992</v>
      </c>
      <c r="CP30" s="660">
        <f t="shared" si="18"/>
        <v>3.5199999999999991</v>
      </c>
      <c r="CQ30" s="681">
        <f t="shared" si="103"/>
        <v>1.2798092436370194E-2</v>
      </c>
      <c r="CR30" s="662">
        <f t="shared" si="55"/>
        <v>0.9872019075636298</v>
      </c>
      <c r="CS30" s="685" t="s">
        <v>680</v>
      </c>
      <c r="CT30" s="1862"/>
      <c r="CU30" s="1872"/>
      <c r="CV30" s="1868">
        <f>(BH30*((Assumptions!D486*Assumptions!$C$143)+(Assumptions!D477*(1-Assumptions!$C$143))))/1000</f>
        <v>0</v>
      </c>
      <c r="CW30" s="656">
        <f>(BI30*((Assumptions!E486*Assumptions!$C$143)+(Assumptions!E477*(1-Assumptions!$C$143))))/1000</f>
        <v>0.90343005310797209</v>
      </c>
      <c r="CX30" s="656">
        <f>(BJ30*((Assumptions!F486*Assumptions!$C$143)+(Assumptions!F477*(1-Assumptions!$C$143))))/1000</f>
        <v>1.8461161054179589</v>
      </c>
      <c r="CY30" s="656">
        <f>(BK30*((Assumptions!G486*Assumptions!$C$143)+(Assumptions!G477*(1-Assumptions!$C$143))))/1000</f>
        <v>5.4981466842861311</v>
      </c>
      <c r="CZ30" s="656">
        <f>(BL30*((Assumptions!H486*Assumptions!$C$143)+(Assumptions!H477*(1-Assumptions!$C$143))))/1000</f>
        <v>8.2859414468295398</v>
      </c>
      <c r="DA30" s="656">
        <f>(BM30*((Assumptions!I486*Assumptions!$C$143)+(Assumptions!I477*(1-Assumptions!$C$143))))/1000</f>
        <v>9.5449041486841004</v>
      </c>
      <c r="DB30" s="656">
        <f>(BN30*((Assumptions!J486*Assumptions!$C$143)+(Assumptions!J477*(1-Assumptions!$C$143))))/1000</f>
        <v>10.85477491661042</v>
      </c>
      <c r="DC30" s="656">
        <f>(BO30*((Assumptions!K486*Assumptions!$C$143)+(Assumptions!K477*(1-Assumptions!$C$143))))/1000</f>
        <v>12.217872632719546</v>
      </c>
      <c r="DD30" s="656">
        <f>(BP30*((Assumptions!L486*Assumptions!$C$143)+(Assumptions!L477*(1-Assumptions!$C$143))))/1000</f>
        <v>13.636620909337962</v>
      </c>
      <c r="DE30" s="656">
        <f>(BQ30*((Assumptions!M486*Assumptions!$C$143)+(Assumptions!M477*(1-Assumptions!$C$143))))/1000</f>
        <v>15.113552630141385</v>
      </c>
      <c r="DF30" s="656">
        <f>(BR30*((Assumptions!N486*Assumptions!$C$143)+(Assumptions!N477*(1-Assumptions!$C$143))))/1000</f>
        <v>16.651314686558401</v>
      </c>
      <c r="DG30" s="656">
        <f>(BS30*((Assumptions!O486*Assumptions!$C$143)+(Assumptions!O477*(1-Assumptions!$C$143))))/1000</f>
        <v>18.252672918004428</v>
      </c>
      <c r="DH30" s="656">
        <f>(BT30*((Assumptions!P486*Assumptions!$C$143)+(Assumptions!P477*(1-Assumptions!$C$143))))/1000</f>
        <v>19.920517264882658</v>
      </c>
      <c r="DI30" s="656">
        <f>(BU30*((Assumptions!Q486*Assumptions!$C$143)+(Assumptions!Q477*(1-Assumptions!$C$143))))/1000</f>
        <v>21.657867143680544</v>
      </c>
      <c r="DJ30" s="656">
        <f>(BV30*((Assumptions!R486*Assumptions!$C$143)+(Assumptions!R477*(1-Assumptions!$C$143))))/1000</f>
        <v>23.467877053899755</v>
      </c>
      <c r="DK30" s="659">
        <f>BH30*((Assumptions!D490*Assumptions!$D$145)+(Assumptions!D489*Assumptions!$E$145)+((1-Assumptions!$D$145-Assumptions!$E$145)*Assumptions!D478))/1000</f>
        <v>0</v>
      </c>
      <c r="DL30" s="659">
        <f>BI30*((Assumptions!E490*Assumptions!$D$145)+(Assumptions!E489*Assumptions!$E$145)+((1-Assumptions!$D$145-Assumptions!$E$145)*Assumptions!E478))/1000</f>
        <v>0.88287173786256057</v>
      </c>
      <c r="DM30" s="659">
        <f>BJ30*((Assumptions!F490*Assumptions!$D$145)+(Assumptions!F489*Assumptions!$E$145)+((1-Assumptions!$D$145-Assumptions!$E$145)*Assumptions!F478))/1000</f>
        <v>1.8242589096189787</v>
      </c>
      <c r="DN30" s="659">
        <f>BK30*((Assumptions!G490*Assumptions!$D$145)+(Assumptions!G489*Assumptions!$E$145)+((1-Assumptions!$D$145-Assumptions!$E$145)*Assumptions!G478))/1000</f>
        <v>5.110808101820802</v>
      </c>
      <c r="DO30" s="659">
        <f>BL30*((Assumptions!H490*Assumptions!$D$145)+(Assumptions!H489*Assumptions!$E$145)+((1-Assumptions!$D$145-Assumptions!$E$145)*Assumptions!H478))/1000</f>
        <v>7.9563098499862654</v>
      </c>
      <c r="DP30" s="659">
        <f>BM30*((Assumptions!I490*Assumptions!$D$145)+(Assumptions!I489*Assumptions!$E$145)+((1-Assumptions!$D$145-Assumptions!$E$145)*Assumptions!I478))/1000</f>
        <v>9.2712296374208574</v>
      </c>
      <c r="DQ30" s="659">
        <f>BN30*((Assumptions!J490*Assumptions!$D$145)+(Assumptions!J489*Assumptions!$E$145)+((1-Assumptions!$D$145-Assumptions!$E$145)*Assumptions!J478))/1000</f>
        <v>10.663402373897853</v>
      </c>
      <c r="DR30" s="659">
        <f>BO30*((Assumptions!K490*Assumptions!$D$145)+(Assumptions!K489*Assumptions!$E$145)+((1-Assumptions!$D$145-Assumptions!$E$145)*Assumptions!K478))/1000</f>
        <v>12.136663006859944</v>
      </c>
      <c r="DS30" s="659">
        <f>BP30*((Assumptions!L490*Assumptions!$D$145)+(Assumptions!L489*Assumptions!$E$145)+((1-Assumptions!$D$145-Assumptions!$E$145)*Assumptions!L478))/1000</f>
        <v>13.694899517646032</v>
      </c>
      <c r="DT30" s="659">
        <f>BQ30*((Assumptions!M490*Assumptions!$D$145)+(Assumptions!M489*Assumptions!$E$145)+((1-Assumptions!$D$145-Assumptions!$E$145)*Assumptions!M478))/1000</f>
        <v>15.342172822589298</v>
      </c>
      <c r="DU30" s="659">
        <f>BR30*((Assumptions!N490*Assumptions!$D$145)+(Assumptions!N489*Assumptions!$E$145)+((1-Assumptions!$D$145-Assumptions!$E$145)*Assumptions!N478))/1000</f>
        <v>17.08357645471154</v>
      </c>
      <c r="DV30" s="659">
        <f>BS30*((Assumptions!O490*Assumptions!$D$145)+(Assumptions!O489*Assumptions!$E$145)+((1-Assumptions!$D$145-Assumptions!$E$145)*Assumptions!O478))/1000</f>
        <v>18.922850891416019</v>
      </c>
      <c r="DW30" s="659">
        <f>BT30*((Assumptions!P490*Assumptions!$D$145)+(Assumptions!P489*Assumptions!$E$145)+((1-Assumptions!$D$145-Assumptions!$E$145)*Assumptions!P478))/1000</f>
        <v>20.864631269514248</v>
      </c>
      <c r="DX30" s="659">
        <f>BU30*((Assumptions!Q490*Assumptions!$D$145)+(Assumptions!Q489*Assumptions!$E$145)+((1-Assumptions!$D$145-Assumptions!$E$145)*Assumptions!Q478))/1000</f>
        <v>22.913758034720718</v>
      </c>
      <c r="DY30" s="659">
        <f>BV30*((Assumptions!R490*Assumptions!$D$145)+(Assumptions!R489*Assumptions!$E$145)+((1-Assumptions!$D$145-Assumptions!$E$145)*Assumptions!R478))/1000</f>
        <v>25.075285864202531</v>
      </c>
      <c r="DZ30" s="1189">
        <f>P30*Assumptions!T$838</f>
        <v>0.1327578888384543</v>
      </c>
      <c r="EA30" s="661">
        <f t="shared" si="56"/>
        <v>0.8672421111615457</v>
      </c>
      <c r="EB30" s="1861"/>
      <c r="EC30" s="1881"/>
      <c r="ED30" s="1877">
        <v>1</v>
      </c>
      <c r="EE30" s="870">
        <v>0</v>
      </c>
      <c r="EF30" s="686">
        <f>(('Pathway Analysis'!BP13)*((Assumptions!E312*(1-Assumptions!$D$145))+(Assumptions!E315*Assumptions!$D$145)))/1000</f>
        <v>3.2790823703949905</v>
      </c>
      <c r="EG30" s="686">
        <f>(('Pathway Analysis'!BQ13)*((Assumptions!F312*(1-Assumptions!$D$145))+(Assumptions!F315*Assumptions!$D$145)))/1000</f>
        <v>6.670305928227676</v>
      </c>
      <c r="EH30" s="686">
        <f>(('Pathway Analysis'!BR13)*((Assumptions!G312*(1-Assumptions!$D$145))+(Assumptions!G315*Assumptions!$D$145)))/1000</f>
        <v>18.058793807280029</v>
      </c>
      <c r="EI30" s="686">
        <f>(('Pathway Analysis'!BS13)*((Assumptions!H312*(1-Assumptions!$D$145))+(Assumptions!H315*Assumptions!$D$145)))/1000</f>
        <v>26.080230944671733</v>
      </c>
      <c r="EJ30" s="686">
        <f>(('Pathway Analysis'!BT13)*((Assumptions!I312*(1-Assumptions!$D$145))+(Assumptions!I315*Assumptions!$D$145)))/1000</f>
        <v>29.872444140039548</v>
      </c>
      <c r="EK30" s="686">
        <f>(('Pathway Analysis'!BU13)*((Assumptions!J312*(1-Assumptions!$D$145))+(Assumptions!J315*Assumptions!$D$145)))/1000</f>
        <v>33.817398770130282</v>
      </c>
      <c r="EL30" s="686">
        <f>(('Pathway Analysis'!BV13)*((Assumptions!K312*(1-Assumptions!$D$145))+(Assumptions!K315*Assumptions!$D$145)))/1000</f>
        <v>37.9063032517778</v>
      </c>
      <c r="EM30" s="686">
        <f>(('Pathway Analysis'!BW13)*((Assumptions!L312*(1-Assumptions!$D$145))+(Assumptions!L315*Assumptions!$D$145)))/1000</f>
        <v>42.144951951402902</v>
      </c>
      <c r="EN30" s="686">
        <f>(('Pathway Analysis'!BX13)*((Assumptions!M312*(1-Assumptions!$D$145))+(Assumptions!M315*Assumptions!$D$145)))/1000</f>
        <v>46.539378864860467</v>
      </c>
      <c r="EO30" s="686">
        <f>(('Pathway Analysis'!BY13)*((Assumptions!N312*(1-Assumptions!$D$145))+(Assumptions!N315*Assumptions!$D$145)))/1000</f>
        <v>51.095867885395556</v>
      </c>
      <c r="EP30" s="686">
        <f>(('Pathway Analysis'!BZ13)*((Assumptions!O312*(1-Assumptions!$D$145))+(Assumptions!O315*Assumptions!$D$145)))/1000</f>
        <v>55.820963523116355</v>
      </c>
      <c r="EQ30" s="686">
        <f>(('Pathway Analysis'!CA13)*((Assumptions!P312*(1-Assumptions!$D$145))+(Assumptions!P315*Assumptions!$D$145)))/1000</f>
        <v>60.721482096215802</v>
      </c>
      <c r="ER30" s="686">
        <f>(('Pathway Analysis'!CB13)*((Assumptions!Q312*(1-Assumptions!$D$145))+(Assumptions!Q315*Assumptions!$D$145)))/1000</f>
        <v>65.804523415090586</v>
      </c>
      <c r="ES30" s="686">
        <f>(('Pathway Analysis'!CC13)*((Assumptions!R312*(1-Assumptions!$D$145))+(Assumptions!R315*Assumptions!$D$145)))/1000</f>
        <v>71.077482981468648</v>
      </c>
      <c r="ET30" s="541">
        <f t="shared" si="57"/>
        <v>44.91165180262081</v>
      </c>
      <c r="EU30" s="479">
        <f>(BH30*((Assumptions!D$285*(1-Assumptions!$D$145))+(Assumptions!D$289*Assumptions!$D$145)))*0.001</f>
        <v>0</v>
      </c>
      <c r="EV30" s="479">
        <f>(BI30*((Assumptions!E$285*(1-Assumptions!$D$145))+(Assumptions!E$289*Assumptions!$D$145)))*0.001</f>
        <v>0.12979812384259518</v>
      </c>
      <c r="EW30" s="479">
        <f>(BJ30*((Assumptions!F$285*(1-Assumptions!$D$145))+(Assumptions!F$289*Assumptions!$D$145)))*0.001</f>
        <v>0.26723124414810612</v>
      </c>
      <c r="EX30" s="479">
        <f>(BK30*((Assumptions!G$285*(1-Assumptions!$D$145))+(Assumptions!G$289*Assumptions!$D$145)))*0.001</f>
        <v>0.78181118585707277</v>
      </c>
      <c r="EY30" s="479">
        <f>(BL30*((Assumptions!H$285*(1-Assumptions!$D$145))+(Assumptions!H$289*Assumptions!$D$145)))*0.001</f>
        <v>1.1766079453224085</v>
      </c>
      <c r="EZ30" s="479">
        <f>(BM30*((Assumptions!I$285*(1-Assumptions!$D$145))+(Assumptions!I$289*Assumptions!$D$145)))*0.001</f>
        <v>1.365161500507043</v>
      </c>
      <c r="FA30" s="479">
        <f>(BN30*((Assumptions!J$285*(1-Assumptions!$D$145))+(Assumptions!J$289*Assumptions!$D$145)))*0.001</f>
        <v>1.5635890077722623</v>
      </c>
      <c r="FB30" s="479">
        <f>(BO30*((Assumptions!K$285*(1-Assumptions!$D$145))+(Assumptions!K$289*Assumptions!$D$145)))*0.001</f>
        <v>1.7723633609870546</v>
      </c>
      <c r="FC30" s="479">
        <f>(BP30*((Assumptions!L$285*(1-Assumptions!$D$145))+(Assumptions!L$289*Assumptions!$D$145)))*0.001</f>
        <v>1.9919787347368305</v>
      </c>
      <c r="FD30" s="479">
        <f>(BQ30*((Assumptions!M$285*(1-Assumptions!$D$145))+(Assumptions!M$289*Assumptions!$D$145)))*0.001</f>
        <v>2.2229515111027078</v>
      </c>
      <c r="FE30" s="479">
        <f>(BR30*((Assumptions!N$285*(1-Assumptions!$D$145))+(Assumptions!N$289*Assumptions!$D$145)))*0.001</f>
        <v>2.4658212465622209</v>
      </c>
      <c r="FF30" s="479">
        <f>(BS30*((Assumptions!O$285*(1-Assumptions!$D$145))+(Assumptions!O$289*Assumptions!$D$145)))*0.001</f>
        <v>2.7211516807603955</v>
      </c>
      <c r="FG30" s="479">
        <f>(BT30*((Assumptions!P$285*(1-Assumptions!$D$145))+(Assumptions!P$289*Assumptions!$D$145)))*0.001</f>
        <v>2.9895317889769562</v>
      </c>
      <c r="FH30" s="479">
        <f>(BU30*((Assumptions!Q$285*(1-Assumptions!$D$145))+(Assumptions!Q$289*Assumptions!$D$145)))*0.001</f>
        <v>3.2715768801955467</v>
      </c>
      <c r="FI30" s="479">
        <f>(BV30*((Assumptions!R$285*(1-Assumptions!$D$145))+(Assumptions!R$289*Assumptions!$D$145)))*0.001</f>
        <v>3.5679297427645489</v>
      </c>
      <c r="FJ30" s="666">
        <f t="shared" si="58"/>
        <v>0</v>
      </c>
      <c r="FK30" s="666">
        <f t="shared" si="59"/>
        <v>3.1492842465523951</v>
      </c>
      <c r="FL30" s="666">
        <f t="shared" si="60"/>
        <v>6.40307468407957</v>
      </c>
      <c r="FM30" s="666">
        <f t="shared" si="61"/>
        <v>17.276982621422956</v>
      </c>
      <c r="FN30" s="666">
        <f t="shared" si="62"/>
        <v>24.903622999349324</v>
      </c>
      <c r="FO30" s="666">
        <f t="shared" si="63"/>
        <v>28.507282639532505</v>
      </c>
      <c r="FP30" s="666">
        <f t="shared" si="64"/>
        <v>32.253809762358017</v>
      </c>
      <c r="FQ30" s="666">
        <f t="shared" si="65"/>
        <v>36.133939890790742</v>
      </c>
      <c r="FR30" s="666">
        <f t="shared" si="66"/>
        <v>40.152973216666069</v>
      </c>
      <c r="FS30" s="666">
        <f t="shared" si="67"/>
        <v>44.31642735375776</v>
      </c>
      <c r="FT30" s="666">
        <f t="shared" si="95"/>
        <v>48.630046638833335</v>
      </c>
      <c r="FU30" s="666">
        <f t="shared" si="96"/>
        <v>53.099811842355962</v>
      </c>
      <c r="FV30" s="666">
        <f t="shared" si="97"/>
        <v>57.731950307238847</v>
      </c>
      <c r="FW30" s="666">
        <f t="shared" si="98"/>
        <v>62.532946534895039</v>
      </c>
      <c r="FX30" s="1883">
        <f t="shared" si="99"/>
        <v>67.5095532387041</v>
      </c>
      <c r="FY30" s="1895"/>
      <c r="FZ30" s="1889"/>
      <c r="GA30" s="704"/>
      <c r="GB30" s="704"/>
      <c r="GC30" s="704"/>
      <c r="GD30" s="704"/>
      <c r="GE30" s="704"/>
      <c r="GF30" s="704"/>
      <c r="GG30" s="704"/>
      <c r="GH30" s="704"/>
      <c r="GI30" s="704"/>
      <c r="GJ30" s="704"/>
      <c r="GK30" s="704"/>
      <c r="GL30" s="704"/>
      <c r="GM30" s="704"/>
      <c r="GN30" s="1899"/>
      <c r="GO30" s="1910"/>
      <c r="GP30" s="1868">
        <f>BH30*INDEX(Assumptions!G$565:G$570,MATCH($B30,Assumptions!$B$565:$B$570,0))</f>
        <v>0</v>
      </c>
      <c r="GQ30" s="656">
        <f>BI30*INDEX(Assumptions!H$565:H$570,MATCH($B30,Assumptions!$B$565:$B$570,0))</f>
        <v>4.3472707953471907</v>
      </c>
      <c r="GR30" s="656">
        <f>BJ30*INDEX(Assumptions!I$565:I$570,MATCH($B30,Assumptions!$B$565:$B$570,0))</f>
        <v>8.5772077787866792</v>
      </c>
      <c r="GS30" s="656">
        <f>BK30*INDEX(Assumptions!J$565:J$570,MATCH($B30,Assumptions!$B$565:$B$570,0))</f>
        <v>22.743323801907625</v>
      </c>
      <c r="GT30" s="656">
        <f>BL30*INDEX(Assumptions!K$565:K$570,MATCH($B30,Assumptions!$B$565:$B$570,0))</f>
        <v>31.873361000007208</v>
      </c>
      <c r="GU30" s="656">
        <f>BM30*INDEX(Assumptions!L$565:L$570,MATCH($B30,Assumptions!$B$565:$B$570,0))</f>
        <v>35.426112323033657</v>
      </c>
      <c r="GV30" s="656">
        <f>BN30*INDEX(Assumptions!M$565:M$570,MATCH($B30,Assumptions!$B$565:$B$570,0))</f>
        <v>38.830479076609059</v>
      </c>
      <c r="GW30" s="656">
        <f>BO30*INDEX(Assumptions!N$565:N$570,MATCH($B30,Assumptions!$B$565:$B$570,0))</f>
        <v>42.083824438197965</v>
      </c>
      <c r="GX30" s="656">
        <f>BP30*INDEX(Assumptions!O$565:O$570,MATCH($B30,Assumptions!$B$565:$B$570,0))</f>
        <v>45.180643237721803</v>
      </c>
      <c r="GY30" s="656">
        <f>BQ30*INDEX(Assumptions!P$565:P$570,MATCH($B30,Assumptions!$B$565:$B$570,0))</f>
        <v>46.946015884062675</v>
      </c>
      <c r="GZ30" s="656">
        <f>BR30*INDEX(Assumptions!Q$565:Q$570,MATCH($B30,Assumptions!$B$565:$B$570,0))</f>
        <v>31.639052791655669</v>
      </c>
      <c r="HA30" s="656">
        <f>BS30*INDEX(Assumptions!R$565:R$570,MATCH($B30,Assumptions!$B$565:$B$570,0))</f>
        <v>68.37058358553368</v>
      </c>
      <c r="HB30" s="656">
        <f>BT30*INDEX(Assumptions!S$565:S$570,MATCH($B30,Assumptions!$B$565:$B$570,0))</f>
        <v>73.291955336015235</v>
      </c>
      <c r="HC30" s="656">
        <f>BU30*INDEX(Assumptions!T$565:T$570,MATCH($B30,Assumptions!$B$565:$B$570,0))</f>
        <v>76.691004904408814</v>
      </c>
      <c r="HD30" s="1922">
        <f>BV30*INDEX(Assumptions!U$565:U$570,MATCH($B30,Assumptions!$B$565:$B$570,0))</f>
        <v>79.929304558089626</v>
      </c>
      <c r="HE30" s="1933"/>
      <c r="HF30" s="1927"/>
      <c r="HG30" s="501"/>
      <c r="HH30" s="501"/>
      <c r="HI30" s="501"/>
      <c r="HJ30" s="501"/>
      <c r="HK30" s="501"/>
      <c r="HL30" s="501"/>
      <c r="HM30" s="501"/>
      <c r="HN30" s="501"/>
      <c r="HO30" s="501"/>
      <c r="HP30" s="501"/>
      <c r="HQ30" s="501"/>
      <c r="HR30" s="501"/>
      <c r="HS30" s="501"/>
      <c r="HT30" s="501"/>
      <c r="HU30" s="501"/>
      <c r="HV30" s="656"/>
      <c r="HW30" s="1922"/>
      <c r="HX30" s="1946"/>
      <c r="HY30" s="1940"/>
      <c r="HZ30" s="14"/>
      <c r="IA30" s="673"/>
      <c r="IB30" s="673"/>
      <c r="IC30" s="674"/>
      <c r="ID30" s="1956"/>
      <c r="IE30" s="1953"/>
      <c r="IF30" s="1960">
        <v>1</v>
      </c>
      <c r="IG30" s="537">
        <v>1</v>
      </c>
      <c r="IH30" s="537">
        <v>1</v>
      </c>
      <c r="II30" s="537">
        <v>1</v>
      </c>
      <c r="IJ30" s="537">
        <v>1</v>
      </c>
      <c r="IK30" s="537">
        <v>1</v>
      </c>
      <c r="IL30" s="537">
        <v>1</v>
      </c>
    </row>
    <row r="31" spans="2:246" ht="13.5" customHeight="1" x14ac:dyDescent="0.3">
      <c r="B31" s="1703" t="s">
        <v>470</v>
      </c>
      <c r="C31" s="2113"/>
      <c r="D31" s="679" t="s">
        <v>685</v>
      </c>
      <c r="E31" s="1778" t="s">
        <v>686</v>
      </c>
      <c r="F31" s="1800"/>
      <c r="G31" s="1792"/>
      <c r="H31" s="1156"/>
      <c r="I31" s="1156"/>
      <c r="J31" s="70"/>
      <c r="K31" s="71" t="s">
        <v>641</v>
      </c>
      <c r="L31" s="2043" t="s">
        <v>565</v>
      </c>
      <c r="M31" s="1827"/>
      <c r="N31" s="1821" cm="1">
        <f t="array" ref="N31:R31">_xlfn.ANCHORARRAY(Assumptions!C148)</f>
        <v>0.82886350367188644</v>
      </c>
      <c r="O31" s="1182">
        <v>0</v>
      </c>
      <c r="P31" s="1182">
        <v>0</v>
      </c>
      <c r="Q31" s="1182">
        <v>0.14620589770888645</v>
      </c>
      <c r="R31" s="1182">
        <v>2.4930598619227064E-2</v>
      </c>
      <c r="S31" s="1445">
        <v>1</v>
      </c>
      <c r="T31" s="1445"/>
      <c r="U31" s="1445"/>
      <c r="V31" s="1445"/>
      <c r="W31" s="1445"/>
      <c r="X31" s="1445"/>
      <c r="Y31" s="1190" cm="1">
        <f t="array" ref="Y31:AC31">(_xlfn.ANCHORARRAY($Y$19)*N31)+(_xlfn.ANCHORARRAY($Y$11)*O31)+(P31*_xlfn.ANCHORARRAY($Y$12))+(Q31*_xlfn.ANCHORARRAY($Y$21))+(_xlfn.ANCHORARRAY($Y$26)*R31)</f>
        <v>0.49310083829430906</v>
      </c>
      <c r="Z31" s="1190">
        <v>9.0268072458740342E-2</v>
      </c>
      <c r="AA31" s="1190">
        <v>0.11999188633487488</v>
      </c>
      <c r="AB31" s="1190">
        <v>0.2059654534733952</v>
      </c>
      <c r="AC31" s="1190">
        <v>9.0673749438680437E-2</v>
      </c>
      <c r="AD31" s="1182">
        <f>Assumptions!E$667*O31</f>
        <v>0</v>
      </c>
      <c r="AE31" s="1180">
        <f>Assumptions!F$667*O31</f>
        <v>0</v>
      </c>
      <c r="AF31" s="1181">
        <f>Assumptions!G$667*O31</f>
        <v>0</v>
      </c>
      <c r="AG31" s="1177"/>
      <c r="AH31" s="1177"/>
      <c r="AI31" s="1177"/>
      <c r="AJ31" s="1177"/>
      <c r="AK31" s="1417">
        <f t="shared" si="53"/>
        <v>0</v>
      </c>
      <c r="AL31" s="1177"/>
      <c r="AM31" s="1177"/>
      <c r="AN31" s="1177"/>
      <c r="AO31" s="1835">
        <f>Assumptions!M$843</f>
        <v>0.74891566265060239</v>
      </c>
      <c r="AP31" s="1848"/>
      <c r="AQ31" s="1837">
        <f t="shared" si="102"/>
        <v>0.92278479157410642</v>
      </c>
      <c r="AR31" s="656">
        <f>Assumptions!D391</f>
        <v>0</v>
      </c>
      <c r="AS31" s="656">
        <f>Assumptions!E391</f>
        <v>0.93721152390332363</v>
      </c>
      <c r="AT31" s="656">
        <f>Assumptions!F391</f>
        <v>0.95798311960554272</v>
      </c>
      <c r="AU31" s="656">
        <f>Assumptions!G391</f>
        <v>0.97942113698601296</v>
      </c>
      <c r="AV31" s="656">
        <f>Assumptions!H391</f>
        <v>1.001325380037944</v>
      </c>
      <c r="AW31" s="656">
        <f>Assumptions!I391</f>
        <v>1.0237015971584997</v>
      </c>
      <c r="AX31" s="656">
        <f>Assumptions!J391</f>
        <v>1.0465554640543806</v>
      </c>
      <c r="AY31" s="656">
        <f>Assumptions!K391</f>
        <v>1.0698925833957662</v>
      </c>
      <c r="AZ31" s="656">
        <f>Assumptions!L391</f>
        <v>1.0937184848812802</v>
      </c>
      <c r="BA31" s="656">
        <f>Assumptions!M391</f>
        <v>1.1180386257183124</v>
      </c>
      <c r="BB31" s="656">
        <f>Assumptions!N391</f>
        <v>1.1428583915227419</v>
      </c>
      <c r="BC31" s="656">
        <f>Assumptions!O391</f>
        <v>1.168183097638092</v>
      </c>
      <c r="BD31" s="656">
        <f>Assumptions!P391</f>
        <v>1.194017990873504</v>
      </c>
      <c r="BE31" s="656">
        <f>Assumptions!Q391</f>
        <v>1.2203682516579577</v>
      </c>
      <c r="BF31" s="656">
        <f>Assumptions!R391</f>
        <v>1.2472389966048927</v>
      </c>
      <c r="BG31" s="501">
        <f t="shared" si="54"/>
        <v>1.1087766667107819</v>
      </c>
      <c r="BH31" s="657">
        <f t="shared" si="0"/>
        <v>0</v>
      </c>
      <c r="BI31" s="658">
        <f t="shared" si="1"/>
        <v>0.93721152390332363</v>
      </c>
      <c r="BJ31" s="658">
        <f t="shared" si="2"/>
        <v>1.8951946435088662</v>
      </c>
      <c r="BK31" s="658">
        <f t="shared" si="3"/>
        <v>2.8746157804948793</v>
      </c>
      <c r="BL31" s="658">
        <f t="shared" si="4"/>
        <v>3.8759411605328236</v>
      </c>
      <c r="BM31" s="658">
        <f t="shared" si="5"/>
        <v>4.8996427576913231</v>
      </c>
      <c r="BN31" s="658">
        <f t="shared" si="6"/>
        <v>5.9461982217457034</v>
      </c>
      <c r="BO31" s="658">
        <f t="shared" si="7"/>
        <v>7.0160908051414701</v>
      </c>
      <c r="BP31" s="658">
        <f t="shared" si="8"/>
        <v>8.109809290022751</v>
      </c>
      <c r="BQ31" s="658">
        <f t="shared" si="9"/>
        <v>9.227847915741064</v>
      </c>
      <c r="BR31" s="658">
        <f t="shared" si="10"/>
        <v>10.370706307263806</v>
      </c>
      <c r="BS31" s="658">
        <f t="shared" si="11"/>
        <v>11.538889404901898</v>
      </c>
      <c r="BT31" s="658">
        <f t="shared" si="12"/>
        <v>12.732907395775403</v>
      </c>
      <c r="BU31" s="658">
        <f t="shared" si="13"/>
        <v>13.95327564743336</v>
      </c>
      <c r="BV31" s="1851">
        <f t="shared" si="14"/>
        <v>15.200514644038252</v>
      </c>
      <c r="BW31" s="1661"/>
      <c r="BX31" s="1855"/>
      <c r="BY31" s="1192">
        <f t="shared" si="15"/>
        <v>1300.4115487783599</v>
      </c>
      <c r="BZ31" s="666">
        <f>INDEX(Sources!$M$11:$M$21,MATCH($D31,Sources!$C$11:$C$21,0))</f>
        <v>1.2</v>
      </c>
      <c r="CA31" s="666">
        <f>INDEX(Sources!$M$11:$M$21,MATCH($D31,Sources!$C$11:$C$21,0))</f>
        <v>1.2</v>
      </c>
      <c r="CB31" s="666">
        <f>INDEX(Sources!$M$11:$M$21,MATCH($D31,Sources!$C$11:$C$21,0))</f>
        <v>1.2</v>
      </c>
      <c r="CC31" s="666">
        <f>INDEX(Sources!$M$11:$M$21,MATCH($D31,Sources!$C$11:$C$21,0))</f>
        <v>1.2</v>
      </c>
      <c r="CD31" s="666">
        <f>INDEX(Sources!$M$11:$M$21,MATCH($D31,Sources!$C$11:$C$21,0))</f>
        <v>1.2</v>
      </c>
      <c r="CE31" s="666">
        <f>INDEX(Sources!$M$11:$M$21,MATCH($D31,Sources!$C$11:$C$21,0))</f>
        <v>1.2</v>
      </c>
      <c r="CF31" s="666">
        <f>INDEX(Sources!$M$11:$M$21,MATCH($D31,Sources!$C$11:$C$21,0))</f>
        <v>1.2</v>
      </c>
      <c r="CG31" s="666">
        <f>INDEX(Sources!$M$11:$M$21,MATCH($D31,Sources!$C$11:$C$21,0))</f>
        <v>1.2</v>
      </c>
      <c r="CH31" s="666">
        <f>INDEX(Sources!$M$11:$M$21,MATCH($D31,Sources!$C$11:$C$21,0))</f>
        <v>1.2</v>
      </c>
      <c r="CI31" s="666">
        <f>INDEX(Sources!$M$11:$M$21,MATCH($D31,Sources!$C$11:$C$21,0))</f>
        <v>1.2</v>
      </c>
      <c r="CJ31" s="666">
        <f>INDEX(Sources!$M$11:$M$21,MATCH($D31,Sources!$C$11:$C$21,0))</f>
        <v>1.2</v>
      </c>
      <c r="CK31" s="666">
        <f>INDEX(Sources!$M$11:$M$21,MATCH($D31,Sources!$C$11:$C$21,0))</f>
        <v>1.2</v>
      </c>
      <c r="CL31" s="666">
        <f>INDEX(Sources!$M$11:$M$21,MATCH($D31,Sources!$C$11:$C$21,0))</f>
        <v>1.2</v>
      </c>
      <c r="CM31" s="666">
        <f>INDEX(Sources!$M$11:$M$21,MATCH($D31,Sources!$C$11:$C$21,0))</f>
        <v>1.2</v>
      </c>
      <c r="CN31" s="666">
        <f>INDEX(Sources!$M$11:$M$21,MATCH($D31,Sources!$C$11:$C$21,0))</f>
        <v>1.2</v>
      </c>
      <c r="CO31" s="479">
        <f t="shared" si="101"/>
        <v>1.1999999999999997</v>
      </c>
      <c r="CP31" s="660">
        <f t="shared" si="18"/>
        <v>11.999999999999998</v>
      </c>
      <c r="CQ31" s="681">
        <f t="shared" si="103"/>
        <v>0.99883025090058175</v>
      </c>
      <c r="CR31" s="662">
        <f t="shared" si="55"/>
        <v>1.1697490994182491E-3</v>
      </c>
      <c r="CS31" s="685" t="s">
        <v>680</v>
      </c>
      <c r="CT31" s="1862"/>
      <c r="CU31" s="1872"/>
      <c r="CV31" s="1868">
        <f>(BH31*((Assumptions!D487*Assumptions!$C$143)+(Assumptions!D478*(1-Assumptions!$C$143))))/1000</f>
        <v>0</v>
      </c>
      <c r="CW31" s="656">
        <f>(BI31*((Assumptions!E487*Assumptions!$C$143)+(Assumptions!E478*(1-Assumptions!$C$143))))/1000</f>
        <v>7.3061965193423187E-2</v>
      </c>
      <c r="CX31" s="656">
        <f>(BJ31*((Assumptions!F487*Assumptions!$C$143)+(Assumptions!F478*(1-Assumptions!$C$143))))/1000</f>
        <v>0.15051960712771906</v>
      </c>
      <c r="CY31" s="656">
        <f>(BK31*((Assumptions!G487*Assumptions!$C$143)+(Assumptions!G478*(1-Assumptions!$C$143))))/1000</f>
        <v>0.25095379833104559</v>
      </c>
      <c r="CZ31" s="656">
        <f>(BL31*((Assumptions!H487*Assumptions!$C$143)+(Assumptions!H478*(1-Assumptions!$C$143))))/1000</f>
        <v>0.35676044518154426</v>
      </c>
      <c r="DA31" s="656">
        <f>(BM31*((Assumptions!I487*Assumptions!$C$143)+(Assumptions!I478*(1-Assumptions!$C$143))))/1000</f>
        <v>0.45883028354723837</v>
      </c>
      <c r="DB31" s="656">
        <f>(BN31*((Assumptions!J487*Assumptions!$C$143)+(Assumptions!J478*(1-Assumptions!$C$143))))/1000</f>
        <v>0.56663992628348048</v>
      </c>
      <c r="DC31" s="656">
        <f>(BO31*((Assumptions!K487*Assumptions!$C$143)+(Assumptions!K478*(1-Assumptions!$C$143))))/1000</f>
        <v>0.68051017911847878</v>
      </c>
      <c r="DD31" s="656">
        <f>(BP31*((Assumptions!L487*Assumptions!$C$143)+(Assumptions!L478*(1-Assumptions!$C$143))))/1000</f>
        <v>0.80077900536014679</v>
      </c>
      <c r="DE31" s="656">
        <f>(BQ31*((Assumptions!M487*Assumptions!$C$143)+(Assumptions!M478*(1-Assumptions!$C$143))))/1000</f>
        <v>0.9278024042268963</v>
      </c>
      <c r="DF31" s="656">
        <f>(BR31*((Assumptions!N487*Assumptions!$C$143)+(Assumptions!N478*(1-Assumptions!$C$143))))/1000</f>
        <v>1.0619553322357047</v>
      </c>
      <c r="DG31" s="656">
        <f>(BS31*((Assumptions!O487*Assumptions!$C$143)+(Assumptions!O478*(1-Assumptions!$C$143))))/1000</f>
        <v>1.203632669683004</v>
      </c>
      <c r="DH31" s="656">
        <f>(BT31*((Assumptions!P487*Assumptions!$C$143)+(Assumptions!P478*(1-Assumptions!$C$143))))/1000</f>
        <v>1.3532502343486992</v>
      </c>
      <c r="DI31" s="656">
        <f>(BU31*((Assumptions!Q487*Assumptions!$C$143)+(Assumptions!Q478*(1-Assumptions!$C$143))))/1000</f>
        <v>1.5112458446528283</v>
      </c>
      <c r="DJ31" s="656">
        <f>(BV31*((Assumptions!R487*Assumptions!$C$143)+(Assumptions!R478*(1-Assumptions!$C$143))))/1000</f>
        <v>1.6780804345980862</v>
      </c>
      <c r="DK31" s="680">
        <f t="shared" si="83"/>
        <v>0</v>
      </c>
      <c r="DL31" s="680">
        <f t="shared" si="84"/>
        <v>7.3061965193423187E-2</v>
      </c>
      <c r="DM31" s="680">
        <f t="shared" si="85"/>
        <v>0.15051960712771906</v>
      </c>
      <c r="DN31" s="680">
        <f t="shared" si="86"/>
        <v>0.25095379833104559</v>
      </c>
      <c r="DO31" s="680">
        <f t="shared" si="87"/>
        <v>0.35676044518154426</v>
      </c>
      <c r="DP31" s="680">
        <f t="shared" si="88"/>
        <v>0.45883028354723837</v>
      </c>
      <c r="DQ31" s="680">
        <f t="shared" si="89"/>
        <v>0.56663992628348048</v>
      </c>
      <c r="DR31" s="680">
        <f t="shared" si="90"/>
        <v>0.68051017911847878</v>
      </c>
      <c r="DS31" s="680">
        <f t="shared" si="91"/>
        <v>0.80077900536014679</v>
      </c>
      <c r="DT31" s="680">
        <f t="shared" si="92"/>
        <v>0.9278024042268963</v>
      </c>
      <c r="DU31" s="680">
        <f t="shared" ref="DU31:DU33" si="104">DF31</f>
        <v>1.0619553322357047</v>
      </c>
      <c r="DV31" s="680">
        <f t="shared" ref="DV31:DV33" si="105">DG31</f>
        <v>1.203632669683004</v>
      </c>
      <c r="DW31" s="680">
        <f t="shared" ref="DW31:DW33" si="106">DH31</f>
        <v>1.3532502343486992</v>
      </c>
      <c r="DX31" s="680">
        <f t="shared" ref="DX31:DX33" si="107">DI31</f>
        <v>1.5112458446528283</v>
      </c>
      <c r="DY31" s="680">
        <f t="shared" ref="DY31:DY33" si="108">DJ31</f>
        <v>1.6780804345980862</v>
      </c>
      <c r="DZ31" s="68">
        <f>Assumptions!M$840</f>
        <v>2.2650602409638555E-2</v>
      </c>
      <c r="EA31" s="661">
        <f t="shared" si="56"/>
        <v>0.97734939759036144</v>
      </c>
      <c r="EB31" s="1861"/>
      <c r="EC31" s="1881"/>
      <c r="ED31" s="1877">
        <v>1</v>
      </c>
      <c r="EE31" s="870">
        <v>0</v>
      </c>
      <c r="EF31" s="656">
        <f>(('Pathway Analysis'!BP9*Assumptions!$D$214)*(Assumptions!E317*(1-Assumptions!$M$843) )+(Assumptions!E318*Assumptions!$M$843))/1000</f>
        <v>2.5920344514199564E-4</v>
      </c>
      <c r="EG31" s="656">
        <f>(('Pathway Analysis'!BQ9*Assumptions!$D$214)*(Assumptions!F317*(1-Assumptions!$M$843) )+(Assumptions!F318*Assumptions!$M$843))/1000</f>
        <v>5.2618299363825483E-4</v>
      </c>
      <c r="EH31" s="656">
        <f>(('Pathway Analysis'!BR9*Assumptions!$D$214)*(Assumptions!G317*(1-Assumptions!$M$843) )+(Assumptions!G318*Assumptions!$M$843))/1000</f>
        <v>8.0117192858940593E-4</v>
      </c>
      <c r="EI31" s="656">
        <f>(('Pathway Analysis'!BS9*Assumptions!$D$214)*(Assumptions!H317*(1-Assumptions!$M$843) )+(Assumptions!H318*Assumptions!$M$843))/1000</f>
        <v>1.0844105315890914E-3</v>
      </c>
      <c r="EJ31" s="656">
        <f>(('Pathway Analysis'!BT9*Assumptions!$D$214)*(Assumptions!I317*(1-Assumptions!$M$843) )+(Assumptions!I318*Assumptions!$M$843))/1000</f>
        <v>1.3761462926787662E-3</v>
      </c>
      <c r="EK31" s="656">
        <f>(('Pathway Analysis'!BU9*Assumptions!$D$214)*(Assumptions!J317*(1-Assumptions!$M$843) )+(Assumptions!J318*Assumptions!$M$843))/1000</f>
        <v>1.67663412660113E-3</v>
      </c>
      <c r="EL31" s="656">
        <f>(('Pathway Analysis'!BV9*Assumptions!$D$214)*(Assumptions!K317*(1-Assumptions!$M$843) )+(Assumptions!K318*Assumptions!$M$843))/1000</f>
        <v>1.9861365955411558E-3</v>
      </c>
      <c r="EM31" s="656">
        <f>(('Pathway Analysis'!BW9*Assumptions!$D$214)*(Assumptions!L317*(1-Assumptions!$M$843) )+(Assumptions!L318*Assumptions!$M$843))/1000</f>
        <v>2.3049241385493914E-3</v>
      </c>
      <c r="EN31" s="656">
        <f>(('Pathway Analysis'!BX9*Assumptions!$D$214)*(Assumptions!M317*(1-Assumptions!$M$843) )+(Assumptions!M318*Assumptions!$M$843))/1000</f>
        <v>2.6332753078478748E-3</v>
      </c>
      <c r="EO31" s="656">
        <f>(('Pathway Analysis'!BY9*Assumptions!$D$214)*(Assumptions!N317*(1-Assumptions!$M$843) )+(Assumptions!N318*Assumptions!$M$843))/1000</f>
        <v>2.9714770122253103E-3</v>
      </c>
      <c r="EP31" s="656">
        <f>(('Pathway Analysis'!BZ9*Assumptions!$D$214)*(Assumptions!O317*(1-Assumptions!$M$843) )+(Assumptions!O318*Assumptions!$M$843))/1000</f>
        <v>3.3198247677340706E-3</v>
      </c>
      <c r="EQ31" s="656">
        <f>(('Pathway Analysis'!CA9*Assumptions!$D$214)*(Assumptions!P317*(1-Assumptions!$M$843) )+(Assumptions!P318*Assumptions!$M$843))/1000</f>
        <v>3.6786229559080843E-3</v>
      </c>
      <c r="ER31" s="656">
        <f>(('Pathway Analysis'!CB9*Assumptions!$D$214)*(Assumptions!Q317*(1-Assumptions!$M$843) )+(Assumptions!Q318*Assumptions!$M$843))/1000</f>
        <v>4.0481850897273273E-3</v>
      </c>
      <c r="ES31" s="656">
        <f>(('Pathway Analysis'!CC9*Assumptions!$D$214)*(Assumptions!R317*(1-Assumptions!$M$843) )+(Assumptions!R318*Assumptions!$M$843))/1000</f>
        <v>4.428834087561148E-3</v>
      </c>
      <c r="ET31" s="541">
        <f t="shared" si="57"/>
        <v>2.5258035695460627E-3</v>
      </c>
      <c r="EU31" s="479">
        <f>(BH31*(Assumptions!D$291*(1-Assumptions!$M$843) )+(Assumptions!D$292*Assumptions!$M$843))*0.001</f>
        <v>5.3023186497113461E-2</v>
      </c>
      <c r="EV31" s="479">
        <f>(BI31*(Assumptions!E$291*(1-Assumptions!$M$843) )+(Assumptions!E$292*Assumptions!$M$843))*0.001</f>
        <v>6.7228133805363313E-2</v>
      </c>
      <c r="EW31" s="479">
        <f>(BJ31*(Assumptions!F$291*(1-Assumptions!$M$843) )+(Assumptions!F$292*Assumptions!$M$843))*0.001</f>
        <v>8.1749939367477861E-2</v>
      </c>
      <c r="EX31" s="479">
        <f>(BK31*(Assumptions!G$291*(1-Assumptions!$M$843) )+(Assumptions!G$292*Assumptions!$M$843))*0.001</f>
        <v>9.6598752847004046E-2</v>
      </c>
      <c r="EY31" s="479">
        <f>(BL31*(Assumptions!H$291*(1-Assumptions!$M$843) )+(Assumptions!H$292*Assumptions!$M$843))*0.001</f>
        <v>0.11178175198162817</v>
      </c>
      <c r="EZ31" s="479">
        <f>(BM31*(Assumptions!I$291*(1-Assumptions!$M$843) )+(Assumptions!I$292*Assumptions!$M$843))*0.001</f>
        <v>0.12730620725385725</v>
      </c>
      <c r="FA31" s="479">
        <f>(BN31*(Assumptions!J$291*(1-Assumptions!$M$843) )+(Assumptions!J$292*Assumptions!$M$843))*0.001</f>
        <v>0.14317948102563574</v>
      </c>
      <c r="FB31" s="479">
        <f>(BO31*(Assumptions!K$291*(1-Assumptions!$M$843) )+(Assumptions!K$292*Assumptions!$M$843))*0.001</f>
        <v>0.1594090266743001</v>
      </c>
      <c r="FC31" s="479">
        <f>(BP31*(Assumptions!L$291*(1-Assumptions!$M$843) )+(Assumptions!L$292*Assumptions!$M$843))*0.001</f>
        <v>0.17600238773618251</v>
      </c>
      <c r="FD31" s="479">
        <f>(BQ31*(Assumptions!M$291*(1-Assumptions!$M$843) )+(Assumptions!M$292*Assumptions!$M$843))*0.001</f>
        <v>0.19296719706424462</v>
      </c>
      <c r="FE31" s="479">
        <f>(BR31*(Assumptions!N$291*(1-Assumptions!$M$843) )+(Assumptions!N$292*Assumptions!$M$843))*0.001</f>
        <v>0.21031117600618796</v>
      </c>
      <c r="FF31" s="479">
        <f>(BS31*(Assumptions!O$291*(1-Assumptions!$M$843) )+(Assumptions!O$292*Assumptions!$M$843))*0.001</f>
        <v>0.22804213360949588</v>
      </c>
      <c r="FG31" s="479">
        <f>(BT31*(Assumptions!P$291*(1-Assumptions!$M$843) )+(Assumptions!P$292*Assumptions!$M$843))*0.001</f>
        <v>0.24616796585985692</v>
      </c>
      <c r="FH31" s="479">
        <f>(BU31*(Assumptions!Q$291*(1-Assumptions!$M$843) )+(Assumptions!Q$292*Assumptions!$M$843))*0.001</f>
        <v>0.26469665495939004</v>
      </c>
      <c r="FI31" s="479">
        <f>(BV31*(Assumptions!R$291*(1-Assumptions!$M$843) )+(Assumptions!R$292*Assumptions!$M$843))*0.001</f>
        <v>0.28363626865101021</v>
      </c>
      <c r="FJ31" s="666">
        <f t="shared" si="58"/>
        <v>-5.3023186497113461E-2</v>
      </c>
      <c r="FK31" s="666">
        <f t="shared" si="59"/>
        <v>-6.6968930360221321E-2</v>
      </c>
      <c r="FL31" s="666">
        <f t="shared" si="60"/>
        <v>-8.1223756373839606E-2</v>
      </c>
      <c r="FM31" s="666">
        <f t="shared" si="61"/>
        <v>-9.5797580918414643E-2</v>
      </c>
      <c r="FN31" s="666">
        <f t="shared" si="62"/>
        <v>-0.11069734145003908</v>
      </c>
      <c r="FO31" s="666">
        <f t="shared" si="63"/>
        <v>-0.12593006096117848</v>
      </c>
      <c r="FP31" s="666">
        <f t="shared" si="64"/>
        <v>-0.14150284689903461</v>
      </c>
      <c r="FQ31" s="666">
        <f t="shared" si="65"/>
        <v>-0.15742289007875895</v>
      </c>
      <c r="FR31" s="666">
        <f t="shared" si="66"/>
        <v>-0.17369746359763313</v>
      </c>
      <c r="FS31" s="666">
        <f t="shared" si="67"/>
        <v>-0.19033392175639674</v>
      </c>
      <c r="FT31" s="666">
        <f t="shared" si="95"/>
        <v>-0.20733969899396265</v>
      </c>
      <c r="FU31" s="666">
        <f t="shared" si="96"/>
        <v>-0.22472230884176181</v>
      </c>
      <c r="FV31" s="666">
        <f t="shared" si="97"/>
        <v>-0.24248934290394883</v>
      </c>
      <c r="FW31" s="666">
        <f t="shared" si="98"/>
        <v>-0.26064846986966272</v>
      </c>
      <c r="FX31" s="1883">
        <f t="shared" si="99"/>
        <v>-0.27920743456344904</v>
      </c>
      <c r="FY31" s="1895"/>
      <c r="FZ31" s="1889"/>
      <c r="GA31" s="704"/>
      <c r="GB31" s="704"/>
      <c r="GC31" s="704"/>
      <c r="GD31" s="704"/>
      <c r="GE31" s="704"/>
      <c r="GF31" s="704"/>
      <c r="GG31" s="704"/>
      <c r="GH31" s="704"/>
      <c r="GI31" s="704"/>
      <c r="GJ31" s="704"/>
      <c r="GK31" s="704"/>
      <c r="GL31" s="704"/>
      <c r="GM31" s="704"/>
      <c r="GN31" s="1899"/>
      <c r="GO31" s="1910"/>
      <c r="GP31" s="1868">
        <f>BH31*INDEX(Assumptions!G$565:G$570,MATCH($B31,Assumptions!$B$565:$B$570,0))</f>
        <v>0</v>
      </c>
      <c r="GQ31" s="656">
        <f>BI31*INDEX(Assumptions!H$565:H$570,MATCH($B31,Assumptions!$B$565:$B$570,0))</f>
        <v>0.35107075772772028</v>
      </c>
      <c r="GR31" s="656">
        <f>BJ31*INDEX(Assumptions!I$565:I$570,MATCH($B31,Assumptions!$B$565:$B$570,0))</f>
        <v>0.69777984456207309</v>
      </c>
      <c r="GS31" s="656">
        <f>BK31*INDEX(Assumptions!J$565:J$570,MATCH($B31,Assumptions!$B$565:$B$570,0))</f>
        <v>1.0396775998110126</v>
      </c>
      <c r="GT31" s="656">
        <f>BL31*INDEX(Assumptions!K$565:K$570,MATCH($B31,Assumptions!$B$565:$B$570,0))</f>
        <v>1.3760380325035202</v>
      </c>
      <c r="GU31" s="656">
        <f>BM31*INDEX(Assumptions!L$565:L$570,MATCH($B31,Assumptions!$B$565:$B$570,0))</f>
        <v>1.706180331385188</v>
      </c>
      <c r="GV31" s="656">
        <f>BN31*INDEX(Assumptions!M$565:M$570,MATCH($B31,Assumptions!$B$565:$B$570,0))</f>
        <v>2.0292461373608739</v>
      </c>
      <c r="GW31" s="656">
        <f>BO31*INDEX(Assumptions!N$565:N$570,MATCH($B31,Assumptions!$B$565:$B$570,0))</f>
        <v>2.3446941511935102</v>
      </c>
      <c r="GX31" s="656">
        <f>BP31*INDEX(Assumptions!O$565:O$570,MATCH($B31,Assumptions!$B$565:$B$570,0))</f>
        <v>2.6518466457787495</v>
      </c>
      <c r="GY31" s="656">
        <f>BQ31*INDEX(Assumptions!P$565:P$570,MATCH($B31,Assumptions!$B$565:$B$570,0))</f>
        <v>2.8783114684661739</v>
      </c>
      <c r="GZ31" s="656">
        <f>BR31*INDEX(Assumptions!Q$565:Q$570,MATCH($B31,Assumptions!$B$565:$B$570,0))</f>
        <v>2.0136935820320034</v>
      </c>
      <c r="HA31" s="656">
        <f>BS31*INDEX(Assumptions!R$565:R$570,MATCH($B31,Assumptions!$B$565:$B$570,0))</f>
        <v>4.4958645821284806</v>
      </c>
      <c r="HB31" s="656">
        <f>BT31*INDEX(Assumptions!S$565:S$570,MATCH($B31,Assumptions!$B$565:$B$570,0))</f>
        <v>4.9610864078365884</v>
      </c>
      <c r="HC31" s="656">
        <f>BU31*INDEX(Assumptions!T$565:T$570,MATCH($B31,Assumptions!$B$565:$B$570,0))</f>
        <v>5.3281422085128156</v>
      </c>
      <c r="HD31" s="1922">
        <f>BV31*INDEX(Assumptions!U$565:U$570,MATCH($B31,Assumptions!$B$565:$B$570,0))</f>
        <v>5.6862826533237225</v>
      </c>
      <c r="HE31" s="1933"/>
      <c r="HF31" s="1927"/>
      <c r="HG31" s="501"/>
      <c r="HH31" s="501"/>
      <c r="HI31" s="501"/>
      <c r="HJ31" s="501"/>
      <c r="HK31" s="501"/>
      <c r="HL31" s="501"/>
      <c r="HM31" s="501"/>
      <c r="HN31" s="501"/>
      <c r="HO31" s="501"/>
      <c r="HP31" s="501"/>
      <c r="HQ31" s="501"/>
      <c r="HR31" s="501"/>
      <c r="HS31" s="501"/>
      <c r="HT31" s="501"/>
      <c r="HU31" s="501"/>
      <c r="HV31" s="656"/>
      <c r="HW31" s="1922"/>
      <c r="HX31" s="1946"/>
      <c r="HY31" s="1940"/>
      <c r="HZ31" s="14"/>
      <c r="IA31" s="673"/>
      <c r="IB31" s="673"/>
      <c r="IC31" s="674"/>
      <c r="ID31" s="1956"/>
      <c r="IE31" s="1953"/>
      <c r="IF31" s="1960">
        <v>1</v>
      </c>
      <c r="IG31" s="537">
        <v>1</v>
      </c>
      <c r="IH31" s="537">
        <v>1</v>
      </c>
      <c r="II31" s="537">
        <v>1</v>
      </c>
      <c r="IJ31" s="537">
        <v>1</v>
      </c>
      <c r="IK31" s="537">
        <v>1</v>
      </c>
      <c r="IL31" s="537">
        <v>1</v>
      </c>
    </row>
    <row r="32" spans="2:246" ht="13.5" customHeight="1" x14ac:dyDescent="0.3">
      <c r="B32" s="1703" t="s">
        <v>470</v>
      </c>
      <c r="C32" s="2113"/>
      <c r="D32" s="679" t="s">
        <v>687</v>
      </c>
      <c r="E32" s="1778" t="s">
        <v>688</v>
      </c>
      <c r="F32" s="1800"/>
      <c r="G32" s="1792"/>
      <c r="H32" s="1156"/>
      <c r="I32" s="1156"/>
      <c r="J32" s="70"/>
      <c r="K32" s="71" t="s">
        <v>641</v>
      </c>
      <c r="L32" s="2043" t="s">
        <v>565</v>
      </c>
      <c r="M32" s="1827"/>
      <c r="N32" s="1820" cm="1">
        <f t="array" ref="N32:R32">_xlfn.ANCHORARRAY(Assumptions!C149)</f>
        <v>4.9213494594420405E-2</v>
      </c>
      <c r="O32" s="1191">
        <v>0</v>
      </c>
      <c r="P32" s="1191">
        <v>0</v>
      </c>
      <c r="Q32" s="1191">
        <v>0.87638812345218486</v>
      </c>
      <c r="R32" s="1191">
        <v>7.4413461571129352E-2</v>
      </c>
      <c r="S32" s="1445">
        <v>1</v>
      </c>
      <c r="T32" s="1445"/>
      <c r="U32" s="1445"/>
      <c r="V32" s="1445"/>
      <c r="W32" s="1445"/>
      <c r="X32" s="1445"/>
      <c r="Y32" s="1190" cm="1">
        <f t="array" ref="Y32:AC32">(_xlfn.ANCHORARRAY($Y$19)*N32)+(_xlfn.ANCHORARRAY($Y$11)*O32)+(P32*_xlfn.ANCHORARRAY($Y$12))+(Q32*_xlfn.ANCHORARRAY($Y$21))+(_xlfn.ANCHORARRAY($Y$26)*R32)</f>
        <v>0.43951354110734886</v>
      </c>
      <c r="Z32" s="1190">
        <v>0.11577984762227941</v>
      </c>
      <c r="AA32" s="1190">
        <v>9.4417730424519439E-2</v>
      </c>
      <c r="AB32" s="1190">
        <v>0.24692463644021556</v>
      </c>
      <c r="AC32" s="1190">
        <v>0.10337932402337134</v>
      </c>
      <c r="AD32" s="1182">
        <f>Assumptions!E$667*O32</f>
        <v>0</v>
      </c>
      <c r="AE32" s="1180">
        <f>Assumptions!F$667*O32</f>
        <v>0</v>
      </c>
      <c r="AF32" s="1181">
        <f>Assumptions!G$667*O32</f>
        <v>0</v>
      </c>
      <c r="AG32" s="1177"/>
      <c r="AH32" s="1177"/>
      <c r="AI32" s="1177"/>
      <c r="AJ32" s="1177"/>
      <c r="AK32" s="1417">
        <f t="shared" si="53"/>
        <v>0</v>
      </c>
      <c r="AL32" s="1177"/>
      <c r="AM32" s="1177"/>
      <c r="AN32" s="1177"/>
      <c r="AO32" s="1836">
        <f>Assumptions!L$843</f>
        <v>0.12450851900393181</v>
      </c>
      <c r="AP32" s="1849"/>
      <c r="AQ32" s="1837">
        <f t="shared" si="102"/>
        <v>14.314576431473217</v>
      </c>
      <c r="AR32" s="656">
        <f>Assumptions!D392</f>
        <v>0</v>
      </c>
      <c r="AS32" s="656">
        <f>Assumptions!E392</f>
        <v>0</v>
      </c>
      <c r="AT32" s="656">
        <f>Assumptions!F392</f>
        <v>0</v>
      </c>
      <c r="AU32" s="656">
        <f>Assumptions!G392</f>
        <v>95.76001967986457</v>
      </c>
      <c r="AV32" s="656">
        <f>Assumptions!H392</f>
        <v>47.385744634867585</v>
      </c>
      <c r="AW32" s="656">
        <f>Assumptions!I392</f>
        <v>0</v>
      </c>
      <c r="AX32" s="656">
        <f>Assumptions!J392</f>
        <v>0</v>
      </c>
      <c r="AY32" s="656">
        <f>Assumptions!K392</f>
        <v>0</v>
      </c>
      <c r="AZ32" s="656">
        <f>Assumptions!L392</f>
        <v>0</v>
      </c>
      <c r="BA32" s="656">
        <f>Assumptions!M392</f>
        <v>0</v>
      </c>
      <c r="BB32" s="656">
        <f>Assumptions!N392</f>
        <v>0</v>
      </c>
      <c r="BC32" s="656">
        <f>Assumptions!O392</f>
        <v>0</v>
      </c>
      <c r="BD32" s="656">
        <f>Assumptions!P392</f>
        <v>0</v>
      </c>
      <c r="BE32" s="656">
        <f>Assumptions!Q392</f>
        <v>0</v>
      </c>
      <c r="BF32" s="656">
        <f>Assumptions!R392</f>
        <v>0</v>
      </c>
      <c r="BG32" s="501">
        <f t="shared" si="54"/>
        <v>11.928813692894346</v>
      </c>
      <c r="BH32" s="657">
        <f t="shared" si="0"/>
        <v>0</v>
      </c>
      <c r="BI32" s="658">
        <f t="shared" si="1"/>
        <v>0</v>
      </c>
      <c r="BJ32" s="658">
        <f t="shared" si="2"/>
        <v>0</v>
      </c>
      <c r="BK32" s="658">
        <f t="shared" si="3"/>
        <v>95.76001967986457</v>
      </c>
      <c r="BL32" s="658">
        <f t="shared" si="4"/>
        <v>143.14576431473216</v>
      </c>
      <c r="BM32" s="658">
        <f t="shared" si="5"/>
        <v>143.14576431473216</v>
      </c>
      <c r="BN32" s="658">
        <f t="shared" si="6"/>
        <v>143.14576431473216</v>
      </c>
      <c r="BO32" s="658">
        <f t="shared" si="7"/>
        <v>143.14576431473216</v>
      </c>
      <c r="BP32" s="658">
        <f t="shared" si="8"/>
        <v>143.14576431473216</v>
      </c>
      <c r="BQ32" s="658">
        <f t="shared" si="9"/>
        <v>143.14576431473216</v>
      </c>
      <c r="BR32" s="658">
        <f t="shared" si="10"/>
        <v>143.14576431473216</v>
      </c>
      <c r="BS32" s="658">
        <f t="shared" si="11"/>
        <v>143.14576431473216</v>
      </c>
      <c r="BT32" s="658">
        <f t="shared" si="12"/>
        <v>143.14576431473216</v>
      </c>
      <c r="BU32" s="658">
        <f t="shared" si="13"/>
        <v>143.14576431473216</v>
      </c>
      <c r="BV32" s="1851">
        <f t="shared" si="14"/>
        <v>143.14576431473216</v>
      </c>
      <c r="BW32" s="1661"/>
      <c r="BX32" s="1855"/>
      <c r="BY32" s="1192">
        <f t="shared" si="15"/>
        <v>146.70360733711729</v>
      </c>
      <c r="BZ32" s="666">
        <f>INDEX(Sources!$M$11:$M$21,MATCH($D32,Sources!$C$11:$C$21,0))</f>
        <v>2.1</v>
      </c>
      <c r="CA32" s="666">
        <f>INDEX(Sources!$M$11:$M$21,MATCH($D32,Sources!$C$11:$C$21,0))</f>
        <v>2.1</v>
      </c>
      <c r="CB32" s="666">
        <f>INDEX(Sources!$M$11:$M$21,MATCH($D32,Sources!$C$11:$C$21,0))</f>
        <v>2.1</v>
      </c>
      <c r="CC32" s="666">
        <f>INDEX(Sources!$M$11:$M$21,MATCH($D32,Sources!$C$11:$C$21,0))</f>
        <v>2.1</v>
      </c>
      <c r="CD32" s="666">
        <f>INDEX(Sources!$M$11:$M$21,MATCH($D32,Sources!$C$11:$C$21,0))</f>
        <v>2.1</v>
      </c>
      <c r="CE32" s="666">
        <f>INDEX(Sources!$M$11:$M$21,MATCH($D32,Sources!$C$11:$C$21,0))</f>
        <v>2.1</v>
      </c>
      <c r="CF32" s="666">
        <f>INDEX(Sources!$M$11:$M$21,MATCH($D32,Sources!$C$11:$C$21,0))</f>
        <v>2.1</v>
      </c>
      <c r="CG32" s="666">
        <f>INDEX(Sources!$M$11:$M$21,MATCH($D32,Sources!$C$11:$C$21,0))</f>
        <v>2.1</v>
      </c>
      <c r="CH32" s="666">
        <f>INDEX(Sources!$M$11:$M$21,MATCH($D32,Sources!$C$11:$C$21,0))</f>
        <v>2.1</v>
      </c>
      <c r="CI32" s="666">
        <f>INDEX(Sources!$M$11:$M$21,MATCH($D32,Sources!$C$11:$C$21,0))</f>
        <v>2.1</v>
      </c>
      <c r="CJ32" s="666">
        <f>INDEX(Sources!$M$11:$M$21,MATCH($D32,Sources!$C$11:$C$21,0))</f>
        <v>2.1</v>
      </c>
      <c r="CK32" s="666">
        <f>INDEX(Sources!$M$11:$M$21,MATCH($D32,Sources!$C$11:$C$21,0))</f>
        <v>2.1</v>
      </c>
      <c r="CL32" s="666">
        <f>INDEX(Sources!$M$11:$M$21,MATCH($D32,Sources!$C$11:$C$21,0))</f>
        <v>2.1</v>
      </c>
      <c r="CM32" s="666">
        <f>INDEX(Sources!$M$11:$M$21,MATCH($D32,Sources!$C$11:$C$21,0))</f>
        <v>2.1</v>
      </c>
      <c r="CN32" s="666">
        <f>INDEX(Sources!$M$11:$M$21,MATCH($D32,Sources!$C$11:$C$21,0))</f>
        <v>2.1</v>
      </c>
      <c r="CO32" s="479">
        <f t="shared" si="101"/>
        <v>2.1000000000000005</v>
      </c>
      <c r="CP32" s="660">
        <f t="shared" si="18"/>
        <v>21.000000000000004</v>
      </c>
      <c r="CQ32" s="681">
        <f t="shared" si="103"/>
        <v>3.5710504290404239E-2</v>
      </c>
      <c r="CR32" s="662">
        <f t="shared" si="55"/>
        <v>0.96428949570959577</v>
      </c>
      <c r="CS32" s="685" t="s">
        <v>680</v>
      </c>
      <c r="CT32" s="1862"/>
      <c r="CU32" s="1872"/>
      <c r="CV32" s="1868">
        <f>(BH32*((Assumptions!D488*Assumptions!$C$143)+(Assumptions!D479*(1-Assumptions!$C$143))))/1000</f>
        <v>0</v>
      </c>
      <c r="CW32" s="656">
        <f>(BI32*((Assumptions!E488*Assumptions!$C$143)+(Assumptions!E479*(1-Assumptions!$C$143))))/1000</f>
        <v>0</v>
      </c>
      <c r="CX32" s="656">
        <f>(BJ32*((Assumptions!F488*Assumptions!$C$143)+(Assumptions!F479*(1-Assumptions!$C$143))))/1000</f>
        <v>0</v>
      </c>
      <c r="CY32" s="656">
        <f>(BK32*((Assumptions!G488*Assumptions!$C$143)+(Assumptions!G479*(1-Assumptions!$C$143))))/1000</f>
        <v>9.7442002943895965</v>
      </c>
      <c r="CZ32" s="656">
        <f>(BL32*((Assumptions!H488*Assumptions!$C$143)+(Assumptions!H479*(1-Assumptions!$C$143))))/1000</f>
        <v>15.324928931314492</v>
      </c>
      <c r="DA32" s="656">
        <f>(BM32*((Assumptions!I488*Assumptions!$C$143)+(Assumptions!I479*(1-Assumptions!$C$143))))/1000</f>
        <v>15.61773093749833</v>
      </c>
      <c r="DB32" s="656">
        <f>(BN32*((Assumptions!J488*Assumptions!$C$143)+(Assumptions!J479*(1-Assumptions!$C$143))))/1000</f>
        <v>15.919317003867679</v>
      </c>
      <c r="DC32" s="656">
        <f>(BO32*((Assumptions!K488*Assumptions!$C$143)+(Assumptions!K479*(1-Assumptions!$C$143))))/1000</f>
        <v>16.229950652228112</v>
      </c>
      <c r="DD32" s="656">
        <f>(BP32*((Assumptions!L488*Assumptions!$C$143)+(Assumptions!L479*(1-Assumptions!$C$143))))/1000</f>
        <v>16.549903310039362</v>
      </c>
      <c r="DE32" s="656">
        <f>(BQ32*((Assumptions!M488*Assumptions!$C$143)+(Assumptions!M479*(1-Assumptions!$C$143))))/1000</f>
        <v>16.879454547584942</v>
      </c>
      <c r="DF32" s="656">
        <f>(BR32*((Assumptions!N488*Assumptions!$C$143)+(Assumptions!N479*(1-Assumptions!$C$143))))/1000</f>
        <v>17.218892322256892</v>
      </c>
      <c r="DG32" s="656">
        <f>(BS32*((Assumptions!O488*Assumptions!$C$143)+(Assumptions!O479*(1-Assumptions!$C$143))))/1000</f>
        <v>17.568513230169003</v>
      </c>
      <c r="DH32" s="656">
        <f>(BT32*((Assumptions!P488*Assumptions!$C$143)+(Assumptions!P479*(1-Assumptions!$C$143))))/1000</f>
        <v>17.928622765318476</v>
      </c>
      <c r="DI32" s="656">
        <f>(BU32*((Assumptions!Q488*Assumptions!$C$143)+(Assumptions!Q479*(1-Assumptions!$C$143))))/1000</f>
        <v>18.299535586522431</v>
      </c>
      <c r="DJ32" s="656">
        <f>(BV32*((Assumptions!R488*Assumptions!$C$143)+(Assumptions!R479*(1-Assumptions!$C$143))))/1000</f>
        <v>18.681575792362509</v>
      </c>
      <c r="DK32" s="680">
        <f t="shared" si="83"/>
        <v>0</v>
      </c>
      <c r="DL32" s="680">
        <f t="shared" si="84"/>
        <v>0</v>
      </c>
      <c r="DM32" s="680">
        <f t="shared" si="85"/>
        <v>0</v>
      </c>
      <c r="DN32" s="680">
        <f t="shared" si="86"/>
        <v>9.7442002943895965</v>
      </c>
      <c r="DO32" s="680">
        <f t="shared" si="87"/>
        <v>15.324928931314492</v>
      </c>
      <c r="DP32" s="680">
        <f t="shared" si="88"/>
        <v>15.61773093749833</v>
      </c>
      <c r="DQ32" s="680">
        <f t="shared" si="89"/>
        <v>15.919317003867679</v>
      </c>
      <c r="DR32" s="680">
        <f t="shared" si="90"/>
        <v>16.229950652228112</v>
      </c>
      <c r="DS32" s="680">
        <f t="shared" si="91"/>
        <v>16.549903310039362</v>
      </c>
      <c r="DT32" s="680">
        <f t="shared" si="92"/>
        <v>16.879454547584942</v>
      </c>
      <c r="DU32" s="680">
        <f t="shared" si="104"/>
        <v>17.218892322256892</v>
      </c>
      <c r="DV32" s="680">
        <f t="shared" si="105"/>
        <v>17.568513230169003</v>
      </c>
      <c r="DW32" s="680">
        <f t="shared" si="106"/>
        <v>17.928622765318476</v>
      </c>
      <c r="DX32" s="680">
        <f t="shared" si="107"/>
        <v>18.299535586522431</v>
      </c>
      <c r="DY32" s="680">
        <f t="shared" si="108"/>
        <v>18.681575792362509</v>
      </c>
      <c r="DZ32" s="1163">
        <f>Assumptions!L$840</f>
        <v>1.7431192660550453E-2</v>
      </c>
      <c r="EA32" s="661">
        <f t="shared" si="56"/>
        <v>0.98256880733944951</v>
      </c>
      <c r="EB32" s="1861"/>
      <c r="EC32" s="1881"/>
      <c r="ED32" s="1877">
        <v>1</v>
      </c>
      <c r="EE32" s="870">
        <v>0</v>
      </c>
      <c r="EF32" s="686">
        <f>(('Pathway Analysis'!BP15*Assumptions!$D$216)*(Assumptions!E321*(1-Assumptions!$L$843) )+(Assumptions!E322*Assumptions!$L$843))/1000</f>
        <v>4.1594843777480166E-5</v>
      </c>
      <c r="EG32" s="686">
        <f>(('Pathway Analysis'!BQ15*Assumptions!$D$216)*(Assumptions!F321*(1-Assumptions!$L$843) )+(Assumptions!F322*Assumptions!$L$843))/1000</f>
        <v>8.4437532868283886E-5</v>
      </c>
      <c r="EH32" s="686">
        <f>(('Pathway Analysis'!BR15*Assumptions!$D$216)*(Assumptions!G321*(1-Assumptions!$L$843) )+(Assumptions!G322*Assumptions!$L$843))/1000</f>
        <v>50.191078973887684</v>
      </c>
      <c r="EI32" s="686">
        <f>(('Pathway Analysis'!BS15*Assumptions!$D$216)*(Assumptions!H321*(1-Assumptions!$L$843) )+(Assumptions!H322*Assumptions!$L$843))/1000</f>
        <v>75.394508422183819</v>
      </c>
      <c r="EJ32" s="686">
        <f>(('Pathway Analysis'!BT15*Assumptions!$D$216)*(Assumptions!I321*(1-Assumptions!$L$843) )+(Assumptions!I322*Assumptions!$L$843))/1000</f>
        <v>75.873228262024028</v>
      </c>
      <c r="EK32" s="686">
        <f>(('Pathway Analysis'!BU15*Assumptions!$D$216)*(Assumptions!J321*(1-Assumptions!$L$843) )+(Assumptions!J322*Assumptions!$L$843))/1000</f>
        <v>76.37591937811095</v>
      </c>
      <c r="EL32" s="686">
        <f>(('Pathway Analysis'!BV15*Assumptions!$D$216)*(Assumptions!K321*(1-Assumptions!$L$843) )+(Assumptions!K322*Assumptions!$L$843))/1000</f>
        <v>76.928924772161821</v>
      </c>
      <c r="EM32" s="686">
        <f>(('Pathway Analysis'!BW15*Assumptions!$D$216)*(Assumptions!L321*(1-Assumptions!$L$843) )+(Assumptions!L322*Assumptions!$L$843))/1000</f>
        <v>77.500760117087864</v>
      </c>
      <c r="EN32" s="686">
        <f>(('Pathway Analysis'!BX15*Assumptions!$D$216)*(Assumptions!M321*(1-Assumptions!$L$843) )+(Assumptions!M322*Assumptions!$L$843))/1000</f>
        <v>78.091491601922897</v>
      </c>
      <c r="EO32" s="686">
        <f>(('Pathway Analysis'!BY15*Assumptions!$D$216)*(Assumptions!N321*(1-Assumptions!$L$843) )+(Assumptions!N322*Assumptions!$L$843))/1000</f>
        <v>78.701190797967342</v>
      </c>
      <c r="EP32" s="686">
        <f>(('Pathway Analysis'!BZ15*Assumptions!$D$216)*(Assumptions!O321*(1-Assumptions!$L$843) )+(Assumptions!O322*Assumptions!$L$843))/1000</f>
        <v>79.329934651974696</v>
      </c>
      <c r="EQ32" s="686">
        <f>(('Pathway Analysis'!CA15*Assumptions!$D$216)*(Assumptions!P321*(1-Assumptions!$L$843) )+(Assumptions!P322*Assumptions!$L$843))/1000</f>
        <v>79.977805481018621</v>
      </c>
      <c r="ER32" s="686">
        <f>(('Pathway Analysis'!CB15*Assumptions!$D$216)*(Assumptions!Q321*(1-Assumptions!$L$843) )+(Assumptions!Q322*Assumptions!$L$843))/1000</f>
        <v>80.644890969027301</v>
      </c>
      <c r="ES32" s="686">
        <f>(('Pathway Analysis'!CC15*Assumptions!$D$216)*(Assumptions!R321*(1-Assumptions!$L$843) )+(Assumptions!R322*Assumptions!$L$843))/1000</f>
        <v>81.331284164970626</v>
      </c>
      <c r="ET32" s="541">
        <f t="shared" si="57"/>
        <v>75.861751466028139</v>
      </c>
      <c r="EU32" s="494">
        <f>(BH32*(Assumptions!D$295*(1-Assumptions!$L$843) )+(Assumptions!D$296*Assumptions!$L$843))*0.001</f>
        <v>5.7062273121869459E-3</v>
      </c>
      <c r="EV32" s="494">
        <f>(BI32*(Assumptions!E$295*(1-Assumptions!$L$843) )+(Assumptions!E$296*Assumptions!$L$843))*0.001</f>
        <v>5.7478221559644259E-3</v>
      </c>
      <c r="EW32" s="494">
        <f>(BJ32*(Assumptions!F$295*(1-Assumptions!$L$843) )+(Assumptions!F$296*Assumptions!$L$843))*0.001</f>
        <v>5.7906648450552298E-3</v>
      </c>
      <c r="EX32" s="494">
        <f>(BK32*(Assumptions!G$295*(1-Assumptions!$L$843) )+(Assumptions!G$296*Assumptions!$L$843))*0.001</f>
        <v>3.5461704373445047</v>
      </c>
      <c r="EY32" s="494">
        <f>(BL32*(Assumptions!H$295*(1-Assumptions!$L$843) )+(Assumptions!H$296*Assumptions!$L$843))*0.001</f>
        <v>5.7695366144829618</v>
      </c>
      <c r="EZ32" s="494">
        <f>(BM32*(Assumptions!I$295*(1-Assumptions!$L$843) )+(Assumptions!I$296*Assumptions!$L$843))*0.001</f>
        <v>5.769583429846084</v>
      </c>
      <c r="FA32" s="494">
        <f>(BN32*(Assumptions!J$295*(1-Assumptions!$L$843) )+(Assumptions!J$296*Assumptions!$L$843))*0.001</f>
        <v>5.7696316496700994</v>
      </c>
      <c r="FB32" s="494">
        <f>(BO32*(Assumptions!K$295*(1-Assumptions!$L$843) )+(Assumptions!K$296*Assumptions!$L$843))*0.001</f>
        <v>5.7696813160888363</v>
      </c>
      <c r="FC32" s="494">
        <f>(BP32*(Assumptions!L$295*(1-Assumptions!$L$843) )+(Assumptions!L$296*Assumptions!$L$843))*0.001</f>
        <v>5.7697324725001344</v>
      </c>
      <c r="FD32" s="494">
        <f>(BQ32*(Assumptions!M$295*(1-Assumptions!$L$843) )+(Assumptions!M$296*Assumptions!$L$843))*0.001</f>
        <v>5.7697851636037711</v>
      </c>
      <c r="FE32" s="494">
        <f>(BR32*(Assumptions!N$295*(1-Assumptions!$L$843) )+(Assumptions!N$296*Assumptions!$L$843))*0.001</f>
        <v>5.7698394354405185</v>
      </c>
      <c r="FF32" s="494">
        <f>(BS32*(Assumptions!O$295*(1-Assumptions!$L$843) )+(Assumptions!O$296*Assumptions!$L$843))*0.001</f>
        <v>5.7698953354323672</v>
      </c>
      <c r="FG32" s="494">
        <f>(BT32*(Assumptions!P$295*(1-Assumptions!$L$843) )+(Assumptions!P$296*Assumptions!$L$843))*0.001</f>
        <v>5.769952912423971</v>
      </c>
      <c r="FH32" s="494">
        <f>(BU32*(Assumptions!Q$295*(1-Assumptions!$L$843) )+(Assumptions!Q$296*Assumptions!$L$843))*0.001</f>
        <v>5.7700122167253234</v>
      </c>
      <c r="FI32" s="494">
        <f>(BV32*(Assumptions!R$295*(1-Assumptions!$L$843) )+(Assumptions!R$296*Assumptions!$L$843))*0.001</f>
        <v>5.7700733001557163</v>
      </c>
      <c r="FJ32" s="666">
        <f t="shared" si="58"/>
        <v>-5.7062273121869459E-3</v>
      </c>
      <c r="FK32" s="666">
        <f t="shared" si="59"/>
        <v>-5.7062273121869459E-3</v>
      </c>
      <c r="FL32" s="666">
        <f t="shared" si="60"/>
        <v>-5.7062273121869459E-3</v>
      </c>
      <c r="FM32" s="666">
        <f t="shared" si="61"/>
        <v>46.644908536543177</v>
      </c>
      <c r="FN32" s="666">
        <f t="shared" si="62"/>
        <v>69.624971807700859</v>
      </c>
      <c r="FO32" s="666">
        <f t="shared" si="63"/>
        <v>70.103644832177949</v>
      </c>
      <c r="FP32" s="666">
        <f t="shared" si="64"/>
        <v>70.606287728440847</v>
      </c>
      <c r="FQ32" s="666">
        <f t="shared" si="65"/>
        <v>71.159243456072986</v>
      </c>
      <c r="FR32" s="666">
        <f t="shared" si="66"/>
        <v>71.731027644587726</v>
      </c>
      <c r="FS32" s="666">
        <f t="shared" si="67"/>
        <v>72.321706438319126</v>
      </c>
      <c r="FT32" s="666">
        <f t="shared" si="95"/>
        <v>72.931351362526826</v>
      </c>
      <c r="FU32" s="666">
        <f t="shared" si="96"/>
        <v>73.56003931654233</v>
      </c>
      <c r="FV32" s="666">
        <f t="shared" si="97"/>
        <v>74.207852568594646</v>
      </c>
      <c r="FW32" s="666">
        <f t="shared" si="98"/>
        <v>74.874878752301981</v>
      </c>
      <c r="FX32" s="1883">
        <f t="shared" si="99"/>
        <v>75.56121086481491</v>
      </c>
      <c r="FY32" s="1895"/>
      <c r="FZ32" s="1889"/>
      <c r="GA32" s="704"/>
      <c r="GB32" s="704"/>
      <c r="GC32" s="704"/>
      <c r="GD32" s="704"/>
      <c r="GE32" s="704"/>
      <c r="GF32" s="704"/>
      <c r="GG32" s="704"/>
      <c r="GH32" s="704"/>
      <c r="GI32" s="704"/>
      <c r="GJ32" s="704"/>
      <c r="GK32" s="704"/>
      <c r="GL32" s="704"/>
      <c r="GM32" s="704"/>
      <c r="GN32" s="1899"/>
      <c r="GO32" s="1910"/>
      <c r="GP32" s="1868">
        <f>BH32*INDEX(Assumptions!G$565:G$570,MATCH($B32,Assumptions!$B$565:$B$570,0))</f>
        <v>0</v>
      </c>
      <c r="GQ32" s="656">
        <f>BI32*INDEX(Assumptions!H$565:H$570,MATCH($B32,Assumptions!$B$565:$B$570,0))</f>
        <v>0</v>
      </c>
      <c r="GR32" s="656">
        <f>BJ32*INDEX(Assumptions!I$565:I$570,MATCH($B32,Assumptions!$B$565:$B$570,0))</f>
        <v>0</v>
      </c>
      <c r="GS32" s="656">
        <f>BK32*INDEX(Assumptions!J$565:J$570,MATCH($B32,Assumptions!$B$565:$B$570,0))</f>
        <v>34.634036344668381</v>
      </c>
      <c r="GT32" s="656">
        <f>BL32*INDEX(Assumptions!K$565:K$570,MATCH($B32,Assumptions!$B$565:$B$570,0))</f>
        <v>50.819661014095153</v>
      </c>
      <c r="GU32" s="656">
        <f>BM32*INDEX(Assumptions!L$565:L$570,MATCH($B32,Assumptions!$B$565:$B$570,0))</f>
        <v>49.846998990182776</v>
      </c>
      <c r="GV32" s="656">
        <f>BN32*INDEX(Assumptions!M$565:M$570,MATCH($B32,Assumptions!$B$565:$B$570,0))</f>
        <v>48.851043722851344</v>
      </c>
      <c r="GW32" s="656">
        <f>BO32*INDEX(Assumptions!N$565:N$570,MATCH($B32,Assumptions!$B$565:$B$570,0))</f>
        <v>47.837612949781317</v>
      </c>
      <c r="GX32" s="656">
        <f>BP32*INDEX(Assumptions!O$565:O$570,MATCH($B32,Assumptions!$B$565:$B$570,0))</f>
        <v>46.807588363695416</v>
      </c>
      <c r="GY32" s="656">
        <f>BQ32*INDEX(Assumptions!P$565:P$570,MATCH($B32,Assumptions!$B$565:$B$570,0))</f>
        <v>44.649424096665065</v>
      </c>
      <c r="GZ32" s="656">
        <f>BR32*INDEX(Assumptions!Q$565:Q$570,MATCH($B32,Assumptions!$B$565:$B$570,0))</f>
        <v>27.794799925415486</v>
      </c>
      <c r="HA32" s="656">
        <f>BS32*INDEX(Assumptions!R$565:R$570,MATCH($B32,Assumptions!$B$565:$B$570,0))</f>
        <v>55.773476049689791</v>
      </c>
      <c r="HB32" s="656">
        <f>BT32*INDEX(Assumptions!S$565:S$570,MATCH($B32,Assumptions!$B$565:$B$570,0))</f>
        <v>55.773476049689791</v>
      </c>
      <c r="HC32" s="656">
        <f>BU32*INDEX(Assumptions!T$565:T$570,MATCH($B32,Assumptions!$B$565:$B$570,0))</f>
        <v>54.661070854387326</v>
      </c>
      <c r="HD32" s="1922">
        <f>BV32*INDEX(Assumptions!U$565:U$570,MATCH($B32,Assumptions!$B$565:$B$570,0))</f>
        <v>53.548665659084847</v>
      </c>
      <c r="HE32" s="1933"/>
      <c r="HF32" s="1927"/>
      <c r="HG32" s="501"/>
      <c r="HH32" s="501"/>
      <c r="HI32" s="501"/>
      <c r="HJ32" s="501"/>
      <c r="HK32" s="501"/>
      <c r="HL32" s="501"/>
      <c r="HM32" s="501"/>
      <c r="HN32" s="501"/>
      <c r="HO32" s="501"/>
      <c r="HP32" s="501"/>
      <c r="HQ32" s="501"/>
      <c r="HR32" s="501"/>
      <c r="HS32" s="501"/>
      <c r="HT32" s="501"/>
      <c r="HU32" s="501"/>
      <c r="HV32" s="656"/>
      <c r="HW32" s="1922"/>
      <c r="HX32" s="1946"/>
      <c r="HY32" s="1940"/>
      <c r="HZ32" s="14"/>
      <c r="IA32" s="673"/>
      <c r="IB32" s="673"/>
      <c r="IC32" s="674"/>
      <c r="ID32" s="1956"/>
      <c r="IE32" s="1953"/>
      <c r="IF32" s="1960">
        <v>1</v>
      </c>
      <c r="IG32" s="537">
        <v>1</v>
      </c>
      <c r="IH32" s="537">
        <v>1</v>
      </c>
      <c r="II32" s="537">
        <v>1</v>
      </c>
      <c r="IJ32" s="537">
        <v>1</v>
      </c>
      <c r="IK32" s="537">
        <v>1</v>
      </c>
      <c r="IL32" s="537">
        <v>1</v>
      </c>
    </row>
    <row r="33" spans="2:247" ht="13.5" customHeight="1" x14ac:dyDescent="0.3">
      <c r="B33" s="1703" t="s">
        <v>470</v>
      </c>
      <c r="C33" s="2113"/>
      <c r="D33" s="679" t="s">
        <v>689</v>
      </c>
      <c r="E33" s="1778" t="s">
        <v>690</v>
      </c>
      <c r="F33" s="1800"/>
      <c r="G33" s="1792"/>
      <c r="H33" s="1156"/>
      <c r="I33" s="1156"/>
      <c r="J33" s="70"/>
      <c r="K33" s="71" t="s">
        <v>641</v>
      </c>
      <c r="L33" s="1815" t="s">
        <v>666</v>
      </c>
      <c r="M33" s="1831"/>
      <c r="N33" s="1822" cm="1">
        <f t="array" ref="N33:R33">TRANSPOSE(Assumptions!D842:D846)</f>
        <v>8.9713322091062395E-3</v>
      </c>
      <c r="O33" s="1181">
        <v>0.98138279932546379</v>
      </c>
      <c r="P33" s="1181">
        <v>5.9359190556492417E-3</v>
      </c>
      <c r="Q33" s="1181">
        <v>1.3490725126475548E-4</v>
      </c>
      <c r="R33" s="1181">
        <v>3.5750421585160203E-3</v>
      </c>
      <c r="S33" s="1445"/>
      <c r="T33" s="1445"/>
      <c r="U33" s="1445"/>
      <c r="V33" s="1445">
        <v>1</v>
      </c>
      <c r="W33" s="1445"/>
      <c r="X33" s="1445"/>
      <c r="Y33" s="1190" cm="1">
        <f t="array" ref="Y33:AC33">(_xlfn.ANCHORARRAY($Y$19)*N33)+(_xlfn.ANCHORARRAY($Y$11)*O33)+(P33*_xlfn.ANCHORARRAY($Y$12))+(Q33*_xlfn.ANCHORARRAY($Y$21))+(_xlfn.ANCHORARRAY($Y$26)*R33)</f>
        <v>0.3522784163554144</v>
      </c>
      <c r="Z33" s="1190">
        <v>0.137385789156132</v>
      </c>
      <c r="AA33" s="1190">
        <v>0.10572043600834825</v>
      </c>
      <c r="AB33" s="1190">
        <v>0.27862139130909847</v>
      </c>
      <c r="AC33" s="1190">
        <v>0.12599396717100689</v>
      </c>
      <c r="AD33" s="1182">
        <f>Assumptions!E$667*O33</f>
        <v>0.42388481674544598</v>
      </c>
      <c r="AE33" s="1180">
        <f>Assumptions!F$667*O33</f>
        <v>1.2634092019219296E-2</v>
      </c>
      <c r="AF33" s="1181">
        <f>Assumptions!G$667*O33</f>
        <v>0.54486389056079854</v>
      </c>
      <c r="AG33" s="1177"/>
      <c r="AH33" s="1177"/>
      <c r="AI33" s="1177"/>
      <c r="AJ33" s="1177"/>
      <c r="AK33" s="1417">
        <f t="shared" si="53"/>
        <v>0</v>
      </c>
      <c r="AL33" s="1177"/>
      <c r="AM33" s="1177"/>
      <c r="AN33" s="1177"/>
      <c r="AO33" s="1221"/>
      <c r="AP33" s="1846"/>
      <c r="AQ33" s="1837">
        <f t="shared" si="102"/>
        <v>3.5822958275648604</v>
      </c>
      <c r="AR33" s="656">
        <f>Assumptions!D393</f>
        <v>0</v>
      </c>
      <c r="AS33" s="656">
        <f>Assumptions!E393</f>
        <v>3.9093383811130016</v>
      </c>
      <c r="AT33" s="656">
        <f>Assumptions!F393</f>
        <v>3.927940990587695</v>
      </c>
      <c r="AU33" s="656">
        <f>Assumptions!G393</f>
        <v>3.9461719441792789</v>
      </c>
      <c r="AV33" s="656">
        <f>Assumptions!H393</f>
        <v>3.9640345426670272</v>
      </c>
      <c r="AW33" s="656">
        <f>Assumptions!I393</f>
        <v>3.9815322700979636</v>
      </c>
      <c r="AX33" s="656">
        <f>Assumptions!J393</f>
        <v>3.9986687818917357</v>
      </c>
      <c r="AY33" s="656">
        <f>Assumptions!K393</f>
        <v>4.0154478931626461</v>
      </c>
      <c r="AZ33" s="656">
        <f>Assumptions!L393</f>
        <v>4.0318735672779811</v>
      </c>
      <c r="BA33" s="656">
        <f>Assumptions!M393</f>
        <v>4.0479499046712721</v>
      </c>
      <c r="BB33" s="656">
        <f>Assumptions!N393</f>
        <v>4.0636811319275044</v>
      </c>
      <c r="BC33" s="656">
        <f>Assumptions!O393</f>
        <v>4.0790715911533093</v>
      </c>
      <c r="BD33" s="656">
        <f>Assumptions!P393</f>
        <v>4.094125729646219</v>
      </c>
      <c r="BE33" s="656">
        <f>Assumptions!Q393</f>
        <v>4.1088480898717439</v>
      </c>
      <c r="BF33" s="656">
        <f>Assumptions!R393</f>
        <v>4.1232432997585349</v>
      </c>
      <c r="BG33" s="501">
        <f t="shared" si="54"/>
        <v>4.0378873955254351</v>
      </c>
      <c r="BH33" s="657">
        <f t="shared" si="0"/>
        <v>0</v>
      </c>
      <c r="BI33" s="658">
        <f t="shared" si="1"/>
        <v>3.9093383811130016</v>
      </c>
      <c r="BJ33" s="658">
        <f t="shared" si="2"/>
        <v>7.8372793717006966</v>
      </c>
      <c r="BK33" s="658">
        <f t="shared" si="3"/>
        <v>11.783451315879976</v>
      </c>
      <c r="BL33" s="658">
        <f t="shared" si="4"/>
        <v>15.747485858547003</v>
      </c>
      <c r="BM33" s="658">
        <f t="shared" si="5"/>
        <v>19.729018128644967</v>
      </c>
      <c r="BN33" s="658">
        <f t="shared" si="6"/>
        <v>23.727686910536704</v>
      </c>
      <c r="BO33" s="658">
        <f t="shared" si="7"/>
        <v>27.743134803699348</v>
      </c>
      <c r="BP33" s="658">
        <f t="shared" si="8"/>
        <v>31.775008370977329</v>
      </c>
      <c r="BQ33" s="658">
        <f t="shared" si="9"/>
        <v>35.822958275648602</v>
      </c>
      <c r="BR33" s="658">
        <f t="shared" si="10"/>
        <v>39.886639407576105</v>
      </c>
      <c r="BS33" s="658">
        <f t="shared" si="11"/>
        <v>43.965710998729413</v>
      </c>
      <c r="BT33" s="658">
        <f t="shared" si="12"/>
        <v>48.059836728375629</v>
      </c>
      <c r="BU33" s="658">
        <f t="shared" si="13"/>
        <v>52.168684818247371</v>
      </c>
      <c r="BV33" s="1851">
        <f t="shared" si="14"/>
        <v>56.291928118005906</v>
      </c>
      <c r="BW33" s="1661"/>
      <c r="BX33" s="1855"/>
      <c r="BY33" s="1192">
        <f t="shared" si="15"/>
        <v>25.765599616250238</v>
      </c>
      <c r="BZ33" s="666">
        <f>INDEX(Sources!$M$11:$M$21,MATCH($D33,Sources!$C$11:$C$21,0))</f>
        <v>9.2299999999999993E-2</v>
      </c>
      <c r="CA33" s="666">
        <f>INDEX(Sources!$M$11:$M$21,MATCH($D33,Sources!$C$11:$C$21,0))</f>
        <v>9.2299999999999993E-2</v>
      </c>
      <c r="CB33" s="666">
        <f>INDEX(Sources!$M$11:$M$21,MATCH($D33,Sources!$C$11:$C$21,0))</f>
        <v>9.2299999999999993E-2</v>
      </c>
      <c r="CC33" s="666">
        <f>INDEX(Sources!$M$11:$M$21,MATCH($D33,Sources!$C$11:$C$21,0))</f>
        <v>9.2299999999999993E-2</v>
      </c>
      <c r="CD33" s="666">
        <f>INDEX(Sources!$M$11:$M$21,MATCH($D33,Sources!$C$11:$C$21,0))</f>
        <v>9.2299999999999993E-2</v>
      </c>
      <c r="CE33" s="666">
        <f>INDEX(Sources!$M$11:$M$21,MATCH($D33,Sources!$C$11:$C$21,0))</f>
        <v>9.2299999999999993E-2</v>
      </c>
      <c r="CF33" s="666">
        <f>INDEX(Sources!$M$11:$M$21,MATCH($D33,Sources!$C$11:$C$21,0))</f>
        <v>9.2299999999999993E-2</v>
      </c>
      <c r="CG33" s="666">
        <f>INDEX(Sources!$M$11:$M$21,MATCH($D33,Sources!$C$11:$C$21,0))</f>
        <v>9.2299999999999993E-2</v>
      </c>
      <c r="CH33" s="666">
        <f>INDEX(Sources!$M$11:$M$21,MATCH($D33,Sources!$C$11:$C$21,0))</f>
        <v>9.2299999999999993E-2</v>
      </c>
      <c r="CI33" s="666">
        <f>INDEX(Sources!$M$11:$M$21,MATCH($D33,Sources!$C$11:$C$21,0))</f>
        <v>9.2299999999999993E-2</v>
      </c>
      <c r="CJ33" s="666">
        <f>INDEX(Sources!$M$11:$M$21,MATCH($D33,Sources!$C$11:$C$21,0))</f>
        <v>9.2299999999999993E-2</v>
      </c>
      <c r="CK33" s="666">
        <f>INDEX(Sources!$M$11:$M$21,MATCH($D33,Sources!$C$11:$C$21,0))</f>
        <v>9.2299999999999993E-2</v>
      </c>
      <c r="CL33" s="666">
        <f>INDEX(Sources!$M$11:$M$21,MATCH($D33,Sources!$C$11:$C$21,0))</f>
        <v>9.2299999999999993E-2</v>
      </c>
      <c r="CM33" s="666">
        <f>INDEX(Sources!$M$11:$M$21,MATCH($D33,Sources!$C$11:$C$21,0))</f>
        <v>9.2299999999999993E-2</v>
      </c>
      <c r="CN33" s="666">
        <f>INDEX(Sources!$M$11:$M$21,MATCH($D33,Sources!$C$11:$C$21,0))</f>
        <v>9.2299999999999993E-2</v>
      </c>
      <c r="CO33" s="479">
        <f t="shared" si="101"/>
        <v>9.2300000000000007E-2</v>
      </c>
      <c r="CP33" s="660">
        <f t="shared" si="18"/>
        <v>0.92300000000000004</v>
      </c>
      <c r="CQ33" s="681">
        <f t="shared" si="103"/>
        <v>0.26851149910274014</v>
      </c>
      <c r="CR33" s="662">
        <f t="shared" si="55"/>
        <v>0.73148850089725981</v>
      </c>
      <c r="CS33" s="685" t="s">
        <v>691</v>
      </c>
      <c r="CT33" s="1862"/>
      <c r="CU33" s="1872"/>
      <c r="CV33" s="1866">
        <f>BH33*Assumptions!W297</f>
        <v>0</v>
      </c>
      <c r="CW33" s="675">
        <f>BI33*Assumptions!X297</f>
        <v>0</v>
      </c>
      <c r="CX33" s="675">
        <f>BJ33*Assumptions!Y297</f>
        <v>0</v>
      </c>
      <c r="CY33" s="675">
        <f>BK33*Assumptions!Z297</f>
        <v>0</v>
      </c>
      <c r="CZ33" s="675">
        <f>BL33*Assumptions!AA297</f>
        <v>0</v>
      </c>
      <c r="DA33" s="675">
        <f>BM33*Assumptions!AB297</f>
        <v>0</v>
      </c>
      <c r="DB33" s="675">
        <f>BN33*Assumptions!AC297</f>
        <v>0</v>
      </c>
      <c r="DC33" s="675">
        <f>BO33*Assumptions!AD297</f>
        <v>0</v>
      </c>
      <c r="DD33" s="675">
        <f>BP33*Assumptions!AE297</f>
        <v>0</v>
      </c>
      <c r="DE33" s="675">
        <f>BQ33*Assumptions!AF297</f>
        <v>0</v>
      </c>
      <c r="DF33" s="675">
        <f>BR33*Assumptions!AG297</f>
        <v>0</v>
      </c>
      <c r="DG33" s="675">
        <f>BS33*Assumptions!AH297</f>
        <v>0</v>
      </c>
      <c r="DH33" s="675">
        <f>BT33*Assumptions!AI297</f>
        <v>0</v>
      </c>
      <c r="DI33" s="675">
        <f>BU33*Assumptions!AJ297</f>
        <v>0</v>
      </c>
      <c r="DJ33" s="675">
        <f>BV33*Assumptions!AK297</f>
        <v>0</v>
      </c>
      <c r="DK33" s="680">
        <f t="shared" si="83"/>
        <v>0</v>
      </c>
      <c r="DL33" s="680">
        <f t="shared" si="84"/>
        <v>0</v>
      </c>
      <c r="DM33" s="680">
        <f t="shared" si="85"/>
        <v>0</v>
      </c>
      <c r="DN33" s="680">
        <f t="shared" si="86"/>
        <v>0</v>
      </c>
      <c r="DO33" s="680">
        <f t="shared" si="87"/>
        <v>0</v>
      </c>
      <c r="DP33" s="680">
        <f t="shared" si="88"/>
        <v>0</v>
      </c>
      <c r="DQ33" s="680">
        <f t="shared" si="89"/>
        <v>0</v>
      </c>
      <c r="DR33" s="680">
        <f t="shared" si="90"/>
        <v>0</v>
      </c>
      <c r="DS33" s="680">
        <f t="shared" si="91"/>
        <v>0</v>
      </c>
      <c r="DT33" s="680">
        <f t="shared" si="92"/>
        <v>0</v>
      </c>
      <c r="DU33" s="680">
        <f t="shared" si="104"/>
        <v>0</v>
      </c>
      <c r="DV33" s="680">
        <f t="shared" si="105"/>
        <v>0</v>
      </c>
      <c r="DW33" s="680">
        <f t="shared" si="106"/>
        <v>0</v>
      </c>
      <c r="DX33" s="680">
        <f t="shared" si="107"/>
        <v>0</v>
      </c>
      <c r="DY33" s="680">
        <f t="shared" si="108"/>
        <v>0</v>
      </c>
      <c r="DZ33" s="678">
        <v>0</v>
      </c>
      <c r="EA33" s="661">
        <f t="shared" si="56"/>
        <v>1</v>
      </c>
      <c r="EB33" s="1861"/>
      <c r="EC33" s="1881"/>
      <c r="ED33" s="1877">
        <v>0</v>
      </c>
      <c r="EE33" s="870">
        <v>0</v>
      </c>
      <c r="EF33" s="666">
        <f>(('Pathway Analysis'!BP18*Assumptions!$D$797/SUM(Assumptions!$D$797:$E$797))*Assumptions!E323)/1000</f>
        <v>4.4434958271010148E-2</v>
      </c>
      <c r="EG33" s="666">
        <f>(('Pathway Analysis'!BQ18*Assumptions!$D$797/SUM(Assumptions!$D$797:$E$797))*Assumptions!F323)/1000</f>
        <v>9.0916440125524217E-2</v>
      </c>
      <c r="EH33" s="666">
        <f>(('Pathway Analysis'!BR18*Assumptions!$D$797/SUM(Assumptions!$D$797:$E$797))*Assumptions!G323)/1000</f>
        <v>0.13964241491132312</v>
      </c>
      <c r="EI33" s="666">
        <f>(('Pathway Analysis'!BS18*Assumptions!$D$797/SUM(Assumptions!$D$797:$E$797))*Assumptions!H323)/1000</f>
        <v>0.190229926509837</v>
      </c>
      <c r="EJ33" s="666">
        <f>(('Pathway Analysis'!BT18*Assumptions!$D$797/SUM(Assumptions!$D$797:$E$797))*Assumptions!I323)/1000</f>
        <v>0.24301246807351143</v>
      </c>
      <c r="EK33" s="666">
        <f>(('Pathway Analysis'!BU18*Assumptions!$D$797/SUM(Assumptions!$D$797:$E$797))*Assumptions!J323)/1000</f>
        <v>0.29820863757555555</v>
      </c>
      <c r="EL33" s="666">
        <f>(('Pathway Analysis'!BV18*Assumptions!$D$797/SUM(Assumptions!$D$797:$E$797))*Assumptions!K323)/1000</f>
        <v>0.35662134016064739</v>
      </c>
      <c r="EM33" s="666">
        <f>(('Pathway Analysis'!BW18*Assumptions!$D$797/SUM(Assumptions!$D$797:$E$797))*Assumptions!L323)/1000</f>
        <v>0.41786699715643993</v>
      </c>
      <c r="EN33" s="666">
        <f>(('Pathway Analysis'!BX18*Assumptions!$D$797/SUM(Assumptions!$D$797:$E$797))*Assumptions!M323)/1000</f>
        <v>0.48208907036312182</v>
      </c>
      <c r="EO33" s="666">
        <f>(('Pathway Analysis'!BY18*Assumptions!$D$797/SUM(Assumptions!$D$797:$E$797))*Assumptions!N323)/1000</f>
        <v>0.54943807739121331</v>
      </c>
      <c r="EP33" s="666">
        <f>(('Pathway Analysis'!BZ18*Assumptions!$D$797/SUM(Assumptions!$D$797:$E$797))*Assumptions!O323)/1000</f>
        <v>0.6200719357635035</v>
      </c>
      <c r="EQ33" s="666">
        <f>(('Pathway Analysis'!CA18*Assumptions!$D$797/SUM(Assumptions!$D$797:$E$797))*Assumptions!P323)/1000</f>
        <v>0.69415632361047086</v>
      </c>
      <c r="ER33" s="666">
        <f>(('Pathway Analysis'!CB18*Assumptions!$D$797/SUM(Assumptions!$D$797:$E$797))*Assumptions!Q323)/1000</f>
        <v>0.7718650577603402</v>
      </c>
      <c r="ES33" s="666">
        <f>(('Pathway Analysis'!CC18*Assumptions!$D$797/SUM(Assumptions!$D$797:$E$797))*Assumptions!R323)/1000</f>
        <v>0.85338049006341099</v>
      </c>
      <c r="ET33" s="541">
        <f t="shared" si="57"/>
        <v>0.46804856161161457</v>
      </c>
      <c r="EU33" s="549">
        <f>(BH33*Assumptions!D$302)*0.001</f>
        <v>0</v>
      </c>
      <c r="EV33" s="549">
        <f>(BI33*Assumptions!E$302)*0.001</f>
        <v>3.0409023157790351E-2</v>
      </c>
      <c r="EW33" s="549">
        <f>(BJ33*Assumptions!F$302)*0.001</f>
        <v>6.2791630264422249E-2</v>
      </c>
      <c r="EX33" s="549">
        <f>(BK33*Assumptions!G$302)*0.001</f>
        <v>9.7240272506471326E-2</v>
      </c>
      <c r="EY33" s="549">
        <f>(BL33*Assumptions!H$302)*0.001</f>
        <v>0.13385115009018356</v>
      </c>
      <c r="EZ33" s="549">
        <f>(BM33*Assumptions!I$302)*0.001</f>
        <v>0.17272435384934864</v>
      </c>
      <c r="FA33" s="549">
        <f>(BN33*Assumptions!J$302)*0.001</f>
        <v>0.21396401200179196</v>
      </c>
      <c r="FB33" s="549">
        <f>(BO33*Assumptions!K$302)*0.001</f>
        <v>0.25767844223509878</v>
      </c>
      <c r="FC33" s="549">
        <f>(BP33*Assumptions!L$302)*0.001</f>
        <v>0.30398030930835379</v>
      </c>
      <c r="FD33" s="549">
        <f>(BQ33*Assumptions!M$302)*0.001</f>
        <v>0.35298678836307373</v>
      </c>
      <c r="FE33" s="549">
        <f>(BR33*Assumptions!N$302)*0.001</f>
        <v>0.40481973414313244</v>
      </c>
      <c r="FF33" s="549">
        <f>(BS33*Assumptions!O$302)*0.001</f>
        <v>0.45960585633030282</v>
      </c>
      <c r="FG33" s="549">
        <f>(BT33*Assumptions!P$302)*0.001</f>
        <v>0.51747690120913348</v>
      </c>
      <c r="FH33" s="549">
        <f>(BU33*Assumptions!Q$302)*0.001</f>
        <v>0.57856983988217348</v>
      </c>
      <c r="FI33" s="549">
        <f>(BV33*Assumptions!R$302)*0.001</f>
        <v>0.64302706326414327</v>
      </c>
      <c r="FJ33" s="666">
        <f t="shared" si="58"/>
        <v>0</v>
      </c>
      <c r="FK33" s="666">
        <f t="shared" si="59"/>
        <v>1.4025935113219798E-2</v>
      </c>
      <c r="FL33" s="666">
        <f>EG33-EW33</f>
        <v>2.8124809861101968E-2</v>
      </c>
      <c r="FM33" s="666">
        <f t="shared" si="61"/>
        <v>4.2402142404851795E-2</v>
      </c>
      <c r="FN33" s="666">
        <f t="shared" si="62"/>
        <v>5.6378776419653442E-2</v>
      </c>
      <c r="FO33" s="666">
        <f t="shared" si="63"/>
        <v>7.0288114224162784E-2</v>
      </c>
      <c r="FP33" s="666">
        <f t="shared" si="64"/>
        <v>8.4244625573763582E-2</v>
      </c>
      <c r="FQ33" s="666">
        <f t="shared" si="65"/>
        <v>9.8942897925548612E-2</v>
      </c>
      <c r="FR33" s="666">
        <f t="shared" si="66"/>
        <v>0.11388668784808614</v>
      </c>
      <c r="FS33" s="666">
        <f t="shared" si="67"/>
        <v>0.12910228200004809</v>
      </c>
      <c r="FT33" s="666">
        <f t="shared" si="95"/>
        <v>0.14461834324808087</v>
      </c>
      <c r="FU33" s="666">
        <f t="shared" si="96"/>
        <v>0.16046607943320068</v>
      </c>
      <c r="FV33" s="666">
        <f t="shared" si="97"/>
        <v>0.17667942240133738</v>
      </c>
      <c r="FW33" s="666">
        <f t="shared" si="98"/>
        <v>0.19329521787816673</v>
      </c>
      <c r="FX33" s="1883">
        <f t="shared" si="99"/>
        <v>0.21035342679926772</v>
      </c>
      <c r="FY33" s="1895"/>
      <c r="FZ33" s="1889"/>
      <c r="GA33" s="704"/>
      <c r="GB33" s="704"/>
      <c r="GC33" s="704"/>
      <c r="GD33" s="704"/>
      <c r="GE33" s="704"/>
      <c r="GF33" s="704"/>
      <c r="GG33" s="704"/>
      <c r="GH33" s="704"/>
      <c r="GI33" s="704"/>
      <c r="GJ33" s="704"/>
      <c r="GK33" s="704"/>
      <c r="GL33" s="704"/>
      <c r="GM33" s="704"/>
      <c r="GN33" s="1899"/>
      <c r="GO33" s="1910"/>
      <c r="GP33" s="1868">
        <f>BH33*INDEX(Assumptions!G$565:G$570,MATCH($B33,Assumptions!$B$565:$B$570,0))</f>
        <v>0</v>
      </c>
      <c r="GQ33" s="656">
        <f>BI33*INDEX(Assumptions!H$565:H$570,MATCH($B33,Assumptions!$B$565:$B$570,0))</f>
        <v>1.464401954806708</v>
      </c>
      <c r="GR33" s="656">
        <f>BJ33*INDEX(Assumptions!I$565:I$570,MATCH($B33,Assumptions!$B$565:$B$570,0))</f>
        <v>2.8855588002559012</v>
      </c>
      <c r="GS33" s="656">
        <f>BK33*INDEX(Assumptions!J$565:J$570,MATCH($B33,Assumptions!$B$565:$B$570,0))</f>
        <v>4.2617835972064908</v>
      </c>
      <c r="GT33" s="656">
        <f>BL33*INDEX(Assumptions!K$565:K$570,MATCH($B33,Assumptions!$B$565:$B$570,0))</f>
        <v>5.5906781244050618</v>
      </c>
      <c r="GU33" s="656">
        <f>BM33*INDEX(Assumptions!L$565:L$570,MATCH($B33,Assumptions!$B$565:$B$570,0))</f>
        <v>6.870146325626564</v>
      </c>
      <c r="GV33" s="656">
        <f>BN33*INDEX(Assumptions!M$565:M$570,MATCH($B33,Assumptions!$B$565:$B$570,0))</f>
        <v>8.0974961170364335</v>
      </c>
      <c r="GW33" s="656">
        <f>BO33*INDEX(Assumptions!N$565:N$570,MATCH($B33,Assumptions!$B$565:$B$570,0))</f>
        <v>9.2714258860985979</v>
      </c>
      <c r="GX33" s="656">
        <f>BP33*INDEX(Assumptions!O$565:O$570,MATCH($B33,Assumptions!$B$565:$B$570,0))</f>
        <v>10.39018876459073</v>
      </c>
      <c r="GY33" s="656">
        <f>BQ33*INDEX(Assumptions!P$565:P$570,MATCH($B33,Assumptions!$B$565:$B$570,0))</f>
        <v>11.173746314489856</v>
      </c>
      <c r="GZ33" s="656">
        <f>BR33*INDEX(Assumptions!Q$565:Q$570,MATCH($B33,Assumptions!$B$565:$B$570,0))</f>
        <v>7.7448408434441705</v>
      </c>
      <c r="HA33" s="656">
        <f>BS33*INDEX(Assumptions!R$565:R$570,MATCH($B33,Assumptions!$B$565:$B$570,0))</f>
        <v>17.130234632746674</v>
      </c>
      <c r="HB33" s="656">
        <f>BT33*INDEX(Assumptions!S$565:S$570,MATCH($B33,Assumptions!$B$565:$B$570,0))</f>
        <v>18.725417168674088</v>
      </c>
      <c r="HC33" s="656">
        <f>BU33*INDEX(Assumptions!T$565:T$570,MATCH($B33,Assumptions!$B$565:$B$570,0))</f>
        <v>19.920925993735054</v>
      </c>
      <c r="HD33" s="1922">
        <f>BV33*INDEX(Assumptions!U$565:U$570,MATCH($B33,Assumptions!$B$565:$B$570,0))</f>
        <v>21.057959014901193</v>
      </c>
      <c r="HE33" s="1933"/>
      <c r="HF33" s="1927"/>
      <c r="HG33" s="501"/>
      <c r="HH33" s="501"/>
      <c r="HI33" s="501"/>
      <c r="HJ33" s="501"/>
      <c r="HK33" s="501"/>
      <c r="HL33" s="501"/>
      <c r="HM33" s="501"/>
      <c r="HN33" s="501"/>
      <c r="HO33" s="501"/>
      <c r="HP33" s="501"/>
      <c r="HQ33" s="501"/>
      <c r="HR33" s="501"/>
      <c r="HS33" s="501"/>
      <c r="HT33" s="501"/>
      <c r="HU33" s="501"/>
      <c r="HV33" s="656"/>
      <c r="HW33" s="1922"/>
      <c r="HX33" s="1946"/>
      <c r="HY33" s="1940"/>
      <c r="HZ33" s="14"/>
      <c r="IA33" s="673"/>
      <c r="IB33" s="673"/>
      <c r="IC33" s="674"/>
      <c r="ID33" s="1956"/>
      <c r="IE33" s="1953"/>
      <c r="IF33" s="1960">
        <v>1</v>
      </c>
      <c r="IG33" s="537">
        <v>1</v>
      </c>
      <c r="IH33" s="537">
        <v>1</v>
      </c>
      <c r="II33" s="537">
        <v>1</v>
      </c>
      <c r="IJ33" s="537">
        <v>1</v>
      </c>
      <c r="IK33" s="537">
        <v>1</v>
      </c>
      <c r="IL33" s="537">
        <v>1</v>
      </c>
    </row>
    <row r="34" spans="2:247" ht="13.5" customHeight="1" x14ac:dyDescent="0.3">
      <c r="B34" s="1703" t="s">
        <v>470</v>
      </c>
      <c r="C34" s="2113"/>
      <c r="D34" s="679" t="s">
        <v>692</v>
      </c>
      <c r="E34" s="1778" t="s">
        <v>693</v>
      </c>
      <c r="F34" s="1800"/>
      <c r="G34" s="1792"/>
      <c r="H34" s="1156"/>
      <c r="I34" s="1156"/>
      <c r="J34" s="70"/>
      <c r="K34" s="71" t="s">
        <v>641</v>
      </c>
      <c r="L34" s="1814" t="s">
        <v>624</v>
      </c>
      <c r="M34" s="1830"/>
      <c r="N34" s="1821" cm="1">
        <f t="array" ref="N34:R34">_xlfn.ANCHORARRAY(Assumptions!C152)</f>
        <v>0.24546745674273082</v>
      </c>
      <c r="O34" s="1182">
        <v>0</v>
      </c>
      <c r="P34" s="1182">
        <v>0</v>
      </c>
      <c r="Q34" s="1182">
        <v>0.72152431971317521</v>
      </c>
      <c r="R34" s="1182">
        <v>3.3008223544093947E-2</v>
      </c>
      <c r="S34" s="1445"/>
      <c r="T34" s="1445"/>
      <c r="U34" s="1445"/>
      <c r="V34" s="1445">
        <v>1</v>
      </c>
      <c r="W34" s="1445"/>
      <c r="X34" s="1445"/>
      <c r="Y34" s="1190" cm="1">
        <f t="array" ref="Y34:AC34">(_xlfn.ANCHORARRAY($Y$19)*N34)+(_xlfn.ANCHORARRAY($Y$11)*O34)+(P34*_xlfn.ANCHORARRAY($Y$12))+(Q34*_xlfn.ANCHORARRAY($Y$21))+(_xlfn.ANCHORARRAY($Y$26)*R34)</f>
        <v>0.46458233011353661</v>
      </c>
      <c r="Z34" s="1190">
        <v>0.10612032460918819</v>
      </c>
      <c r="AA34" s="1190">
        <v>0.10265866049715776</v>
      </c>
      <c r="AB34" s="1190">
        <v>0.23153735312886231</v>
      </c>
      <c r="AC34" s="1190">
        <v>9.5101331651255158E-2</v>
      </c>
      <c r="AD34" s="1182">
        <f>Assumptions!E$667*O34</f>
        <v>0</v>
      </c>
      <c r="AE34" s="1180">
        <f>Assumptions!F$667*O34</f>
        <v>0</v>
      </c>
      <c r="AF34" s="1181">
        <f>Assumptions!G$667*O34</f>
        <v>0</v>
      </c>
      <c r="AG34" s="1177"/>
      <c r="AH34" s="1177"/>
      <c r="AI34" s="1177"/>
      <c r="AJ34" s="1177"/>
      <c r="AK34" s="1417">
        <f t="shared" si="53"/>
        <v>0</v>
      </c>
      <c r="AL34" s="1177"/>
      <c r="AM34" s="1177"/>
      <c r="AN34" s="1177"/>
      <c r="AO34" s="1221"/>
      <c r="AP34" s="1846"/>
      <c r="AQ34" s="1837">
        <f t="shared" si="102"/>
        <v>0</v>
      </c>
      <c r="AR34" s="675">
        <f>_xlfn.XLOOKUP($D34,'MKM 2014-20'!$C$4:$C$28,'MKM 2014-20'!N$4:N$28)</f>
        <v>0</v>
      </c>
      <c r="AS34" s="675">
        <f>_xlfn.XLOOKUP($D34,'MKM 2014-20'!$C$4:$C$28,'MKM 2014-20'!O$4:O$28)</f>
        <v>0</v>
      </c>
      <c r="AT34" s="675">
        <f>_xlfn.XLOOKUP($D34,'MKM 2014-20'!$C$4:$C$28,'MKM 2014-20'!P$4:P$28)</f>
        <v>0</v>
      </c>
      <c r="AU34" s="675">
        <f>_xlfn.XLOOKUP($D34,'MKM 2014-20'!$C$4:$C$28,'MKM 2014-20'!Q$4:Q$28)</f>
        <v>0</v>
      </c>
      <c r="AV34" s="675">
        <f>_xlfn.XLOOKUP($D34,'MKM 2014-20'!$C$4:$C$28,'MKM 2014-20'!R$4:R$28)</f>
        <v>0</v>
      </c>
      <c r="AW34" s="675">
        <f>_xlfn.XLOOKUP($D34,'MKM 2014-20'!$C$4:$C$28,'MKM 2014-20'!S$4:S$28)</f>
        <v>0</v>
      </c>
      <c r="AX34" s="675">
        <f>_xlfn.XLOOKUP($D34,'MKM 2014-20'!$C$4:$C$28,'MKM 2014-20'!T$4:T$28)</f>
        <v>0</v>
      </c>
      <c r="AY34" s="675">
        <v>0</v>
      </c>
      <c r="AZ34" s="675">
        <v>0</v>
      </c>
      <c r="BA34" s="675">
        <v>0</v>
      </c>
      <c r="BB34" s="675">
        <v>0</v>
      </c>
      <c r="BC34" s="675">
        <v>0</v>
      </c>
      <c r="BD34" s="675">
        <v>0</v>
      </c>
      <c r="BE34" s="675">
        <v>0</v>
      </c>
      <c r="BF34" s="675">
        <v>0</v>
      </c>
      <c r="BG34" s="501">
        <f t="shared" si="54"/>
        <v>0</v>
      </c>
      <c r="BH34" s="657">
        <f t="shared" si="0"/>
        <v>0</v>
      </c>
      <c r="BI34" s="658">
        <f t="shared" si="1"/>
        <v>0</v>
      </c>
      <c r="BJ34" s="658">
        <f t="shared" si="2"/>
        <v>0</v>
      </c>
      <c r="BK34" s="658">
        <f t="shared" si="3"/>
        <v>0</v>
      </c>
      <c r="BL34" s="658">
        <f t="shared" si="4"/>
        <v>0</v>
      </c>
      <c r="BM34" s="658">
        <f t="shared" si="5"/>
        <v>0</v>
      </c>
      <c r="BN34" s="658">
        <f t="shared" si="6"/>
        <v>0</v>
      </c>
      <c r="BO34" s="658">
        <f t="shared" si="7"/>
        <v>0</v>
      </c>
      <c r="BP34" s="658">
        <f t="shared" si="8"/>
        <v>0</v>
      </c>
      <c r="BQ34" s="658">
        <f t="shared" si="9"/>
        <v>0</v>
      </c>
      <c r="BR34" s="658">
        <f t="shared" si="10"/>
        <v>0</v>
      </c>
      <c r="BS34" s="658">
        <f t="shared" si="11"/>
        <v>0</v>
      </c>
      <c r="BT34" s="658">
        <f t="shared" si="12"/>
        <v>0</v>
      </c>
      <c r="BU34" s="658">
        <f t="shared" si="13"/>
        <v>0</v>
      </c>
      <c r="BV34" s="1851">
        <f t="shared" si="14"/>
        <v>0</v>
      </c>
      <c r="BW34" s="1661"/>
      <c r="BX34" s="1855">
        <v>0</v>
      </c>
      <c r="BY34" s="1192" t="str">
        <f t="shared" si="15"/>
        <v/>
      </c>
      <c r="BZ34" s="676">
        <v>0</v>
      </c>
      <c r="CA34" s="676">
        <v>0</v>
      </c>
      <c r="CB34" s="676">
        <v>0</v>
      </c>
      <c r="CC34" s="676">
        <v>0</v>
      </c>
      <c r="CD34" s="676">
        <v>0</v>
      </c>
      <c r="CE34" s="676">
        <v>0</v>
      </c>
      <c r="CF34" s="676">
        <v>0</v>
      </c>
      <c r="CG34" s="663"/>
      <c r="CH34" s="663"/>
      <c r="CI34" s="663"/>
      <c r="CJ34" s="663"/>
      <c r="CK34" s="663"/>
      <c r="CL34" s="663"/>
      <c r="CM34" s="663"/>
      <c r="CN34" s="663"/>
      <c r="CO34" s="479">
        <f t="shared" ref="CO34:CO39" si="109">IFERROR(AVERAGE(CC34:CN34),0)</f>
        <v>0</v>
      </c>
      <c r="CP34" s="660">
        <f t="shared" si="18"/>
        <v>0</v>
      </c>
      <c r="CQ34" s="672"/>
      <c r="CR34" s="662">
        <f t="shared" si="55"/>
        <v>1</v>
      </c>
      <c r="CS34" s="685"/>
      <c r="CT34" s="1862"/>
      <c r="CU34" s="1872"/>
      <c r="CV34" s="1865">
        <f>BH34*Assumptions!D$500</f>
        <v>0</v>
      </c>
      <c r="CW34" s="659">
        <f>BI34*Assumptions!E$500</f>
        <v>0</v>
      </c>
      <c r="CX34" s="659">
        <f>BJ34*Assumptions!F$500</f>
        <v>0</v>
      </c>
      <c r="CY34" s="659">
        <f>BK34*Assumptions!G$500</f>
        <v>0</v>
      </c>
      <c r="CZ34" s="659">
        <f>BL34*Assumptions!H$500</f>
        <v>0</v>
      </c>
      <c r="DA34" s="659">
        <f>BM34*Assumptions!I$500</f>
        <v>0</v>
      </c>
      <c r="DB34" s="659">
        <f>BN34*Assumptions!J$500</f>
        <v>0</v>
      </c>
      <c r="DC34" s="659">
        <f>BO34*Assumptions!K$500</f>
        <v>0</v>
      </c>
      <c r="DD34" s="659">
        <f>BP34*Assumptions!L$500</f>
        <v>0</v>
      </c>
      <c r="DE34" s="659">
        <f>BQ34*Assumptions!M$500</f>
        <v>0</v>
      </c>
      <c r="DF34" s="659">
        <f>BR34*Assumptions!N$500</f>
        <v>0</v>
      </c>
      <c r="DG34" s="659">
        <f>BS34*Assumptions!O$500</f>
        <v>0</v>
      </c>
      <c r="DH34" s="659">
        <f>BT34*Assumptions!P$500</f>
        <v>0</v>
      </c>
      <c r="DI34" s="659">
        <f>BU34*Assumptions!Q$500</f>
        <v>0</v>
      </c>
      <c r="DJ34" s="659">
        <f>BV34*Assumptions!R$500</f>
        <v>0</v>
      </c>
      <c r="DK34" s="656">
        <f>BH34*Assumptions!D$507</f>
        <v>0</v>
      </c>
      <c r="DL34" s="656">
        <f>BI34*Assumptions!E$507</f>
        <v>0</v>
      </c>
      <c r="DM34" s="656">
        <f>BJ34*Assumptions!F$507</f>
        <v>0</v>
      </c>
      <c r="DN34" s="656">
        <f>BK34*Assumptions!G$507</f>
        <v>0</v>
      </c>
      <c r="DO34" s="656">
        <f>BL34*Assumptions!H$507</f>
        <v>0</v>
      </c>
      <c r="DP34" s="656">
        <f>BM34*Assumptions!I$507</f>
        <v>0</v>
      </c>
      <c r="DQ34" s="656">
        <f>BN34*Assumptions!J$507</f>
        <v>0</v>
      </c>
      <c r="DR34" s="656">
        <f>BO34*Assumptions!K$507</f>
        <v>0</v>
      </c>
      <c r="DS34" s="656">
        <f>BP34*Assumptions!L$507</f>
        <v>0</v>
      </c>
      <c r="DT34" s="656">
        <f>BQ34*Assumptions!M$507</f>
        <v>0</v>
      </c>
      <c r="DU34" s="656">
        <f>BR34*Assumptions!N$507</f>
        <v>0</v>
      </c>
      <c r="DV34" s="656">
        <f>BS34*Assumptions!O$507</f>
        <v>0</v>
      </c>
      <c r="DW34" s="656">
        <f>BT34*Assumptions!P$507</f>
        <v>0</v>
      </c>
      <c r="DX34" s="656">
        <f>BU34*Assumptions!Q$507</f>
        <v>0</v>
      </c>
      <c r="DY34" s="656">
        <f>BV34*Assumptions!R$507</f>
        <v>0</v>
      </c>
      <c r="DZ34" s="678">
        <v>0</v>
      </c>
      <c r="EA34" s="661">
        <f t="shared" si="56"/>
        <v>1</v>
      </c>
      <c r="EB34" s="1861"/>
      <c r="EC34" s="1881"/>
      <c r="ED34" s="1877">
        <v>1</v>
      </c>
      <c r="EE34" s="870">
        <v>0</v>
      </c>
      <c r="EF34" s="690"/>
      <c r="EG34" s="690"/>
      <c r="EH34" s="690"/>
      <c r="EI34" s="690"/>
      <c r="EJ34" s="690"/>
      <c r="EK34" s="690"/>
      <c r="EL34" s="690"/>
      <c r="EM34" s="690"/>
      <c r="EN34" s="690"/>
      <c r="EO34" s="690"/>
      <c r="EP34" s="690"/>
      <c r="EQ34" s="690"/>
      <c r="ER34" s="690"/>
      <c r="ES34" s="690"/>
      <c r="ET34" s="541"/>
      <c r="EU34" s="1450" cm="1">
        <f t="array" ref="EU34">(BH34*SUMPRODUCT($S34:$X34,TRANSPOSE(Assumptions!D$281:D$286)))*0.001</f>
        <v>0</v>
      </c>
      <c r="EV34" s="1450" cm="1">
        <f t="array" ref="EV34">(BI34*SUMPRODUCT($S34:$X34,TRANSPOSE(Assumptions!E$281:E$286)))*0.001</f>
        <v>0</v>
      </c>
      <c r="EW34" s="1450" cm="1">
        <f t="array" ref="EW34">(BJ34*SUMPRODUCT($S34:$X34,TRANSPOSE(Assumptions!F$281:F$286)))*0.001</f>
        <v>0</v>
      </c>
      <c r="EX34" s="1450" cm="1">
        <f t="array" ref="EX34">(BK34*SUMPRODUCT($S34:$X34,TRANSPOSE(Assumptions!G$281:G$286)))*0.001</f>
        <v>0</v>
      </c>
      <c r="EY34" s="1450" cm="1">
        <f t="array" ref="EY34">(BL34*SUMPRODUCT($S34:$X34,TRANSPOSE(Assumptions!H$281:H$286)))*0.001</f>
        <v>0</v>
      </c>
      <c r="EZ34" s="1450" cm="1">
        <f t="array" ref="EZ34">(BM34*SUMPRODUCT($S34:$X34,TRANSPOSE(Assumptions!I$281:I$286)))*0.001</f>
        <v>0</v>
      </c>
      <c r="FA34" s="1450" cm="1">
        <f t="array" ref="FA34">(BN34*SUMPRODUCT($S34:$X34,TRANSPOSE(Assumptions!J$281:J$286)))*0.001</f>
        <v>0</v>
      </c>
      <c r="FB34" s="1450" cm="1">
        <f t="array" ref="FB34">(BO34*SUMPRODUCT($S34:$X34,TRANSPOSE(Assumptions!K$281:K$286)))*0.001</f>
        <v>0</v>
      </c>
      <c r="FC34" s="1450" cm="1">
        <f t="array" ref="FC34">(BP34*SUMPRODUCT($S34:$X34,TRANSPOSE(Assumptions!L$281:L$286)))*0.001</f>
        <v>0</v>
      </c>
      <c r="FD34" s="1450" cm="1">
        <f t="array" ref="FD34">(BQ34*SUMPRODUCT($S34:$X34,TRANSPOSE(Assumptions!M$281:M$286)))*0.001</f>
        <v>0</v>
      </c>
      <c r="FE34" s="1450" cm="1">
        <f t="array" ref="FE34">(BR34*SUMPRODUCT($S34:$X34,TRANSPOSE(Assumptions!N$281:N$286)))*0.001</f>
        <v>0</v>
      </c>
      <c r="FF34" s="1450" cm="1">
        <f t="array" ref="FF34">(BS34*SUMPRODUCT($S34:$X34,TRANSPOSE(Assumptions!O$281:O$286)))*0.001</f>
        <v>0</v>
      </c>
      <c r="FG34" s="1450" cm="1">
        <f t="array" ref="FG34">(BT34*SUMPRODUCT($S34:$X34,TRANSPOSE(Assumptions!P$281:P$286)))*0.001</f>
        <v>0</v>
      </c>
      <c r="FH34" s="1450" cm="1">
        <f t="array" ref="FH34">(BU34*SUMPRODUCT($S34:$X34,TRANSPOSE(Assumptions!Q$281:Q$286)))*0.001</f>
        <v>0</v>
      </c>
      <c r="FI34" s="1450" cm="1">
        <f t="array" ref="FI34">(BV34*SUMPRODUCT($S34:$X34,TRANSPOSE(Assumptions!R$281:R$286)))*0.001</f>
        <v>0</v>
      </c>
      <c r="FJ34" s="666">
        <f t="shared" si="58"/>
        <v>0</v>
      </c>
      <c r="FK34" s="666">
        <f t="shared" si="59"/>
        <v>0</v>
      </c>
      <c r="FL34" s="666">
        <f>EG34-EW34</f>
        <v>0</v>
      </c>
      <c r="FM34" s="666">
        <f t="shared" si="61"/>
        <v>0</v>
      </c>
      <c r="FN34" s="666">
        <f t="shared" si="62"/>
        <v>0</v>
      </c>
      <c r="FO34" s="666">
        <f t="shared" si="63"/>
        <v>0</v>
      </c>
      <c r="FP34" s="666">
        <f t="shared" si="64"/>
        <v>0</v>
      </c>
      <c r="FQ34" s="666">
        <f t="shared" si="65"/>
        <v>0</v>
      </c>
      <c r="FR34" s="666">
        <f t="shared" si="66"/>
        <v>0</v>
      </c>
      <c r="FS34" s="666">
        <f t="shared" si="67"/>
        <v>0</v>
      </c>
      <c r="FT34" s="666">
        <f t="shared" si="95"/>
        <v>0</v>
      </c>
      <c r="FU34" s="666">
        <f t="shared" si="96"/>
        <v>0</v>
      </c>
      <c r="FV34" s="666">
        <f t="shared" si="97"/>
        <v>0</v>
      </c>
      <c r="FW34" s="666">
        <f t="shared" si="98"/>
        <v>0</v>
      </c>
      <c r="FX34" s="1883">
        <f t="shared" si="99"/>
        <v>0</v>
      </c>
      <c r="FY34" s="1895"/>
      <c r="FZ34" s="1889"/>
      <c r="GA34" s="704"/>
      <c r="GB34" s="704"/>
      <c r="GC34" s="704"/>
      <c r="GD34" s="704"/>
      <c r="GE34" s="704"/>
      <c r="GF34" s="704"/>
      <c r="GG34" s="704"/>
      <c r="GH34" s="704"/>
      <c r="GI34" s="704"/>
      <c r="GJ34" s="704"/>
      <c r="GK34" s="704"/>
      <c r="GL34" s="704"/>
      <c r="GM34" s="704"/>
      <c r="GN34" s="1899"/>
      <c r="GO34" s="1910"/>
      <c r="GP34" s="1868">
        <f>BH34*INDEX(Assumptions!G$565:G$570,MATCH($B34,Assumptions!$B$565:$B$570,0))</f>
        <v>0</v>
      </c>
      <c r="GQ34" s="656">
        <f>BI34*INDEX(Assumptions!H$565:H$570,MATCH($B34,Assumptions!$B$565:$B$570,0))</f>
        <v>0</v>
      </c>
      <c r="GR34" s="656">
        <f>BJ34*INDEX(Assumptions!I$565:I$570,MATCH($B34,Assumptions!$B$565:$B$570,0))</f>
        <v>0</v>
      </c>
      <c r="GS34" s="656">
        <f>BK34*INDEX(Assumptions!J$565:J$570,MATCH($B34,Assumptions!$B$565:$B$570,0))</f>
        <v>0</v>
      </c>
      <c r="GT34" s="656">
        <f>BL34*INDEX(Assumptions!K$565:K$570,MATCH($B34,Assumptions!$B$565:$B$570,0))</f>
        <v>0</v>
      </c>
      <c r="GU34" s="656">
        <f>BM34*INDEX(Assumptions!L$565:L$570,MATCH($B34,Assumptions!$B$565:$B$570,0))</f>
        <v>0</v>
      </c>
      <c r="GV34" s="656">
        <f>BN34*INDEX(Assumptions!M$565:M$570,MATCH($B34,Assumptions!$B$565:$B$570,0))</f>
        <v>0</v>
      </c>
      <c r="GW34" s="656">
        <f>BO34*INDEX(Assumptions!N$565:N$570,MATCH($B34,Assumptions!$B$565:$B$570,0))</f>
        <v>0</v>
      </c>
      <c r="GX34" s="656">
        <f>BP34*INDEX(Assumptions!O$565:O$570,MATCH($B34,Assumptions!$B$565:$B$570,0))</f>
        <v>0</v>
      </c>
      <c r="GY34" s="656">
        <f>BQ34*INDEX(Assumptions!P$565:P$570,MATCH($B34,Assumptions!$B$565:$B$570,0))</f>
        <v>0</v>
      </c>
      <c r="GZ34" s="656">
        <f>BR34*INDEX(Assumptions!Q$565:Q$570,MATCH($B34,Assumptions!$B$565:$B$570,0))</f>
        <v>0</v>
      </c>
      <c r="HA34" s="656">
        <f>BS34*INDEX(Assumptions!R$565:R$570,MATCH($B34,Assumptions!$B$565:$B$570,0))</f>
        <v>0</v>
      </c>
      <c r="HB34" s="656">
        <f>BT34*INDEX(Assumptions!S$565:S$570,MATCH($B34,Assumptions!$B$565:$B$570,0))</f>
        <v>0</v>
      </c>
      <c r="HC34" s="656">
        <f>BU34*INDEX(Assumptions!T$565:T$570,MATCH($B34,Assumptions!$B$565:$B$570,0))</f>
        <v>0</v>
      </c>
      <c r="HD34" s="1922">
        <f>BV34*INDEX(Assumptions!U$565:U$570,MATCH($B34,Assumptions!$B$565:$B$570,0))</f>
        <v>0</v>
      </c>
      <c r="HE34" s="1933"/>
      <c r="HF34" s="1927"/>
      <c r="HG34" s="501"/>
      <c r="HH34" s="501"/>
      <c r="HI34" s="501"/>
      <c r="HJ34" s="501"/>
      <c r="HK34" s="501"/>
      <c r="HL34" s="501"/>
      <c r="HM34" s="501"/>
      <c r="HN34" s="501"/>
      <c r="HO34" s="501"/>
      <c r="HP34" s="501"/>
      <c r="HQ34" s="501"/>
      <c r="HR34" s="501"/>
      <c r="HS34" s="501"/>
      <c r="HT34" s="501"/>
      <c r="HU34" s="501"/>
      <c r="HV34" s="656"/>
      <c r="HW34" s="1922"/>
      <c r="HX34" s="1946"/>
      <c r="HY34" s="1940"/>
      <c r="HZ34" s="14"/>
      <c r="IA34" s="673"/>
      <c r="IB34" s="673"/>
      <c r="IC34" s="674"/>
      <c r="ID34" s="1956"/>
      <c r="IE34" s="1953"/>
      <c r="IF34" s="1960">
        <v>1</v>
      </c>
      <c r="IG34" s="537">
        <v>1</v>
      </c>
      <c r="IH34" s="537">
        <v>1</v>
      </c>
      <c r="II34" s="537">
        <v>1</v>
      </c>
      <c r="IJ34" s="537">
        <v>1</v>
      </c>
      <c r="IK34" s="537">
        <v>1</v>
      </c>
      <c r="IL34" s="537">
        <v>1</v>
      </c>
    </row>
    <row r="35" spans="2:247" ht="13.5" customHeight="1" x14ac:dyDescent="0.3">
      <c r="B35" s="1703" t="s">
        <v>470</v>
      </c>
      <c r="C35" s="2113"/>
      <c r="D35" s="679" t="s">
        <v>694</v>
      </c>
      <c r="E35" s="1778" t="s">
        <v>695</v>
      </c>
      <c r="F35" s="1800"/>
      <c r="G35" s="1792"/>
      <c r="H35" s="1156"/>
      <c r="I35" s="1156"/>
      <c r="J35" s="70"/>
      <c r="K35" s="71" t="s">
        <v>641</v>
      </c>
      <c r="L35" s="2043" t="s">
        <v>565</v>
      </c>
      <c r="M35" s="1827"/>
      <c r="N35" s="1822" cm="1">
        <f t="array" ref="N35:R35">TRANSPOSE(Assumptions!E842:E846)</f>
        <v>0.85851243566068136</v>
      </c>
      <c r="O35" s="1181">
        <v>0.13787277513653684</v>
      </c>
      <c r="P35" s="1181">
        <v>2.5539271541393268E-3</v>
      </c>
      <c r="Q35" s="1181">
        <v>0</v>
      </c>
      <c r="R35" s="1181">
        <v>1.0608620486424896E-3</v>
      </c>
      <c r="S35" s="1445"/>
      <c r="T35" s="1445"/>
      <c r="U35" s="1445"/>
      <c r="V35" s="1445">
        <v>1</v>
      </c>
      <c r="W35" s="1445"/>
      <c r="X35" s="1445"/>
      <c r="Y35" s="1190" cm="1">
        <f t="array" ref="Y35:AC35">(_xlfn.ANCHORARRAY($Y$19)*N35)+(_xlfn.ANCHORARRAY($Y$11)*O35)+(P35*_xlfn.ANCHORARRAY($Y$12))+(Q35*_xlfn.ANCHORARRAY($Y$21))+(_xlfn.ANCHORARRAY($Y$26)*R35)</f>
        <v>0.4884701604039362</v>
      </c>
      <c r="Z35" s="1190">
        <v>9.0676095433626605E-2</v>
      </c>
      <c r="AA35" s="1190">
        <v>0.1233253775789739</v>
      </c>
      <c r="AB35" s="1190">
        <v>0.20638691404679724</v>
      </c>
      <c r="AC35" s="1190">
        <v>9.1141452536666154E-2</v>
      </c>
      <c r="AD35" s="1182">
        <f>Assumptions!E$667*O35</f>
        <v>5.9550846074647119E-2</v>
      </c>
      <c r="AE35" s="1180">
        <f>Assumptions!F$667*O35</f>
        <v>1.7749417752353099E-3</v>
      </c>
      <c r="AF35" s="1181">
        <f>Assumptions!G$667*O35</f>
        <v>7.6546987286654405E-2</v>
      </c>
      <c r="AG35" s="1177"/>
      <c r="AH35" s="1177"/>
      <c r="AI35" s="1177"/>
      <c r="AJ35" s="1177"/>
      <c r="AK35" s="1417">
        <f t="shared" si="53"/>
        <v>0</v>
      </c>
      <c r="AL35" s="1177"/>
      <c r="AM35" s="1177"/>
      <c r="AN35" s="1177"/>
      <c r="AO35" s="1221"/>
      <c r="AP35" s="1846"/>
      <c r="AQ35" s="1837">
        <f t="shared" si="102"/>
        <v>0.28148658252955339</v>
      </c>
      <c r="AR35" s="656">
        <f>Assumptions!D394</f>
        <v>0</v>
      </c>
      <c r="AS35" s="656">
        <f>Assumptions!E394</f>
        <v>0.30718465303273218</v>
      </c>
      <c r="AT35" s="656">
        <f>Assumptions!F394</f>
        <v>0.30864639299481794</v>
      </c>
      <c r="AU35" s="656">
        <f>Assumptions!G394</f>
        <v>0.31007892929828251</v>
      </c>
      <c r="AV35" s="656">
        <f>Assumptions!H394</f>
        <v>0.31148252130895415</v>
      </c>
      <c r="AW35" s="656">
        <f>Assumptions!I394</f>
        <v>0.31285744279328848</v>
      </c>
      <c r="AX35" s="656">
        <f>Assumptions!J394</f>
        <v>0.31420398098373808</v>
      </c>
      <c r="AY35" s="656">
        <f>Assumptions!K394</f>
        <v>0.31552243566109667</v>
      </c>
      <c r="AZ35" s="656">
        <f>Assumptions!L394</f>
        <v>0.316813118255451</v>
      </c>
      <c r="BA35" s="656">
        <f>Assumptions!M394</f>
        <v>0.31807635096717257</v>
      </c>
      <c r="BB35" s="656">
        <f>Assumptions!N394</f>
        <v>0.31931246590923357</v>
      </c>
      <c r="BC35" s="656">
        <f>Assumptions!O394</f>
        <v>0.32052180427199667</v>
      </c>
      <c r="BD35" s="656">
        <f>Assumptions!P394</f>
        <v>0.32170471551140067</v>
      </c>
      <c r="BE35" s="656">
        <f>Assumptions!Q394</f>
        <v>0.32286155656142163</v>
      </c>
      <c r="BF35" s="656">
        <f>Assumptions!R394</f>
        <v>0.32399269107149031</v>
      </c>
      <c r="BG35" s="501">
        <f t="shared" si="54"/>
        <v>0.31728566771612715</v>
      </c>
      <c r="BH35" s="657">
        <f t="shared" si="0"/>
        <v>0</v>
      </c>
      <c r="BI35" s="658">
        <f t="shared" si="1"/>
        <v>0.30718465303273218</v>
      </c>
      <c r="BJ35" s="658">
        <f t="shared" si="2"/>
        <v>0.61583104602755012</v>
      </c>
      <c r="BK35" s="658">
        <f t="shared" si="3"/>
        <v>0.92590997532583263</v>
      </c>
      <c r="BL35" s="658">
        <f t="shared" si="4"/>
        <v>1.2373924966347869</v>
      </c>
      <c r="BM35" s="658">
        <f t="shared" si="5"/>
        <v>1.5502499394280753</v>
      </c>
      <c r="BN35" s="658">
        <f t="shared" si="6"/>
        <v>1.8644539204118133</v>
      </c>
      <c r="BO35" s="658">
        <f t="shared" si="7"/>
        <v>2.1799763560729102</v>
      </c>
      <c r="BP35" s="658">
        <f t="shared" si="8"/>
        <v>2.4967894743283612</v>
      </c>
      <c r="BQ35" s="658">
        <f t="shared" si="9"/>
        <v>2.8148658252955339</v>
      </c>
      <c r="BR35" s="658">
        <f t="shared" si="10"/>
        <v>3.1341782912047673</v>
      </c>
      <c r="BS35" s="658">
        <f t="shared" si="11"/>
        <v>3.4547000954767642</v>
      </c>
      <c r="BT35" s="658">
        <f t="shared" si="12"/>
        <v>3.7764048109881649</v>
      </c>
      <c r="BU35" s="658">
        <f t="shared" si="13"/>
        <v>4.0992663675495864</v>
      </c>
      <c r="BV35" s="1851">
        <f t="shared" si="14"/>
        <v>4.4232590586210767</v>
      </c>
      <c r="BW35" s="1661"/>
      <c r="BX35" s="1854">
        <f>(_xlfn.XLOOKUP(D35,'KLIM 2021-30'!$C$4:$C$40,'KLIM 2021-30'!$G$4:$G$40)/1000000)/CQ35</f>
        <v>0</v>
      </c>
      <c r="BY35" s="1192">
        <f t="shared" si="15"/>
        <v>43.69657654537982</v>
      </c>
      <c r="BZ35" s="666">
        <f>INDEX(Sources!$M$11:$M$21,MATCH($D35,Sources!$C$11:$C$21,0))</f>
        <v>1.23E-2</v>
      </c>
      <c r="CA35" s="666">
        <f>INDEX(Sources!$M$11:$M$21,MATCH($D35,Sources!$C$11:$C$21,0))</f>
        <v>1.23E-2</v>
      </c>
      <c r="CB35" s="666">
        <f>INDEX(Sources!$M$11:$M$21,MATCH($D35,Sources!$C$11:$C$21,0))</f>
        <v>1.23E-2</v>
      </c>
      <c r="CC35" s="666">
        <f>INDEX(Sources!$M$11:$M$21,MATCH($D35,Sources!$C$11:$C$21,0))</f>
        <v>1.23E-2</v>
      </c>
      <c r="CD35" s="666">
        <f>INDEX(Sources!$M$11:$M$21,MATCH($D35,Sources!$C$11:$C$21,0))</f>
        <v>1.23E-2</v>
      </c>
      <c r="CE35" s="666">
        <f>INDEX(Sources!$M$11:$M$21,MATCH($D35,Sources!$C$11:$C$21,0))</f>
        <v>1.23E-2</v>
      </c>
      <c r="CF35" s="666">
        <f>INDEX(Sources!$M$11:$M$21,MATCH($D35,Sources!$C$11:$C$21,0))</f>
        <v>1.23E-2</v>
      </c>
      <c r="CG35" s="666">
        <f>INDEX(Sources!$M$11:$M$21,MATCH($D35,Sources!$C$11:$C$21,0))</f>
        <v>1.23E-2</v>
      </c>
      <c r="CH35" s="666">
        <f>INDEX(Sources!$M$11:$M$21,MATCH($D35,Sources!$C$11:$C$21,0))</f>
        <v>1.23E-2</v>
      </c>
      <c r="CI35" s="666">
        <f>INDEX(Sources!$M$11:$M$21,MATCH($D35,Sources!$C$11:$C$21,0))</f>
        <v>1.23E-2</v>
      </c>
      <c r="CJ35" s="666">
        <f>INDEX(Sources!$M$11:$M$21,MATCH($D35,Sources!$C$11:$C$21,0))</f>
        <v>1.23E-2</v>
      </c>
      <c r="CK35" s="666">
        <f>INDEX(Sources!$M$11:$M$21,MATCH($D35,Sources!$C$11:$C$21,0))</f>
        <v>1.23E-2</v>
      </c>
      <c r="CL35" s="666">
        <f>INDEX(Sources!$M$11:$M$21,MATCH($D35,Sources!$C$11:$C$21,0))</f>
        <v>1.23E-2</v>
      </c>
      <c r="CM35" s="666">
        <f>INDEX(Sources!$M$11:$M$21,MATCH($D35,Sources!$C$11:$C$21,0))</f>
        <v>1.23E-2</v>
      </c>
      <c r="CN35" s="666">
        <f>INDEX(Sources!$M$11:$M$21,MATCH($D35,Sources!$C$11:$C$21,0))</f>
        <v>1.23E-2</v>
      </c>
      <c r="CO35" s="479">
        <f t="shared" si="109"/>
        <v>1.2300000000000004E-2</v>
      </c>
      <c r="CP35" s="660">
        <f t="shared" si="18"/>
        <v>0.12300000000000003</v>
      </c>
      <c r="CQ35" s="681">
        <v>1</v>
      </c>
      <c r="CR35" s="662">
        <f t="shared" si="55"/>
        <v>0</v>
      </c>
      <c r="CS35" s="685" t="s">
        <v>691</v>
      </c>
      <c r="CT35" s="1862"/>
      <c r="CU35" s="1872"/>
      <c r="CV35" s="1865">
        <f>BH35*Assumptions!D$500</f>
        <v>0</v>
      </c>
      <c r="CW35" s="659">
        <f>BI35*Assumptions!E$500</f>
        <v>2.388653800628282E-2</v>
      </c>
      <c r="CX35" s="659">
        <f>BJ35*Assumptions!F$500</f>
        <v>4.9069135152656415E-2</v>
      </c>
      <c r="CY35" s="659">
        <f>BK35*Assumptions!G$500</f>
        <v>7.8160444236021545E-2</v>
      </c>
      <c r="CZ35" s="659">
        <f>BL35*Assumptions!H$500</f>
        <v>0.10870049016534022</v>
      </c>
      <c r="DA35" s="659">
        <f>BM35*Assumptions!I$500</f>
        <v>0.13944128681731754</v>
      </c>
      <c r="DB35" s="659">
        <f>BN35*Assumptions!J$500</f>
        <v>0.17173494248099319</v>
      </c>
      <c r="DC35" s="659">
        <f>BO35*Assumptions!K$500</f>
        <v>0.20565570868760827</v>
      </c>
      <c r="DD35" s="659">
        <f>BP35*Assumptions!L$500</f>
        <v>0.241276793042557</v>
      </c>
      <c r="DE35" s="659">
        <f>BQ35*Assumptions!M$500</f>
        <v>0.27867418969153646</v>
      </c>
      <c r="DF35" s="659">
        <f>BR35*Assumptions!N$500</f>
        <v>0.31788903890724973</v>
      </c>
      <c r="DG35" s="659">
        <f>BS35*Assumptions!O$500</f>
        <v>0.35903000899244769</v>
      </c>
      <c r="DH35" s="659">
        <f>BT35*Assumptions!P$500</f>
        <v>0.40218156917384151</v>
      </c>
      <c r="DI35" s="659">
        <f>BU35*Assumptions!Q$500</f>
        <v>0.4474315640655116</v>
      </c>
      <c r="DJ35" s="659">
        <f>BV35*Assumptions!R$500</f>
        <v>0.49487133952107487</v>
      </c>
      <c r="DK35" s="656">
        <f>BH35*Assumptions!D$507</f>
        <v>0</v>
      </c>
      <c r="DL35" s="656">
        <f>BI35*Assumptions!E$507</f>
        <v>2.388653800628282E-2</v>
      </c>
      <c r="DM35" s="656">
        <f>BJ35*Assumptions!F$507</f>
        <v>4.9069135152656415E-2</v>
      </c>
      <c r="DN35" s="656">
        <f>BK35*Assumptions!G$507</f>
        <v>7.8160444236021545E-2</v>
      </c>
      <c r="DO35" s="656">
        <f>BL35*Assumptions!H$507</f>
        <v>0.11764444254769557</v>
      </c>
      <c r="DP35" s="656">
        <f>BM35*Assumptions!I$507</f>
        <v>0.15091223584171565</v>
      </c>
      <c r="DQ35" s="656">
        <f>BN35*Assumptions!J$507</f>
        <v>0.18585960173160246</v>
      </c>
      <c r="DR35" s="656">
        <f>BO35*Assumptions!K$507</f>
        <v>0.22256422046565788</v>
      </c>
      <c r="DS35" s="656">
        <f>BP35*Assumptions!L$507</f>
        <v>0.26110401958055063</v>
      </c>
      <c r="DT35" s="656">
        <f>BQ35*Assumptions!M$507</f>
        <v>0.30155987552210611</v>
      </c>
      <c r="DU35" s="656">
        <f>BR35*Assumptions!N$507</f>
        <v>0.34403948868189616</v>
      </c>
      <c r="DV35" s="656">
        <f>BS35*Assumptions!O$507</f>
        <v>0.38861168708598876</v>
      </c>
      <c r="DW35" s="656">
        <f>BT35*Assumptions!P$507</f>
        <v>0.43536764350052026</v>
      </c>
      <c r="DX35" s="656">
        <f>BU35*Assumptions!Q$507</f>
        <v>0.48440215504238643</v>
      </c>
      <c r="DY35" s="656">
        <f>BV35*Assumptions!R$507</f>
        <v>0.53581377819746145</v>
      </c>
      <c r="DZ35" s="678">
        <v>0</v>
      </c>
      <c r="EA35" s="661">
        <f t="shared" si="56"/>
        <v>1</v>
      </c>
      <c r="EB35" s="1861"/>
      <c r="EC35" s="1881"/>
      <c r="ED35" s="1877">
        <v>0</v>
      </c>
      <c r="EE35" s="870">
        <v>0</v>
      </c>
      <c r="EF35" s="656">
        <f>(('Pathway Analysis'!BP18*Assumptions!$E$797/SUM(Assumptions!$D$797:$E$797))*(Assumptions!E324))/1000</f>
        <v>4.8283733134156896E-2</v>
      </c>
      <c r="EG35" s="656">
        <f>(('Pathway Analysis'!BQ18*Assumptions!$E$797/SUM(Assumptions!$D$797:$E$797))*(Assumptions!F324))/1000</f>
        <v>9.8791251378136477E-2</v>
      </c>
      <c r="EH35" s="656">
        <f>(('Pathway Analysis'!BR18*Assumptions!$E$797/SUM(Assumptions!$D$797:$E$797))*(Assumptions!G324))/1000</f>
        <v>0.15173767137723113</v>
      </c>
      <c r="EI35" s="656">
        <f>(('Pathway Analysis'!BS18*Assumptions!$E$797/SUM(Assumptions!$D$797:$E$797))*(Assumptions!H324))/1000</f>
        <v>0.20670686691571938</v>
      </c>
      <c r="EJ35" s="656">
        <f>(('Pathway Analysis'!BT18*Assumptions!$E$797/SUM(Assumptions!$D$797:$E$797))*(Assumptions!I324))/1000</f>
        <v>0.26406121696280144</v>
      </c>
      <c r="EK35" s="656">
        <f>(('Pathway Analysis'!BU18*Assumptions!$E$797/SUM(Assumptions!$D$797:$E$797))*(Assumptions!J324))/1000</f>
        <v>0.32403825355660204</v>
      </c>
      <c r="EL35" s="656">
        <f>(('Pathway Analysis'!BV18*Assumptions!$E$797/SUM(Assumptions!$D$797:$E$797))*(Assumptions!K324))/1000</f>
        <v>0.38751042621088583</v>
      </c>
      <c r="EM35" s="656">
        <f>(('Pathway Analysis'!BW18*Assumptions!$E$797/SUM(Assumptions!$D$797:$E$797))*(Assumptions!L324))/1000</f>
        <v>0.45406093223308319</v>
      </c>
      <c r="EN35" s="656">
        <f>(('Pathway Analysis'!BX18*Assumptions!$E$797/SUM(Assumptions!$D$797:$E$797))*(Assumptions!M324))/1000</f>
        <v>0.52384565949942541</v>
      </c>
      <c r="EO35" s="656">
        <f>(('Pathway Analysis'!BY18*Assumptions!$E$797/SUM(Assumptions!$D$797:$E$797))*(Assumptions!N324))/1000</f>
        <v>0.59702816284198756</v>
      </c>
      <c r="EP35" s="656">
        <f>(('Pathway Analysis'!BZ18*Assumptions!$E$797/SUM(Assumptions!$D$797:$E$797))*(Assumptions!O324))/1000</f>
        <v>0.67378003795533781</v>
      </c>
      <c r="EQ35" s="656">
        <f>(('Pathway Analysis'!CA18*Assumptions!$E$797/SUM(Assumptions!$D$797:$E$797))*(Assumptions!P324))/1000</f>
        <v>0.7542813133339189</v>
      </c>
      <c r="ER35" s="656">
        <f>(('Pathway Analysis'!CB18*Assumptions!$E$797/SUM(Assumptions!$D$797:$E$797))*(Assumptions!Q324))/1000</f>
        <v>0.83872086111072686</v>
      </c>
      <c r="ES35" s="656">
        <f>(('Pathway Analysis'!CC18*Assumptions!$E$797/SUM(Assumptions!$D$797:$E$797))*(Assumptions!R324))/1000</f>
        <v>0.92729682770963584</v>
      </c>
      <c r="ET35" s="541">
        <f t="shared" si="57"/>
        <v>0.50858901914227961</v>
      </c>
      <c r="EU35" s="549">
        <f>(BH35*Assumptions!D$301)*0.001</f>
        <v>0</v>
      </c>
      <c r="EV35" s="549">
        <f>(BI35*Assumptions!E$301)*0.001</f>
        <v>7.561964603706769E-4</v>
      </c>
      <c r="EW35" s="549">
        <f>(BJ35*Assumptions!F$301)*0.001</f>
        <v>1.561471024586201E-3</v>
      </c>
      <c r="EX35" s="549">
        <f>(BK35*Assumptions!G$301)*0.001</f>
        <v>2.4181227227628123E-3</v>
      </c>
      <c r="EY35" s="549">
        <f>(BL35*Assumptions!H$301)*0.001</f>
        <v>3.3285438137729321E-3</v>
      </c>
      <c r="EZ35" s="549">
        <f>(BM35*Assumptions!I$301)*0.001</f>
        <v>4.2952233066792305E-3</v>
      </c>
      <c r="FA35" s="549">
        <f>(BN35*Assumptions!J$301)*0.001</f>
        <v>5.3207506102021344E-3</v>
      </c>
      <c r="FB35" s="549">
        <f>(BO35*Assumptions!K$301)*0.001</f>
        <v>6.4078193147119305E-3</v>
      </c>
      <c r="FC35" s="549">
        <f>(BP35*Assumptions!L$301)*0.001</f>
        <v>7.5592311113904104E-3</v>
      </c>
      <c r="FD35" s="549">
        <f>(BQ35*Assumptions!M$301)*0.001</f>
        <v>8.7778998533659443E-3</v>
      </c>
      <c r="FE35" s="549">
        <f>(BR35*Assumptions!N$301)*0.001</f>
        <v>1.0066855763790315E-2</v>
      </c>
      <c r="FF35" s="549">
        <f>(BS35*Assumptions!O$301)*0.001</f>
        <v>1.1429249795995857E-2</v>
      </c>
      <c r="FG35" s="549">
        <f>(BT35*Assumptions!P$301)*0.001</f>
        <v>1.286835815104715E-2</v>
      </c>
      <c r="FH35" s="549">
        <f>(BU35*Assumptions!Q$301)*0.001</f>
        <v>1.4387586958183637E-2</v>
      </c>
      <c r="FI35" s="549">
        <f>(BV35*Assumptions!R$301)*0.001</f>
        <v>1.5990477123837662E-2</v>
      </c>
      <c r="FJ35" s="666">
        <f t="shared" si="58"/>
        <v>0</v>
      </c>
      <c r="FK35" s="666">
        <f t="shared" si="59"/>
        <v>4.7527536673786216E-2</v>
      </c>
      <c r="FL35" s="666">
        <f t="shared" si="60"/>
        <v>9.7229780353550274E-2</v>
      </c>
      <c r="FM35" s="666">
        <f t="shared" si="61"/>
        <v>0.14931954865446831</v>
      </c>
      <c r="FN35" s="666">
        <f t="shared" si="62"/>
        <v>0.20337832310194645</v>
      </c>
      <c r="FO35" s="666">
        <f t="shared" si="63"/>
        <v>0.25976599365612218</v>
      </c>
      <c r="FP35" s="666">
        <f t="shared" si="64"/>
        <v>0.31871750294639989</v>
      </c>
      <c r="FQ35" s="666">
        <f t="shared" si="65"/>
        <v>0.38110260689617392</v>
      </c>
      <c r="FR35" s="666">
        <f t="shared" si="66"/>
        <v>0.4465017011216928</v>
      </c>
      <c r="FS35" s="666">
        <f t="shared" si="67"/>
        <v>0.51506775964605944</v>
      </c>
      <c r="FT35" s="666">
        <f t="shared" si="95"/>
        <v>0.58696130707819727</v>
      </c>
      <c r="FU35" s="666">
        <f t="shared" si="96"/>
        <v>0.6623507881593419</v>
      </c>
      <c r="FV35" s="666">
        <f t="shared" si="97"/>
        <v>0.74141295518287176</v>
      </c>
      <c r="FW35" s="666">
        <f t="shared" si="98"/>
        <v>0.82433327415254321</v>
      </c>
      <c r="FX35" s="1883">
        <f t="shared" si="99"/>
        <v>0.91130635058579823</v>
      </c>
      <c r="FY35" s="1895"/>
      <c r="FZ35" s="1889"/>
      <c r="GA35" s="704"/>
      <c r="GB35" s="704"/>
      <c r="GC35" s="704"/>
      <c r="GD35" s="704"/>
      <c r="GE35" s="704"/>
      <c r="GF35" s="704"/>
      <c r="GG35" s="704"/>
      <c r="GH35" s="704"/>
      <c r="GI35" s="704"/>
      <c r="GJ35" s="704"/>
      <c r="GK35" s="704"/>
      <c r="GL35" s="704"/>
      <c r="GM35" s="704"/>
      <c r="GN35" s="1899"/>
      <c r="GO35" s="1910"/>
      <c r="GP35" s="1868">
        <f>BH35*INDEX(Assumptions!G$565:G$570,MATCH($B35,Assumptions!$B$565:$B$570,0))</f>
        <v>0</v>
      </c>
      <c r="GQ35" s="656">
        <f>BI35*INDEX(Assumptions!H$565:H$570,MATCH($B35,Assumptions!$B$565:$B$570,0))</f>
        <v>0.11506852631664029</v>
      </c>
      <c r="GR35" s="656">
        <f>BJ35*INDEX(Assumptions!I$565:I$570,MATCH($B35,Assumptions!$B$565:$B$570,0))</f>
        <v>0.22673897535822815</v>
      </c>
      <c r="GS35" s="656">
        <f>BK35*INDEX(Assumptions!J$565:J$570,MATCH($B35,Assumptions!$B$565:$B$570,0))</f>
        <v>0.33487879226145173</v>
      </c>
      <c r="GT35" s="656">
        <f>BL35*INDEX(Assumptions!K$565:K$570,MATCH($B35,Assumptions!$B$565:$B$570,0))</f>
        <v>0.43929953164456237</v>
      </c>
      <c r="GU35" s="656">
        <f>BM35*INDEX(Assumptions!L$565:L$570,MATCH($B35,Assumptions!$B$565:$B$570,0))</f>
        <v>0.53983649139137835</v>
      </c>
      <c r="GV35" s="656">
        <f>BN35*INDEX(Assumptions!M$565:M$570,MATCH($B35,Assumptions!$B$565:$B$570,0))</f>
        <v>0.63627813523718313</v>
      </c>
      <c r="GW35" s="656">
        <f>BO35*INDEX(Assumptions!N$565:N$570,MATCH($B35,Assumptions!$B$565:$B$570,0))</f>
        <v>0.72852218618359654</v>
      </c>
      <c r="GX35" s="656">
        <f>BP35*INDEX(Assumptions!O$565:O$570,MATCH($B35,Assumptions!$B$565:$B$570,0))</f>
        <v>0.81643138031113649</v>
      </c>
      <c r="GY35" s="656">
        <f>BQ35*INDEX(Assumptions!P$565:P$570,MATCH($B35,Assumptions!$B$565:$B$570,0))</f>
        <v>0.87800109636841384</v>
      </c>
      <c r="GZ35" s="656">
        <f>BR35*INDEX(Assumptions!Q$565:Q$570,MATCH($B35,Assumptions!$B$565:$B$570,0))</f>
        <v>0.60856749028969759</v>
      </c>
      <c r="HA35" s="656">
        <f>BS35*INDEX(Assumptions!R$565:R$570,MATCH($B35,Assumptions!$B$565:$B$570,0))</f>
        <v>1.3460449490513091</v>
      </c>
      <c r="HB35" s="656">
        <f>BT35*INDEX(Assumptions!S$565:S$570,MATCH($B35,Assumptions!$B$565:$B$570,0))</f>
        <v>1.4713898401945589</v>
      </c>
      <c r="HC35" s="656">
        <f>BU35*INDEX(Assumptions!T$565:T$570,MATCH($B35,Assumptions!$B$565:$B$570,0))</f>
        <v>1.565329511776369</v>
      </c>
      <c r="HD35" s="1922">
        <f>BV35*INDEX(Assumptions!U$565:U$570,MATCH($B35,Assumptions!$B$565:$B$570,0))</f>
        <v>1.6546743215736317</v>
      </c>
      <c r="HE35" s="1933"/>
      <c r="HF35" s="1927"/>
      <c r="HG35" s="501"/>
      <c r="HH35" s="501"/>
      <c r="HI35" s="501"/>
      <c r="HJ35" s="501"/>
      <c r="HK35" s="501"/>
      <c r="HL35" s="501"/>
      <c r="HM35" s="501"/>
      <c r="HN35" s="501"/>
      <c r="HO35" s="501"/>
      <c r="HP35" s="501"/>
      <c r="HQ35" s="501"/>
      <c r="HR35" s="501"/>
      <c r="HS35" s="501"/>
      <c r="HT35" s="501"/>
      <c r="HU35" s="501"/>
      <c r="HV35" s="656"/>
      <c r="HW35" s="1922"/>
      <c r="HX35" s="1946"/>
      <c r="HY35" s="1940"/>
      <c r="HZ35" s="14"/>
      <c r="IA35" s="673"/>
      <c r="IB35" s="673"/>
      <c r="IC35" s="674"/>
      <c r="ID35" s="1956"/>
      <c r="IE35" s="1953"/>
      <c r="IF35" s="1960">
        <v>1</v>
      </c>
      <c r="IG35" s="537">
        <v>1</v>
      </c>
      <c r="IH35" s="537">
        <v>1</v>
      </c>
      <c r="II35" s="537">
        <v>1</v>
      </c>
      <c r="IJ35" s="537">
        <v>1</v>
      </c>
      <c r="IK35" s="537">
        <v>1</v>
      </c>
      <c r="IL35" s="537">
        <v>1</v>
      </c>
    </row>
    <row r="36" spans="2:247" ht="13.5" customHeight="1" x14ac:dyDescent="0.3">
      <c r="B36" s="1703" t="s">
        <v>470</v>
      </c>
      <c r="C36" s="2113"/>
      <c r="D36" s="679" t="s">
        <v>696</v>
      </c>
      <c r="E36" s="1778" t="s">
        <v>697</v>
      </c>
      <c r="F36" s="1800"/>
      <c r="G36" s="1792"/>
      <c r="H36" s="1156"/>
      <c r="I36" s="1156"/>
      <c r="J36" s="70"/>
      <c r="K36" s="71" t="s">
        <v>641</v>
      </c>
      <c r="L36" s="1815" t="s">
        <v>666</v>
      </c>
      <c r="M36" s="1831"/>
      <c r="N36" s="1820" cm="1">
        <f t="array" ref="N36:R36">_xlfn.ANCHORARRAY(N32)</f>
        <v>4.9213494594420405E-2</v>
      </c>
      <c r="O36" s="1191">
        <v>0</v>
      </c>
      <c r="P36" s="1191">
        <v>0</v>
      </c>
      <c r="Q36" s="1191">
        <v>0.87638812345218486</v>
      </c>
      <c r="R36" s="1191">
        <v>7.4413461571129352E-2</v>
      </c>
      <c r="S36" s="1445">
        <v>1</v>
      </c>
      <c r="T36" s="1445"/>
      <c r="U36" s="1445"/>
      <c r="V36" s="1445"/>
      <c r="W36" s="1445"/>
      <c r="X36" s="1445"/>
      <c r="Y36" s="1190" cm="1">
        <f t="array" ref="Y36:AC36">(_xlfn.ANCHORARRAY($Y$19)*N36)+(_xlfn.ANCHORARRAY($Y$11)*O36)+(P36*_xlfn.ANCHORARRAY($Y$12))+(Q36*_xlfn.ANCHORARRAY($Y$21))+(_xlfn.ANCHORARRAY($Y$26)*R36)</f>
        <v>0.43951354110734886</v>
      </c>
      <c r="Z36" s="1190">
        <v>0.11577984762227941</v>
      </c>
      <c r="AA36" s="1190">
        <v>9.4417730424519439E-2</v>
      </c>
      <c r="AB36" s="1190">
        <v>0.24692463644021556</v>
      </c>
      <c r="AC36" s="1190">
        <v>0.10337932402337134</v>
      </c>
      <c r="AD36" s="1182">
        <f>Assumptions!E$667*O36</f>
        <v>0</v>
      </c>
      <c r="AE36" s="1180">
        <f>Assumptions!F$667*O36</f>
        <v>0</v>
      </c>
      <c r="AF36" s="1181">
        <f>Assumptions!G$667*O36</f>
        <v>0</v>
      </c>
      <c r="AG36" s="1177"/>
      <c r="AH36" s="1177"/>
      <c r="AI36" s="1177"/>
      <c r="AJ36" s="1177"/>
      <c r="AK36" s="1417">
        <f t="shared" si="53"/>
        <v>0</v>
      </c>
      <c r="AL36" s="1177"/>
      <c r="AM36" s="1177"/>
      <c r="AN36" s="1177"/>
      <c r="AO36" s="1221"/>
      <c r="AP36" s="1846"/>
      <c r="AQ36" s="1837">
        <f t="shared" si="102"/>
        <v>0.44508633225198951</v>
      </c>
      <c r="AR36" s="680">
        <f>Assumptions!D395</f>
        <v>0</v>
      </c>
      <c r="AS36" s="680">
        <f>Assumptions!E395</f>
        <v>0</v>
      </c>
      <c r="AT36" s="680">
        <f>Assumptions!F395</f>
        <v>0</v>
      </c>
      <c r="AU36" s="680">
        <f>Assumptions!G395</f>
        <v>2.9925321438696018</v>
      </c>
      <c r="AV36" s="680">
        <f>Assumptions!H395</f>
        <v>1.4583311786502935</v>
      </c>
      <c r="AW36" s="680">
        <f>Assumptions!I395</f>
        <v>0</v>
      </c>
      <c r="AX36" s="680">
        <f>Assumptions!J395</f>
        <v>0</v>
      </c>
      <c r="AY36" s="680">
        <f>Assumptions!K395</f>
        <v>0</v>
      </c>
      <c r="AZ36" s="680">
        <f>Assumptions!L395</f>
        <v>0</v>
      </c>
      <c r="BA36" s="680">
        <f>Assumptions!M395</f>
        <v>0</v>
      </c>
      <c r="BB36" s="680">
        <f>Assumptions!N395</f>
        <v>0</v>
      </c>
      <c r="BC36" s="680">
        <f>Assumptions!O395</f>
        <v>0</v>
      </c>
      <c r="BD36" s="680">
        <f>Assumptions!P395</f>
        <v>0</v>
      </c>
      <c r="BE36" s="680">
        <f>Assumptions!Q395</f>
        <v>0</v>
      </c>
      <c r="BF36" s="680">
        <f>Assumptions!R395</f>
        <v>0</v>
      </c>
      <c r="BG36" s="501">
        <f t="shared" si="54"/>
        <v>0.37090527687665792</v>
      </c>
      <c r="BH36" s="657">
        <f t="shared" si="0"/>
        <v>0</v>
      </c>
      <c r="BI36" s="658">
        <f t="shared" si="1"/>
        <v>0</v>
      </c>
      <c r="BJ36" s="658">
        <f t="shared" si="2"/>
        <v>0</v>
      </c>
      <c r="BK36" s="658">
        <f t="shared" si="3"/>
        <v>2.9925321438696018</v>
      </c>
      <c r="BL36" s="658">
        <f t="shared" si="4"/>
        <v>4.4508633225198952</v>
      </c>
      <c r="BM36" s="658">
        <f t="shared" si="5"/>
        <v>4.4508633225198952</v>
      </c>
      <c r="BN36" s="658">
        <f t="shared" si="6"/>
        <v>4.4508633225198952</v>
      </c>
      <c r="BO36" s="658">
        <f t="shared" si="7"/>
        <v>4.4508633225198952</v>
      </c>
      <c r="BP36" s="658">
        <f t="shared" si="8"/>
        <v>4.4508633225198952</v>
      </c>
      <c r="BQ36" s="658">
        <f t="shared" si="9"/>
        <v>4.4508633225198952</v>
      </c>
      <c r="BR36" s="658">
        <f t="shared" si="10"/>
        <v>4.4508633225198952</v>
      </c>
      <c r="BS36" s="658">
        <f t="shared" si="11"/>
        <v>4.4508633225198952</v>
      </c>
      <c r="BT36" s="658">
        <f t="shared" si="12"/>
        <v>4.4508633225198952</v>
      </c>
      <c r="BU36" s="658">
        <f t="shared" si="13"/>
        <v>4.4508633225198952</v>
      </c>
      <c r="BV36" s="1851">
        <f t="shared" si="14"/>
        <v>4.4508633225198952</v>
      </c>
      <c r="BW36" s="1661"/>
      <c r="BX36" s="1855"/>
      <c r="BY36" s="1192">
        <f t="shared" si="15"/>
        <v>119.07802185665315</v>
      </c>
      <c r="BZ36" s="666">
        <f>INDEX(Sources!$M$11:$M$21,MATCH($D36,Sources!$C$11:$C$21,0))</f>
        <v>5.2999999999999999E-2</v>
      </c>
      <c r="CA36" s="666">
        <f>INDEX(Sources!$M$11:$M$21,MATCH($D36,Sources!$C$11:$C$21,0))</f>
        <v>5.2999999999999999E-2</v>
      </c>
      <c r="CB36" s="666">
        <f>INDEX(Sources!$M$11:$M$21,MATCH($D36,Sources!$C$11:$C$21,0))</f>
        <v>5.2999999999999999E-2</v>
      </c>
      <c r="CC36" s="666">
        <f>INDEX(Sources!$M$11:$M$21,MATCH($D36,Sources!$C$11:$C$21,0))</f>
        <v>5.2999999999999999E-2</v>
      </c>
      <c r="CD36" s="666">
        <f>INDEX(Sources!$M$11:$M$21,MATCH($D36,Sources!$C$11:$C$21,0))</f>
        <v>5.2999999999999999E-2</v>
      </c>
      <c r="CE36" s="666">
        <f>INDEX(Sources!$M$11:$M$21,MATCH($D36,Sources!$C$11:$C$21,0))</f>
        <v>5.2999999999999999E-2</v>
      </c>
      <c r="CF36" s="666">
        <f>INDEX(Sources!$M$11:$M$21,MATCH($D36,Sources!$C$11:$C$21,0))</f>
        <v>5.2999999999999999E-2</v>
      </c>
      <c r="CG36" s="666">
        <f>INDEX(Sources!$M$11:$M$21,MATCH($D36,Sources!$C$11:$C$21,0))</f>
        <v>5.2999999999999999E-2</v>
      </c>
      <c r="CH36" s="666">
        <f>INDEX(Sources!$M$11:$M$21,MATCH($D36,Sources!$C$11:$C$21,0))</f>
        <v>5.2999999999999999E-2</v>
      </c>
      <c r="CI36" s="666">
        <f>INDEX(Sources!$M$11:$M$21,MATCH($D36,Sources!$C$11:$C$21,0))</f>
        <v>5.2999999999999999E-2</v>
      </c>
      <c r="CJ36" s="666">
        <f>INDEX(Sources!$M$11:$M$21,MATCH($D36,Sources!$C$11:$C$21,0))</f>
        <v>5.2999999999999999E-2</v>
      </c>
      <c r="CK36" s="666">
        <f>INDEX(Sources!$M$11:$M$21,MATCH($D36,Sources!$C$11:$C$21,0))</f>
        <v>5.2999999999999999E-2</v>
      </c>
      <c r="CL36" s="666">
        <f>INDEX(Sources!$M$11:$M$21,MATCH($D36,Sources!$C$11:$C$21,0))</f>
        <v>5.2999999999999999E-2</v>
      </c>
      <c r="CM36" s="666">
        <f>INDEX(Sources!$M$11:$M$21,MATCH($D36,Sources!$C$11:$C$21,0))</f>
        <v>5.2999999999999999E-2</v>
      </c>
      <c r="CN36" s="666">
        <f>INDEX(Sources!$M$11:$M$21,MATCH($D36,Sources!$C$11:$C$21,0))</f>
        <v>5.2999999999999999E-2</v>
      </c>
      <c r="CO36" s="479">
        <f t="shared" si="109"/>
        <v>5.3000000000000012E-2</v>
      </c>
      <c r="CP36" s="660">
        <f t="shared" si="18"/>
        <v>0.53</v>
      </c>
      <c r="CQ36" s="681">
        <v>1</v>
      </c>
      <c r="CR36" s="662">
        <f t="shared" si="55"/>
        <v>0</v>
      </c>
      <c r="CS36" s="685" t="s">
        <v>691</v>
      </c>
      <c r="CT36" s="1862"/>
      <c r="CU36" s="1872"/>
      <c r="CV36" s="1865">
        <f>BH36*Assumptions!D$500</f>
        <v>0</v>
      </c>
      <c r="CW36" s="659">
        <f>BI36*Assumptions!E$500</f>
        <v>0</v>
      </c>
      <c r="CX36" s="659">
        <f>BJ36*Assumptions!F$500</f>
        <v>0</v>
      </c>
      <c r="CY36" s="659">
        <f>BK36*Assumptions!G$500</f>
        <v>0.25261380478497619</v>
      </c>
      <c r="CZ36" s="659">
        <f>BL36*Assumptions!H$500</f>
        <v>0.39099236994940573</v>
      </c>
      <c r="DA36" s="659">
        <f>BM36*Assumptions!I$500</f>
        <v>0.40034454661494295</v>
      </c>
      <c r="DB36" s="659">
        <f>BN36*Assumptions!J$500</f>
        <v>0.40996923995573226</v>
      </c>
      <c r="DC36" s="659">
        <f>BO36*Assumptions!K$500</f>
        <v>0.41988778837649821</v>
      </c>
      <c r="DD36" s="659">
        <f>BP36*Assumptions!L$500</f>
        <v>0.43010836106525074</v>
      </c>
      <c r="DE36" s="659">
        <f>BQ36*Assumptions!M$500</f>
        <v>0.44063937921474022</v>
      </c>
      <c r="DF36" s="659">
        <f>BR36*Assumptions!N$500</f>
        <v>0.4514359211388394</v>
      </c>
      <c r="DG36" s="659">
        <f>BS36*Assumptions!O$500</f>
        <v>0.46255635932066147</v>
      </c>
      <c r="DH36" s="659">
        <f>BT36*Assumptions!P$500</f>
        <v>0.4740104106479382</v>
      </c>
      <c r="DI36" s="659">
        <f>BU36*Assumptions!Q$500</f>
        <v>0.48580808351503324</v>
      </c>
      <c r="DJ36" s="659">
        <f>BV36*Assumptions!R$500</f>
        <v>0.49795968656814116</v>
      </c>
      <c r="DK36" s="656">
        <f>BH36*Assumptions!D$507</f>
        <v>0</v>
      </c>
      <c r="DL36" s="656">
        <f>BI36*Assumptions!E$507</f>
        <v>0</v>
      </c>
      <c r="DM36" s="656">
        <f>BJ36*Assumptions!F$507</f>
        <v>0</v>
      </c>
      <c r="DN36" s="656">
        <f>BK36*Assumptions!G$507</f>
        <v>0.25261380478497619</v>
      </c>
      <c r="DO36" s="656">
        <f>BL36*Assumptions!H$507</f>
        <v>0.42316349570396827</v>
      </c>
      <c r="DP36" s="656">
        <f>BM36*Assumptions!I$507</f>
        <v>0.43327834973189366</v>
      </c>
      <c r="DQ36" s="656">
        <f>BN36*Assumptions!J$507</f>
        <v>0.443687921395573</v>
      </c>
      <c r="DR36" s="656">
        <f>BO36*Assumptions!K$507</f>
        <v>0.45440994028042447</v>
      </c>
      <c r="DS36" s="656">
        <f>BP36*Assumptions!L$507</f>
        <v>0.46545306124626534</v>
      </c>
      <c r="DT36" s="656">
        <f>BQ36*Assumptions!M$507</f>
        <v>0.47682620515814073</v>
      </c>
      <c r="DU36" s="656">
        <f>BR36*Assumptions!N$507</f>
        <v>0.48857231446272775</v>
      </c>
      <c r="DV36" s="656">
        <f>BS36*Assumptions!O$507</f>
        <v>0.50066791818434397</v>
      </c>
      <c r="DW36" s="656">
        <f>BT36*Assumptions!P$507</f>
        <v>0.5131234529280595</v>
      </c>
      <c r="DX36" s="656">
        <f>BU36*Assumptions!Q$507</f>
        <v>0.52594966804183252</v>
      </c>
      <c r="DY36" s="656">
        <f>BV36*Assumptions!R$507</f>
        <v>0.53915763500936542</v>
      </c>
      <c r="DZ36" s="678">
        <v>0</v>
      </c>
      <c r="EA36" s="661">
        <f t="shared" si="56"/>
        <v>1</v>
      </c>
      <c r="EB36" s="1861"/>
      <c r="EC36" s="1881"/>
      <c r="ED36" s="1877">
        <v>0</v>
      </c>
      <c r="EE36" s="870">
        <v>0</v>
      </c>
      <c r="EF36" s="686"/>
      <c r="EG36" s="690"/>
      <c r="EH36" s="690"/>
      <c r="EI36" s="690"/>
      <c r="EJ36" s="690"/>
      <c r="EK36" s="690"/>
      <c r="EL36" s="690"/>
      <c r="EM36" s="690"/>
      <c r="EN36" s="690"/>
      <c r="EO36" s="690"/>
      <c r="EP36" s="690"/>
      <c r="EQ36" s="690"/>
      <c r="ER36" s="690"/>
      <c r="ES36" s="690"/>
      <c r="ET36" s="541"/>
      <c r="EU36" s="549">
        <f>(BH36*Assumptions!D$303)*0.001</f>
        <v>0</v>
      </c>
      <c r="EV36" s="549">
        <f>(BI36*Assumptions!E$303)*0.001</f>
        <v>0</v>
      </c>
      <c r="EW36" s="549">
        <f>(BJ36*Assumptions!F$303)*0.001</f>
        <v>0</v>
      </c>
      <c r="EX36" s="549">
        <f>(BK36*Assumptions!G$303)*0.001</f>
        <v>3.4049716739178136E-2</v>
      </c>
      <c r="EY36" s="549">
        <f>(BL36*Assumptions!H$303)*0.001</f>
        <v>5.5209110206352392E-2</v>
      </c>
      <c r="EZ36" s="549">
        <f>(BM36*Assumptions!I$303)*0.001</f>
        <v>5.5209110206352392E-2</v>
      </c>
      <c r="FA36" s="549">
        <f>(BN36*Assumptions!J$303)*0.001</f>
        <v>5.5209110206352392E-2</v>
      </c>
      <c r="FB36" s="549">
        <f>(BO36*Assumptions!K$303)*0.001</f>
        <v>5.5209110206352392E-2</v>
      </c>
      <c r="FC36" s="549">
        <f>(BP36*Assumptions!L$303)*0.001</f>
        <v>5.5209110206352392E-2</v>
      </c>
      <c r="FD36" s="549">
        <f>(BQ36*Assumptions!M$303)*0.001</f>
        <v>5.5209110206352392E-2</v>
      </c>
      <c r="FE36" s="549">
        <f>(BR36*Assumptions!N$303)*0.001</f>
        <v>5.5209110206352392E-2</v>
      </c>
      <c r="FF36" s="549">
        <f>(BS36*Assumptions!O$303)*0.001</f>
        <v>5.5209110206352392E-2</v>
      </c>
      <c r="FG36" s="549">
        <f>(BT36*Assumptions!P$303)*0.001</f>
        <v>5.5209110206352392E-2</v>
      </c>
      <c r="FH36" s="549">
        <f>(BU36*Assumptions!Q$303)*0.001</f>
        <v>5.5209110206352392E-2</v>
      </c>
      <c r="FI36" s="549">
        <f>(BV36*Assumptions!R$303)*0.001</f>
        <v>5.5209110206352392E-2</v>
      </c>
      <c r="FJ36" s="666">
        <f t="shared" si="58"/>
        <v>0</v>
      </c>
      <c r="FK36" s="666">
        <f t="shared" si="59"/>
        <v>0</v>
      </c>
      <c r="FL36" s="666">
        <f t="shared" si="60"/>
        <v>0</v>
      </c>
      <c r="FM36" s="666">
        <f t="shared" si="61"/>
        <v>-3.4049716739178136E-2</v>
      </c>
      <c r="FN36" s="666">
        <f t="shared" si="62"/>
        <v>-5.5209110206352392E-2</v>
      </c>
      <c r="FO36" s="666">
        <f t="shared" si="63"/>
        <v>-5.5209110206352392E-2</v>
      </c>
      <c r="FP36" s="666">
        <f t="shared" si="64"/>
        <v>-5.5209110206352392E-2</v>
      </c>
      <c r="FQ36" s="666">
        <f t="shared" si="65"/>
        <v>-5.5209110206352392E-2</v>
      </c>
      <c r="FR36" s="666">
        <f t="shared" si="66"/>
        <v>-5.5209110206352392E-2</v>
      </c>
      <c r="FS36" s="666">
        <f t="shared" si="67"/>
        <v>-5.5209110206352392E-2</v>
      </c>
      <c r="FT36" s="666">
        <f t="shared" si="95"/>
        <v>-5.5209110206352392E-2</v>
      </c>
      <c r="FU36" s="666">
        <f t="shared" si="96"/>
        <v>-5.5209110206352392E-2</v>
      </c>
      <c r="FV36" s="666">
        <f t="shared" si="97"/>
        <v>-5.5209110206352392E-2</v>
      </c>
      <c r="FW36" s="666">
        <f t="shared" si="98"/>
        <v>-5.5209110206352392E-2</v>
      </c>
      <c r="FX36" s="1883">
        <f t="shared" si="99"/>
        <v>-5.5209110206352392E-2</v>
      </c>
      <c r="FY36" s="1895"/>
      <c r="FZ36" s="1889"/>
      <c r="GA36" s="704"/>
      <c r="GB36" s="704"/>
      <c r="GC36" s="704"/>
      <c r="GD36" s="704"/>
      <c r="GE36" s="704"/>
      <c r="GF36" s="704"/>
      <c r="GG36" s="704"/>
      <c r="GH36" s="704"/>
      <c r="GI36" s="704"/>
      <c r="GJ36" s="704"/>
      <c r="GK36" s="704"/>
      <c r="GL36" s="704"/>
      <c r="GM36" s="704"/>
      <c r="GN36" s="1899"/>
      <c r="GO36" s="1910"/>
      <c r="GP36" s="1868">
        <f>BH36*INDEX(Assumptions!G$565:G$570,MATCH($B36,Assumptions!$B$565:$B$570,0))</f>
        <v>0</v>
      </c>
      <c r="GQ36" s="656">
        <f>BI36*INDEX(Assumptions!H$565:H$570,MATCH($B36,Assumptions!$B$565:$B$570,0))</f>
        <v>0</v>
      </c>
      <c r="GR36" s="656">
        <f>BJ36*INDEX(Assumptions!I$565:I$570,MATCH($B36,Assumptions!$B$565:$B$570,0))</f>
        <v>0</v>
      </c>
      <c r="GS36" s="656">
        <f>BK36*INDEX(Assumptions!J$565:J$570,MATCH($B36,Assumptions!$B$565:$B$570,0))</f>
        <v>1.0823250389866124</v>
      </c>
      <c r="GT36" s="656">
        <f>BL36*INDEX(Assumptions!K$565:K$570,MATCH($B36,Assumptions!$B$565:$B$570,0))</f>
        <v>1.5801471063663974</v>
      </c>
      <c r="GU36" s="656">
        <f>BM36*INDEX(Assumptions!L$565:L$570,MATCH($B36,Assumptions!$B$565:$B$570,0))</f>
        <v>1.5499039081260286</v>
      </c>
      <c r="GV36" s="656">
        <f>BN36*INDEX(Assumptions!M$565:M$570,MATCH($B36,Assumptions!$B$565:$B$570,0))</f>
        <v>1.5189364478490377</v>
      </c>
      <c r="GW36" s="656">
        <f>BO36*INDEX(Assumptions!N$565:N$570,MATCH($B36,Assumptions!$B$565:$B$570,0))</f>
        <v>1.487425617756623</v>
      </c>
      <c r="GX36" s="656">
        <f>BP36*INDEX(Assumptions!O$565:O$570,MATCH($B36,Assumptions!$B$565:$B$570,0))</f>
        <v>1.4553988325181606</v>
      </c>
      <c r="GY36" s="656">
        <f>BQ36*INDEX(Assumptions!P$565:P$570,MATCH($B36,Assumptions!$B$565:$B$570,0))</f>
        <v>1.3882945474135135</v>
      </c>
      <c r="GZ36" s="656">
        <f>BR36*INDEX(Assumptions!Q$565:Q$570,MATCH($B36,Assumptions!$B$565:$B$570,0))</f>
        <v>0.86422994167546274</v>
      </c>
      <c r="HA36" s="656">
        <f>BS36*INDEX(Assumptions!R$565:R$570,MATCH($B36,Assumptions!$B$565:$B$570,0))</f>
        <v>1.7341771872006271</v>
      </c>
      <c r="HB36" s="656">
        <f>BT36*INDEX(Assumptions!S$565:S$570,MATCH($B36,Assumptions!$B$565:$B$570,0))</f>
        <v>1.7341771872006271</v>
      </c>
      <c r="HC36" s="656">
        <f>BU36*INDEX(Assumptions!T$565:T$570,MATCH($B36,Assumptions!$B$565:$B$570,0))</f>
        <v>1.6995889232219157</v>
      </c>
      <c r="HD36" s="1922">
        <f>BV36*INDEX(Assumptions!U$565:U$570,MATCH($B36,Assumptions!$B$565:$B$570,0))</f>
        <v>1.6650006592432043</v>
      </c>
      <c r="HE36" s="1933"/>
      <c r="HF36" s="1927"/>
      <c r="HG36" s="501"/>
      <c r="HH36" s="501"/>
      <c r="HI36" s="501"/>
      <c r="HJ36" s="501"/>
      <c r="HK36" s="501"/>
      <c r="HL36" s="501"/>
      <c r="HM36" s="501"/>
      <c r="HN36" s="501"/>
      <c r="HO36" s="501"/>
      <c r="HP36" s="501"/>
      <c r="HQ36" s="501"/>
      <c r="HR36" s="501"/>
      <c r="HS36" s="501"/>
      <c r="HT36" s="501"/>
      <c r="HU36" s="501"/>
      <c r="HV36" s="656"/>
      <c r="HW36" s="1922"/>
      <c r="HX36" s="1946"/>
      <c r="HY36" s="1940"/>
      <c r="HZ36" s="14"/>
      <c r="IA36" s="673"/>
      <c r="IB36" s="673"/>
      <c r="IC36" s="674"/>
      <c r="ID36" s="1956"/>
      <c r="IE36" s="1953"/>
      <c r="IF36" s="1960">
        <v>1</v>
      </c>
      <c r="IG36" s="537">
        <v>1</v>
      </c>
      <c r="IH36" s="537">
        <v>1</v>
      </c>
      <c r="II36" s="537">
        <v>1</v>
      </c>
      <c r="IJ36" s="537">
        <v>1</v>
      </c>
      <c r="IK36" s="537">
        <v>1</v>
      </c>
      <c r="IL36" s="537">
        <v>1</v>
      </c>
    </row>
    <row r="37" spans="2:247" ht="13.5" customHeight="1" x14ac:dyDescent="0.3">
      <c r="B37" s="1703" t="s">
        <v>470</v>
      </c>
      <c r="C37" s="2113"/>
      <c r="D37" s="679" t="s">
        <v>698</v>
      </c>
      <c r="E37" s="1780" t="s">
        <v>699</v>
      </c>
      <c r="F37" s="1803"/>
      <c r="G37" s="1792" t="s">
        <v>700</v>
      </c>
      <c r="H37" s="1156" t="s">
        <v>701</v>
      </c>
      <c r="I37" s="1156" t="s">
        <v>702</v>
      </c>
      <c r="J37" s="687" t="s">
        <v>655</v>
      </c>
      <c r="K37" s="71"/>
      <c r="L37" s="2043" t="s">
        <v>565</v>
      </c>
      <c r="M37" s="1827"/>
      <c r="N37" s="1819" cm="1">
        <f t="array" ref="N37:R37">N29:R29</f>
        <v>0.32484216324019144</v>
      </c>
      <c r="O37" s="1180">
        <v>0.25923520497902114</v>
      </c>
      <c r="P37" s="1180">
        <v>0.37349988109383597</v>
      </c>
      <c r="Q37" s="1180">
        <v>2.1816497531963762E-2</v>
      </c>
      <c r="R37" s="1180">
        <v>2.0621332772722115E-2</v>
      </c>
      <c r="S37" s="1445"/>
      <c r="T37" s="1445"/>
      <c r="U37" s="1445"/>
      <c r="V37" s="1445"/>
      <c r="W37" s="1445"/>
      <c r="X37" s="1445">
        <v>1</v>
      </c>
      <c r="Y37" s="1190" cm="1">
        <f t="array" ref="Y37:AC37">(_xlfn.ANCHORARRAY($Y$19)*N37)+(_xlfn.ANCHORARRAY($Y$11)*O37)+(P37*_xlfn.ANCHORARRAY($Y$12))+(Q37*_xlfn.ANCHORARRAY($Y$21))+(_xlfn.ANCHORARRAY($Y$26)*R37)</f>
        <v>0.55624683205624048</v>
      </c>
      <c r="Z37" s="1190">
        <v>7.4115027560809094E-2</v>
      </c>
      <c r="AA37" s="1190">
        <v>7.7456986059978639E-2</v>
      </c>
      <c r="AB37" s="1190">
        <v>0.20901796047559335</v>
      </c>
      <c r="AC37" s="1190">
        <v>8.3178273465112973E-2</v>
      </c>
      <c r="AD37" s="1182">
        <f>Assumptions!E$667*O37</f>
        <v>0.11197044357413703</v>
      </c>
      <c r="AE37" s="1180">
        <f>Assumptions!F$667*O37</f>
        <v>3.3373332369155862E-3</v>
      </c>
      <c r="AF37" s="1181">
        <f>Assumptions!G$667*O37</f>
        <v>0.1439274281679685</v>
      </c>
      <c r="AG37" s="1177"/>
      <c r="AH37" s="1177"/>
      <c r="AI37" s="1177"/>
      <c r="AJ37" s="1177"/>
      <c r="AK37" s="1417">
        <f t="shared" si="53"/>
        <v>0</v>
      </c>
      <c r="AL37" s="1177"/>
      <c r="AM37" s="1177"/>
      <c r="AN37" s="1177"/>
      <c r="AO37" s="1221"/>
      <c r="AP37" s="1846"/>
      <c r="AQ37" s="1838">
        <f>INDEX(Sources!$Q$73:$Q$104,MATCH($E37,Sources!$E$73:$E$104,0))</f>
        <v>100.34283383664871</v>
      </c>
      <c r="AR37" s="656">
        <f>_xlfn.XLOOKUP($D37,'KLIM 2021-30'!$C$4:$C$40,'KLIM 2021-30'!T$4:T$40)</f>
        <v>105.6585962719987</v>
      </c>
      <c r="AS37" s="656">
        <f>_xlfn.XLOOKUP($D37,'KLIM 2021-30'!$C$4:$C$40,'KLIM 2021-30'!U$4:U$40)</f>
        <v>0</v>
      </c>
      <c r="AT37" s="656">
        <f>_xlfn.XLOOKUP($D37,'KLIM 2021-30'!$C$4:$C$40,'KLIM 2021-30'!V$4:V$40)</f>
        <v>0</v>
      </c>
      <c r="AU37" s="656">
        <f>_xlfn.XLOOKUP($D37,'KLIM 2021-30'!$C$4:$C$40,'KLIM 2021-30'!W$4:W$40)</f>
        <v>0</v>
      </c>
      <c r="AV37" s="656">
        <f>_xlfn.XLOOKUP($D37,'KLIM 2021-30'!$C$4:$C$40,'KLIM 2021-30'!X$4:X$40)</f>
        <v>0</v>
      </c>
      <c r="AW37" s="656">
        <f>_xlfn.XLOOKUP($D37,'KLIM 2021-30'!$C$4:$C$40,'KLIM 2021-30'!Y$4:Y$40)</f>
        <v>0</v>
      </c>
      <c r="AX37" s="656">
        <f>_xlfn.XLOOKUP($D37,'KLIM 2021-30'!$C$4:$C$40,'KLIM 2021-30'!Z$4:Z$40)</f>
        <v>0</v>
      </c>
      <c r="AY37" s="663"/>
      <c r="AZ37" s="663"/>
      <c r="BA37" s="663"/>
      <c r="BB37" s="663"/>
      <c r="BC37" s="663"/>
      <c r="BD37" s="663"/>
      <c r="BE37" s="663"/>
      <c r="BF37" s="663"/>
      <c r="BG37" s="501">
        <f t="shared" si="54"/>
        <v>0</v>
      </c>
      <c r="BH37" s="657">
        <f t="shared" si="0"/>
        <v>105.6585962719987</v>
      </c>
      <c r="BI37" s="658">
        <f t="shared" si="1"/>
        <v>105.6585962719987</v>
      </c>
      <c r="BJ37" s="658">
        <f t="shared" si="2"/>
        <v>105.6585962719987</v>
      </c>
      <c r="BK37" s="658">
        <f t="shared" si="3"/>
        <v>105.6585962719987</v>
      </c>
      <c r="BL37" s="658">
        <f t="shared" si="4"/>
        <v>105.6585962719987</v>
      </c>
      <c r="BM37" s="658">
        <f t="shared" si="5"/>
        <v>105.6585962719987</v>
      </c>
      <c r="BN37" s="658">
        <f t="shared" si="6"/>
        <v>105.6585962719987</v>
      </c>
      <c r="BO37" s="658">
        <f t="shared" si="7"/>
        <v>105.6585962719987</v>
      </c>
      <c r="BP37" s="658">
        <f t="shared" si="8"/>
        <v>105.6585962719987</v>
      </c>
      <c r="BQ37" s="658">
        <f t="shared" si="9"/>
        <v>105.6585962719987</v>
      </c>
      <c r="BR37" s="658">
        <f t="shared" si="10"/>
        <v>105.6585962719987</v>
      </c>
      <c r="BS37" s="658">
        <f t="shared" si="11"/>
        <v>105.6585962719987</v>
      </c>
      <c r="BT37" s="658">
        <f t="shared" si="12"/>
        <v>105.6585962719987</v>
      </c>
      <c r="BU37" s="658">
        <f t="shared" si="13"/>
        <v>105.6585962719987</v>
      </c>
      <c r="BV37" s="1851">
        <f t="shared" si="14"/>
        <v>105.6585962719987</v>
      </c>
      <c r="BW37" s="1661"/>
      <c r="BX37" s="1855" t="s">
        <v>606</v>
      </c>
      <c r="BY37" s="1192">
        <f t="shared" si="15"/>
        <v>0</v>
      </c>
      <c r="BZ37" s="676">
        <v>0</v>
      </c>
      <c r="CA37" s="676">
        <v>0</v>
      </c>
      <c r="CB37" s="676">
        <v>0</v>
      </c>
      <c r="CC37" s="676">
        <v>0</v>
      </c>
      <c r="CD37" s="676">
        <v>0</v>
      </c>
      <c r="CE37" s="676">
        <v>0</v>
      </c>
      <c r="CF37" s="676">
        <v>0</v>
      </c>
      <c r="CG37" s="684"/>
      <c r="CH37" s="684"/>
      <c r="CI37" s="684"/>
      <c r="CJ37" s="684"/>
      <c r="CK37" s="684"/>
      <c r="CL37" s="684"/>
      <c r="CM37" s="684"/>
      <c r="CN37" s="684"/>
      <c r="CO37" s="479">
        <f t="shared" si="109"/>
        <v>0</v>
      </c>
      <c r="CP37" s="660">
        <f t="shared" si="18"/>
        <v>0</v>
      </c>
      <c r="CQ37" s="672"/>
      <c r="CR37" s="662">
        <f t="shared" si="55"/>
        <v>1</v>
      </c>
      <c r="CS37" s="685"/>
      <c r="CT37" s="1862">
        <f>IFERROR(AVERAGE(BZ37:CI37),"n/a")</f>
        <v>0</v>
      </c>
      <c r="CU37" s="1872"/>
      <c r="CV37" s="1865">
        <f>BH37*Assumptions!D$500</f>
        <v>8.0309035945714538</v>
      </c>
      <c r="CW37" s="659">
        <f>BI37*Assumptions!E$500</f>
        <v>8.2159640809681438</v>
      </c>
      <c r="CX37" s="659">
        <f>BJ37*Assumptions!F$500</f>
        <v>8.4188284659470121</v>
      </c>
      <c r="CY37" s="659">
        <f>BK37*Assumptions!G$500</f>
        <v>8.9191422946574477</v>
      </c>
      <c r="CZ37" s="659">
        <f>BL37*Assumptions!H$500</f>
        <v>9.2817285026238991</v>
      </c>
      <c r="DA37" s="659">
        <f>BM37*Assumptions!I$500</f>
        <v>9.5037388828503051</v>
      </c>
      <c r="DB37" s="659">
        <f>BN37*Assumptions!J$500</f>
        <v>9.732218508991803</v>
      </c>
      <c r="DC37" s="659">
        <f>BO37*Assumptions!K$500</f>
        <v>9.9676739312896618</v>
      </c>
      <c r="DD37" s="659">
        <f>BP37*Assumptions!L$500</f>
        <v>10.210299077275527</v>
      </c>
      <c r="DE37" s="659">
        <f>BQ37*Assumptions!M$500</f>
        <v>10.460293856796198</v>
      </c>
      <c r="DF37" s="659">
        <f>BR37*Assumptions!N$500</f>
        <v>10.716591878467701</v>
      </c>
      <c r="DG37" s="659">
        <f>BS37*Assumptions!O$500</f>
        <v>10.980578840789347</v>
      </c>
      <c r="DH37" s="659">
        <f>BT37*Assumptions!P$500</f>
        <v>11.252485411980642</v>
      </c>
      <c r="DI37" s="659">
        <f>BU37*Assumptions!Q$500</f>
        <v>11.532549180307678</v>
      </c>
      <c r="DJ37" s="659">
        <f>BV37*Assumptions!R$500</f>
        <v>11.821014861684525</v>
      </c>
      <c r="DK37" s="656">
        <f>BH37*Assumptions!D$507</f>
        <v>8.0309035945714538</v>
      </c>
      <c r="DL37" s="656">
        <f>BI37*Assumptions!E$507</f>
        <v>8.2159640809681438</v>
      </c>
      <c r="DM37" s="656">
        <f>BJ37*Assumptions!F$507</f>
        <v>8.4188284659470121</v>
      </c>
      <c r="DN37" s="656">
        <f>BK37*Assumptions!G$507</f>
        <v>8.9191422946574477</v>
      </c>
      <c r="DO37" s="656">
        <f>BL37*Assumptions!H$507</f>
        <v>10.045435617717374</v>
      </c>
      <c r="DP37" s="656">
        <f>BM37*Assumptions!I$507</f>
        <v>10.28555111905829</v>
      </c>
      <c r="DQ37" s="656">
        <f>BN37*Assumptions!J$507</f>
        <v>10.532662892680321</v>
      </c>
      <c r="DR37" s="656">
        <f>BO37*Assumptions!K$507</f>
        <v>10.787191819426578</v>
      </c>
      <c r="DS37" s="656">
        <f>BP37*Assumptions!L$507</f>
        <v>11.049343356142836</v>
      </c>
      <c r="DT37" s="656">
        <f>BQ37*Assumptions!M$507</f>
        <v>11.319329274346194</v>
      </c>
      <c r="DU37" s="656">
        <f>BR37*Assumptions!N$507</f>
        <v>11.598168980454599</v>
      </c>
      <c r="DV37" s="656">
        <f>BS37*Assumptions!O$507</f>
        <v>11.885305299339533</v>
      </c>
      <c r="DW37" s="656">
        <f>BT37*Assumptions!P$507</f>
        <v>12.180985984517934</v>
      </c>
      <c r="DX37" s="656">
        <f>BU37*Assumptions!Q$507</f>
        <v>12.485466213678665</v>
      </c>
      <c r="DY37" s="656">
        <f>BV37*Assumptions!R$507</f>
        <v>12.79900881165859</v>
      </c>
      <c r="DZ37" s="1185">
        <f>P37*Assumptions!S$838</f>
        <v>0.15703798681573145</v>
      </c>
      <c r="EA37" s="661">
        <f t="shared" si="56"/>
        <v>0.84296201318426855</v>
      </c>
      <c r="EB37" s="1861">
        <f>IFERROR(AVERAGE(CV37:DE37),"n/a")</f>
        <v>9.274079119597145</v>
      </c>
      <c r="EC37" s="1881"/>
      <c r="ED37" s="1877">
        <v>0</v>
      </c>
      <c r="EE37" s="665">
        <f t="shared" ref="EE37:ES40" si="110">(BZ37*0.32*$CR37)</f>
        <v>0</v>
      </c>
      <c r="EF37" s="665">
        <f t="shared" si="110"/>
        <v>0</v>
      </c>
      <c r="EG37" s="665">
        <f t="shared" si="110"/>
        <v>0</v>
      </c>
      <c r="EH37" s="665">
        <f t="shared" si="110"/>
        <v>0</v>
      </c>
      <c r="EI37" s="665">
        <f t="shared" si="110"/>
        <v>0</v>
      </c>
      <c r="EJ37" s="665">
        <f t="shared" si="110"/>
        <v>0</v>
      </c>
      <c r="EK37" s="665">
        <f t="shared" si="110"/>
        <v>0</v>
      </c>
      <c r="EL37" s="665">
        <f t="shared" si="110"/>
        <v>0</v>
      </c>
      <c r="EM37" s="665">
        <f t="shared" si="110"/>
        <v>0</v>
      </c>
      <c r="EN37" s="665">
        <f t="shared" si="110"/>
        <v>0</v>
      </c>
      <c r="EO37" s="665">
        <f t="shared" si="110"/>
        <v>0</v>
      </c>
      <c r="EP37" s="665">
        <f t="shared" si="110"/>
        <v>0</v>
      </c>
      <c r="EQ37" s="665">
        <f t="shared" si="110"/>
        <v>0</v>
      </c>
      <c r="ER37" s="665">
        <f t="shared" si="110"/>
        <v>0</v>
      </c>
      <c r="ES37" s="665">
        <f t="shared" si="110"/>
        <v>0</v>
      </c>
      <c r="ET37" s="541">
        <f t="shared" si="57"/>
        <v>0</v>
      </c>
      <c r="EU37" s="1450" cm="1">
        <f t="array" ref="EU37">(BH37*SUMPRODUCT($S37:$X37,TRANSPOSE(Assumptions!D$281:D$286)))*0.001</f>
        <v>0.10565859627199871</v>
      </c>
      <c r="EV37" s="1450" cm="1">
        <f t="array" ref="EV37">(BI37*SUMPRODUCT($S37:$X37,TRANSPOSE(Assumptions!E$281:E$286)))*0.001</f>
        <v>0.10565859627199871</v>
      </c>
      <c r="EW37" s="1450" cm="1">
        <f t="array" ref="EW37">(BJ37*SUMPRODUCT($S37:$X37,TRANSPOSE(Assumptions!F$281:F$286)))*0.001</f>
        <v>0.10565859627199871</v>
      </c>
      <c r="EX37" s="1450" cm="1">
        <f t="array" ref="EX37">(BK37*SUMPRODUCT($S37:$X37,TRANSPOSE(Assumptions!G$281:G$286)))*0.001</f>
        <v>0.35008214898122236</v>
      </c>
      <c r="EY37" s="1450" cm="1">
        <f t="array" ref="EY37">(BL37*SUMPRODUCT($S37:$X37,TRANSPOSE(Assumptions!H$281:H$286)))*0.001</f>
        <v>0.4722939253358342</v>
      </c>
      <c r="EZ37" s="1450" cm="1">
        <f t="array" ref="EZ37">(BM37*SUMPRODUCT($S37:$X37,TRANSPOSE(Assumptions!I$281:I$286)))*0.001</f>
        <v>0.4722939253358342</v>
      </c>
      <c r="FA37" s="1450" cm="1">
        <f t="array" ref="FA37">(BN37*SUMPRODUCT($S37:$X37,TRANSPOSE(Assumptions!J$281:J$286)))*0.001</f>
        <v>0.4722939253358342</v>
      </c>
      <c r="FB37" s="1450" cm="1">
        <f t="array" ref="FB37">(BO37*SUMPRODUCT($S37:$X37,TRANSPOSE(Assumptions!K$281:K$286)))*0.001</f>
        <v>0.4722939253358342</v>
      </c>
      <c r="FC37" s="1450" cm="1">
        <f t="array" ref="FC37">(BP37*SUMPRODUCT($S37:$X37,TRANSPOSE(Assumptions!L$281:L$286)))*0.001</f>
        <v>0.4722939253358342</v>
      </c>
      <c r="FD37" s="1450" cm="1">
        <f t="array" ref="FD37">(BQ37*SUMPRODUCT($S37:$X37,TRANSPOSE(Assumptions!M$281:M$286)))*0.001</f>
        <v>0.4722939253358342</v>
      </c>
      <c r="FE37" s="1450" cm="1">
        <f t="array" ref="FE37">(BR37*SUMPRODUCT($S37:$X37,TRANSPOSE(Assumptions!N$281:N$286)))*0.001</f>
        <v>0.4722939253358342</v>
      </c>
      <c r="FF37" s="1450" cm="1">
        <f t="array" ref="FF37">(BS37*SUMPRODUCT($S37:$X37,TRANSPOSE(Assumptions!O$281:O$286)))*0.001</f>
        <v>0.4722939253358342</v>
      </c>
      <c r="FG37" s="1450" cm="1">
        <f t="array" ref="FG37">(BT37*SUMPRODUCT($S37:$X37,TRANSPOSE(Assumptions!P$281:P$286)))*0.001</f>
        <v>0.4722939253358342</v>
      </c>
      <c r="FH37" s="1450" cm="1">
        <f t="array" ref="FH37">(BU37*SUMPRODUCT($S37:$X37,TRANSPOSE(Assumptions!Q$281:Q$286)))*0.001</f>
        <v>0.4722939253358342</v>
      </c>
      <c r="FI37" s="1450" cm="1">
        <f t="array" ref="FI37">(BV37*SUMPRODUCT($S37:$X37,TRANSPOSE(Assumptions!R$281:R$286)))*0.001</f>
        <v>0.4722939253358342</v>
      </c>
      <c r="FJ37" s="666">
        <f t="shared" si="58"/>
        <v>-0.10565859627199871</v>
      </c>
      <c r="FK37" s="666">
        <f t="shared" si="59"/>
        <v>-0.10565859627199871</v>
      </c>
      <c r="FL37" s="666">
        <f t="shared" si="60"/>
        <v>-0.10565859627199871</v>
      </c>
      <c r="FM37" s="666">
        <f t="shared" si="61"/>
        <v>-0.35008214898122236</v>
      </c>
      <c r="FN37" s="666">
        <f t="shared" si="62"/>
        <v>-0.4722939253358342</v>
      </c>
      <c r="FO37" s="666">
        <f t="shared" si="63"/>
        <v>-0.4722939253358342</v>
      </c>
      <c r="FP37" s="666">
        <f t="shared" si="64"/>
        <v>-0.4722939253358342</v>
      </c>
      <c r="FQ37" s="666">
        <f t="shared" si="65"/>
        <v>-0.4722939253358342</v>
      </c>
      <c r="FR37" s="666">
        <f t="shared" si="66"/>
        <v>-0.4722939253358342</v>
      </c>
      <c r="FS37" s="666">
        <f t="shared" si="67"/>
        <v>-0.4722939253358342</v>
      </c>
      <c r="FT37" s="666">
        <f t="shared" si="95"/>
        <v>-0.4722939253358342</v>
      </c>
      <c r="FU37" s="666">
        <f t="shared" si="96"/>
        <v>-0.4722939253358342</v>
      </c>
      <c r="FV37" s="666">
        <f t="shared" si="97"/>
        <v>-0.4722939253358342</v>
      </c>
      <c r="FW37" s="666">
        <f t="shared" si="98"/>
        <v>-0.4722939253358342</v>
      </c>
      <c r="FX37" s="1883">
        <f t="shared" si="99"/>
        <v>-0.4722939253358342</v>
      </c>
      <c r="FY37" s="1895"/>
      <c r="FZ37" s="1889"/>
      <c r="GA37" s="704"/>
      <c r="GB37" s="704"/>
      <c r="GC37" s="704"/>
      <c r="GD37" s="704"/>
      <c r="GE37" s="704"/>
      <c r="GF37" s="704"/>
      <c r="GG37" s="704"/>
      <c r="GH37" s="704"/>
      <c r="GI37" s="704"/>
      <c r="GJ37" s="704"/>
      <c r="GK37" s="704"/>
      <c r="GL37" s="704"/>
      <c r="GM37" s="704"/>
      <c r="GN37" s="1899"/>
      <c r="GO37" s="1910"/>
      <c r="GP37" s="1868">
        <f>BH37*INDEX(Assumptions!G$565:G$570,MATCH($B37,Assumptions!$B$565:$B$570,0))</f>
        <v>40.526870326032459</v>
      </c>
      <c r="GQ37" s="656">
        <f>BI37*INDEX(Assumptions!H$565:H$570,MATCH($B37,Assumptions!$B$565:$B$570,0))</f>
        <v>39.578731703137059</v>
      </c>
      <c r="GR37" s="656">
        <f>BJ37*INDEX(Assumptions!I$565:I$570,MATCH($B37,Assumptions!$B$565:$B$570,0))</f>
        <v>38.901776730869692</v>
      </c>
      <c r="GS37" s="656">
        <f>BK37*INDEX(Assumptions!J$565:J$570,MATCH($B37,Assumptions!$B$565:$B$570,0))</f>
        <v>38.214107261514108</v>
      </c>
      <c r="GT37" s="656">
        <f>BL37*INDEX(Assumptions!K$565:K$570,MATCH($B37,Assumptions!$B$565:$B$570,0))</f>
        <v>37.51095305874513</v>
      </c>
      <c r="GU37" s="656">
        <f>BM37*INDEX(Assumptions!L$565:L$570,MATCH($B37,Assumptions!$B$565:$B$570,0))</f>
        <v>36.793012820795063</v>
      </c>
      <c r="GV37" s="656">
        <f>BN37*INDEX(Assumptions!M$565:M$570,MATCH($B37,Assumptions!$B$565:$B$570,0))</f>
        <v>36.057879399280949</v>
      </c>
      <c r="GW37" s="656">
        <f>BO37*INDEX(Assumptions!N$565:N$570,MATCH($B37,Assumptions!$B$565:$B$570,0))</f>
        <v>35.309846976428425</v>
      </c>
      <c r="GX37" s="656">
        <f>BP37*INDEX(Assumptions!O$565:O$570,MATCH($B37,Assumptions!$B$565:$B$570,0))</f>
        <v>34.549566346313533</v>
      </c>
      <c r="GY37" s="656">
        <f>BQ37*INDEX(Assumptions!P$565:P$570,MATCH($B37,Assumptions!$B$565:$B$570,0))</f>
        <v>32.956584478701636</v>
      </c>
      <c r="GZ37" s="656">
        <f>BR37*INDEX(Assumptions!Q$565:Q$570,MATCH($B37,Assumptions!$B$565:$B$570,0))</f>
        <v>20.515867569252354</v>
      </c>
      <c r="HA37" s="656">
        <f>BS37*INDEX(Assumptions!R$565:R$570,MATCH($B37,Assumptions!$B$565:$B$570,0))</f>
        <v>41.167457638938167</v>
      </c>
      <c r="HB37" s="656">
        <f>BT37*INDEX(Assumptions!S$565:S$570,MATCH($B37,Assumptions!$B$565:$B$570,0))</f>
        <v>41.167457638938167</v>
      </c>
      <c r="HC37" s="656">
        <f>BU37*INDEX(Assumptions!T$565:T$570,MATCH($B37,Assumptions!$B$565:$B$570,0))</f>
        <v>40.346370322914517</v>
      </c>
      <c r="HD37" s="1922">
        <f>BV37*INDEX(Assumptions!U$565:U$570,MATCH($B37,Assumptions!$B$565:$B$570,0))</f>
        <v>39.525283006890859</v>
      </c>
      <c r="HE37" s="1933"/>
      <c r="HF37" s="1927"/>
      <c r="HG37" s="501"/>
      <c r="HH37" s="501"/>
      <c r="HI37" s="501"/>
      <c r="HJ37" s="501"/>
      <c r="HK37" s="501"/>
      <c r="HL37" s="501"/>
      <c r="HM37" s="501"/>
      <c r="HN37" s="501"/>
      <c r="HO37" s="501"/>
      <c r="HP37" s="501"/>
      <c r="HQ37" s="501"/>
      <c r="HR37" s="501"/>
      <c r="HS37" s="501"/>
      <c r="HT37" s="501"/>
      <c r="HU37" s="501"/>
      <c r="HV37" s="656"/>
      <c r="HW37" s="1922"/>
      <c r="HX37" s="1946"/>
      <c r="HY37" s="1940">
        <v>2015</v>
      </c>
      <c r="HZ37" s="14">
        <v>2027</v>
      </c>
      <c r="IA37" s="673"/>
      <c r="IB37" s="673"/>
      <c r="IC37" s="674"/>
      <c r="ID37" s="1956" t="s">
        <v>703</v>
      </c>
      <c r="IE37" s="1953"/>
      <c r="IF37" s="1960">
        <v>1</v>
      </c>
      <c r="IG37" s="537">
        <v>1</v>
      </c>
      <c r="IH37" s="537">
        <v>1</v>
      </c>
      <c r="II37" s="537">
        <v>1</v>
      </c>
      <c r="IJ37" s="537">
        <v>1</v>
      </c>
      <c r="IK37" s="537">
        <v>1</v>
      </c>
      <c r="IL37" s="537">
        <v>1</v>
      </c>
    </row>
    <row r="38" spans="2:247" ht="13.5" customHeight="1" x14ac:dyDescent="0.3">
      <c r="B38" s="1703" t="s">
        <v>470</v>
      </c>
      <c r="C38" s="2113"/>
      <c r="D38" s="679" t="s">
        <v>704</v>
      </c>
      <c r="E38" s="1778" t="s">
        <v>705</v>
      </c>
      <c r="F38" s="1800"/>
      <c r="G38" s="1790"/>
      <c r="H38" s="1157"/>
      <c r="I38" s="1157"/>
      <c r="J38" s="687" t="s">
        <v>563</v>
      </c>
      <c r="K38" s="71" t="s">
        <v>564</v>
      </c>
      <c r="L38" s="1814" t="s">
        <v>624</v>
      </c>
      <c r="M38" s="1830"/>
      <c r="N38" s="1819" cm="1">
        <f t="array" ref="N38:R38">N29:R29</f>
        <v>0.32484216324019144</v>
      </c>
      <c r="O38" s="1180">
        <v>0.25923520497902114</v>
      </c>
      <c r="P38" s="1180">
        <v>0.37349988109383597</v>
      </c>
      <c r="Q38" s="1180">
        <v>2.1816497531963762E-2</v>
      </c>
      <c r="R38" s="1180">
        <v>2.0621332772722115E-2</v>
      </c>
      <c r="S38" s="1445"/>
      <c r="T38" s="1445"/>
      <c r="U38" s="1445"/>
      <c r="V38" s="1445"/>
      <c r="W38" s="1445"/>
      <c r="X38" s="1445">
        <v>1</v>
      </c>
      <c r="Y38" s="1190" cm="1">
        <f t="array" ref="Y38:AC38">(_xlfn.ANCHORARRAY($Y$19)*N38)+(_xlfn.ANCHORARRAY($Y$11)*O38)+(P38*_xlfn.ANCHORARRAY($Y$12))+(Q38*_xlfn.ANCHORARRAY($Y$21))+(_xlfn.ANCHORARRAY($Y$26)*R38)</f>
        <v>0.55624683205624048</v>
      </c>
      <c r="Z38" s="1190">
        <v>7.4115027560809094E-2</v>
      </c>
      <c r="AA38" s="1190">
        <v>7.7456986059978639E-2</v>
      </c>
      <c r="AB38" s="1190">
        <v>0.20901796047559335</v>
      </c>
      <c r="AC38" s="1190">
        <v>8.3178273465112973E-2</v>
      </c>
      <c r="AD38" s="1182">
        <f>Assumptions!E$667*O38</f>
        <v>0.11197044357413703</v>
      </c>
      <c r="AE38" s="1180">
        <f>Assumptions!F$667*O38</f>
        <v>3.3373332369155862E-3</v>
      </c>
      <c r="AF38" s="1181">
        <f>Assumptions!G$667*O38</f>
        <v>0.1439274281679685</v>
      </c>
      <c r="AG38" s="1177"/>
      <c r="AH38" s="1177"/>
      <c r="AI38" s="1177"/>
      <c r="AJ38" s="1177"/>
      <c r="AK38" s="1417">
        <f t="shared" si="53"/>
        <v>0</v>
      </c>
      <c r="AL38" s="1177"/>
      <c r="AM38" s="1177"/>
      <c r="AN38" s="1177"/>
      <c r="AO38" s="1221"/>
      <c r="AP38" s="1846"/>
      <c r="AQ38" s="1838">
        <f>INDEX(Sources!$Q$73:$Q$104,MATCH($E38,Sources!$E$73:$E$104,0))</f>
        <v>0.99999999999999967</v>
      </c>
      <c r="AR38" s="675">
        <f>_xlfn.XLOOKUP($D38,'MKM 2014-20'!$C$4:$C$28,'MKM 2014-20'!N$4:N$28)</f>
        <v>0</v>
      </c>
      <c r="AS38" s="675">
        <f>_xlfn.XLOOKUP($D38,'MKM 2014-20'!$C$4:$C$28,'MKM 2014-20'!O$4:O$28)</f>
        <v>0</v>
      </c>
      <c r="AT38" s="675">
        <f>_xlfn.XLOOKUP($D38,'MKM 2014-20'!$C$4:$C$28,'MKM 2014-20'!P$4:P$28)</f>
        <v>0</v>
      </c>
      <c r="AU38" s="675">
        <f>_xlfn.XLOOKUP($D38,'MKM 2014-20'!$C$4:$C$28,'MKM 2014-20'!Q$4:Q$28)</f>
        <v>0</v>
      </c>
      <c r="AV38" s="675">
        <f>_xlfn.XLOOKUP($D38,'MKM 2014-20'!$C$4:$C$28,'MKM 2014-20'!R$4:R$28)</f>
        <v>0</v>
      </c>
      <c r="AW38" s="675">
        <f>_xlfn.XLOOKUP($D38,'MKM 2014-20'!$C$4:$C$28,'MKM 2014-20'!S$4:S$28)</f>
        <v>0</v>
      </c>
      <c r="AX38" s="675">
        <f>_xlfn.XLOOKUP($D38,'MKM 2014-20'!$C$4:$C$28,'MKM 2014-20'!T$4:T$28)</f>
        <v>0</v>
      </c>
      <c r="AY38" s="663"/>
      <c r="AZ38" s="663"/>
      <c r="BA38" s="663"/>
      <c r="BB38" s="663"/>
      <c r="BC38" s="663"/>
      <c r="BD38" s="663"/>
      <c r="BE38" s="663"/>
      <c r="BF38" s="663"/>
      <c r="BG38" s="501">
        <f t="shared" si="54"/>
        <v>0</v>
      </c>
      <c r="BH38" s="657">
        <f t="shared" si="0"/>
        <v>0</v>
      </c>
      <c r="BI38" s="658">
        <f t="shared" si="1"/>
        <v>0</v>
      </c>
      <c r="BJ38" s="658">
        <f t="shared" si="2"/>
        <v>0</v>
      </c>
      <c r="BK38" s="658">
        <f t="shared" si="3"/>
        <v>0</v>
      </c>
      <c r="BL38" s="658">
        <f t="shared" si="4"/>
        <v>0</v>
      </c>
      <c r="BM38" s="658">
        <f t="shared" si="5"/>
        <v>0</v>
      </c>
      <c r="BN38" s="658">
        <f t="shared" si="6"/>
        <v>0</v>
      </c>
      <c r="BO38" s="658">
        <f t="shared" si="7"/>
        <v>0</v>
      </c>
      <c r="BP38" s="658">
        <f t="shared" si="8"/>
        <v>0</v>
      </c>
      <c r="BQ38" s="658">
        <f t="shared" si="9"/>
        <v>0</v>
      </c>
      <c r="BR38" s="658">
        <f t="shared" si="10"/>
        <v>0</v>
      </c>
      <c r="BS38" s="658">
        <f t="shared" si="11"/>
        <v>0</v>
      </c>
      <c r="BT38" s="658">
        <f t="shared" si="12"/>
        <v>0</v>
      </c>
      <c r="BU38" s="658">
        <f t="shared" si="13"/>
        <v>0</v>
      </c>
      <c r="BV38" s="1851">
        <f t="shared" si="14"/>
        <v>0</v>
      </c>
      <c r="BW38" s="1661"/>
      <c r="BX38" s="1855">
        <v>0</v>
      </c>
      <c r="BY38" s="1192" t="str">
        <f t="shared" si="15"/>
        <v/>
      </c>
      <c r="BZ38" s="684"/>
      <c r="CA38" s="684"/>
      <c r="CB38" s="684"/>
      <c r="CC38" s="684"/>
      <c r="CD38" s="684"/>
      <c r="CE38" s="684"/>
      <c r="CF38" s="684"/>
      <c r="CG38" s="684"/>
      <c r="CH38" s="684"/>
      <c r="CI38" s="684"/>
      <c r="CJ38" s="684"/>
      <c r="CK38" s="684"/>
      <c r="CL38" s="684"/>
      <c r="CM38" s="684"/>
      <c r="CN38" s="684"/>
      <c r="CO38" s="479">
        <f t="shared" si="109"/>
        <v>0</v>
      </c>
      <c r="CP38" s="660">
        <f t="shared" si="18"/>
        <v>0</v>
      </c>
      <c r="CQ38" s="672"/>
      <c r="CR38" s="662">
        <f t="shared" si="55"/>
        <v>1</v>
      </c>
      <c r="CS38" s="672"/>
      <c r="CT38" s="1862" t="str">
        <f>IFERROR(AVERAGE(BZ38:CI38),"n/a")</f>
        <v>n/a</v>
      </c>
      <c r="CU38" s="1872"/>
      <c r="CV38" s="1865">
        <f>BH38*Assumptions!D$500</f>
        <v>0</v>
      </c>
      <c r="CW38" s="659">
        <f>BI38*Assumptions!E$500</f>
        <v>0</v>
      </c>
      <c r="CX38" s="659">
        <f>BJ38*Assumptions!F$500</f>
        <v>0</v>
      </c>
      <c r="CY38" s="659">
        <f>BK38*Assumptions!G$500</f>
        <v>0</v>
      </c>
      <c r="CZ38" s="659">
        <f>BL38*Assumptions!H$500</f>
        <v>0</v>
      </c>
      <c r="DA38" s="659">
        <f>BM38*Assumptions!I$500</f>
        <v>0</v>
      </c>
      <c r="DB38" s="659">
        <f>BN38*Assumptions!J$500</f>
        <v>0</v>
      </c>
      <c r="DC38" s="659">
        <f>BO38*Assumptions!K$500</f>
        <v>0</v>
      </c>
      <c r="DD38" s="659">
        <f>BP38*Assumptions!L$500</f>
        <v>0</v>
      </c>
      <c r="DE38" s="659">
        <f>BQ38*Assumptions!M$500</f>
        <v>0</v>
      </c>
      <c r="DF38" s="659">
        <f>BR38*Assumptions!N$500</f>
        <v>0</v>
      </c>
      <c r="DG38" s="659">
        <f>BS38*Assumptions!O$500</f>
        <v>0</v>
      </c>
      <c r="DH38" s="659">
        <f>BT38*Assumptions!P$500</f>
        <v>0</v>
      </c>
      <c r="DI38" s="659">
        <f>BU38*Assumptions!Q$500</f>
        <v>0</v>
      </c>
      <c r="DJ38" s="659">
        <f>BV38*Assumptions!R$500</f>
        <v>0</v>
      </c>
      <c r="DK38" s="656">
        <f>BH38*Assumptions!D$507</f>
        <v>0</v>
      </c>
      <c r="DL38" s="656">
        <f>BI38*Assumptions!E$507</f>
        <v>0</v>
      </c>
      <c r="DM38" s="656">
        <f>BJ38*Assumptions!F$507</f>
        <v>0</v>
      </c>
      <c r="DN38" s="656">
        <f>BK38*Assumptions!G$507</f>
        <v>0</v>
      </c>
      <c r="DO38" s="656">
        <f>BL38*Assumptions!H$507</f>
        <v>0</v>
      </c>
      <c r="DP38" s="656">
        <f>BM38*Assumptions!I$507</f>
        <v>0</v>
      </c>
      <c r="DQ38" s="656">
        <f>BN38*Assumptions!J$507</f>
        <v>0</v>
      </c>
      <c r="DR38" s="656">
        <f>BO38*Assumptions!K$507</f>
        <v>0</v>
      </c>
      <c r="DS38" s="656">
        <f>BP38*Assumptions!L$507</f>
        <v>0</v>
      </c>
      <c r="DT38" s="656">
        <f>BQ38*Assumptions!M$507</f>
        <v>0</v>
      </c>
      <c r="DU38" s="656">
        <f>BR38*Assumptions!N$507</f>
        <v>0</v>
      </c>
      <c r="DV38" s="656">
        <f>BS38*Assumptions!O$507</f>
        <v>0</v>
      </c>
      <c r="DW38" s="656">
        <f>BT38*Assumptions!P$507</f>
        <v>0</v>
      </c>
      <c r="DX38" s="656">
        <f>BU38*Assumptions!Q$507</f>
        <v>0</v>
      </c>
      <c r="DY38" s="656">
        <f>BV38*Assumptions!R$507</f>
        <v>0</v>
      </c>
      <c r="DZ38" s="1185">
        <f>P38*Assumptions!S$838</f>
        <v>0.15703798681573145</v>
      </c>
      <c r="EA38" s="661">
        <f t="shared" si="56"/>
        <v>0.84296201318426855</v>
      </c>
      <c r="EB38" s="1861">
        <f>IFERROR(AVERAGE(CV38:DE38),"n/a")</f>
        <v>0</v>
      </c>
      <c r="EC38" s="1881"/>
      <c r="ED38" s="1877">
        <v>0</v>
      </c>
      <c r="EE38" s="665">
        <f t="shared" si="110"/>
        <v>0</v>
      </c>
      <c r="EF38" s="665">
        <f t="shared" si="110"/>
        <v>0</v>
      </c>
      <c r="EG38" s="665">
        <f t="shared" si="110"/>
        <v>0</v>
      </c>
      <c r="EH38" s="665">
        <f t="shared" si="110"/>
        <v>0</v>
      </c>
      <c r="EI38" s="665">
        <f t="shared" si="110"/>
        <v>0</v>
      </c>
      <c r="EJ38" s="665">
        <f t="shared" si="110"/>
        <v>0</v>
      </c>
      <c r="EK38" s="665">
        <f t="shared" si="110"/>
        <v>0</v>
      </c>
      <c r="EL38" s="665">
        <f t="shared" si="110"/>
        <v>0</v>
      </c>
      <c r="EM38" s="665">
        <f t="shared" si="110"/>
        <v>0</v>
      </c>
      <c r="EN38" s="665">
        <f t="shared" si="110"/>
        <v>0</v>
      </c>
      <c r="EO38" s="665">
        <f t="shared" si="110"/>
        <v>0</v>
      </c>
      <c r="EP38" s="665">
        <f t="shared" si="110"/>
        <v>0</v>
      </c>
      <c r="EQ38" s="665">
        <f t="shared" si="110"/>
        <v>0</v>
      </c>
      <c r="ER38" s="665">
        <f t="shared" si="110"/>
        <v>0</v>
      </c>
      <c r="ES38" s="665">
        <f t="shared" si="110"/>
        <v>0</v>
      </c>
      <c r="ET38" s="541">
        <f t="shared" si="57"/>
        <v>0</v>
      </c>
      <c r="EU38" s="1450" cm="1">
        <f t="array" ref="EU38">(BH38*SUMPRODUCT($S38:$X38,TRANSPOSE(Assumptions!D$281:D$286)))*0.001</f>
        <v>0</v>
      </c>
      <c r="EV38" s="1450" cm="1">
        <f t="array" ref="EV38">(BI38*SUMPRODUCT($S38:$X38,TRANSPOSE(Assumptions!E$281:E$286)))*0.001</f>
        <v>0</v>
      </c>
      <c r="EW38" s="1450" cm="1">
        <f t="array" ref="EW38">(BJ38*SUMPRODUCT($S38:$X38,TRANSPOSE(Assumptions!F$281:F$286)))*0.001</f>
        <v>0</v>
      </c>
      <c r="EX38" s="1450" cm="1">
        <f t="array" ref="EX38">(BK38*SUMPRODUCT($S38:$X38,TRANSPOSE(Assumptions!G$281:G$286)))*0.001</f>
        <v>0</v>
      </c>
      <c r="EY38" s="1450" cm="1">
        <f t="array" ref="EY38">(BL38*SUMPRODUCT($S38:$X38,TRANSPOSE(Assumptions!H$281:H$286)))*0.001</f>
        <v>0</v>
      </c>
      <c r="EZ38" s="1450" cm="1">
        <f t="array" ref="EZ38">(BM38*SUMPRODUCT($S38:$X38,TRANSPOSE(Assumptions!I$281:I$286)))*0.001</f>
        <v>0</v>
      </c>
      <c r="FA38" s="1450" cm="1">
        <f t="array" ref="FA38">(BN38*SUMPRODUCT($S38:$X38,TRANSPOSE(Assumptions!J$281:J$286)))*0.001</f>
        <v>0</v>
      </c>
      <c r="FB38" s="1450" cm="1">
        <f t="array" ref="FB38">(BO38*SUMPRODUCT($S38:$X38,TRANSPOSE(Assumptions!K$281:K$286)))*0.001</f>
        <v>0</v>
      </c>
      <c r="FC38" s="1450" cm="1">
        <f t="array" ref="FC38">(BP38*SUMPRODUCT($S38:$X38,TRANSPOSE(Assumptions!L$281:L$286)))*0.001</f>
        <v>0</v>
      </c>
      <c r="FD38" s="1450" cm="1">
        <f t="array" ref="FD38">(BQ38*SUMPRODUCT($S38:$X38,TRANSPOSE(Assumptions!M$281:M$286)))*0.001</f>
        <v>0</v>
      </c>
      <c r="FE38" s="1450" cm="1">
        <f t="array" ref="FE38">(BR38*SUMPRODUCT($S38:$X38,TRANSPOSE(Assumptions!N$281:N$286)))*0.001</f>
        <v>0</v>
      </c>
      <c r="FF38" s="1450" cm="1">
        <f t="array" ref="FF38">(BS38*SUMPRODUCT($S38:$X38,TRANSPOSE(Assumptions!O$281:O$286)))*0.001</f>
        <v>0</v>
      </c>
      <c r="FG38" s="1450" cm="1">
        <f t="array" ref="FG38">(BT38*SUMPRODUCT($S38:$X38,TRANSPOSE(Assumptions!P$281:P$286)))*0.001</f>
        <v>0</v>
      </c>
      <c r="FH38" s="1450" cm="1">
        <f t="array" ref="FH38">(BU38*SUMPRODUCT($S38:$X38,TRANSPOSE(Assumptions!Q$281:Q$286)))*0.001</f>
        <v>0</v>
      </c>
      <c r="FI38" s="1450" cm="1">
        <f t="array" ref="FI38">(BV38*SUMPRODUCT($S38:$X38,TRANSPOSE(Assumptions!R$281:R$286)))*0.001</f>
        <v>0</v>
      </c>
      <c r="FJ38" s="666">
        <f t="shared" si="58"/>
        <v>0</v>
      </c>
      <c r="FK38" s="666">
        <f t="shared" si="59"/>
        <v>0</v>
      </c>
      <c r="FL38" s="666">
        <f t="shared" si="60"/>
        <v>0</v>
      </c>
      <c r="FM38" s="666">
        <f t="shared" si="61"/>
        <v>0</v>
      </c>
      <c r="FN38" s="666">
        <f t="shared" si="62"/>
        <v>0</v>
      </c>
      <c r="FO38" s="666">
        <f t="shared" si="63"/>
        <v>0</v>
      </c>
      <c r="FP38" s="666">
        <f t="shared" si="64"/>
        <v>0</v>
      </c>
      <c r="FQ38" s="666">
        <f t="shared" si="65"/>
        <v>0</v>
      </c>
      <c r="FR38" s="666">
        <f t="shared" si="66"/>
        <v>0</v>
      </c>
      <c r="FS38" s="666">
        <f t="shared" si="67"/>
        <v>0</v>
      </c>
      <c r="FT38" s="666">
        <f t="shared" si="95"/>
        <v>0</v>
      </c>
      <c r="FU38" s="666">
        <f t="shared" si="96"/>
        <v>0</v>
      </c>
      <c r="FV38" s="666">
        <f t="shared" si="97"/>
        <v>0</v>
      </c>
      <c r="FW38" s="666">
        <f t="shared" si="98"/>
        <v>0</v>
      </c>
      <c r="FX38" s="1883">
        <f t="shared" si="99"/>
        <v>0</v>
      </c>
      <c r="FY38" s="1895"/>
      <c r="FZ38" s="1889"/>
      <c r="GA38" s="704"/>
      <c r="GB38" s="704"/>
      <c r="GC38" s="704"/>
      <c r="GD38" s="704"/>
      <c r="GE38" s="704"/>
      <c r="GF38" s="704"/>
      <c r="GG38" s="704"/>
      <c r="GH38" s="704"/>
      <c r="GI38" s="704"/>
      <c r="GJ38" s="704"/>
      <c r="GK38" s="704"/>
      <c r="GL38" s="704"/>
      <c r="GM38" s="704"/>
      <c r="GN38" s="1899"/>
      <c r="GO38" s="1910"/>
      <c r="GP38" s="1868">
        <f>BH38*INDEX(Assumptions!G$565:G$570,MATCH($B38,Assumptions!$B$565:$B$570,0))</f>
        <v>0</v>
      </c>
      <c r="GQ38" s="656">
        <f>BI38*INDEX(Assumptions!H$565:H$570,MATCH($B38,Assumptions!$B$565:$B$570,0))</f>
        <v>0</v>
      </c>
      <c r="GR38" s="656">
        <f>BJ38*INDEX(Assumptions!I$565:I$570,MATCH($B38,Assumptions!$B$565:$B$570,0))</f>
        <v>0</v>
      </c>
      <c r="GS38" s="656">
        <f>BK38*INDEX(Assumptions!J$565:J$570,MATCH($B38,Assumptions!$B$565:$B$570,0))</f>
        <v>0</v>
      </c>
      <c r="GT38" s="656">
        <f>BL38*INDEX(Assumptions!K$565:K$570,MATCH($B38,Assumptions!$B$565:$B$570,0))</f>
        <v>0</v>
      </c>
      <c r="GU38" s="656">
        <f>BM38*INDEX(Assumptions!L$565:L$570,MATCH($B38,Assumptions!$B$565:$B$570,0))</f>
        <v>0</v>
      </c>
      <c r="GV38" s="656">
        <f>BN38*INDEX(Assumptions!M$565:M$570,MATCH($B38,Assumptions!$B$565:$B$570,0))</f>
        <v>0</v>
      </c>
      <c r="GW38" s="656">
        <f>BO38*INDEX(Assumptions!N$565:N$570,MATCH($B38,Assumptions!$B$565:$B$570,0))</f>
        <v>0</v>
      </c>
      <c r="GX38" s="656">
        <f>BP38*INDEX(Assumptions!O$565:O$570,MATCH($B38,Assumptions!$B$565:$B$570,0))</f>
        <v>0</v>
      </c>
      <c r="GY38" s="656">
        <f>BQ38*INDEX(Assumptions!P$565:P$570,MATCH($B38,Assumptions!$B$565:$B$570,0))</f>
        <v>0</v>
      </c>
      <c r="GZ38" s="656">
        <f>BR38*INDEX(Assumptions!Q$565:Q$570,MATCH($B38,Assumptions!$B$565:$B$570,0))</f>
        <v>0</v>
      </c>
      <c r="HA38" s="656">
        <f>BS38*INDEX(Assumptions!R$565:R$570,MATCH($B38,Assumptions!$B$565:$B$570,0))</f>
        <v>0</v>
      </c>
      <c r="HB38" s="656">
        <f>BT38*INDEX(Assumptions!S$565:S$570,MATCH($B38,Assumptions!$B$565:$B$570,0))</f>
        <v>0</v>
      </c>
      <c r="HC38" s="656">
        <f>BU38*INDEX(Assumptions!T$565:T$570,MATCH($B38,Assumptions!$B$565:$B$570,0))</f>
        <v>0</v>
      </c>
      <c r="HD38" s="1922">
        <f>BV38*INDEX(Assumptions!U$565:U$570,MATCH($B38,Assumptions!$B$565:$B$570,0))</f>
        <v>0</v>
      </c>
      <c r="HE38" s="1933"/>
      <c r="HF38" s="1927"/>
      <c r="HG38" s="501"/>
      <c r="HH38" s="501"/>
      <c r="HI38" s="501"/>
      <c r="HJ38" s="501"/>
      <c r="HK38" s="501"/>
      <c r="HL38" s="501"/>
      <c r="HM38" s="501"/>
      <c r="HN38" s="501"/>
      <c r="HO38" s="501"/>
      <c r="HP38" s="501"/>
      <c r="HQ38" s="501"/>
      <c r="HR38" s="501"/>
      <c r="HS38" s="501"/>
      <c r="HT38" s="501"/>
      <c r="HU38" s="501"/>
      <c r="HV38" s="656"/>
      <c r="HW38" s="1922"/>
      <c r="HX38" s="1946"/>
      <c r="HY38" s="1940">
        <v>2020</v>
      </c>
      <c r="HZ38" s="14">
        <v>2027</v>
      </c>
      <c r="IA38" s="673"/>
      <c r="IB38" s="673"/>
      <c r="IC38" s="674"/>
      <c r="ID38" s="1956" t="s">
        <v>706</v>
      </c>
      <c r="IE38" s="1953"/>
      <c r="IF38" s="1960">
        <v>1</v>
      </c>
      <c r="IG38" s="537">
        <v>1</v>
      </c>
      <c r="IH38" s="537">
        <v>1</v>
      </c>
      <c r="II38" s="537">
        <v>1</v>
      </c>
      <c r="IJ38" s="537">
        <v>1</v>
      </c>
      <c r="IK38" s="537">
        <v>1</v>
      </c>
      <c r="IL38" s="537">
        <v>1</v>
      </c>
    </row>
    <row r="39" spans="2:247" ht="13.5" customHeight="1" x14ac:dyDescent="0.3">
      <c r="B39" s="1703" t="s">
        <v>470</v>
      </c>
      <c r="C39" s="2113"/>
      <c r="D39" s="679" t="s">
        <v>707</v>
      </c>
      <c r="E39" s="1779" t="s">
        <v>708</v>
      </c>
      <c r="F39" s="1801"/>
      <c r="G39" s="1790"/>
      <c r="H39" s="1157"/>
      <c r="I39" s="1157"/>
      <c r="J39" s="687" t="s">
        <v>563</v>
      </c>
      <c r="K39" s="71" t="s">
        <v>641</v>
      </c>
      <c r="L39" s="1814" t="s">
        <v>624</v>
      </c>
      <c r="M39" s="1830"/>
      <c r="N39" s="1821">
        <f>Assumptions!$C$133</f>
        <v>0.15185814422852076</v>
      </c>
      <c r="O39" s="1182">
        <f>Assumptions!$D$133</f>
        <v>0.33446675526470854</v>
      </c>
      <c r="P39" s="1182">
        <f>Assumptions!$E$133</f>
        <v>0.17149527776605353</v>
      </c>
      <c r="Q39" s="1182">
        <f>Assumptions!$F$133</f>
        <v>0.31081271243871134</v>
      </c>
      <c r="R39" s="1182">
        <f>Assumptions!$G$133</f>
        <v>3.1367110302005889E-2</v>
      </c>
      <c r="S39" s="1445" cm="1">
        <f t="array" ref="S39:X39">TRANSPOSE(_xlfn.XLOOKUP(B39,Assumptions!$C$134:$I$134,Assumptions!$C$135:$I$140))</f>
        <v>0.31835925931701969</v>
      </c>
      <c r="T39" s="1445">
        <v>4.3737487496855368E-2</v>
      </c>
      <c r="U39" s="1445">
        <v>6.0009347149655263E-4</v>
      </c>
      <c r="V39" s="1445">
        <v>2.7972546216228675E-2</v>
      </c>
      <c r="W39" s="1445">
        <v>0.36967313442998079</v>
      </c>
      <c r="X39" s="1445">
        <v>0.23965747906841889</v>
      </c>
      <c r="Y39" s="1190" cm="1">
        <f t="array" ref="Y39:AC39">(_xlfn.ANCHORARRAY($Y$19)*N39)+(_xlfn.ANCHORARRAY($Y$11)*O39)+(P39*_xlfn.ANCHORARRAY($Y$12))+(Q39*_xlfn.ANCHORARRAY($Y$21))+(_xlfn.ANCHORARRAY($Y$26)*R39)</f>
        <v>0.47402537058444644</v>
      </c>
      <c r="Z39" s="1190">
        <v>0.10159112739973016</v>
      </c>
      <c r="AA39" s="1190">
        <v>8.8955962189664159E-2</v>
      </c>
      <c r="AB39" s="1190">
        <v>0.23670812903259181</v>
      </c>
      <c r="AC39" s="1190">
        <v>9.8719410793567455E-2</v>
      </c>
      <c r="AD39" s="1182">
        <f>Assumptions!E$667*O39</f>
        <v>0.14446491151085153</v>
      </c>
      <c r="AE39" s="1180">
        <f>Assumptions!F$667*O39</f>
        <v>4.3058465731093684E-3</v>
      </c>
      <c r="AF39" s="1181">
        <f>Assumptions!G$667*O39</f>
        <v>0.18569599718074761</v>
      </c>
      <c r="AG39" s="1177"/>
      <c r="AH39" s="1177"/>
      <c r="AI39" s="1177"/>
      <c r="AJ39" s="1177"/>
      <c r="AK39" s="1417">
        <f t="shared" si="53"/>
        <v>0</v>
      </c>
      <c r="AL39" s="1177"/>
      <c r="AM39" s="1177"/>
      <c r="AN39" s="1177"/>
      <c r="AO39" s="1221"/>
      <c r="AP39" s="1846"/>
      <c r="AQ39" s="1838">
        <f>INDEX(Sources!$Q$73:$Q$104,MATCH($E39,Sources!$E$73:$E$104,0))</f>
        <v>14.052731848750025</v>
      </c>
      <c r="AR39" s="675">
        <f>_xlfn.XLOOKUP($D39,'MKM 2014-20'!$C$4:$C$28,'MKM 2014-20'!N$4:N$28)</f>
        <v>0</v>
      </c>
      <c r="AS39" s="675">
        <f>_xlfn.XLOOKUP($D39,'MKM 2014-20'!$C$4:$C$28,'MKM 2014-20'!O$4:O$28)</f>
        <v>0</v>
      </c>
      <c r="AT39" s="675">
        <f>_xlfn.XLOOKUP($D39,'MKM 2014-20'!$C$4:$C$28,'MKM 2014-20'!P$4:P$28)</f>
        <v>0</v>
      </c>
      <c r="AU39" s="675">
        <f>_xlfn.XLOOKUP($D39,'MKM 2014-20'!$C$4:$C$28,'MKM 2014-20'!Q$4:Q$28)</f>
        <v>0</v>
      </c>
      <c r="AV39" s="675">
        <f>_xlfn.XLOOKUP($D39,'MKM 2014-20'!$C$4:$C$28,'MKM 2014-20'!R$4:R$28)</f>
        <v>0</v>
      </c>
      <c r="AW39" s="675">
        <f>_xlfn.XLOOKUP($D39,'MKM 2014-20'!$C$4:$C$28,'MKM 2014-20'!S$4:S$28)</f>
        <v>0</v>
      </c>
      <c r="AX39" s="675">
        <f>_xlfn.XLOOKUP($D39,'MKM 2014-20'!$C$4:$C$28,'MKM 2014-20'!T$4:T$28)</f>
        <v>0</v>
      </c>
      <c r="AY39" s="663"/>
      <c r="AZ39" s="663"/>
      <c r="BA39" s="663"/>
      <c r="BB39" s="663"/>
      <c r="BC39" s="663"/>
      <c r="BD39" s="663"/>
      <c r="BE39" s="663"/>
      <c r="BF39" s="663"/>
      <c r="BG39" s="501">
        <f t="shared" si="54"/>
        <v>0</v>
      </c>
      <c r="BH39" s="657">
        <f t="shared" si="0"/>
        <v>0</v>
      </c>
      <c r="BI39" s="658">
        <f t="shared" si="1"/>
        <v>0</v>
      </c>
      <c r="BJ39" s="658">
        <f t="shared" si="2"/>
        <v>0</v>
      </c>
      <c r="BK39" s="658">
        <f t="shared" si="3"/>
        <v>0</v>
      </c>
      <c r="BL39" s="658">
        <f t="shared" si="4"/>
        <v>0</v>
      </c>
      <c r="BM39" s="658">
        <f t="shared" si="5"/>
        <v>0</v>
      </c>
      <c r="BN39" s="658">
        <f t="shared" si="6"/>
        <v>0</v>
      </c>
      <c r="BO39" s="658">
        <f t="shared" si="7"/>
        <v>0</v>
      </c>
      <c r="BP39" s="658">
        <f t="shared" si="8"/>
        <v>0</v>
      </c>
      <c r="BQ39" s="658">
        <f t="shared" si="9"/>
        <v>0</v>
      </c>
      <c r="BR39" s="658">
        <f t="shared" si="10"/>
        <v>0</v>
      </c>
      <c r="BS39" s="658">
        <f t="shared" si="11"/>
        <v>0</v>
      </c>
      <c r="BT39" s="658">
        <f t="shared" si="12"/>
        <v>0</v>
      </c>
      <c r="BU39" s="658">
        <f t="shared" si="13"/>
        <v>0</v>
      </c>
      <c r="BV39" s="1851">
        <f t="shared" si="14"/>
        <v>0</v>
      </c>
      <c r="BW39" s="1661"/>
      <c r="BX39" s="1855">
        <v>0</v>
      </c>
      <c r="BY39" s="1192" t="str">
        <f t="shared" si="15"/>
        <v/>
      </c>
      <c r="BZ39" s="684"/>
      <c r="CA39" s="684"/>
      <c r="CB39" s="684"/>
      <c r="CC39" s="684"/>
      <c r="CD39" s="684"/>
      <c r="CE39" s="684"/>
      <c r="CF39" s="684"/>
      <c r="CG39" s="684"/>
      <c r="CH39" s="684"/>
      <c r="CI39" s="684"/>
      <c r="CJ39" s="684"/>
      <c r="CK39" s="684"/>
      <c r="CL39" s="684"/>
      <c r="CM39" s="684"/>
      <c r="CN39" s="684"/>
      <c r="CO39" s="479">
        <f t="shared" si="109"/>
        <v>0</v>
      </c>
      <c r="CP39" s="660">
        <f t="shared" si="18"/>
        <v>0</v>
      </c>
      <c r="CQ39" s="672"/>
      <c r="CR39" s="662">
        <f t="shared" si="55"/>
        <v>1</v>
      </c>
      <c r="CS39" s="672"/>
      <c r="CT39" s="1862" t="str">
        <f>IFERROR(AVERAGE(BZ39:CI39),"n/a")</f>
        <v>n/a</v>
      </c>
      <c r="CU39" s="1872"/>
      <c r="CV39" s="1865">
        <f>BH39*Assumptions!D$500</f>
        <v>0</v>
      </c>
      <c r="CW39" s="659">
        <f>BI39*Assumptions!E$500</f>
        <v>0</v>
      </c>
      <c r="CX39" s="659">
        <f>BJ39*Assumptions!F$500</f>
        <v>0</v>
      </c>
      <c r="CY39" s="659">
        <f>BK39*Assumptions!G$500</f>
        <v>0</v>
      </c>
      <c r="CZ39" s="659">
        <f>BL39*Assumptions!H$500</f>
        <v>0</v>
      </c>
      <c r="DA39" s="659">
        <f>BM39*Assumptions!I$500</f>
        <v>0</v>
      </c>
      <c r="DB39" s="659">
        <f>BN39*Assumptions!J$500</f>
        <v>0</v>
      </c>
      <c r="DC39" s="659">
        <f>BO39*Assumptions!K$500</f>
        <v>0</v>
      </c>
      <c r="DD39" s="659">
        <f>BP39*Assumptions!L$500</f>
        <v>0</v>
      </c>
      <c r="DE39" s="659">
        <f>BQ39*Assumptions!M$500</f>
        <v>0</v>
      </c>
      <c r="DF39" s="659">
        <f>BR39*Assumptions!N$500</f>
        <v>0</v>
      </c>
      <c r="DG39" s="659">
        <f>BS39*Assumptions!O$500</f>
        <v>0</v>
      </c>
      <c r="DH39" s="659">
        <f>BT39*Assumptions!P$500</f>
        <v>0</v>
      </c>
      <c r="DI39" s="659">
        <f>BU39*Assumptions!Q$500</f>
        <v>0</v>
      </c>
      <c r="DJ39" s="659">
        <f>BV39*Assumptions!R$500</f>
        <v>0</v>
      </c>
      <c r="DK39" s="656">
        <f>BH39*Assumptions!D$507</f>
        <v>0</v>
      </c>
      <c r="DL39" s="656">
        <f>BI39*Assumptions!E$507</f>
        <v>0</v>
      </c>
      <c r="DM39" s="656">
        <f>BJ39*Assumptions!F$507</f>
        <v>0</v>
      </c>
      <c r="DN39" s="656">
        <f>BK39*Assumptions!G$507</f>
        <v>0</v>
      </c>
      <c r="DO39" s="656">
        <f>BL39*Assumptions!H$507</f>
        <v>0</v>
      </c>
      <c r="DP39" s="656">
        <f>BM39*Assumptions!I$507</f>
        <v>0</v>
      </c>
      <c r="DQ39" s="656">
        <f>BN39*Assumptions!J$507</f>
        <v>0</v>
      </c>
      <c r="DR39" s="656">
        <f>BO39*Assumptions!K$507</f>
        <v>0</v>
      </c>
      <c r="DS39" s="656">
        <f>BP39*Assumptions!L$507</f>
        <v>0</v>
      </c>
      <c r="DT39" s="656">
        <f>BQ39*Assumptions!M$507</f>
        <v>0</v>
      </c>
      <c r="DU39" s="656">
        <f>BR39*Assumptions!N$507</f>
        <v>0</v>
      </c>
      <c r="DV39" s="656">
        <f>BS39*Assumptions!O$507</f>
        <v>0</v>
      </c>
      <c r="DW39" s="656">
        <f>BT39*Assumptions!P$507</f>
        <v>0</v>
      </c>
      <c r="DX39" s="656">
        <f>BU39*Assumptions!Q$507</f>
        <v>0</v>
      </c>
      <c r="DY39" s="656">
        <f>BV39*Assumptions!R$507</f>
        <v>0</v>
      </c>
      <c r="DZ39" s="1189">
        <f>P39*Assumptions!U$838</f>
        <v>8.4869537317899313E-2</v>
      </c>
      <c r="EA39" s="661">
        <f t="shared" si="56"/>
        <v>0.91513046268210063</v>
      </c>
      <c r="EB39" s="1861">
        <f>IFERROR(AVERAGE(CV39:DE39),"n/a")</f>
        <v>0</v>
      </c>
      <c r="EC39" s="1881"/>
      <c r="ED39" s="1877">
        <v>0</v>
      </c>
      <c r="EE39" s="665">
        <f t="shared" si="110"/>
        <v>0</v>
      </c>
      <c r="EF39" s="665">
        <f t="shared" si="110"/>
        <v>0</v>
      </c>
      <c r="EG39" s="665">
        <f t="shared" si="110"/>
        <v>0</v>
      </c>
      <c r="EH39" s="665">
        <f t="shared" si="110"/>
        <v>0</v>
      </c>
      <c r="EI39" s="665">
        <f t="shared" si="110"/>
        <v>0</v>
      </c>
      <c r="EJ39" s="665">
        <f t="shared" si="110"/>
        <v>0</v>
      </c>
      <c r="EK39" s="665">
        <f t="shared" si="110"/>
        <v>0</v>
      </c>
      <c r="EL39" s="665">
        <f t="shared" si="110"/>
        <v>0</v>
      </c>
      <c r="EM39" s="665">
        <f t="shared" si="110"/>
        <v>0</v>
      </c>
      <c r="EN39" s="665">
        <f t="shared" si="110"/>
        <v>0</v>
      </c>
      <c r="EO39" s="665">
        <f t="shared" si="110"/>
        <v>0</v>
      </c>
      <c r="EP39" s="665">
        <f t="shared" si="110"/>
        <v>0</v>
      </c>
      <c r="EQ39" s="665">
        <f t="shared" si="110"/>
        <v>0</v>
      </c>
      <c r="ER39" s="665">
        <f t="shared" si="110"/>
        <v>0</v>
      </c>
      <c r="ES39" s="665">
        <f t="shared" si="110"/>
        <v>0</v>
      </c>
      <c r="ET39" s="541">
        <f t="shared" si="57"/>
        <v>0</v>
      </c>
      <c r="EU39" s="1450" cm="1">
        <f t="array" ref="EU39">(BH39*SUMPRODUCT($S39:$X39,TRANSPOSE(Assumptions!D$281:D$286)))*0.001</f>
        <v>0</v>
      </c>
      <c r="EV39" s="1450" cm="1">
        <f t="array" ref="EV39">(BI39*SUMPRODUCT($S39:$X39,TRANSPOSE(Assumptions!E$281:E$286)))*0.001</f>
        <v>0</v>
      </c>
      <c r="EW39" s="1450" cm="1">
        <f t="array" ref="EW39">(BJ39*SUMPRODUCT($S39:$X39,TRANSPOSE(Assumptions!F$281:F$286)))*0.001</f>
        <v>0</v>
      </c>
      <c r="EX39" s="1450" cm="1">
        <f t="array" ref="EX39">(BK39*SUMPRODUCT($S39:$X39,TRANSPOSE(Assumptions!G$281:G$286)))*0.001</f>
        <v>0</v>
      </c>
      <c r="EY39" s="1450" cm="1">
        <f t="array" ref="EY39">(BL39*SUMPRODUCT($S39:$X39,TRANSPOSE(Assumptions!H$281:H$286)))*0.001</f>
        <v>0</v>
      </c>
      <c r="EZ39" s="1450" cm="1">
        <f t="array" ref="EZ39">(BM39*SUMPRODUCT($S39:$X39,TRANSPOSE(Assumptions!I$281:I$286)))*0.001</f>
        <v>0</v>
      </c>
      <c r="FA39" s="1450" cm="1">
        <f t="array" ref="FA39">(BN39*SUMPRODUCT($S39:$X39,TRANSPOSE(Assumptions!J$281:J$286)))*0.001</f>
        <v>0</v>
      </c>
      <c r="FB39" s="1450" cm="1">
        <f t="array" ref="FB39">(BO39*SUMPRODUCT($S39:$X39,TRANSPOSE(Assumptions!K$281:K$286)))*0.001</f>
        <v>0</v>
      </c>
      <c r="FC39" s="1450" cm="1">
        <f t="array" ref="FC39">(BP39*SUMPRODUCT($S39:$X39,TRANSPOSE(Assumptions!L$281:L$286)))*0.001</f>
        <v>0</v>
      </c>
      <c r="FD39" s="1450" cm="1">
        <f t="array" ref="FD39">(BQ39*SUMPRODUCT($S39:$X39,TRANSPOSE(Assumptions!M$281:M$286)))*0.001</f>
        <v>0</v>
      </c>
      <c r="FE39" s="1450" cm="1">
        <f t="array" ref="FE39">(BR39*SUMPRODUCT($S39:$X39,TRANSPOSE(Assumptions!N$281:N$286)))*0.001</f>
        <v>0</v>
      </c>
      <c r="FF39" s="1450" cm="1">
        <f t="array" ref="FF39">(BS39*SUMPRODUCT($S39:$X39,TRANSPOSE(Assumptions!O$281:O$286)))*0.001</f>
        <v>0</v>
      </c>
      <c r="FG39" s="1450" cm="1">
        <f t="array" ref="FG39">(BT39*SUMPRODUCT($S39:$X39,TRANSPOSE(Assumptions!P$281:P$286)))*0.001</f>
        <v>0</v>
      </c>
      <c r="FH39" s="1450" cm="1">
        <f t="array" ref="FH39">(BU39*SUMPRODUCT($S39:$X39,TRANSPOSE(Assumptions!Q$281:Q$286)))*0.001</f>
        <v>0</v>
      </c>
      <c r="FI39" s="1450" cm="1">
        <f t="array" ref="FI39">(BV39*SUMPRODUCT($S39:$X39,TRANSPOSE(Assumptions!R$281:R$286)))*0.001</f>
        <v>0</v>
      </c>
      <c r="FJ39" s="666">
        <f t="shared" si="58"/>
        <v>0</v>
      </c>
      <c r="FK39" s="666">
        <f t="shared" si="59"/>
        <v>0</v>
      </c>
      <c r="FL39" s="666">
        <f t="shared" si="60"/>
        <v>0</v>
      </c>
      <c r="FM39" s="666">
        <f t="shared" si="61"/>
        <v>0</v>
      </c>
      <c r="FN39" s="666">
        <f t="shared" si="62"/>
        <v>0</v>
      </c>
      <c r="FO39" s="666">
        <f t="shared" si="63"/>
        <v>0</v>
      </c>
      <c r="FP39" s="666">
        <f t="shared" si="64"/>
        <v>0</v>
      </c>
      <c r="FQ39" s="666">
        <f t="shared" si="65"/>
        <v>0</v>
      </c>
      <c r="FR39" s="666">
        <f t="shared" si="66"/>
        <v>0</v>
      </c>
      <c r="FS39" s="666">
        <f t="shared" si="67"/>
        <v>0</v>
      </c>
      <c r="FT39" s="666">
        <f t="shared" si="95"/>
        <v>0</v>
      </c>
      <c r="FU39" s="666">
        <f t="shared" si="96"/>
        <v>0</v>
      </c>
      <c r="FV39" s="666">
        <f t="shared" si="97"/>
        <v>0</v>
      </c>
      <c r="FW39" s="666">
        <f t="shared" si="98"/>
        <v>0</v>
      </c>
      <c r="FX39" s="1883">
        <f t="shared" si="99"/>
        <v>0</v>
      </c>
      <c r="FY39" s="1895"/>
      <c r="FZ39" s="1889"/>
      <c r="GA39" s="704"/>
      <c r="GB39" s="704"/>
      <c r="GC39" s="704"/>
      <c r="GD39" s="704"/>
      <c r="GE39" s="704"/>
      <c r="GF39" s="704"/>
      <c r="GG39" s="704"/>
      <c r="GH39" s="704"/>
      <c r="GI39" s="704"/>
      <c r="GJ39" s="704"/>
      <c r="GK39" s="704"/>
      <c r="GL39" s="704"/>
      <c r="GM39" s="704"/>
      <c r="GN39" s="1899"/>
      <c r="GO39" s="1910"/>
      <c r="GP39" s="1868">
        <f>BH39*INDEX(Assumptions!G$565:G$570,MATCH($B39,Assumptions!$B$565:$B$570,0))</f>
        <v>0</v>
      </c>
      <c r="GQ39" s="656">
        <f>BI39*INDEX(Assumptions!H$565:H$570,MATCH($B39,Assumptions!$B$565:$B$570,0))</f>
        <v>0</v>
      </c>
      <c r="GR39" s="656">
        <f>BJ39*INDEX(Assumptions!I$565:I$570,MATCH($B39,Assumptions!$B$565:$B$570,0))</f>
        <v>0</v>
      </c>
      <c r="GS39" s="656">
        <f>BK39*INDEX(Assumptions!J$565:J$570,MATCH($B39,Assumptions!$B$565:$B$570,0))</f>
        <v>0</v>
      </c>
      <c r="GT39" s="656">
        <f>BL39*INDEX(Assumptions!K$565:K$570,MATCH($B39,Assumptions!$B$565:$B$570,0))</f>
        <v>0</v>
      </c>
      <c r="GU39" s="656">
        <f>BM39*INDEX(Assumptions!L$565:L$570,MATCH($B39,Assumptions!$B$565:$B$570,0))</f>
        <v>0</v>
      </c>
      <c r="GV39" s="656">
        <f>BN39*INDEX(Assumptions!M$565:M$570,MATCH($B39,Assumptions!$B$565:$B$570,0))</f>
        <v>0</v>
      </c>
      <c r="GW39" s="656">
        <f>BO39*INDEX(Assumptions!N$565:N$570,MATCH($B39,Assumptions!$B$565:$B$570,0))</f>
        <v>0</v>
      </c>
      <c r="GX39" s="656">
        <f>BP39*INDEX(Assumptions!O$565:O$570,MATCH($B39,Assumptions!$B$565:$B$570,0))</f>
        <v>0</v>
      </c>
      <c r="GY39" s="656">
        <f>BQ39*INDEX(Assumptions!P$565:P$570,MATCH($B39,Assumptions!$B$565:$B$570,0))</f>
        <v>0</v>
      </c>
      <c r="GZ39" s="656">
        <f>BR39*INDEX(Assumptions!Q$565:Q$570,MATCH($B39,Assumptions!$B$565:$B$570,0))</f>
        <v>0</v>
      </c>
      <c r="HA39" s="656">
        <f>BS39*INDEX(Assumptions!R$565:R$570,MATCH($B39,Assumptions!$B$565:$B$570,0))</f>
        <v>0</v>
      </c>
      <c r="HB39" s="656">
        <f>BT39*INDEX(Assumptions!S$565:S$570,MATCH($B39,Assumptions!$B$565:$B$570,0))</f>
        <v>0</v>
      </c>
      <c r="HC39" s="656">
        <f>BU39*INDEX(Assumptions!T$565:T$570,MATCH($B39,Assumptions!$B$565:$B$570,0))</f>
        <v>0</v>
      </c>
      <c r="HD39" s="1922">
        <f>BV39*INDEX(Assumptions!U$565:U$570,MATCH($B39,Assumptions!$B$565:$B$570,0))</f>
        <v>0</v>
      </c>
      <c r="HE39" s="1933"/>
      <c r="HF39" s="1927"/>
      <c r="HG39" s="501"/>
      <c r="HH39" s="501"/>
      <c r="HI39" s="501"/>
      <c r="HJ39" s="501"/>
      <c r="HK39" s="501"/>
      <c r="HL39" s="501"/>
      <c r="HM39" s="501"/>
      <c r="HN39" s="501"/>
      <c r="HO39" s="501"/>
      <c r="HP39" s="501"/>
      <c r="HQ39" s="501"/>
      <c r="HR39" s="501"/>
      <c r="HS39" s="501"/>
      <c r="HT39" s="501"/>
      <c r="HU39" s="501"/>
      <c r="HV39" s="656"/>
      <c r="HW39" s="1922"/>
      <c r="HX39" s="1946"/>
      <c r="HY39" s="1940">
        <v>1991</v>
      </c>
      <c r="HZ39" s="14">
        <v>2027</v>
      </c>
      <c r="IA39" s="673"/>
      <c r="IB39" s="673"/>
      <c r="IC39" s="674"/>
      <c r="ID39" s="1956" t="s">
        <v>709</v>
      </c>
      <c r="IE39" s="1953"/>
      <c r="IF39" s="1960">
        <v>1</v>
      </c>
      <c r="IG39" s="537">
        <v>1</v>
      </c>
      <c r="IH39" s="537">
        <v>1</v>
      </c>
      <c r="II39" s="537">
        <v>1</v>
      </c>
      <c r="IJ39" s="537">
        <v>1</v>
      </c>
      <c r="IK39" s="537">
        <v>1</v>
      </c>
      <c r="IL39" s="537">
        <v>1</v>
      </c>
    </row>
    <row r="40" spans="2:247" ht="13.5" customHeight="1" x14ac:dyDescent="0.3">
      <c r="B40" s="1703" t="s">
        <v>470</v>
      </c>
      <c r="C40" s="2113"/>
      <c r="D40" s="1600" t="s">
        <v>710</v>
      </c>
      <c r="E40" s="1781" t="s">
        <v>711</v>
      </c>
      <c r="F40" s="1800"/>
      <c r="G40" s="1793" t="s">
        <v>712</v>
      </c>
      <c r="H40" s="1601" t="s">
        <v>713</v>
      </c>
      <c r="I40" s="1601" t="s">
        <v>714</v>
      </c>
      <c r="J40" s="1602" t="s">
        <v>563</v>
      </c>
      <c r="K40" s="1603" t="s">
        <v>564</v>
      </c>
      <c r="L40" s="1816" t="s">
        <v>624</v>
      </c>
      <c r="M40" s="1830"/>
      <c r="N40" s="1823">
        <f>Assumptions!C145</f>
        <v>3.9874660247461273E-2</v>
      </c>
      <c r="O40" s="1604">
        <f>Assumptions!D145</f>
        <v>0.73669132939831261</v>
      </c>
      <c r="P40" s="1604">
        <f>Assumptions!E145</f>
        <v>0.2217688924025227</v>
      </c>
      <c r="Q40" s="1604">
        <f>Assumptions!F145</f>
        <v>0</v>
      </c>
      <c r="R40" s="1604">
        <f>Assumptions!G145</f>
        <v>1.665117951703468E-3</v>
      </c>
      <c r="S40" s="1605">
        <v>1</v>
      </c>
      <c r="T40" s="1605"/>
      <c r="U40" s="1605"/>
      <c r="V40" s="1605"/>
      <c r="W40" s="1605"/>
      <c r="X40" s="1605"/>
      <c r="Y40" s="1606" cm="1">
        <f t="array" ref="Y40:AC40">(_xlfn.ANCHORARRAY($Y$19)*N40)+(_xlfn.ANCHORARRAY($Y$11)*O40)+(P40*_xlfn.ANCHORARRAY($Y$12))+(Q40*_xlfn.ANCHORARRAY($Y$21))+(_xlfn.ANCHORARRAY($Y$26)*R40)</f>
        <v>0.4489805210595349</v>
      </c>
      <c r="Z40" s="1606">
        <v>0.10817379090183231</v>
      </c>
      <c r="AA40" s="1606">
        <v>8.6966852292135105E-2</v>
      </c>
      <c r="AB40" s="1606">
        <v>0.24989990542226156</v>
      </c>
      <c r="AC40" s="1606">
        <v>0.10597893032423612</v>
      </c>
      <c r="AD40" s="1604">
        <f>Assumptions!E$667*O40</f>
        <v>0.31819619151119988</v>
      </c>
      <c r="AE40" s="1607">
        <f>Assumptions!F$667*O40</f>
        <v>9.4839914167810669E-3</v>
      </c>
      <c r="AF40" s="1608">
        <f>Assumptions!G$667*O40</f>
        <v>0.40901114647033165</v>
      </c>
      <c r="AG40" s="1609"/>
      <c r="AH40" s="1609"/>
      <c r="AI40" s="1609"/>
      <c r="AJ40" s="1609"/>
      <c r="AK40" s="1610">
        <f t="shared" si="53"/>
        <v>0</v>
      </c>
      <c r="AL40" s="1609"/>
      <c r="AM40" s="1609"/>
      <c r="AN40" s="1609"/>
      <c r="AO40" s="1221"/>
      <c r="AP40" s="1846"/>
      <c r="AQ40" s="1839">
        <f>INDEX(Sources!$Q$73:$Q$104,MATCH($E40,Sources!$E$73:$E$104,0))</f>
        <v>0</v>
      </c>
      <c r="AR40" s="1611">
        <f>_xlfn.XLOOKUP($D40,'MKM 2014-20'!$C$4:$C$28,'MKM 2014-20'!N$4:N$28)</f>
        <v>0</v>
      </c>
      <c r="AS40" s="1611">
        <f>_xlfn.XLOOKUP($D40,'MKM 2014-20'!$C$4:$C$28,'MKM 2014-20'!O$4:O$28)</f>
        <v>0</v>
      </c>
      <c r="AT40" s="1611">
        <f>_xlfn.XLOOKUP($D40,'MKM 2014-20'!$C$4:$C$28,'MKM 2014-20'!P$4:P$28)</f>
        <v>0</v>
      </c>
      <c r="AU40" s="1611">
        <f>_xlfn.XLOOKUP($D40,'MKM 2014-20'!$C$4:$C$28,'MKM 2014-20'!Q$4:Q$28)</f>
        <v>0</v>
      </c>
      <c r="AV40" s="1611">
        <f>_xlfn.XLOOKUP($D40,'MKM 2014-20'!$C$4:$C$28,'MKM 2014-20'!R$4:R$28)</f>
        <v>0</v>
      </c>
      <c r="AW40" s="1611">
        <f>_xlfn.XLOOKUP($D40,'MKM 2014-20'!$C$4:$C$28,'MKM 2014-20'!S$4:S$28)</f>
        <v>0</v>
      </c>
      <c r="AX40" s="1611">
        <f>_xlfn.XLOOKUP($D40,'MKM 2014-20'!$C$4:$C$28,'MKM 2014-20'!T$4:T$28)</f>
        <v>0</v>
      </c>
      <c r="AY40" s="663"/>
      <c r="AZ40" s="663"/>
      <c r="BA40" s="663"/>
      <c r="BB40" s="663"/>
      <c r="BC40" s="663"/>
      <c r="BD40" s="663"/>
      <c r="BE40" s="663"/>
      <c r="BF40" s="663"/>
      <c r="BG40" s="1612">
        <f t="shared" si="54"/>
        <v>0</v>
      </c>
      <c r="BH40" s="1613">
        <f t="shared" si="0"/>
        <v>0</v>
      </c>
      <c r="BI40" s="1614">
        <f t="shared" si="1"/>
        <v>0</v>
      </c>
      <c r="BJ40" s="1614">
        <f t="shared" si="2"/>
        <v>0</v>
      </c>
      <c r="BK40" s="1614">
        <f t="shared" si="3"/>
        <v>0</v>
      </c>
      <c r="BL40" s="1614">
        <f t="shared" si="4"/>
        <v>0</v>
      </c>
      <c r="BM40" s="1614">
        <f t="shared" si="5"/>
        <v>0</v>
      </c>
      <c r="BN40" s="1614">
        <f t="shared" si="6"/>
        <v>0</v>
      </c>
      <c r="BO40" s="1614">
        <f t="shared" si="7"/>
        <v>0</v>
      </c>
      <c r="BP40" s="1614">
        <f t="shared" si="8"/>
        <v>0</v>
      </c>
      <c r="BQ40" s="1614">
        <f t="shared" si="9"/>
        <v>0</v>
      </c>
      <c r="BR40" s="1614">
        <f t="shared" si="10"/>
        <v>0</v>
      </c>
      <c r="BS40" s="1614">
        <f t="shared" si="11"/>
        <v>0</v>
      </c>
      <c r="BT40" s="1614">
        <f t="shared" si="12"/>
        <v>0</v>
      </c>
      <c r="BU40" s="1614">
        <f t="shared" si="13"/>
        <v>0</v>
      </c>
      <c r="BV40" s="1852">
        <f t="shared" si="14"/>
        <v>0</v>
      </c>
      <c r="BW40" s="1661"/>
      <c r="BX40" s="1856">
        <v>0</v>
      </c>
      <c r="BY40" s="1615" t="str">
        <f t="shared" si="15"/>
        <v/>
      </c>
      <c r="BZ40" s="684"/>
      <c r="CA40" s="684"/>
      <c r="CB40" s="684"/>
      <c r="CC40" s="684"/>
      <c r="CD40" s="684"/>
      <c r="CE40" s="684"/>
      <c r="CF40" s="684"/>
      <c r="CG40" s="684"/>
      <c r="CH40" s="684"/>
      <c r="CI40" s="684"/>
      <c r="CJ40" s="684"/>
      <c r="CK40" s="684"/>
      <c r="CL40" s="684"/>
      <c r="CM40" s="684"/>
      <c r="CN40" s="684"/>
      <c r="CO40" s="479">
        <f>IFERROR(AVERAGE(CC40:CN40),0)</f>
        <v>0</v>
      </c>
      <c r="CP40" s="660">
        <f t="shared" si="18"/>
        <v>0</v>
      </c>
      <c r="CQ40" s="1616">
        <f>'MKM 2014-20'!X28/'MKM 2014-20'!Y28</f>
        <v>0.55263157894736847</v>
      </c>
      <c r="CR40" s="1617">
        <f t="shared" si="55"/>
        <v>0.44736842105263153</v>
      </c>
      <c r="CS40" s="1618"/>
      <c r="CT40" s="1863" t="str">
        <f>IFERROR(AVERAGE(BZ40:CI40),"n/a")</f>
        <v>n/a</v>
      </c>
      <c r="CU40" s="1872"/>
      <c r="CV40" s="1869">
        <f>BH40*Assumptions!D$500</f>
        <v>0</v>
      </c>
      <c r="CW40" s="1619">
        <f>BI40*Assumptions!E$500</f>
        <v>0</v>
      </c>
      <c r="CX40" s="1619">
        <f>BJ40*Assumptions!F$500</f>
        <v>0</v>
      </c>
      <c r="CY40" s="1619">
        <f>BK40*Assumptions!G$500</f>
        <v>0</v>
      </c>
      <c r="CZ40" s="1619">
        <f>BL40*Assumptions!H$500</f>
        <v>0</v>
      </c>
      <c r="DA40" s="1619">
        <f>BM40*Assumptions!I$500</f>
        <v>0</v>
      </c>
      <c r="DB40" s="1619">
        <f>BN40*Assumptions!J$500</f>
        <v>0</v>
      </c>
      <c r="DC40" s="1619">
        <f>BO40*Assumptions!K$500</f>
        <v>0</v>
      </c>
      <c r="DD40" s="1619">
        <f>BP40*Assumptions!L$500</f>
        <v>0</v>
      </c>
      <c r="DE40" s="1619">
        <f>BQ40*Assumptions!M$500</f>
        <v>0</v>
      </c>
      <c r="DF40" s="1619">
        <f>BR40*Assumptions!N$500</f>
        <v>0</v>
      </c>
      <c r="DG40" s="1619">
        <f>BS40*Assumptions!O$500</f>
        <v>0</v>
      </c>
      <c r="DH40" s="1619">
        <f>BT40*Assumptions!P$500</f>
        <v>0</v>
      </c>
      <c r="DI40" s="1619">
        <f>BU40*Assumptions!Q$500</f>
        <v>0</v>
      </c>
      <c r="DJ40" s="1619">
        <f>BV40*Assumptions!R$500</f>
        <v>0</v>
      </c>
      <c r="DK40" s="1620">
        <f>BH40*Assumptions!D$507</f>
        <v>0</v>
      </c>
      <c r="DL40" s="1620">
        <f>BI40*Assumptions!E$507</f>
        <v>0</v>
      </c>
      <c r="DM40" s="1620">
        <f>BJ40*Assumptions!F$507</f>
        <v>0</v>
      </c>
      <c r="DN40" s="1620">
        <f>BK40*Assumptions!G$507</f>
        <v>0</v>
      </c>
      <c r="DO40" s="1620">
        <f>BL40*Assumptions!H$507</f>
        <v>0</v>
      </c>
      <c r="DP40" s="1620">
        <f>BM40*Assumptions!I$507</f>
        <v>0</v>
      </c>
      <c r="DQ40" s="1620">
        <f>BN40*Assumptions!J$507</f>
        <v>0</v>
      </c>
      <c r="DR40" s="1620">
        <f>BO40*Assumptions!K$507</f>
        <v>0</v>
      </c>
      <c r="DS40" s="1620">
        <f>BP40*Assumptions!L$507</f>
        <v>0</v>
      </c>
      <c r="DT40" s="1620">
        <f>BQ40*Assumptions!M$507</f>
        <v>0</v>
      </c>
      <c r="DU40" s="1620">
        <f>BR40*Assumptions!N$507</f>
        <v>0</v>
      </c>
      <c r="DV40" s="1620">
        <f>BS40*Assumptions!O$507</f>
        <v>0</v>
      </c>
      <c r="DW40" s="1620">
        <f>BT40*Assumptions!P$507</f>
        <v>0</v>
      </c>
      <c r="DX40" s="1620">
        <f>BU40*Assumptions!Q$507</f>
        <v>0</v>
      </c>
      <c r="DY40" s="1620">
        <f>BV40*Assumptions!R$507</f>
        <v>0</v>
      </c>
      <c r="DZ40" s="1621">
        <f>P40*Assumptions!T$838</f>
        <v>0.1327578888384543</v>
      </c>
      <c r="EA40" s="1622">
        <f t="shared" si="56"/>
        <v>0.8672421111615457</v>
      </c>
      <c r="EB40" s="1875">
        <f>IFERROR(AVERAGE(CV40:DE40),"n/a")</f>
        <v>0</v>
      </c>
      <c r="EC40" s="1881"/>
      <c r="ED40" s="1878">
        <v>0</v>
      </c>
      <c r="EE40" s="1623">
        <f t="shared" si="110"/>
        <v>0</v>
      </c>
      <c r="EF40" s="1623">
        <f t="shared" si="110"/>
        <v>0</v>
      </c>
      <c r="EG40" s="1623">
        <f t="shared" si="110"/>
        <v>0</v>
      </c>
      <c r="EH40" s="1623">
        <f t="shared" si="110"/>
        <v>0</v>
      </c>
      <c r="EI40" s="1623">
        <f t="shared" si="110"/>
        <v>0</v>
      </c>
      <c r="EJ40" s="1623">
        <f t="shared" si="110"/>
        <v>0</v>
      </c>
      <c r="EK40" s="1623">
        <f t="shared" si="110"/>
        <v>0</v>
      </c>
      <c r="EL40" s="1623">
        <f t="shared" si="110"/>
        <v>0</v>
      </c>
      <c r="EM40" s="1623">
        <f t="shared" si="110"/>
        <v>0</v>
      </c>
      <c r="EN40" s="1623">
        <f t="shared" si="110"/>
        <v>0</v>
      </c>
      <c r="EO40" s="1623">
        <f t="shared" si="110"/>
        <v>0</v>
      </c>
      <c r="EP40" s="1623">
        <f t="shared" si="110"/>
        <v>0</v>
      </c>
      <c r="EQ40" s="1623">
        <f t="shared" si="110"/>
        <v>0</v>
      </c>
      <c r="ER40" s="1623">
        <f t="shared" si="110"/>
        <v>0</v>
      </c>
      <c r="ES40" s="1623">
        <f t="shared" si="110"/>
        <v>0</v>
      </c>
      <c r="ET40" s="1624">
        <f t="shared" si="57"/>
        <v>0</v>
      </c>
      <c r="EU40" s="1625" cm="1">
        <f t="array" ref="EU40">(BH40*SUMPRODUCT($S40:$X40,TRANSPOSE(Assumptions!D$281:D$286)))*0.001</f>
        <v>0</v>
      </c>
      <c r="EV40" s="1625" cm="1">
        <f t="array" ref="EV40">(BI40*SUMPRODUCT($S40:$X40,TRANSPOSE(Assumptions!E$281:E$286)))*0.001</f>
        <v>0</v>
      </c>
      <c r="EW40" s="1625" cm="1">
        <f t="array" ref="EW40">(BJ40*SUMPRODUCT($S40:$X40,TRANSPOSE(Assumptions!F$281:F$286)))*0.001</f>
        <v>0</v>
      </c>
      <c r="EX40" s="1625" cm="1">
        <f t="array" ref="EX40">(BK40*SUMPRODUCT($S40:$X40,TRANSPOSE(Assumptions!G$281:G$286)))*0.001</f>
        <v>0</v>
      </c>
      <c r="EY40" s="1625" cm="1">
        <f t="array" ref="EY40">(BL40*SUMPRODUCT($S40:$X40,TRANSPOSE(Assumptions!H$281:H$286)))*0.001</f>
        <v>0</v>
      </c>
      <c r="EZ40" s="1625" cm="1">
        <f t="array" ref="EZ40">(BM40*SUMPRODUCT($S40:$X40,TRANSPOSE(Assumptions!I$281:I$286)))*0.001</f>
        <v>0</v>
      </c>
      <c r="FA40" s="1625" cm="1">
        <f t="array" ref="FA40">(BN40*SUMPRODUCT($S40:$X40,TRANSPOSE(Assumptions!J$281:J$286)))*0.001</f>
        <v>0</v>
      </c>
      <c r="FB40" s="1625" cm="1">
        <f t="array" ref="FB40">(BO40*SUMPRODUCT($S40:$X40,TRANSPOSE(Assumptions!K$281:K$286)))*0.001</f>
        <v>0</v>
      </c>
      <c r="FC40" s="1625" cm="1">
        <f t="array" ref="FC40">(BP40*SUMPRODUCT($S40:$X40,TRANSPOSE(Assumptions!L$281:L$286)))*0.001</f>
        <v>0</v>
      </c>
      <c r="FD40" s="1625" cm="1">
        <f t="array" ref="FD40">(BQ40*SUMPRODUCT($S40:$X40,TRANSPOSE(Assumptions!M$281:M$286)))*0.001</f>
        <v>0</v>
      </c>
      <c r="FE40" s="1625" cm="1">
        <f t="array" ref="FE40">(BR40*SUMPRODUCT($S40:$X40,TRANSPOSE(Assumptions!N$281:N$286)))*0.001</f>
        <v>0</v>
      </c>
      <c r="FF40" s="1625" cm="1">
        <f t="array" ref="FF40">(BS40*SUMPRODUCT($S40:$X40,TRANSPOSE(Assumptions!O$281:O$286)))*0.001</f>
        <v>0</v>
      </c>
      <c r="FG40" s="1625" cm="1">
        <f t="array" ref="FG40">(BT40*SUMPRODUCT($S40:$X40,TRANSPOSE(Assumptions!P$281:P$286)))*0.001</f>
        <v>0</v>
      </c>
      <c r="FH40" s="1625" cm="1">
        <f t="array" ref="FH40">(BU40*SUMPRODUCT($S40:$X40,TRANSPOSE(Assumptions!Q$281:Q$286)))*0.001</f>
        <v>0</v>
      </c>
      <c r="FI40" s="1625" cm="1">
        <f t="array" ref="FI40">(BV40*SUMPRODUCT($S40:$X40,TRANSPOSE(Assumptions!R$281:R$286)))*0.001</f>
        <v>0</v>
      </c>
      <c r="FJ40" s="1626">
        <f t="shared" si="58"/>
        <v>0</v>
      </c>
      <c r="FK40" s="1626">
        <f t="shared" si="59"/>
        <v>0</v>
      </c>
      <c r="FL40" s="1626">
        <f t="shared" si="60"/>
        <v>0</v>
      </c>
      <c r="FM40" s="1626">
        <f t="shared" si="61"/>
        <v>0</v>
      </c>
      <c r="FN40" s="1626">
        <f t="shared" si="62"/>
        <v>0</v>
      </c>
      <c r="FO40" s="1626">
        <f t="shared" si="63"/>
        <v>0</v>
      </c>
      <c r="FP40" s="1626">
        <f t="shared" si="64"/>
        <v>0</v>
      </c>
      <c r="FQ40" s="1626">
        <f t="shared" si="65"/>
        <v>0</v>
      </c>
      <c r="FR40" s="1626">
        <f t="shared" si="66"/>
        <v>0</v>
      </c>
      <c r="FS40" s="1626">
        <f t="shared" si="67"/>
        <v>0</v>
      </c>
      <c r="FT40" s="1626">
        <f t="shared" si="95"/>
        <v>0</v>
      </c>
      <c r="FU40" s="1626">
        <f t="shared" si="96"/>
        <v>0</v>
      </c>
      <c r="FV40" s="1626">
        <f t="shared" si="97"/>
        <v>0</v>
      </c>
      <c r="FW40" s="1626">
        <f t="shared" si="98"/>
        <v>0</v>
      </c>
      <c r="FX40" s="1884">
        <f t="shared" si="99"/>
        <v>0</v>
      </c>
      <c r="FY40" s="1895"/>
      <c r="FZ40" s="1891"/>
      <c r="GA40" s="1627"/>
      <c r="GB40" s="1627"/>
      <c r="GC40" s="1627"/>
      <c r="GD40" s="1627"/>
      <c r="GE40" s="1627"/>
      <c r="GF40" s="1627"/>
      <c r="GG40" s="1627"/>
      <c r="GH40" s="1627"/>
      <c r="GI40" s="1627"/>
      <c r="GJ40" s="1627"/>
      <c r="GK40" s="1627"/>
      <c r="GL40" s="1627"/>
      <c r="GM40" s="1627"/>
      <c r="GN40" s="1901"/>
      <c r="GO40" s="1910"/>
      <c r="GP40" s="1906">
        <f>BH40*INDEX(Assumptions!G$565:G$570,MATCH($B40,Assumptions!$B$565:$B$570,0))</f>
        <v>0</v>
      </c>
      <c r="GQ40" s="1620">
        <f>BI40*INDEX(Assumptions!H$565:H$570,MATCH($B40,Assumptions!$B$565:$B$570,0))</f>
        <v>0</v>
      </c>
      <c r="GR40" s="1620">
        <f>BJ40*INDEX(Assumptions!I$565:I$570,MATCH($B40,Assumptions!$B$565:$B$570,0))</f>
        <v>0</v>
      </c>
      <c r="GS40" s="1620">
        <f>BK40*INDEX(Assumptions!J$565:J$570,MATCH($B40,Assumptions!$B$565:$B$570,0))</f>
        <v>0</v>
      </c>
      <c r="GT40" s="1620">
        <f>BL40*INDEX(Assumptions!K$565:K$570,MATCH($B40,Assumptions!$B$565:$B$570,0))</f>
        <v>0</v>
      </c>
      <c r="GU40" s="1620">
        <f>BM40*INDEX(Assumptions!L$565:L$570,MATCH($B40,Assumptions!$B$565:$B$570,0))</f>
        <v>0</v>
      </c>
      <c r="GV40" s="1620">
        <f>BN40*INDEX(Assumptions!M$565:M$570,MATCH($B40,Assumptions!$B$565:$B$570,0))</f>
        <v>0</v>
      </c>
      <c r="GW40" s="1620">
        <f>BO40*INDEX(Assumptions!N$565:N$570,MATCH($B40,Assumptions!$B$565:$B$570,0))</f>
        <v>0</v>
      </c>
      <c r="GX40" s="1620">
        <f>BP40*INDEX(Assumptions!O$565:O$570,MATCH($B40,Assumptions!$B$565:$B$570,0))</f>
        <v>0</v>
      </c>
      <c r="GY40" s="1620">
        <f>BQ40*INDEX(Assumptions!P$565:P$570,MATCH($B40,Assumptions!$B$565:$B$570,0))</f>
        <v>0</v>
      </c>
      <c r="GZ40" s="1620">
        <f>BR40*INDEX(Assumptions!Q$565:Q$570,MATCH($B40,Assumptions!$B$565:$B$570,0))</f>
        <v>0</v>
      </c>
      <c r="HA40" s="1620">
        <f>BS40*INDEX(Assumptions!R$565:R$570,MATCH($B40,Assumptions!$B$565:$B$570,0))</f>
        <v>0</v>
      </c>
      <c r="HB40" s="1620">
        <f>BT40*INDEX(Assumptions!S$565:S$570,MATCH($B40,Assumptions!$B$565:$B$570,0))</f>
        <v>0</v>
      </c>
      <c r="HC40" s="1620">
        <f>BU40*INDEX(Assumptions!T$565:T$570,MATCH($B40,Assumptions!$B$565:$B$570,0))</f>
        <v>0</v>
      </c>
      <c r="HD40" s="1923">
        <f>BV40*INDEX(Assumptions!U$565:U$570,MATCH($B40,Assumptions!$B$565:$B$570,0))</f>
        <v>0</v>
      </c>
      <c r="HE40" s="1933"/>
      <c r="HF40" s="1928"/>
      <c r="HG40" s="1612"/>
      <c r="HH40" s="1612"/>
      <c r="HI40" s="1612"/>
      <c r="HJ40" s="1612"/>
      <c r="HK40" s="1612"/>
      <c r="HL40" s="1612"/>
      <c r="HM40" s="1612"/>
      <c r="HN40" s="1612"/>
      <c r="HO40" s="1612"/>
      <c r="HP40" s="1612"/>
      <c r="HQ40" s="1612"/>
      <c r="HR40" s="1612"/>
      <c r="HS40" s="1612"/>
      <c r="HT40" s="1612"/>
      <c r="HU40" s="1612"/>
      <c r="HV40" s="1620"/>
      <c r="HW40" s="1923"/>
      <c r="HX40" s="1946"/>
      <c r="HY40" s="1941">
        <v>2015</v>
      </c>
      <c r="HZ40" s="1628">
        <v>2027</v>
      </c>
      <c r="IA40" s="1629"/>
      <c r="IB40" s="1629"/>
      <c r="IC40" s="1630" t="s">
        <v>578</v>
      </c>
      <c r="ID40" s="1958" t="s">
        <v>715</v>
      </c>
      <c r="IE40" s="1953"/>
      <c r="IF40" s="1961">
        <v>1</v>
      </c>
      <c r="IG40" s="1631">
        <v>1</v>
      </c>
      <c r="IH40" s="1631">
        <v>1</v>
      </c>
      <c r="II40" s="1631">
        <v>1</v>
      </c>
      <c r="IJ40" s="1631">
        <v>1</v>
      </c>
      <c r="IK40" s="1631">
        <v>1</v>
      </c>
      <c r="IL40" s="1631">
        <v>1</v>
      </c>
    </row>
    <row r="41" spans="2:247" ht="13.5" customHeight="1" x14ac:dyDescent="0.3">
      <c r="C41" s="1986" t="s">
        <v>716</v>
      </c>
      <c r="D41" s="1662"/>
      <c r="E41" s="1663"/>
      <c r="F41" s="1775"/>
      <c r="G41" s="1664"/>
      <c r="H41" s="1663"/>
      <c r="I41" s="1663"/>
      <c r="J41" s="1665"/>
      <c r="K41" s="1663"/>
      <c r="L41" s="1666"/>
      <c r="M41" s="1812"/>
      <c r="N41" s="1667"/>
      <c r="O41" s="1667"/>
      <c r="P41" s="1667"/>
      <c r="Q41" s="1667"/>
      <c r="R41" s="1667"/>
      <c r="S41" s="1668"/>
      <c r="T41" s="1668"/>
      <c r="U41" s="1668"/>
      <c r="V41" s="1668"/>
      <c r="W41" s="1668"/>
      <c r="X41" s="1668"/>
      <c r="Y41" s="1669"/>
      <c r="Z41" s="1669"/>
      <c r="AA41" s="1669"/>
      <c r="AB41" s="1669"/>
      <c r="AC41" s="1669"/>
      <c r="AD41" s="1667"/>
      <c r="AE41" s="1670"/>
      <c r="AF41" s="1671"/>
      <c r="AG41" s="1672"/>
      <c r="AH41" s="1672"/>
      <c r="AI41" s="1672"/>
      <c r="AJ41" s="1672"/>
      <c r="AK41" s="1673"/>
      <c r="AL41" s="1672"/>
      <c r="AM41" s="1672"/>
      <c r="AN41" s="1672"/>
      <c r="AO41" s="1674"/>
      <c r="AP41" s="1833"/>
      <c r="AQ41" s="1675"/>
      <c r="AR41" s="1676"/>
      <c r="AS41" s="1676"/>
      <c r="AT41" s="1676"/>
      <c r="AU41" s="1676"/>
      <c r="AV41" s="1676"/>
      <c r="AW41" s="1676"/>
      <c r="AX41" s="1676"/>
      <c r="AY41" s="1677"/>
      <c r="AZ41" s="1677"/>
      <c r="BA41" s="1677"/>
      <c r="BB41" s="1677"/>
      <c r="BC41" s="1677"/>
      <c r="BD41" s="1677"/>
      <c r="BE41" s="1677"/>
      <c r="BF41" s="1677"/>
      <c r="BG41" s="1678"/>
      <c r="BH41" s="1679"/>
      <c r="BI41" s="1680"/>
      <c r="BJ41" s="1680"/>
      <c r="BK41" s="1680"/>
      <c r="BL41" s="1680"/>
      <c r="BM41" s="1680"/>
      <c r="BN41" s="1680"/>
      <c r="BO41" s="1680"/>
      <c r="BP41" s="1680"/>
      <c r="BQ41" s="1680"/>
      <c r="BR41" s="1680"/>
      <c r="BS41" s="1680"/>
      <c r="BT41" s="1680"/>
      <c r="BU41" s="1680"/>
      <c r="BV41" s="1680"/>
      <c r="BW41" s="1680"/>
      <c r="BX41" s="1681"/>
      <c r="BY41" s="1682"/>
      <c r="BZ41" s="1683"/>
      <c r="CA41" s="1683"/>
      <c r="CB41" s="1683"/>
      <c r="CC41" s="1683"/>
      <c r="CD41" s="1683"/>
      <c r="CE41" s="1683"/>
      <c r="CF41" s="1683"/>
      <c r="CG41" s="1683"/>
      <c r="CH41" s="1683"/>
      <c r="CI41" s="1683"/>
      <c r="CJ41" s="1683"/>
      <c r="CK41" s="1683"/>
      <c r="CL41" s="1683"/>
      <c r="CM41" s="1683"/>
      <c r="CN41" s="1683"/>
      <c r="CO41" s="1683"/>
      <c r="CP41" s="1684"/>
      <c r="CQ41" s="1685"/>
      <c r="CR41" s="1686"/>
      <c r="CS41" s="1688"/>
      <c r="CT41" s="1689"/>
      <c r="CU41" s="1860"/>
      <c r="CV41" s="1690"/>
      <c r="CW41" s="1690"/>
      <c r="CX41" s="1690"/>
      <c r="CY41" s="1690"/>
      <c r="CZ41" s="1690"/>
      <c r="DA41" s="1690"/>
      <c r="DB41" s="1690"/>
      <c r="DC41" s="1690"/>
      <c r="DD41" s="1690"/>
      <c r="DE41" s="1690"/>
      <c r="DF41" s="1690"/>
      <c r="DG41" s="1690"/>
      <c r="DH41" s="1690"/>
      <c r="DI41" s="1690"/>
      <c r="DJ41" s="1690"/>
      <c r="DK41" s="1691"/>
      <c r="DL41" s="1691"/>
      <c r="DM41" s="1691"/>
      <c r="DN41" s="1691"/>
      <c r="DO41" s="1691"/>
      <c r="DP41" s="1691"/>
      <c r="DQ41" s="1691"/>
      <c r="DR41" s="1691"/>
      <c r="DS41" s="1691"/>
      <c r="DT41" s="1691"/>
      <c r="DU41" s="1691"/>
      <c r="DV41" s="1691"/>
      <c r="DW41" s="1691"/>
      <c r="DX41" s="1691"/>
      <c r="DY41" s="1691"/>
      <c r="DZ41" s="1692"/>
      <c r="EA41" s="1693"/>
      <c r="EB41" s="1689"/>
      <c r="EC41" s="1874"/>
      <c r="ED41" s="1694"/>
      <c r="EE41" s="1695"/>
      <c r="EF41" s="1695"/>
      <c r="EG41" s="1695"/>
      <c r="EH41" s="1695"/>
      <c r="EI41" s="1695"/>
      <c r="EJ41" s="1695"/>
      <c r="EK41" s="1695"/>
      <c r="EL41" s="1695"/>
      <c r="EM41" s="1695"/>
      <c r="EN41" s="1695"/>
      <c r="EO41" s="1695"/>
      <c r="EP41" s="1695"/>
      <c r="EQ41" s="1695"/>
      <c r="ER41" s="1695"/>
      <c r="ES41" s="1695"/>
      <c r="ET41" s="1696"/>
      <c r="EU41" s="1697"/>
      <c r="EV41" s="1697"/>
      <c r="EW41" s="1697"/>
      <c r="EX41" s="1697"/>
      <c r="EY41" s="1697"/>
      <c r="EZ41" s="1697"/>
      <c r="FA41" s="1697"/>
      <c r="FB41" s="1697"/>
      <c r="FC41" s="1697"/>
      <c r="FD41" s="1697"/>
      <c r="FE41" s="1697"/>
      <c r="FF41" s="1697"/>
      <c r="FG41" s="1697"/>
      <c r="FH41" s="1697"/>
      <c r="FI41" s="1697"/>
      <c r="FJ41" s="1698"/>
      <c r="FK41" s="1698"/>
      <c r="FL41" s="1698"/>
      <c r="FM41" s="1698"/>
      <c r="FN41" s="1698"/>
      <c r="FO41" s="1698"/>
      <c r="FP41" s="1698"/>
      <c r="FQ41" s="1698"/>
      <c r="FR41" s="1698"/>
      <c r="FS41" s="1698"/>
      <c r="FT41" s="1698"/>
      <c r="FU41" s="1698"/>
      <c r="FV41" s="1698"/>
      <c r="FW41" s="1698"/>
      <c r="FX41" s="1698"/>
      <c r="FY41" s="1894"/>
      <c r="FZ41" s="1689"/>
      <c r="GA41" s="1689"/>
      <c r="GB41" s="1689"/>
      <c r="GC41" s="1689"/>
      <c r="GD41" s="1689"/>
      <c r="GE41" s="1689"/>
      <c r="GF41" s="1689"/>
      <c r="GG41" s="1689"/>
      <c r="GH41" s="1689"/>
      <c r="GI41" s="1689"/>
      <c r="GJ41" s="1689"/>
      <c r="GK41" s="1689"/>
      <c r="GL41" s="1689"/>
      <c r="GM41" s="1689"/>
      <c r="GN41" s="1689"/>
      <c r="GO41" s="1909"/>
      <c r="GP41" s="1691"/>
      <c r="GQ41" s="1691"/>
      <c r="GR41" s="1691"/>
      <c r="GS41" s="1691"/>
      <c r="GT41" s="1691"/>
      <c r="GU41" s="1691"/>
      <c r="GV41" s="1691"/>
      <c r="GW41" s="1691"/>
      <c r="GX41" s="1691"/>
      <c r="GY41" s="1691"/>
      <c r="GZ41" s="1691"/>
      <c r="HA41" s="1691"/>
      <c r="HB41" s="1691"/>
      <c r="HC41" s="1691"/>
      <c r="HD41" s="1691"/>
      <c r="HE41" s="1921"/>
      <c r="HF41" s="1678"/>
      <c r="HG41" s="1678"/>
      <c r="HH41" s="1678"/>
      <c r="HI41" s="1678"/>
      <c r="HJ41" s="1678"/>
      <c r="HK41" s="1678"/>
      <c r="HL41" s="1678"/>
      <c r="HM41" s="1678"/>
      <c r="HN41" s="1678"/>
      <c r="HO41" s="1678"/>
      <c r="HP41" s="1678"/>
      <c r="HQ41" s="1678"/>
      <c r="HR41" s="1678"/>
      <c r="HS41" s="1678"/>
      <c r="HT41" s="1678"/>
      <c r="HU41" s="1678"/>
      <c r="HV41" s="1691"/>
      <c r="HW41" s="1691"/>
      <c r="HX41" s="1935"/>
      <c r="HY41" s="1699"/>
      <c r="HZ41" s="1699"/>
      <c r="IA41" s="1699"/>
      <c r="IB41" s="1699"/>
      <c r="IC41" s="1700"/>
      <c r="ID41" s="1701"/>
      <c r="IE41" s="1952"/>
      <c r="IF41" s="1702"/>
      <c r="IG41" s="1702"/>
      <c r="IH41" s="1702"/>
      <c r="II41" s="1702"/>
      <c r="IJ41" s="1702"/>
      <c r="IK41" s="1702"/>
      <c r="IL41" s="1702"/>
      <c r="IM41" s="1687"/>
    </row>
    <row r="42" spans="2:247" ht="13.5" customHeight="1" x14ac:dyDescent="0.3">
      <c r="B42" s="1703" t="s">
        <v>51</v>
      </c>
      <c r="C42" s="2113" t="s">
        <v>125</v>
      </c>
      <c r="D42" s="654" t="s">
        <v>717</v>
      </c>
      <c r="E42" s="1782" t="s">
        <v>718</v>
      </c>
      <c r="F42" s="1804"/>
      <c r="G42" s="1794"/>
      <c r="H42" s="514"/>
      <c r="I42" s="670"/>
      <c r="J42" s="514" t="s">
        <v>563</v>
      </c>
      <c r="K42" s="655" t="s">
        <v>597</v>
      </c>
      <c r="L42" s="1176" t="s">
        <v>719</v>
      </c>
      <c r="M42" s="1827"/>
      <c r="N42" s="1824"/>
      <c r="O42" s="1633">
        <v>1</v>
      </c>
      <c r="P42" s="1632"/>
      <c r="Q42" s="1632"/>
      <c r="R42" s="1632"/>
      <c r="S42" s="1634"/>
      <c r="T42" s="1634"/>
      <c r="U42" s="1634"/>
      <c r="V42" s="1634"/>
      <c r="W42" s="1634">
        <f>_xlfn.XLOOKUP(D42,TalTech!$B$4:$B$46,TalTech!$AZ$4:$AZ$46)</f>
        <v>0.82568807339449546</v>
      </c>
      <c r="X42" s="1634">
        <f>1-W42</f>
        <v>0.17431192660550454</v>
      </c>
      <c r="Y42" s="1635" cm="1">
        <f t="array" ref="Y42:AC42">(TRANSPOSE(Assumptions!$E$668:$E$672)*'EE Measures'!$AD42)+(TRANSPOSE(_xlfn.ANCHORARRAY(Assumptions!$F$668))*'EE Measures'!$AE42)+(TRANSPOSE(Assumptions!$G$668:$G$672)*'EE Measures'!$AF42)</f>
        <v>0.3493177927472812</v>
      </c>
      <c r="Z42" s="1635">
        <v>0.13834389985211143</v>
      </c>
      <c r="AA42" s="1635">
        <v>0.10633141466937233</v>
      </c>
      <c r="AB42" s="1635">
        <v>0.27963140047845425</v>
      </c>
      <c r="AC42" s="1635">
        <v>0.12637549225278072</v>
      </c>
      <c r="AD42" s="1636">
        <f>Assumptions!E$667</f>
        <v>0.43192607108744491</v>
      </c>
      <c r="AE42" s="1637">
        <f>Assumptions!F$667</f>
        <v>1.287376549487429E-2</v>
      </c>
      <c r="AF42" s="1638">
        <f>Assumptions!G$667</f>
        <v>0.55520016341768075</v>
      </c>
      <c r="AG42" s="1632"/>
      <c r="AH42" s="1632"/>
      <c r="AI42" s="1633">
        <v>1</v>
      </c>
      <c r="AJ42" s="1639">
        <v>1</v>
      </c>
      <c r="AK42" s="1640">
        <f>AL42+AM42</f>
        <v>0</v>
      </c>
      <c r="AL42" s="1632"/>
      <c r="AM42" s="1632"/>
      <c r="AN42" s="1632"/>
      <c r="AO42" s="1221"/>
      <c r="AP42" s="1846"/>
      <c r="AQ42" s="1840">
        <v>109</v>
      </c>
      <c r="AR42" s="663"/>
      <c r="AS42" s="663"/>
      <c r="AT42" s="663"/>
      <c r="AU42" s="663"/>
      <c r="AV42" s="1641">
        <f>_xlfn.XLOOKUP($D42,TalTech!$B$4:$B$46,TalTech!BB$4:BB$46)</f>
        <v>109</v>
      </c>
      <c r="AW42" s="1641">
        <f>_xlfn.XLOOKUP($D42,TalTech!$B$4:$B$46,TalTech!BC$4:BC$46)</f>
        <v>109</v>
      </c>
      <c r="AX42" s="1641">
        <f>_xlfn.XLOOKUP($D42,TalTech!$B$4:$B$46,TalTech!BD$4:BD$46)</f>
        <v>109</v>
      </c>
      <c r="AY42" s="1641">
        <f>_xlfn.XLOOKUP($D42,TalTech!$B$4:$B$46,TalTech!BE$4:BE$46)</f>
        <v>109</v>
      </c>
      <c r="AZ42" s="1641">
        <f>_xlfn.XLOOKUP($D42,TalTech!$B$4:$B$46,TalTech!BF$4:BF$46)</f>
        <v>109</v>
      </c>
      <c r="BA42" s="1641">
        <f>_xlfn.XLOOKUP($D42,TalTech!$B$4:$B$46,TalTech!BG$4:BG$46)</f>
        <v>109</v>
      </c>
      <c r="BB42" s="1641">
        <f>_xlfn.XLOOKUP($D42,TalTech!$B$4:$B$46,TalTech!BH$4:BH$46)</f>
        <v>109</v>
      </c>
      <c r="BC42" s="1641">
        <f>_xlfn.XLOOKUP($D42,TalTech!$B$4:$B$46,TalTech!BI$4:BI$46)</f>
        <v>109</v>
      </c>
      <c r="BD42" s="1641">
        <f>_xlfn.XLOOKUP($D42,TalTech!$B$4:$B$46,TalTech!BJ$4:BJ$46)</f>
        <v>109</v>
      </c>
      <c r="BE42" s="1641">
        <f>_xlfn.XLOOKUP($D42,TalTech!$B$4:$B$46,TalTech!BK$4:BK$46)</f>
        <v>109</v>
      </c>
      <c r="BF42" s="1641">
        <f>_xlfn.XLOOKUP($D42,TalTech!$B$4:$B$46,TalTech!BL$4:BL$46)</f>
        <v>109</v>
      </c>
      <c r="BG42" s="1642">
        <f>IFERROR(AVERAGE(AU42:BF42),0)</f>
        <v>109</v>
      </c>
      <c r="BH42" s="1643">
        <f t="shared" ref="BH42:BH86" si="111">AR42</f>
        <v>0</v>
      </c>
      <c r="BI42" s="1644">
        <f t="shared" ref="BI42:BI86" si="112">BH42+AS42</f>
        <v>0</v>
      </c>
      <c r="BJ42" s="1644">
        <f t="shared" ref="BJ42:BJ86" si="113">BI42+AT42</f>
        <v>0</v>
      </c>
      <c r="BK42" s="1644">
        <f t="shared" ref="BK42:BK86" si="114">BJ42+AU42</f>
        <v>0</v>
      </c>
      <c r="BL42" s="1644">
        <f t="shared" ref="BL42:BL86" si="115">BK42+AV42</f>
        <v>109</v>
      </c>
      <c r="BM42" s="1644">
        <f t="shared" ref="BM42:BM86" si="116">BL42+AW42</f>
        <v>218</v>
      </c>
      <c r="BN42" s="1644">
        <f t="shared" ref="BN42:BN86" si="117">BM42+AX42</f>
        <v>327</v>
      </c>
      <c r="BO42" s="1644">
        <f t="shared" ref="BO42:BO86" si="118">BN42+AY42</f>
        <v>436</v>
      </c>
      <c r="BP42" s="1644">
        <f t="shared" ref="BP42:BP86" si="119">BO42+AZ42</f>
        <v>545</v>
      </c>
      <c r="BQ42" s="1644">
        <f t="shared" ref="BQ42:BQ86" si="120">BP42+BA42</f>
        <v>654</v>
      </c>
      <c r="BR42" s="1644">
        <f t="shared" ref="BR42:BR86" si="121">BQ42+BB42</f>
        <v>763</v>
      </c>
      <c r="BS42" s="1644">
        <f t="shared" ref="BS42:BS86" si="122">BR42+BC42</f>
        <v>872</v>
      </c>
      <c r="BT42" s="1644">
        <f t="shared" ref="BT42:BT86" si="123">BS42+BD42</f>
        <v>981</v>
      </c>
      <c r="BU42" s="1644">
        <f t="shared" ref="BU42:BU86" si="124">BT42+BE42</f>
        <v>1090</v>
      </c>
      <c r="BV42" s="1853">
        <f t="shared" ref="BV42:BV86" si="125">BU42+BF42</f>
        <v>1199</v>
      </c>
      <c r="BW42" s="1661"/>
      <c r="BX42" s="1857">
        <v>11822.995715277601</v>
      </c>
      <c r="BY42" s="1645">
        <f t="shared" ref="BY42:BY86" si="126">IFERROR((SUM(BZ42:CI42)*1000000)/(SUM(AR42:BA42)*1000),"")</f>
        <v>3662.2548596559627</v>
      </c>
      <c r="BZ42" s="663"/>
      <c r="CA42" s="663"/>
      <c r="CB42" s="663"/>
      <c r="CC42" s="663"/>
      <c r="CD42" s="1646">
        <f>_xlfn.XLOOKUP($D42,TalTech!$B$4:$B$46,TalTech!BM$4:BM$46)</f>
        <v>379.6875</v>
      </c>
      <c r="CE42" s="1646">
        <f>_xlfn.XLOOKUP($D42,TalTech!$B$4:$B$46,TalTech!BN$4:BN$46)</f>
        <v>387.28125</v>
      </c>
      <c r="CF42" s="1646">
        <f>_xlfn.XLOOKUP($D42,TalTech!$B$4:$B$46,TalTech!BO$4:BO$46)</f>
        <v>395.02687500000002</v>
      </c>
      <c r="CG42" s="1646">
        <f>_xlfn.XLOOKUP($D42,TalTech!$B$4:$B$46,TalTech!BP$4:BP$46)</f>
        <v>402.9274125</v>
      </c>
      <c r="CH42" s="1646">
        <f>_xlfn.XLOOKUP($D42,TalTech!$B$4:$B$46,TalTech!BQ$4:BQ$46)</f>
        <v>410.98596075</v>
      </c>
      <c r="CI42" s="1646">
        <f>_xlfn.XLOOKUP($D42,TalTech!$B$4:$B$46,TalTech!BR$4:BR$46)</f>
        <v>419.205679965</v>
      </c>
      <c r="CJ42" s="1646">
        <f>_xlfn.XLOOKUP($D42,TalTech!$B$4:$B$46,TalTech!BS$4:BS$46)</f>
        <v>427.58979356430001</v>
      </c>
      <c r="CK42" s="1646">
        <f>_xlfn.XLOOKUP($D42,TalTech!$B$4:$B$46,TalTech!BT$4:BT$46)</f>
        <v>436.14158943558601</v>
      </c>
      <c r="CL42" s="1646">
        <f>_xlfn.XLOOKUP($D42,TalTech!$B$4:$B$46,TalTech!BU$4:BU$46)</f>
        <v>444.86442122429776</v>
      </c>
      <c r="CM42" s="1646">
        <f>_xlfn.XLOOKUP($D42,TalTech!$B$4:$B$46,TalTech!BV$4:BV$46)</f>
        <v>453.76170964878372</v>
      </c>
      <c r="CN42" s="1646">
        <f>_xlfn.XLOOKUP($D42,TalTech!$B$4:$B$46,TalTech!BW$4:BW$46)</f>
        <v>462.83694384175942</v>
      </c>
      <c r="CO42" s="493">
        <f>IFERROR(AVERAGE(CC42:CN42),0)</f>
        <v>420.0281032663388</v>
      </c>
      <c r="CP42" s="660">
        <f t="shared" ref="CP42:CP86" si="127">SUM(BZ42:CI42)</f>
        <v>2395.1146782149999</v>
      </c>
      <c r="CQ42" s="1647">
        <f>_xlfn.XLOOKUP($D42,TalTech!$B$4:$B$46,TalTech!$H$4:$H$46)</f>
        <v>0</v>
      </c>
      <c r="CR42" s="1648">
        <f t="shared" ref="CR42:CR86" si="128">1-CQ42</f>
        <v>1</v>
      </c>
      <c r="CS42" s="689" t="str" cm="1">
        <f t="array" ref="CS42:CS86">IFERROR(_xlfn.XLOOKUP(D42:D86,TalTech!B:B,TalTech!D:D),"")</f>
        <v>Energy provider (billed to end user)</v>
      </c>
      <c r="CT42" s="1861">
        <f t="shared" ref="CT42:CT57" si="129">IFERROR(AVERAGE(CD42:CI42),"n/a")</f>
        <v>399.18577970249999</v>
      </c>
      <c r="CU42" s="1872"/>
      <c r="CV42" s="1870">
        <f>BH42*Assumptions!D$496</f>
        <v>0</v>
      </c>
      <c r="CW42" s="1641">
        <f>BI42*Assumptions!E$496</f>
        <v>0</v>
      </c>
      <c r="CX42" s="1641">
        <f>BJ42*Assumptions!F$496</f>
        <v>0</v>
      </c>
      <c r="CY42" s="1641">
        <f>BK42*Assumptions!G$496</f>
        <v>0</v>
      </c>
      <c r="CZ42" s="1641">
        <f>BL42*Assumptions!H$496</f>
        <v>10.111883372485183</v>
      </c>
      <c r="DA42" s="1641">
        <f>BM42*Assumptions!I$496</f>
        <v>20.818661806546785</v>
      </c>
      <c r="DB42" s="1641">
        <f>BN42*Assumptions!J$496</f>
        <v>32.14573003062835</v>
      </c>
      <c r="DC42" s="1641">
        <f>BO42*Assumptions!K$496</f>
        <v>44.121732535879268</v>
      </c>
      <c r="DD42" s="1641">
        <f>BP42*Assumptions!L$496</f>
        <v>56.775907636099156</v>
      </c>
      <c r="DE42" s="1641">
        <f>BQ42*Assumptions!M$496</f>
        <v>70.138669665950189</v>
      </c>
      <c r="DF42" s="1641">
        <f>BR42*Assumptions!N$496</f>
        <v>84.214561252066645</v>
      </c>
      <c r="DG42" s="1641">
        <f>BS42*Assumptions!O$496</f>
        <v>99.054009096889686</v>
      </c>
      <c r="DH42" s="1641">
        <f>BT42*Assumptions!P$496</f>
        <v>114.69045287407073</v>
      </c>
      <c r="DI42" s="1641">
        <f>BU42*Assumptions!Q$496</f>
        <v>131.15865143704738</v>
      </c>
      <c r="DJ42" s="1641">
        <f>BV42*Assumptions!R$496</f>
        <v>148.49473187412445</v>
      </c>
      <c r="DK42" s="1649">
        <f>BH42*Assumptions!D$503</f>
        <v>0</v>
      </c>
      <c r="DL42" s="1649">
        <f>BI42*Assumptions!E$503</f>
        <v>0</v>
      </c>
      <c r="DM42" s="1649">
        <f>BJ42*Assumptions!F$503</f>
        <v>0</v>
      </c>
      <c r="DN42" s="1649">
        <f>BK42*Assumptions!G$503</f>
        <v>0</v>
      </c>
      <c r="DO42" s="1649">
        <f>BL42*Assumptions!H$503</f>
        <v>10.654459503253895</v>
      </c>
      <c r="DP42" s="1649">
        <f>BM42*Assumptions!I$503</f>
        <v>21.919344302388573</v>
      </c>
      <c r="DQ42" s="1649">
        <f>BN42*Assumptions!J$503</f>
        <v>33.820011070814701</v>
      </c>
      <c r="DR42" s="1649">
        <f>BO42*Assumptions!K$503</f>
        <v>46.385379376104758</v>
      </c>
      <c r="DS42" s="1649">
        <f>BP42*Assumptions!L$503</f>
        <v>59.644883202528298</v>
      </c>
      <c r="DT42" s="1649">
        <f>BQ42*Assumptions!M$503</f>
        <v>73.62913160708834</v>
      </c>
      <c r="DU42" s="1649">
        <f>BR42*Assumptions!N$503</f>
        <v>88.351031555342672</v>
      </c>
      <c r="DV42" s="1649">
        <f>BS42*Assumptions!O$503</f>
        <v>103.85564722969319</v>
      </c>
      <c r="DW42" s="1649">
        <f>BT42*Assumptions!P$503</f>
        <v>120.17671814472291</v>
      </c>
      <c r="DX42" s="1649">
        <f>BU42*Assumptions!Q$503</f>
        <v>137.34930303907794</v>
      </c>
      <c r="DY42" s="1649">
        <f>BV42*Assumptions!R$503</f>
        <v>155.40982883216108</v>
      </c>
      <c r="DZ42" s="1650">
        <v>0</v>
      </c>
      <c r="EA42" s="1651">
        <f t="shared" ref="EA42:EA86" si="130">1-DZ42</f>
        <v>1</v>
      </c>
      <c r="EB42" s="1861">
        <f t="shared" ref="EB42:EB63" si="131">IFERROR(AVERAGE(CV42:DE42),"n/a")</f>
        <v>23.411258504758894</v>
      </c>
      <c r="EC42" s="1881"/>
      <c r="ED42" s="1879">
        <v>0</v>
      </c>
      <c r="EE42" s="684"/>
      <c r="EF42" s="684"/>
      <c r="EG42" s="684"/>
      <c r="EH42" s="684"/>
      <c r="EI42" s="1652">
        <f t="shared" ref="EI42:ES45" si="132">(CD42*0.32*$CR42)</f>
        <v>121.5</v>
      </c>
      <c r="EJ42" s="1652">
        <f t="shared" si="132"/>
        <v>123.93</v>
      </c>
      <c r="EK42" s="1652">
        <f t="shared" si="132"/>
        <v>126.40860000000001</v>
      </c>
      <c r="EL42" s="1652">
        <f t="shared" si="132"/>
        <v>128.93677199999999</v>
      </c>
      <c r="EM42" s="1652">
        <f t="shared" si="132"/>
        <v>131.51550743999999</v>
      </c>
      <c r="EN42" s="1652">
        <f t="shared" si="132"/>
        <v>134.14581758880001</v>
      </c>
      <c r="EO42" s="1652">
        <f t="shared" si="132"/>
        <v>136.828733940576</v>
      </c>
      <c r="EP42" s="1652">
        <f t="shared" si="132"/>
        <v>139.56530861938754</v>
      </c>
      <c r="EQ42" s="1652">
        <f t="shared" si="132"/>
        <v>142.35661479177529</v>
      </c>
      <c r="ER42" s="1652">
        <f t="shared" si="132"/>
        <v>145.20374708761079</v>
      </c>
      <c r="ES42" s="1652">
        <f t="shared" si="132"/>
        <v>148.10782202936301</v>
      </c>
      <c r="ET42" s="1653">
        <f t="shared" ref="ET42:ET86" si="133">AVERAGE(EH42:ES42)</f>
        <v>134.40899304522839</v>
      </c>
      <c r="EU42" s="1654" cm="1">
        <f t="array" ref="EU42">BH42*SUMPRODUCT($W42:$X42,TRANSPOSE(Assumptions!$D$289:$D$290))/1000</f>
        <v>0</v>
      </c>
      <c r="EV42" s="1654" cm="1">
        <f t="array" ref="EV42">BI42*SUMPRODUCT($W42:$X42,TRANSPOSE(Assumptions!$D$289:$D$290))/1000</f>
        <v>0</v>
      </c>
      <c r="EW42" s="1654" cm="1">
        <f t="array" ref="EW42">BJ42*SUMPRODUCT($W42:$X42,TRANSPOSE(Assumptions!$D$289:$D$290))/1000</f>
        <v>0</v>
      </c>
      <c r="EX42" s="1654" cm="1">
        <f t="array" ref="EX42">BK42*SUMPRODUCT($W42:$X42,TRANSPOSE(Assumptions!$D$289:$D$290))/1000</f>
        <v>0</v>
      </c>
      <c r="EY42" s="1654" cm="1">
        <f t="array" ref="EY42">BL42*SUMPRODUCT($W42:$X42,TRANSPOSE(Assumptions!$D$289:$D$290))/1000</f>
        <v>1.6099566780923797</v>
      </c>
      <c r="EZ42" s="1654" cm="1">
        <f t="array" ref="EZ42">BM42*SUMPRODUCT($W42:$X42,TRANSPOSE(Assumptions!$D$289:$D$290))/1000</f>
        <v>3.2199133561847595</v>
      </c>
      <c r="FA42" s="1654" cm="1">
        <f t="array" ref="FA42">BN42*SUMPRODUCT($W42:$X42,TRANSPOSE(Assumptions!$D$289:$D$290))/1000</f>
        <v>4.829870034277139</v>
      </c>
      <c r="FB42" s="1654" cm="1">
        <f t="array" ref="FB42">BO42*SUMPRODUCT($W42:$X42,TRANSPOSE(Assumptions!$D$289:$D$290))/1000</f>
        <v>6.439826712369519</v>
      </c>
      <c r="FC42" s="1654" cm="1">
        <f t="array" ref="FC42">BP42*SUMPRODUCT($W42:$X42,TRANSPOSE(Assumptions!$D$289:$D$290))/1000</f>
        <v>8.0497833904618989</v>
      </c>
      <c r="FD42" s="1654" cm="1">
        <f t="array" ref="FD42">BQ42*SUMPRODUCT($W42:$X42,TRANSPOSE(Assumptions!$D$289:$D$290))/1000</f>
        <v>9.659740068554278</v>
      </c>
      <c r="FE42" s="1654" cm="1">
        <f t="array" ref="FE42">BR42*SUMPRODUCT($W42:$X42,TRANSPOSE(Assumptions!$D$289:$D$290))/1000</f>
        <v>11.269696746646657</v>
      </c>
      <c r="FF42" s="1654" cm="1">
        <f t="array" ref="FF42">BS42*SUMPRODUCT($W42:$X42,TRANSPOSE(Assumptions!$D$289:$D$290))/1000</f>
        <v>12.879653424739038</v>
      </c>
      <c r="FG42" s="1654" cm="1">
        <f t="array" ref="FG42">BT42*SUMPRODUCT($W42:$X42,TRANSPOSE(Assumptions!$D$289:$D$290))/1000</f>
        <v>14.489610102831417</v>
      </c>
      <c r="FH42" s="1654" cm="1">
        <f t="array" ref="FH42">BU42*SUMPRODUCT($W42:$X42,TRANSPOSE(Assumptions!$D$289:$D$290))/1000</f>
        <v>16.099566780923798</v>
      </c>
      <c r="FI42" s="1654" cm="1">
        <f t="array" ref="FI42">BV42*SUMPRODUCT($W42:$X42,TRANSPOSE(Assumptions!$D$289:$D$290))/1000</f>
        <v>17.709523459016179</v>
      </c>
      <c r="FJ42" s="1655">
        <f t="shared" ref="FJ42" si="134">EE42-EU42</f>
        <v>0</v>
      </c>
      <c r="FK42" s="1655">
        <f t="shared" ref="FK42" si="135">EF42-EV42</f>
        <v>0</v>
      </c>
      <c r="FL42" s="1655">
        <f t="shared" ref="FL42" si="136">EG42-EW42</f>
        <v>0</v>
      </c>
      <c r="FM42" s="1655">
        <f t="shared" ref="FM42" si="137">EH42-EX42</f>
        <v>0</v>
      </c>
      <c r="FN42" s="1655">
        <f t="shared" ref="FN42" si="138">EI42-EY42</f>
        <v>119.89004332190763</v>
      </c>
      <c r="FO42" s="1655">
        <f t="shared" ref="FO42" si="139">EJ42-EZ42</f>
        <v>120.71008664381525</v>
      </c>
      <c r="FP42" s="1655">
        <f t="shared" ref="FP42" si="140">EK42-FA42</f>
        <v>121.57872996572287</v>
      </c>
      <c r="FQ42" s="1655">
        <f t="shared" ref="FQ42" si="141">EL42-FB42</f>
        <v>122.49694528763047</v>
      </c>
      <c r="FR42" s="1655">
        <f t="shared" ref="FR42" si="142">EM42-FC42</f>
        <v>123.4657240495381</v>
      </c>
      <c r="FS42" s="1655">
        <f t="shared" ref="FS42" si="143">EN42-FD42</f>
        <v>124.48607752024574</v>
      </c>
      <c r="FT42" s="1655">
        <f t="shared" ref="FT42:FT86" si="144">EO42-FE42</f>
        <v>125.55903719392934</v>
      </c>
      <c r="FU42" s="1655">
        <f t="shared" ref="FU42:FU86" si="145">EP42-FF42</f>
        <v>126.6856551946485</v>
      </c>
      <c r="FV42" s="1655">
        <f t="shared" ref="FV42:FV86" si="146">EQ42-FG42</f>
        <v>127.86700468894387</v>
      </c>
      <c r="FW42" s="1655">
        <f t="shared" ref="FW42:FW86" si="147">ER42-FH42</f>
        <v>129.104180306687</v>
      </c>
      <c r="FX42" s="1885">
        <f t="shared" ref="FX42:FX86" si="148">ES42-FI42</f>
        <v>130.39829857034684</v>
      </c>
      <c r="FY42" s="1895"/>
      <c r="FZ42" s="690"/>
      <c r="GA42" s="690"/>
      <c r="GB42" s="690"/>
      <c r="GC42" s="690"/>
      <c r="GD42" s="664">
        <f t="shared" ref="GD42:GD57" si="149">CD42*17</f>
        <v>6454.6875</v>
      </c>
      <c r="GE42" s="664">
        <f t="shared" ref="GE42:GE57" si="150">CE42*17</f>
        <v>6583.78125</v>
      </c>
      <c r="GF42" s="664">
        <f t="shared" ref="GF42:GF57" si="151">CF42*17</f>
        <v>6715.4568749999999</v>
      </c>
      <c r="GG42" s="664">
        <f t="shared" ref="GG42:GG57" si="152">CG42*17</f>
        <v>6849.7660125000002</v>
      </c>
      <c r="GH42" s="664">
        <f t="shared" ref="GH42:GH57" si="153">CH42*17</f>
        <v>6986.7613327500003</v>
      </c>
      <c r="GI42" s="664">
        <f t="shared" ref="GI42:GI57" si="154">CI42*17</f>
        <v>7126.496559405</v>
      </c>
      <c r="GJ42" s="664">
        <f t="shared" ref="GJ42:GJ57" si="155">CJ42*17</f>
        <v>7269.0264905930999</v>
      </c>
      <c r="GK42" s="664">
        <f t="shared" ref="GK42:GK57" si="156">CK42*17</f>
        <v>7414.4070204049622</v>
      </c>
      <c r="GL42" s="664">
        <f t="shared" ref="GL42:GL57" si="157">CL42*17</f>
        <v>7562.6951608130621</v>
      </c>
      <c r="GM42" s="664">
        <f t="shared" ref="GM42:GM57" si="158">CM42*17</f>
        <v>7713.9490640293234</v>
      </c>
      <c r="GN42" s="1861">
        <f t="shared" ref="GN42:GN57" si="159">CN42*17</f>
        <v>7868.2280453099102</v>
      </c>
      <c r="GO42" s="1910"/>
      <c r="GP42" s="1907">
        <f>BH42*INDEX(Assumptions!G$565:G$570,MATCH($B42,Assumptions!$B$565:$B$570,0))</f>
        <v>0</v>
      </c>
      <c r="GQ42" s="1649">
        <f>BI42*INDEX(Assumptions!H$565:H$570,MATCH($B42,Assumptions!$B$565:$B$570,0))</f>
        <v>0</v>
      </c>
      <c r="GR42" s="1649">
        <f>BJ42*INDEX(Assumptions!I$565:I$570,MATCH($B42,Assumptions!$B$565:$B$570,0))</f>
        <v>0</v>
      </c>
      <c r="GS42" s="1649">
        <f>BK42*INDEX(Assumptions!J$565:J$570,MATCH($B42,Assumptions!$B$565:$B$570,0))</f>
        <v>0</v>
      </c>
      <c r="GT42" s="1649">
        <f>BL42*INDEX(Assumptions!K$565:K$570,MATCH($B42,Assumptions!$B$565:$B$570,0))</f>
        <v>23.646252826549102</v>
      </c>
      <c r="GU42" s="1649">
        <f>BM42*INDEX(Assumptions!L$565:L$570,MATCH($B42,Assumptions!$B$565:$B$570,0))</f>
        <v>45.58624867662499</v>
      </c>
      <c r="GV42" s="1649">
        <f>BN42*INDEX(Assumptions!M$565:M$570,MATCH($B42,Assumptions!$B$565:$B$570,0))</f>
        <v>65.764071401494888</v>
      </c>
      <c r="GW42" s="1649">
        <f>BO42*INDEX(Assumptions!N$565:N$570,MATCH($B42,Assumptions!$B$565:$B$570,0))</f>
        <v>84.170441263415384</v>
      </c>
      <c r="GX42" s="1649">
        <f>BP42*INDEX(Assumptions!O$565:O$570,MATCH($B42,Assumptions!$B$565:$B$570,0))</f>
        <v>100.7842256736516</v>
      </c>
      <c r="GY42" s="1649">
        <f>BQ42*INDEX(Assumptions!P$565:P$570,MATCH($B42,Assumptions!$B$565:$B$570,0))</f>
        <v>109.88836575067957</v>
      </c>
      <c r="GZ42" s="1649">
        <f>BR42*INDEX(Assumptions!Q$565:Q$570,MATCH($B42,Assumptions!$B$565:$B$570,0))</f>
        <v>0</v>
      </c>
      <c r="HA42" s="1649">
        <f>BS42*INDEX(Assumptions!R$565:R$570,MATCH($B42,Assumptions!$B$565:$B$570,0))</f>
        <v>222.46159246498368</v>
      </c>
      <c r="HB42" s="1649">
        <f>BT42*INDEX(Assumptions!S$565:S$570,MATCH($B42,Assumptions!$B$565:$B$570,0))</f>
        <v>250.26929152310663</v>
      </c>
      <c r="HC42" s="1649">
        <f>BU42*INDEX(Assumptions!T$565:T$570,MATCH($B42,Assumptions!$B$565:$B$570,0))</f>
        <v>268.58401914821991</v>
      </c>
      <c r="HD42" s="1924">
        <f>BV42*INDEX(Assumptions!U$565:U$570,MATCH($B42,Assumptions!$B$565:$B$570,0))</f>
        <v>285.00015248673122</v>
      </c>
      <c r="HE42" s="1933"/>
      <c r="HF42" s="1929">
        <f t="shared" ref="HF42:HF57" si="160">AR42/$HV42</f>
        <v>0</v>
      </c>
      <c r="HG42" s="1656">
        <f t="shared" ref="HG42:HG57" si="161">AS42/$HV42</f>
        <v>0</v>
      </c>
      <c r="HH42" s="1656">
        <f t="shared" ref="HH42:HH57" si="162">AT42/$HV42</f>
        <v>0</v>
      </c>
      <c r="HI42" s="1656">
        <f t="shared" ref="HI42:HI57" si="163">AU42/$HV42</f>
        <v>0</v>
      </c>
      <c r="HJ42" s="1656">
        <f t="shared" ref="HJ42:HJ57" si="164">AV42/$HV42</f>
        <v>1.5797101449275361</v>
      </c>
      <c r="HK42" s="1656">
        <f t="shared" ref="HK42:HK57" si="165">AW42/$HV42</f>
        <v>1.5797101449275361</v>
      </c>
      <c r="HL42" s="1656">
        <f t="shared" ref="HL42:HL57" si="166">AX42/$HV42</f>
        <v>1.5797101449275361</v>
      </c>
      <c r="HM42" s="1656">
        <f t="shared" ref="HM42:HM57" si="167">AY42/$HV42</f>
        <v>1.5797101449275361</v>
      </c>
      <c r="HN42" s="1656">
        <f t="shared" ref="HN42:HN57" si="168">AZ42/$HV42</f>
        <v>1.5797101449275361</v>
      </c>
      <c r="HO42" s="1656">
        <f t="shared" ref="HO42:HO57" si="169">BA42/$HV42</f>
        <v>1.5797101449275361</v>
      </c>
      <c r="HP42" s="1656">
        <f t="shared" ref="HP42:HP57" si="170">BB42/$HV42</f>
        <v>1.5797101449275361</v>
      </c>
      <c r="HQ42" s="1656">
        <f t="shared" ref="HQ42:HQ57" si="171">BC42/$HV42</f>
        <v>1.5797101449275361</v>
      </c>
      <c r="HR42" s="1656">
        <f t="shared" ref="HR42:HR57" si="172">BD42/$HV42</f>
        <v>1.5797101449275361</v>
      </c>
      <c r="HS42" s="1656">
        <f t="shared" ref="HS42:HS57" si="173">BE42/$HV42</f>
        <v>1.5797101449275361</v>
      </c>
      <c r="HT42" s="1656">
        <f t="shared" ref="HT42:HT57" si="174">BF42/$HV42</f>
        <v>1.5797101449275361</v>
      </c>
      <c r="HU42" s="1657">
        <f>AVERAGE(HJ42:HT42)</f>
        <v>1.5797101449275359</v>
      </c>
      <c r="HV42" s="1658">
        <f>_xlfn.XLOOKUP(D42,TalTech!B:B,TalTech!J:J)+_xlfn.XLOOKUP(D42,TalTech!B:B,TalTech!K:K)</f>
        <v>69</v>
      </c>
      <c r="HW42" s="1938">
        <f>HJ42/(Assumptions!$I$651/1000000)</f>
        <v>3.969135427572628E-2</v>
      </c>
      <c r="HX42" s="1944"/>
      <c r="HY42" s="1942">
        <v>2025</v>
      </c>
      <c r="HZ42" s="691">
        <v>2030</v>
      </c>
      <c r="IA42" s="1659" t="s">
        <v>720</v>
      </c>
      <c r="IB42" s="1659" t="s">
        <v>721</v>
      </c>
      <c r="IC42" s="692" t="s">
        <v>567</v>
      </c>
      <c r="ID42" s="1959" t="s">
        <v>722</v>
      </c>
      <c r="IE42" s="1954"/>
      <c r="IF42" s="1962">
        <v>0</v>
      </c>
      <c r="IG42" s="1290">
        <v>1</v>
      </c>
      <c r="IH42" s="1290">
        <v>0</v>
      </c>
      <c r="II42" s="1290">
        <v>0</v>
      </c>
      <c r="IJ42" s="1290">
        <v>0</v>
      </c>
      <c r="IK42" s="1380">
        <v>0</v>
      </c>
      <c r="IL42" s="1660">
        <v>0</v>
      </c>
      <c r="IM42" s="1277" t="s">
        <v>718</v>
      </c>
    </row>
    <row r="43" spans="2:247" ht="13.5" customHeight="1" x14ac:dyDescent="0.3">
      <c r="B43" s="1703" t="s">
        <v>51</v>
      </c>
      <c r="C43" s="2113"/>
      <c r="D43" s="671" t="s">
        <v>723</v>
      </c>
      <c r="E43" s="1783" t="s">
        <v>724</v>
      </c>
      <c r="F43" s="1804"/>
      <c r="G43" s="1292"/>
      <c r="H43" s="70"/>
      <c r="I43" s="13"/>
      <c r="J43" s="70" t="s">
        <v>563</v>
      </c>
      <c r="K43" s="71" t="s">
        <v>725</v>
      </c>
      <c r="L43" s="1176" t="s">
        <v>719</v>
      </c>
      <c r="M43" s="1827"/>
      <c r="N43" s="1817"/>
      <c r="O43" s="1178">
        <v>1</v>
      </c>
      <c r="P43" s="1177"/>
      <c r="Q43" s="1177"/>
      <c r="R43" s="1177"/>
      <c r="S43" s="1445"/>
      <c r="T43" s="1445"/>
      <c r="U43" s="1445"/>
      <c r="V43" s="1445"/>
      <c r="W43" s="1445">
        <f>_xlfn.XLOOKUP(D43,TalTech!$B$4:$B$46,TalTech!$AZ$4:$AZ$46)</f>
        <v>1</v>
      </c>
      <c r="X43" s="1445">
        <f t="shared" ref="X43:X57" si="175">1-W43</f>
        <v>0</v>
      </c>
      <c r="Y43" s="1179" cm="1">
        <f t="array" ref="Y43:AC43">(TRANSPOSE(Assumptions!$E$668:$E$672)*'EE Measures'!$AD43)+(TRANSPOSE(_xlfn.ANCHORARRAY(Assumptions!$F$668))*'EE Measures'!$AE43)+(TRANSPOSE(Assumptions!$G$668:$G$672)*'EE Measures'!$AF43)</f>
        <v>0.3493177927472812</v>
      </c>
      <c r="Z43" s="1179">
        <v>0.13834389985211143</v>
      </c>
      <c r="AA43" s="1179">
        <v>0.10633141466937233</v>
      </c>
      <c r="AB43" s="1179">
        <v>0.27963140047845425</v>
      </c>
      <c r="AC43" s="1179">
        <v>0.12637549225278072</v>
      </c>
      <c r="AD43" s="1182">
        <f>Assumptions!E$667</f>
        <v>0.43192607108744491</v>
      </c>
      <c r="AE43" s="1180">
        <f>Assumptions!F$667</f>
        <v>1.287376549487429E-2</v>
      </c>
      <c r="AF43" s="1181">
        <f>Assumptions!G$667</f>
        <v>0.55520016341768075</v>
      </c>
      <c r="AG43" s="1177"/>
      <c r="AH43" s="1178"/>
      <c r="AI43" s="1178">
        <v>1</v>
      </c>
      <c r="AJ43" s="1273">
        <v>1</v>
      </c>
      <c r="AK43" s="1417">
        <f t="shared" ref="AK43:AK86" si="176">AL43+AM43</f>
        <v>0</v>
      </c>
      <c r="AL43" s="1177"/>
      <c r="AM43" s="1177"/>
      <c r="AN43" s="1177"/>
      <c r="AO43" s="1221"/>
      <c r="AP43" s="1846"/>
      <c r="AQ43" s="1841">
        <v>55.3125</v>
      </c>
      <c r="AR43" s="663"/>
      <c r="AS43" s="663"/>
      <c r="AT43" s="663"/>
      <c r="AU43" s="663"/>
      <c r="AV43" s="659">
        <f>_xlfn.XLOOKUP($D43,TalTech!$B$4:$B$46,TalTech!BB$4:BB$46)</f>
        <v>55.3125</v>
      </c>
      <c r="AW43" s="659">
        <f>_xlfn.XLOOKUP($D43,TalTech!$B$4:$B$46,TalTech!BC$4:BC$46)</f>
        <v>55.3125</v>
      </c>
      <c r="AX43" s="659">
        <f>_xlfn.XLOOKUP($D43,TalTech!$B$4:$B$46,TalTech!BD$4:BD$46)</f>
        <v>55.3125</v>
      </c>
      <c r="AY43" s="659">
        <f>_xlfn.XLOOKUP($D43,TalTech!$B$4:$B$46,TalTech!BE$4:BE$46)</f>
        <v>55.3125</v>
      </c>
      <c r="AZ43" s="659">
        <f>_xlfn.XLOOKUP($D43,TalTech!$B$4:$B$46,TalTech!BF$4:BF$46)</f>
        <v>55.3125</v>
      </c>
      <c r="BA43" s="659">
        <f>_xlfn.XLOOKUP($D43,TalTech!$B$4:$B$46,TalTech!BG$4:BG$46)</f>
        <v>55.3125</v>
      </c>
      <c r="BB43" s="659">
        <f>_xlfn.XLOOKUP($D43,TalTech!$B$4:$B$46,TalTech!BH$4:BH$46)</f>
        <v>55.3125</v>
      </c>
      <c r="BC43" s="659">
        <f>_xlfn.XLOOKUP($D43,TalTech!$B$4:$B$46,TalTech!BI$4:BI$46)</f>
        <v>55.3125</v>
      </c>
      <c r="BD43" s="659">
        <f>_xlfn.XLOOKUP($D43,TalTech!$B$4:$B$46,TalTech!BJ$4:BJ$46)</f>
        <v>55.3125</v>
      </c>
      <c r="BE43" s="659">
        <f>_xlfn.XLOOKUP($D43,TalTech!$B$4:$B$46,TalTech!BK$4:BK$46)</f>
        <v>55.3125</v>
      </c>
      <c r="BF43" s="659">
        <f>_xlfn.XLOOKUP($D43,TalTech!$B$4:$B$46,TalTech!BL$4:BL$46)</f>
        <v>55.3125</v>
      </c>
      <c r="BG43" s="501">
        <f t="shared" ref="BG43:BG86" si="177">IFERROR(AVERAGE(AU43:BF43),0)</f>
        <v>55.3125</v>
      </c>
      <c r="BH43" s="893">
        <f t="shared" si="111"/>
        <v>0</v>
      </c>
      <c r="BI43" s="658">
        <f t="shared" si="112"/>
        <v>0</v>
      </c>
      <c r="BJ43" s="658">
        <f t="shared" si="113"/>
        <v>0</v>
      </c>
      <c r="BK43" s="658">
        <f t="shared" si="114"/>
        <v>0</v>
      </c>
      <c r="BL43" s="658">
        <f t="shared" si="115"/>
        <v>55.3125</v>
      </c>
      <c r="BM43" s="658">
        <f t="shared" si="116"/>
        <v>110.625</v>
      </c>
      <c r="BN43" s="658">
        <f t="shared" si="117"/>
        <v>165.9375</v>
      </c>
      <c r="BO43" s="658">
        <f t="shared" si="118"/>
        <v>221.25</v>
      </c>
      <c r="BP43" s="658">
        <f t="shared" si="119"/>
        <v>276.5625</v>
      </c>
      <c r="BQ43" s="658">
        <f t="shared" si="120"/>
        <v>331.875</v>
      </c>
      <c r="BR43" s="658">
        <f t="shared" si="121"/>
        <v>387.1875</v>
      </c>
      <c r="BS43" s="658">
        <f t="shared" si="122"/>
        <v>442.5</v>
      </c>
      <c r="BT43" s="658">
        <f t="shared" si="123"/>
        <v>497.8125</v>
      </c>
      <c r="BU43" s="658">
        <f t="shared" si="124"/>
        <v>553.125</v>
      </c>
      <c r="BV43" s="1851">
        <f t="shared" si="125"/>
        <v>608.4375</v>
      </c>
      <c r="BW43" s="1661"/>
      <c r="BX43" s="1855">
        <v>2128.9908250799999</v>
      </c>
      <c r="BY43" s="1192">
        <f t="shared" si="126"/>
        <v>6415.038267661017</v>
      </c>
      <c r="BZ43" s="663"/>
      <c r="CA43" s="663"/>
      <c r="CB43" s="663"/>
      <c r="CC43" s="663"/>
      <c r="CD43" s="675">
        <f>_xlfn.XLOOKUP($D43,TalTech!$B$4:$B$46,TalTech!BM$4:BM$46)</f>
        <v>337.5</v>
      </c>
      <c r="CE43" s="675">
        <f>_xlfn.XLOOKUP($D43,TalTech!$B$4:$B$46,TalTech!BN$4:BN$46)</f>
        <v>344.25</v>
      </c>
      <c r="CF43" s="675">
        <f>_xlfn.XLOOKUP($D43,TalTech!$B$4:$B$46,TalTech!BO$4:BO$46)</f>
        <v>351.13499999999999</v>
      </c>
      <c r="CG43" s="675">
        <f>_xlfn.XLOOKUP($D43,TalTech!$B$4:$B$46,TalTech!BP$4:BP$46)</f>
        <v>358.15769999999998</v>
      </c>
      <c r="CH43" s="675">
        <f>_xlfn.XLOOKUP($D43,TalTech!$B$4:$B$46,TalTech!BQ$4:BQ$46)</f>
        <v>365.320854</v>
      </c>
      <c r="CI43" s="675">
        <f>_xlfn.XLOOKUP($D43,TalTech!$B$4:$B$46,TalTech!BR$4:BR$46)</f>
        <v>372.62727108000001</v>
      </c>
      <c r="CJ43" s="675">
        <f>_xlfn.XLOOKUP($D43,TalTech!$B$4:$B$46,TalTech!BS$4:BS$46)</f>
        <v>380.07981650160002</v>
      </c>
      <c r="CK43" s="675">
        <f>_xlfn.XLOOKUP($D43,TalTech!$B$4:$B$46,TalTech!BT$4:BT$46)</f>
        <v>387.68141283163203</v>
      </c>
      <c r="CL43" s="675">
        <f>_xlfn.XLOOKUP($D43,TalTech!$B$4:$B$46,TalTech!BU$4:BU$46)</f>
        <v>395.43504108826465</v>
      </c>
      <c r="CM43" s="675">
        <f>_xlfn.XLOOKUP($D43,TalTech!$B$4:$B$46,TalTech!BV$4:BV$46)</f>
        <v>403.34374191002996</v>
      </c>
      <c r="CN43" s="675">
        <f>_xlfn.XLOOKUP($D43,TalTech!$B$4:$B$46,TalTech!BW$4:BW$46)</f>
        <v>411.41061674823055</v>
      </c>
      <c r="CO43" s="493">
        <f t="shared" ref="CO43:CO86" si="178">IFERROR(AVERAGE(CC43:CN43),0)</f>
        <v>373.35831401452339</v>
      </c>
      <c r="CP43" s="660">
        <f t="shared" si="127"/>
        <v>2128.9908250799999</v>
      </c>
      <c r="CQ43" s="1193">
        <f>_xlfn.XLOOKUP($D43,TalTech!$B$4:$B$46,TalTech!$H$4:$H$46)</f>
        <v>0</v>
      </c>
      <c r="CR43" s="662">
        <f t="shared" si="128"/>
        <v>1</v>
      </c>
      <c r="CS43" s="685" t="str">
        <v>Building owner</v>
      </c>
      <c r="CT43" s="1862">
        <f t="shared" si="129"/>
        <v>354.83180418000001</v>
      </c>
      <c r="CU43" s="1872"/>
      <c r="CV43" s="1865">
        <f>BH43*Assumptions!D$496</f>
        <v>0</v>
      </c>
      <c r="CW43" s="659">
        <f>BI43*Assumptions!E$496</f>
        <v>0</v>
      </c>
      <c r="CX43" s="659">
        <f>BJ43*Assumptions!F$496</f>
        <v>0</v>
      </c>
      <c r="CY43" s="659">
        <f>BK43*Assumptions!G$496</f>
        <v>0</v>
      </c>
      <c r="CZ43" s="659">
        <f>BL43*Assumptions!H$496</f>
        <v>5.1313169636751077</v>
      </c>
      <c r="DA43" s="659">
        <f>BM43*Assumptions!I$496</f>
        <v>10.564515882335954</v>
      </c>
      <c r="DB43" s="659">
        <f>BN43*Assumptions!J$496</f>
        <v>16.31248341577184</v>
      </c>
      <c r="DC43" s="659">
        <f>BO43*Assumptions!K$496</f>
        <v>22.389755329273598</v>
      </c>
      <c r="DD43" s="659">
        <f>BP43*Assumptions!L$496</f>
        <v>28.811168725887473</v>
      </c>
      <c r="DE43" s="659">
        <f>BQ43*Assumptions!M$496</f>
        <v>35.592157485301563</v>
      </c>
      <c r="DF43" s="659">
        <f>BR43*Assumptions!N$496</f>
        <v>42.73502678215538</v>
      </c>
      <c r="DG43" s="659">
        <f>BS43*Assumptions!O$496</f>
        <v>50.265365854786339</v>
      </c>
      <c r="DH43" s="659">
        <f>BT43*Assumptions!P$496</f>
        <v>58.20014380364254</v>
      </c>
      <c r="DI43" s="659">
        <f>BU43*Assumptions!Q$496</f>
        <v>66.556999152400763</v>
      </c>
      <c r="DJ43" s="659">
        <f>BV43*Assumptions!R$496</f>
        <v>75.3542647411698</v>
      </c>
      <c r="DK43" s="656">
        <f>BH43*Assumptions!D$503</f>
        <v>0</v>
      </c>
      <c r="DL43" s="656">
        <f>BI43*Assumptions!E$503</f>
        <v>0</v>
      </c>
      <c r="DM43" s="656">
        <f>BJ43*Assumptions!F$503</f>
        <v>0</v>
      </c>
      <c r="DN43" s="656">
        <f>BK43*Assumptions!G$503</f>
        <v>0</v>
      </c>
      <c r="DO43" s="656">
        <f>BL43*Assumptions!H$503</f>
        <v>5.4066494612268903</v>
      </c>
      <c r="DP43" s="656">
        <f>BM43*Assumptions!I$503</f>
        <v>11.123061758952916</v>
      </c>
      <c r="DQ43" s="656">
        <f>BN43*Assumptions!J$503</f>
        <v>17.162104241783837</v>
      </c>
      <c r="DR43" s="656">
        <f>BO43*Assumptions!K$503</f>
        <v>23.538452263677012</v>
      </c>
      <c r="DS43" s="656">
        <f>BP43*Assumptions!L$503</f>
        <v>30.267042221466482</v>
      </c>
      <c r="DT43" s="656">
        <f>BQ43*Assumptions!M$503</f>
        <v>37.363406807496091</v>
      </c>
      <c r="DU43" s="656">
        <f>BR43*Assumptions!N$503</f>
        <v>44.834095714723773</v>
      </c>
      <c r="DV43" s="656">
        <f>BS43*Assumptions!O$503</f>
        <v>52.701976948554169</v>
      </c>
      <c r="DW43" s="656">
        <f>BT43*Assumptions!P$503</f>
        <v>60.984171764954006</v>
      </c>
      <c r="DX43" s="656">
        <f>BU43*Assumptions!Q$503</f>
        <v>69.69847086558714</v>
      </c>
      <c r="DY43" s="656">
        <f>BV43*Assumptions!R$503</f>
        <v>78.863359241090919</v>
      </c>
      <c r="DZ43" s="678">
        <v>0</v>
      </c>
      <c r="EA43" s="661">
        <f t="shared" si="130"/>
        <v>1</v>
      </c>
      <c r="EB43" s="1861">
        <f t="shared" si="131"/>
        <v>11.880139780224553</v>
      </c>
      <c r="EC43" s="1881"/>
      <c r="ED43" s="1877">
        <v>0</v>
      </c>
      <c r="EE43" s="684"/>
      <c r="EF43" s="684"/>
      <c r="EG43" s="684"/>
      <c r="EH43" s="684"/>
      <c r="EI43" s="665">
        <f t="shared" si="132"/>
        <v>108</v>
      </c>
      <c r="EJ43" s="665">
        <f t="shared" si="132"/>
        <v>110.16</v>
      </c>
      <c r="EK43" s="665">
        <f t="shared" si="132"/>
        <v>112.36320000000001</v>
      </c>
      <c r="EL43" s="665">
        <f t="shared" si="132"/>
        <v>114.61046399999999</v>
      </c>
      <c r="EM43" s="665">
        <f t="shared" si="132"/>
        <v>116.90267328</v>
      </c>
      <c r="EN43" s="665">
        <f t="shared" si="132"/>
        <v>119.2407267456</v>
      </c>
      <c r="EO43" s="665">
        <f t="shared" si="132"/>
        <v>121.62554128051201</v>
      </c>
      <c r="EP43" s="665">
        <f t="shared" si="132"/>
        <v>124.05805210612225</v>
      </c>
      <c r="EQ43" s="665">
        <f t="shared" si="132"/>
        <v>126.5392131482447</v>
      </c>
      <c r="ER43" s="665">
        <f t="shared" si="132"/>
        <v>129.06999741120958</v>
      </c>
      <c r="ES43" s="665">
        <f t="shared" si="132"/>
        <v>131.65139735943379</v>
      </c>
      <c r="ET43" s="541">
        <f t="shared" si="133"/>
        <v>119.47466048464749</v>
      </c>
      <c r="EU43" s="479" cm="1">
        <f t="array" ref="EU43">BH43*SUMPRODUCT($W43:$X43,TRANSPOSE(Assumptions!$D$289:$D$290))/1000</f>
        <v>0</v>
      </c>
      <c r="EV43" s="479" cm="1">
        <f t="array" ref="EV43">BI43*SUMPRODUCT($W43:$X43,TRANSPOSE(Assumptions!$D$289:$D$290))/1000</f>
        <v>0</v>
      </c>
      <c r="EW43" s="479" cm="1">
        <f t="array" ref="EW43">BJ43*SUMPRODUCT($W43:$X43,TRANSPOSE(Assumptions!$D$289:$D$290))/1000</f>
        <v>0</v>
      </c>
      <c r="EX43" s="479" cm="1">
        <f t="array" ref="EX43">BK43*SUMPRODUCT($W43:$X43,TRANSPOSE(Assumptions!$D$289:$D$290))/1000</f>
        <v>0</v>
      </c>
      <c r="EY43" s="479" cm="1">
        <f t="array" ref="EY43">BL43*SUMPRODUCT($W43:$X43,TRANSPOSE(Assumptions!$D$289:$D$290))/1000</f>
        <v>0.78673837507760835</v>
      </c>
      <c r="EZ43" s="479" cm="1">
        <f t="array" ref="EZ43">BM43*SUMPRODUCT($W43:$X43,TRANSPOSE(Assumptions!$D$289:$D$290))/1000</f>
        <v>1.5734767501552167</v>
      </c>
      <c r="FA43" s="479" cm="1">
        <f t="array" ref="FA43">BN43*SUMPRODUCT($W43:$X43,TRANSPOSE(Assumptions!$D$289:$D$290))/1000</f>
        <v>2.3602151252328252</v>
      </c>
      <c r="FB43" s="479" cm="1">
        <f t="array" ref="FB43">BO43*SUMPRODUCT($W43:$X43,TRANSPOSE(Assumptions!$D$289:$D$290))/1000</f>
        <v>3.1469535003104334</v>
      </c>
      <c r="FC43" s="479" cm="1">
        <f t="array" ref="FC43">BP43*SUMPRODUCT($W43:$X43,TRANSPOSE(Assumptions!$D$289:$D$290))/1000</f>
        <v>3.9336918753880417</v>
      </c>
      <c r="FD43" s="479" cm="1">
        <f t="array" ref="FD43">BQ43*SUMPRODUCT($W43:$X43,TRANSPOSE(Assumptions!$D$289:$D$290))/1000</f>
        <v>4.7204302504656503</v>
      </c>
      <c r="FE43" s="479" cm="1">
        <f t="array" ref="FE43">BR43*SUMPRODUCT($W43:$X43,TRANSPOSE(Assumptions!$D$289:$D$290))/1000</f>
        <v>5.507168625543259</v>
      </c>
      <c r="FF43" s="479" cm="1">
        <f t="array" ref="FF43">BS43*SUMPRODUCT($W43:$X43,TRANSPOSE(Assumptions!$D$289:$D$290))/1000</f>
        <v>6.2939070006208668</v>
      </c>
      <c r="FG43" s="479" cm="1">
        <f t="array" ref="FG43">BT43*SUMPRODUCT($W43:$X43,TRANSPOSE(Assumptions!$D$289:$D$290))/1000</f>
        <v>7.0806453756984755</v>
      </c>
      <c r="FH43" s="479" cm="1">
        <f t="array" ref="FH43">BU43*SUMPRODUCT($W43:$X43,TRANSPOSE(Assumptions!$D$289:$D$290))/1000</f>
        <v>7.8673837507760833</v>
      </c>
      <c r="FI43" s="479" cm="1">
        <f t="array" ref="FI43">BV43*SUMPRODUCT($W43:$X43,TRANSPOSE(Assumptions!$D$289:$D$290))/1000</f>
        <v>8.6541221258536911</v>
      </c>
      <c r="FJ43" s="666">
        <f t="shared" ref="FJ43:FJ56" si="179">EE43-EU43</f>
        <v>0</v>
      </c>
      <c r="FK43" s="666">
        <f t="shared" ref="FK43:FK56" si="180">EF43-EV43</f>
        <v>0</v>
      </c>
      <c r="FL43" s="666">
        <f t="shared" ref="FL43:FL56" si="181">EG43-EW43</f>
        <v>0</v>
      </c>
      <c r="FM43" s="666">
        <f t="shared" ref="FM43:FM56" si="182">EH43-EX43</f>
        <v>0</v>
      </c>
      <c r="FN43" s="666">
        <f t="shared" ref="FN43:FN56" si="183">EI43-EY43</f>
        <v>107.2132616249224</v>
      </c>
      <c r="FO43" s="666">
        <f t="shared" ref="FO43:FO56" si="184">EJ43-EZ43</f>
        <v>108.58652324984477</v>
      </c>
      <c r="FP43" s="666">
        <f t="shared" ref="FP43:FP56" si="185">EK43-FA43</f>
        <v>110.00298487476718</v>
      </c>
      <c r="FQ43" s="666">
        <f t="shared" ref="FQ43:FQ56" si="186">EL43-FB43</f>
        <v>111.46351049968956</v>
      </c>
      <c r="FR43" s="666">
        <f t="shared" ref="FR43:FR56" si="187">EM43-FC43</f>
        <v>112.96898140461197</v>
      </c>
      <c r="FS43" s="666">
        <f t="shared" ref="FS43:FS56" si="188">EN43-FD43</f>
        <v>114.52029649513435</v>
      </c>
      <c r="FT43" s="666">
        <f t="shared" si="144"/>
        <v>116.11837265496875</v>
      </c>
      <c r="FU43" s="666">
        <f t="shared" si="145"/>
        <v>117.76414510550138</v>
      </c>
      <c r="FV43" s="666">
        <f t="shared" si="146"/>
        <v>119.45856777254622</v>
      </c>
      <c r="FW43" s="666">
        <f t="shared" si="147"/>
        <v>121.2026136604335</v>
      </c>
      <c r="FX43" s="1883">
        <f t="shared" si="148"/>
        <v>122.9972752335801</v>
      </c>
      <c r="FY43" s="1895"/>
      <c r="FZ43" s="690"/>
      <c r="GA43" s="690"/>
      <c r="GB43" s="690"/>
      <c r="GC43" s="690"/>
      <c r="GD43" s="664">
        <f t="shared" si="149"/>
        <v>5737.5</v>
      </c>
      <c r="GE43" s="664">
        <f t="shared" si="150"/>
        <v>5852.25</v>
      </c>
      <c r="GF43" s="664">
        <f t="shared" si="151"/>
        <v>5969.2950000000001</v>
      </c>
      <c r="GG43" s="664">
        <f t="shared" si="152"/>
        <v>6088.6808999999994</v>
      </c>
      <c r="GH43" s="664">
        <f t="shared" si="153"/>
        <v>6210.4545179999996</v>
      </c>
      <c r="GI43" s="664">
        <f t="shared" si="154"/>
        <v>6334.6636083600006</v>
      </c>
      <c r="GJ43" s="664">
        <f t="shared" si="155"/>
        <v>6461.3568805272007</v>
      </c>
      <c r="GK43" s="664">
        <f t="shared" si="156"/>
        <v>6590.5840181377444</v>
      </c>
      <c r="GL43" s="664">
        <f t="shared" si="157"/>
        <v>6722.3956985004988</v>
      </c>
      <c r="GM43" s="664">
        <f t="shared" si="158"/>
        <v>6856.8436124705095</v>
      </c>
      <c r="GN43" s="1861">
        <f t="shared" si="159"/>
        <v>6993.9804847199193</v>
      </c>
      <c r="GO43" s="1910"/>
      <c r="GP43" s="1868">
        <f>BH43*INDEX(Assumptions!G$565:G$570,MATCH($B43,Assumptions!$B$565:$B$570,0))</f>
        <v>0</v>
      </c>
      <c r="GQ43" s="656">
        <f>BI43*INDEX(Assumptions!H$565:H$570,MATCH($B43,Assumptions!$B$565:$B$570,0))</f>
        <v>0</v>
      </c>
      <c r="GR43" s="656">
        <f>BJ43*INDEX(Assumptions!I$565:I$570,MATCH($B43,Assumptions!$B$565:$B$570,0))</f>
        <v>0</v>
      </c>
      <c r="GS43" s="656">
        <f>BK43*INDEX(Assumptions!J$565:J$570,MATCH($B43,Assumptions!$B$565:$B$570,0))</f>
        <v>0</v>
      </c>
      <c r="GT43" s="656">
        <f>BL43*INDEX(Assumptions!K$565:K$570,MATCH($B43,Assumptions!$B$565:$B$570,0))</f>
        <v>11.999388618977038</v>
      </c>
      <c r="GU43" s="656">
        <f>BM43*INDEX(Assumptions!L$565:L$570,MATCH($B43,Assumptions!$B$565:$B$570,0))</f>
        <v>23.132930091062569</v>
      </c>
      <c r="GV43" s="656">
        <f>BN43*INDEX(Assumptions!M$565:M$570,MATCH($B43,Assumptions!$B$565:$B$570,0))</f>
        <v>33.372249535735655</v>
      </c>
      <c r="GW43" s="656">
        <f>BO43*INDEX(Assumptions!N$565:N$570,MATCH($B43,Assumptions!$B$565:$B$570,0))</f>
        <v>42.712637911767551</v>
      </c>
      <c r="GX43" s="656">
        <f>BP43*INDEX(Assumptions!O$565:O$570,MATCH($B43,Assumptions!$B$565:$B$570,0))</f>
        <v>51.143371399760134</v>
      </c>
      <c r="GY43" s="656">
        <f>BQ43*INDEX(Assumptions!P$565:P$570,MATCH($B43,Assumptions!$B$565:$B$570,0))</f>
        <v>55.763304867747372</v>
      </c>
      <c r="GZ43" s="656">
        <f>BR43*INDEX(Assumptions!Q$565:Q$570,MATCH($B43,Assumptions!$B$565:$B$570,0))</f>
        <v>0</v>
      </c>
      <c r="HA43" s="656">
        <f>BS43*INDEX(Assumptions!R$565:R$570,MATCH($B43,Assumptions!$B$565:$B$570,0))</f>
        <v>112.88905351577441</v>
      </c>
      <c r="HB43" s="656">
        <f>BT43*INDEX(Assumptions!S$565:S$570,MATCH($B43,Assumptions!$B$565:$B$570,0))</f>
        <v>127.0001852052462</v>
      </c>
      <c r="HC43" s="656">
        <f>BU43*INDEX(Assumptions!T$565:T$570,MATCH($B43,Assumptions!$B$565:$B$570,0))</f>
        <v>136.29406934987077</v>
      </c>
      <c r="HD43" s="1922">
        <f>BV43*INDEX(Assumptions!U$565:U$570,MATCH($B43,Assumptions!$B$565:$B$570,0))</f>
        <v>144.62450398552588</v>
      </c>
      <c r="HE43" s="1933"/>
      <c r="HF43" s="1930">
        <f t="shared" si="160"/>
        <v>0</v>
      </c>
      <c r="HG43" s="869">
        <f t="shared" si="161"/>
        <v>0</v>
      </c>
      <c r="HH43" s="869">
        <f t="shared" si="162"/>
        <v>0</v>
      </c>
      <c r="HI43" s="869">
        <f t="shared" si="163"/>
        <v>0</v>
      </c>
      <c r="HJ43" s="869">
        <f t="shared" si="164"/>
        <v>0.9375</v>
      </c>
      <c r="HK43" s="869">
        <f t="shared" si="165"/>
        <v>0.9375</v>
      </c>
      <c r="HL43" s="869">
        <f t="shared" si="166"/>
        <v>0.9375</v>
      </c>
      <c r="HM43" s="869">
        <f t="shared" si="167"/>
        <v>0.9375</v>
      </c>
      <c r="HN43" s="869">
        <f t="shared" si="168"/>
        <v>0.9375</v>
      </c>
      <c r="HO43" s="869">
        <f t="shared" si="169"/>
        <v>0.9375</v>
      </c>
      <c r="HP43" s="869">
        <f t="shared" si="170"/>
        <v>0.9375</v>
      </c>
      <c r="HQ43" s="869">
        <f t="shared" si="171"/>
        <v>0.9375</v>
      </c>
      <c r="HR43" s="869">
        <f t="shared" si="172"/>
        <v>0.9375</v>
      </c>
      <c r="HS43" s="869">
        <f t="shared" si="173"/>
        <v>0.9375</v>
      </c>
      <c r="HT43" s="869">
        <f t="shared" si="174"/>
        <v>0.9375</v>
      </c>
      <c r="HU43" s="528">
        <f t="shared" ref="HU43:HU57" si="189">AVERAGE(HJ43:HT43)</f>
        <v>0.9375</v>
      </c>
      <c r="HV43" s="499">
        <f>_xlfn.XLOOKUP(D43,TalTech!B:B,TalTech!J:J)+_xlfn.XLOOKUP(D43,TalTech!B:B,TalTech!K:K)</f>
        <v>59</v>
      </c>
      <c r="HW43" s="1936">
        <f>HJ43/(Assumptions!$I$651/1000000)</f>
        <v>2.3555362199183891E-2</v>
      </c>
      <c r="HX43" s="1944"/>
      <c r="HY43" s="1942">
        <v>2025</v>
      </c>
      <c r="HZ43" s="691">
        <v>2030</v>
      </c>
      <c r="IA43" s="683" t="s">
        <v>726</v>
      </c>
      <c r="IB43" s="683" t="s">
        <v>727</v>
      </c>
      <c r="IC43" s="694" t="s">
        <v>567</v>
      </c>
      <c r="ID43" s="1372" t="s">
        <v>728</v>
      </c>
      <c r="IE43" s="1954"/>
      <c r="IF43" s="1963">
        <v>0</v>
      </c>
      <c r="IG43" s="538">
        <v>1</v>
      </c>
      <c r="IH43" s="538">
        <v>1</v>
      </c>
      <c r="II43" s="538">
        <v>0</v>
      </c>
      <c r="IJ43" s="538">
        <v>1</v>
      </c>
      <c r="IK43" s="1276">
        <v>1</v>
      </c>
      <c r="IL43" s="1280">
        <v>1</v>
      </c>
      <c r="IM43" s="1278" t="s">
        <v>724</v>
      </c>
    </row>
    <row r="44" spans="2:247" ht="13.5" customHeight="1" x14ac:dyDescent="0.3">
      <c r="B44" s="1703" t="s">
        <v>51</v>
      </c>
      <c r="C44" s="2113"/>
      <c r="D44" s="671" t="s">
        <v>729</v>
      </c>
      <c r="E44" s="1783" t="s">
        <v>730</v>
      </c>
      <c r="F44" s="1804"/>
      <c r="G44" s="1292"/>
      <c r="H44" s="70"/>
      <c r="I44" s="13"/>
      <c r="J44" s="70" t="s">
        <v>563</v>
      </c>
      <c r="K44" s="71" t="s">
        <v>725</v>
      </c>
      <c r="L44" s="1176" t="s">
        <v>719</v>
      </c>
      <c r="M44" s="1827"/>
      <c r="N44" s="1817"/>
      <c r="O44" s="1178">
        <v>1</v>
      </c>
      <c r="P44" s="1177"/>
      <c r="Q44" s="1177"/>
      <c r="R44" s="1177"/>
      <c r="S44" s="1445"/>
      <c r="T44" s="1445"/>
      <c r="U44" s="1445"/>
      <c r="V44" s="1445"/>
      <c r="W44" s="1445">
        <f>_xlfn.XLOOKUP(D44,TalTech!$B$4:$B$46,TalTech!$AZ$4:$AZ$46)</f>
        <v>1</v>
      </c>
      <c r="X44" s="1445">
        <f t="shared" si="175"/>
        <v>0</v>
      </c>
      <c r="Y44" s="1179" cm="1">
        <f t="array" ref="Y44:AC44">(TRANSPOSE(Assumptions!$E$668:$E$672)*'EE Measures'!$AD44)+(TRANSPOSE(_xlfn.ANCHORARRAY(Assumptions!$F$668))*'EE Measures'!$AE44)+(TRANSPOSE(Assumptions!$G$668:$G$672)*'EE Measures'!$AF44)</f>
        <v>0.3493177927472812</v>
      </c>
      <c r="Z44" s="1179">
        <v>0.13834389985211143</v>
      </c>
      <c r="AA44" s="1179">
        <v>0.10633141466937233</v>
      </c>
      <c r="AB44" s="1179">
        <v>0.27963140047845425</v>
      </c>
      <c r="AC44" s="1179">
        <v>0.12637549225278072</v>
      </c>
      <c r="AD44" s="1182">
        <f>Assumptions!E$667</f>
        <v>0.43192607108744491</v>
      </c>
      <c r="AE44" s="1180">
        <f>Assumptions!F$667</f>
        <v>1.287376549487429E-2</v>
      </c>
      <c r="AF44" s="1181">
        <f>Assumptions!G$667</f>
        <v>0.55520016341768075</v>
      </c>
      <c r="AG44" s="1177"/>
      <c r="AH44" s="1178"/>
      <c r="AI44" s="1178">
        <v>1</v>
      </c>
      <c r="AJ44" s="1273">
        <v>1</v>
      </c>
      <c r="AK44" s="1417">
        <f t="shared" si="176"/>
        <v>0</v>
      </c>
      <c r="AL44" s="1177"/>
      <c r="AM44" s="1177"/>
      <c r="AN44" s="1177"/>
      <c r="AO44" s="1221"/>
      <c r="AP44" s="1846"/>
      <c r="AQ44" s="1841">
        <v>181.609375</v>
      </c>
      <c r="AR44" s="663"/>
      <c r="AS44" s="663"/>
      <c r="AT44" s="663"/>
      <c r="AU44" s="663"/>
      <c r="AV44" s="659">
        <f>_xlfn.XLOOKUP($D44,TalTech!$B$4:$B$46,TalTech!BB$4:BB$46)</f>
        <v>181.609375</v>
      </c>
      <c r="AW44" s="659">
        <f>_xlfn.XLOOKUP($D44,TalTech!$B$4:$B$46,TalTech!BC$4:BC$46)</f>
        <v>181.609375</v>
      </c>
      <c r="AX44" s="659">
        <f>_xlfn.XLOOKUP($D44,TalTech!$B$4:$B$46,TalTech!BD$4:BD$46)</f>
        <v>181.609375</v>
      </c>
      <c r="AY44" s="659">
        <f>_xlfn.XLOOKUP($D44,TalTech!$B$4:$B$46,TalTech!BE$4:BE$46)</f>
        <v>181.609375</v>
      </c>
      <c r="AZ44" s="659">
        <f>_xlfn.XLOOKUP($D44,TalTech!$B$4:$B$46,TalTech!BF$4:BF$46)</f>
        <v>181.609375</v>
      </c>
      <c r="BA44" s="659">
        <f>_xlfn.XLOOKUP($D44,TalTech!$B$4:$B$46,TalTech!BG$4:BG$46)</f>
        <v>181.609375</v>
      </c>
      <c r="BB44" s="659">
        <f>_xlfn.XLOOKUP($D44,TalTech!$B$4:$B$46,TalTech!BH$4:BH$46)</f>
        <v>181.609375</v>
      </c>
      <c r="BC44" s="659">
        <f>_xlfn.XLOOKUP($D44,TalTech!$B$4:$B$46,TalTech!BI$4:BI$46)</f>
        <v>181.609375</v>
      </c>
      <c r="BD44" s="659">
        <f>_xlfn.XLOOKUP($D44,TalTech!$B$4:$B$46,TalTech!BJ$4:BJ$46)</f>
        <v>181.609375</v>
      </c>
      <c r="BE44" s="659">
        <f>_xlfn.XLOOKUP($D44,TalTech!$B$4:$B$46,TalTech!BK$4:BK$46)</f>
        <v>181.609375</v>
      </c>
      <c r="BF44" s="659">
        <f>_xlfn.XLOOKUP($D44,TalTech!$B$4:$B$46,TalTech!BL$4:BL$46)</f>
        <v>181.609375</v>
      </c>
      <c r="BG44" s="501">
        <f t="shared" si="177"/>
        <v>181.609375</v>
      </c>
      <c r="BH44" s="893">
        <f t="shared" si="111"/>
        <v>0</v>
      </c>
      <c r="BI44" s="658">
        <f t="shared" si="112"/>
        <v>0</v>
      </c>
      <c r="BJ44" s="658">
        <f t="shared" si="113"/>
        <v>0</v>
      </c>
      <c r="BK44" s="658">
        <f t="shared" si="114"/>
        <v>0</v>
      </c>
      <c r="BL44" s="658">
        <f t="shared" si="115"/>
        <v>181.609375</v>
      </c>
      <c r="BM44" s="658">
        <f t="shared" si="116"/>
        <v>363.21875</v>
      </c>
      <c r="BN44" s="658">
        <f t="shared" si="117"/>
        <v>544.828125</v>
      </c>
      <c r="BO44" s="658">
        <f t="shared" si="118"/>
        <v>726.4375</v>
      </c>
      <c r="BP44" s="658">
        <f t="shared" si="119"/>
        <v>908.046875</v>
      </c>
      <c r="BQ44" s="658">
        <f t="shared" si="120"/>
        <v>1089.65625</v>
      </c>
      <c r="BR44" s="658">
        <f t="shared" si="121"/>
        <v>1271.265625</v>
      </c>
      <c r="BS44" s="658">
        <f t="shared" si="122"/>
        <v>1452.875</v>
      </c>
      <c r="BT44" s="658">
        <f t="shared" si="123"/>
        <v>1634.484375</v>
      </c>
      <c r="BU44" s="658">
        <f t="shared" si="124"/>
        <v>1816.09375</v>
      </c>
      <c r="BV44" s="1851">
        <f t="shared" si="125"/>
        <v>1997.703125</v>
      </c>
      <c r="BW44" s="1661"/>
      <c r="BX44" s="1855">
        <v>6990.1865423459994</v>
      </c>
      <c r="BY44" s="1192">
        <f t="shared" si="126"/>
        <v>6415.0382676610161</v>
      </c>
      <c r="BZ44" s="663"/>
      <c r="CA44" s="663"/>
      <c r="CB44" s="663"/>
      <c r="CC44" s="663"/>
      <c r="CD44" s="675">
        <f>_xlfn.XLOOKUP($D44,TalTech!$B$4:$B$46,TalTech!BM$4:BM$46)</f>
        <v>1108.125</v>
      </c>
      <c r="CE44" s="675">
        <f>_xlfn.XLOOKUP($D44,TalTech!$B$4:$B$46,TalTech!BN$4:BN$46)</f>
        <v>1130.2874999999999</v>
      </c>
      <c r="CF44" s="675">
        <f>_xlfn.XLOOKUP($D44,TalTech!$B$4:$B$46,TalTech!BO$4:BO$46)</f>
        <v>1152.8932499999999</v>
      </c>
      <c r="CG44" s="675">
        <f>_xlfn.XLOOKUP($D44,TalTech!$B$4:$B$46,TalTech!BP$4:BP$46)</f>
        <v>1175.9511149999998</v>
      </c>
      <c r="CH44" s="675">
        <f>_xlfn.XLOOKUP($D44,TalTech!$B$4:$B$46,TalTech!BQ$4:BQ$46)</f>
        <v>1199.4701372999998</v>
      </c>
      <c r="CI44" s="675">
        <f>_xlfn.XLOOKUP($D44,TalTech!$B$4:$B$46,TalTech!BR$4:BR$46)</f>
        <v>1223.4595400459998</v>
      </c>
      <c r="CJ44" s="675">
        <f>_xlfn.XLOOKUP($D44,TalTech!$B$4:$B$46,TalTech!BS$4:BS$46)</f>
        <v>1247.9287308469197</v>
      </c>
      <c r="CK44" s="675">
        <f>_xlfn.XLOOKUP($D44,TalTech!$B$4:$B$46,TalTech!BT$4:BT$46)</f>
        <v>1272.8873054638582</v>
      </c>
      <c r="CL44" s="675">
        <f>_xlfn.XLOOKUP($D44,TalTech!$B$4:$B$46,TalTech!BU$4:BU$46)</f>
        <v>1298.3450515731354</v>
      </c>
      <c r="CM44" s="675">
        <f>_xlfn.XLOOKUP($D44,TalTech!$B$4:$B$46,TalTech!BV$4:BV$46)</f>
        <v>1324.3119526045982</v>
      </c>
      <c r="CN44" s="675">
        <f>_xlfn.XLOOKUP($D44,TalTech!$B$4:$B$46,TalTech!BW$4:BW$46)</f>
        <v>1350.7981916566903</v>
      </c>
      <c r="CO44" s="493">
        <f t="shared" si="178"/>
        <v>1225.8597976810181</v>
      </c>
      <c r="CP44" s="660">
        <f t="shared" si="127"/>
        <v>6990.1865423459985</v>
      </c>
      <c r="CQ44" s="1193">
        <f>_xlfn.XLOOKUP($D44,TalTech!$B$4:$B$46,TalTech!$H$4:$H$46)</f>
        <v>0</v>
      </c>
      <c r="CR44" s="662">
        <f t="shared" si="128"/>
        <v>1</v>
      </c>
      <c r="CS44" s="685" t="str">
        <v>Homeowners</v>
      </c>
      <c r="CT44" s="1862">
        <f t="shared" si="129"/>
        <v>1165.0310903909997</v>
      </c>
      <c r="CU44" s="1872"/>
      <c r="CV44" s="1865">
        <f>BH44*Assumptions!D$496</f>
        <v>0</v>
      </c>
      <c r="CW44" s="659">
        <f>BI44*Assumptions!E$496</f>
        <v>0</v>
      </c>
      <c r="CX44" s="659">
        <f>BJ44*Assumptions!F$496</f>
        <v>0</v>
      </c>
      <c r="CY44" s="659">
        <f>BK44*Assumptions!G$496</f>
        <v>0</v>
      </c>
      <c r="CZ44" s="659">
        <f>BL44*Assumptions!H$496</f>
        <v>16.847824030733268</v>
      </c>
      <c r="DA44" s="659">
        <f>BM44*Assumptions!I$496</f>
        <v>34.686827147003051</v>
      </c>
      <c r="DB44" s="659">
        <f>BN44*Assumptions!J$496</f>
        <v>53.559320548450877</v>
      </c>
      <c r="DC44" s="659">
        <f>BO44*Assumptions!K$496</f>
        <v>73.513029997781643</v>
      </c>
      <c r="DD44" s="659">
        <f>BP44*Assumptions!L$496</f>
        <v>94.596670649997193</v>
      </c>
      <c r="DE44" s="659">
        <f>BQ44*Assumptions!M$496</f>
        <v>116.86091707674012</v>
      </c>
      <c r="DF44" s="659">
        <f>BR44*Assumptions!N$496</f>
        <v>140.31333793474349</v>
      </c>
      <c r="DG44" s="659">
        <f>BS44*Assumptions!O$496</f>
        <v>165.03795122321515</v>
      </c>
      <c r="DH44" s="659">
        <f>BT44*Assumptions!P$496</f>
        <v>191.09047215529301</v>
      </c>
      <c r="DI44" s="659">
        <f>BU44*Assumptions!Q$496</f>
        <v>218.52881388371583</v>
      </c>
      <c r="DJ44" s="659">
        <f>BV44*Assumptions!R$496</f>
        <v>247.41316923350752</v>
      </c>
      <c r="DK44" s="656">
        <f>BH44*Assumptions!D$503</f>
        <v>0</v>
      </c>
      <c r="DL44" s="656">
        <f>BI44*Assumptions!E$503</f>
        <v>0</v>
      </c>
      <c r="DM44" s="656">
        <f>BJ44*Assumptions!F$503</f>
        <v>0</v>
      </c>
      <c r="DN44" s="656">
        <f>BK44*Assumptions!G$503</f>
        <v>0</v>
      </c>
      <c r="DO44" s="656">
        <f>BL44*Assumptions!H$503</f>
        <v>17.751832397694958</v>
      </c>
      <c r="DP44" s="656">
        <f>BM44*Assumptions!I$503</f>
        <v>36.520719441895409</v>
      </c>
      <c r="DQ44" s="656">
        <f>BN44*Assumptions!J$503</f>
        <v>56.348908927190266</v>
      </c>
      <c r="DR44" s="656">
        <f>BO44*Assumptions!K$503</f>
        <v>77.28458493240619</v>
      </c>
      <c r="DS44" s="656">
        <f>BP44*Assumptions!L$503</f>
        <v>99.376788627148287</v>
      </c>
      <c r="DT44" s="656">
        <f>BQ44*Assumptions!M$503</f>
        <v>122.67651901794549</v>
      </c>
      <c r="DU44" s="656">
        <f>BR44*Assumptions!N$503</f>
        <v>147.20528093000974</v>
      </c>
      <c r="DV44" s="656">
        <f>BS44*Assumptions!O$503</f>
        <v>173.03815764775285</v>
      </c>
      <c r="DW44" s="656">
        <f>BT44*Assumptions!P$503</f>
        <v>200.23136396159899</v>
      </c>
      <c r="DX44" s="656">
        <f>BU44*Assumptions!Q$503</f>
        <v>228.84331267534444</v>
      </c>
      <c r="DY44" s="656">
        <f>BV44*Assumptions!R$503</f>
        <v>258.93469617491519</v>
      </c>
      <c r="DZ44" s="678">
        <v>0</v>
      </c>
      <c r="EA44" s="661">
        <f t="shared" si="130"/>
        <v>1</v>
      </c>
      <c r="EB44" s="1861">
        <f t="shared" si="131"/>
        <v>39.006458945070612</v>
      </c>
      <c r="EC44" s="1881"/>
      <c r="ED44" s="1877">
        <v>0</v>
      </c>
      <c r="EE44" s="684"/>
      <c r="EF44" s="684"/>
      <c r="EG44" s="684"/>
      <c r="EH44" s="684"/>
      <c r="EI44" s="665">
        <f t="shared" si="132"/>
        <v>354.6</v>
      </c>
      <c r="EJ44" s="665">
        <f t="shared" si="132"/>
        <v>361.69199999999995</v>
      </c>
      <c r="EK44" s="665">
        <f t="shared" si="132"/>
        <v>368.92583999999994</v>
      </c>
      <c r="EL44" s="665">
        <f t="shared" si="132"/>
        <v>376.30435679999994</v>
      </c>
      <c r="EM44" s="665">
        <f t="shared" si="132"/>
        <v>383.83044393599994</v>
      </c>
      <c r="EN44" s="665">
        <f t="shared" si="132"/>
        <v>391.50705281471994</v>
      </c>
      <c r="EO44" s="665">
        <f t="shared" si="132"/>
        <v>399.33719387101434</v>
      </c>
      <c r="EP44" s="665">
        <f t="shared" si="132"/>
        <v>407.32393774843462</v>
      </c>
      <c r="EQ44" s="665">
        <f t="shared" si="132"/>
        <v>415.47041650340333</v>
      </c>
      <c r="ER44" s="665">
        <f t="shared" si="132"/>
        <v>423.77982483347142</v>
      </c>
      <c r="ES44" s="665">
        <f t="shared" si="132"/>
        <v>432.2554213301409</v>
      </c>
      <c r="ET44" s="541">
        <f t="shared" si="133"/>
        <v>392.2751352579258</v>
      </c>
      <c r="EU44" s="479" cm="1">
        <f t="array" ref="EU44">BH44*SUMPRODUCT($W44:$X44,TRANSPOSE(Assumptions!$D$289:$D$290))/1000</f>
        <v>0</v>
      </c>
      <c r="EV44" s="479" cm="1">
        <f t="array" ref="EV44">BI44*SUMPRODUCT($W44:$X44,TRANSPOSE(Assumptions!$D$289:$D$290))/1000</f>
        <v>0</v>
      </c>
      <c r="EW44" s="479" cm="1">
        <f t="array" ref="EW44">BJ44*SUMPRODUCT($W44:$X44,TRANSPOSE(Assumptions!$D$289:$D$290))/1000</f>
        <v>0</v>
      </c>
      <c r="EX44" s="479" cm="1">
        <f t="array" ref="EX44">BK44*SUMPRODUCT($W44:$X44,TRANSPOSE(Assumptions!$D$289:$D$290))/1000</f>
        <v>0</v>
      </c>
      <c r="EY44" s="479" cm="1">
        <f t="array" ref="EY44">BL44*SUMPRODUCT($W44:$X44,TRANSPOSE(Assumptions!$D$289:$D$290))/1000</f>
        <v>2.583124331504814</v>
      </c>
      <c r="EZ44" s="479" cm="1">
        <f t="array" ref="EZ44">BM44*SUMPRODUCT($W44:$X44,TRANSPOSE(Assumptions!$D$289:$D$290))/1000</f>
        <v>5.166248663009628</v>
      </c>
      <c r="FA44" s="479" cm="1">
        <f t="array" ref="FA44">BN44*SUMPRODUCT($W44:$X44,TRANSPOSE(Assumptions!$D$289:$D$290))/1000</f>
        <v>7.7493729945144425</v>
      </c>
      <c r="FB44" s="479" cm="1">
        <f t="array" ref="FB44">BO44*SUMPRODUCT($W44:$X44,TRANSPOSE(Assumptions!$D$289:$D$290))/1000</f>
        <v>10.332497326019256</v>
      </c>
      <c r="FC44" s="479" cm="1">
        <f t="array" ref="FC44">BP44*SUMPRODUCT($W44:$X44,TRANSPOSE(Assumptions!$D$289:$D$290))/1000</f>
        <v>12.915621657524071</v>
      </c>
      <c r="FD44" s="479" cm="1">
        <f t="array" ref="FD44">BQ44*SUMPRODUCT($W44:$X44,TRANSPOSE(Assumptions!$D$289:$D$290))/1000</f>
        <v>15.498745989028885</v>
      </c>
      <c r="FE44" s="479" cm="1">
        <f t="array" ref="FE44">BR44*SUMPRODUCT($W44:$X44,TRANSPOSE(Assumptions!$D$289:$D$290))/1000</f>
        <v>18.081870320533699</v>
      </c>
      <c r="FF44" s="479" cm="1">
        <f t="array" ref="FF44">BS44*SUMPRODUCT($W44:$X44,TRANSPOSE(Assumptions!$D$289:$D$290))/1000</f>
        <v>20.664994652038512</v>
      </c>
      <c r="FG44" s="479" cm="1">
        <f t="array" ref="FG44">BT44*SUMPRODUCT($W44:$X44,TRANSPOSE(Assumptions!$D$289:$D$290))/1000</f>
        <v>23.248118983543328</v>
      </c>
      <c r="FH44" s="479" cm="1">
        <f t="array" ref="FH44">BU44*SUMPRODUCT($W44:$X44,TRANSPOSE(Assumptions!$D$289:$D$290))/1000</f>
        <v>25.831243315048141</v>
      </c>
      <c r="FI44" s="479" cm="1">
        <f t="array" ref="FI44">BV44*SUMPRODUCT($W44:$X44,TRANSPOSE(Assumptions!$D$289:$D$290))/1000</f>
        <v>28.414367646552957</v>
      </c>
      <c r="FJ44" s="666">
        <f t="shared" si="179"/>
        <v>0</v>
      </c>
      <c r="FK44" s="666">
        <f t="shared" si="180"/>
        <v>0</v>
      </c>
      <c r="FL44" s="666">
        <f t="shared" si="181"/>
        <v>0</v>
      </c>
      <c r="FM44" s="666">
        <f t="shared" si="182"/>
        <v>0</v>
      </c>
      <c r="FN44" s="666">
        <f t="shared" si="183"/>
        <v>352.01687566849523</v>
      </c>
      <c r="FO44" s="666">
        <f t="shared" si="184"/>
        <v>356.52575133699031</v>
      </c>
      <c r="FP44" s="666">
        <f t="shared" si="185"/>
        <v>361.17646700548551</v>
      </c>
      <c r="FQ44" s="666">
        <f t="shared" si="186"/>
        <v>365.97185947398066</v>
      </c>
      <c r="FR44" s="666">
        <f t="shared" si="187"/>
        <v>370.91482227847587</v>
      </c>
      <c r="FS44" s="666">
        <f t="shared" si="188"/>
        <v>376.00830682569108</v>
      </c>
      <c r="FT44" s="666">
        <f t="shared" si="144"/>
        <v>381.25532355048063</v>
      </c>
      <c r="FU44" s="666">
        <f t="shared" si="145"/>
        <v>386.65894309639611</v>
      </c>
      <c r="FV44" s="666">
        <f t="shared" si="146"/>
        <v>392.22229751985998</v>
      </c>
      <c r="FW44" s="666">
        <f t="shared" si="147"/>
        <v>397.94858151842328</v>
      </c>
      <c r="FX44" s="1883">
        <f t="shared" si="148"/>
        <v>403.84105368358797</v>
      </c>
      <c r="FY44" s="1895"/>
      <c r="FZ44" s="690"/>
      <c r="GA44" s="690"/>
      <c r="GB44" s="690"/>
      <c r="GC44" s="690"/>
      <c r="GD44" s="664">
        <f t="shared" si="149"/>
        <v>18838.125</v>
      </c>
      <c r="GE44" s="664">
        <f t="shared" si="150"/>
        <v>19214.887499999997</v>
      </c>
      <c r="GF44" s="664">
        <f t="shared" si="151"/>
        <v>19599.185249999999</v>
      </c>
      <c r="GG44" s="664">
        <f t="shared" si="152"/>
        <v>19991.168954999997</v>
      </c>
      <c r="GH44" s="664">
        <f t="shared" si="153"/>
        <v>20390.992334099996</v>
      </c>
      <c r="GI44" s="664">
        <f t="shared" si="154"/>
        <v>20798.812180781995</v>
      </c>
      <c r="GJ44" s="664">
        <f t="shared" si="155"/>
        <v>21214.788424397637</v>
      </c>
      <c r="GK44" s="664">
        <f t="shared" si="156"/>
        <v>21639.084192885588</v>
      </c>
      <c r="GL44" s="664">
        <f t="shared" si="157"/>
        <v>22071.865876743301</v>
      </c>
      <c r="GM44" s="664">
        <f t="shared" si="158"/>
        <v>22513.303194278171</v>
      </c>
      <c r="GN44" s="1861">
        <f t="shared" si="159"/>
        <v>22963.569258163734</v>
      </c>
      <c r="GO44" s="1910"/>
      <c r="GP44" s="1868">
        <f>BH44*INDEX(Assumptions!G$565:G$570,MATCH($B44,Assumptions!$B$565:$B$570,0))</f>
        <v>0</v>
      </c>
      <c r="GQ44" s="656">
        <f>BI44*INDEX(Assumptions!H$565:H$570,MATCH($B44,Assumptions!$B$565:$B$570,0))</f>
        <v>0</v>
      </c>
      <c r="GR44" s="656">
        <f>BJ44*INDEX(Assumptions!I$565:I$570,MATCH($B44,Assumptions!$B$565:$B$570,0))</f>
        <v>0</v>
      </c>
      <c r="GS44" s="656">
        <f>BK44*INDEX(Assumptions!J$565:J$570,MATCH($B44,Assumptions!$B$565:$B$570,0))</f>
        <v>0</v>
      </c>
      <c r="GT44" s="656">
        <f>BL44*INDEX(Assumptions!K$565:K$570,MATCH($B44,Assumptions!$B$565:$B$570,0))</f>
        <v>39.397992632307947</v>
      </c>
      <c r="GU44" s="656">
        <f>BM44*INDEX(Assumptions!L$565:L$570,MATCH($B44,Assumptions!$B$565:$B$570,0))</f>
        <v>75.953120465655431</v>
      </c>
      <c r="GV44" s="656">
        <f>BN44*INDEX(Assumptions!M$565:M$570,MATCH($B44,Assumptions!$B$565:$B$570,0))</f>
        <v>109.57221930899873</v>
      </c>
      <c r="GW44" s="656">
        <f>BO44*INDEX(Assumptions!N$565:N$570,MATCH($B44,Assumptions!$B$565:$B$570,0))</f>
        <v>140.23982781030347</v>
      </c>
      <c r="GX44" s="656">
        <f>BP44*INDEX(Assumptions!O$565:O$570,MATCH($B44,Assumptions!$B$565:$B$570,0))</f>
        <v>167.92073609587911</v>
      </c>
      <c r="GY44" s="656">
        <f>BQ44*INDEX(Assumptions!P$565:P$570,MATCH($B44,Assumptions!$B$565:$B$570,0))</f>
        <v>183.08951764910387</v>
      </c>
      <c r="GZ44" s="656">
        <f>BR44*INDEX(Assumptions!Q$565:Q$570,MATCH($B44,Assumptions!$B$565:$B$570,0))</f>
        <v>0</v>
      </c>
      <c r="HA44" s="656">
        <f>BS44*INDEX(Assumptions!R$565:R$570,MATCH($B44,Assumptions!$B$565:$B$570,0))</f>
        <v>370.65239237679265</v>
      </c>
      <c r="HB44" s="656">
        <f>BT44*INDEX(Assumptions!S$565:S$570,MATCH($B44,Assumptions!$B$565:$B$570,0))</f>
        <v>416.98394142389168</v>
      </c>
      <c r="HC44" s="656">
        <f>BU44*INDEX(Assumptions!T$565:T$570,MATCH($B44,Assumptions!$B$565:$B$570,0))</f>
        <v>447.49886103207569</v>
      </c>
      <c r="HD44" s="1922">
        <f>BV44*INDEX(Assumptions!U$565:U$570,MATCH($B44,Assumptions!$B$565:$B$570,0))</f>
        <v>474.85045475247659</v>
      </c>
      <c r="HE44" s="1933"/>
      <c r="HF44" s="1930">
        <f t="shared" si="160"/>
        <v>0</v>
      </c>
      <c r="HG44" s="869">
        <f t="shared" si="161"/>
        <v>0</v>
      </c>
      <c r="HH44" s="869">
        <f t="shared" si="162"/>
        <v>0</v>
      </c>
      <c r="HI44" s="869">
        <f t="shared" si="163"/>
        <v>0</v>
      </c>
      <c r="HJ44" s="869">
        <f t="shared" si="164"/>
        <v>3.078125</v>
      </c>
      <c r="HK44" s="869">
        <f t="shared" si="165"/>
        <v>3.078125</v>
      </c>
      <c r="HL44" s="869">
        <f t="shared" si="166"/>
        <v>3.078125</v>
      </c>
      <c r="HM44" s="869">
        <f t="shared" si="167"/>
        <v>3.078125</v>
      </c>
      <c r="HN44" s="869">
        <f t="shared" si="168"/>
        <v>3.078125</v>
      </c>
      <c r="HO44" s="869">
        <f t="shared" si="169"/>
        <v>3.078125</v>
      </c>
      <c r="HP44" s="869">
        <f t="shared" si="170"/>
        <v>3.078125</v>
      </c>
      <c r="HQ44" s="869">
        <f t="shared" si="171"/>
        <v>3.078125</v>
      </c>
      <c r="HR44" s="869">
        <f t="shared" si="172"/>
        <v>3.078125</v>
      </c>
      <c r="HS44" s="869">
        <f t="shared" si="173"/>
        <v>3.078125</v>
      </c>
      <c r="HT44" s="869">
        <f t="shared" si="174"/>
        <v>3.078125</v>
      </c>
      <c r="HU44" s="528">
        <f t="shared" si="189"/>
        <v>3.078125</v>
      </c>
      <c r="HV44" s="499">
        <f>_xlfn.XLOOKUP(D44,TalTech!B:B,TalTech!J:J)+_xlfn.XLOOKUP(D44,TalTech!B:B,TalTech!K:K)</f>
        <v>59</v>
      </c>
      <c r="HW44" s="1936">
        <f>HJ44/(Assumptions!$I$651/1000000)</f>
        <v>7.7340105887320446E-2</v>
      </c>
      <c r="HX44" s="1944"/>
      <c r="HY44" s="1942">
        <v>2025</v>
      </c>
      <c r="HZ44" s="691">
        <v>2030</v>
      </c>
      <c r="IA44" s="683" t="s">
        <v>726</v>
      </c>
      <c r="IB44" s="683" t="s">
        <v>727</v>
      </c>
      <c r="IC44" s="694" t="s">
        <v>567</v>
      </c>
      <c r="ID44" s="1376"/>
      <c r="IE44" s="1968"/>
      <c r="IF44" s="1963">
        <v>0</v>
      </c>
      <c r="IG44" s="538">
        <v>0</v>
      </c>
      <c r="IH44" s="538">
        <v>0</v>
      </c>
      <c r="II44" s="538">
        <v>1</v>
      </c>
      <c r="IJ44" s="538">
        <v>0</v>
      </c>
      <c r="IK44" s="1276">
        <v>0</v>
      </c>
      <c r="IL44" s="1280">
        <v>0</v>
      </c>
      <c r="IM44" s="1278" t="s">
        <v>730</v>
      </c>
    </row>
    <row r="45" spans="2:247" ht="13.5" customHeight="1" x14ac:dyDescent="0.3">
      <c r="B45" s="1703" t="s">
        <v>51</v>
      </c>
      <c r="C45" s="2113"/>
      <c r="D45" s="671" t="s">
        <v>731</v>
      </c>
      <c r="E45" s="1783" t="s">
        <v>732</v>
      </c>
      <c r="F45" s="1804"/>
      <c r="G45" s="1292"/>
      <c r="H45" s="70"/>
      <c r="I45" s="13"/>
      <c r="J45" s="70" t="s">
        <v>563</v>
      </c>
      <c r="K45" s="71" t="s">
        <v>564</v>
      </c>
      <c r="L45" s="1176" t="s">
        <v>719</v>
      </c>
      <c r="M45" s="1827"/>
      <c r="N45" s="1817"/>
      <c r="O45" s="1178">
        <v>1</v>
      </c>
      <c r="P45" s="1177"/>
      <c r="Q45" s="1177"/>
      <c r="R45" s="1177"/>
      <c r="S45" s="1445"/>
      <c r="T45" s="1445"/>
      <c r="U45" s="1445"/>
      <c r="V45" s="1445"/>
      <c r="W45" s="1445">
        <f>_xlfn.XLOOKUP(D45,TalTech!$B$4:$B$46,TalTech!$AZ$4:$AZ$46)</f>
        <v>0.94444444444444442</v>
      </c>
      <c r="X45" s="1445">
        <f t="shared" si="175"/>
        <v>5.555555555555558E-2</v>
      </c>
      <c r="Y45" s="1179" cm="1">
        <f t="array" ref="Y45:AC45">(TRANSPOSE(Assumptions!$E$668:$E$672)*'EE Measures'!$AD45)+(TRANSPOSE(_xlfn.ANCHORARRAY(Assumptions!$F$668))*'EE Measures'!$AE45)+(TRANSPOSE(Assumptions!$G$668:$G$672)*'EE Measures'!$AF45)</f>
        <v>0.21849296083119868</v>
      </c>
      <c r="Z45" s="1179">
        <v>0.19221783771882242</v>
      </c>
      <c r="AA45" s="1179">
        <v>4.7611906394164946E-2</v>
      </c>
      <c r="AB45" s="1179">
        <v>0.3692139800862041</v>
      </c>
      <c r="AC45" s="1179">
        <v>0.17246331496960984</v>
      </c>
      <c r="AD45" s="1178">
        <v>1</v>
      </c>
      <c r="AE45" s="1177"/>
      <c r="AF45" s="1177"/>
      <c r="AG45" s="1177"/>
      <c r="AH45" s="1178">
        <v>1</v>
      </c>
      <c r="AI45" s="1177"/>
      <c r="AJ45" s="1273">
        <v>1</v>
      </c>
      <c r="AK45" s="1417">
        <f t="shared" si="176"/>
        <v>0</v>
      </c>
      <c r="AL45" s="1177"/>
      <c r="AM45" s="1177"/>
      <c r="AN45" s="1177"/>
      <c r="AO45" s="1221"/>
      <c r="AP45" s="1846"/>
      <c r="AQ45" s="1842">
        <v>8</v>
      </c>
      <c r="AR45" s="663"/>
      <c r="AS45" s="663"/>
      <c r="AT45" s="663"/>
      <c r="AU45" s="663"/>
      <c r="AV45" s="659">
        <f>_xlfn.XLOOKUP($D45,TalTech!$B$4:$B$46,TalTech!BB$4:BB$46)</f>
        <v>8</v>
      </c>
      <c r="AW45" s="659">
        <f>_xlfn.XLOOKUP($D45,TalTech!$B$4:$B$46,TalTech!BC$4:BC$46)</f>
        <v>7.8431372549019605</v>
      </c>
      <c r="AX45" s="659">
        <f>_xlfn.XLOOKUP($D45,TalTech!$B$4:$B$46,TalTech!BD$4:BD$46)</f>
        <v>7.6893502499038817</v>
      </c>
      <c r="AY45" s="659">
        <f>_xlfn.XLOOKUP($D45,TalTech!$B$4:$B$46,TalTech!BE$4:BE$46)</f>
        <v>7.5385786763763551</v>
      </c>
      <c r="AZ45" s="659">
        <f>_xlfn.XLOOKUP($D45,TalTech!$B$4:$B$46,TalTech!BF$4:BF$46)</f>
        <v>7.3907634082121119</v>
      </c>
      <c r="BA45" s="659">
        <f>_xlfn.XLOOKUP($D45,TalTech!$B$4:$B$46,TalTech!BG$4:BG$46)</f>
        <v>7.2458464786393249</v>
      </c>
      <c r="BB45" s="659">
        <f>_xlfn.XLOOKUP($D45,TalTech!$B$4:$B$46,TalTech!BH$4:BH$46)</f>
        <v>7.1037710574895341</v>
      </c>
      <c r="BC45" s="659">
        <f>_xlfn.XLOOKUP($D45,TalTech!$B$4:$B$46,TalTech!BI$4:BI$46)</f>
        <v>6.9644814289113075</v>
      </c>
      <c r="BD45" s="659">
        <f>_xlfn.XLOOKUP($D45,TalTech!$B$4:$B$46,TalTech!BJ$4:BJ$46)</f>
        <v>6.8279229695208894</v>
      </c>
      <c r="BE45" s="659">
        <f>_xlfn.XLOOKUP($D45,TalTech!$B$4:$B$46,TalTech!BK$4:BK$46)</f>
        <v>6.6940421269812651</v>
      </c>
      <c r="BF45" s="659">
        <f>_xlfn.XLOOKUP($D45,TalTech!$B$4:$B$46,TalTech!BL$4:BL$46)</f>
        <v>6.5319958735592509</v>
      </c>
      <c r="BG45" s="501">
        <f t="shared" si="177"/>
        <v>7.2572626840450791</v>
      </c>
      <c r="BH45" s="893">
        <f t="shared" si="111"/>
        <v>0</v>
      </c>
      <c r="BI45" s="658">
        <f t="shared" si="112"/>
        <v>0</v>
      </c>
      <c r="BJ45" s="658">
        <f t="shared" si="113"/>
        <v>0</v>
      </c>
      <c r="BK45" s="658">
        <f t="shared" si="114"/>
        <v>0</v>
      </c>
      <c r="BL45" s="658">
        <f t="shared" si="115"/>
        <v>8</v>
      </c>
      <c r="BM45" s="658">
        <f t="shared" si="116"/>
        <v>15.843137254901961</v>
      </c>
      <c r="BN45" s="658">
        <f t="shared" si="117"/>
        <v>23.532487504805843</v>
      </c>
      <c r="BO45" s="658">
        <f t="shared" si="118"/>
        <v>31.071066181182196</v>
      </c>
      <c r="BP45" s="658">
        <f t="shared" si="119"/>
        <v>38.461829589394306</v>
      </c>
      <c r="BQ45" s="658">
        <f t="shared" si="120"/>
        <v>45.707676068033628</v>
      </c>
      <c r="BR45" s="658">
        <f t="shared" si="121"/>
        <v>52.811447125523159</v>
      </c>
      <c r="BS45" s="658">
        <f t="shared" si="122"/>
        <v>59.775928554434465</v>
      </c>
      <c r="BT45" s="658">
        <f t="shared" si="123"/>
        <v>66.603851523955356</v>
      </c>
      <c r="BU45" s="658">
        <f t="shared" si="124"/>
        <v>73.297893650936615</v>
      </c>
      <c r="BV45" s="1851">
        <f t="shared" si="125"/>
        <v>79.829889524495869</v>
      </c>
      <c r="BW45" s="1661"/>
      <c r="BX45" s="1855">
        <v>60</v>
      </c>
      <c r="BY45" s="1192">
        <f t="shared" si="126"/>
        <v>4600.3366800000022</v>
      </c>
      <c r="BZ45" s="663"/>
      <c r="CA45" s="663"/>
      <c r="CB45" s="663"/>
      <c r="CC45" s="663"/>
      <c r="CD45" s="675">
        <f>_xlfn.XLOOKUP($D45,TalTech!$B$4:$B$46,TalTech!BM$4:BM$46)</f>
        <v>33.333333333333336</v>
      </c>
      <c r="CE45" s="675">
        <f>_xlfn.XLOOKUP($D45,TalTech!$B$4:$B$46,TalTech!BN$4:BN$46)</f>
        <v>34</v>
      </c>
      <c r="CF45" s="675">
        <f>_xlfn.XLOOKUP($D45,TalTech!$B$4:$B$46,TalTech!BO$4:BO$46)</f>
        <v>34.68</v>
      </c>
      <c r="CG45" s="675">
        <f>_xlfn.XLOOKUP($D45,TalTech!$B$4:$B$46,TalTech!BP$4:BP$46)</f>
        <v>35.373600000000003</v>
      </c>
      <c r="CH45" s="675">
        <f>_xlfn.XLOOKUP($D45,TalTech!$B$4:$B$46,TalTech!BQ$4:BQ$46)</f>
        <v>36.081072000000006</v>
      </c>
      <c r="CI45" s="675">
        <f>_xlfn.XLOOKUP($D45,TalTech!$B$4:$B$46,TalTech!BR$4:BR$46)</f>
        <v>36.802693440000006</v>
      </c>
      <c r="CJ45" s="675">
        <f>_xlfn.XLOOKUP($D45,TalTech!$B$4:$B$46,TalTech!BS$4:BS$46)</f>
        <v>37.538747308800005</v>
      </c>
      <c r="CK45" s="675">
        <f>_xlfn.XLOOKUP($D45,TalTech!$B$4:$B$46,TalTech!BT$4:BT$46)</f>
        <v>38.289522254976006</v>
      </c>
      <c r="CL45" s="675">
        <f>_xlfn.XLOOKUP($D45,TalTech!$B$4:$B$46,TalTech!BU$4:BU$46)</f>
        <v>39.055312700075525</v>
      </c>
      <c r="CM45" s="675">
        <f>_xlfn.XLOOKUP($D45,TalTech!$B$4:$B$46,TalTech!BV$4:BV$46)</f>
        <v>39.83641895407704</v>
      </c>
      <c r="CN45" s="675">
        <f>_xlfn.XLOOKUP($D45,TalTech!$B$4:$B$46,TalTech!BW$4:BW$46)</f>
        <v>40.633147333158583</v>
      </c>
      <c r="CO45" s="493">
        <f t="shared" si="178"/>
        <v>36.874895211310964</v>
      </c>
      <c r="CP45" s="660">
        <f t="shared" si="127"/>
        <v>210.27069877333338</v>
      </c>
      <c r="CQ45" s="1193">
        <f>_xlfn.XLOOKUP($D45,TalTech!$B$4:$B$46,TalTech!$H$4:$H$46)</f>
        <v>0.2853464622033644</v>
      </c>
      <c r="CR45" s="662">
        <f t="shared" si="128"/>
        <v>0.71465353779663565</v>
      </c>
      <c r="CS45" s="685" t="str">
        <v>30% government 70% homeowners (government cost reported)</v>
      </c>
      <c r="CT45" s="1862">
        <f t="shared" si="129"/>
        <v>35.045116462222232</v>
      </c>
      <c r="CU45" s="1872"/>
      <c r="CV45" s="1865">
        <f>BH45*Assumptions!D$496</f>
        <v>0</v>
      </c>
      <c r="CW45" s="659">
        <f>BI45*Assumptions!E$496</f>
        <v>0</v>
      </c>
      <c r="CX45" s="659">
        <f>BJ45*Assumptions!F$496</f>
        <v>0</v>
      </c>
      <c r="CY45" s="659">
        <f>BK45*Assumptions!G$496</f>
        <v>0</v>
      </c>
      <c r="CZ45" s="659">
        <f>BL45*Assumptions!H$496</f>
        <v>0.74215657779707767</v>
      </c>
      <c r="DA45" s="659">
        <f>BM45*Assumptions!I$496</f>
        <v>1.5129950296536969</v>
      </c>
      <c r="DB45" s="659">
        <f>BN45*Assumptions!J$496</f>
        <v>2.3133608265401331</v>
      </c>
      <c r="DC45" s="659">
        <f>BO45*Assumptions!K$496</f>
        <v>3.1442873202998269</v>
      </c>
      <c r="DD45" s="659">
        <f>BP45*Assumptions!L$496</f>
        <v>4.0067986867574978</v>
      </c>
      <c r="DE45" s="659">
        <f>BQ45*Assumptions!M$496</f>
        <v>4.9019504479114184</v>
      </c>
      <c r="DF45" s="659">
        <f>BR45*Assumptions!N$496</f>
        <v>5.8289552408422667</v>
      </c>
      <c r="DG45" s="659">
        <f>BS45*Assumptions!O$496</f>
        <v>6.7901896454197015</v>
      </c>
      <c r="DH45" s="659">
        <f>BT45*Assumptions!P$496</f>
        <v>7.7867746120691184</v>
      </c>
      <c r="DI45" s="659">
        <f>BU45*Assumptions!Q$496</f>
        <v>8.8198650315898739</v>
      </c>
      <c r="DJ45" s="659">
        <f>BV45*Assumptions!R$496</f>
        <v>9.8868373982326858</v>
      </c>
      <c r="DK45" s="656">
        <f>BH45*Assumptions!D$503</f>
        <v>0</v>
      </c>
      <c r="DL45" s="656">
        <f>BI45*Assumptions!E$503</f>
        <v>0</v>
      </c>
      <c r="DM45" s="656">
        <f>BJ45*Assumptions!F$503</f>
        <v>0</v>
      </c>
      <c r="DN45" s="656">
        <f>BK45*Assumptions!G$503</f>
        <v>0</v>
      </c>
      <c r="DO45" s="656">
        <f>BL45*Assumptions!H$503</f>
        <v>0.78197867913790053</v>
      </c>
      <c r="DP45" s="656">
        <f>BM45*Assumptions!I$503</f>
        <v>1.59298706568897</v>
      </c>
      <c r="DQ45" s="656">
        <f>BN45*Assumptions!J$503</f>
        <v>2.4338501160132791</v>
      </c>
      <c r="DR45" s="656">
        <f>BO45*Assumptions!K$503</f>
        <v>3.3056036523720058</v>
      </c>
      <c r="DS45" s="656">
        <f>BP45*Assumptions!L$503</f>
        <v>4.2092685020458172</v>
      </c>
      <c r="DT45" s="656">
        <f>BQ45*Assumptions!M$503</f>
        <v>5.1458967838951226</v>
      </c>
      <c r="DU45" s="656">
        <f>BR45*Assumptions!N$503</f>
        <v>6.1152632129363136</v>
      </c>
      <c r="DV45" s="656">
        <f>BS45*Assumptions!O$503</f>
        <v>7.1193437485971218</v>
      </c>
      <c r="DW45" s="656">
        <f>BT45*Assumptions!P$503</f>
        <v>8.1592581977037284</v>
      </c>
      <c r="DX45" s="656">
        <f>BU45*Assumptions!Q$503</f>
        <v>9.236160190081284</v>
      </c>
      <c r="DY45" s="656">
        <f>BV45*Assumptions!R$503</f>
        <v>10.347247261628217</v>
      </c>
      <c r="DZ45" s="678">
        <v>0</v>
      </c>
      <c r="EA45" s="661">
        <f t="shared" si="130"/>
        <v>1</v>
      </c>
      <c r="EB45" s="1861">
        <f t="shared" si="131"/>
        <v>1.6621548888959652</v>
      </c>
      <c r="EC45" s="1881"/>
      <c r="ED45" s="1877">
        <v>0</v>
      </c>
      <c r="EE45" s="684"/>
      <c r="EF45" s="684"/>
      <c r="EG45" s="684"/>
      <c r="EH45" s="684"/>
      <c r="EI45" s="665">
        <f t="shared" si="132"/>
        <v>7.6229710698307809</v>
      </c>
      <c r="EJ45" s="665">
        <f t="shared" si="132"/>
        <v>7.7754304912273966</v>
      </c>
      <c r="EK45" s="665">
        <f t="shared" si="132"/>
        <v>7.9309391010519441</v>
      </c>
      <c r="EL45" s="665">
        <f t="shared" si="132"/>
        <v>8.0895578830729846</v>
      </c>
      <c r="EM45" s="665">
        <f t="shared" si="132"/>
        <v>8.2513490407344445</v>
      </c>
      <c r="EN45" s="665">
        <f t="shared" si="132"/>
        <v>8.4163760215491319</v>
      </c>
      <c r="EO45" s="665">
        <f t="shared" si="132"/>
        <v>8.5847035419801152</v>
      </c>
      <c r="EP45" s="665">
        <f t="shared" si="132"/>
        <v>8.7563976128197165</v>
      </c>
      <c r="EQ45" s="665">
        <f t="shared" si="132"/>
        <v>8.9315255650761127</v>
      </c>
      <c r="ER45" s="665">
        <f t="shared" si="132"/>
        <v>9.1101560763776348</v>
      </c>
      <c r="ES45" s="665">
        <f t="shared" si="132"/>
        <v>9.2923591979051885</v>
      </c>
      <c r="ET45" s="541">
        <f t="shared" si="133"/>
        <v>8.4328877819659489</v>
      </c>
      <c r="EU45" s="479" cm="1">
        <f t="array" ref="EU45">BH45*SUMPRODUCT($W45:$X45,TRANSPOSE(Assumptions!$D$289:$D$290))/1000</f>
        <v>0</v>
      </c>
      <c r="EV45" s="479" cm="1">
        <f t="array" ref="EV45">BI45*SUMPRODUCT($W45:$X45,TRANSPOSE(Assumptions!$D$289:$D$290))/1000</f>
        <v>0</v>
      </c>
      <c r="EW45" s="479" cm="1">
        <f t="array" ref="EW45">BJ45*SUMPRODUCT($W45:$X45,TRANSPOSE(Assumptions!$D$289:$D$290))/1000</f>
        <v>0</v>
      </c>
      <c r="EX45" s="479" cm="1">
        <f t="array" ref="EX45">BK45*SUMPRODUCT($W45:$X45,TRANSPOSE(Assumptions!$D$289:$D$290))/1000</f>
        <v>0</v>
      </c>
      <c r="EY45" s="479" cm="1">
        <f t="array" ref="EY45">BL45*SUMPRODUCT($W45:$X45,TRANSPOSE(Assumptions!$D$289:$D$290))/1000</f>
        <v>0.11518214087689115</v>
      </c>
      <c r="EZ45" s="479" cm="1">
        <f t="array" ref="EZ45">BM45*SUMPRODUCT($W45:$X45,TRANSPOSE(Assumptions!$D$289:$D$290))/1000</f>
        <v>0.22810580840325501</v>
      </c>
      <c r="FA45" s="479" cm="1">
        <f t="array" ref="FA45">BN45*SUMPRODUCT($W45:$X45,TRANSPOSE(Assumptions!$D$289:$D$290))/1000</f>
        <v>0.33881528637027841</v>
      </c>
      <c r="FB45" s="479" cm="1">
        <f t="array" ref="FB45">BO45*SUMPRODUCT($W45:$X45,TRANSPOSE(Assumptions!$D$289:$D$290))/1000</f>
        <v>0.447353990259517</v>
      </c>
      <c r="FC45" s="479" cm="1">
        <f t="array" ref="FC45">BP45*SUMPRODUCT($W45:$X45,TRANSPOSE(Assumptions!$D$289:$D$290))/1000</f>
        <v>0.55376448426857439</v>
      </c>
      <c r="FD45" s="479" cm="1">
        <f t="array" ref="FD45">BQ45*SUMPRODUCT($W45:$X45,TRANSPOSE(Assumptions!$D$289:$D$290))/1000</f>
        <v>0.65808849800294433</v>
      </c>
      <c r="FE45" s="479" cm="1">
        <f t="array" ref="FE45">BR45*SUMPRODUCT($W45:$X45,TRANSPOSE(Assumptions!$D$289:$D$290))/1000</f>
        <v>0.76036694284056205</v>
      </c>
      <c r="FF45" s="479" cm="1">
        <f t="array" ref="FF45">BS45*SUMPRODUCT($W45:$X45,TRANSPOSE(Assumptions!$D$289:$D$290))/1000</f>
        <v>0.86063992797548128</v>
      </c>
      <c r="FG45" s="479" cm="1">
        <f t="array" ref="FG45">BT45*SUMPRODUCT($W45:$X45,TRANSPOSE(Assumptions!$D$289:$D$290))/1000</f>
        <v>0.95894677614697077</v>
      </c>
      <c r="FH45" s="479" cm="1">
        <f t="array" ref="FH45">BU45*SUMPRODUCT($W45:$X45,TRANSPOSE(Assumptions!$D$289:$D$290))/1000</f>
        <v>1.0553260390601957</v>
      </c>
      <c r="FI45" s="479" cm="1">
        <f t="array" ref="FI45">BV45*SUMPRODUCT($W45:$X45,TRANSPOSE(Assumptions!$D$289:$D$290))/1000</f>
        <v>1.1493721976746425</v>
      </c>
      <c r="FJ45" s="666">
        <f t="shared" si="179"/>
        <v>0</v>
      </c>
      <c r="FK45" s="666">
        <f t="shared" si="180"/>
        <v>0</v>
      </c>
      <c r="FL45" s="666">
        <f t="shared" si="181"/>
        <v>0</v>
      </c>
      <c r="FM45" s="666">
        <f t="shared" si="182"/>
        <v>0</v>
      </c>
      <c r="FN45" s="666">
        <f t="shared" si="183"/>
        <v>7.5077889289538895</v>
      </c>
      <c r="FO45" s="666">
        <f t="shared" si="184"/>
        <v>7.5473246828241418</v>
      </c>
      <c r="FP45" s="666">
        <f t="shared" si="185"/>
        <v>7.5921238146816661</v>
      </c>
      <c r="FQ45" s="666">
        <f t="shared" si="186"/>
        <v>7.6422038928134679</v>
      </c>
      <c r="FR45" s="666">
        <f t="shared" si="187"/>
        <v>7.6975845564658698</v>
      </c>
      <c r="FS45" s="666">
        <f t="shared" si="188"/>
        <v>7.7582875235461879</v>
      </c>
      <c r="FT45" s="666">
        <f t="shared" si="144"/>
        <v>7.8243365991395528</v>
      </c>
      <c r="FU45" s="666">
        <f t="shared" si="145"/>
        <v>7.8957576848442352</v>
      </c>
      <c r="FV45" s="666">
        <f t="shared" si="146"/>
        <v>7.972578788929142</v>
      </c>
      <c r="FW45" s="666">
        <f t="shared" si="147"/>
        <v>8.0548300373174389</v>
      </c>
      <c r="FX45" s="1883">
        <f t="shared" si="148"/>
        <v>8.142987000230546</v>
      </c>
      <c r="FY45" s="1895"/>
      <c r="FZ45" s="690"/>
      <c r="GA45" s="690"/>
      <c r="GB45" s="690"/>
      <c r="GC45" s="690"/>
      <c r="GD45" s="664">
        <f t="shared" si="149"/>
        <v>566.66666666666674</v>
      </c>
      <c r="GE45" s="664">
        <f t="shared" si="150"/>
        <v>578</v>
      </c>
      <c r="GF45" s="664">
        <f t="shared" si="151"/>
        <v>589.55999999999995</v>
      </c>
      <c r="GG45" s="664">
        <f t="shared" si="152"/>
        <v>601.35120000000006</v>
      </c>
      <c r="GH45" s="664">
        <f t="shared" si="153"/>
        <v>613.37822400000005</v>
      </c>
      <c r="GI45" s="664">
        <f t="shared" si="154"/>
        <v>625.64578848000008</v>
      </c>
      <c r="GJ45" s="664">
        <f t="shared" si="155"/>
        <v>638.15870424960008</v>
      </c>
      <c r="GK45" s="664">
        <f t="shared" si="156"/>
        <v>650.92187833459207</v>
      </c>
      <c r="GL45" s="664">
        <f t="shared" si="157"/>
        <v>663.94031590128395</v>
      </c>
      <c r="GM45" s="664">
        <f t="shared" si="158"/>
        <v>677.21912221930972</v>
      </c>
      <c r="GN45" s="1861">
        <f t="shared" si="159"/>
        <v>690.76350466369593</v>
      </c>
      <c r="GO45" s="1910"/>
      <c r="GP45" s="1868">
        <f>BH45*INDEX(Assumptions!G$565:G$570,MATCH($B45,Assumptions!$B$565:$B$570,0))</f>
        <v>0</v>
      </c>
      <c r="GQ45" s="656">
        <f>BI45*INDEX(Assumptions!H$565:H$570,MATCH($B45,Assumptions!$B$565:$B$570,0))</f>
        <v>0</v>
      </c>
      <c r="GR45" s="656">
        <f>BJ45*INDEX(Assumptions!I$565:I$570,MATCH($B45,Assumptions!$B$565:$B$570,0))</f>
        <v>0</v>
      </c>
      <c r="GS45" s="656">
        <f>BK45*INDEX(Assumptions!J$565:J$570,MATCH($B45,Assumptions!$B$565:$B$570,0))</f>
        <v>0</v>
      </c>
      <c r="GT45" s="656">
        <f>BL45*INDEX(Assumptions!K$565:K$570,MATCH($B45,Assumptions!$B$565:$B$570,0))</f>
        <v>1.7355047946091084</v>
      </c>
      <c r="GU45" s="656">
        <f>BM45*INDEX(Assumptions!L$565:L$570,MATCH($B45,Assumptions!$B$565:$B$570,0))</f>
        <v>3.3129779574305624</v>
      </c>
      <c r="GV45" s="656">
        <f>BN45*INDEX(Assumptions!M$565:M$570,MATCH($B45,Assumptions!$B$565:$B$570,0))</f>
        <v>4.732697824222746</v>
      </c>
      <c r="GW45" s="656">
        <f>BO45*INDEX(Assumptions!N$565:N$570,MATCH($B45,Assumptions!$B$565:$B$570,0))</f>
        <v>5.9983150252176332</v>
      </c>
      <c r="GX45" s="656">
        <f>BP45*INDEX(Assumptions!O$565:O$570,MATCH($B45,Assumptions!$B$565:$B$570,0))</f>
        <v>7.1125609415762323</v>
      </c>
      <c r="GY45" s="656">
        <f>BQ45*INDEX(Assumptions!P$565:P$570,MATCH($B45,Assumptions!$B$565:$B$570,0))</f>
        <v>7.6800333721370988</v>
      </c>
      <c r="GZ45" s="656">
        <f>BR45*INDEX(Assumptions!Q$565:Q$570,MATCH($B45,Assumptions!$B$565:$B$570,0))</f>
        <v>0</v>
      </c>
      <c r="HA45" s="656">
        <f>BS45*INDEX(Assumptions!R$565:R$570,MATCH($B45,Assumptions!$B$565:$B$570,0))</f>
        <v>15.249825983133695</v>
      </c>
      <c r="HB45" s="656">
        <f>BT45*INDEX(Assumptions!S$565:S$570,MATCH($B45,Assumptions!$B$565:$B$570,0))</f>
        <v>16.991741828349127</v>
      </c>
      <c r="HC45" s="656">
        <f>BU45*INDEX(Assumptions!T$565:T$570,MATCH($B45,Assumptions!$B$565:$B$570,0))</f>
        <v>18.061140249419584</v>
      </c>
      <c r="HD45" s="1922">
        <f>BV45*INDEX(Assumptions!U$565:U$570,MATCH($B45,Assumptions!$B$565:$B$570,0))</f>
        <v>18.975421757698271</v>
      </c>
      <c r="HE45" s="1933"/>
      <c r="HF45" s="1930">
        <f t="shared" si="160"/>
        <v>0</v>
      </c>
      <c r="HG45" s="869">
        <f t="shared" si="161"/>
        <v>0</v>
      </c>
      <c r="HH45" s="869">
        <f t="shared" si="162"/>
        <v>0</v>
      </c>
      <c r="HI45" s="869">
        <f t="shared" si="163"/>
        <v>0</v>
      </c>
      <c r="HJ45" s="869">
        <f t="shared" si="164"/>
        <v>0.22222222222222221</v>
      </c>
      <c r="HK45" s="869">
        <f t="shared" si="165"/>
        <v>0.21786492374727667</v>
      </c>
      <c r="HL45" s="869">
        <f t="shared" si="166"/>
        <v>0.21359306249733004</v>
      </c>
      <c r="HM45" s="869">
        <f t="shared" si="167"/>
        <v>0.20940496323267654</v>
      </c>
      <c r="HN45" s="869">
        <f t="shared" si="168"/>
        <v>0.20529898356144755</v>
      </c>
      <c r="HO45" s="869">
        <f t="shared" si="169"/>
        <v>0.2012735132955368</v>
      </c>
      <c r="HP45" s="869">
        <f t="shared" si="170"/>
        <v>0.19732697381915373</v>
      </c>
      <c r="HQ45" s="869">
        <f t="shared" si="171"/>
        <v>0.19345781746975854</v>
      </c>
      <c r="HR45" s="869">
        <f t="shared" si="172"/>
        <v>0.18966452693113581</v>
      </c>
      <c r="HS45" s="869">
        <f t="shared" si="173"/>
        <v>0.18594561463836848</v>
      </c>
      <c r="HT45" s="869">
        <f t="shared" si="174"/>
        <v>0.18144432982109029</v>
      </c>
      <c r="HU45" s="528">
        <f t="shared" si="189"/>
        <v>0.20159063011236336</v>
      </c>
      <c r="HV45" s="499">
        <f>_xlfn.XLOOKUP(D45,TalTech!B:B,TalTech!J:J)+_xlfn.XLOOKUP(D45,TalTech!B:B,TalTech!K:K)</f>
        <v>36</v>
      </c>
      <c r="HW45" s="1936">
        <f>HJ45/(Assumptions!$I$651/1000000)</f>
        <v>5.5834932620287738E-3</v>
      </c>
      <c r="HX45" s="1944"/>
      <c r="HY45" s="1942">
        <v>2025</v>
      </c>
      <c r="HZ45" s="691">
        <v>2030</v>
      </c>
      <c r="IA45" s="683" t="s">
        <v>733</v>
      </c>
      <c r="IB45" s="683" t="s">
        <v>734</v>
      </c>
      <c r="IC45" s="694" t="s">
        <v>567</v>
      </c>
      <c r="ID45" s="1376" t="s">
        <v>735</v>
      </c>
      <c r="IE45" s="1968"/>
      <c r="IF45" s="1963">
        <v>0</v>
      </c>
      <c r="IG45" s="1415">
        <v>1</v>
      </c>
      <c r="IH45" s="538">
        <v>0.5</v>
      </c>
      <c r="II45" s="1415">
        <v>1.2</v>
      </c>
      <c r="IJ45" s="538">
        <v>0.5</v>
      </c>
      <c r="IK45" s="1276">
        <v>1</v>
      </c>
      <c r="IL45" s="1280">
        <v>1</v>
      </c>
      <c r="IM45" s="1278" t="s">
        <v>732</v>
      </c>
    </row>
    <row r="46" spans="2:247" ht="13.5" customHeight="1" x14ac:dyDescent="0.3">
      <c r="B46" s="1703" t="s">
        <v>51</v>
      </c>
      <c r="C46" s="2113"/>
      <c r="D46" s="671" t="s">
        <v>736</v>
      </c>
      <c r="E46" s="1783" t="s">
        <v>737</v>
      </c>
      <c r="F46" s="1804"/>
      <c r="G46" s="1292"/>
      <c r="H46" s="70"/>
      <c r="I46" s="13"/>
      <c r="J46" s="70" t="s">
        <v>563</v>
      </c>
      <c r="K46" s="71" t="s">
        <v>564</v>
      </c>
      <c r="L46" s="1176" t="s">
        <v>719</v>
      </c>
      <c r="M46" s="1827"/>
      <c r="N46" s="1817"/>
      <c r="O46" s="1178">
        <v>1</v>
      </c>
      <c r="P46" s="1177"/>
      <c r="Q46" s="1177"/>
      <c r="R46" s="1177"/>
      <c r="S46" s="1445"/>
      <c r="T46" s="1445"/>
      <c r="U46" s="1445"/>
      <c r="V46" s="1445"/>
      <c r="W46" s="1445">
        <f>_xlfn.XLOOKUP(D46,TalTech!$B$4:$B$46,TalTech!$AZ$4:$AZ$46)</f>
        <v>0.94444444444444442</v>
      </c>
      <c r="X46" s="1445">
        <f t="shared" si="175"/>
        <v>5.555555555555558E-2</v>
      </c>
      <c r="Y46" s="1179" cm="1">
        <f t="array" ref="Y46:AC46">(TRANSPOSE(Assumptions!$E$668:$E$672)*'EE Measures'!$AD46)+(TRANSPOSE(_xlfn.ANCHORARRAY(Assumptions!$F$668))*'EE Measures'!$AE46)+(TRANSPOSE(Assumptions!$G$668:$G$672)*'EE Measures'!$AF46)</f>
        <v>0.21849296083119868</v>
      </c>
      <c r="Z46" s="1179">
        <v>0.19221783771882242</v>
      </c>
      <c r="AA46" s="1179">
        <v>4.7611906394164946E-2</v>
      </c>
      <c r="AB46" s="1179">
        <v>0.3692139800862041</v>
      </c>
      <c r="AC46" s="1179">
        <v>0.17246331496960984</v>
      </c>
      <c r="AD46" s="1178">
        <v>1</v>
      </c>
      <c r="AE46" s="1177"/>
      <c r="AF46" s="1177"/>
      <c r="AG46" s="1177"/>
      <c r="AH46" s="1178">
        <v>1</v>
      </c>
      <c r="AI46" s="1177"/>
      <c r="AJ46" s="1273">
        <v>1</v>
      </c>
      <c r="AK46" s="1417">
        <f t="shared" si="176"/>
        <v>0</v>
      </c>
      <c r="AL46" s="1177"/>
      <c r="AM46" s="1177"/>
      <c r="AN46" s="1177"/>
      <c r="AO46" s="1221"/>
      <c r="AP46" s="1846"/>
      <c r="AQ46" s="1842">
        <v>7.2000000000000011</v>
      </c>
      <c r="AR46" s="663"/>
      <c r="AS46" s="663"/>
      <c r="AT46" s="663"/>
      <c r="AU46" s="663"/>
      <c r="AV46" s="659">
        <f>_xlfn.XLOOKUP($D46,TalTech!$B$4:$B$46,TalTech!BB$4:BB$46)</f>
        <v>7.2000000000000011</v>
      </c>
      <c r="AW46" s="659">
        <f>_xlfn.XLOOKUP($D46,TalTech!$B$4:$B$46,TalTech!BC$4:BC$46)</f>
        <v>7.0588235294117654</v>
      </c>
      <c r="AX46" s="659">
        <f>_xlfn.XLOOKUP($D46,TalTech!$B$4:$B$46,TalTech!BD$4:BD$46)</f>
        <v>6.9204152249134943</v>
      </c>
      <c r="AY46" s="659">
        <f>_xlfn.XLOOKUP($D46,TalTech!$B$4:$B$46,TalTech!BE$4:BE$46)</f>
        <v>6.7847208087387187</v>
      </c>
      <c r="AZ46" s="659">
        <f>_xlfn.XLOOKUP($D46,TalTech!$B$4:$B$46,TalTech!BF$4:BF$46)</f>
        <v>6.6516870673909017</v>
      </c>
      <c r="BA46" s="659">
        <f>_xlfn.XLOOKUP($D46,TalTech!$B$4:$B$46,TalTech!BG$4:BG$46)</f>
        <v>6.5212618307753933</v>
      </c>
      <c r="BB46" s="659">
        <f>_xlfn.XLOOKUP($D46,TalTech!$B$4:$B$46,TalTech!BH$4:BH$46)</f>
        <v>6.3933939517405811</v>
      </c>
      <c r="BC46" s="659">
        <f>_xlfn.XLOOKUP($D46,TalTech!$B$4:$B$46,TalTech!BI$4:BI$46)</f>
        <v>6.2680332860201764</v>
      </c>
      <c r="BD46" s="659">
        <f>_xlfn.XLOOKUP($D46,TalTech!$B$4:$B$46,TalTech!BJ$4:BJ$46)</f>
        <v>6.1451306725688006</v>
      </c>
      <c r="BE46" s="659">
        <f>_xlfn.XLOOKUP($D46,TalTech!$B$4:$B$46,TalTech!BK$4:BK$46)</f>
        <v>6.0246379142831374</v>
      </c>
      <c r="BF46" s="659">
        <f>_xlfn.XLOOKUP($D46,TalTech!$B$4:$B$46,TalTech!BL$4:BL$46)</f>
        <v>5.8787962862033334</v>
      </c>
      <c r="BG46" s="501">
        <f t="shared" si="177"/>
        <v>6.5315364156405735</v>
      </c>
      <c r="BH46" s="893">
        <f t="shared" si="111"/>
        <v>0</v>
      </c>
      <c r="BI46" s="658">
        <f t="shared" si="112"/>
        <v>0</v>
      </c>
      <c r="BJ46" s="658">
        <f t="shared" si="113"/>
        <v>0</v>
      </c>
      <c r="BK46" s="658">
        <f t="shared" si="114"/>
        <v>0</v>
      </c>
      <c r="BL46" s="658">
        <f t="shared" si="115"/>
        <v>7.2000000000000011</v>
      </c>
      <c r="BM46" s="658">
        <f t="shared" si="116"/>
        <v>14.258823529411767</v>
      </c>
      <c r="BN46" s="658">
        <f t="shared" si="117"/>
        <v>21.179238754325262</v>
      </c>
      <c r="BO46" s="658">
        <f t="shared" si="118"/>
        <v>27.96395956306398</v>
      </c>
      <c r="BP46" s="658">
        <f t="shared" si="119"/>
        <v>34.615646630454883</v>
      </c>
      <c r="BQ46" s="658">
        <f t="shared" si="120"/>
        <v>41.136908461230277</v>
      </c>
      <c r="BR46" s="658">
        <f t="shared" si="121"/>
        <v>47.530302412970855</v>
      </c>
      <c r="BS46" s="658">
        <f t="shared" si="122"/>
        <v>53.798335698991032</v>
      </c>
      <c r="BT46" s="658">
        <f t="shared" si="123"/>
        <v>59.943466371559836</v>
      </c>
      <c r="BU46" s="658">
        <f t="shared" si="124"/>
        <v>65.968104285842969</v>
      </c>
      <c r="BV46" s="1851">
        <f t="shared" si="125"/>
        <v>71.846900572046309</v>
      </c>
      <c r="BW46" s="1661"/>
      <c r="BX46" s="1855">
        <v>18</v>
      </c>
      <c r="BY46" s="1192">
        <f t="shared" si="126"/>
        <v>4600.3366800000003</v>
      </c>
      <c r="BZ46" s="663"/>
      <c r="CA46" s="663"/>
      <c r="CB46" s="663"/>
      <c r="CC46" s="663"/>
      <c r="CD46" s="675">
        <f>_xlfn.XLOOKUP($D46,TalTech!$B$4:$B$46,TalTech!BM$4:BM$46)</f>
        <v>30.000000000000004</v>
      </c>
      <c r="CE46" s="675">
        <f>_xlfn.XLOOKUP($D46,TalTech!$B$4:$B$46,TalTech!BN$4:BN$46)</f>
        <v>30.600000000000005</v>
      </c>
      <c r="CF46" s="675">
        <f>_xlfn.XLOOKUP($D46,TalTech!$B$4:$B$46,TalTech!BO$4:BO$46)</f>
        <v>31.212000000000007</v>
      </c>
      <c r="CG46" s="675">
        <f>_xlfn.XLOOKUP($D46,TalTech!$B$4:$B$46,TalTech!BP$4:BP$46)</f>
        <v>31.836240000000007</v>
      </c>
      <c r="CH46" s="675">
        <f>_xlfn.XLOOKUP($D46,TalTech!$B$4:$B$46,TalTech!BQ$4:BQ$46)</f>
        <v>32.472964800000007</v>
      </c>
      <c r="CI46" s="675">
        <f>_xlfn.XLOOKUP($D46,TalTech!$B$4:$B$46,TalTech!BR$4:BR$46)</f>
        <v>33.12242409600001</v>
      </c>
      <c r="CJ46" s="675">
        <f>_xlfn.XLOOKUP($D46,TalTech!$B$4:$B$46,TalTech!BS$4:BS$46)</f>
        <v>33.784872577920012</v>
      </c>
      <c r="CK46" s="675">
        <f>_xlfn.XLOOKUP($D46,TalTech!$B$4:$B$46,TalTech!BT$4:BT$46)</f>
        <v>34.460570029478411</v>
      </c>
      <c r="CL46" s="675">
        <f>_xlfn.XLOOKUP($D46,TalTech!$B$4:$B$46,TalTech!BU$4:BU$46)</f>
        <v>35.149781430067982</v>
      </c>
      <c r="CM46" s="675">
        <f>_xlfn.XLOOKUP($D46,TalTech!$B$4:$B$46,TalTech!BV$4:BV$46)</f>
        <v>35.852777058669339</v>
      </c>
      <c r="CN46" s="675">
        <f>_xlfn.XLOOKUP($D46,TalTech!$B$4:$B$46,TalTech!BW$4:BW$46)</f>
        <v>36.569832599842726</v>
      </c>
      <c r="CO46" s="493">
        <f t="shared" si="178"/>
        <v>33.187405690179865</v>
      </c>
      <c r="CP46" s="660">
        <f t="shared" si="127"/>
        <v>189.24362889600002</v>
      </c>
      <c r="CQ46" s="1193">
        <f>_xlfn.XLOOKUP($D46,TalTech!$B$4:$B$46,TalTech!$H$4:$H$46)</f>
        <v>0</v>
      </c>
      <c r="CR46" s="662">
        <f t="shared" si="128"/>
        <v>1</v>
      </c>
      <c r="CS46" s="685" t="str">
        <v>Tax deduction to homeowners (lost tax for the government)</v>
      </c>
      <c r="CT46" s="1862">
        <f t="shared" si="129"/>
        <v>31.540604816000002</v>
      </c>
      <c r="CU46" s="1872"/>
      <c r="CV46" s="1868">
        <f>(BH46*Assumptions!D$496)-FJ46</f>
        <v>0</v>
      </c>
      <c r="CW46" s="656">
        <f>(BI46*Assumptions!E$496)-FK46</f>
        <v>0</v>
      </c>
      <c r="CX46" s="656">
        <f>(BJ46*Assumptions!F$496)-FL46</f>
        <v>0</v>
      </c>
      <c r="CY46" s="656">
        <f>(BK46*Assumptions!G$496)-FM46</f>
        <v>0</v>
      </c>
      <c r="CZ46" s="656">
        <f>(BL46*Assumptions!H$496)-FN46</f>
        <v>3.7716048468065719</v>
      </c>
      <c r="DA46" s="656">
        <f>(BM46*Assumptions!I$496)-FO46</f>
        <v>4.5669907542512567</v>
      </c>
      <c r="DB46" s="656">
        <f>(BN46*Assumptions!J$496)-FP46</f>
        <v>5.3869585016193708</v>
      </c>
      <c r="DC46" s="656">
        <f>(BO46*Assumptions!K$496)-FQ46</f>
        <v>6.2324771795034097</v>
      </c>
      <c r="DD46" s="656">
        <f>(BP46*Assumptions!L$496)-FR46</f>
        <v>7.1045068539234659</v>
      </c>
      <c r="DE46" s="656">
        <f>(BQ46*Assumptions!M$496)-FS46</f>
        <v>8.0040350513229281</v>
      </c>
      <c r="DF46" s="656">
        <f>(BR46*Assumptions!N$496)-FT46</f>
        <v>8.9303899653145464</v>
      </c>
      <c r="DG46" s="656">
        <f>(BS46*Assumptions!O$496)-FU46</f>
        <v>9.8857466160556662</v>
      </c>
      <c r="DH46" s="656">
        <f>(BT46*Assumptions!P$496)-FV46</f>
        <v>10.871149249394483</v>
      </c>
      <c r="DI46" s="656">
        <f>(BU46*Assumptions!Q$496)-FW46</f>
        <v>11.887671963585065</v>
      </c>
      <c r="DJ46" s="656">
        <f>(BV46*Assumptions!R$496)-FX46</f>
        <v>12.932588636316598</v>
      </c>
      <c r="DK46" s="659">
        <f>(BH46*Assumptions!D$503)-FJ46</f>
        <v>0</v>
      </c>
      <c r="DL46" s="659">
        <f>(BI46*Assumptions!E$503)-FK46</f>
        <v>0</v>
      </c>
      <c r="DM46" s="659">
        <f>(BJ46*Assumptions!F$503)-FL46</f>
        <v>0</v>
      </c>
      <c r="DN46" s="659">
        <f>(BK46*Assumptions!G$503)-FM46</f>
        <v>0</v>
      </c>
      <c r="DO46" s="659">
        <f>(BL46*Assumptions!H$503)-FN46</f>
        <v>3.8074447380133125</v>
      </c>
      <c r="DP46" s="659">
        <f>(BM46*Assumptions!I$503)-FO46</f>
        <v>4.6389835866830023</v>
      </c>
      <c r="DQ46" s="659">
        <f>(BN46*Assumptions!J$503)-FP46</f>
        <v>5.4953988621452021</v>
      </c>
      <c r="DR46" s="659">
        <f>(BO46*Assumptions!K$503)-FQ46</f>
        <v>6.3776618783683707</v>
      </c>
      <c r="DS46" s="659">
        <f>(BP46*Assumptions!L$503)-FR46</f>
        <v>7.2867296876829535</v>
      </c>
      <c r="DT46" s="659">
        <f>(BQ46*Assumptions!M$503)-FS46</f>
        <v>8.2235867537082612</v>
      </c>
      <c r="DU46" s="659">
        <f>(BR46*Assumptions!N$503)-FT46</f>
        <v>9.1880671401991911</v>
      </c>
      <c r="DV46" s="659">
        <f>(BS46*Assumptions!O$503)-FU46</f>
        <v>10.181985308915344</v>
      </c>
      <c r="DW46" s="659">
        <f>(BT46*Assumptions!P$503)-FV46</f>
        <v>11.206384476465631</v>
      </c>
      <c r="DX46" s="659">
        <f>(BU46*Assumptions!Q$503)-FW46</f>
        <v>12.262337606227334</v>
      </c>
      <c r="DY46" s="659">
        <f>(BV46*Assumptions!R$503)-FX46</f>
        <v>13.346957513372578</v>
      </c>
      <c r="DZ46" s="678">
        <v>0</v>
      </c>
      <c r="EA46" s="661">
        <f t="shared" si="130"/>
        <v>1</v>
      </c>
      <c r="EB46" s="1861">
        <f t="shared" si="131"/>
        <v>3.5066573187427004</v>
      </c>
      <c r="EC46" s="1881"/>
      <c r="ED46" s="1877">
        <v>1</v>
      </c>
      <c r="EE46" s="684"/>
      <c r="EF46" s="684"/>
      <c r="EG46" s="684"/>
      <c r="EH46" s="684"/>
      <c r="EI46" s="491">
        <v>-3</v>
      </c>
      <c r="EJ46" s="491">
        <v>-3</v>
      </c>
      <c r="EK46" s="491">
        <v>-3</v>
      </c>
      <c r="EL46" s="491">
        <v>-3</v>
      </c>
      <c r="EM46" s="491">
        <v>-3</v>
      </c>
      <c r="EN46" s="491">
        <v>-3</v>
      </c>
      <c r="EO46" s="491">
        <v>-3</v>
      </c>
      <c r="EP46" s="491">
        <v>-3</v>
      </c>
      <c r="EQ46" s="491">
        <v>-3</v>
      </c>
      <c r="ER46" s="491">
        <v>-3</v>
      </c>
      <c r="ES46" s="491">
        <v>-3</v>
      </c>
      <c r="ET46" s="541">
        <f t="shared" si="133"/>
        <v>-3</v>
      </c>
      <c r="EU46" s="479" cm="1">
        <f t="array" ref="EU46">BH46*SUMPRODUCT($W46:$X46,TRANSPOSE(Assumptions!$D$289:$D$290))/1000</f>
        <v>0</v>
      </c>
      <c r="EV46" s="479" cm="1">
        <f t="array" ref="EV46">BI46*SUMPRODUCT($W46:$X46,TRANSPOSE(Assumptions!$D$289:$D$290))/1000</f>
        <v>0</v>
      </c>
      <c r="EW46" s="479" cm="1">
        <f t="array" ref="EW46">BJ46*SUMPRODUCT($W46:$X46,TRANSPOSE(Assumptions!$D$289:$D$290))/1000</f>
        <v>0</v>
      </c>
      <c r="EX46" s="479" cm="1">
        <f t="array" ref="EX46">BK46*SUMPRODUCT($W46:$X46,TRANSPOSE(Assumptions!$D$289:$D$290))/1000</f>
        <v>0</v>
      </c>
      <c r="EY46" s="479" cm="1">
        <f t="array" ref="EY46">BL46*SUMPRODUCT($W46:$X46,TRANSPOSE(Assumptions!$D$289:$D$290))/1000</f>
        <v>0.10366392678920204</v>
      </c>
      <c r="EZ46" s="479" cm="1">
        <f t="array" ref="EZ46">BM46*SUMPRODUCT($W46:$X46,TRANSPOSE(Assumptions!$D$289:$D$290))/1000</f>
        <v>0.20529522756292953</v>
      </c>
      <c r="FA46" s="479" cm="1">
        <f t="array" ref="FA46">BN46*SUMPRODUCT($W46:$X46,TRANSPOSE(Assumptions!$D$289:$D$290))/1000</f>
        <v>0.30493375773325054</v>
      </c>
      <c r="FB46" s="479" cm="1">
        <f t="array" ref="FB46">BO46*SUMPRODUCT($W46:$X46,TRANSPOSE(Assumptions!$D$289:$D$290))/1000</f>
        <v>0.4026185912335653</v>
      </c>
      <c r="FC46" s="479" cm="1">
        <f t="array" ref="FC46">BP46*SUMPRODUCT($W46:$X46,TRANSPOSE(Assumptions!$D$289:$D$290))/1000</f>
        <v>0.49838803584171704</v>
      </c>
      <c r="FD46" s="479" cm="1">
        <f t="array" ref="FD46">BQ46*SUMPRODUCT($W46:$X46,TRANSPOSE(Assumptions!$D$289:$D$290))/1000</f>
        <v>0.59227964820265011</v>
      </c>
      <c r="FE46" s="479" cm="1">
        <f t="array" ref="FE46">BR46*SUMPRODUCT($W46:$X46,TRANSPOSE(Assumptions!$D$289:$D$290))/1000</f>
        <v>0.68433024855650604</v>
      </c>
      <c r="FF46" s="479" cm="1">
        <f t="array" ref="FF46">BS46*SUMPRODUCT($W46:$X46,TRANSPOSE(Assumptions!$D$289:$D$290))/1000</f>
        <v>0.77457593517793344</v>
      </c>
      <c r="FG46" s="479" cm="1">
        <f t="array" ref="FG46">BT46*SUMPRODUCT($W46:$X46,TRANSPOSE(Assumptions!$D$289:$D$290))/1000</f>
        <v>0.86305209853227394</v>
      </c>
      <c r="FH46" s="479" cm="1">
        <f t="array" ref="FH46">BU46*SUMPRODUCT($W46:$X46,TRANSPOSE(Assumptions!$D$289:$D$290))/1000</f>
        <v>0.94979343515417636</v>
      </c>
      <c r="FI46" s="479" cm="1">
        <f t="array" ref="FI46">BV46*SUMPRODUCT($W46:$X46,TRANSPOSE(Assumptions!$D$289:$D$290))/1000</f>
        <v>1.0344349779071786</v>
      </c>
      <c r="FJ46" s="666">
        <f t="shared" si="179"/>
        <v>0</v>
      </c>
      <c r="FK46" s="666">
        <f t="shared" si="180"/>
        <v>0</v>
      </c>
      <c r="FL46" s="666">
        <f t="shared" si="181"/>
        <v>0</v>
      </c>
      <c r="FM46" s="666">
        <f t="shared" si="182"/>
        <v>0</v>
      </c>
      <c r="FN46" s="666">
        <f t="shared" si="183"/>
        <v>-3.1036639267892019</v>
      </c>
      <c r="FO46" s="666">
        <f t="shared" si="184"/>
        <v>-3.2052952275629294</v>
      </c>
      <c r="FP46" s="666">
        <f t="shared" si="185"/>
        <v>-3.3049337577332505</v>
      </c>
      <c r="FQ46" s="666">
        <f t="shared" si="186"/>
        <v>-3.4026185912335651</v>
      </c>
      <c r="FR46" s="666">
        <f t="shared" si="187"/>
        <v>-3.498388035841717</v>
      </c>
      <c r="FS46" s="666">
        <f t="shared" si="188"/>
        <v>-3.5922796482026502</v>
      </c>
      <c r="FT46" s="666">
        <f t="shared" si="144"/>
        <v>-3.6843302485565061</v>
      </c>
      <c r="FU46" s="666">
        <f t="shared" si="145"/>
        <v>-3.7745759351779333</v>
      </c>
      <c r="FV46" s="666">
        <f t="shared" si="146"/>
        <v>-3.863052098532274</v>
      </c>
      <c r="FW46" s="666">
        <f t="shared" si="147"/>
        <v>-3.9497934351541764</v>
      </c>
      <c r="FX46" s="1883">
        <f t="shared" si="148"/>
        <v>-4.0344349779071784</v>
      </c>
      <c r="FY46" s="1895"/>
      <c r="FZ46" s="690"/>
      <c r="GA46" s="690"/>
      <c r="GB46" s="690"/>
      <c r="GC46" s="690"/>
      <c r="GD46" s="664">
        <f t="shared" si="149"/>
        <v>510.00000000000006</v>
      </c>
      <c r="GE46" s="664">
        <f t="shared" si="150"/>
        <v>520.20000000000005</v>
      </c>
      <c r="GF46" s="664">
        <f t="shared" si="151"/>
        <v>530.60400000000016</v>
      </c>
      <c r="GG46" s="664">
        <f t="shared" si="152"/>
        <v>541.21608000000015</v>
      </c>
      <c r="GH46" s="664">
        <f t="shared" si="153"/>
        <v>552.04040160000011</v>
      </c>
      <c r="GI46" s="664">
        <f t="shared" si="154"/>
        <v>563.0812096320002</v>
      </c>
      <c r="GJ46" s="664">
        <f t="shared" si="155"/>
        <v>574.34283382464025</v>
      </c>
      <c r="GK46" s="664">
        <f t="shared" si="156"/>
        <v>585.82969050113297</v>
      </c>
      <c r="GL46" s="664">
        <f t="shared" si="157"/>
        <v>597.54628431115566</v>
      </c>
      <c r="GM46" s="664">
        <f t="shared" si="158"/>
        <v>609.49720999737872</v>
      </c>
      <c r="GN46" s="1861">
        <f t="shared" si="159"/>
        <v>621.68715419732632</v>
      </c>
      <c r="GO46" s="1910"/>
      <c r="GP46" s="1868">
        <f>BH46*INDEX(Assumptions!G$565:G$570,MATCH($B46,Assumptions!$B$565:$B$570,0))</f>
        <v>0</v>
      </c>
      <c r="GQ46" s="656">
        <f>BI46*INDEX(Assumptions!H$565:H$570,MATCH($B46,Assumptions!$B$565:$B$570,0))</f>
        <v>0</v>
      </c>
      <c r="GR46" s="656">
        <f>BJ46*INDEX(Assumptions!I$565:I$570,MATCH($B46,Assumptions!$B$565:$B$570,0))</f>
        <v>0</v>
      </c>
      <c r="GS46" s="656">
        <f>BK46*INDEX(Assumptions!J$565:J$570,MATCH($B46,Assumptions!$B$565:$B$570,0))</f>
        <v>0</v>
      </c>
      <c r="GT46" s="656">
        <f>BL46*INDEX(Assumptions!K$565:K$570,MATCH($B46,Assumptions!$B$565:$B$570,0))</f>
        <v>1.5619543151481978</v>
      </c>
      <c r="GU46" s="656">
        <f>BM46*INDEX(Assumptions!L$565:L$570,MATCH($B46,Assumptions!$B$565:$B$570,0))</f>
        <v>2.9816801616875068</v>
      </c>
      <c r="GV46" s="656">
        <f>BN46*INDEX(Assumptions!M$565:M$570,MATCH($B46,Assumptions!$B$565:$B$570,0))</f>
        <v>4.2594280418004713</v>
      </c>
      <c r="GW46" s="656">
        <f>BO46*INDEX(Assumptions!N$565:N$570,MATCH($B46,Assumptions!$B$565:$B$570,0))</f>
        <v>5.3984835226958703</v>
      </c>
      <c r="GX46" s="656">
        <f>BP46*INDEX(Assumptions!O$565:O$570,MATCH($B46,Assumptions!$B$565:$B$570,0))</f>
        <v>6.4013048474186105</v>
      </c>
      <c r="GY46" s="656">
        <f>BQ46*INDEX(Assumptions!P$565:P$570,MATCH($B46,Assumptions!$B$565:$B$570,0))</f>
        <v>6.912030034923391</v>
      </c>
      <c r="GZ46" s="656">
        <f>BR46*INDEX(Assumptions!Q$565:Q$570,MATCH($B46,Assumptions!$B$565:$B$570,0))</f>
        <v>0</v>
      </c>
      <c r="HA46" s="656">
        <f>BS46*INDEX(Assumptions!R$565:R$570,MATCH($B46,Assumptions!$B$565:$B$570,0))</f>
        <v>13.724843384820328</v>
      </c>
      <c r="HB46" s="656">
        <f>BT46*INDEX(Assumptions!S$565:S$570,MATCH($B46,Assumptions!$B$565:$B$570,0))</f>
        <v>15.292567645514218</v>
      </c>
      <c r="HC46" s="656">
        <f>BU46*INDEX(Assumptions!T$565:T$570,MATCH($B46,Assumptions!$B$565:$B$570,0))</f>
        <v>16.255026224477628</v>
      </c>
      <c r="HD46" s="1922">
        <f>BV46*INDEX(Assumptions!U$565:U$570,MATCH($B46,Assumptions!$B$565:$B$570,0))</f>
        <v>17.07787958192845</v>
      </c>
      <c r="HE46" s="1933"/>
      <c r="HF46" s="1930">
        <f t="shared" si="160"/>
        <v>0</v>
      </c>
      <c r="HG46" s="869">
        <f t="shared" si="161"/>
        <v>0</v>
      </c>
      <c r="HH46" s="869">
        <f t="shared" si="162"/>
        <v>0</v>
      </c>
      <c r="HI46" s="869">
        <f t="shared" si="163"/>
        <v>0</v>
      </c>
      <c r="HJ46" s="869">
        <f t="shared" si="164"/>
        <v>0.20000000000000004</v>
      </c>
      <c r="HK46" s="869">
        <f t="shared" si="165"/>
        <v>0.19607843137254904</v>
      </c>
      <c r="HL46" s="869">
        <f t="shared" si="166"/>
        <v>0.19223375624759706</v>
      </c>
      <c r="HM46" s="869">
        <f t="shared" si="167"/>
        <v>0.18846446690940885</v>
      </c>
      <c r="HN46" s="869">
        <f t="shared" si="168"/>
        <v>0.18476908520530283</v>
      </c>
      <c r="HO46" s="869">
        <f t="shared" si="169"/>
        <v>0.18114616196598315</v>
      </c>
      <c r="HP46" s="869">
        <f t="shared" si="170"/>
        <v>0.17759427643723835</v>
      </c>
      <c r="HQ46" s="869">
        <f t="shared" si="171"/>
        <v>0.17411203572278267</v>
      </c>
      <c r="HR46" s="869">
        <f t="shared" si="172"/>
        <v>0.17069807423802225</v>
      </c>
      <c r="HS46" s="869">
        <f t="shared" si="173"/>
        <v>0.16735105317453158</v>
      </c>
      <c r="HT46" s="869">
        <f t="shared" si="174"/>
        <v>0.1632998968389815</v>
      </c>
      <c r="HU46" s="528">
        <f t="shared" si="189"/>
        <v>0.18143156710112701</v>
      </c>
      <c r="HV46" s="499">
        <f>_xlfn.XLOOKUP(D46,TalTech!B:B,TalTech!J:J)+_xlfn.XLOOKUP(D46,TalTech!B:B,TalTech!K:K)</f>
        <v>36</v>
      </c>
      <c r="HW46" s="1936">
        <f>HJ46/(Assumptions!$I$651/1000000)</f>
        <v>5.0251439358258978E-3</v>
      </c>
      <c r="HX46" s="1944"/>
      <c r="HY46" s="1942">
        <v>2025</v>
      </c>
      <c r="HZ46" s="691">
        <v>2030</v>
      </c>
      <c r="IA46" s="683" t="s">
        <v>726</v>
      </c>
      <c r="IB46" s="683" t="s">
        <v>734</v>
      </c>
      <c r="IC46" s="694" t="s">
        <v>567</v>
      </c>
      <c r="ID46" s="1376" t="s">
        <v>738</v>
      </c>
      <c r="IE46" s="1968"/>
      <c r="IF46" s="1963">
        <v>0</v>
      </c>
      <c r="IG46" s="538">
        <v>0</v>
      </c>
      <c r="IH46" s="538">
        <v>0.5</v>
      </c>
      <c r="II46" s="538">
        <v>1</v>
      </c>
      <c r="IJ46" s="538">
        <v>0.5</v>
      </c>
      <c r="IK46" s="1276">
        <v>1</v>
      </c>
      <c r="IL46" s="1280">
        <v>1</v>
      </c>
      <c r="IM46" s="1278" t="s">
        <v>737</v>
      </c>
    </row>
    <row r="47" spans="2:247" ht="13.5" customHeight="1" x14ac:dyDescent="0.3">
      <c r="B47" s="1703" t="s">
        <v>51</v>
      </c>
      <c r="C47" s="2113"/>
      <c r="D47" s="671" t="s">
        <v>739</v>
      </c>
      <c r="E47" s="1783" t="s">
        <v>740</v>
      </c>
      <c r="F47" s="1804"/>
      <c r="G47" s="1292"/>
      <c r="H47" s="70"/>
      <c r="I47" s="13"/>
      <c r="J47" s="70" t="s">
        <v>563</v>
      </c>
      <c r="K47" s="71" t="s">
        <v>564</v>
      </c>
      <c r="L47" s="1176" t="s">
        <v>719</v>
      </c>
      <c r="M47" s="1827"/>
      <c r="N47" s="1817"/>
      <c r="O47" s="1178">
        <v>1</v>
      </c>
      <c r="P47" s="1177"/>
      <c r="Q47" s="1177"/>
      <c r="R47" s="1177"/>
      <c r="S47" s="1445"/>
      <c r="T47" s="1445"/>
      <c r="U47" s="1445"/>
      <c r="V47" s="1445"/>
      <c r="W47" s="1445">
        <f>_xlfn.XLOOKUP(D47,TalTech!$B$4:$B$46,TalTech!$AZ$4:$AZ$46)</f>
        <v>0.94444444444444442</v>
      </c>
      <c r="X47" s="1445">
        <f t="shared" si="175"/>
        <v>5.555555555555558E-2</v>
      </c>
      <c r="Y47" s="1179" cm="1">
        <f t="array" ref="Y47:AC47">(TRANSPOSE(Assumptions!$E$668:$E$672)*'EE Measures'!$AD47)+(TRANSPOSE(_xlfn.ANCHORARRAY(Assumptions!$F$668))*'EE Measures'!$AE47)+(TRANSPOSE(Assumptions!$G$668:$G$672)*'EE Measures'!$AF47)</f>
        <v>0.44878839467819137</v>
      </c>
      <c r="Z47" s="1179">
        <v>9.7381699102427804E-2</v>
      </c>
      <c r="AA47" s="1179">
        <v>0.15097786861604018</v>
      </c>
      <c r="AB47" s="1179">
        <v>0.2115186959895817</v>
      </c>
      <c r="AC47" s="1179">
        <v>9.1333341613758917E-2</v>
      </c>
      <c r="AD47" s="1177"/>
      <c r="AE47" s="1180">
        <f>Assumptions!$F$651/SUM(Assumptions!$F$651:$G$651)</f>
        <v>2.266213047220475E-2</v>
      </c>
      <c r="AF47" s="1181">
        <f>1-AE47</f>
        <v>0.97733786952779522</v>
      </c>
      <c r="AG47" s="1177"/>
      <c r="AH47" s="1178">
        <v>1</v>
      </c>
      <c r="AI47" s="1177"/>
      <c r="AJ47" s="1273">
        <v>1</v>
      </c>
      <c r="AK47" s="1417">
        <f t="shared" si="176"/>
        <v>0</v>
      </c>
      <c r="AL47" s="1177"/>
      <c r="AM47" s="1177"/>
      <c r="AN47" s="1177"/>
      <c r="AO47" s="1221"/>
      <c r="AP47" s="1846"/>
      <c r="AQ47" s="1842">
        <v>120.00000000000001</v>
      </c>
      <c r="AR47" s="663"/>
      <c r="AS47" s="663"/>
      <c r="AT47" s="663"/>
      <c r="AU47" s="663"/>
      <c r="AV47" s="659">
        <f>_xlfn.XLOOKUP($D47,TalTech!$B$4:$B$46,TalTech!BB$4:BB$46)</f>
        <v>120.00000000000001</v>
      </c>
      <c r="AW47" s="659">
        <f>_xlfn.XLOOKUP($D47,TalTech!$B$4:$B$46,TalTech!BC$4:BC$46)</f>
        <v>117.64705882352943</v>
      </c>
      <c r="AX47" s="659">
        <f>_xlfn.XLOOKUP($D47,TalTech!$B$4:$B$46,TalTech!BD$4:BD$46)</f>
        <v>115.34025374855825</v>
      </c>
      <c r="AY47" s="659">
        <f>_xlfn.XLOOKUP($D47,TalTech!$B$4:$B$46,TalTech!BE$4:BE$46)</f>
        <v>113.07868014564535</v>
      </c>
      <c r="AZ47" s="659">
        <f>_xlfn.XLOOKUP($D47,TalTech!$B$4:$B$46,TalTech!BF$4:BF$46)</f>
        <v>110.86145112318167</v>
      </c>
      <c r="BA47" s="659">
        <f>_xlfn.XLOOKUP($D47,TalTech!$B$4:$B$46,TalTech!BG$4:BG$46)</f>
        <v>108.68769717958989</v>
      </c>
      <c r="BB47" s="659">
        <f>_xlfn.XLOOKUP($D47,TalTech!$B$4:$B$46,TalTech!BH$4:BH$46)</f>
        <v>106.55656586234304</v>
      </c>
      <c r="BC47" s="659">
        <f>_xlfn.XLOOKUP($D47,TalTech!$B$4:$B$46,TalTech!BI$4:BI$46)</f>
        <v>104.46722143366965</v>
      </c>
      <c r="BD47" s="659">
        <f>_xlfn.XLOOKUP($D47,TalTech!$B$4:$B$46,TalTech!BJ$4:BJ$46)</f>
        <v>102.41884454281336</v>
      </c>
      <c r="BE47" s="659">
        <f>_xlfn.XLOOKUP($D47,TalTech!$B$4:$B$46,TalTech!BK$4:BK$46)</f>
        <v>100.41063190471898</v>
      </c>
      <c r="BF47" s="659">
        <f>_xlfn.XLOOKUP($D47,TalTech!$B$4:$B$46,TalTech!BL$4:BL$46)</f>
        <v>97.979938103388818</v>
      </c>
      <c r="BG47" s="501">
        <f t="shared" si="177"/>
        <v>108.85894026067622</v>
      </c>
      <c r="BH47" s="893">
        <f t="shared" si="111"/>
        <v>0</v>
      </c>
      <c r="BI47" s="658">
        <f t="shared" si="112"/>
        <v>0</v>
      </c>
      <c r="BJ47" s="658">
        <f t="shared" si="113"/>
        <v>0</v>
      </c>
      <c r="BK47" s="658">
        <f t="shared" si="114"/>
        <v>0</v>
      </c>
      <c r="BL47" s="658">
        <f t="shared" si="115"/>
        <v>120.00000000000001</v>
      </c>
      <c r="BM47" s="658">
        <f t="shared" si="116"/>
        <v>237.64705882352945</v>
      </c>
      <c r="BN47" s="658">
        <f t="shared" si="117"/>
        <v>352.98731257208772</v>
      </c>
      <c r="BO47" s="658">
        <f t="shared" si="118"/>
        <v>466.06599271773308</v>
      </c>
      <c r="BP47" s="658">
        <f t="shared" si="119"/>
        <v>576.92744384091475</v>
      </c>
      <c r="BQ47" s="658">
        <f t="shared" si="120"/>
        <v>685.61514102050467</v>
      </c>
      <c r="BR47" s="658">
        <f t="shared" si="121"/>
        <v>792.17170688284773</v>
      </c>
      <c r="BS47" s="658">
        <f t="shared" si="122"/>
        <v>896.63892831651742</v>
      </c>
      <c r="BT47" s="658">
        <f t="shared" si="123"/>
        <v>999.05777285933073</v>
      </c>
      <c r="BU47" s="658">
        <f t="shared" si="124"/>
        <v>1099.4684047640496</v>
      </c>
      <c r="BV47" s="1851">
        <f t="shared" si="125"/>
        <v>1197.4483428674384</v>
      </c>
      <c r="BW47" s="1661"/>
      <c r="BX47" s="1855">
        <v>900</v>
      </c>
      <c r="BY47" s="1192">
        <f t="shared" si="126"/>
        <v>4600.3366800000003</v>
      </c>
      <c r="BZ47" s="663"/>
      <c r="CA47" s="663"/>
      <c r="CB47" s="663"/>
      <c r="CC47" s="663"/>
      <c r="CD47" s="675">
        <f>_xlfn.XLOOKUP($D47,TalTech!$B$4:$B$46,TalTech!BM$4:BM$46)</f>
        <v>500.00000000000006</v>
      </c>
      <c r="CE47" s="675">
        <f>_xlfn.XLOOKUP($D47,TalTech!$B$4:$B$46,TalTech!BN$4:BN$46)</f>
        <v>510.00000000000006</v>
      </c>
      <c r="CF47" s="675">
        <f>_xlfn.XLOOKUP($D47,TalTech!$B$4:$B$46,TalTech!BO$4:BO$46)</f>
        <v>520.20000000000005</v>
      </c>
      <c r="CG47" s="675">
        <f>_xlfn.XLOOKUP($D47,TalTech!$B$4:$B$46,TalTech!BP$4:BP$46)</f>
        <v>530.60400000000004</v>
      </c>
      <c r="CH47" s="675">
        <f>_xlfn.XLOOKUP($D47,TalTech!$B$4:$B$46,TalTech!BQ$4:BQ$46)</f>
        <v>541.21608000000003</v>
      </c>
      <c r="CI47" s="675">
        <f>_xlfn.XLOOKUP($D47,TalTech!$B$4:$B$46,TalTech!BR$4:BR$46)</f>
        <v>552.0404016</v>
      </c>
      <c r="CJ47" s="675">
        <f>_xlfn.XLOOKUP($D47,TalTech!$B$4:$B$46,TalTech!BS$4:BS$46)</f>
        <v>563.08120963199997</v>
      </c>
      <c r="CK47" s="675">
        <f>_xlfn.XLOOKUP($D47,TalTech!$B$4:$B$46,TalTech!BT$4:BT$46)</f>
        <v>574.34283382464002</v>
      </c>
      <c r="CL47" s="675">
        <f>_xlfn.XLOOKUP($D47,TalTech!$B$4:$B$46,TalTech!BU$4:BU$46)</f>
        <v>585.82969050113286</v>
      </c>
      <c r="CM47" s="675">
        <f>_xlfn.XLOOKUP($D47,TalTech!$B$4:$B$46,TalTech!BV$4:BV$46)</f>
        <v>597.54628431115555</v>
      </c>
      <c r="CN47" s="675">
        <f>_xlfn.XLOOKUP($D47,TalTech!$B$4:$B$46,TalTech!BW$4:BW$46)</f>
        <v>609.49720999737872</v>
      </c>
      <c r="CO47" s="493">
        <f t="shared" si="178"/>
        <v>553.12342816966429</v>
      </c>
      <c r="CP47" s="660">
        <f t="shared" si="127"/>
        <v>3154.0604816000005</v>
      </c>
      <c r="CQ47" s="1193">
        <f>_xlfn.XLOOKUP($D47,TalTech!$B$4:$B$46,TalTech!$H$4:$H$46)</f>
        <v>0.28534646220336446</v>
      </c>
      <c r="CR47" s="662">
        <f t="shared" si="128"/>
        <v>0.71465353779663554</v>
      </c>
      <c r="CS47" s="685" t="str">
        <v>30% government 70% homeowners (government cost reported)</v>
      </c>
      <c r="CT47" s="1862">
        <f t="shared" si="129"/>
        <v>525.67674693333345</v>
      </c>
      <c r="CU47" s="1872"/>
      <c r="CV47" s="1865">
        <f>BH47*Assumptions!D$496</f>
        <v>0</v>
      </c>
      <c r="CW47" s="659">
        <f>BI47*Assumptions!E$496</f>
        <v>0</v>
      </c>
      <c r="CX47" s="659">
        <f>BJ47*Assumptions!F$496</f>
        <v>0</v>
      </c>
      <c r="CY47" s="659">
        <f>BK47*Assumptions!G$496</f>
        <v>0</v>
      </c>
      <c r="CZ47" s="659">
        <f>BL47*Assumptions!H$496</f>
        <v>11.132348666956167</v>
      </c>
      <c r="DA47" s="659">
        <f>BM47*Assumptions!I$496</f>
        <v>22.694925444805456</v>
      </c>
      <c r="DB47" s="659">
        <f>BN47*Assumptions!J$496</f>
        <v>34.700412398102003</v>
      </c>
      <c r="DC47" s="659">
        <f>BO47*Assumptions!K$496</f>
        <v>47.164309804497421</v>
      </c>
      <c r="DD47" s="659">
        <f>BP47*Assumptions!L$496</f>
        <v>60.101980301362488</v>
      </c>
      <c r="DE47" s="659">
        <f>BQ47*Assumptions!M$496</f>
        <v>73.529256718671306</v>
      </c>
      <c r="DF47" s="659">
        <f>BR47*Assumptions!N$496</f>
        <v>87.434328612634033</v>
      </c>
      <c r="DG47" s="659">
        <f>BS47*Assumptions!O$496</f>
        <v>101.85284468129558</v>
      </c>
      <c r="DH47" s="659">
        <f>BT47*Assumptions!P$496</f>
        <v>116.80161918103683</v>
      </c>
      <c r="DI47" s="659">
        <f>BU47*Assumptions!Q$496</f>
        <v>132.29797547384817</v>
      </c>
      <c r="DJ47" s="659">
        <f>BV47*Assumptions!R$496</f>
        <v>148.30256097349033</v>
      </c>
      <c r="DK47" s="656">
        <f>BH47*Assumptions!D$503</f>
        <v>0</v>
      </c>
      <c r="DL47" s="656">
        <f>BI47*Assumptions!E$503</f>
        <v>0</v>
      </c>
      <c r="DM47" s="656">
        <f>BJ47*Assumptions!F$503</f>
        <v>0</v>
      </c>
      <c r="DN47" s="656">
        <f>BK47*Assumptions!G$503</f>
        <v>0</v>
      </c>
      <c r="DO47" s="656">
        <f>BL47*Assumptions!H$503</f>
        <v>11.72968018706851</v>
      </c>
      <c r="DP47" s="656">
        <f>BM47*Assumptions!I$503</f>
        <v>23.89480598533455</v>
      </c>
      <c r="DQ47" s="656">
        <f>BN47*Assumptions!J$503</f>
        <v>36.507751740199197</v>
      </c>
      <c r="DR47" s="656">
        <f>BO47*Assumptions!K$503</f>
        <v>49.584054785580108</v>
      </c>
      <c r="DS47" s="656">
        <f>BP47*Assumptions!L$503</f>
        <v>63.139027530687272</v>
      </c>
      <c r="DT47" s="656">
        <f>BQ47*Assumptions!M$503</f>
        <v>77.188451758426865</v>
      </c>
      <c r="DU47" s="656">
        <f>BR47*Assumptions!N$503</f>
        <v>91.728948194044747</v>
      </c>
      <c r="DV47" s="656">
        <f>BS47*Assumptions!O$503</f>
        <v>106.79015622895687</v>
      </c>
      <c r="DW47" s="656">
        <f>BT47*Assumptions!P$503</f>
        <v>122.38887296555596</v>
      </c>
      <c r="DX47" s="656">
        <f>BU47*Assumptions!Q$503</f>
        <v>138.54240285121929</v>
      </c>
      <c r="DY47" s="656">
        <f>BV47*Assumptions!R$503</f>
        <v>155.20870892442332</v>
      </c>
      <c r="DZ47" s="678">
        <v>0</v>
      </c>
      <c r="EA47" s="661">
        <f t="shared" si="130"/>
        <v>1</v>
      </c>
      <c r="EB47" s="1861">
        <f t="shared" si="131"/>
        <v>24.932323333439484</v>
      </c>
      <c r="EC47" s="1881"/>
      <c r="ED47" s="1877">
        <v>0</v>
      </c>
      <c r="EE47" s="684"/>
      <c r="EF47" s="684"/>
      <c r="EG47" s="684"/>
      <c r="EH47" s="684"/>
      <c r="EI47" s="665">
        <f t="shared" ref="EI47:ES47" si="190">(CD47*0.32*$CR47)</f>
        <v>114.34456604746171</v>
      </c>
      <c r="EJ47" s="665">
        <f t="shared" si="190"/>
        <v>116.63145736841093</v>
      </c>
      <c r="EK47" s="665">
        <f t="shared" si="190"/>
        <v>118.96408651577916</v>
      </c>
      <c r="EL47" s="665">
        <f t="shared" si="190"/>
        <v>121.34336824609473</v>
      </c>
      <c r="EM47" s="665">
        <f t="shared" si="190"/>
        <v>123.77023561101663</v>
      </c>
      <c r="EN47" s="665">
        <f t="shared" si="190"/>
        <v>126.24564032323694</v>
      </c>
      <c r="EO47" s="665">
        <f t="shared" si="190"/>
        <v>128.77055312970168</v>
      </c>
      <c r="EP47" s="665">
        <f t="shared" si="190"/>
        <v>131.34596419229572</v>
      </c>
      <c r="EQ47" s="665">
        <f t="shared" si="190"/>
        <v>133.97288347614165</v>
      </c>
      <c r="ER47" s="665">
        <f t="shared" si="190"/>
        <v>136.65234114566451</v>
      </c>
      <c r="ES47" s="665">
        <f t="shared" si="190"/>
        <v>139.38538796857782</v>
      </c>
      <c r="ET47" s="541">
        <f t="shared" si="133"/>
        <v>126.49331672948921</v>
      </c>
      <c r="EU47" s="479" cm="1">
        <f t="array" ref="EU47">BH47*SUMPRODUCT($W47:$X47,TRANSPOSE(Assumptions!$D$289:$D$290))/1000</f>
        <v>0</v>
      </c>
      <c r="EV47" s="479" cm="1">
        <f t="array" ref="EV47">BI47*SUMPRODUCT($W47:$X47,TRANSPOSE(Assumptions!$D$289:$D$290))/1000</f>
        <v>0</v>
      </c>
      <c r="EW47" s="479" cm="1">
        <f t="array" ref="EW47">BJ47*SUMPRODUCT($W47:$X47,TRANSPOSE(Assumptions!$D$289:$D$290))/1000</f>
        <v>0</v>
      </c>
      <c r="EX47" s="479" cm="1">
        <f t="array" ref="EX47">BK47*SUMPRODUCT($W47:$X47,TRANSPOSE(Assumptions!$D$289:$D$290))/1000</f>
        <v>0</v>
      </c>
      <c r="EY47" s="479" cm="1">
        <f t="array" ref="EY47">BL47*SUMPRODUCT($W47:$X47,TRANSPOSE(Assumptions!$D$289:$D$290))/1000</f>
        <v>1.7277321131533672</v>
      </c>
      <c r="EZ47" s="479" cm="1">
        <f t="array" ref="EZ47">BM47*SUMPRODUCT($W47:$X47,TRANSPOSE(Assumptions!$D$289:$D$290))/1000</f>
        <v>3.4215871260488258</v>
      </c>
      <c r="FA47" s="479" cm="1">
        <f t="array" ref="FA47">BN47*SUMPRODUCT($W47:$X47,TRANSPOSE(Assumptions!$D$289:$D$290))/1000</f>
        <v>5.0822292955541775</v>
      </c>
      <c r="FB47" s="479" cm="1">
        <f t="array" ref="FB47">BO47*SUMPRODUCT($W47:$X47,TRANSPOSE(Assumptions!$D$289:$D$290))/1000</f>
        <v>6.7103098538927561</v>
      </c>
      <c r="FC47" s="479" cm="1">
        <f t="array" ref="FC47">BP47*SUMPRODUCT($W47:$X47,TRANSPOSE(Assumptions!$D$289:$D$290))/1000</f>
        <v>8.3064672640286172</v>
      </c>
      <c r="FD47" s="479" cm="1">
        <f t="array" ref="FD47">BQ47*SUMPRODUCT($W47:$X47,TRANSPOSE(Assumptions!$D$289:$D$290))/1000</f>
        <v>9.871327470044168</v>
      </c>
      <c r="FE47" s="479" cm="1">
        <f t="array" ref="FE47">BR47*SUMPRODUCT($W47:$X47,TRANSPOSE(Assumptions!$D$289:$D$290))/1000</f>
        <v>11.405504142608436</v>
      </c>
      <c r="FF47" s="479" cm="1">
        <f t="array" ref="FF47">BS47*SUMPRODUCT($W47:$X47,TRANSPOSE(Assumptions!$D$289:$D$290))/1000</f>
        <v>12.909598919632225</v>
      </c>
      <c r="FG47" s="479" cm="1">
        <f t="array" ref="FG47">BT47*SUMPRODUCT($W47:$X47,TRANSPOSE(Assumptions!$D$289:$D$290))/1000</f>
        <v>14.384201642204568</v>
      </c>
      <c r="FH47" s="479" cm="1">
        <f t="array" ref="FH47">BU47*SUMPRODUCT($W47:$X47,TRANSPOSE(Assumptions!$D$289:$D$290))/1000</f>
        <v>15.829890585902941</v>
      </c>
      <c r="FI47" s="479" cm="1">
        <f t="array" ref="FI47">BV47*SUMPRODUCT($W47:$X47,TRANSPOSE(Assumptions!$D$289:$D$290))/1000</f>
        <v>17.240582965119643</v>
      </c>
      <c r="FJ47" s="666">
        <f t="shared" si="179"/>
        <v>0</v>
      </c>
      <c r="FK47" s="666">
        <f t="shared" si="180"/>
        <v>0</v>
      </c>
      <c r="FL47" s="666">
        <f t="shared" si="181"/>
        <v>0</v>
      </c>
      <c r="FM47" s="666">
        <f t="shared" si="182"/>
        <v>0</v>
      </c>
      <c r="FN47" s="666">
        <f t="shared" si="183"/>
        <v>112.61683393430835</v>
      </c>
      <c r="FO47" s="666">
        <f t="shared" si="184"/>
        <v>113.20987024236211</v>
      </c>
      <c r="FP47" s="666">
        <f t="shared" si="185"/>
        <v>113.88185722022499</v>
      </c>
      <c r="FQ47" s="666">
        <f t="shared" si="186"/>
        <v>114.63305839220197</v>
      </c>
      <c r="FR47" s="666">
        <f t="shared" si="187"/>
        <v>115.46376834698802</v>
      </c>
      <c r="FS47" s="666">
        <f t="shared" si="188"/>
        <v>116.37431285319278</v>
      </c>
      <c r="FT47" s="666">
        <f t="shared" si="144"/>
        <v>117.36504898709325</v>
      </c>
      <c r="FU47" s="666">
        <f t="shared" si="145"/>
        <v>118.43636527266349</v>
      </c>
      <c r="FV47" s="666">
        <f t="shared" si="146"/>
        <v>119.58868183393707</v>
      </c>
      <c r="FW47" s="666">
        <f t="shared" si="147"/>
        <v>120.82245055976156</v>
      </c>
      <c r="FX47" s="1883">
        <f t="shared" si="148"/>
        <v>122.14480500345817</v>
      </c>
      <c r="FY47" s="1895"/>
      <c r="FZ47" s="690"/>
      <c r="GA47" s="690"/>
      <c r="GB47" s="690"/>
      <c r="GC47" s="690"/>
      <c r="GD47" s="664">
        <f t="shared" si="149"/>
        <v>8500.0000000000018</v>
      </c>
      <c r="GE47" s="664">
        <f t="shared" si="150"/>
        <v>8670.0000000000018</v>
      </c>
      <c r="GF47" s="664">
        <f t="shared" si="151"/>
        <v>8843.4000000000015</v>
      </c>
      <c r="GG47" s="664">
        <f t="shared" si="152"/>
        <v>9020.268</v>
      </c>
      <c r="GH47" s="664">
        <f t="shared" si="153"/>
        <v>9200.6733600000007</v>
      </c>
      <c r="GI47" s="664">
        <f t="shared" si="154"/>
        <v>9384.6868271999992</v>
      </c>
      <c r="GJ47" s="664">
        <f t="shared" si="155"/>
        <v>9572.380563744</v>
      </c>
      <c r="GK47" s="664">
        <f t="shared" si="156"/>
        <v>9763.8281750188798</v>
      </c>
      <c r="GL47" s="664">
        <f t="shared" si="157"/>
        <v>9959.1047385192578</v>
      </c>
      <c r="GM47" s="664">
        <f t="shared" si="158"/>
        <v>10158.286833289645</v>
      </c>
      <c r="GN47" s="1861">
        <f t="shared" si="159"/>
        <v>10361.452569955438</v>
      </c>
      <c r="GO47" s="1910"/>
      <c r="GP47" s="1868">
        <f>BH47*INDEX(Assumptions!G$565:G$570,MATCH($B47,Assumptions!$B$565:$B$570,0))</f>
        <v>0</v>
      </c>
      <c r="GQ47" s="656">
        <f>BI47*INDEX(Assumptions!H$565:H$570,MATCH($B47,Assumptions!$B$565:$B$570,0))</f>
        <v>0</v>
      </c>
      <c r="GR47" s="656">
        <f>BJ47*INDEX(Assumptions!I$565:I$570,MATCH($B47,Assumptions!$B$565:$B$570,0))</f>
        <v>0</v>
      </c>
      <c r="GS47" s="656">
        <f>BK47*INDEX(Assumptions!J$565:J$570,MATCH($B47,Assumptions!$B$565:$B$570,0))</f>
        <v>0</v>
      </c>
      <c r="GT47" s="656">
        <f>BL47*INDEX(Assumptions!K$565:K$570,MATCH($B47,Assumptions!$B$565:$B$570,0))</f>
        <v>26.032571919136629</v>
      </c>
      <c r="GU47" s="656">
        <f>BM47*INDEX(Assumptions!L$565:L$570,MATCH($B47,Assumptions!$B$565:$B$570,0))</f>
        <v>49.694669361458445</v>
      </c>
      <c r="GV47" s="656">
        <f>BN47*INDEX(Assumptions!M$565:M$570,MATCH($B47,Assumptions!$B$565:$B$570,0))</f>
        <v>70.990467363341196</v>
      </c>
      <c r="GW47" s="656">
        <f>BO47*INDEX(Assumptions!N$565:N$570,MATCH($B47,Assumptions!$B$565:$B$570,0))</f>
        <v>89.974725378264523</v>
      </c>
      <c r="GX47" s="656">
        <f>BP47*INDEX(Assumptions!O$565:O$570,MATCH($B47,Assumptions!$B$565:$B$570,0))</f>
        <v>106.68841412364351</v>
      </c>
      <c r="GY47" s="656">
        <f>BQ47*INDEX(Assumptions!P$565:P$570,MATCH($B47,Assumptions!$B$565:$B$570,0))</f>
        <v>115.20050058205652</v>
      </c>
      <c r="GZ47" s="656">
        <f>BR47*INDEX(Assumptions!Q$565:Q$570,MATCH($B47,Assumptions!$B$565:$B$570,0))</f>
        <v>0</v>
      </c>
      <c r="HA47" s="656">
        <f>BS47*INDEX(Assumptions!R$565:R$570,MATCH($B47,Assumptions!$B$565:$B$570,0))</f>
        <v>228.74738974700551</v>
      </c>
      <c r="HB47" s="656">
        <f>BT47*INDEX(Assumptions!S$565:S$570,MATCH($B47,Assumptions!$B$565:$B$570,0))</f>
        <v>254.876127425237</v>
      </c>
      <c r="HC47" s="656">
        <f>BU47*INDEX(Assumptions!T$565:T$570,MATCH($B47,Assumptions!$B$565:$B$570,0))</f>
        <v>270.91710374129383</v>
      </c>
      <c r="HD47" s="1922">
        <f>BV47*INDEX(Assumptions!U$565:U$570,MATCH($B47,Assumptions!$B$565:$B$570,0))</f>
        <v>284.63132636547419</v>
      </c>
      <c r="HE47" s="1933"/>
      <c r="HF47" s="1930">
        <f t="shared" si="160"/>
        <v>0</v>
      </c>
      <c r="HG47" s="869">
        <f t="shared" si="161"/>
        <v>0</v>
      </c>
      <c r="HH47" s="869">
        <f t="shared" si="162"/>
        <v>0</v>
      </c>
      <c r="HI47" s="869">
        <f t="shared" si="163"/>
        <v>0</v>
      </c>
      <c r="HJ47" s="869">
        <f t="shared" si="164"/>
        <v>1.1111111111111112</v>
      </c>
      <c r="HK47" s="869">
        <f t="shared" si="165"/>
        <v>1.0893246187363836</v>
      </c>
      <c r="HL47" s="869">
        <f t="shared" si="166"/>
        <v>1.0679653124866506</v>
      </c>
      <c r="HM47" s="869">
        <f t="shared" si="167"/>
        <v>1.0470248161633828</v>
      </c>
      <c r="HN47" s="869">
        <f t="shared" si="168"/>
        <v>1.0264949178072376</v>
      </c>
      <c r="HO47" s="869">
        <f t="shared" si="169"/>
        <v>1.0063675664776841</v>
      </c>
      <c r="HP47" s="869">
        <f t="shared" si="170"/>
        <v>0.98663486909576881</v>
      </c>
      <c r="HQ47" s="869">
        <f t="shared" si="171"/>
        <v>0.96728908734879304</v>
      </c>
      <c r="HR47" s="869">
        <f t="shared" si="172"/>
        <v>0.94832263465567923</v>
      </c>
      <c r="HS47" s="869">
        <f t="shared" si="173"/>
        <v>0.92972807319184247</v>
      </c>
      <c r="HT47" s="869">
        <f t="shared" si="174"/>
        <v>0.907221649105452</v>
      </c>
      <c r="HU47" s="528">
        <f t="shared" si="189"/>
        <v>1.0079531505618169</v>
      </c>
      <c r="HV47" s="499">
        <f>_xlfn.XLOOKUP(D47,TalTech!B:B,TalTech!J:J)+_xlfn.XLOOKUP(D47,TalTech!B:B,TalTech!K:K)</f>
        <v>108</v>
      </c>
      <c r="HW47" s="1936">
        <f>HJ47/(Assumptions!$I$651/1000000)</f>
        <v>2.7917466310143871E-2</v>
      </c>
      <c r="HX47" s="1944"/>
      <c r="HY47" s="1942">
        <v>2025</v>
      </c>
      <c r="HZ47" s="691">
        <v>2030</v>
      </c>
      <c r="IA47" s="683" t="s">
        <v>636</v>
      </c>
      <c r="IB47" s="683" t="s">
        <v>734</v>
      </c>
      <c r="IC47" s="694" t="s">
        <v>567</v>
      </c>
      <c r="ID47" s="1376" t="s">
        <v>741</v>
      </c>
      <c r="IE47" s="1968"/>
      <c r="IF47" s="1963">
        <v>0</v>
      </c>
      <c r="IG47" s="538">
        <v>0</v>
      </c>
      <c r="IH47" s="538">
        <v>0.5</v>
      </c>
      <c r="II47" s="1415">
        <v>1.1000000000000001</v>
      </c>
      <c r="IJ47" s="538">
        <v>0.5</v>
      </c>
      <c r="IK47" s="1276">
        <v>0.65</v>
      </c>
      <c r="IL47" s="1296">
        <v>1</v>
      </c>
      <c r="IM47" s="1278" t="s">
        <v>740</v>
      </c>
    </row>
    <row r="48" spans="2:247" ht="13.5" customHeight="1" x14ac:dyDescent="0.3">
      <c r="B48" s="1703" t="s">
        <v>51</v>
      </c>
      <c r="C48" s="2113"/>
      <c r="D48" s="671" t="s">
        <v>742</v>
      </c>
      <c r="E48" s="1783" t="s">
        <v>743</v>
      </c>
      <c r="F48" s="1804"/>
      <c r="G48" s="1292"/>
      <c r="H48" s="70"/>
      <c r="I48" s="13"/>
      <c r="J48" s="70"/>
      <c r="K48" s="71" t="s">
        <v>641</v>
      </c>
      <c r="L48" s="1176" t="s">
        <v>719</v>
      </c>
      <c r="M48" s="1827"/>
      <c r="N48" s="1817"/>
      <c r="O48" s="1178">
        <v>1</v>
      </c>
      <c r="P48" s="1177"/>
      <c r="Q48" s="1177"/>
      <c r="R48" s="1177"/>
      <c r="S48" s="1445"/>
      <c r="T48" s="1445"/>
      <c r="U48" s="1445"/>
      <c r="V48" s="1445"/>
      <c r="W48" s="1445">
        <f>_xlfn.XLOOKUP(D48,TalTech!$B$4:$B$46,TalTech!$AZ$4:$AZ$46)</f>
        <v>0.94444444444444442</v>
      </c>
      <c r="X48" s="1445">
        <f t="shared" si="175"/>
        <v>5.555555555555558E-2</v>
      </c>
      <c r="Y48" s="1179" cm="1">
        <f t="array" ref="Y48:AC48">(TRANSPOSE(Assumptions!$E$668:$E$672)*'EE Measures'!$AD48)+(TRANSPOSE(_xlfn.ANCHORARRAY(Assumptions!$F$668))*'EE Measures'!$AE48)+(TRANSPOSE(Assumptions!$G$668:$G$672)*'EE Measures'!$AF48)</f>
        <v>0.3493177927472812</v>
      </c>
      <c r="Z48" s="1179">
        <v>0.13834389985211143</v>
      </c>
      <c r="AA48" s="1179">
        <v>0.10633141466937233</v>
      </c>
      <c r="AB48" s="1179">
        <v>0.27963140047845425</v>
      </c>
      <c r="AC48" s="1179">
        <v>0.12637549225278072</v>
      </c>
      <c r="AD48" s="1182">
        <f>Assumptions!E$667</f>
        <v>0.43192607108744491</v>
      </c>
      <c r="AE48" s="1180">
        <f>Assumptions!F$667</f>
        <v>1.287376549487429E-2</v>
      </c>
      <c r="AF48" s="1181">
        <f>Assumptions!G$667</f>
        <v>0.55520016341768075</v>
      </c>
      <c r="AG48" s="1177"/>
      <c r="AH48" s="1178">
        <v>1</v>
      </c>
      <c r="AI48" s="1177"/>
      <c r="AJ48" s="1273">
        <v>1</v>
      </c>
      <c r="AK48" s="1417">
        <f t="shared" si="176"/>
        <v>0</v>
      </c>
      <c r="AL48" s="1177"/>
      <c r="AM48" s="1177"/>
      <c r="AN48" s="1177"/>
      <c r="AO48" s="1221"/>
      <c r="AP48" s="1846"/>
      <c r="AQ48" s="1842">
        <v>40</v>
      </c>
      <c r="AR48" s="663"/>
      <c r="AS48" s="663"/>
      <c r="AT48" s="663"/>
      <c r="AU48" s="663"/>
      <c r="AV48" s="659">
        <f>_xlfn.XLOOKUP($D48,TalTech!$B$4:$B$46,TalTech!BB$4:BB$46)</f>
        <v>40</v>
      </c>
      <c r="AW48" s="659">
        <f>_xlfn.XLOOKUP($D48,TalTech!$B$4:$B$46,TalTech!BC$4:BC$46)</f>
        <v>39.215686274509814</v>
      </c>
      <c r="AX48" s="659">
        <f>_xlfn.XLOOKUP($D48,TalTech!$B$4:$B$46,TalTech!BD$4:BD$46)</f>
        <v>38.446751249519416</v>
      </c>
      <c r="AY48" s="659">
        <f>_xlfn.XLOOKUP($D48,TalTech!$B$4:$B$46,TalTech!BE$4:BE$46)</f>
        <v>37.692893381881781</v>
      </c>
      <c r="AZ48" s="659">
        <f>_xlfn.XLOOKUP($D48,TalTech!$B$4:$B$46,TalTech!BF$4:BF$46)</f>
        <v>36.953817041060567</v>
      </c>
      <c r="BA48" s="659">
        <f>_xlfn.XLOOKUP($D48,TalTech!$B$4:$B$46,TalTech!BG$4:BG$46)</f>
        <v>36.229232393196632</v>
      </c>
      <c r="BB48" s="659">
        <f>_xlfn.XLOOKUP($D48,TalTech!$B$4:$B$46,TalTech!BH$4:BH$46)</f>
        <v>35.518855287447678</v>
      </c>
      <c r="BC48" s="659">
        <f>_xlfn.XLOOKUP($D48,TalTech!$B$4:$B$46,TalTech!BI$4:BI$46)</f>
        <v>34.82240714455655</v>
      </c>
      <c r="BD48" s="659">
        <f>_xlfn.XLOOKUP($D48,TalTech!$B$4:$B$46,TalTech!BJ$4:BJ$46)</f>
        <v>34.139614847604449</v>
      </c>
      <c r="BE48" s="659">
        <f>_xlfn.XLOOKUP($D48,TalTech!$B$4:$B$46,TalTech!BK$4:BK$46)</f>
        <v>33.47021063490633</v>
      </c>
      <c r="BF48" s="659">
        <f>_xlfn.XLOOKUP($D48,TalTech!$B$4:$B$46,TalTech!BL$4:BL$46)</f>
        <v>32.659979367796296</v>
      </c>
      <c r="BG48" s="501">
        <f t="shared" si="177"/>
        <v>36.286313420225412</v>
      </c>
      <c r="BH48" s="893">
        <f t="shared" si="111"/>
        <v>0</v>
      </c>
      <c r="BI48" s="658">
        <f t="shared" si="112"/>
        <v>0</v>
      </c>
      <c r="BJ48" s="658">
        <f t="shared" si="113"/>
        <v>0</v>
      </c>
      <c r="BK48" s="658">
        <f t="shared" si="114"/>
        <v>0</v>
      </c>
      <c r="BL48" s="658">
        <f t="shared" si="115"/>
        <v>40</v>
      </c>
      <c r="BM48" s="658">
        <f t="shared" si="116"/>
        <v>79.215686274509807</v>
      </c>
      <c r="BN48" s="658">
        <f t="shared" si="117"/>
        <v>117.66243752402923</v>
      </c>
      <c r="BO48" s="658">
        <f t="shared" si="118"/>
        <v>155.35533090591102</v>
      </c>
      <c r="BP48" s="658">
        <f t="shared" si="119"/>
        <v>192.30914794697159</v>
      </c>
      <c r="BQ48" s="658">
        <f t="shared" si="120"/>
        <v>228.53838034016823</v>
      </c>
      <c r="BR48" s="658">
        <f t="shared" si="121"/>
        <v>264.05723562761591</v>
      </c>
      <c r="BS48" s="658">
        <f t="shared" si="122"/>
        <v>298.87964277217247</v>
      </c>
      <c r="BT48" s="658">
        <f t="shared" si="123"/>
        <v>333.01925761977691</v>
      </c>
      <c r="BU48" s="658">
        <f t="shared" si="124"/>
        <v>366.48946825468323</v>
      </c>
      <c r="BV48" s="1851">
        <f t="shared" si="125"/>
        <v>399.14944762247956</v>
      </c>
      <c r="BW48" s="1661"/>
      <c r="BX48" s="1855">
        <v>300</v>
      </c>
      <c r="BY48" s="1192">
        <f t="shared" si="126"/>
        <v>4600.3366800000003</v>
      </c>
      <c r="BZ48" s="663"/>
      <c r="CA48" s="663"/>
      <c r="CB48" s="663"/>
      <c r="CC48" s="663"/>
      <c r="CD48" s="675">
        <f>_xlfn.XLOOKUP($D48,TalTech!$B$4:$B$46,TalTech!BM$4:BM$46)</f>
        <v>166.66666666666669</v>
      </c>
      <c r="CE48" s="675">
        <f>_xlfn.XLOOKUP($D48,TalTech!$B$4:$B$46,TalTech!BN$4:BN$46)</f>
        <v>170.00000000000003</v>
      </c>
      <c r="CF48" s="675">
        <f>_xlfn.XLOOKUP($D48,TalTech!$B$4:$B$46,TalTech!BO$4:BO$46)</f>
        <v>173.40000000000003</v>
      </c>
      <c r="CG48" s="675">
        <f>_xlfn.XLOOKUP($D48,TalTech!$B$4:$B$46,TalTech!BP$4:BP$46)</f>
        <v>176.86800000000005</v>
      </c>
      <c r="CH48" s="675">
        <f>_xlfn.XLOOKUP($D48,TalTech!$B$4:$B$46,TalTech!BQ$4:BQ$46)</f>
        <v>180.40536000000006</v>
      </c>
      <c r="CI48" s="675">
        <f>_xlfn.XLOOKUP($D48,TalTech!$B$4:$B$46,TalTech!BR$4:BR$46)</f>
        <v>184.01346720000006</v>
      </c>
      <c r="CJ48" s="675">
        <f>_xlfn.XLOOKUP($D48,TalTech!$B$4:$B$46,TalTech!BS$4:BS$46)</f>
        <v>187.69373654400007</v>
      </c>
      <c r="CK48" s="675">
        <f>_xlfn.XLOOKUP($D48,TalTech!$B$4:$B$46,TalTech!BT$4:BT$46)</f>
        <v>191.44761127488007</v>
      </c>
      <c r="CL48" s="675">
        <f>_xlfn.XLOOKUP($D48,TalTech!$B$4:$B$46,TalTech!BU$4:BU$46)</f>
        <v>195.27656350037768</v>
      </c>
      <c r="CM48" s="675">
        <f>_xlfn.XLOOKUP($D48,TalTech!$B$4:$B$46,TalTech!BV$4:BV$46)</f>
        <v>199.18209477038522</v>
      </c>
      <c r="CN48" s="675">
        <f>_xlfn.XLOOKUP($D48,TalTech!$B$4:$B$46,TalTech!BW$4:BW$46)</f>
        <v>203.16573666579293</v>
      </c>
      <c r="CO48" s="493">
        <f t="shared" si="178"/>
        <v>184.37447605655481</v>
      </c>
      <c r="CP48" s="660">
        <f t="shared" si="127"/>
        <v>1051.3534938666669</v>
      </c>
      <c r="CQ48" s="1193">
        <v>0.3</v>
      </c>
      <c r="CR48" s="662">
        <f t="shared" si="128"/>
        <v>0.7</v>
      </c>
      <c r="CS48" s="685" t="str">
        <v>Homeowners</v>
      </c>
      <c r="CT48" s="1862">
        <f t="shared" si="129"/>
        <v>175.22558231111114</v>
      </c>
      <c r="CU48" s="1872"/>
      <c r="CV48" s="1865">
        <f>BH48*Assumptions!D$496</f>
        <v>0</v>
      </c>
      <c r="CW48" s="659">
        <f>BI48*Assumptions!E$496</f>
        <v>0</v>
      </c>
      <c r="CX48" s="659">
        <f>BJ48*Assumptions!F$496</f>
        <v>0</v>
      </c>
      <c r="CY48" s="659">
        <f>BK48*Assumptions!G$496</f>
        <v>0</v>
      </c>
      <c r="CZ48" s="659">
        <f>BL48*Assumptions!H$496</f>
        <v>3.7107828889853884</v>
      </c>
      <c r="DA48" s="659">
        <f>BM48*Assumptions!I$496</f>
        <v>7.5649751482684851</v>
      </c>
      <c r="DB48" s="659">
        <f>BN48*Assumptions!J$496</f>
        <v>11.566804132700668</v>
      </c>
      <c r="DC48" s="659">
        <f>BO48*Assumptions!K$496</f>
        <v>15.721436601499139</v>
      </c>
      <c r="DD48" s="659">
        <f>BP48*Assumptions!L$496</f>
        <v>20.033993433787497</v>
      </c>
      <c r="DE48" s="659">
        <f>BQ48*Assumptions!M$496</f>
        <v>24.509752239557102</v>
      </c>
      <c r="DF48" s="659">
        <f>BR48*Assumptions!N$496</f>
        <v>29.144776204211343</v>
      </c>
      <c r="DG48" s="659">
        <f>BS48*Assumptions!O$496</f>
        <v>33.950948227098522</v>
      </c>
      <c r="DH48" s="659">
        <f>BT48*Assumptions!P$496</f>
        <v>38.933873060345611</v>
      </c>
      <c r="DI48" s="659">
        <f>BU48*Assumptions!Q$496</f>
        <v>44.099325157949394</v>
      </c>
      <c r="DJ48" s="659">
        <f>BV48*Assumptions!R$496</f>
        <v>49.43418699116345</v>
      </c>
      <c r="DK48" s="656">
        <f>BH48*Assumptions!D$503</f>
        <v>0</v>
      </c>
      <c r="DL48" s="656">
        <f>BI48*Assumptions!E$503</f>
        <v>0</v>
      </c>
      <c r="DM48" s="656">
        <f>BJ48*Assumptions!F$503</f>
        <v>0</v>
      </c>
      <c r="DN48" s="656">
        <f>BK48*Assumptions!G$503</f>
        <v>0</v>
      </c>
      <c r="DO48" s="656">
        <f>BL48*Assumptions!H$503</f>
        <v>3.9098933956895028</v>
      </c>
      <c r="DP48" s="656">
        <f>BM48*Assumptions!I$503</f>
        <v>7.9649353284448496</v>
      </c>
      <c r="DQ48" s="656">
        <f>BN48*Assumptions!J$503</f>
        <v>12.169250580066397</v>
      </c>
      <c r="DR48" s="656">
        <f>BO48*Assumptions!K$503</f>
        <v>16.528018261860034</v>
      </c>
      <c r="DS48" s="656">
        <f>BP48*Assumptions!L$503</f>
        <v>21.046342510229092</v>
      </c>
      <c r="DT48" s="656">
        <f>BQ48*Assumptions!M$503</f>
        <v>25.729483919475623</v>
      </c>
      <c r="DU48" s="656">
        <f>BR48*Assumptions!N$503</f>
        <v>30.576316064681581</v>
      </c>
      <c r="DV48" s="656">
        <f>BS48*Assumptions!O$503</f>
        <v>35.596718742985622</v>
      </c>
      <c r="DW48" s="656">
        <f>BT48*Assumptions!P$503</f>
        <v>40.796290988518656</v>
      </c>
      <c r="DX48" s="656">
        <f>BU48*Assumptions!Q$503</f>
        <v>46.180800950406436</v>
      </c>
      <c r="DY48" s="656">
        <f>BV48*Assumptions!R$503</f>
        <v>51.736236308141109</v>
      </c>
      <c r="DZ48" s="678">
        <v>0</v>
      </c>
      <c r="EA48" s="661">
        <f t="shared" si="130"/>
        <v>1</v>
      </c>
      <c r="EB48" s="1861">
        <f t="shared" si="131"/>
        <v>8.3107744444798293</v>
      </c>
      <c r="EC48" s="1881"/>
      <c r="ED48" s="1877">
        <v>1</v>
      </c>
      <c r="EE48" s="684"/>
      <c r="EF48" s="684"/>
      <c r="EG48" s="684"/>
      <c r="EH48" s="684"/>
      <c r="EI48" s="491">
        <f t="shared" ref="EI48:ES49" si="191">50+(CD48*$CQ48*0.32)</f>
        <v>66</v>
      </c>
      <c r="EJ48" s="491">
        <f t="shared" si="191"/>
        <v>66.320000000000007</v>
      </c>
      <c r="EK48" s="491">
        <f t="shared" si="191"/>
        <v>66.6464</v>
      </c>
      <c r="EL48" s="491">
        <f t="shared" si="191"/>
        <v>66.97932800000001</v>
      </c>
      <c r="EM48" s="491">
        <f t="shared" si="191"/>
        <v>67.31891456000001</v>
      </c>
      <c r="EN48" s="491">
        <f t="shared" si="191"/>
        <v>67.665292851200007</v>
      </c>
      <c r="EO48" s="491">
        <f t="shared" si="191"/>
        <v>68.018598708224005</v>
      </c>
      <c r="EP48" s="491">
        <f t="shared" si="191"/>
        <v>68.378970682388484</v>
      </c>
      <c r="EQ48" s="491">
        <f t="shared" si="191"/>
        <v>68.746550096036259</v>
      </c>
      <c r="ER48" s="491">
        <f t="shared" si="191"/>
        <v>69.121481097956973</v>
      </c>
      <c r="ES48" s="491">
        <f t="shared" si="191"/>
        <v>69.503910719916121</v>
      </c>
      <c r="ET48" s="541">
        <f t="shared" si="133"/>
        <v>67.699949701429261</v>
      </c>
      <c r="EU48" s="479" cm="1">
        <f t="array" ref="EU48">BH48*SUMPRODUCT($W48:$X48,TRANSPOSE(Assumptions!$D$289:$D$290))/1000</f>
        <v>0</v>
      </c>
      <c r="EV48" s="479" cm="1">
        <f t="array" ref="EV48">BI48*SUMPRODUCT($W48:$X48,TRANSPOSE(Assumptions!$D$289:$D$290))/1000</f>
        <v>0</v>
      </c>
      <c r="EW48" s="479" cm="1">
        <f t="array" ref="EW48">BJ48*SUMPRODUCT($W48:$X48,TRANSPOSE(Assumptions!$D$289:$D$290))/1000</f>
        <v>0</v>
      </c>
      <c r="EX48" s="479" cm="1">
        <f t="array" ref="EX48">BK48*SUMPRODUCT($W48:$X48,TRANSPOSE(Assumptions!$D$289:$D$290))/1000</f>
        <v>0</v>
      </c>
      <c r="EY48" s="479" cm="1">
        <f t="array" ref="EY48">BL48*SUMPRODUCT($W48:$X48,TRANSPOSE(Assumptions!$D$289:$D$290))/1000</f>
        <v>0.57591070438445569</v>
      </c>
      <c r="EZ48" s="479" cm="1">
        <f t="array" ref="EZ48">BM48*SUMPRODUCT($W48:$X48,TRANSPOSE(Assumptions!$D$289:$D$290))/1000</f>
        <v>1.140529042016275</v>
      </c>
      <c r="FA48" s="479" cm="1">
        <f t="array" ref="FA48">BN48*SUMPRODUCT($W48:$X48,TRANSPOSE(Assumptions!$D$289:$D$290))/1000</f>
        <v>1.6940764318513921</v>
      </c>
      <c r="FB48" s="479" cm="1">
        <f t="array" ref="FB48">BO48*SUMPRODUCT($W48:$X48,TRANSPOSE(Assumptions!$D$289:$D$290))/1000</f>
        <v>2.2367699512975854</v>
      </c>
      <c r="FC48" s="479" cm="1">
        <f t="array" ref="FC48">BP48*SUMPRODUCT($W48:$X48,TRANSPOSE(Assumptions!$D$289:$D$290))/1000</f>
        <v>2.7688224213428732</v>
      </c>
      <c r="FD48" s="479" cm="1">
        <f t="array" ref="FD48">BQ48*SUMPRODUCT($W48:$X48,TRANSPOSE(Assumptions!$D$289:$D$290))/1000</f>
        <v>3.2904424900147231</v>
      </c>
      <c r="FE48" s="479" cm="1">
        <f t="array" ref="FE48">BR48*SUMPRODUCT($W48:$X48,TRANSPOSE(Assumptions!$D$289:$D$290))/1000</f>
        <v>3.8018347142028119</v>
      </c>
      <c r="FF48" s="479" cm="1">
        <f t="array" ref="FF48">BS48*SUMPRODUCT($W48:$X48,TRANSPOSE(Assumptions!$D$289:$D$290))/1000</f>
        <v>4.3031996398774091</v>
      </c>
      <c r="FG48" s="479" cm="1">
        <f t="array" ref="FG48">BT48*SUMPRODUCT($W48:$X48,TRANSPOSE(Assumptions!$D$289:$D$290))/1000</f>
        <v>4.7947338807348556</v>
      </c>
      <c r="FH48" s="479" cm="1">
        <f t="array" ref="FH48">BU48*SUMPRODUCT($W48:$X48,TRANSPOSE(Assumptions!$D$289:$D$290))/1000</f>
        <v>5.2766301953009807</v>
      </c>
      <c r="FI48" s="479" cm="1">
        <f t="array" ref="FI48">BV48*SUMPRODUCT($W48:$X48,TRANSPOSE(Assumptions!$D$289:$D$290))/1000</f>
        <v>5.7468609883732151</v>
      </c>
      <c r="FJ48" s="666">
        <f t="shared" si="179"/>
        <v>0</v>
      </c>
      <c r="FK48" s="666">
        <f t="shared" si="180"/>
        <v>0</v>
      </c>
      <c r="FL48" s="666">
        <f t="shared" si="181"/>
        <v>0</v>
      </c>
      <c r="FM48" s="666">
        <f t="shared" si="182"/>
        <v>0</v>
      </c>
      <c r="FN48" s="666">
        <f t="shared" si="183"/>
        <v>65.424089295615545</v>
      </c>
      <c r="FO48" s="666">
        <f t="shared" si="184"/>
        <v>65.179470957983739</v>
      </c>
      <c r="FP48" s="666">
        <f t="shared" si="185"/>
        <v>64.952323568148614</v>
      </c>
      <c r="FQ48" s="666">
        <f t="shared" si="186"/>
        <v>64.742558048702421</v>
      </c>
      <c r="FR48" s="666">
        <f t="shared" si="187"/>
        <v>64.550092138657135</v>
      </c>
      <c r="FS48" s="666">
        <f t="shared" si="188"/>
        <v>64.374850361185281</v>
      </c>
      <c r="FT48" s="666">
        <f t="shared" si="144"/>
        <v>64.216763994021193</v>
      </c>
      <c r="FU48" s="666">
        <f t="shared" si="145"/>
        <v>64.075771042511079</v>
      </c>
      <c r="FV48" s="666">
        <f t="shared" si="146"/>
        <v>63.951816215301406</v>
      </c>
      <c r="FW48" s="666">
        <f t="shared" si="147"/>
        <v>63.844850902655992</v>
      </c>
      <c r="FX48" s="1883">
        <f t="shared" si="148"/>
        <v>63.757049731542907</v>
      </c>
      <c r="FY48" s="1895"/>
      <c r="FZ48" s="690"/>
      <c r="GA48" s="690"/>
      <c r="GB48" s="690"/>
      <c r="GC48" s="690"/>
      <c r="GD48" s="664">
        <f t="shared" si="149"/>
        <v>2833.3333333333335</v>
      </c>
      <c r="GE48" s="664">
        <f t="shared" si="150"/>
        <v>2890.0000000000005</v>
      </c>
      <c r="GF48" s="664">
        <f t="shared" si="151"/>
        <v>2947.8000000000006</v>
      </c>
      <c r="GG48" s="664">
        <f t="shared" si="152"/>
        <v>3006.7560000000008</v>
      </c>
      <c r="GH48" s="664">
        <f t="shared" si="153"/>
        <v>3066.8911200000011</v>
      </c>
      <c r="GI48" s="664">
        <f t="shared" si="154"/>
        <v>3128.228942400001</v>
      </c>
      <c r="GJ48" s="664">
        <f t="shared" si="155"/>
        <v>3190.7935212480011</v>
      </c>
      <c r="GK48" s="664">
        <f t="shared" si="156"/>
        <v>3254.6093916729615</v>
      </c>
      <c r="GL48" s="664">
        <f t="shared" si="157"/>
        <v>3319.7015795064203</v>
      </c>
      <c r="GM48" s="664">
        <f t="shared" si="158"/>
        <v>3386.095611096549</v>
      </c>
      <c r="GN48" s="1861">
        <f t="shared" si="159"/>
        <v>3453.8175233184797</v>
      </c>
      <c r="GO48" s="1910"/>
      <c r="GP48" s="1868">
        <f>BH48*INDEX(Assumptions!G$565:G$570,MATCH($B48,Assumptions!$B$565:$B$570,0))</f>
        <v>0</v>
      </c>
      <c r="GQ48" s="656">
        <f>BI48*INDEX(Assumptions!H$565:H$570,MATCH($B48,Assumptions!$B$565:$B$570,0))</f>
        <v>0</v>
      </c>
      <c r="GR48" s="656">
        <f>BJ48*INDEX(Assumptions!I$565:I$570,MATCH($B48,Assumptions!$B$565:$B$570,0))</f>
        <v>0</v>
      </c>
      <c r="GS48" s="656">
        <f>BK48*INDEX(Assumptions!J$565:J$570,MATCH($B48,Assumptions!$B$565:$B$570,0))</f>
        <v>0</v>
      </c>
      <c r="GT48" s="656">
        <f>BL48*INDEX(Assumptions!K$565:K$570,MATCH($B48,Assumptions!$B$565:$B$570,0))</f>
        <v>8.6775239730455418</v>
      </c>
      <c r="GU48" s="656">
        <f>BM48*INDEX(Assumptions!L$565:L$570,MATCH($B48,Assumptions!$B$565:$B$570,0))</f>
        <v>16.564889787152811</v>
      </c>
      <c r="GV48" s="656">
        <f>BN48*INDEX(Assumptions!M$565:M$570,MATCH($B48,Assumptions!$B$565:$B$570,0))</f>
        <v>23.663489121113731</v>
      </c>
      <c r="GW48" s="656">
        <f>BO48*INDEX(Assumptions!N$565:N$570,MATCH($B48,Assumptions!$B$565:$B$570,0))</f>
        <v>29.991575126088172</v>
      </c>
      <c r="GX48" s="656">
        <f>BP48*INDEX(Assumptions!O$565:O$570,MATCH($B48,Assumptions!$B$565:$B$570,0))</f>
        <v>35.56280470788117</v>
      </c>
      <c r="GY48" s="656">
        <f>BQ48*INDEX(Assumptions!P$565:P$570,MATCH($B48,Assumptions!$B$565:$B$570,0))</f>
        <v>38.400166860685509</v>
      </c>
      <c r="GZ48" s="656">
        <f>BR48*INDEX(Assumptions!Q$565:Q$570,MATCH($B48,Assumptions!$B$565:$B$570,0))</f>
        <v>0</v>
      </c>
      <c r="HA48" s="656">
        <f>BS48*INDEX(Assumptions!R$565:R$570,MATCH($B48,Assumptions!$B$565:$B$570,0))</f>
        <v>76.249129915668505</v>
      </c>
      <c r="HB48" s="656">
        <f>BT48*INDEX(Assumptions!S$565:S$570,MATCH($B48,Assumptions!$B$565:$B$570,0))</f>
        <v>84.958709141745672</v>
      </c>
      <c r="HC48" s="656">
        <f>BU48*INDEX(Assumptions!T$565:T$570,MATCH($B48,Assumptions!$B$565:$B$570,0))</f>
        <v>90.305701247097957</v>
      </c>
      <c r="HD48" s="1922">
        <f>BV48*INDEX(Assumptions!U$565:U$570,MATCH($B48,Assumptions!$B$565:$B$570,0))</f>
        <v>94.877108788491412</v>
      </c>
      <c r="HE48" s="1933"/>
      <c r="HF48" s="1930">
        <f t="shared" si="160"/>
        <v>0</v>
      </c>
      <c r="HG48" s="869">
        <f t="shared" si="161"/>
        <v>0</v>
      </c>
      <c r="HH48" s="869">
        <f t="shared" si="162"/>
        <v>0</v>
      </c>
      <c r="HI48" s="869">
        <f t="shared" si="163"/>
        <v>0</v>
      </c>
      <c r="HJ48" s="869">
        <f t="shared" si="164"/>
        <v>0.37037037037037035</v>
      </c>
      <c r="HK48" s="869">
        <f t="shared" si="165"/>
        <v>0.36310820624546125</v>
      </c>
      <c r="HL48" s="869">
        <f t="shared" si="166"/>
        <v>0.35598843749555015</v>
      </c>
      <c r="HM48" s="869">
        <f t="shared" si="167"/>
        <v>0.34900827205446094</v>
      </c>
      <c r="HN48" s="869">
        <f t="shared" si="168"/>
        <v>0.34216497260241269</v>
      </c>
      <c r="HO48" s="869">
        <f t="shared" si="169"/>
        <v>0.33545585549256141</v>
      </c>
      <c r="HP48" s="869">
        <f t="shared" si="170"/>
        <v>0.32887828969858962</v>
      </c>
      <c r="HQ48" s="869">
        <f t="shared" si="171"/>
        <v>0.32242969578293101</v>
      </c>
      <c r="HR48" s="869">
        <f t="shared" si="172"/>
        <v>0.31610754488522635</v>
      </c>
      <c r="HS48" s="869">
        <f t="shared" si="173"/>
        <v>0.30990935773061418</v>
      </c>
      <c r="HT48" s="869">
        <f t="shared" si="174"/>
        <v>0.30240721636848422</v>
      </c>
      <c r="HU48" s="528">
        <f t="shared" si="189"/>
        <v>0.33598438352060567</v>
      </c>
      <c r="HV48" s="499">
        <f>_xlfn.XLOOKUP(D48,TalTech!B:B,TalTech!J:J)+_xlfn.XLOOKUP(D48,TalTech!B:B,TalTech!K:K)</f>
        <v>108</v>
      </c>
      <c r="HW48" s="1936">
        <f>HJ48/(Assumptions!$I$651/1000000)</f>
        <v>9.3058221033812897E-3</v>
      </c>
      <c r="HX48" s="1944"/>
      <c r="HY48" s="1942">
        <v>2025</v>
      </c>
      <c r="HZ48" s="691">
        <v>2030</v>
      </c>
      <c r="IA48" s="683" t="s">
        <v>636</v>
      </c>
      <c r="IB48" s="683" t="s">
        <v>734</v>
      </c>
      <c r="IC48" s="694"/>
      <c r="ID48" s="1372" t="s">
        <v>744</v>
      </c>
      <c r="IE48" s="1954"/>
      <c r="IF48" s="1963">
        <v>0</v>
      </c>
      <c r="IG48" s="538">
        <v>0</v>
      </c>
      <c r="IH48" s="538">
        <v>0</v>
      </c>
      <c r="II48" s="538">
        <v>0.5</v>
      </c>
      <c r="IJ48" s="538">
        <v>0</v>
      </c>
      <c r="IK48" s="1276">
        <v>1</v>
      </c>
      <c r="IL48" s="1280">
        <v>1</v>
      </c>
      <c r="IM48" s="1278" t="s">
        <v>743</v>
      </c>
    </row>
    <row r="49" spans="2:256" ht="13.5" customHeight="1" thickBot="1" x14ac:dyDescent="0.35">
      <c r="B49" s="1703" t="s">
        <v>51</v>
      </c>
      <c r="C49" s="2113"/>
      <c r="D49" s="671" t="s">
        <v>745</v>
      </c>
      <c r="E49" s="1783" t="s">
        <v>746</v>
      </c>
      <c r="F49" s="1804"/>
      <c r="G49" s="1292"/>
      <c r="H49" s="70"/>
      <c r="I49" s="13"/>
      <c r="J49" s="70"/>
      <c r="K49" s="71" t="s">
        <v>641</v>
      </c>
      <c r="L49" s="1176" t="s">
        <v>719</v>
      </c>
      <c r="M49" s="1827"/>
      <c r="N49" s="1817"/>
      <c r="O49" s="1178">
        <v>1</v>
      </c>
      <c r="P49" s="1177"/>
      <c r="Q49" s="1177"/>
      <c r="R49" s="1177"/>
      <c r="S49" s="1445"/>
      <c r="T49" s="1445"/>
      <c r="U49" s="1445"/>
      <c r="V49" s="1445"/>
      <c r="W49" s="1445">
        <f>_xlfn.XLOOKUP(D49,TalTech!$B$4:$B$46,TalTech!$AZ$4:$AZ$46)</f>
        <v>0.94444444444444442</v>
      </c>
      <c r="X49" s="1445">
        <f t="shared" si="175"/>
        <v>5.555555555555558E-2</v>
      </c>
      <c r="Y49" s="1179" cm="1">
        <f t="array" ref="Y49:AC49">(TRANSPOSE(Assumptions!$E$668:$E$672)*'EE Measures'!$AD49)+(TRANSPOSE(_xlfn.ANCHORARRAY(Assumptions!$F$668))*'EE Measures'!$AE49)+(TRANSPOSE(Assumptions!$G$668:$G$672)*'EE Measures'!$AF49)</f>
        <v>0.3493177927472812</v>
      </c>
      <c r="Z49" s="1179">
        <v>0.13834389985211143</v>
      </c>
      <c r="AA49" s="1179">
        <v>0.10633141466937233</v>
      </c>
      <c r="AB49" s="1179">
        <v>0.27963140047845425</v>
      </c>
      <c r="AC49" s="1179">
        <v>0.12637549225278072</v>
      </c>
      <c r="AD49" s="1182">
        <f>Assumptions!E$667</f>
        <v>0.43192607108744491</v>
      </c>
      <c r="AE49" s="1180">
        <f>Assumptions!F$667</f>
        <v>1.287376549487429E-2</v>
      </c>
      <c r="AF49" s="1181">
        <f>Assumptions!G$667</f>
        <v>0.55520016341768075</v>
      </c>
      <c r="AG49" s="1177"/>
      <c r="AH49" s="1178">
        <v>1</v>
      </c>
      <c r="AI49" s="1177"/>
      <c r="AJ49" s="1273">
        <v>1</v>
      </c>
      <c r="AK49" s="1417">
        <f t="shared" si="176"/>
        <v>0</v>
      </c>
      <c r="AL49" s="1177"/>
      <c r="AM49" s="1177"/>
      <c r="AN49" s="1177"/>
      <c r="AO49" s="1221"/>
      <c r="AP49" s="1846"/>
      <c r="AQ49" s="1842">
        <v>40</v>
      </c>
      <c r="AR49" s="663"/>
      <c r="AS49" s="663"/>
      <c r="AT49" s="663"/>
      <c r="AU49" s="663"/>
      <c r="AV49" s="659">
        <f>_xlfn.XLOOKUP($D49,TalTech!$B$4:$B$46,TalTech!BB$4:BB$46)</f>
        <v>40</v>
      </c>
      <c r="AW49" s="659">
        <f>_xlfn.XLOOKUP($D49,TalTech!$B$4:$B$46,TalTech!BC$4:BC$46)</f>
        <v>39.215686274509814</v>
      </c>
      <c r="AX49" s="659">
        <f>_xlfn.XLOOKUP($D49,TalTech!$B$4:$B$46,TalTech!BD$4:BD$46)</f>
        <v>38.446751249519416</v>
      </c>
      <c r="AY49" s="659">
        <f>_xlfn.XLOOKUP($D49,TalTech!$B$4:$B$46,TalTech!BE$4:BE$46)</f>
        <v>37.692893381881781</v>
      </c>
      <c r="AZ49" s="659">
        <f>_xlfn.XLOOKUP($D49,TalTech!$B$4:$B$46,TalTech!BF$4:BF$46)</f>
        <v>36.953817041060567</v>
      </c>
      <c r="BA49" s="659">
        <f>_xlfn.XLOOKUP($D49,TalTech!$B$4:$B$46,TalTech!BG$4:BG$46)</f>
        <v>36.229232393196632</v>
      </c>
      <c r="BB49" s="659">
        <f>_xlfn.XLOOKUP($D49,TalTech!$B$4:$B$46,TalTech!BH$4:BH$46)</f>
        <v>35.518855287447678</v>
      </c>
      <c r="BC49" s="659">
        <f>_xlfn.XLOOKUP($D49,TalTech!$B$4:$B$46,TalTech!BI$4:BI$46)</f>
        <v>34.82240714455655</v>
      </c>
      <c r="BD49" s="659">
        <f>_xlfn.XLOOKUP($D49,TalTech!$B$4:$B$46,TalTech!BJ$4:BJ$46)</f>
        <v>34.139614847604449</v>
      </c>
      <c r="BE49" s="659">
        <f>_xlfn.XLOOKUP($D49,TalTech!$B$4:$B$46,TalTech!BK$4:BK$46)</f>
        <v>33.47021063490633</v>
      </c>
      <c r="BF49" s="659">
        <f>_xlfn.XLOOKUP($D49,TalTech!$B$4:$B$46,TalTech!BL$4:BL$46)</f>
        <v>32.659979367796296</v>
      </c>
      <c r="BG49" s="501">
        <f t="shared" si="177"/>
        <v>36.286313420225412</v>
      </c>
      <c r="BH49" s="893">
        <f t="shared" si="111"/>
        <v>0</v>
      </c>
      <c r="BI49" s="658">
        <f t="shared" si="112"/>
        <v>0</v>
      </c>
      <c r="BJ49" s="658">
        <f t="shared" si="113"/>
        <v>0</v>
      </c>
      <c r="BK49" s="658">
        <f t="shared" si="114"/>
        <v>0</v>
      </c>
      <c r="BL49" s="658">
        <f t="shared" si="115"/>
        <v>40</v>
      </c>
      <c r="BM49" s="658">
        <f t="shared" si="116"/>
        <v>79.215686274509807</v>
      </c>
      <c r="BN49" s="658">
        <f t="shared" si="117"/>
        <v>117.66243752402923</v>
      </c>
      <c r="BO49" s="658">
        <f t="shared" si="118"/>
        <v>155.35533090591102</v>
      </c>
      <c r="BP49" s="658">
        <f t="shared" si="119"/>
        <v>192.30914794697159</v>
      </c>
      <c r="BQ49" s="658">
        <f t="shared" si="120"/>
        <v>228.53838034016823</v>
      </c>
      <c r="BR49" s="658">
        <f t="shared" si="121"/>
        <v>264.05723562761591</v>
      </c>
      <c r="BS49" s="658">
        <f t="shared" si="122"/>
        <v>298.87964277217247</v>
      </c>
      <c r="BT49" s="658">
        <f t="shared" si="123"/>
        <v>333.01925761977691</v>
      </c>
      <c r="BU49" s="658">
        <f t="shared" si="124"/>
        <v>366.48946825468323</v>
      </c>
      <c r="BV49" s="1851">
        <f t="shared" si="125"/>
        <v>399.14944762247956</v>
      </c>
      <c r="BW49" s="1661"/>
      <c r="BX49" s="1855">
        <v>300</v>
      </c>
      <c r="BY49" s="1192">
        <f t="shared" si="126"/>
        <v>4600.3366800000003</v>
      </c>
      <c r="BZ49" s="663"/>
      <c r="CA49" s="663"/>
      <c r="CB49" s="663"/>
      <c r="CC49" s="663"/>
      <c r="CD49" s="675">
        <f>_xlfn.XLOOKUP($D49,TalTech!$B$4:$B$46,TalTech!BM$4:BM$46)</f>
        <v>166.66666666666669</v>
      </c>
      <c r="CE49" s="675">
        <f>_xlfn.XLOOKUP($D49,TalTech!$B$4:$B$46,TalTech!BN$4:BN$46)</f>
        <v>170.00000000000003</v>
      </c>
      <c r="CF49" s="675">
        <f>_xlfn.XLOOKUP($D49,TalTech!$B$4:$B$46,TalTech!BO$4:BO$46)</f>
        <v>173.40000000000003</v>
      </c>
      <c r="CG49" s="675">
        <f>_xlfn.XLOOKUP($D49,TalTech!$B$4:$B$46,TalTech!BP$4:BP$46)</f>
        <v>176.86800000000005</v>
      </c>
      <c r="CH49" s="675">
        <f>_xlfn.XLOOKUP($D49,TalTech!$B$4:$B$46,TalTech!BQ$4:BQ$46)</f>
        <v>180.40536000000006</v>
      </c>
      <c r="CI49" s="675">
        <f>_xlfn.XLOOKUP($D49,TalTech!$B$4:$B$46,TalTech!BR$4:BR$46)</f>
        <v>184.01346720000006</v>
      </c>
      <c r="CJ49" s="675">
        <f>_xlfn.XLOOKUP($D49,TalTech!$B$4:$B$46,TalTech!BS$4:BS$46)</f>
        <v>187.69373654400007</v>
      </c>
      <c r="CK49" s="675">
        <f>_xlfn.XLOOKUP($D49,TalTech!$B$4:$B$46,TalTech!BT$4:BT$46)</f>
        <v>191.44761127488007</v>
      </c>
      <c r="CL49" s="675">
        <f>_xlfn.XLOOKUP($D49,TalTech!$B$4:$B$46,TalTech!BU$4:BU$46)</f>
        <v>195.27656350037768</v>
      </c>
      <c r="CM49" s="675">
        <f>_xlfn.XLOOKUP($D49,TalTech!$B$4:$B$46,TalTech!BV$4:BV$46)</f>
        <v>199.18209477038522</v>
      </c>
      <c r="CN49" s="675">
        <f>_xlfn.XLOOKUP($D49,TalTech!$B$4:$B$46,TalTech!BW$4:BW$46)</f>
        <v>203.16573666579293</v>
      </c>
      <c r="CO49" s="493">
        <f t="shared" si="178"/>
        <v>184.37447605655481</v>
      </c>
      <c r="CP49" s="660">
        <f t="shared" si="127"/>
        <v>1051.3534938666669</v>
      </c>
      <c r="CQ49" s="1193">
        <v>0.3</v>
      </c>
      <c r="CR49" s="662">
        <f t="shared" si="128"/>
        <v>0.7</v>
      </c>
      <c r="CS49" s="685" t="str">
        <v>Homeowners</v>
      </c>
      <c r="CT49" s="1862">
        <f t="shared" si="129"/>
        <v>175.22558231111114</v>
      </c>
      <c r="CU49" s="1872"/>
      <c r="CV49" s="1865">
        <f>BH49*Assumptions!D$496</f>
        <v>0</v>
      </c>
      <c r="CW49" s="659">
        <f>BI49*Assumptions!E$496</f>
        <v>0</v>
      </c>
      <c r="CX49" s="659">
        <f>BJ49*Assumptions!F$496</f>
        <v>0</v>
      </c>
      <c r="CY49" s="659">
        <f>BK49*Assumptions!G$496</f>
        <v>0</v>
      </c>
      <c r="CZ49" s="659">
        <f>BL49*Assumptions!H$496</f>
        <v>3.7107828889853884</v>
      </c>
      <c r="DA49" s="659">
        <f>BM49*Assumptions!I$496</f>
        <v>7.5649751482684851</v>
      </c>
      <c r="DB49" s="659">
        <f>BN49*Assumptions!J$496</f>
        <v>11.566804132700668</v>
      </c>
      <c r="DC49" s="659">
        <f>BO49*Assumptions!K$496</f>
        <v>15.721436601499139</v>
      </c>
      <c r="DD49" s="659">
        <f>BP49*Assumptions!L$496</f>
        <v>20.033993433787497</v>
      </c>
      <c r="DE49" s="659">
        <f>BQ49*Assumptions!M$496</f>
        <v>24.509752239557102</v>
      </c>
      <c r="DF49" s="659">
        <f>BR49*Assumptions!N$496</f>
        <v>29.144776204211343</v>
      </c>
      <c r="DG49" s="659">
        <f>BS49*Assumptions!O$496</f>
        <v>33.950948227098522</v>
      </c>
      <c r="DH49" s="659">
        <f>BT49*Assumptions!P$496</f>
        <v>38.933873060345611</v>
      </c>
      <c r="DI49" s="659">
        <f>BU49*Assumptions!Q$496</f>
        <v>44.099325157949394</v>
      </c>
      <c r="DJ49" s="659">
        <f>BV49*Assumptions!R$496</f>
        <v>49.43418699116345</v>
      </c>
      <c r="DK49" s="656">
        <f>BH49*Assumptions!D$503</f>
        <v>0</v>
      </c>
      <c r="DL49" s="656">
        <f>BI49*Assumptions!E$503</f>
        <v>0</v>
      </c>
      <c r="DM49" s="656">
        <f>BJ49*Assumptions!F$503</f>
        <v>0</v>
      </c>
      <c r="DN49" s="656">
        <f>BK49*Assumptions!G$503</f>
        <v>0</v>
      </c>
      <c r="DO49" s="656">
        <f>BL49*Assumptions!H$503</f>
        <v>3.9098933956895028</v>
      </c>
      <c r="DP49" s="656">
        <f>BM49*Assumptions!I$503</f>
        <v>7.9649353284448496</v>
      </c>
      <c r="DQ49" s="656">
        <f>BN49*Assumptions!J$503</f>
        <v>12.169250580066397</v>
      </c>
      <c r="DR49" s="656">
        <f>BO49*Assumptions!K$503</f>
        <v>16.528018261860034</v>
      </c>
      <c r="DS49" s="656">
        <f>BP49*Assumptions!L$503</f>
        <v>21.046342510229092</v>
      </c>
      <c r="DT49" s="656">
        <f>BQ49*Assumptions!M$503</f>
        <v>25.729483919475623</v>
      </c>
      <c r="DU49" s="656">
        <f>BR49*Assumptions!N$503</f>
        <v>30.576316064681581</v>
      </c>
      <c r="DV49" s="656">
        <f>BS49*Assumptions!O$503</f>
        <v>35.596718742985622</v>
      </c>
      <c r="DW49" s="656">
        <f>BT49*Assumptions!P$503</f>
        <v>40.796290988518656</v>
      </c>
      <c r="DX49" s="656">
        <f>BU49*Assumptions!Q$503</f>
        <v>46.180800950406436</v>
      </c>
      <c r="DY49" s="656">
        <f>BV49*Assumptions!R$503</f>
        <v>51.736236308141109</v>
      </c>
      <c r="DZ49" s="678">
        <v>0</v>
      </c>
      <c r="EA49" s="661">
        <f t="shared" si="130"/>
        <v>1</v>
      </c>
      <c r="EB49" s="1861">
        <f t="shared" si="131"/>
        <v>8.3107744444798293</v>
      </c>
      <c r="EC49" s="1881"/>
      <c r="ED49" s="1877">
        <v>1</v>
      </c>
      <c r="EE49" s="684"/>
      <c r="EF49" s="684"/>
      <c r="EG49" s="684"/>
      <c r="EH49" s="684"/>
      <c r="EI49" s="491">
        <f t="shared" si="191"/>
        <v>66</v>
      </c>
      <c r="EJ49" s="491">
        <f t="shared" si="191"/>
        <v>66.320000000000007</v>
      </c>
      <c r="EK49" s="491">
        <f t="shared" si="191"/>
        <v>66.6464</v>
      </c>
      <c r="EL49" s="491">
        <f t="shared" si="191"/>
        <v>66.97932800000001</v>
      </c>
      <c r="EM49" s="491">
        <f t="shared" si="191"/>
        <v>67.31891456000001</v>
      </c>
      <c r="EN49" s="491">
        <f t="shared" si="191"/>
        <v>67.665292851200007</v>
      </c>
      <c r="EO49" s="491">
        <f t="shared" si="191"/>
        <v>68.018598708224005</v>
      </c>
      <c r="EP49" s="491">
        <f t="shared" si="191"/>
        <v>68.378970682388484</v>
      </c>
      <c r="EQ49" s="491">
        <f t="shared" si="191"/>
        <v>68.746550096036259</v>
      </c>
      <c r="ER49" s="491">
        <f t="shared" si="191"/>
        <v>69.121481097956973</v>
      </c>
      <c r="ES49" s="491">
        <f t="shared" si="191"/>
        <v>69.503910719916121</v>
      </c>
      <c r="ET49" s="541">
        <f t="shared" si="133"/>
        <v>67.699949701429261</v>
      </c>
      <c r="EU49" s="479" cm="1">
        <f t="array" ref="EU49">BH49*SUMPRODUCT($W49:$X49,TRANSPOSE(Assumptions!$D$289:$D$290))/1000</f>
        <v>0</v>
      </c>
      <c r="EV49" s="479" cm="1">
        <f t="array" ref="EV49">BI49*SUMPRODUCT($W49:$X49,TRANSPOSE(Assumptions!$D$289:$D$290))/1000</f>
        <v>0</v>
      </c>
      <c r="EW49" s="479" cm="1">
        <f t="array" ref="EW49">BJ49*SUMPRODUCT($W49:$X49,TRANSPOSE(Assumptions!$D$289:$D$290))/1000</f>
        <v>0</v>
      </c>
      <c r="EX49" s="479" cm="1">
        <f t="array" ref="EX49">BK49*SUMPRODUCT($W49:$X49,TRANSPOSE(Assumptions!$D$289:$D$290))/1000</f>
        <v>0</v>
      </c>
      <c r="EY49" s="479" cm="1">
        <f t="array" ref="EY49">BL49*SUMPRODUCT($W49:$X49,TRANSPOSE(Assumptions!$D$289:$D$290))/1000</f>
        <v>0.57591070438445569</v>
      </c>
      <c r="EZ49" s="479" cm="1">
        <f t="array" ref="EZ49">BM49*SUMPRODUCT($W49:$X49,TRANSPOSE(Assumptions!$D$289:$D$290))/1000</f>
        <v>1.140529042016275</v>
      </c>
      <c r="FA49" s="479" cm="1">
        <f t="array" ref="FA49">BN49*SUMPRODUCT($W49:$X49,TRANSPOSE(Assumptions!$D$289:$D$290))/1000</f>
        <v>1.6940764318513921</v>
      </c>
      <c r="FB49" s="479" cm="1">
        <f t="array" ref="FB49">BO49*SUMPRODUCT($W49:$X49,TRANSPOSE(Assumptions!$D$289:$D$290))/1000</f>
        <v>2.2367699512975854</v>
      </c>
      <c r="FC49" s="479" cm="1">
        <f t="array" ref="FC49">BP49*SUMPRODUCT($W49:$X49,TRANSPOSE(Assumptions!$D$289:$D$290))/1000</f>
        <v>2.7688224213428732</v>
      </c>
      <c r="FD49" s="479" cm="1">
        <f t="array" ref="FD49">BQ49*SUMPRODUCT($W49:$X49,TRANSPOSE(Assumptions!$D$289:$D$290))/1000</f>
        <v>3.2904424900147231</v>
      </c>
      <c r="FE49" s="479" cm="1">
        <f t="array" ref="FE49">BR49*SUMPRODUCT($W49:$X49,TRANSPOSE(Assumptions!$D$289:$D$290))/1000</f>
        <v>3.8018347142028119</v>
      </c>
      <c r="FF49" s="479" cm="1">
        <f t="array" ref="FF49">BS49*SUMPRODUCT($W49:$X49,TRANSPOSE(Assumptions!$D$289:$D$290))/1000</f>
        <v>4.3031996398774091</v>
      </c>
      <c r="FG49" s="479" cm="1">
        <f t="array" ref="FG49">BT49*SUMPRODUCT($W49:$X49,TRANSPOSE(Assumptions!$D$289:$D$290))/1000</f>
        <v>4.7947338807348556</v>
      </c>
      <c r="FH49" s="479" cm="1">
        <f t="array" ref="FH49">BU49*SUMPRODUCT($W49:$X49,TRANSPOSE(Assumptions!$D$289:$D$290))/1000</f>
        <v>5.2766301953009807</v>
      </c>
      <c r="FI49" s="479" cm="1">
        <f t="array" ref="FI49">BV49*SUMPRODUCT($W49:$X49,TRANSPOSE(Assumptions!$D$289:$D$290))/1000</f>
        <v>5.7468609883732151</v>
      </c>
      <c r="FJ49" s="666">
        <f t="shared" si="179"/>
        <v>0</v>
      </c>
      <c r="FK49" s="666">
        <f t="shared" si="180"/>
        <v>0</v>
      </c>
      <c r="FL49" s="666">
        <f t="shared" si="181"/>
        <v>0</v>
      </c>
      <c r="FM49" s="666">
        <f t="shared" si="182"/>
        <v>0</v>
      </c>
      <c r="FN49" s="666">
        <f t="shared" si="183"/>
        <v>65.424089295615545</v>
      </c>
      <c r="FO49" s="666">
        <f t="shared" si="184"/>
        <v>65.179470957983739</v>
      </c>
      <c r="FP49" s="666">
        <f t="shared" si="185"/>
        <v>64.952323568148614</v>
      </c>
      <c r="FQ49" s="666">
        <f t="shared" si="186"/>
        <v>64.742558048702421</v>
      </c>
      <c r="FR49" s="666">
        <f t="shared" si="187"/>
        <v>64.550092138657135</v>
      </c>
      <c r="FS49" s="666">
        <f t="shared" si="188"/>
        <v>64.374850361185281</v>
      </c>
      <c r="FT49" s="666">
        <f t="shared" si="144"/>
        <v>64.216763994021193</v>
      </c>
      <c r="FU49" s="666">
        <f t="shared" si="145"/>
        <v>64.075771042511079</v>
      </c>
      <c r="FV49" s="666">
        <f t="shared" si="146"/>
        <v>63.951816215301406</v>
      </c>
      <c r="FW49" s="666">
        <f t="shared" si="147"/>
        <v>63.844850902655992</v>
      </c>
      <c r="FX49" s="1883">
        <f t="shared" si="148"/>
        <v>63.757049731542907</v>
      </c>
      <c r="FY49" s="1895"/>
      <c r="FZ49" s="690"/>
      <c r="GA49" s="690"/>
      <c r="GB49" s="690"/>
      <c r="GC49" s="690"/>
      <c r="GD49" s="664">
        <f t="shared" si="149"/>
        <v>2833.3333333333335</v>
      </c>
      <c r="GE49" s="664">
        <f t="shared" si="150"/>
        <v>2890.0000000000005</v>
      </c>
      <c r="GF49" s="664">
        <f t="shared" si="151"/>
        <v>2947.8000000000006</v>
      </c>
      <c r="GG49" s="664">
        <f t="shared" si="152"/>
        <v>3006.7560000000008</v>
      </c>
      <c r="GH49" s="664">
        <f t="shared" si="153"/>
        <v>3066.8911200000011</v>
      </c>
      <c r="GI49" s="664">
        <f t="shared" si="154"/>
        <v>3128.228942400001</v>
      </c>
      <c r="GJ49" s="664">
        <f t="shared" si="155"/>
        <v>3190.7935212480011</v>
      </c>
      <c r="GK49" s="664">
        <f t="shared" si="156"/>
        <v>3254.6093916729615</v>
      </c>
      <c r="GL49" s="664">
        <f t="shared" si="157"/>
        <v>3319.7015795064203</v>
      </c>
      <c r="GM49" s="664">
        <f t="shared" si="158"/>
        <v>3386.095611096549</v>
      </c>
      <c r="GN49" s="1861">
        <f t="shared" si="159"/>
        <v>3453.8175233184797</v>
      </c>
      <c r="GO49" s="1910"/>
      <c r="GP49" s="1868">
        <f>BH49*INDEX(Assumptions!G$565:G$570,MATCH($B49,Assumptions!$B$565:$B$570,0))</f>
        <v>0</v>
      </c>
      <c r="GQ49" s="656">
        <f>BI49*INDEX(Assumptions!H$565:H$570,MATCH($B49,Assumptions!$B$565:$B$570,0))</f>
        <v>0</v>
      </c>
      <c r="GR49" s="656">
        <f>BJ49*INDEX(Assumptions!I$565:I$570,MATCH($B49,Assumptions!$B$565:$B$570,0))</f>
        <v>0</v>
      </c>
      <c r="GS49" s="656">
        <f>BK49*INDEX(Assumptions!J$565:J$570,MATCH($B49,Assumptions!$B$565:$B$570,0))</f>
        <v>0</v>
      </c>
      <c r="GT49" s="656">
        <f>BL49*INDEX(Assumptions!K$565:K$570,MATCH($B49,Assumptions!$B$565:$B$570,0))</f>
        <v>8.6775239730455418</v>
      </c>
      <c r="GU49" s="656">
        <f>BM49*INDEX(Assumptions!L$565:L$570,MATCH($B49,Assumptions!$B$565:$B$570,0))</f>
        <v>16.564889787152811</v>
      </c>
      <c r="GV49" s="656">
        <f>BN49*INDEX(Assumptions!M$565:M$570,MATCH($B49,Assumptions!$B$565:$B$570,0))</f>
        <v>23.663489121113731</v>
      </c>
      <c r="GW49" s="656">
        <f>BO49*INDEX(Assumptions!N$565:N$570,MATCH($B49,Assumptions!$B$565:$B$570,0))</f>
        <v>29.991575126088172</v>
      </c>
      <c r="GX49" s="656">
        <f>BP49*INDEX(Assumptions!O$565:O$570,MATCH($B49,Assumptions!$B$565:$B$570,0))</f>
        <v>35.56280470788117</v>
      </c>
      <c r="GY49" s="656">
        <f>BQ49*INDEX(Assumptions!P$565:P$570,MATCH($B49,Assumptions!$B$565:$B$570,0))</f>
        <v>38.400166860685509</v>
      </c>
      <c r="GZ49" s="656">
        <f>BR49*INDEX(Assumptions!Q$565:Q$570,MATCH($B49,Assumptions!$B$565:$B$570,0))</f>
        <v>0</v>
      </c>
      <c r="HA49" s="656">
        <f>BS49*INDEX(Assumptions!R$565:R$570,MATCH($B49,Assumptions!$B$565:$B$570,0))</f>
        <v>76.249129915668505</v>
      </c>
      <c r="HB49" s="656">
        <f>BT49*INDEX(Assumptions!S$565:S$570,MATCH($B49,Assumptions!$B$565:$B$570,0))</f>
        <v>84.958709141745672</v>
      </c>
      <c r="HC49" s="656">
        <f>BU49*INDEX(Assumptions!T$565:T$570,MATCH($B49,Assumptions!$B$565:$B$570,0))</f>
        <v>90.305701247097957</v>
      </c>
      <c r="HD49" s="1922">
        <f>BV49*INDEX(Assumptions!U$565:U$570,MATCH($B49,Assumptions!$B$565:$B$570,0))</f>
        <v>94.877108788491412</v>
      </c>
      <c r="HE49" s="1933"/>
      <c r="HF49" s="1930">
        <f t="shared" si="160"/>
        <v>0</v>
      </c>
      <c r="HG49" s="869">
        <f t="shared" si="161"/>
        <v>0</v>
      </c>
      <c r="HH49" s="869">
        <f t="shared" si="162"/>
        <v>0</v>
      </c>
      <c r="HI49" s="869">
        <f t="shared" si="163"/>
        <v>0</v>
      </c>
      <c r="HJ49" s="869">
        <f t="shared" si="164"/>
        <v>0.37037037037037035</v>
      </c>
      <c r="HK49" s="869">
        <f t="shared" si="165"/>
        <v>0.36310820624546125</v>
      </c>
      <c r="HL49" s="869">
        <f t="shared" si="166"/>
        <v>0.35598843749555015</v>
      </c>
      <c r="HM49" s="869">
        <f t="shared" si="167"/>
        <v>0.34900827205446094</v>
      </c>
      <c r="HN49" s="869">
        <f t="shared" si="168"/>
        <v>0.34216497260241269</v>
      </c>
      <c r="HO49" s="869">
        <f t="shared" si="169"/>
        <v>0.33545585549256141</v>
      </c>
      <c r="HP49" s="869">
        <f t="shared" si="170"/>
        <v>0.32887828969858962</v>
      </c>
      <c r="HQ49" s="869">
        <f t="shared" si="171"/>
        <v>0.32242969578293101</v>
      </c>
      <c r="HR49" s="869">
        <f t="shared" si="172"/>
        <v>0.31610754488522635</v>
      </c>
      <c r="HS49" s="869">
        <f t="shared" si="173"/>
        <v>0.30990935773061418</v>
      </c>
      <c r="HT49" s="869">
        <f t="shared" si="174"/>
        <v>0.30240721636848422</v>
      </c>
      <c r="HU49" s="528">
        <f t="shared" si="189"/>
        <v>0.33598438352060567</v>
      </c>
      <c r="HV49" s="499">
        <f>_xlfn.XLOOKUP(D49,TalTech!B:B,TalTech!J:J)+_xlfn.XLOOKUP(D49,TalTech!B:B,TalTech!K:K)</f>
        <v>108</v>
      </c>
      <c r="HW49" s="1936">
        <f>HJ49/(Assumptions!$I$651/1000000)</f>
        <v>9.3058221033812897E-3</v>
      </c>
      <c r="HX49" s="1944"/>
      <c r="HY49" s="1942">
        <v>2025</v>
      </c>
      <c r="HZ49" s="691">
        <v>2030</v>
      </c>
      <c r="IA49" s="683" t="s">
        <v>636</v>
      </c>
      <c r="IB49" s="683" t="s">
        <v>734</v>
      </c>
      <c r="IC49" s="694"/>
      <c r="ID49" s="1372" t="s">
        <v>747</v>
      </c>
      <c r="IE49" s="1954"/>
      <c r="IF49" s="1964">
        <v>0</v>
      </c>
      <c r="IG49" s="1374">
        <v>0</v>
      </c>
      <c r="IH49" s="1374">
        <v>1</v>
      </c>
      <c r="II49" s="1374">
        <v>0.5</v>
      </c>
      <c r="IJ49" s="1374">
        <v>0.5</v>
      </c>
      <c r="IK49" s="1375">
        <v>0</v>
      </c>
      <c r="IL49" s="1373">
        <v>1</v>
      </c>
      <c r="IM49" s="1278" t="s">
        <v>746</v>
      </c>
      <c r="IO49" s="547">
        <f t="shared" ref="IO49:IU49" si="192">SUM(IF42:IF49)/8</f>
        <v>0</v>
      </c>
      <c r="IP49" s="547">
        <f t="shared" si="192"/>
        <v>0.375</v>
      </c>
      <c r="IQ49" s="547">
        <f t="shared" si="192"/>
        <v>0.4375</v>
      </c>
      <c r="IR49" s="547">
        <f t="shared" si="192"/>
        <v>0.66250000000000009</v>
      </c>
      <c r="IS49" s="547">
        <f t="shared" si="192"/>
        <v>0.375</v>
      </c>
      <c r="IT49" s="547">
        <f t="shared" si="192"/>
        <v>0.58125000000000004</v>
      </c>
      <c r="IU49" s="547">
        <f t="shared" si="192"/>
        <v>0.75</v>
      </c>
      <c r="IV49" t="s">
        <v>748</v>
      </c>
    </row>
    <row r="50" spans="2:256" ht="13.5" customHeight="1" x14ac:dyDescent="0.3">
      <c r="B50" s="1703" t="s">
        <v>52</v>
      </c>
      <c r="C50" s="2112" t="s">
        <v>414</v>
      </c>
      <c r="D50" s="679" t="s">
        <v>749</v>
      </c>
      <c r="E50" s="1783" t="s">
        <v>750</v>
      </c>
      <c r="F50" s="1804"/>
      <c r="G50" s="1292"/>
      <c r="H50" s="70"/>
      <c r="I50" s="13"/>
      <c r="J50" s="70" t="s">
        <v>563</v>
      </c>
      <c r="K50" s="71" t="s">
        <v>597</v>
      </c>
      <c r="L50" s="1176" t="s">
        <v>719</v>
      </c>
      <c r="M50" s="1827"/>
      <c r="N50" s="1817"/>
      <c r="O50" s="1177"/>
      <c r="P50" s="1178">
        <v>1</v>
      </c>
      <c r="Q50" s="1177"/>
      <c r="R50" s="1177"/>
      <c r="S50" s="1445"/>
      <c r="T50" s="1445"/>
      <c r="U50" s="1445"/>
      <c r="V50" s="1445"/>
      <c r="W50" s="1445">
        <f>_xlfn.XLOOKUP(D50,TalTech!$B$4:$B$46,TalTech!$AZ$4:$AZ$46)</f>
        <v>0.48214285714285715</v>
      </c>
      <c r="X50" s="1445">
        <f t="shared" si="175"/>
        <v>0.51785714285714279</v>
      </c>
      <c r="Y50" s="1187" cm="1">
        <f t="array" ref="Y50:AC50">TRANSPOSE(_xlfn.ANCHORARRAY(Assumptions!$H$668))</f>
        <v>0.28487054651199106</v>
      </c>
      <c r="Z50" s="1187">
        <v>0.22102001228428755</v>
      </c>
      <c r="AA50" s="1187">
        <v>4.8710323312732284E-2</v>
      </c>
      <c r="AB50" s="1187">
        <v>0.29755737005201738</v>
      </c>
      <c r="AC50" s="1187">
        <v>0.14784174783897172</v>
      </c>
      <c r="AD50" s="1177"/>
      <c r="AE50" s="1177"/>
      <c r="AF50" s="1177"/>
      <c r="AG50" s="1194">
        <v>1</v>
      </c>
      <c r="AH50" s="1194"/>
      <c r="AI50" s="1194">
        <v>1</v>
      </c>
      <c r="AJ50" s="1177"/>
      <c r="AK50" s="1417">
        <f t="shared" si="176"/>
        <v>0.28260582882764079</v>
      </c>
      <c r="AL50" s="1243">
        <f>Assumptions!L$780</f>
        <v>6.2270869049188979E-2</v>
      </c>
      <c r="AM50" s="1243">
        <f>Assumptions!M$780</f>
        <v>0.2203349597784518</v>
      </c>
      <c r="AN50" s="1243">
        <f>Assumptions!N$780</f>
        <v>0.71739417117235926</v>
      </c>
      <c r="AO50" s="1221"/>
      <c r="AP50" s="1846"/>
      <c r="AQ50" s="1842">
        <v>56</v>
      </c>
      <c r="AR50" s="663"/>
      <c r="AS50" s="663"/>
      <c r="AT50" s="663"/>
      <c r="AU50" s="663"/>
      <c r="AV50" s="659">
        <f>_xlfn.XLOOKUP($D50,TalTech!$B$4:$B$46,TalTech!BB$4:BB$46)</f>
        <v>56</v>
      </c>
      <c r="AW50" s="659">
        <f>_xlfn.XLOOKUP($D50,TalTech!$B$4:$B$46,TalTech!BC$4:BC$46)</f>
        <v>56</v>
      </c>
      <c r="AX50" s="659">
        <f>_xlfn.XLOOKUP($D50,TalTech!$B$4:$B$46,TalTech!BD$4:BD$46)</f>
        <v>56</v>
      </c>
      <c r="AY50" s="659">
        <f>_xlfn.XLOOKUP($D50,TalTech!$B$4:$B$46,TalTech!BE$4:BE$46)</f>
        <v>56</v>
      </c>
      <c r="AZ50" s="659">
        <f>_xlfn.XLOOKUP($D50,TalTech!$B$4:$B$46,TalTech!BF$4:BF$46)</f>
        <v>56</v>
      </c>
      <c r="BA50" s="659">
        <f>_xlfn.XLOOKUP($D50,TalTech!$B$4:$B$46,TalTech!BG$4:BG$46)</f>
        <v>56</v>
      </c>
      <c r="BB50" s="659">
        <f>_xlfn.XLOOKUP($D50,TalTech!$B$4:$B$46,TalTech!BH$4:BH$46)</f>
        <v>56</v>
      </c>
      <c r="BC50" s="659">
        <f>_xlfn.XLOOKUP($D50,TalTech!$B$4:$B$46,TalTech!BI$4:BI$46)</f>
        <v>56</v>
      </c>
      <c r="BD50" s="659">
        <f>_xlfn.XLOOKUP($D50,TalTech!$B$4:$B$46,TalTech!BJ$4:BJ$46)</f>
        <v>56</v>
      </c>
      <c r="BE50" s="659">
        <f>_xlfn.XLOOKUP($D50,TalTech!$B$4:$B$46,TalTech!BK$4:BK$46)</f>
        <v>56</v>
      </c>
      <c r="BF50" s="659">
        <f>_xlfn.XLOOKUP($D50,TalTech!$B$4:$B$46,TalTech!BL$4:BL$46)</f>
        <v>56</v>
      </c>
      <c r="BG50" s="501">
        <f t="shared" si="177"/>
        <v>56</v>
      </c>
      <c r="BH50" s="893">
        <f t="shared" si="111"/>
        <v>0</v>
      </c>
      <c r="BI50" s="658">
        <f t="shared" si="112"/>
        <v>0</v>
      </c>
      <c r="BJ50" s="658">
        <f t="shared" si="113"/>
        <v>0</v>
      </c>
      <c r="BK50" s="658">
        <f t="shared" si="114"/>
        <v>0</v>
      </c>
      <c r="BL50" s="658">
        <f t="shared" si="115"/>
        <v>56</v>
      </c>
      <c r="BM50" s="658">
        <f t="shared" si="116"/>
        <v>112</v>
      </c>
      <c r="BN50" s="658">
        <f t="shared" si="117"/>
        <v>168</v>
      </c>
      <c r="BO50" s="658">
        <f t="shared" si="118"/>
        <v>224</v>
      </c>
      <c r="BP50" s="658">
        <f t="shared" si="119"/>
        <v>280</v>
      </c>
      <c r="BQ50" s="658">
        <f t="shared" si="120"/>
        <v>336</v>
      </c>
      <c r="BR50" s="658">
        <f t="shared" si="121"/>
        <v>392</v>
      </c>
      <c r="BS50" s="658">
        <f t="shared" si="122"/>
        <v>448</v>
      </c>
      <c r="BT50" s="658">
        <f t="shared" si="123"/>
        <v>504</v>
      </c>
      <c r="BU50" s="658">
        <f t="shared" si="124"/>
        <v>560</v>
      </c>
      <c r="BV50" s="1851">
        <f t="shared" si="125"/>
        <v>616</v>
      </c>
      <c r="BW50" s="1661"/>
      <c r="BX50" s="1855">
        <v>841.08279509333329</v>
      </c>
      <c r="BY50" s="1192">
        <f t="shared" si="126"/>
        <v>2865.5311392982462</v>
      </c>
      <c r="BZ50" s="663"/>
      <c r="CA50" s="663"/>
      <c r="CB50" s="663"/>
      <c r="CC50" s="663"/>
      <c r="CD50" s="675">
        <f>_xlfn.XLOOKUP($D50,TalTech!$B$4:$B$46,TalTech!BM$4:BM$46)</f>
        <v>152.63157894736844</v>
      </c>
      <c r="CE50" s="675">
        <f>_xlfn.XLOOKUP($D50,TalTech!$B$4:$B$46,TalTech!BN$4:BN$46)</f>
        <v>155.68421052631581</v>
      </c>
      <c r="CF50" s="675">
        <f>_xlfn.XLOOKUP($D50,TalTech!$B$4:$B$46,TalTech!BO$4:BO$46)</f>
        <v>158.79789473684212</v>
      </c>
      <c r="CG50" s="675">
        <f>_xlfn.XLOOKUP($D50,TalTech!$B$4:$B$46,TalTech!BP$4:BP$46)</f>
        <v>161.97385263157898</v>
      </c>
      <c r="CH50" s="675">
        <f>_xlfn.XLOOKUP($D50,TalTech!$B$4:$B$46,TalTech!BQ$4:BQ$46)</f>
        <v>165.21332968421055</v>
      </c>
      <c r="CI50" s="675">
        <f>_xlfn.XLOOKUP($D50,TalTech!$B$4:$B$46,TalTech!BR$4:BR$46)</f>
        <v>168.51759627789477</v>
      </c>
      <c r="CJ50" s="675">
        <f>_xlfn.XLOOKUP($D50,TalTech!$B$4:$B$46,TalTech!BS$4:BS$46)</f>
        <v>171.88794820345268</v>
      </c>
      <c r="CK50" s="675">
        <f>_xlfn.XLOOKUP($D50,TalTech!$B$4:$B$46,TalTech!BT$4:BT$46)</f>
        <v>175.32570716752173</v>
      </c>
      <c r="CL50" s="675">
        <f>_xlfn.XLOOKUP($D50,TalTech!$B$4:$B$46,TalTech!BU$4:BU$46)</f>
        <v>178.83222131087217</v>
      </c>
      <c r="CM50" s="675">
        <f>_xlfn.XLOOKUP($D50,TalTech!$B$4:$B$46,TalTech!BV$4:BV$46)</f>
        <v>182.40886573708963</v>
      </c>
      <c r="CN50" s="675">
        <f>_xlfn.XLOOKUP($D50,TalTech!$B$4:$B$46,TalTech!BW$4:BW$46)</f>
        <v>186.05704305183141</v>
      </c>
      <c r="CO50" s="493">
        <f t="shared" si="178"/>
        <v>168.8482043886344</v>
      </c>
      <c r="CP50" s="660">
        <f t="shared" si="127"/>
        <v>962.81846280421064</v>
      </c>
      <c r="CQ50" s="1193">
        <f>_xlfn.XLOOKUP($D50,TalTech!$B$4:$B$46,TalTech!$H$4:$H$46)</f>
        <v>0</v>
      </c>
      <c r="CR50" s="662">
        <f t="shared" si="128"/>
        <v>1</v>
      </c>
      <c r="CS50" s="685" t="str">
        <v>Energy provider (billed to end user)</v>
      </c>
      <c r="CT50" s="1862">
        <f t="shared" si="129"/>
        <v>160.46974380070176</v>
      </c>
      <c r="CU50" s="1872"/>
      <c r="CV50" s="1866">
        <f>BH50*Assumptions!D$497</f>
        <v>0</v>
      </c>
      <c r="CW50" s="675">
        <f>BI50*Assumptions!E$497</f>
        <v>0</v>
      </c>
      <c r="CX50" s="675">
        <f>BJ50*Assumptions!F$497</f>
        <v>0</v>
      </c>
      <c r="CY50" s="675">
        <f>BK50*Assumptions!G$497</f>
        <v>0</v>
      </c>
      <c r="CZ50" s="675">
        <f>BL50*Assumptions!H$497</f>
        <v>4.6098268646644431</v>
      </c>
      <c r="DA50" s="675">
        <f>BM50*Assumptions!I$497</f>
        <v>9.4808134216282678</v>
      </c>
      <c r="DB50" s="675">
        <f>BN50*Assumptions!J$497</f>
        <v>14.624739380960962</v>
      </c>
      <c r="DC50" s="675">
        <f>BO50*Assumptions!K$497</f>
        <v>20.053653602282491</v>
      </c>
      <c r="DD50" s="675">
        <f>BP50*Assumptions!L$497</f>
        <v>25.780132303654337</v>
      </c>
      <c r="DE50" s="675">
        <f>BQ50*Assumptions!M$497</f>
        <v>31.817248790214091</v>
      </c>
      <c r="DF50" s="675">
        <f>BR50*Assumptions!N$497</f>
        <v>38.192421166385309</v>
      </c>
      <c r="DG50" s="675">
        <f>BS50*Assumptions!O$497</f>
        <v>44.910728767453236</v>
      </c>
      <c r="DH50" s="675">
        <f>BT50*Assumptions!P$497</f>
        <v>51.987199078043922</v>
      </c>
      <c r="DI50" s="675">
        <f>BU50*Assumptions!Q$497</f>
        <v>59.437452410158592</v>
      </c>
      <c r="DJ50" s="675">
        <f>BV50*Assumptions!R$497</f>
        <v>67.277723948079938</v>
      </c>
      <c r="DK50" s="659">
        <f>BH50*Assumptions!D$504</f>
        <v>0</v>
      </c>
      <c r="DL50" s="659">
        <f>BI50*Assumptions!E$504</f>
        <v>0</v>
      </c>
      <c r="DM50" s="659">
        <f>BJ50*Assumptions!F$504</f>
        <v>0</v>
      </c>
      <c r="DN50" s="659">
        <f>BK50*Assumptions!G$504</f>
        <v>0</v>
      </c>
      <c r="DO50" s="659">
        <f>BL50*Assumptions!H$504</f>
        <v>4.6901247095015348</v>
      </c>
      <c r="DP50" s="659">
        <f>BM50*Assumptions!I$504</f>
        <v>9.6441284511352094</v>
      </c>
      <c r="DQ50" s="659">
        <f>BN50*Assumptions!J$504</f>
        <v>14.873727200417328</v>
      </c>
      <c r="DR50" s="659">
        <f>BO50*Assumptions!K$504</f>
        <v>20.391060930727456</v>
      </c>
      <c r="DS50" s="659">
        <f>BP50*Assumptions!L$504</f>
        <v>26.208758797214731</v>
      </c>
      <c r="DT50" s="659">
        <f>BQ50*Assumptions!M$504</f>
        <v>32.339947448403727</v>
      </c>
      <c r="DU50" s="659">
        <f>BR50*Assumptions!N$504</f>
        <v>38.811859943723377</v>
      </c>
      <c r="DV50" s="659">
        <f>BS50*Assumptions!O$504</f>
        <v>45.629776805063472</v>
      </c>
      <c r="DW50" s="659">
        <f>BT50*Assumptions!P$504</f>
        <v>52.808770418399881</v>
      </c>
      <c r="DX50" s="659">
        <f>BU50*Assumptions!Q$504</f>
        <v>60.364506003714112</v>
      </c>
      <c r="DY50" s="659">
        <f>BV50*Assumptions!R$504</f>
        <v>68.313263645166103</v>
      </c>
      <c r="DZ50" s="678">
        <v>0</v>
      </c>
      <c r="EA50" s="661">
        <f t="shared" si="130"/>
        <v>1</v>
      </c>
      <c r="EB50" s="1861">
        <f t="shared" si="131"/>
        <v>10.63664143634046</v>
      </c>
      <c r="EC50" s="1881"/>
      <c r="ED50" s="1877">
        <v>0</v>
      </c>
      <c r="EE50" s="684"/>
      <c r="EF50" s="684"/>
      <c r="EG50" s="684"/>
      <c r="EH50" s="684"/>
      <c r="EI50" s="665">
        <f t="shared" ref="EI50:ES54" si="193">(CD50*0.32*$CR50)</f>
        <v>48.842105263157904</v>
      </c>
      <c r="EJ50" s="665">
        <f t="shared" si="193"/>
        <v>49.818947368421057</v>
      </c>
      <c r="EK50" s="665">
        <f t="shared" si="193"/>
        <v>50.815326315789484</v>
      </c>
      <c r="EL50" s="665">
        <f t="shared" si="193"/>
        <v>51.831632842105272</v>
      </c>
      <c r="EM50" s="665">
        <f t="shared" si="193"/>
        <v>52.86826549894738</v>
      </c>
      <c r="EN50" s="665">
        <f t="shared" si="193"/>
        <v>53.925630808926329</v>
      </c>
      <c r="EO50" s="665">
        <f t="shared" si="193"/>
        <v>55.004143425104857</v>
      </c>
      <c r="EP50" s="665">
        <f t="shared" si="193"/>
        <v>56.104226293606956</v>
      </c>
      <c r="EQ50" s="665">
        <f t="shared" si="193"/>
        <v>57.226310819479096</v>
      </c>
      <c r="ER50" s="665">
        <f t="shared" si="193"/>
        <v>58.370837035868682</v>
      </c>
      <c r="ES50" s="665">
        <f t="shared" si="193"/>
        <v>59.538253776586053</v>
      </c>
      <c r="ET50" s="541">
        <f t="shared" si="133"/>
        <v>54.031425404363013</v>
      </c>
      <c r="EU50" s="1450" cm="1">
        <f t="array" ref="EU50">(BH50*SUMPRODUCT($S50:$X50,TRANSPOSE(Assumptions!D$281:D$286)))*0.001</f>
        <v>0</v>
      </c>
      <c r="EV50" s="1450" cm="1">
        <f t="array" ref="EV50">(BI50*SUMPRODUCT($S50:$X50,TRANSPOSE(Assumptions!E$281:E$286)))*0.001</f>
        <v>0</v>
      </c>
      <c r="EW50" s="1450" cm="1">
        <f t="array" ref="EW50">(BJ50*SUMPRODUCT($S50:$X50,TRANSPOSE(Assumptions!F$281:F$286)))*0.001</f>
        <v>0</v>
      </c>
      <c r="EX50" s="1450" cm="1">
        <f t="array" ref="EX50">(BK50*SUMPRODUCT($S50:$X50,TRANSPOSE(Assumptions!G$281:G$286)))*0.001</f>
        <v>0</v>
      </c>
      <c r="EY50" s="1450" cm="1">
        <f t="array" ref="EY50">(BL50*SUMPRODUCT($S50:$X50,TRANSPOSE(Assumptions!H$281:H$286)))*0.001</f>
        <v>0.20140371061289367</v>
      </c>
      <c r="EZ50" s="1450" cm="1">
        <f t="array" ref="EZ50">(BM50*SUMPRODUCT($S50:$X50,TRANSPOSE(Assumptions!I$281:I$286)))*0.001</f>
        <v>0.40280742122578733</v>
      </c>
      <c r="FA50" s="1450" cm="1">
        <f t="array" ref="FA50">(BN50*SUMPRODUCT($S50:$X50,TRANSPOSE(Assumptions!J$281:J$286)))*0.001</f>
        <v>0.60421113183868103</v>
      </c>
      <c r="FB50" s="1450" cm="1">
        <f t="array" ref="FB50">(BO50*SUMPRODUCT($S50:$X50,TRANSPOSE(Assumptions!K$281:K$286)))*0.001</f>
        <v>0.80561484245157466</v>
      </c>
      <c r="FC50" s="1450" cm="1">
        <f t="array" ref="FC50">(BP50*SUMPRODUCT($S50:$X50,TRANSPOSE(Assumptions!L$281:L$286)))*0.001</f>
        <v>1.0070185530644682</v>
      </c>
      <c r="FD50" s="1450" cm="1">
        <f t="array" ref="FD50">(BQ50*SUMPRODUCT($S50:$X50,TRANSPOSE(Assumptions!M$281:M$286)))*0.001</f>
        <v>1.2084222636773621</v>
      </c>
      <c r="FE50" s="1450" cm="1">
        <f t="array" ref="FE50">(BR50*SUMPRODUCT($S50:$X50,TRANSPOSE(Assumptions!N$281:N$286)))*0.001</f>
        <v>1.4098259742902555</v>
      </c>
      <c r="FF50" s="1450" cm="1">
        <f t="array" ref="FF50">(BS50*SUMPRODUCT($S50:$X50,TRANSPOSE(Assumptions!O$281:O$286)))*0.001</f>
        <v>1.6112296849031493</v>
      </c>
      <c r="FG50" s="1450" cm="1">
        <f t="array" ref="FG50">(BT50*SUMPRODUCT($S50:$X50,TRANSPOSE(Assumptions!P$281:P$286)))*0.001</f>
        <v>1.8126333955160427</v>
      </c>
      <c r="FH50" s="1450" cm="1">
        <f t="array" ref="FH50">(BU50*SUMPRODUCT($S50:$X50,TRANSPOSE(Assumptions!Q$281:Q$286)))*0.001</f>
        <v>2.0140371061289364</v>
      </c>
      <c r="FI50" s="1450" cm="1">
        <f t="array" ref="FI50">(BV50*SUMPRODUCT($S50:$X50,TRANSPOSE(Assumptions!R$281:R$286)))*0.001</f>
        <v>2.2154408167418302</v>
      </c>
      <c r="FJ50" s="666">
        <f t="shared" si="179"/>
        <v>0</v>
      </c>
      <c r="FK50" s="666">
        <f t="shared" si="180"/>
        <v>0</v>
      </c>
      <c r="FL50" s="666">
        <f t="shared" si="181"/>
        <v>0</v>
      </c>
      <c r="FM50" s="666">
        <f t="shared" si="182"/>
        <v>0</v>
      </c>
      <c r="FN50" s="666">
        <f t="shared" si="183"/>
        <v>48.640701552545011</v>
      </c>
      <c r="FO50" s="666">
        <f t="shared" si="184"/>
        <v>49.416139947195269</v>
      </c>
      <c r="FP50" s="666">
        <f t="shared" si="185"/>
        <v>50.211115183950803</v>
      </c>
      <c r="FQ50" s="666">
        <f t="shared" si="186"/>
        <v>51.026017999653696</v>
      </c>
      <c r="FR50" s="666">
        <f t="shared" si="187"/>
        <v>51.861246945882911</v>
      </c>
      <c r="FS50" s="666">
        <f t="shared" si="188"/>
        <v>52.717208545248965</v>
      </c>
      <c r="FT50" s="666">
        <f t="shared" si="144"/>
        <v>53.5943174508146</v>
      </c>
      <c r="FU50" s="666">
        <f t="shared" si="145"/>
        <v>54.492996608703805</v>
      </c>
      <c r="FV50" s="666">
        <f t="shared" si="146"/>
        <v>55.413677423963051</v>
      </c>
      <c r="FW50" s="666">
        <f t="shared" si="147"/>
        <v>56.356799929739744</v>
      </c>
      <c r="FX50" s="1883">
        <f t="shared" si="148"/>
        <v>57.322812959844221</v>
      </c>
      <c r="FY50" s="1895"/>
      <c r="FZ50" s="690"/>
      <c r="GA50" s="690"/>
      <c r="GB50" s="690"/>
      <c r="GC50" s="690"/>
      <c r="GD50" s="664">
        <f t="shared" si="149"/>
        <v>2594.7368421052633</v>
      </c>
      <c r="GE50" s="664">
        <f t="shared" si="150"/>
        <v>2646.6315789473688</v>
      </c>
      <c r="GF50" s="664">
        <f t="shared" si="151"/>
        <v>2699.5642105263159</v>
      </c>
      <c r="GG50" s="664">
        <f t="shared" si="152"/>
        <v>2753.5554947368428</v>
      </c>
      <c r="GH50" s="664">
        <f t="shared" si="153"/>
        <v>2808.6266046315795</v>
      </c>
      <c r="GI50" s="664">
        <f t="shared" si="154"/>
        <v>2864.7991367242112</v>
      </c>
      <c r="GJ50" s="664">
        <f t="shared" si="155"/>
        <v>2922.0951194586955</v>
      </c>
      <c r="GK50" s="664">
        <f t="shared" si="156"/>
        <v>2980.5370218478693</v>
      </c>
      <c r="GL50" s="664">
        <f t="shared" si="157"/>
        <v>3040.147762284827</v>
      </c>
      <c r="GM50" s="664">
        <f t="shared" si="158"/>
        <v>3100.9507175305234</v>
      </c>
      <c r="GN50" s="1861">
        <f t="shared" si="159"/>
        <v>3162.9697318811341</v>
      </c>
      <c r="GO50" s="1910"/>
      <c r="GP50" s="1868">
        <f>BH50*INDEX(Assumptions!G$565:G$570,MATCH($B50,Assumptions!$B$565:$B$570,0))</f>
        <v>0</v>
      </c>
      <c r="GQ50" s="656">
        <f>BI50*INDEX(Assumptions!H$565:H$570,MATCH($B50,Assumptions!$B$565:$B$570,0))</f>
        <v>0</v>
      </c>
      <c r="GR50" s="656">
        <f>BJ50*INDEX(Assumptions!I$565:I$570,MATCH($B50,Assumptions!$B$565:$B$570,0))</f>
        <v>0</v>
      </c>
      <c r="GS50" s="656">
        <f>BK50*INDEX(Assumptions!J$565:J$570,MATCH($B50,Assumptions!$B$565:$B$570,0))</f>
        <v>0</v>
      </c>
      <c r="GT50" s="656">
        <f>BL50*INDEX(Assumptions!K$565:K$570,MATCH($B50,Assumptions!$B$565:$B$570,0))</f>
        <v>25.7321533804644</v>
      </c>
      <c r="GU50" s="656">
        <f>BM50*INDEX(Assumptions!L$565:L$570,MATCH($B50,Assumptions!$B$565:$B$570,0))</f>
        <v>49.60984412770329</v>
      </c>
      <c r="GV50" s="656">
        <f>BN50*INDEX(Assumptions!M$565:M$570,MATCH($B50,Assumptions!$B$565:$B$570,0))</f>
        <v>71.655184020844246</v>
      </c>
      <c r="GW50" s="656">
        <f>BO50*INDEX(Assumptions!N$565:N$570,MATCH($B50,Assumptions!$B$565:$B$570,0))</f>
        <v>91.885440789368232</v>
      </c>
      <c r="GX50" s="656">
        <f>BP50*INDEX(Assumptions!O$565:O$570,MATCH($B50,Assumptions!$B$565:$B$570,0))</f>
        <v>110.31907675453365</v>
      </c>
      <c r="GY50" s="656">
        <f>BQ50*INDEX(Assumptions!P$565:P$570,MATCH($B50,Assumptions!$B$565:$B$570,0))</f>
        <v>121.74703836311814</v>
      </c>
      <c r="GZ50" s="656">
        <f>BR50*INDEX(Assumptions!Q$565:Q$570,MATCH($B50,Assumptions!$B$565:$B$570,0))</f>
        <v>49.633182109537962</v>
      </c>
      <c r="HA50" s="656">
        <f>BS50*INDEX(Assumptions!R$565:R$570,MATCH($B50,Assumptions!$B$565:$B$570,0))</f>
        <v>232.02917802393569</v>
      </c>
      <c r="HB50" s="656">
        <f>BT50*INDEX(Assumptions!S$565:S$570,MATCH($B50,Assumptions!$B$565:$B$570,0))</f>
        <v>261.03282527692767</v>
      </c>
      <c r="HC50" s="656">
        <f>BU50*INDEX(Assumptions!T$565:T$570,MATCH($B50,Assumptions!$B$565:$B$570,0))</f>
        <v>281.32399833744734</v>
      </c>
      <c r="HD50" s="1922">
        <f>BV50*INDEX(Assumptions!U$565:U$570,MATCH($B50,Assumptions!$B$565:$B$570,0))</f>
        <v>299.87267655947255</v>
      </c>
      <c r="HE50" s="1933"/>
      <c r="HF50" s="1930">
        <f t="shared" si="160"/>
        <v>0</v>
      </c>
      <c r="HG50" s="869">
        <f t="shared" si="161"/>
        <v>0</v>
      </c>
      <c r="HH50" s="869">
        <f t="shared" si="162"/>
        <v>0</v>
      </c>
      <c r="HI50" s="869">
        <f t="shared" si="163"/>
        <v>0</v>
      </c>
      <c r="HJ50" s="869">
        <f t="shared" si="164"/>
        <v>1.3333333333333333</v>
      </c>
      <c r="HK50" s="869">
        <f t="shared" si="165"/>
        <v>1.3333333333333333</v>
      </c>
      <c r="HL50" s="869">
        <f t="shared" si="166"/>
        <v>1.3333333333333333</v>
      </c>
      <c r="HM50" s="869">
        <f t="shared" si="167"/>
        <v>1.3333333333333333</v>
      </c>
      <c r="HN50" s="869">
        <f t="shared" si="168"/>
        <v>1.3333333333333333</v>
      </c>
      <c r="HO50" s="869">
        <f t="shared" si="169"/>
        <v>1.3333333333333333</v>
      </c>
      <c r="HP50" s="869">
        <f t="shared" si="170"/>
        <v>1.3333333333333333</v>
      </c>
      <c r="HQ50" s="869">
        <f t="shared" si="171"/>
        <v>1.3333333333333333</v>
      </c>
      <c r="HR50" s="869">
        <f t="shared" si="172"/>
        <v>1.3333333333333333</v>
      </c>
      <c r="HS50" s="869">
        <f t="shared" si="173"/>
        <v>1.3333333333333333</v>
      </c>
      <c r="HT50" s="869">
        <f t="shared" si="174"/>
        <v>1.3333333333333333</v>
      </c>
      <c r="HU50" s="528">
        <f t="shared" si="189"/>
        <v>1.3333333333333335</v>
      </c>
      <c r="HV50" s="499">
        <f>_xlfn.XLOOKUP(D50,TalTech!B:B,TalTech!J:J)+_xlfn.XLOOKUP(D50,TalTech!B:B,TalTech!K:K)</f>
        <v>42</v>
      </c>
      <c r="HW50" s="1937">
        <f>HJ50/(Assumptions!$C$790/1000000)</f>
        <v>7.033276187964306E-2</v>
      </c>
      <c r="HX50" s="1945"/>
      <c r="HY50" s="1942">
        <v>2025</v>
      </c>
      <c r="HZ50" s="691">
        <v>2030</v>
      </c>
      <c r="IA50" s="683" t="s">
        <v>720</v>
      </c>
      <c r="IB50" s="683" t="s">
        <v>721</v>
      </c>
      <c r="IC50" s="694"/>
      <c r="ID50" s="1376" t="s">
        <v>751</v>
      </c>
      <c r="IE50" s="1968"/>
      <c r="IF50" s="1962">
        <v>0</v>
      </c>
      <c r="IG50" s="1290">
        <v>1</v>
      </c>
      <c r="IH50" s="1290">
        <v>0</v>
      </c>
      <c r="II50" s="1290">
        <v>0</v>
      </c>
      <c r="IJ50" s="1290">
        <v>0</v>
      </c>
      <c r="IK50" s="1371">
        <v>0</v>
      </c>
      <c r="IL50" s="1286">
        <v>0.5</v>
      </c>
      <c r="IM50" s="1278" t="s">
        <v>750</v>
      </c>
    </row>
    <row r="51" spans="2:256" ht="13.5" customHeight="1" x14ac:dyDescent="0.3">
      <c r="B51" s="1703" t="s">
        <v>52</v>
      </c>
      <c r="C51" s="2113"/>
      <c r="D51" s="679" t="s">
        <v>752</v>
      </c>
      <c r="E51" s="1783" t="s">
        <v>753</v>
      </c>
      <c r="F51" s="1804"/>
      <c r="G51" s="1795" t="s">
        <v>754</v>
      </c>
      <c r="H51" s="1195" t="s">
        <v>755</v>
      </c>
      <c r="I51" s="1196" t="s">
        <v>756</v>
      </c>
      <c r="J51" s="70" t="s">
        <v>563</v>
      </c>
      <c r="K51" s="71" t="s">
        <v>564</v>
      </c>
      <c r="L51" s="1176" t="s">
        <v>719</v>
      </c>
      <c r="M51" s="1827"/>
      <c r="N51" s="1817"/>
      <c r="O51" s="1177"/>
      <c r="P51" s="1178">
        <v>1</v>
      </c>
      <c r="Q51" s="1177"/>
      <c r="R51" s="1177"/>
      <c r="S51" s="1445"/>
      <c r="T51" s="1445"/>
      <c r="U51" s="1445"/>
      <c r="V51" s="1445"/>
      <c r="W51" s="1445">
        <f>_xlfn.XLOOKUP(D51,TalTech!$B$4:$B$46,TalTech!$AZ$4:$AZ$46)</f>
        <v>0.94444444444444442</v>
      </c>
      <c r="X51" s="1445">
        <f t="shared" si="175"/>
        <v>5.555555555555558E-2</v>
      </c>
      <c r="Y51" s="1183" cm="1">
        <f t="array" ref="Y51:AC51">TRANSPOSE(Assumptions!D742:D746)</f>
        <v>0.36787142664892586</v>
      </c>
      <c r="Z51" s="1183">
        <v>8.8840184364481906E-2</v>
      </c>
      <c r="AA51" s="1183">
        <v>0.11519424569191609</v>
      </c>
      <c r="AB51" s="1183">
        <v>0.2736784698412047</v>
      </c>
      <c r="AC51" s="1183">
        <v>0.15441567345347137</v>
      </c>
      <c r="AD51" s="1177"/>
      <c r="AE51" s="1177"/>
      <c r="AF51" s="1177"/>
      <c r="AG51" s="1194">
        <f>P51</f>
        <v>1</v>
      </c>
      <c r="AH51" s="1194">
        <v>1</v>
      </c>
      <c r="AI51" s="1194"/>
      <c r="AJ51" s="1177"/>
      <c r="AK51" s="1417">
        <f t="shared" si="176"/>
        <v>1</v>
      </c>
      <c r="AL51" s="1178">
        <v>1</v>
      </c>
      <c r="AM51" s="1177"/>
      <c r="AN51" s="1177"/>
      <c r="AO51" s="1221"/>
      <c r="AP51" s="1846"/>
      <c r="AQ51" s="1841">
        <v>1.8</v>
      </c>
      <c r="AR51" s="663"/>
      <c r="AS51" s="663"/>
      <c r="AT51" s="663"/>
      <c r="AU51" s="663"/>
      <c r="AV51" s="659">
        <f>_xlfn.XLOOKUP($D51,TalTech!$B$4:$B$46,TalTech!BB$4:BB$46)</f>
        <v>1.8</v>
      </c>
      <c r="AW51" s="659">
        <f>_xlfn.XLOOKUP($D51,TalTech!$B$4:$B$46,TalTech!BC$4:BC$46)</f>
        <v>1.8</v>
      </c>
      <c r="AX51" s="659">
        <f>_xlfn.XLOOKUP($D51,TalTech!$B$4:$B$46,TalTech!BD$4:BD$46)</f>
        <v>1.8</v>
      </c>
      <c r="AY51" s="659">
        <f>_xlfn.XLOOKUP($D51,TalTech!$B$4:$B$46,TalTech!BE$4:BE$46)</f>
        <v>1.8</v>
      </c>
      <c r="AZ51" s="659">
        <f>_xlfn.XLOOKUP($D51,TalTech!$B$4:$B$46,TalTech!BF$4:BF$46)</f>
        <v>1.8</v>
      </c>
      <c r="BA51" s="659">
        <f>_xlfn.XLOOKUP($D51,TalTech!$B$4:$B$46,TalTech!BG$4:BG$46)</f>
        <v>1.8000000000000005</v>
      </c>
      <c r="BB51" s="659">
        <f>_xlfn.XLOOKUP($D51,TalTech!$B$4:$B$46,TalTech!BH$4:BH$46)</f>
        <v>1.8000000000000005</v>
      </c>
      <c r="BC51" s="659">
        <f>_xlfn.XLOOKUP($D51,TalTech!$B$4:$B$46,TalTech!BI$4:BI$46)</f>
        <v>1.8000000000000005</v>
      </c>
      <c r="BD51" s="659">
        <f>_xlfn.XLOOKUP($D51,TalTech!$B$4:$B$46,TalTech!BJ$4:BJ$46)</f>
        <v>1.8000000000000005</v>
      </c>
      <c r="BE51" s="659">
        <f>_xlfn.XLOOKUP($D51,TalTech!$B$4:$B$46,TalTech!BK$4:BK$46)</f>
        <v>1.8000000000000005</v>
      </c>
      <c r="BF51" s="659">
        <f>_xlfn.XLOOKUP($D51,TalTech!$B$4:$B$46,TalTech!BL$4:BL$46)</f>
        <v>1.8000000000000005</v>
      </c>
      <c r="BG51" s="501">
        <f t="shared" si="177"/>
        <v>1.8000000000000005</v>
      </c>
      <c r="BH51" s="893">
        <f t="shared" si="111"/>
        <v>0</v>
      </c>
      <c r="BI51" s="658">
        <f t="shared" si="112"/>
        <v>0</v>
      </c>
      <c r="BJ51" s="658">
        <f t="shared" si="113"/>
        <v>0</v>
      </c>
      <c r="BK51" s="658">
        <f t="shared" si="114"/>
        <v>0</v>
      </c>
      <c r="BL51" s="658">
        <f t="shared" si="115"/>
        <v>1.8</v>
      </c>
      <c r="BM51" s="658">
        <f t="shared" si="116"/>
        <v>3.6</v>
      </c>
      <c r="BN51" s="658">
        <f t="shared" si="117"/>
        <v>5.4</v>
      </c>
      <c r="BO51" s="658">
        <f t="shared" si="118"/>
        <v>7.2</v>
      </c>
      <c r="BP51" s="658">
        <f t="shared" si="119"/>
        <v>9</v>
      </c>
      <c r="BQ51" s="658">
        <f t="shared" si="120"/>
        <v>10.8</v>
      </c>
      <c r="BR51" s="658">
        <f t="shared" si="121"/>
        <v>12.600000000000001</v>
      </c>
      <c r="BS51" s="658">
        <f t="shared" si="122"/>
        <v>14.400000000000002</v>
      </c>
      <c r="BT51" s="658">
        <f t="shared" si="123"/>
        <v>16.200000000000003</v>
      </c>
      <c r="BU51" s="658">
        <f t="shared" si="124"/>
        <v>18.000000000000004</v>
      </c>
      <c r="BV51" s="1851">
        <f t="shared" si="125"/>
        <v>19.800000000000004</v>
      </c>
      <c r="BW51" s="1661"/>
      <c r="BX51" s="1855">
        <v>94.621814448000009</v>
      </c>
      <c r="BY51" s="1192">
        <f t="shared" si="126"/>
        <v>8761.2791155555569</v>
      </c>
      <c r="BZ51" s="663"/>
      <c r="CA51" s="663"/>
      <c r="CB51" s="663"/>
      <c r="CC51" s="663"/>
      <c r="CD51" s="675">
        <f>_xlfn.XLOOKUP($D51,TalTech!$B$4:$B$46,TalTech!BM$4:BM$46)</f>
        <v>15</v>
      </c>
      <c r="CE51" s="675">
        <f>_xlfn.XLOOKUP($D51,TalTech!$B$4:$B$46,TalTech!BN$4:BN$46)</f>
        <v>15.3</v>
      </c>
      <c r="CF51" s="675">
        <f>_xlfn.XLOOKUP($D51,TalTech!$B$4:$B$46,TalTech!BO$4:BO$46)</f>
        <v>15.606000000000002</v>
      </c>
      <c r="CG51" s="675">
        <f>_xlfn.XLOOKUP($D51,TalTech!$B$4:$B$46,TalTech!BP$4:BP$46)</f>
        <v>15.918120000000002</v>
      </c>
      <c r="CH51" s="675">
        <f>_xlfn.XLOOKUP($D51,TalTech!$B$4:$B$46,TalTech!BQ$4:BQ$46)</f>
        <v>16.236482400000003</v>
      </c>
      <c r="CI51" s="675">
        <f>_xlfn.XLOOKUP($D51,TalTech!$B$4:$B$46,TalTech!BR$4:BR$46)</f>
        <v>16.561212048000005</v>
      </c>
      <c r="CJ51" s="675">
        <f>_xlfn.XLOOKUP($D51,TalTech!$B$4:$B$46,TalTech!BS$4:BS$46)</f>
        <v>16.892436288960006</v>
      </c>
      <c r="CK51" s="675">
        <f>_xlfn.XLOOKUP($D51,TalTech!$B$4:$B$46,TalTech!BT$4:BT$46)</f>
        <v>17.230285014739206</v>
      </c>
      <c r="CL51" s="675">
        <f>_xlfn.XLOOKUP($D51,TalTech!$B$4:$B$46,TalTech!BU$4:BU$46)</f>
        <v>17.574890715033991</v>
      </c>
      <c r="CM51" s="675">
        <f>_xlfn.XLOOKUP($D51,TalTech!$B$4:$B$46,TalTech!BV$4:BV$46)</f>
        <v>17.92638852933467</v>
      </c>
      <c r="CN51" s="675">
        <f>_xlfn.XLOOKUP($D51,TalTech!$B$4:$B$46,TalTech!BW$4:BW$46)</f>
        <v>18.284916299921363</v>
      </c>
      <c r="CO51" s="493">
        <f t="shared" si="178"/>
        <v>16.593702845089933</v>
      </c>
      <c r="CP51" s="660">
        <f t="shared" si="127"/>
        <v>94.621814448000009</v>
      </c>
      <c r="CQ51" s="1193">
        <f>_xlfn.XLOOKUP($D51,TalTech!$B$4:$B$46,TalTech!$H$4:$H$46)</f>
        <v>1</v>
      </c>
      <c r="CR51" s="662">
        <f t="shared" si="128"/>
        <v>0</v>
      </c>
      <c r="CS51" s="685" t="str">
        <v>80% government</v>
      </c>
      <c r="CT51" s="1862">
        <f t="shared" si="129"/>
        <v>15.770302408000001</v>
      </c>
      <c r="CU51" s="1872"/>
      <c r="CV51" s="1866">
        <f>BH51*Assumptions!D$497</f>
        <v>0</v>
      </c>
      <c r="CW51" s="675">
        <f>BI51*Assumptions!E$497</f>
        <v>0</v>
      </c>
      <c r="CX51" s="675">
        <f>BJ51*Assumptions!F$497</f>
        <v>0</v>
      </c>
      <c r="CY51" s="675">
        <f>BK51*Assumptions!G$497</f>
        <v>0</v>
      </c>
      <c r="CZ51" s="675">
        <f>BL51*Assumptions!H$497</f>
        <v>0.14817300636421424</v>
      </c>
      <c r="DA51" s="675">
        <f>BM51*Assumptions!I$497</f>
        <v>0.30474043140948004</v>
      </c>
      <c r="DB51" s="675">
        <f>BN51*Assumptions!J$497</f>
        <v>0.47008090867374525</v>
      </c>
      <c r="DC51" s="675">
        <f>BO51*Assumptions!K$497</f>
        <v>0.64458172293050864</v>
      </c>
      <c r="DD51" s="675">
        <f>BP51*Assumptions!L$497</f>
        <v>0.82864710976031808</v>
      </c>
      <c r="DE51" s="675">
        <f>BQ51*Assumptions!M$497</f>
        <v>1.0226972825425957</v>
      </c>
      <c r="DF51" s="675">
        <f>BR51*Assumptions!N$497</f>
        <v>1.2276135374909565</v>
      </c>
      <c r="DG51" s="675">
        <f>BS51*Assumptions!O$497</f>
        <v>1.4435591389538542</v>
      </c>
      <c r="DH51" s="675">
        <f>BT51*Assumptions!P$497</f>
        <v>1.6710171132228406</v>
      </c>
      <c r="DI51" s="675">
        <f>BU51*Assumptions!Q$497</f>
        <v>1.9104895417550978</v>
      </c>
      <c r="DJ51" s="675">
        <f>BV51*Assumptions!R$497</f>
        <v>2.1624982697597126</v>
      </c>
      <c r="DK51" s="659">
        <f>BH51*Assumptions!D$504</f>
        <v>0</v>
      </c>
      <c r="DL51" s="659">
        <f>BI51*Assumptions!E$504</f>
        <v>0</v>
      </c>
      <c r="DM51" s="659">
        <f>BJ51*Assumptions!F$504</f>
        <v>0</v>
      </c>
      <c r="DN51" s="659">
        <f>BK51*Assumptions!G$504</f>
        <v>0</v>
      </c>
      <c r="DO51" s="659">
        <f>BL51*Assumptions!H$504</f>
        <v>0.1507540085196922</v>
      </c>
      <c r="DP51" s="659">
        <f>BM51*Assumptions!I$504</f>
        <v>0.30998984307220318</v>
      </c>
      <c r="DQ51" s="659">
        <f>BN51*Assumptions!J$504</f>
        <v>0.47808408858484269</v>
      </c>
      <c r="DR51" s="659">
        <f>BO51*Assumptions!K$504</f>
        <v>0.65542695848766819</v>
      </c>
      <c r="DS51" s="659">
        <f>BP51*Assumptions!L$504</f>
        <v>0.84242438991047353</v>
      </c>
      <c r="DT51" s="659">
        <f>BQ51*Assumptions!M$504</f>
        <v>1.0394983108415485</v>
      </c>
      <c r="DU51" s="659">
        <f>BR51*Assumptions!N$504</f>
        <v>1.2475240696196801</v>
      </c>
      <c r="DV51" s="659">
        <f>BS51*Assumptions!O$504</f>
        <v>1.4666713973056118</v>
      </c>
      <c r="DW51" s="659">
        <f>BT51*Assumptions!P$504</f>
        <v>1.697424763448568</v>
      </c>
      <c r="DX51" s="659">
        <f>BU51*Assumptions!Q$504</f>
        <v>1.9402876929765256</v>
      </c>
      <c r="DY51" s="659">
        <f>BV51*Assumptions!R$504</f>
        <v>2.1957834743089109</v>
      </c>
      <c r="DZ51" s="678">
        <v>1</v>
      </c>
      <c r="EA51" s="661">
        <f t="shared" si="130"/>
        <v>0</v>
      </c>
      <c r="EB51" s="1861">
        <f t="shared" si="131"/>
        <v>0.34189204616808616</v>
      </c>
      <c r="EC51" s="1881"/>
      <c r="ED51" s="1877">
        <v>0</v>
      </c>
      <c r="EE51" s="684"/>
      <c r="EF51" s="684"/>
      <c r="EG51" s="684"/>
      <c r="EH51" s="684"/>
      <c r="EI51" s="665">
        <f t="shared" si="193"/>
        <v>0</v>
      </c>
      <c r="EJ51" s="665">
        <f t="shared" si="193"/>
        <v>0</v>
      </c>
      <c r="EK51" s="665">
        <f t="shared" si="193"/>
        <v>0</v>
      </c>
      <c r="EL51" s="665">
        <f t="shared" si="193"/>
        <v>0</v>
      </c>
      <c r="EM51" s="665">
        <f t="shared" si="193"/>
        <v>0</v>
      </c>
      <c r="EN51" s="665">
        <f t="shared" si="193"/>
        <v>0</v>
      </c>
      <c r="EO51" s="665">
        <f t="shared" si="193"/>
        <v>0</v>
      </c>
      <c r="EP51" s="665">
        <f t="shared" si="193"/>
        <v>0</v>
      </c>
      <c r="EQ51" s="665">
        <f t="shared" si="193"/>
        <v>0</v>
      </c>
      <c r="ER51" s="665">
        <f t="shared" si="193"/>
        <v>0</v>
      </c>
      <c r="ES51" s="665">
        <f t="shared" si="193"/>
        <v>0</v>
      </c>
      <c r="ET51" s="541">
        <f t="shared" si="133"/>
        <v>0</v>
      </c>
      <c r="EU51" s="1450" cm="1">
        <f t="array" ref="EU51">(BH51*SUMPRODUCT($S51:$X51,TRANSPOSE(Assumptions!D$281:D$286)))*0.001</f>
        <v>0</v>
      </c>
      <c r="EV51" s="1450" cm="1">
        <f t="array" ref="EV51">(BI51*SUMPRODUCT($S51:$X51,TRANSPOSE(Assumptions!E$281:E$286)))*0.001</f>
        <v>0</v>
      </c>
      <c r="EW51" s="1450" cm="1">
        <f t="array" ref="EW51">(BJ51*SUMPRODUCT($S51:$X51,TRANSPOSE(Assumptions!F$281:F$286)))*0.001</f>
        <v>0</v>
      </c>
      <c r="EX51" s="1450" cm="1">
        <f t="array" ref="EX51">(BK51*SUMPRODUCT($S51:$X51,TRANSPOSE(Assumptions!G$281:G$286)))*0.001</f>
        <v>0</v>
      </c>
      <c r="EY51" s="1450" cm="1">
        <f t="array" ref="EY51">(BL51*SUMPRODUCT($S51:$X51,TRANSPOSE(Assumptions!H$281:H$286)))*0.001</f>
        <v>4.9660854830340471E-3</v>
      </c>
      <c r="EZ51" s="1450" cm="1">
        <f t="array" ref="EZ51">(BM51*SUMPRODUCT($S51:$X51,TRANSPOSE(Assumptions!I$281:I$286)))*0.001</f>
        <v>9.9321709660680942E-3</v>
      </c>
      <c r="FA51" s="1450" cm="1">
        <f t="array" ref="FA51">(BN51*SUMPRODUCT($S51:$X51,TRANSPOSE(Assumptions!J$281:J$286)))*0.001</f>
        <v>1.4898256449102141E-2</v>
      </c>
      <c r="FB51" s="1450" cm="1">
        <f t="array" ref="FB51">(BO51*SUMPRODUCT($S51:$X51,TRANSPOSE(Assumptions!K$281:K$286)))*0.001</f>
        <v>1.9864341932136188E-2</v>
      </c>
      <c r="FC51" s="1450" cm="1">
        <f t="array" ref="FC51">(BP51*SUMPRODUCT($S51:$X51,TRANSPOSE(Assumptions!L$281:L$286)))*0.001</f>
        <v>2.4830427415170234E-2</v>
      </c>
      <c r="FD51" s="1450" cm="1">
        <f t="array" ref="FD51">(BQ51*SUMPRODUCT($S51:$X51,TRANSPOSE(Assumptions!M$281:M$286)))*0.001</f>
        <v>2.9796512898204282E-2</v>
      </c>
      <c r="FE51" s="1450" cm="1">
        <f t="array" ref="FE51">(BR51*SUMPRODUCT($S51:$X51,TRANSPOSE(Assumptions!N$281:N$286)))*0.001</f>
        <v>3.4762598381238324E-2</v>
      </c>
      <c r="FF51" s="1450" cm="1">
        <f t="array" ref="FF51">(BS51*SUMPRODUCT($S51:$X51,TRANSPOSE(Assumptions!O$281:O$286)))*0.001</f>
        <v>3.9728683864272377E-2</v>
      </c>
      <c r="FG51" s="1450" cm="1">
        <f t="array" ref="FG51">(BT51*SUMPRODUCT($S51:$X51,TRANSPOSE(Assumptions!P$281:P$286)))*0.001</f>
        <v>4.4694769347306429E-2</v>
      </c>
      <c r="FH51" s="1450" cm="1">
        <f t="array" ref="FH51">(BU51*SUMPRODUCT($S51:$X51,TRANSPOSE(Assumptions!Q$281:Q$286)))*0.001</f>
        <v>4.9660854830340474E-2</v>
      </c>
      <c r="FI51" s="1450" cm="1">
        <f t="array" ref="FI51">(BV51*SUMPRODUCT($S51:$X51,TRANSPOSE(Assumptions!R$281:R$286)))*0.001</f>
        <v>5.4626940313374527E-2</v>
      </c>
      <c r="FJ51" s="666">
        <f t="shared" si="179"/>
        <v>0</v>
      </c>
      <c r="FK51" s="666">
        <f t="shared" si="180"/>
        <v>0</v>
      </c>
      <c r="FL51" s="666">
        <f t="shared" si="181"/>
        <v>0</v>
      </c>
      <c r="FM51" s="666">
        <f t="shared" si="182"/>
        <v>0</v>
      </c>
      <c r="FN51" s="666">
        <f t="shared" si="183"/>
        <v>-4.9660854830340471E-3</v>
      </c>
      <c r="FO51" s="666">
        <f t="shared" si="184"/>
        <v>-9.9321709660680942E-3</v>
      </c>
      <c r="FP51" s="666">
        <f t="shared" si="185"/>
        <v>-1.4898256449102141E-2</v>
      </c>
      <c r="FQ51" s="666">
        <f t="shared" si="186"/>
        <v>-1.9864341932136188E-2</v>
      </c>
      <c r="FR51" s="666">
        <f t="shared" si="187"/>
        <v>-2.4830427415170234E-2</v>
      </c>
      <c r="FS51" s="666">
        <f t="shared" si="188"/>
        <v>-2.9796512898204282E-2</v>
      </c>
      <c r="FT51" s="666">
        <f t="shared" si="144"/>
        <v>-3.4762598381238324E-2</v>
      </c>
      <c r="FU51" s="666">
        <f t="shared" si="145"/>
        <v>-3.9728683864272377E-2</v>
      </c>
      <c r="FV51" s="666">
        <f t="shared" si="146"/>
        <v>-4.4694769347306429E-2</v>
      </c>
      <c r="FW51" s="666">
        <f t="shared" si="147"/>
        <v>-4.9660854830340474E-2</v>
      </c>
      <c r="FX51" s="1883">
        <f t="shared" si="148"/>
        <v>-5.4626940313374527E-2</v>
      </c>
      <c r="FY51" s="1895"/>
      <c r="FZ51" s="690"/>
      <c r="GA51" s="690"/>
      <c r="GB51" s="690"/>
      <c r="GC51" s="690"/>
      <c r="GD51" s="664">
        <f t="shared" si="149"/>
        <v>255</v>
      </c>
      <c r="GE51" s="664">
        <f t="shared" si="150"/>
        <v>260.10000000000002</v>
      </c>
      <c r="GF51" s="664">
        <f t="shared" si="151"/>
        <v>265.30200000000002</v>
      </c>
      <c r="GG51" s="664">
        <f t="shared" si="152"/>
        <v>270.60804000000002</v>
      </c>
      <c r="GH51" s="664">
        <f t="shared" si="153"/>
        <v>276.02020080000005</v>
      </c>
      <c r="GI51" s="664">
        <f t="shared" si="154"/>
        <v>281.5406048160001</v>
      </c>
      <c r="GJ51" s="664">
        <f t="shared" si="155"/>
        <v>287.17141691232013</v>
      </c>
      <c r="GK51" s="664">
        <f t="shared" si="156"/>
        <v>292.91484525056649</v>
      </c>
      <c r="GL51" s="664">
        <f t="shared" si="157"/>
        <v>298.77314215557783</v>
      </c>
      <c r="GM51" s="664">
        <f t="shared" si="158"/>
        <v>304.74860499868936</v>
      </c>
      <c r="GN51" s="1861">
        <f t="shared" si="159"/>
        <v>310.84357709866316</v>
      </c>
      <c r="GO51" s="1910"/>
      <c r="GP51" s="1868">
        <f>BH51*INDEX(Assumptions!G$565:G$570,MATCH($B51,Assumptions!$B$565:$B$570,0))</f>
        <v>0</v>
      </c>
      <c r="GQ51" s="656">
        <f>BI51*INDEX(Assumptions!H$565:H$570,MATCH($B51,Assumptions!$B$565:$B$570,0))</f>
        <v>0</v>
      </c>
      <c r="GR51" s="656">
        <f>BJ51*INDEX(Assumptions!I$565:I$570,MATCH($B51,Assumptions!$B$565:$B$570,0))</f>
        <v>0</v>
      </c>
      <c r="GS51" s="656">
        <f>BK51*INDEX(Assumptions!J$565:J$570,MATCH($B51,Assumptions!$B$565:$B$570,0))</f>
        <v>0</v>
      </c>
      <c r="GT51" s="656">
        <f>BL51*INDEX(Assumptions!K$565:K$570,MATCH($B51,Assumptions!$B$565:$B$570,0))</f>
        <v>0.82710493008635566</v>
      </c>
      <c r="GU51" s="656">
        <f>BM51*INDEX(Assumptions!L$565:L$570,MATCH($B51,Assumptions!$B$565:$B$570,0))</f>
        <v>1.5946021326761772</v>
      </c>
      <c r="GV51" s="656">
        <f>BN51*INDEX(Assumptions!M$565:M$570,MATCH($B51,Assumptions!$B$565:$B$570,0))</f>
        <v>2.3032023435271367</v>
      </c>
      <c r="GW51" s="656">
        <f>BO51*INDEX(Assumptions!N$565:N$570,MATCH($B51,Assumptions!$B$565:$B$570,0))</f>
        <v>2.9534605968011216</v>
      </c>
      <c r="GX51" s="656">
        <f>BP51*INDEX(Assumptions!O$565:O$570,MATCH($B51,Assumptions!$B$565:$B$570,0))</f>
        <v>3.5459703242528677</v>
      </c>
      <c r="GY51" s="656">
        <f>BQ51*INDEX(Assumptions!P$565:P$570,MATCH($B51,Assumptions!$B$565:$B$570,0))</f>
        <v>3.9132976616716548</v>
      </c>
      <c r="GZ51" s="656">
        <f>BR51*INDEX(Assumptions!Q$565:Q$570,MATCH($B51,Assumptions!$B$565:$B$570,0))</f>
        <v>1.5953522820922919</v>
      </c>
      <c r="HA51" s="656">
        <f>BS51*INDEX(Assumptions!R$565:R$570,MATCH($B51,Assumptions!$B$565:$B$570,0))</f>
        <v>7.4580807221979342</v>
      </c>
      <c r="HB51" s="656">
        <f>BT51*INDEX(Assumptions!S$565:S$570,MATCH($B51,Assumptions!$B$565:$B$570,0))</f>
        <v>8.3903408124726759</v>
      </c>
      <c r="HC51" s="656">
        <f>BU51*INDEX(Assumptions!T$565:T$570,MATCH($B51,Assumptions!$B$565:$B$570,0))</f>
        <v>9.0425570894179508</v>
      </c>
      <c r="HD51" s="1922">
        <f>BV51*INDEX(Assumptions!U$565:U$570,MATCH($B51,Assumptions!$B$565:$B$570,0))</f>
        <v>9.638764603697334</v>
      </c>
      <c r="HE51" s="1933"/>
      <c r="HF51" s="1930">
        <f t="shared" si="160"/>
        <v>0</v>
      </c>
      <c r="HG51" s="869">
        <f t="shared" si="161"/>
        <v>0</v>
      </c>
      <c r="HH51" s="869">
        <f t="shared" si="162"/>
        <v>0</v>
      </c>
      <c r="HI51" s="869">
        <f t="shared" si="163"/>
        <v>0</v>
      </c>
      <c r="HJ51" s="869">
        <f t="shared" si="164"/>
        <v>0.02</v>
      </c>
      <c r="HK51" s="869">
        <f t="shared" si="165"/>
        <v>0.02</v>
      </c>
      <c r="HL51" s="869">
        <f t="shared" si="166"/>
        <v>0.02</v>
      </c>
      <c r="HM51" s="869">
        <f t="shared" si="167"/>
        <v>0.02</v>
      </c>
      <c r="HN51" s="869">
        <f t="shared" si="168"/>
        <v>0.02</v>
      </c>
      <c r="HO51" s="869">
        <f t="shared" si="169"/>
        <v>2.0000000000000004E-2</v>
      </c>
      <c r="HP51" s="869">
        <f t="shared" si="170"/>
        <v>2.0000000000000004E-2</v>
      </c>
      <c r="HQ51" s="869">
        <f t="shared" si="171"/>
        <v>2.0000000000000004E-2</v>
      </c>
      <c r="HR51" s="869">
        <f t="shared" si="172"/>
        <v>2.0000000000000004E-2</v>
      </c>
      <c r="HS51" s="869">
        <f t="shared" si="173"/>
        <v>2.0000000000000004E-2</v>
      </c>
      <c r="HT51" s="869">
        <f t="shared" si="174"/>
        <v>2.0000000000000004E-2</v>
      </c>
      <c r="HU51" s="528">
        <f t="shared" si="189"/>
        <v>2.0000000000000007E-2</v>
      </c>
      <c r="HV51" s="499">
        <f>_xlfn.XLOOKUP(D51,TalTech!B:B,TalTech!J:J)+_xlfn.XLOOKUP(D51,TalTech!B:B,TalTech!K:K)</f>
        <v>90</v>
      </c>
      <c r="HW51" s="1937">
        <f>HJ51/(Assumptions!$C$790/1000000)</f>
        <v>1.0549914281946459E-3</v>
      </c>
      <c r="HX51" s="1945"/>
      <c r="HY51" s="1942">
        <v>2025</v>
      </c>
      <c r="HZ51" s="691">
        <v>2030</v>
      </c>
      <c r="IA51" s="683" t="s">
        <v>636</v>
      </c>
      <c r="IB51" s="683" t="s">
        <v>757</v>
      </c>
      <c r="IC51" s="694"/>
      <c r="ID51" s="1376"/>
      <c r="IE51" s="1968"/>
      <c r="IF51" s="1963">
        <v>0</v>
      </c>
      <c r="IG51" s="538">
        <v>1</v>
      </c>
      <c r="IH51" s="538">
        <v>1</v>
      </c>
      <c r="II51" s="538">
        <v>1</v>
      </c>
      <c r="IJ51" s="538">
        <v>1</v>
      </c>
      <c r="IK51" s="1281">
        <v>1</v>
      </c>
      <c r="IL51" s="1284">
        <v>1</v>
      </c>
      <c r="IM51" s="1278" t="s">
        <v>753</v>
      </c>
    </row>
    <row r="52" spans="2:256" ht="13.5" customHeight="1" x14ac:dyDescent="0.3">
      <c r="B52" s="1703" t="s">
        <v>52</v>
      </c>
      <c r="C52" s="2113"/>
      <c r="D52" s="679" t="s">
        <v>758</v>
      </c>
      <c r="E52" s="1783" t="s">
        <v>759</v>
      </c>
      <c r="F52" s="1804"/>
      <c r="G52" s="1795" t="s">
        <v>760</v>
      </c>
      <c r="H52" s="1195" t="s">
        <v>761</v>
      </c>
      <c r="I52" s="1196" t="s">
        <v>762</v>
      </c>
      <c r="J52" s="70" t="s">
        <v>563</v>
      </c>
      <c r="K52" s="71" t="s">
        <v>564</v>
      </c>
      <c r="L52" s="1176" t="s">
        <v>719</v>
      </c>
      <c r="M52" s="1827"/>
      <c r="N52" s="1817"/>
      <c r="O52" s="1177"/>
      <c r="P52" s="1178">
        <v>1</v>
      </c>
      <c r="Q52" s="1177"/>
      <c r="R52" s="1177"/>
      <c r="S52" s="1445"/>
      <c r="T52" s="1445"/>
      <c r="U52" s="1445"/>
      <c r="V52" s="1445"/>
      <c r="W52" s="1445">
        <f>_xlfn.XLOOKUP(D52,TalTech!$B$4:$B$46,TalTech!$AZ$4:$AZ$46)</f>
        <v>0.94444444444444442</v>
      </c>
      <c r="X52" s="1445">
        <f t="shared" si="175"/>
        <v>5.555555555555558E-2</v>
      </c>
      <c r="Y52" s="1186" cm="1">
        <f t="array" ref="Y52:AC52">_xlfn.XLOOKUP(Y6:AC6,Assumptions!H708:L708,Assumptions!H710:L710)</f>
        <v>0.38836920753088422</v>
      </c>
      <c r="Z52" s="1186">
        <v>0.14499589409769051</v>
      </c>
      <c r="AA52" s="1186">
        <v>0.10889152625679573</v>
      </c>
      <c r="AB52" s="1186">
        <v>0.26116535697374021</v>
      </c>
      <c r="AC52" s="1186">
        <v>9.6578015140889387E-2</v>
      </c>
      <c r="AD52" s="1177"/>
      <c r="AE52" s="1177"/>
      <c r="AF52" s="1177"/>
      <c r="AG52" s="1194">
        <v>1</v>
      </c>
      <c r="AH52" s="1194">
        <v>1</v>
      </c>
      <c r="AI52" s="1194"/>
      <c r="AJ52" s="1177"/>
      <c r="AK52" s="1417">
        <f t="shared" si="176"/>
        <v>1</v>
      </c>
      <c r="AL52" s="1177"/>
      <c r="AM52" s="1178">
        <v>1</v>
      </c>
      <c r="AN52" s="1178"/>
      <c r="AO52" s="1221"/>
      <c r="AP52" s="1846"/>
      <c r="AQ52" s="1841">
        <v>7.92</v>
      </c>
      <c r="AR52" s="663"/>
      <c r="AS52" s="663"/>
      <c r="AT52" s="663"/>
      <c r="AU52" s="663"/>
      <c r="AV52" s="659">
        <f>_xlfn.XLOOKUP($D52,TalTech!$B$4:$B$46,TalTech!BB$4:BB$46)</f>
        <v>7.92</v>
      </c>
      <c r="AW52" s="659">
        <f>_xlfn.XLOOKUP($D52,TalTech!$B$4:$B$46,TalTech!BC$4:BC$46)</f>
        <v>7.9200000000000008</v>
      </c>
      <c r="AX52" s="659">
        <f>_xlfn.XLOOKUP($D52,TalTech!$B$4:$B$46,TalTech!BD$4:BD$46)</f>
        <v>7.9200000000000008</v>
      </c>
      <c r="AY52" s="659">
        <f>_xlfn.XLOOKUP($D52,TalTech!$B$4:$B$46,TalTech!BE$4:BE$46)</f>
        <v>7.9200000000000008</v>
      </c>
      <c r="AZ52" s="659">
        <f>_xlfn.XLOOKUP($D52,TalTech!$B$4:$B$46,TalTech!BF$4:BF$46)</f>
        <v>7.9200000000000008</v>
      </c>
      <c r="BA52" s="659">
        <f>_xlfn.XLOOKUP($D52,TalTech!$B$4:$B$46,TalTech!BG$4:BG$46)</f>
        <v>7.9200000000000026</v>
      </c>
      <c r="BB52" s="659">
        <f>_xlfn.XLOOKUP($D52,TalTech!$B$4:$B$46,TalTech!BH$4:BH$46)</f>
        <v>7.9200000000000026</v>
      </c>
      <c r="BC52" s="659">
        <f>_xlfn.XLOOKUP($D52,TalTech!$B$4:$B$46,TalTech!BI$4:BI$46)</f>
        <v>7.9200000000000026</v>
      </c>
      <c r="BD52" s="659">
        <f>_xlfn.XLOOKUP($D52,TalTech!$B$4:$B$46,TalTech!BJ$4:BJ$46)</f>
        <v>7.9200000000000026</v>
      </c>
      <c r="BE52" s="659">
        <f>_xlfn.XLOOKUP($D52,TalTech!$B$4:$B$46,TalTech!BK$4:BK$46)</f>
        <v>7.9200000000000026</v>
      </c>
      <c r="BF52" s="659">
        <f>_xlfn.XLOOKUP($D52,TalTech!$B$4:$B$46,TalTech!BL$4:BL$46)</f>
        <v>7.9200000000000026</v>
      </c>
      <c r="BG52" s="501">
        <f t="shared" si="177"/>
        <v>7.9200000000000017</v>
      </c>
      <c r="BH52" s="893">
        <f t="shared" si="111"/>
        <v>0</v>
      </c>
      <c r="BI52" s="658">
        <f t="shared" si="112"/>
        <v>0</v>
      </c>
      <c r="BJ52" s="658">
        <f t="shared" si="113"/>
        <v>0</v>
      </c>
      <c r="BK52" s="658">
        <f t="shared" si="114"/>
        <v>0</v>
      </c>
      <c r="BL52" s="658">
        <f t="shared" si="115"/>
        <v>7.92</v>
      </c>
      <c r="BM52" s="658">
        <f t="shared" si="116"/>
        <v>15.84</v>
      </c>
      <c r="BN52" s="658">
        <f t="shared" si="117"/>
        <v>23.76</v>
      </c>
      <c r="BO52" s="658">
        <f t="shared" si="118"/>
        <v>31.680000000000003</v>
      </c>
      <c r="BP52" s="658">
        <f t="shared" si="119"/>
        <v>39.6</v>
      </c>
      <c r="BQ52" s="658">
        <f t="shared" si="120"/>
        <v>47.52</v>
      </c>
      <c r="BR52" s="658">
        <f t="shared" si="121"/>
        <v>55.440000000000005</v>
      </c>
      <c r="BS52" s="658">
        <f t="shared" si="122"/>
        <v>63.360000000000007</v>
      </c>
      <c r="BT52" s="658">
        <f t="shared" si="123"/>
        <v>71.280000000000015</v>
      </c>
      <c r="BU52" s="658">
        <f t="shared" si="124"/>
        <v>79.200000000000017</v>
      </c>
      <c r="BV52" s="1851">
        <f t="shared" si="125"/>
        <v>87.120000000000019</v>
      </c>
      <c r="BW52" s="1661"/>
      <c r="BX52" s="1855">
        <v>416.33598357120007</v>
      </c>
      <c r="BY52" s="1192">
        <f t="shared" si="126"/>
        <v>8761.2791155555569</v>
      </c>
      <c r="BZ52" s="663"/>
      <c r="CA52" s="663"/>
      <c r="CB52" s="663"/>
      <c r="CC52" s="663"/>
      <c r="CD52" s="675">
        <f>_xlfn.XLOOKUP($D52,TalTech!$B$4:$B$46,TalTech!BM$4:BM$46)</f>
        <v>66</v>
      </c>
      <c r="CE52" s="675">
        <f>_xlfn.XLOOKUP($D52,TalTech!$B$4:$B$46,TalTech!BN$4:BN$46)</f>
        <v>67.320000000000007</v>
      </c>
      <c r="CF52" s="675">
        <f>_xlfn.XLOOKUP($D52,TalTech!$B$4:$B$46,TalTech!BO$4:BO$46)</f>
        <v>68.66640000000001</v>
      </c>
      <c r="CG52" s="675">
        <f>_xlfn.XLOOKUP($D52,TalTech!$B$4:$B$46,TalTech!BP$4:BP$46)</f>
        <v>70.039728000000011</v>
      </c>
      <c r="CH52" s="675">
        <f>_xlfn.XLOOKUP($D52,TalTech!$B$4:$B$46,TalTech!BQ$4:BQ$46)</f>
        <v>71.440522560000019</v>
      </c>
      <c r="CI52" s="675">
        <f>_xlfn.XLOOKUP($D52,TalTech!$B$4:$B$46,TalTech!BR$4:BR$46)</f>
        <v>72.869333011200027</v>
      </c>
      <c r="CJ52" s="675">
        <f>_xlfn.XLOOKUP($D52,TalTech!$B$4:$B$46,TalTech!BS$4:BS$46)</f>
        <v>74.32671967142403</v>
      </c>
      <c r="CK52" s="675">
        <f>_xlfn.XLOOKUP($D52,TalTech!$B$4:$B$46,TalTech!BT$4:BT$46)</f>
        <v>75.813254064852515</v>
      </c>
      <c r="CL52" s="675">
        <f>_xlfn.XLOOKUP($D52,TalTech!$B$4:$B$46,TalTech!BU$4:BU$46)</f>
        <v>77.329519146149565</v>
      </c>
      <c r="CM52" s="675">
        <f>_xlfn.XLOOKUP($D52,TalTech!$B$4:$B$46,TalTech!BV$4:BV$46)</f>
        <v>78.876109529072551</v>
      </c>
      <c r="CN52" s="675">
        <f>_xlfn.XLOOKUP($D52,TalTech!$B$4:$B$46,TalTech!BW$4:BW$46)</f>
        <v>80.453631719653998</v>
      </c>
      <c r="CO52" s="493">
        <f t="shared" si="178"/>
        <v>73.012292518395711</v>
      </c>
      <c r="CP52" s="660">
        <f t="shared" si="127"/>
        <v>416.33598357120007</v>
      </c>
      <c r="CQ52" s="1193">
        <f>_xlfn.XLOOKUP($D52,TalTech!$B$4:$B$46,TalTech!$H$4:$H$46)</f>
        <v>1</v>
      </c>
      <c r="CR52" s="662">
        <f t="shared" si="128"/>
        <v>0</v>
      </c>
      <c r="CS52" s="685" t="str">
        <v>60% central government 40% local government (government cost reported)</v>
      </c>
      <c r="CT52" s="1862">
        <f t="shared" si="129"/>
        <v>69.389330595200008</v>
      </c>
      <c r="CU52" s="1872"/>
      <c r="CV52" s="1866">
        <f>BH52*Assumptions!D$497</f>
        <v>0</v>
      </c>
      <c r="CW52" s="675">
        <f>BI52*Assumptions!E$497</f>
        <v>0</v>
      </c>
      <c r="CX52" s="675">
        <f>BJ52*Assumptions!F$497</f>
        <v>0</v>
      </c>
      <c r="CY52" s="675">
        <f>BK52*Assumptions!G$497</f>
        <v>0</v>
      </c>
      <c r="CZ52" s="675">
        <f>BL52*Assumptions!H$497</f>
        <v>0.65196122800254264</v>
      </c>
      <c r="DA52" s="675">
        <f>BM52*Assumptions!I$497</f>
        <v>1.3408578982017123</v>
      </c>
      <c r="DB52" s="675">
        <f>BN52*Assumptions!J$497</f>
        <v>2.068355998164479</v>
      </c>
      <c r="DC52" s="675">
        <f>BO52*Assumptions!K$497</f>
        <v>2.8361595808942384</v>
      </c>
      <c r="DD52" s="675">
        <f>BP52*Assumptions!L$497</f>
        <v>3.6460472829453994</v>
      </c>
      <c r="DE52" s="675">
        <f>BQ52*Assumptions!M$497</f>
        <v>4.4998680431874218</v>
      </c>
      <c r="DF52" s="675">
        <f>BR52*Assumptions!N$497</f>
        <v>5.4014995649602087</v>
      </c>
      <c r="DG52" s="675">
        <f>BS52*Assumptions!O$497</f>
        <v>6.3516602113969585</v>
      </c>
      <c r="DH52" s="675">
        <f>BT52*Assumptions!P$497</f>
        <v>7.3524752981804991</v>
      </c>
      <c r="DI52" s="675">
        <f>BU52*Assumptions!Q$497</f>
        <v>8.4061539837224313</v>
      </c>
      <c r="DJ52" s="675">
        <f>BV52*Assumptions!R$497</f>
        <v>9.5149923869427351</v>
      </c>
      <c r="DK52" s="659">
        <f>BH52*Assumptions!D$504</f>
        <v>0</v>
      </c>
      <c r="DL52" s="659">
        <f>BI52*Assumptions!E$504</f>
        <v>0</v>
      </c>
      <c r="DM52" s="659">
        <f>BJ52*Assumptions!F$504</f>
        <v>0</v>
      </c>
      <c r="DN52" s="659">
        <f>BK52*Assumptions!G$504</f>
        <v>0</v>
      </c>
      <c r="DO52" s="659">
        <f>BL52*Assumptions!H$504</f>
        <v>0.66331763748664563</v>
      </c>
      <c r="DP52" s="659">
        <f>BM52*Assumptions!I$504</f>
        <v>1.3639553095176939</v>
      </c>
      <c r="DQ52" s="659">
        <f>BN52*Assumptions!J$504</f>
        <v>2.103569989773308</v>
      </c>
      <c r="DR52" s="659">
        <f>BO52*Assumptions!K$504</f>
        <v>2.8838786173457405</v>
      </c>
      <c r="DS52" s="659">
        <f>BP52*Assumptions!L$504</f>
        <v>3.7066673156060839</v>
      </c>
      <c r="DT52" s="659">
        <f>BQ52*Assumptions!M$504</f>
        <v>4.5737925677028128</v>
      </c>
      <c r="DU52" s="659">
        <f>BR52*Assumptions!N$504</f>
        <v>5.4891059063265928</v>
      </c>
      <c r="DV52" s="659">
        <f>BS52*Assumptions!O$504</f>
        <v>6.4533541481446912</v>
      </c>
      <c r="DW52" s="659">
        <f>BT52*Assumptions!P$504</f>
        <v>7.4686689591736988</v>
      </c>
      <c r="DX52" s="659">
        <f>BU52*Assumptions!Q$504</f>
        <v>8.5372658490967126</v>
      </c>
      <c r="DY52" s="659">
        <f>BV52*Assumptions!R$504</f>
        <v>9.6614472869592092</v>
      </c>
      <c r="DZ52" s="678">
        <v>1</v>
      </c>
      <c r="EA52" s="661">
        <f t="shared" si="130"/>
        <v>0</v>
      </c>
      <c r="EB52" s="1861">
        <f t="shared" si="131"/>
        <v>1.5043250031395794</v>
      </c>
      <c r="EC52" s="1881"/>
      <c r="ED52" s="1877">
        <v>0</v>
      </c>
      <c r="EE52" s="684"/>
      <c r="EF52" s="684"/>
      <c r="EG52" s="684"/>
      <c r="EH52" s="684"/>
      <c r="EI52" s="665">
        <f t="shared" si="193"/>
        <v>0</v>
      </c>
      <c r="EJ52" s="665">
        <f t="shared" si="193"/>
        <v>0</v>
      </c>
      <c r="EK52" s="665">
        <f t="shared" si="193"/>
        <v>0</v>
      </c>
      <c r="EL52" s="665">
        <f t="shared" si="193"/>
        <v>0</v>
      </c>
      <c r="EM52" s="665">
        <f t="shared" si="193"/>
        <v>0</v>
      </c>
      <c r="EN52" s="665">
        <f t="shared" si="193"/>
        <v>0</v>
      </c>
      <c r="EO52" s="665">
        <f t="shared" si="193"/>
        <v>0</v>
      </c>
      <c r="EP52" s="665">
        <f t="shared" si="193"/>
        <v>0</v>
      </c>
      <c r="EQ52" s="665">
        <f t="shared" si="193"/>
        <v>0</v>
      </c>
      <c r="ER52" s="665">
        <f t="shared" si="193"/>
        <v>0</v>
      </c>
      <c r="ES52" s="665">
        <f t="shared" si="193"/>
        <v>0</v>
      </c>
      <c r="ET52" s="541">
        <f t="shared" si="133"/>
        <v>0</v>
      </c>
      <c r="EU52" s="1450" cm="1">
        <f t="array" ref="EU52">(BH52*SUMPRODUCT($S52:$X52,TRANSPOSE(Assumptions!D$281:D$286)))*0.001</f>
        <v>0</v>
      </c>
      <c r="EV52" s="1450" cm="1">
        <f t="array" ref="EV52">(BI52*SUMPRODUCT($S52:$X52,TRANSPOSE(Assumptions!E$281:E$286)))*0.001</f>
        <v>0</v>
      </c>
      <c r="EW52" s="1450" cm="1">
        <f t="array" ref="EW52">(BJ52*SUMPRODUCT($S52:$X52,TRANSPOSE(Assumptions!F$281:F$286)))*0.001</f>
        <v>0</v>
      </c>
      <c r="EX52" s="1450" cm="1">
        <f t="array" ref="EX52">(BK52*SUMPRODUCT($S52:$X52,TRANSPOSE(Assumptions!G$281:G$286)))*0.001</f>
        <v>0</v>
      </c>
      <c r="EY52" s="1450" cm="1">
        <f t="array" ref="EY52">(BL52*SUMPRODUCT($S52:$X52,TRANSPOSE(Assumptions!H$281:H$286)))*0.001</f>
        <v>2.1850776125349802E-2</v>
      </c>
      <c r="EZ52" s="1450" cm="1">
        <f t="array" ref="EZ52">(BM52*SUMPRODUCT($S52:$X52,TRANSPOSE(Assumptions!I$281:I$286)))*0.001</f>
        <v>4.3701552250699605E-2</v>
      </c>
      <c r="FA52" s="1450" cm="1">
        <f t="array" ref="FA52">(BN52*SUMPRODUCT($S52:$X52,TRANSPOSE(Assumptions!J$281:J$286)))*0.001</f>
        <v>6.5552328376049421E-2</v>
      </c>
      <c r="FB52" s="1450" cm="1">
        <f t="array" ref="FB52">(BO52*SUMPRODUCT($S52:$X52,TRANSPOSE(Assumptions!K$281:K$286)))*0.001</f>
        <v>8.7403104501399223E-2</v>
      </c>
      <c r="FC52" s="1450" cm="1">
        <f t="array" ref="FC52">(BP52*SUMPRODUCT($S52:$X52,TRANSPOSE(Assumptions!L$281:L$286)))*0.001</f>
        <v>0.10925388062674903</v>
      </c>
      <c r="FD52" s="1450" cm="1">
        <f t="array" ref="FD52">(BQ52*SUMPRODUCT($S52:$X52,TRANSPOSE(Assumptions!M$281:M$286)))*0.001</f>
        <v>0.13110465675209884</v>
      </c>
      <c r="FE52" s="1450" cm="1">
        <f t="array" ref="FE52">(BR52*SUMPRODUCT($S52:$X52,TRANSPOSE(Assumptions!N$281:N$286)))*0.001</f>
        <v>0.15295543287744867</v>
      </c>
      <c r="FF52" s="1450" cm="1">
        <f t="array" ref="FF52">(BS52*SUMPRODUCT($S52:$X52,TRANSPOSE(Assumptions!O$281:O$286)))*0.001</f>
        <v>0.17480620900279845</v>
      </c>
      <c r="FG52" s="1450" cm="1">
        <f t="array" ref="FG52">(BT52*SUMPRODUCT($S52:$X52,TRANSPOSE(Assumptions!P$281:P$286)))*0.001</f>
        <v>0.19665698512814828</v>
      </c>
      <c r="FH52" s="1450" cm="1">
        <f t="array" ref="FH52">(BU52*SUMPRODUCT($S52:$X52,TRANSPOSE(Assumptions!Q$281:Q$286)))*0.001</f>
        <v>0.21850776125349811</v>
      </c>
      <c r="FI52" s="1450" cm="1">
        <f t="array" ref="FI52">(BV52*SUMPRODUCT($S52:$X52,TRANSPOSE(Assumptions!R$281:R$286)))*0.001</f>
        <v>0.24035853737884791</v>
      </c>
      <c r="FJ52" s="666">
        <f t="shared" si="179"/>
        <v>0</v>
      </c>
      <c r="FK52" s="666">
        <f t="shared" si="180"/>
        <v>0</v>
      </c>
      <c r="FL52" s="666">
        <f t="shared" si="181"/>
        <v>0</v>
      </c>
      <c r="FM52" s="666">
        <f t="shared" si="182"/>
        <v>0</v>
      </c>
      <c r="FN52" s="666">
        <f t="shared" si="183"/>
        <v>-2.1850776125349802E-2</v>
      </c>
      <c r="FO52" s="666">
        <f t="shared" si="184"/>
        <v>-4.3701552250699605E-2</v>
      </c>
      <c r="FP52" s="666">
        <f t="shared" si="185"/>
        <v>-6.5552328376049421E-2</v>
      </c>
      <c r="FQ52" s="666">
        <f t="shared" si="186"/>
        <v>-8.7403104501399223E-2</v>
      </c>
      <c r="FR52" s="666">
        <f t="shared" si="187"/>
        <v>-0.10925388062674903</v>
      </c>
      <c r="FS52" s="666">
        <f t="shared" si="188"/>
        <v>-0.13110465675209884</v>
      </c>
      <c r="FT52" s="666">
        <f t="shared" si="144"/>
        <v>-0.15295543287744867</v>
      </c>
      <c r="FU52" s="666">
        <f t="shared" si="145"/>
        <v>-0.17480620900279845</v>
      </c>
      <c r="FV52" s="666">
        <f t="shared" si="146"/>
        <v>-0.19665698512814828</v>
      </c>
      <c r="FW52" s="666">
        <f t="shared" si="147"/>
        <v>-0.21850776125349811</v>
      </c>
      <c r="FX52" s="1883">
        <f t="shared" si="148"/>
        <v>-0.24035853737884791</v>
      </c>
      <c r="FY52" s="1895"/>
      <c r="FZ52" s="690"/>
      <c r="GA52" s="690"/>
      <c r="GB52" s="690"/>
      <c r="GC52" s="690"/>
      <c r="GD52" s="664">
        <f t="shared" si="149"/>
        <v>1122</v>
      </c>
      <c r="GE52" s="664">
        <f t="shared" si="150"/>
        <v>1144.44</v>
      </c>
      <c r="GF52" s="664">
        <f t="shared" si="151"/>
        <v>1167.3288000000002</v>
      </c>
      <c r="GG52" s="664">
        <f t="shared" si="152"/>
        <v>1190.6753760000001</v>
      </c>
      <c r="GH52" s="664">
        <f t="shared" si="153"/>
        <v>1214.4888835200004</v>
      </c>
      <c r="GI52" s="664">
        <f t="shared" si="154"/>
        <v>1238.7786611904005</v>
      </c>
      <c r="GJ52" s="664">
        <f t="shared" si="155"/>
        <v>1263.5542344142086</v>
      </c>
      <c r="GK52" s="664">
        <f t="shared" si="156"/>
        <v>1288.8253191024928</v>
      </c>
      <c r="GL52" s="664">
        <f t="shared" si="157"/>
        <v>1314.6018254845426</v>
      </c>
      <c r="GM52" s="664">
        <f t="shared" si="158"/>
        <v>1340.8938619942332</v>
      </c>
      <c r="GN52" s="1861">
        <f t="shared" si="159"/>
        <v>1367.7117392341179</v>
      </c>
      <c r="GO52" s="1910"/>
      <c r="GP52" s="1868">
        <f>BH52*INDEX(Assumptions!G$565:G$570,MATCH($B52,Assumptions!$B$565:$B$570,0))</f>
        <v>0</v>
      </c>
      <c r="GQ52" s="656">
        <f>BI52*INDEX(Assumptions!H$565:H$570,MATCH($B52,Assumptions!$B$565:$B$570,0))</f>
        <v>0</v>
      </c>
      <c r="GR52" s="656">
        <f>BJ52*INDEX(Assumptions!I$565:I$570,MATCH($B52,Assumptions!$B$565:$B$570,0))</f>
        <v>0</v>
      </c>
      <c r="GS52" s="656">
        <f>BK52*INDEX(Assumptions!J$565:J$570,MATCH($B52,Assumptions!$B$565:$B$570,0))</f>
        <v>0</v>
      </c>
      <c r="GT52" s="656">
        <f>BL52*INDEX(Assumptions!K$565:K$570,MATCH($B52,Assumptions!$B$565:$B$570,0))</f>
        <v>3.6392616923799652</v>
      </c>
      <c r="GU52" s="656">
        <f>BM52*INDEX(Assumptions!L$565:L$570,MATCH($B52,Assumptions!$B$565:$B$570,0))</f>
        <v>7.0162493837751798</v>
      </c>
      <c r="GV52" s="656">
        <f>BN52*INDEX(Assumptions!M$565:M$570,MATCH($B52,Assumptions!$B$565:$B$570,0))</f>
        <v>10.134090311519401</v>
      </c>
      <c r="GW52" s="656">
        <f>BO52*INDEX(Assumptions!N$565:N$570,MATCH($B52,Assumptions!$B$565:$B$570,0))</f>
        <v>12.995226625924936</v>
      </c>
      <c r="GX52" s="656">
        <f>BP52*INDEX(Assumptions!O$565:O$570,MATCH($B52,Assumptions!$B$565:$B$570,0))</f>
        <v>15.602269426712617</v>
      </c>
      <c r="GY52" s="656">
        <f>BQ52*INDEX(Assumptions!P$565:P$570,MATCH($B52,Assumptions!$B$565:$B$570,0))</f>
        <v>17.218509711355281</v>
      </c>
      <c r="GZ52" s="656">
        <f>BR52*INDEX(Assumptions!Q$565:Q$570,MATCH($B52,Assumptions!$B$565:$B$570,0))</f>
        <v>7.0195500412060836</v>
      </c>
      <c r="HA52" s="656">
        <f>BS52*INDEX(Assumptions!R$565:R$570,MATCH($B52,Assumptions!$B$565:$B$570,0))</f>
        <v>32.815555177670909</v>
      </c>
      <c r="HB52" s="656">
        <f>BT52*INDEX(Assumptions!S$565:S$570,MATCH($B52,Assumptions!$B$565:$B$570,0))</f>
        <v>36.917499574879777</v>
      </c>
      <c r="HC52" s="656">
        <f>BU52*INDEX(Assumptions!T$565:T$570,MATCH($B52,Assumptions!$B$565:$B$570,0))</f>
        <v>39.787251193438991</v>
      </c>
      <c r="HD52" s="1922">
        <f>BV52*INDEX(Assumptions!U$565:U$570,MATCH($B52,Assumptions!$B$565:$B$570,0))</f>
        <v>42.410564256268266</v>
      </c>
      <c r="HE52" s="1933"/>
      <c r="HF52" s="1930">
        <f t="shared" si="160"/>
        <v>0</v>
      </c>
      <c r="HG52" s="869">
        <f t="shared" si="161"/>
        <v>0</v>
      </c>
      <c r="HH52" s="869">
        <f t="shared" si="162"/>
        <v>0</v>
      </c>
      <c r="HI52" s="869">
        <f t="shared" si="163"/>
        <v>0</v>
      </c>
      <c r="HJ52" s="869">
        <f t="shared" si="164"/>
        <v>8.7999999999999995E-2</v>
      </c>
      <c r="HK52" s="869">
        <f t="shared" si="165"/>
        <v>8.8000000000000009E-2</v>
      </c>
      <c r="HL52" s="869">
        <f t="shared" si="166"/>
        <v>8.8000000000000009E-2</v>
      </c>
      <c r="HM52" s="869">
        <f t="shared" si="167"/>
        <v>8.8000000000000009E-2</v>
      </c>
      <c r="HN52" s="869">
        <f t="shared" si="168"/>
        <v>8.8000000000000009E-2</v>
      </c>
      <c r="HO52" s="869">
        <f t="shared" si="169"/>
        <v>8.8000000000000023E-2</v>
      </c>
      <c r="HP52" s="869">
        <f t="shared" si="170"/>
        <v>8.8000000000000023E-2</v>
      </c>
      <c r="HQ52" s="869">
        <f t="shared" si="171"/>
        <v>8.8000000000000023E-2</v>
      </c>
      <c r="HR52" s="869">
        <f t="shared" si="172"/>
        <v>8.8000000000000023E-2</v>
      </c>
      <c r="HS52" s="869">
        <f t="shared" si="173"/>
        <v>8.8000000000000023E-2</v>
      </c>
      <c r="HT52" s="869">
        <f t="shared" si="174"/>
        <v>8.8000000000000023E-2</v>
      </c>
      <c r="HU52" s="528">
        <f t="shared" si="189"/>
        <v>8.8000000000000037E-2</v>
      </c>
      <c r="HV52" s="499">
        <f>_xlfn.XLOOKUP(D52,TalTech!B:B,TalTech!J:J)+_xlfn.XLOOKUP(D52,TalTech!B:B,TalTech!K:K)</f>
        <v>90</v>
      </c>
      <c r="HW52" s="1937">
        <f>HJ52/(Assumptions!$C$790/1000000)</f>
        <v>4.6419622840564419E-3</v>
      </c>
      <c r="HX52" s="1945"/>
      <c r="HY52" s="1942">
        <v>2025</v>
      </c>
      <c r="HZ52" s="691">
        <v>2030</v>
      </c>
      <c r="IA52" s="683" t="s">
        <v>636</v>
      </c>
      <c r="IB52" s="683" t="s">
        <v>757</v>
      </c>
      <c r="IC52" s="694"/>
      <c r="ID52" s="1376"/>
      <c r="IE52" s="1968"/>
      <c r="IF52" s="1963">
        <v>0</v>
      </c>
      <c r="IG52" s="1415">
        <v>1.5</v>
      </c>
      <c r="IH52" s="538">
        <v>1</v>
      </c>
      <c r="II52" s="1415">
        <v>1.2</v>
      </c>
      <c r="IJ52" s="538">
        <v>1</v>
      </c>
      <c r="IK52" s="1281">
        <v>1</v>
      </c>
      <c r="IL52" s="1284">
        <v>1</v>
      </c>
      <c r="IM52" s="1278" t="s">
        <v>759</v>
      </c>
    </row>
    <row r="53" spans="2:256" ht="13.5" customHeight="1" x14ac:dyDescent="0.3">
      <c r="B53" s="1703" t="s">
        <v>52</v>
      </c>
      <c r="C53" s="2113"/>
      <c r="D53" s="679" t="s">
        <v>763</v>
      </c>
      <c r="E53" s="1783" t="s">
        <v>764</v>
      </c>
      <c r="F53" s="1804"/>
      <c r="G53" s="1796" t="s">
        <v>765</v>
      </c>
      <c r="H53" s="1197" t="s">
        <v>766</v>
      </c>
      <c r="I53" s="1198" t="s">
        <v>767</v>
      </c>
      <c r="J53" s="70" t="s">
        <v>563</v>
      </c>
      <c r="K53" s="71" t="s">
        <v>564</v>
      </c>
      <c r="L53" s="1176" t="s">
        <v>719</v>
      </c>
      <c r="M53" s="1827"/>
      <c r="N53" s="1817"/>
      <c r="O53" s="1177"/>
      <c r="P53" s="1178">
        <v>1</v>
      </c>
      <c r="Q53" s="1177"/>
      <c r="R53" s="1177"/>
      <c r="S53" s="1445"/>
      <c r="T53" s="1445"/>
      <c r="U53" s="1445"/>
      <c r="V53" s="1445"/>
      <c r="W53" s="1445">
        <f>_xlfn.XLOOKUP(D53,TalTech!$B$4:$B$46,TalTech!$AZ$4:$AZ$46)</f>
        <v>0.53703703703703709</v>
      </c>
      <c r="X53" s="1445">
        <f t="shared" si="175"/>
        <v>0.46296296296296291</v>
      </c>
      <c r="Y53" s="1187" cm="1">
        <f t="array" ref="Y53:AC53">TRANSPOSE(_xlfn.ANCHORARRAY(Assumptions!$H$668))</f>
        <v>0.28487054651199106</v>
      </c>
      <c r="Z53" s="1187">
        <v>0.22102001228428755</v>
      </c>
      <c r="AA53" s="1187">
        <v>4.8710323312732284E-2</v>
      </c>
      <c r="AB53" s="1187">
        <v>0.29755737005201738</v>
      </c>
      <c r="AC53" s="1187">
        <v>0.14784174783897172</v>
      </c>
      <c r="AD53" s="1177"/>
      <c r="AE53" s="1177"/>
      <c r="AF53" s="1177"/>
      <c r="AG53" s="1194">
        <v>1</v>
      </c>
      <c r="AH53" s="1194">
        <v>1</v>
      </c>
      <c r="AI53" s="1194"/>
      <c r="AJ53" s="1177"/>
      <c r="AK53" s="1417">
        <f t="shared" si="176"/>
        <v>0</v>
      </c>
      <c r="AL53" s="1177"/>
      <c r="AM53" s="1177"/>
      <c r="AN53" s="1178">
        <v>1</v>
      </c>
      <c r="AO53" s="1221"/>
      <c r="AP53" s="1846"/>
      <c r="AQ53" s="1818"/>
      <c r="AR53" s="663"/>
      <c r="AS53" s="663"/>
      <c r="AT53" s="663"/>
      <c r="AU53" s="663"/>
      <c r="AV53" s="659">
        <f>_xlfn.XLOOKUP($D53,TalTech!$B$4:$B$46,TalTech!BB$4:BB$46)</f>
        <v>21.6</v>
      </c>
      <c r="AW53" s="659">
        <f>_xlfn.XLOOKUP($D53,TalTech!$B$4:$B$46,TalTech!BC$4:BC$46)</f>
        <v>21.176470588235297</v>
      </c>
      <c r="AX53" s="659">
        <f>_xlfn.XLOOKUP($D53,TalTech!$B$4:$B$46,TalTech!BD$4:BD$46)</f>
        <v>20.761245674740479</v>
      </c>
      <c r="AY53" s="659">
        <f>_xlfn.XLOOKUP($D53,TalTech!$B$4:$B$46,TalTech!BE$4:BE$46)</f>
        <v>20.354162426216156</v>
      </c>
      <c r="AZ53" s="659">
        <f>_xlfn.XLOOKUP($D53,TalTech!$B$4:$B$46,TalTech!BF$4:BF$46)</f>
        <v>19.955061202172708</v>
      </c>
      <c r="BA53" s="659">
        <f>_xlfn.XLOOKUP($D53,TalTech!$B$4:$B$46,TalTech!BG$4:BG$46)</f>
        <v>19.563785492326183</v>
      </c>
      <c r="BB53" s="659">
        <f>_xlfn.XLOOKUP($D53,TalTech!$B$4:$B$46,TalTech!BH$4:BH$46)</f>
        <v>19.180181855221747</v>
      </c>
      <c r="BC53" s="659">
        <f>_xlfn.XLOOKUP($D53,TalTech!$B$4:$B$46,TalTech!BI$4:BI$46)</f>
        <v>18.804099858060539</v>
      </c>
      <c r="BD53" s="659">
        <f>_xlfn.XLOOKUP($D53,TalTech!$B$4:$B$46,TalTech!BJ$4:BJ$46)</f>
        <v>18.435392017706409</v>
      </c>
      <c r="BE53" s="659">
        <f>_xlfn.XLOOKUP($D53,TalTech!$B$4:$B$46,TalTech!BK$4:BK$46)</f>
        <v>18.073913742849417</v>
      </c>
      <c r="BF53" s="659">
        <f>_xlfn.XLOOKUP($D53,TalTech!$B$4:$B$46,TalTech!BL$4:BL$46)</f>
        <v>17.838946675387511</v>
      </c>
      <c r="BG53" s="501">
        <f t="shared" si="177"/>
        <v>19.613023593901499</v>
      </c>
      <c r="BH53" s="893">
        <f t="shared" si="111"/>
        <v>0</v>
      </c>
      <c r="BI53" s="658">
        <f t="shared" si="112"/>
        <v>0</v>
      </c>
      <c r="BJ53" s="658">
        <f t="shared" si="113"/>
        <v>0</v>
      </c>
      <c r="BK53" s="658">
        <f t="shared" si="114"/>
        <v>0</v>
      </c>
      <c r="BL53" s="658">
        <f t="shared" si="115"/>
        <v>21.6</v>
      </c>
      <c r="BM53" s="658">
        <f t="shared" si="116"/>
        <v>42.776470588235298</v>
      </c>
      <c r="BN53" s="658">
        <f t="shared" si="117"/>
        <v>63.537716262975778</v>
      </c>
      <c r="BO53" s="658">
        <f t="shared" si="118"/>
        <v>83.891878689191941</v>
      </c>
      <c r="BP53" s="658">
        <f t="shared" si="119"/>
        <v>103.84693989136466</v>
      </c>
      <c r="BQ53" s="658">
        <f t="shared" si="120"/>
        <v>123.41072538369085</v>
      </c>
      <c r="BR53" s="658">
        <f t="shared" si="121"/>
        <v>142.59090723891259</v>
      </c>
      <c r="BS53" s="658">
        <f t="shared" si="122"/>
        <v>161.39500709697313</v>
      </c>
      <c r="BT53" s="658">
        <f t="shared" si="123"/>
        <v>179.83039911467955</v>
      </c>
      <c r="BU53" s="658">
        <f t="shared" si="124"/>
        <v>197.90431285752896</v>
      </c>
      <c r="BV53" s="1851">
        <f t="shared" si="125"/>
        <v>215.74325953291648</v>
      </c>
      <c r="BW53" s="1661"/>
      <c r="BX53" s="1855">
        <v>417.33598357120002</v>
      </c>
      <c r="BY53" s="1192">
        <f t="shared" si="126"/>
        <v>2555.7426000000009</v>
      </c>
      <c r="BZ53" s="663"/>
      <c r="CA53" s="663"/>
      <c r="CB53" s="663"/>
      <c r="CC53" s="663"/>
      <c r="CD53" s="675">
        <f>_xlfn.XLOOKUP($D53,TalTech!$B$4:$B$46,TalTech!BM$4:BM$46)</f>
        <v>50.000000000000007</v>
      </c>
      <c r="CE53" s="675">
        <f>_xlfn.XLOOKUP($D53,TalTech!$B$4:$B$46,TalTech!BN$4:BN$46)</f>
        <v>51.000000000000007</v>
      </c>
      <c r="CF53" s="675">
        <f>_xlfn.XLOOKUP($D53,TalTech!$B$4:$B$46,TalTech!BO$4:BO$46)</f>
        <v>52.02000000000001</v>
      </c>
      <c r="CG53" s="675">
        <f>_xlfn.XLOOKUP($D53,TalTech!$B$4:$B$46,TalTech!BP$4:BP$46)</f>
        <v>53.060400000000008</v>
      </c>
      <c r="CH53" s="675">
        <f>_xlfn.XLOOKUP($D53,TalTech!$B$4:$B$46,TalTech!BQ$4:BQ$46)</f>
        <v>54.121608000000009</v>
      </c>
      <c r="CI53" s="675">
        <f>_xlfn.XLOOKUP($D53,TalTech!$B$4:$B$46,TalTech!BR$4:BR$46)</f>
        <v>55.204040160000012</v>
      </c>
      <c r="CJ53" s="675">
        <f>_xlfn.XLOOKUP($D53,TalTech!$B$4:$B$46,TalTech!BS$4:BS$46)</f>
        <v>56.308120963200011</v>
      </c>
      <c r="CK53" s="675">
        <f>_xlfn.XLOOKUP($D53,TalTech!$B$4:$B$46,TalTech!BT$4:BT$46)</f>
        <v>57.43428338246401</v>
      </c>
      <c r="CL53" s="675">
        <f>_xlfn.XLOOKUP($D53,TalTech!$B$4:$B$46,TalTech!BU$4:BU$46)</f>
        <v>58.582969050113292</v>
      </c>
      <c r="CM53" s="675">
        <f>_xlfn.XLOOKUP($D53,TalTech!$B$4:$B$46,TalTech!BV$4:BV$46)</f>
        <v>59.754628431115556</v>
      </c>
      <c r="CN53" s="675">
        <f>_xlfn.XLOOKUP($D53,TalTech!$B$4:$B$46,TalTech!BW$4:BW$46)</f>
        <v>60.94972099973787</v>
      </c>
      <c r="CO53" s="493">
        <f t="shared" si="178"/>
        <v>55.312342816966435</v>
      </c>
      <c r="CP53" s="660">
        <f t="shared" si="127"/>
        <v>315.40604816000013</v>
      </c>
      <c r="CQ53" s="1193">
        <f>_xlfn.XLOOKUP($D53,TalTech!$B$4:$B$46,TalTech!$H$4:$H$46)</f>
        <v>1.9023097480224291</v>
      </c>
      <c r="CR53" s="662">
        <f t="shared" ref="CR53" si="194">1-CQ53</f>
        <v>-0.90230974802242914</v>
      </c>
      <c r="CS53" s="1178" t="str">
        <v>30% government 70% building owners (government cost reported)</v>
      </c>
      <c r="CT53" s="1862">
        <f t="shared" si="129"/>
        <v>52.567674693333352</v>
      </c>
      <c r="CU53" s="1872"/>
      <c r="CV53" s="1866">
        <f>BH53*Assumptions!D$497</f>
        <v>0</v>
      </c>
      <c r="CW53" s="675">
        <f>BI53*Assumptions!E$497</f>
        <v>0</v>
      </c>
      <c r="CX53" s="675">
        <f>BJ53*Assumptions!F$497</f>
        <v>0</v>
      </c>
      <c r="CY53" s="675">
        <f>BK53*Assumptions!G$497</f>
        <v>0</v>
      </c>
      <c r="CZ53" s="675">
        <f>BL53*Assumptions!H$497</f>
        <v>1.778076076370571</v>
      </c>
      <c r="DA53" s="675">
        <f>BM53*Assumptions!I$497</f>
        <v>3.6210333614538222</v>
      </c>
      <c r="DB53" s="675">
        <f>BN53*Assumptions!J$497</f>
        <v>5.5310865548063433</v>
      </c>
      <c r="DC53" s="675">
        <f>BO53*Assumptions!K$497</f>
        <v>7.5104405146328554</v>
      </c>
      <c r="DD53" s="675">
        <f>BP53*Assumptions!L$497</f>
        <v>9.5613851776036434</v>
      </c>
      <c r="DE53" s="675">
        <f>BQ53*Assumptions!M$497</f>
        <v>11.686279026528812</v>
      </c>
      <c r="DF53" s="675">
        <f>BR53*Assumptions!N$497</f>
        <v>13.892581591238596</v>
      </c>
      <c r="DG53" s="675">
        <f>BS53*Assumptions!O$497</f>
        <v>16.179391491413728</v>
      </c>
      <c r="DH53" s="675">
        <f>BT53*Assumptions!P$497</f>
        <v>18.549362617180435</v>
      </c>
      <c r="DI53" s="675">
        <f>BU53*Assumptions!Q$497</f>
        <v>21.005228887918776</v>
      </c>
      <c r="DJ53" s="675">
        <f>BV53*Assumptions!R$497</f>
        <v>23.562849770315779</v>
      </c>
      <c r="DK53" s="659">
        <f>BH53*Assumptions!D$504</f>
        <v>0</v>
      </c>
      <c r="DL53" s="659">
        <f>BI53*Assumptions!E$504</f>
        <v>0</v>
      </c>
      <c r="DM53" s="659">
        <f>BJ53*Assumptions!F$504</f>
        <v>0</v>
      </c>
      <c r="DN53" s="659">
        <f>BK53*Assumptions!G$504</f>
        <v>0</v>
      </c>
      <c r="DO53" s="659">
        <f>BL53*Assumptions!H$504</f>
        <v>1.8090481022363063</v>
      </c>
      <c r="DP53" s="659">
        <f>BM53*Assumptions!I$504</f>
        <v>3.6834087235638262</v>
      </c>
      <c r="DQ53" s="659">
        <f>BN53*Assumptions!J$504</f>
        <v>5.6252539204346501</v>
      </c>
      <c r="DR53" s="659">
        <f>BO53*Assumptions!K$504</f>
        <v>7.6368054015379867</v>
      </c>
      <c r="DS53" s="659">
        <f>BP53*Assumptions!L$504</f>
        <v>9.7203549980058312</v>
      </c>
      <c r="DT53" s="659">
        <f>BQ53*Assumptions!M$504</f>
        <v>11.878263016303411</v>
      </c>
      <c r="DU53" s="659">
        <f>BR53*Assumptions!N$504</f>
        <v>14.11790388011512</v>
      </c>
      <c r="DV53" s="659">
        <f>BS53*Assumptions!O$504</f>
        <v>16.43843337340741</v>
      </c>
      <c r="DW53" s="659">
        <f>BT53*Assumptions!P$504</f>
        <v>18.84250448630225</v>
      </c>
      <c r="DX53" s="659">
        <f>BU53*Assumptions!Q$504</f>
        <v>21.332850145802187</v>
      </c>
      <c r="DY53" s="659">
        <f>BV53*Assumptions!R$504</f>
        <v>23.925529493733148</v>
      </c>
      <c r="DZ53" s="678">
        <v>0</v>
      </c>
      <c r="EA53" s="661">
        <f t="shared" si="130"/>
        <v>1</v>
      </c>
      <c r="EB53" s="1861">
        <f t="shared" si="131"/>
        <v>3.9688300711396045</v>
      </c>
      <c r="EC53" s="1881"/>
      <c r="ED53" s="1877">
        <v>0</v>
      </c>
      <c r="EE53" s="684"/>
      <c r="EF53" s="684"/>
      <c r="EG53" s="684"/>
      <c r="EH53" s="684"/>
      <c r="EI53" s="665">
        <f t="shared" si="193"/>
        <v>-14.43695596835887</v>
      </c>
      <c r="EJ53" s="665">
        <f t="shared" si="193"/>
        <v>-14.725695087726047</v>
      </c>
      <c r="EK53" s="665">
        <f t="shared" si="193"/>
        <v>-15.020208989480567</v>
      </c>
      <c r="EL53" s="665">
        <f t="shared" si="193"/>
        <v>-15.320613169270178</v>
      </c>
      <c r="EM53" s="665">
        <f t="shared" si="193"/>
        <v>-15.627025432655582</v>
      </c>
      <c r="EN53" s="665">
        <f t="shared" si="193"/>
        <v>-15.939565941308695</v>
      </c>
      <c r="EO53" s="665">
        <f t="shared" si="193"/>
        <v>-16.258357260134868</v>
      </c>
      <c r="EP53" s="665">
        <f t="shared" si="193"/>
        <v>-16.583524405337567</v>
      </c>
      <c r="EQ53" s="665">
        <f t="shared" si="193"/>
        <v>-16.915194893444319</v>
      </c>
      <c r="ER53" s="665">
        <f t="shared" si="193"/>
        <v>-17.253498791313202</v>
      </c>
      <c r="ES53" s="665">
        <f t="shared" si="193"/>
        <v>-17.598568767139465</v>
      </c>
      <c r="ET53" s="541">
        <f t="shared" si="133"/>
        <v>-15.970837155106306</v>
      </c>
      <c r="EU53" s="1450" cm="1">
        <f t="array" ref="EU53">(BH53*SUMPRODUCT($S53:$X53,TRANSPOSE(Assumptions!D$281:D$286)))*0.001</f>
        <v>0</v>
      </c>
      <c r="EV53" s="1450" cm="1">
        <f t="array" ref="EV53">(BI53*SUMPRODUCT($S53:$X53,TRANSPOSE(Assumptions!E$281:E$286)))*0.001</f>
        <v>0</v>
      </c>
      <c r="EW53" s="1450" cm="1">
        <f t="array" ref="EW53">(BJ53*SUMPRODUCT($S53:$X53,TRANSPOSE(Assumptions!F$281:F$286)))*0.001</f>
        <v>0</v>
      </c>
      <c r="EX53" s="1450" cm="1">
        <f t="array" ref="EX53">(BK53*SUMPRODUCT($S53:$X53,TRANSPOSE(Assumptions!G$281:G$286)))*0.001</f>
        <v>0</v>
      </c>
      <c r="EY53" s="1450" cm="1">
        <f t="array" ref="EY53">(BL53*SUMPRODUCT($S53:$X53,TRANSPOSE(Assumptions!H$281:H$286)))*0.001</f>
        <v>7.5536112707761727E-2</v>
      </c>
      <c r="EZ53" s="1450" cm="1">
        <f t="array" ref="EZ53">(BM53*SUMPRODUCT($S53:$X53,TRANSPOSE(Assumptions!I$281:I$286)))*0.001</f>
        <v>0.14959112516635167</v>
      </c>
      <c r="FA53" s="1450" cm="1">
        <f t="array" ref="FA53">(BN53*SUMPRODUCT($S53:$X53,TRANSPOSE(Assumptions!J$281:J$286)))*0.001</f>
        <v>0.22219407855712606</v>
      </c>
      <c r="FB53" s="1450" cm="1">
        <f t="array" ref="FB53">(BO53*SUMPRODUCT($S53:$X53,TRANSPOSE(Assumptions!K$281:K$286)))*0.001</f>
        <v>0.29337344462651277</v>
      </c>
      <c r="FC53" s="1450" cm="1">
        <f t="array" ref="FC53">(BP53*SUMPRODUCT($S53:$X53,TRANSPOSE(Assumptions!L$281:L$286)))*0.001</f>
        <v>0.36315713685140172</v>
      </c>
      <c r="FD53" s="1450" cm="1">
        <f t="array" ref="FD53">(BQ53*SUMPRODUCT($S53:$X53,TRANSPOSE(Assumptions!M$281:M$286)))*0.001</f>
        <v>0.43157252138560659</v>
      </c>
      <c r="FE53" s="1450" cm="1">
        <f t="array" ref="FE53">(BR53*SUMPRODUCT($S53:$X53,TRANSPOSE(Assumptions!N$281:N$286)))*0.001</f>
        <v>0.49864642779168977</v>
      </c>
      <c r="FF53" s="1450" cm="1">
        <f t="array" ref="FF53">(BS53*SUMPRODUCT($S53:$X53,TRANSPOSE(Assumptions!O$281:O$286)))*0.001</f>
        <v>0.56440515956235948</v>
      </c>
      <c r="FG53" s="1450" cm="1">
        <f t="array" ref="FG53">(BT53*SUMPRODUCT($S53:$X53,TRANSPOSE(Assumptions!P$281:P$286)))*0.001</f>
        <v>0.62887450443556525</v>
      </c>
      <c r="FH53" s="1450" cm="1">
        <f t="array" ref="FH53">(BU53*SUMPRODUCT($S53:$X53,TRANSPOSE(Assumptions!Q$281:Q$286)))*0.001</f>
        <v>0.69207974450733534</v>
      </c>
      <c r="FI53" s="1450" cm="1">
        <f t="array" ref="FI53">(BV53*SUMPRODUCT($S53:$X53,TRANSPOSE(Assumptions!R$281:R$286)))*0.001</f>
        <v>0.75446329481566055</v>
      </c>
      <c r="FJ53" s="666">
        <f t="shared" si="179"/>
        <v>0</v>
      </c>
      <c r="FK53" s="666">
        <f t="shared" si="180"/>
        <v>0</v>
      </c>
      <c r="FL53" s="666">
        <f t="shared" si="181"/>
        <v>0</v>
      </c>
      <c r="FM53" s="666">
        <f t="shared" si="182"/>
        <v>0</v>
      </c>
      <c r="FN53" s="666">
        <f t="shared" si="183"/>
        <v>-14.512492081066631</v>
      </c>
      <c r="FO53" s="666">
        <f t="shared" si="184"/>
        <v>-14.875286212892398</v>
      </c>
      <c r="FP53" s="666">
        <f t="shared" si="185"/>
        <v>-15.242403068037692</v>
      </c>
      <c r="FQ53" s="666">
        <f t="shared" si="186"/>
        <v>-15.613986613896691</v>
      </c>
      <c r="FR53" s="666">
        <f t="shared" si="187"/>
        <v>-15.990182569506985</v>
      </c>
      <c r="FS53" s="666">
        <f t="shared" si="188"/>
        <v>-16.371138462694301</v>
      </c>
      <c r="FT53" s="666">
        <f t="shared" si="144"/>
        <v>-16.757003687926559</v>
      </c>
      <c r="FU53" s="666">
        <f t="shared" si="145"/>
        <v>-17.147929564899925</v>
      </c>
      <c r="FV53" s="666">
        <f t="shared" si="146"/>
        <v>-17.544069397879884</v>
      </c>
      <c r="FW53" s="666">
        <f t="shared" si="147"/>
        <v>-17.945578535820538</v>
      </c>
      <c r="FX53" s="1883">
        <f t="shared" si="148"/>
        <v>-18.353032061955126</v>
      </c>
      <c r="FY53" s="1895"/>
      <c r="FZ53" s="690"/>
      <c r="GA53" s="690"/>
      <c r="GB53" s="690"/>
      <c r="GC53" s="690"/>
      <c r="GD53" s="664">
        <f t="shared" si="149"/>
        <v>850.00000000000011</v>
      </c>
      <c r="GE53" s="664">
        <f t="shared" si="150"/>
        <v>867.00000000000011</v>
      </c>
      <c r="GF53" s="664">
        <f t="shared" si="151"/>
        <v>884.34000000000015</v>
      </c>
      <c r="GG53" s="664">
        <f t="shared" si="152"/>
        <v>902.02680000000009</v>
      </c>
      <c r="GH53" s="664">
        <f t="shared" si="153"/>
        <v>920.06733600000018</v>
      </c>
      <c r="GI53" s="664">
        <f t="shared" si="154"/>
        <v>938.46868272000017</v>
      </c>
      <c r="GJ53" s="664">
        <f t="shared" si="155"/>
        <v>957.23805637440023</v>
      </c>
      <c r="GK53" s="664">
        <f t="shared" si="156"/>
        <v>976.38281750188821</v>
      </c>
      <c r="GL53" s="664">
        <f t="shared" si="157"/>
        <v>995.91047385192599</v>
      </c>
      <c r="GM53" s="664">
        <f t="shared" si="158"/>
        <v>1015.8286833289644</v>
      </c>
      <c r="GN53" s="1861">
        <f t="shared" si="159"/>
        <v>1036.1452569955438</v>
      </c>
      <c r="GO53" s="1910"/>
      <c r="GP53" s="1868">
        <f>BH53*INDEX(Assumptions!G$565:G$570,MATCH($B53,Assumptions!$B$565:$B$570,0))</f>
        <v>0</v>
      </c>
      <c r="GQ53" s="656">
        <f>BI53*INDEX(Assumptions!H$565:H$570,MATCH($B53,Assumptions!$B$565:$B$570,0))</f>
        <v>0</v>
      </c>
      <c r="GR53" s="656">
        <f>BJ53*INDEX(Assumptions!I$565:I$570,MATCH($B53,Assumptions!$B$565:$B$570,0))</f>
        <v>0</v>
      </c>
      <c r="GS53" s="656">
        <f>BK53*INDEX(Assumptions!J$565:J$570,MATCH($B53,Assumptions!$B$565:$B$570,0))</f>
        <v>0</v>
      </c>
      <c r="GT53" s="656">
        <f>BL53*INDEX(Assumptions!K$565:K$570,MATCH($B53,Assumptions!$B$565:$B$570,0))</f>
        <v>9.9252591610362693</v>
      </c>
      <c r="GU53" s="656">
        <f>BM53*INDEX(Assumptions!L$565:L$570,MATCH($B53,Assumptions!$B$565:$B$570,0))</f>
        <v>18.947625341211047</v>
      </c>
      <c r="GV53" s="656">
        <f>BN53*INDEX(Assumptions!M$565:M$570,MATCH($B53,Assumptions!$B$565:$B$570,0))</f>
        <v>27.100040185045938</v>
      </c>
      <c r="GW53" s="656">
        <f>BO53*INDEX(Assumptions!N$565:N$570,MATCH($B53,Assumptions!$B$565:$B$570,0))</f>
        <v>34.412688625020571</v>
      </c>
      <c r="GX53" s="656">
        <f>BP53*INDEX(Assumptions!O$565:O$570,MATCH($B53,Assumptions!$B$565:$B$570,0))</f>
        <v>40.91535190213893</v>
      </c>
      <c r="GY53" s="656">
        <f>BQ53*INDEX(Assumptions!P$565:P$570,MATCH($B53,Assumptions!$B$565:$B$570,0))</f>
        <v>44.716935469370377</v>
      </c>
      <c r="GZ53" s="656">
        <f>BR53*INDEX(Assumptions!Q$565:Q$570,MATCH($B53,Assumptions!$B$565:$B$570,0))</f>
        <v>18.054184862635672</v>
      </c>
      <c r="HA53" s="656">
        <f>BS53*INDEX(Assumptions!R$565:R$570,MATCH($B53,Assumptions!$B$565:$B$570,0))</f>
        <v>83.590068825620406</v>
      </c>
      <c r="HB53" s="656">
        <f>BT53*INDEX(Assumptions!S$565:S$570,MATCH($B53,Assumptions!$B$565:$B$570,0))</f>
        <v>93.138168951552203</v>
      </c>
      <c r="HC53" s="656">
        <f>BU53*INDEX(Assumptions!T$565:T$570,MATCH($B53,Assumptions!$B$565:$B$570,0))</f>
        <v>99.420058180902018</v>
      </c>
      <c r="HD53" s="1922">
        <f>BV53*INDEX(Assumptions!U$565:U$570,MATCH($B53,Assumptions!$B$565:$B$570,0))</f>
        <v>105.02517643798799</v>
      </c>
      <c r="HE53" s="1933"/>
      <c r="HF53" s="1930">
        <f t="shared" si="160"/>
        <v>0</v>
      </c>
      <c r="HG53" s="869">
        <f t="shared" si="161"/>
        <v>0</v>
      </c>
      <c r="HH53" s="869">
        <f t="shared" si="162"/>
        <v>0</v>
      </c>
      <c r="HI53" s="869">
        <f t="shared" si="163"/>
        <v>0</v>
      </c>
      <c r="HJ53" s="869">
        <f t="shared" si="164"/>
        <v>0.4</v>
      </c>
      <c r="HK53" s="869">
        <f t="shared" si="165"/>
        <v>0.39215686274509809</v>
      </c>
      <c r="HL53" s="869">
        <f t="shared" si="166"/>
        <v>0.38446751249519406</v>
      </c>
      <c r="HM53" s="869">
        <f t="shared" si="167"/>
        <v>0.3769289338188177</v>
      </c>
      <c r="HN53" s="869">
        <f t="shared" si="168"/>
        <v>0.36953817041060572</v>
      </c>
      <c r="HO53" s="869">
        <f t="shared" si="169"/>
        <v>0.36229232393196636</v>
      </c>
      <c r="HP53" s="869">
        <f t="shared" si="170"/>
        <v>0.35518855287447682</v>
      </c>
      <c r="HQ53" s="869">
        <f t="shared" si="171"/>
        <v>0.34822407144556555</v>
      </c>
      <c r="HR53" s="869">
        <f t="shared" si="172"/>
        <v>0.3413961484760446</v>
      </c>
      <c r="HS53" s="869">
        <f t="shared" si="173"/>
        <v>0.33470210634906328</v>
      </c>
      <c r="HT53" s="869">
        <f t="shared" si="174"/>
        <v>0.330350864359028</v>
      </c>
      <c r="HU53" s="528">
        <f t="shared" si="189"/>
        <v>0.36320414062780548</v>
      </c>
      <c r="HV53" s="499">
        <f>_xlfn.XLOOKUP(D53,TalTech!B:B,TalTech!J:J)+_xlfn.XLOOKUP(D53,TalTech!B:B,TalTech!K:K)</f>
        <v>54</v>
      </c>
      <c r="HW53" s="1937">
        <f>HJ53/(Assumptions!$C$790/1000000)</f>
        <v>2.1099828563892919E-2</v>
      </c>
      <c r="HX53" s="1945"/>
      <c r="HY53" s="1942">
        <v>2025</v>
      </c>
      <c r="HZ53" s="691">
        <v>2030</v>
      </c>
      <c r="IA53" s="683" t="s">
        <v>733</v>
      </c>
      <c r="IB53" s="683" t="s">
        <v>757</v>
      </c>
      <c r="IC53" s="694"/>
      <c r="ID53" s="1372" t="s">
        <v>768</v>
      </c>
      <c r="IE53" s="1954"/>
      <c r="IF53" s="1963">
        <v>0</v>
      </c>
      <c r="IG53" s="1415">
        <v>1</v>
      </c>
      <c r="IH53" s="538">
        <v>0.25</v>
      </c>
      <c r="II53" s="538">
        <v>1</v>
      </c>
      <c r="IJ53" s="538">
        <v>0.25</v>
      </c>
      <c r="IK53" s="1281">
        <v>0</v>
      </c>
      <c r="IL53" s="1284">
        <v>0</v>
      </c>
      <c r="IM53" s="1278" t="s">
        <v>764</v>
      </c>
    </row>
    <row r="54" spans="2:256" ht="13.5" customHeight="1" x14ac:dyDescent="0.3">
      <c r="B54" s="1703" t="s">
        <v>52</v>
      </c>
      <c r="C54" s="2113"/>
      <c r="D54" s="679" t="s">
        <v>769</v>
      </c>
      <c r="E54" s="1784" t="s">
        <v>770</v>
      </c>
      <c r="F54" s="1805"/>
      <c r="G54" s="1797"/>
      <c r="H54" s="70"/>
      <c r="I54" s="13"/>
      <c r="J54" s="70" t="s">
        <v>563</v>
      </c>
      <c r="K54" s="71"/>
      <c r="L54" s="1176" t="s">
        <v>719</v>
      </c>
      <c r="M54" s="1827"/>
      <c r="N54" s="1817"/>
      <c r="O54" s="1177"/>
      <c r="P54" s="1178">
        <v>1</v>
      </c>
      <c r="Q54" s="1177"/>
      <c r="R54" s="1177"/>
      <c r="S54" s="1445"/>
      <c r="T54" s="1445"/>
      <c r="U54" s="1445"/>
      <c r="V54" s="1445"/>
      <c r="W54" s="1445">
        <f>_xlfn.XLOOKUP(D54,TalTech!$B$4:$B$46,TalTech!$AZ$4:$AZ$46)</f>
        <v>0.53703703703703698</v>
      </c>
      <c r="X54" s="1445">
        <f t="shared" si="175"/>
        <v>0.46296296296296302</v>
      </c>
      <c r="Y54" s="1187" cm="1">
        <f t="array" ref="Y54:AC54">TRANSPOSE(_xlfn.ANCHORARRAY(Assumptions!$H$668))</f>
        <v>0.28487054651199106</v>
      </c>
      <c r="Z54" s="1187">
        <v>0.22102001228428755</v>
      </c>
      <c r="AA54" s="1187">
        <v>4.8710323312732284E-2</v>
      </c>
      <c r="AB54" s="1187">
        <v>0.29755737005201738</v>
      </c>
      <c r="AC54" s="1187">
        <v>0.14784174783897172</v>
      </c>
      <c r="AD54" s="1177"/>
      <c r="AE54" s="1177"/>
      <c r="AF54" s="1177"/>
      <c r="AG54" s="1194">
        <v>1</v>
      </c>
      <c r="AH54" s="1194">
        <v>1</v>
      </c>
      <c r="AI54" s="1194"/>
      <c r="AJ54" s="1177"/>
      <c r="AK54" s="1417">
        <f t="shared" si="176"/>
        <v>0</v>
      </c>
      <c r="AL54" s="1177"/>
      <c r="AM54" s="1177"/>
      <c r="AN54" s="1178">
        <v>1</v>
      </c>
      <c r="AO54" s="1221"/>
      <c r="AP54" s="1846"/>
      <c r="AQ54" s="1842">
        <v>4.32</v>
      </c>
      <c r="AR54" s="663"/>
      <c r="AS54" s="663"/>
      <c r="AT54" s="663"/>
      <c r="AU54" s="663"/>
      <c r="AV54" s="659">
        <f>_xlfn.XLOOKUP($D54,TalTech!$B$4:$B$46,TalTech!BB$4:BB$46)</f>
        <v>4.32</v>
      </c>
      <c r="AW54" s="659">
        <f>_xlfn.XLOOKUP($D54,TalTech!$B$4:$B$46,TalTech!BC$4:BC$46)</f>
        <v>4.2352941176470589</v>
      </c>
      <c r="AX54" s="659">
        <f>_xlfn.XLOOKUP($D54,TalTech!$B$4:$B$46,TalTech!BD$4:BD$46)</f>
        <v>4.1522491349480966</v>
      </c>
      <c r="AY54" s="659">
        <f>_xlfn.XLOOKUP($D54,TalTech!$B$4:$B$46,TalTech!BE$4:BE$46)</f>
        <v>4.0708324852432316</v>
      </c>
      <c r="AZ54" s="659">
        <f>_xlfn.XLOOKUP($D54,TalTech!$B$4:$B$46,TalTech!BF$4:BF$46)</f>
        <v>3.9910122404345407</v>
      </c>
      <c r="BA54" s="659">
        <f>_xlfn.XLOOKUP($D54,TalTech!$B$4:$B$46,TalTech!BG$4:BG$46)</f>
        <v>3.9127570984652369</v>
      </c>
      <c r="BB54" s="659">
        <f>_xlfn.XLOOKUP($D54,TalTech!$B$4:$B$46,TalTech!BH$4:BH$46)</f>
        <v>3.8360363710443499</v>
      </c>
      <c r="BC54" s="659">
        <f>_xlfn.XLOOKUP($D54,TalTech!$B$4:$B$46,TalTech!BI$4:BI$46)</f>
        <v>3.7608199716121069</v>
      </c>
      <c r="BD54" s="659">
        <f>_xlfn.XLOOKUP($D54,TalTech!$B$4:$B$46,TalTech!BJ$4:BJ$46)</f>
        <v>3.6870784035412814</v>
      </c>
      <c r="BE54" s="659">
        <f>_xlfn.XLOOKUP($D54,TalTech!$B$4:$B$46,TalTech!BK$4:BK$46)</f>
        <v>3.6147827485698834</v>
      </c>
      <c r="BF54" s="659">
        <f>_xlfn.XLOOKUP($D54,TalTech!$B$4:$B$46,TalTech!BL$4:BL$46)</f>
        <v>3.5742711852143771</v>
      </c>
      <c r="BG54" s="501">
        <f t="shared" si="177"/>
        <v>3.9231939778836518</v>
      </c>
      <c r="BH54" s="893">
        <f t="shared" si="111"/>
        <v>0</v>
      </c>
      <c r="BI54" s="658">
        <f t="shared" si="112"/>
        <v>0</v>
      </c>
      <c r="BJ54" s="658">
        <f t="shared" si="113"/>
        <v>0</v>
      </c>
      <c r="BK54" s="658">
        <f t="shared" si="114"/>
        <v>0</v>
      </c>
      <c r="BL54" s="658">
        <f t="shared" si="115"/>
        <v>4.32</v>
      </c>
      <c r="BM54" s="658">
        <f t="shared" si="116"/>
        <v>8.5552941176470583</v>
      </c>
      <c r="BN54" s="658">
        <f t="shared" si="117"/>
        <v>12.707543252595155</v>
      </c>
      <c r="BO54" s="658">
        <f t="shared" si="118"/>
        <v>16.778375737838388</v>
      </c>
      <c r="BP54" s="658">
        <f t="shared" si="119"/>
        <v>20.769387978272928</v>
      </c>
      <c r="BQ54" s="658">
        <f t="shared" si="120"/>
        <v>24.682145076738166</v>
      </c>
      <c r="BR54" s="658">
        <f t="shared" si="121"/>
        <v>28.518181447782517</v>
      </c>
      <c r="BS54" s="658">
        <f t="shared" si="122"/>
        <v>32.279001419394625</v>
      </c>
      <c r="BT54" s="658">
        <f t="shared" si="123"/>
        <v>35.966079822935903</v>
      </c>
      <c r="BU54" s="658">
        <f t="shared" si="124"/>
        <v>39.58086257150579</v>
      </c>
      <c r="BV54" s="1851">
        <f t="shared" si="125"/>
        <v>43.155133756720168</v>
      </c>
      <c r="BW54" s="1661"/>
      <c r="BX54" s="1855">
        <v>60</v>
      </c>
      <c r="BY54" s="1192">
        <f t="shared" si="126"/>
        <v>2555.7426000000009</v>
      </c>
      <c r="BZ54" s="663"/>
      <c r="CA54" s="663"/>
      <c r="CB54" s="663"/>
      <c r="CC54" s="663"/>
      <c r="CD54" s="675">
        <f>_xlfn.XLOOKUP($D54,TalTech!$B$4:$B$46,TalTech!BM$4:BM$46)</f>
        <v>10.000000000000002</v>
      </c>
      <c r="CE54" s="675">
        <f>_xlfn.XLOOKUP($D54,TalTech!$B$4:$B$46,TalTech!BN$4:BN$46)</f>
        <v>10.200000000000003</v>
      </c>
      <c r="CF54" s="675">
        <f>_xlfn.XLOOKUP($D54,TalTech!$B$4:$B$46,TalTech!BO$4:BO$46)</f>
        <v>10.404000000000003</v>
      </c>
      <c r="CG54" s="675">
        <f>_xlfn.XLOOKUP($D54,TalTech!$B$4:$B$46,TalTech!BP$4:BP$46)</f>
        <v>10.612080000000004</v>
      </c>
      <c r="CH54" s="675">
        <f>_xlfn.XLOOKUP($D54,TalTech!$B$4:$B$46,TalTech!BQ$4:BQ$46)</f>
        <v>10.824321600000005</v>
      </c>
      <c r="CI54" s="675">
        <f>_xlfn.XLOOKUP($D54,TalTech!$B$4:$B$46,TalTech!BR$4:BR$46)</f>
        <v>11.040808032000005</v>
      </c>
      <c r="CJ54" s="675">
        <f>_xlfn.XLOOKUP($D54,TalTech!$B$4:$B$46,TalTech!BS$4:BS$46)</f>
        <v>11.261624192640005</v>
      </c>
      <c r="CK54" s="675">
        <f>_xlfn.XLOOKUP($D54,TalTech!$B$4:$B$46,TalTech!BT$4:BT$46)</f>
        <v>11.486856676492804</v>
      </c>
      <c r="CL54" s="675">
        <f>_xlfn.XLOOKUP($D54,TalTech!$B$4:$B$46,TalTech!BU$4:BU$46)</f>
        <v>11.71659381002266</v>
      </c>
      <c r="CM54" s="675">
        <f>_xlfn.XLOOKUP($D54,TalTech!$B$4:$B$46,TalTech!BV$4:BV$46)</f>
        <v>11.950925686223114</v>
      </c>
      <c r="CN54" s="675">
        <f>_xlfn.XLOOKUP($D54,TalTech!$B$4:$B$46,TalTech!BW$4:BW$46)</f>
        <v>12.189944199947575</v>
      </c>
      <c r="CO54" s="493">
        <f t="shared" si="178"/>
        <v>11.062468563393288</v>
      </c>
      <c r="CP54" s="660">
        <f t="shared" si="127"/>
        <v>63.081209632000025</v>
      </c>
      <c r="CQ54" s="1193">
        <f>_xlfn.XLOOKUP($D54,TalTech!$B$4:$B$46,TalTech!$H$4:$H$46)</f>
        <v>0</v>
      </c>
      <c r="CR54" s="662">
        <f t="shared" si="128"/>
        <v>1</v>
      </c>
      <c r="CS54" s="685" t="str">
        <v>Businesses buying certificates</v>
      </c>
      <c r="CT54" s="1862">
        <f t="shared" si="129"/>
        <v>10.513534938666671</v>
      </c>
      <c r="CU54" s="1872"/>
      <c r="CV54" s="1866">
        <f>BH54*Assumptions!D$497</f>
        <v>0</v>
      </c>
      <c r="CW54" s="675">
        <f>BI54*Assumptions!E$497</f>
        <v>0</v>
      </c>
      <c r="CX54" s="675">
        <f>BJ54*Assumptions!F$497</f>
        <v>0</v>
      </c>
      <c r="CY54" s="675">
        <f>BK54*Assumptions!G$497</f>
        <v>0</v>
      </c>
      <c r="CZ54" s="675">
        <f>BL54*Assumptions!H$497</f>
        <v>0.35561521527411422</v>
      </c>
      <c r="DA54" s="675">
        <f>BM54*Assumptions!I$497</f>
        <v>0.7242066722907643</v>
      </c>
      <c r="DB54" s="675">
        <f>BN54*Assumptions!J$497</f>
        <v>1.1062173109612685</v>
      </c>
      <c r="DC54" s="675">
        <f>BO54*Assumptions!K$497</f>
        <v>1.5020881029265711</v>
      </c>
      <c r="DD54" s="675">
        <f>BP54*Assumptions!L$497</f>
        <v>1.9122770355207286</v>
      </c>
      <c r="DE54" s="675">
        <f>BQ54*Assumptions!M$497</f>
        <v>2.3372558053057619</v>
      </c>
      <c r="DF54" s="675">
        <f>BR54*Assumptions!N$497</f>
        <v>2.7785163182477191</v>
      </c>
      <c r="DG54" s="675">
        <f>BS54*Assumptions!O$497</f>
        <v>3.2358782982827456</v>
      </c>
      <c r="DH54" s="675">
        <f>BT54*Assumptions!P$497</f>
        <v>3.7098725234360863</v>
      </c>
      <c r="DI54" s="675">
        <f>BU54*Assumptions!Q$497</f>
        <v>4.2010457775837544</v>
      </c>
      <c r="DJ54" s="675">
        <f>BV54*Assumptions!R$497</f>
        <v>4.7132778828361772</v>
      </c>
      <c r="DK54" s="659">
        <f>BH54*Assumptions!D$504</f>
        <v>0</v>
      </c>
      <c r="DL54" s="659">
        <f>BI54*Assumptions!E$504</f>
        <v>0</v>
      </c>
      <c r="DM54" s="659">
        <f>BJ54*Assumptions!F$504</f>
        <v>0</v>
      </c>
      <c r="DN54" s="659">
        <f>BK54*Assumptions!G$504</f>
        <v>0</v>
      </c>
      <c r="DO54" s="659">
        <f>BL54*Assumptions!H$504</f>
        <v>0.36180962044726128</v>
      </c>
      <c r="DP54" s="659">
        <f>BM54*Assumptions!I$504</f>
        <v>0.73668174471276515</v>
      </c>
      <c r="DQ54" s="659">
        <f>BN54*Assumptions!J$504</f>
        <v>1.1250507840869299</v>
      </c>
      <c r="DR54" s="659">
        <f>BO54*Assumptions!K$504</f>
        <v>1.5273610803075972</v>
      </c>
      <c r="DS54" s="659">
        <f>BP54*Assumptions!L$504</f>
        <v>1.944070999601166</v>
      </c>
      <c r="DT54" s="659">
        <f>BQ54*Assumptions!M$504</f>
        <v>2.3756526032606819</v>
      </c>
      <c r="DU54" s="659">
        <f>BR54*Assumptions!N$504</f>
        <v>2.8235807760230243</v>
      </c>
      <c r="DV54" s="659">
        <f>BS54*Assumptions!O$504</f>
        <v>3.2876866746814817</v>
      </c>
      <c r="DW54" s="659">
        <f>BT54*Assumptions!P$504</f>
        <v>3.768500897260449</v>
      </c>
      <c r="DX54" s="659">
        <f>BU54*Assumptions!Q$504</f>
        <v>4.2665700291604365</v>
      </c>
      <c r="DY54" s="659">
        <f>BV54*Assumptions!R$504</f>
        <v>4.7858247239695331</v>
      </c>
      <c r="DZ54" s="678">
        <v>0</v>
      </c>
      <c r="EA54" s="661">
        <f t="shared" si="130"/>
        <v>1</v>
      </c>
      <c r="EB54" s="1861">
        <f t="shared" si="131"/>
        <v>0.79376601422792081</v>
      </c>
      <c r="EC54" s="1881"/>
      <c r="ED54" s="1877">
        <v>0</v>
      </c>
      <c r="EE54" s="684"/>
      <c r="EF54" s="684"/>
      <c r="EG54" s="684"/>
      <c r="EH54" s="684"/>
      <c r="EI54" s="665">
        <f t="shared" si="193"/>
        <v>3.2000000000000006</v>
      </c>
      <c r="EJ54" s="665">
        <f t="shared" si="193"/>
        <v>3.2640000000000011</v>
      </c>
      <c r="EK54" s="665">
        <f t="shared" si="193"/>
        <v>3.3292800000000011</v>
      </c>
      <c r="EL54" s="665">
        <f t="shared" si="193"/>
        <v>3.3958656000000014</v>
      </c>
      <c r="EM54" s="665">
        <f t="shared" si="193"/>
        <v>3.4637829120000014</v>
      </c>
      <c r="EN54" s="665">
        <f t="shared" si="193"/>
        <v>3.5330585702400015</v>
      </c>
      <c r="EO54" s="665">
        <f t="shared" si="193"/>
        <v>3.6037197416448015</v>
      </c>
      <c r="EP54" s="665">
        <f t="shared" si="193"/>
        <v>3.6757941364776974</v>
      </c>
      <c r="EQ54" s="665">
        <f t="shared" si="193"/>
        <v>3.7493100192072513</v>
      </c>
      <c r="ER54" s="665">
        <f t="shared" si="193"/>
        <v>3.8242962195913965</v>
      </c>
      <c r="ES54" s="665">
        <f t="shared" si="193"/>
        <v>3.9007821439832244</v>
      </c>
      <c r="ET54" s="541">
        <f t="shared" si="133"/>
        <v>3.5399899402858526</v>
      </c>
      <c r="EU54" s="1450" cm="1">
        <f t="array" ref="EU54">(BH54*SUMPRODUCT($S54:$X54,TRANSPOSE(Assumptions!D$281:D$286)))*0.001</f>
        <v>0</v>
      </c>
      <c r="EV54" s="1450" cm="1">
        <f t="array" ref="EV54">(BI54*SUMPRODUCT($S54:$X54,TRANSPOSE(Assumptions!E$281:E$286)))*0.001</f>
        <v>0</v>
      </c>
      <c r="EW54" s="1450" cm="1">
        <f t="array" ref="EW54">(BJ54*SUMPRODUCT($S54:$X54,TRANSPOSE(Assumptions!F$281:F$286)))*0.001</f>
        <v>0</v>
      </c>
      <c r="EX54" s="1450" cm="1">
        <f t="array" ref="EX54">(BK54*SUMPRODUCT($S54:$X54,TRANSPOSE(Assumptions!G$281:G$286)))*0.001</f>
        <v>0</v>
      </c>
      <c r="EY54" s="1450" cm="1">
        <f t="array" ref="EY54">(BL54*SUMPRODUCT($S54:$X54,TRANSPOSE(Assumptions!H$281:H$286)))*0.001</f>
        <v>1.5107222541552348E-2</v>
      </c>
      <c r="EZ54" s="1450" cm="1">
        <f t="array" ref="EZ54">(BM54*SUMPRODUCT($S54:$X54,TRANSPOSE(Assumptions!I$281:I$286)))*0.001</f>
        <v>2.9918225033270334E-2</v>
      </c>
      <c r="FA54" s="1450" cm="1">
        <f t="array" ref="FA54">(BN54*SUMPRODUCT($S54:$X54,TRANSPOSE(Assumptions!J$281:J$286)))*0.001</f>
        <v>4.4438815711425224E-2</v>
      </c>
      <c r="FB54" s="1450" cm="1">
        <f t="array" ref="FB54">(BO54*SUMPRODUCT($S54:$X54,TRANSPOSE(Assumptions!K$281:K$286)))*0.001</f>
        <v>5.8674688925302559E-2</v>
      </c>
      <c r="FC54" s="1450" cm="1">
        <f t="array" ref="FC54">(BP54*SUMPRODUCT($S54:$X54,TRANSPOSE(Assumptions!L$281:L$286)))*0.001</f>
        <v>7.2631427370280346E-2</v>
      </c>
      <c r="FD54" s="1450" cm="1">
        <f t="array" ref="FD54">(BQ54*SUMPRODUCT($S54:$X54,TRANSPOSE(Assumptions!M$281:M$286)))*0.001</f>
        <v>8.6314504277121312E-2</v>
      </c>
      <c r="FE54" s="1450" cm="1">
        <f t="array" ref="FE54">(BR54*SUMPRODUCT($S54:$X54,TRANSPOSE(Assumptions!N$281:N$286)))*0.001</f>
        <v>9.9729285558337946E-2</v>
      </c>
      <c r="FF54" s="1450" cm="1">
        <f t="array" ref="FF54">(BS54*SUMPRODUCT($S54:$X54,TRANSPOSE(Assumptions!O$281:O$286)))*0.001</f>
        <v>0.11288103191247191</v>
      </c>
      <c r="FG54" s="1450" cm="1">
        <f t="array" ref="FG54">(BT54*SUMPRODUCT($S54:$X54,TRANSPOSE(Assumptions!P$281:P$286)))*0.001</f>
        <v>0.12577490088711304</v>
      </c>
      <c r="FH54" s="1450" cm="1">
        <f t="array" ref="FH54">(BU54*SUMPRODUCT($S54:$X54,TRANSPOSE(Assumptions!Q$281:Q$286)))*0.001</f>
        <v>0.13841594890146711</v>
      </c>
      <c r="FI54" s="1450" cm="1">
        <f t="array" ref="FI54">(BV54*SUMPRODUCT($S54:$X54,TRANSPOSE(Assumptions!R$281:R$286)))*0.001</f>
        <v>0.15091532626695128</v>
      </c>
      <c r="FJ54" s="666">
        <f t="shared" si="179"/>
        <v>0</v>
      </c>
      <c r="FK54" s="666">
        <f t="shared" si="180"/>
        <v>0</v>
      </c>
      <c r="FL54" s="666">
        <f t="shared" si="181"/>
        <v>0</v>
      </c>
      <c r="FM54" s="666">
        <f t="shared" si="182"/>
        <v>0</v>
      </c>
      <c r="FN54" s="666">
        <f t="shared" si="183"/>
        <v>3.1848927774584483</v>
      </c>
      <c r="FO54" s="666">
        <f t="shared" si="184"/>
        <v>3.234081774966731</v>
      </c>
      <c r="FP54" s="666">
        <f t="shared" si="185"/>
        <v>3.2848411842885761</v>
      </c>
      <c r="FQ54" s="666">
        <f t="shared" si="186"/>
        <v>3.3371909110746989</v>
      </c>
      <c r="FR54" s="666">
        <f t="shared" si="187"/>
        <v>3.391151484629721</v>
      </c>
      <c r="FS54" s="666">
        <f t="shared" si="188"/>
        <v>3.4467440659628803</v>
      </c>
      <c r="FT54" s="666">
        <f t="shared" si="144"/>
        <v>3.5039904560864636</v>
      </c>
      <c r="FU54" s="666">
        <f t="shared" si="145"/>
        <v>3.5629131045652254</v>
      </c>
      <c r="FV54" s="666">
        <f t="shared" si="146"/>
        <v>3.6235351183201381</v>
      </c>
      <c r="FW54" s="666">
        <f t="shared" si="147"/>
        <v>3.6858802706899296</v>
      </c>
      <c r="FX54" s="1883">
        <f t="shared" si="148"/>
        <v>3.7498668177162733</v>
      </c>
      <c r="FY54" s="1895"/>
      <c r="FZ54" s="690"/>
      <c r="GA54" s="690"/>
      <c r="GB54" s="690"/>
      <c r="GC54" s="690"/>
      <c r="GD54" s="664">
        <f t="shared" si="149"/>
        <v>170.00000000000003</v>
      </c>
      <c r="GE54" s="664">
        <f t="shared" si="150"/>
        <v>173.40000000000003</v>
      </c>
      <c r="GF54" s="664">
        <f t="shared" si="151"/>
        <v>176.86800000000005</v>
      </c>
      <c r="GG54" s="664">
        <f t="shared" si="152"/>
        <v>180.40536000000006</v>
      </c>
      <c r="GH54" s="664">
        <f t="shared" si="153"/>
        <v>184.01346720000009</v>
      </c>
      <c r="GI54" s="664">
        <f t="shared" si="154"/>
        <v>187.69373654400007</v>
      </c>
      <c r="GJ54" s="664">
        <f t="shared" si="155"/>
        <v>191.44761127488007</v>
      </c>
      <c r="GK54" s="664">
        <f t="shared" si="156"/>
        <v>195.27656350037768</v>
      </c>
      <c r="GL54" s="664">
        <f t="shared" si="157"/>
        <v>199.18209477038522</v>
      </c>
      <c r="GM54" s="664">
        <f t="shared" si="158"/>
        <v>203.16573666579293</v>
      </c>
      <c r="GN54" s="1861">
        <f t="shared" si="159"/>
        <v>207.22905139910878</v>
      </c>
      <c r="GO54" s="1910"/>
      <c r="GP54" s="1868">
        <f>BH54*INDEX(Assumptions!G$565:G$570,MATCH($B54,Assumptions!$B$565:$B$570,0))</f>
        <v>0</v>
      </c>
      <c r="GQ54" s="656">
        <f>BI54*INDEX(Assumptions!H$565:H$570,MATCH($B54,Assumptions!$B$565:$B$570,0))</f>
        <v>0</v>
      </c>
      <c r="GR54" s="656">
        <f>BJ54*INDEX(Assumptions!I$565:I$570,MATCH($B54,Assumptions!$B$565:$B$570,0))</f>
        <v>0</v>
      </c>
      <c r="GS54" s="656">
        <f>BK54*INDEX(Assumptions!J$565:J$570,MATCH($B54,Assumptions!$B$565:$B$570,0))</f>
        <v>0</v>
      </c>
      <c r="GT54" s="656">
        <f>BL54*INDEX(Assumptions!K$565:K$570,MATCH($B54,Assumptions!$B$565:$B$570,0))</f>
        <v>1.9850518322072539</v>
      </c>
      <c r="GU54" s="656">
        <f>BM54*INDEX(Assumptions!L$565:L$570,MATCH($B54,Assumptions!$B$565:$B$570,0))</f>
        <v>3.789525068242209</v>
      </c>
      <c r="GV54" s="656">
        <f>BN54*INDEX(Assumptions!M$565:M$570,MATCH($B54,Assumptions!$B$565:$B$570,0))</f>
        <v>5.420008037009187</v>
      </c>
      <c r="GW54" s="656">
        <f>BO54*INDEX(Assumptions!N$565:N$570,MATCH($B54,Assumptions!$B$565:$B$570,0))</f>
        <v>6.8825377250041146</v>
      </c>
      <c r="GX54" s="656">
        <f>BP54*INDEX(Assumptions!O$565:O$570,MATCH($B54,Assumptions!$B$565:$B$570,0))</f>
        <v>8.1830703804277842</v>
      </c>
      <c r="GY54" s="656">
        <f>BQ54*INDEX(Assumptions!P$565:P$570,MATCH($B54,Assumptions!$B$565:$B$570,0))</f>
        <v>8.9433870938740743</v>
      </c>
      <c r="GZ54" s="656">
        <f>BR54*INDEX(Assumptions!Q$565:Q$570,MATCH($B54,Assumptions!$B$565:$B$570,0))</f>
        <v>3.6108369725271343</v>
      </c>
      <c r="HA54" s="656">
        <f>BS54*INDEX(Assumptions!R$565:R$570,MATCH($B54,Assumptions!$B$565:$B$570,0))</f>
        <v>16.718013765124081</v>
      </c>
      <c r="HB54" s="656">
        <f>BT54*INDEX(Assumptions!S$565:S$570,MATCH($B54,Assumptions!$B$565:$B$570,0))</f>
        <v>18.627633790310437</v>
      </c>
      <c r="HC54" s="656">
        <f>BU54*INDEX(Assumptions!T$565:T$570,MATCH($B54,Assumptions!$B$565:$B$570,0))</f>
        <v>19.884011636180404</v>
      </c>
      <c r="HD54" s="1922">
        <f>BV54*INDEX(Assumptions!U$565:U$570,MATCH($B54,Assumptions!$B$565:$B$570,0))</f>
        <v>21.008190693035264</v>
      </c>
      <c r="HE54" s="1933"/>
      <c r="HF54" s="1930">
        <f t="shared" si="160"/>
        <v>0</v>
      </c>
      <c r="HG54" s="869">
        <f t="shared" si="161"/>
        <v>0</v>
      </c>
      <c r="HH54" s="869">
        <f t="shared" si="162"/>
        <v>0</v>
      </c>
      <c r="HI54" s="869">
        <f t="shared" si="163"/>
        <v>0</v>
      </c>
      <c r="HJ54" s="869">
        <f t="shared" si="164"/>
        <v>0.08</v>
      </c>
      <c r="HK54" s="869">
        <f t="shared" si="165"/>
        <v>7.8431372549019607E-2</v>
      </c>
      <c r="HL54" s="869">
        <f t="shared" si="166"/>
        <v>7.6893502499038827E-2</v>
      </c>
      <c r="HM54" s="869">
        <f t="shared" si="167"/>
        <v>7.5385786763763549E-2</v>
      </c>
      <c r="HN54" s="869">
        <f t="shared" si="168"/>
        <v>7.3907634082121129E-2</v>
      </c>
      <c r="HO54" s="869">
        <f t="shared" si="169"/>
        <v>7.245846478639327E-2</v>
      </c>
      <c r="HP54" s="869">
        <f t="shared" si="170"/>
        <v>7.1037710574895371E-2</v>
      </c>
      <c r="HQ54" s="869">
        <f t="shared" si="171"/>
        <v>6.9644814289113094E-2</v>
      </c>
      <c r="HR54" s="869">
        <f t="shared" si="172"/>
        <v>6.8279229695208915E-2</v>
      </c>
      <c r="HS54" s="869">
        <f t="shared" si="173"/>
        <v>6.6940421269812658E-2</v>
      </c>
      <c r="HT54" s="869">
        <f t="shared" si="174"/>
        <v>6.6190207133599577E-2</v>
      </c>
      <c r="HU54" s="528">
        <f t="shared" si="189"/>
        <v>7.265174033117873E-2</v>
      </c>
      <c r="HV54" s="499">
        <f>_xlfn.XLOOKUP(D54,TalTech!B:B,TalTech!J:J)+_xlfn.XLOOKUP(D54,TalTech!B:B,TalTech!K:K)</f>
        <v>54</v>
      </c>
      <c r="HW54" s="1937">
        <f>HJ54/(Assumptions!$C$790/1000000)</f>
        <v>4.2199657127785836E-3</v>
      </c>
      <c r="HX54" s="1945"/>
      <c r="HY54" s="1942">
        <v>2025</v>
      </c>
      <c r="HZ54" s="691">
        <v>2030</v>
      </c>
      <c r="IA54" s="683" t="s">
        <v>733</v>
      </c>
      <c r="IB54" s="683" t="s">
        <v>757</v>
      </c>
      <c r="IC54" s="694"/>
      <c r="ID54" s="1372" t="s">
        <v>771</v>
      </c>
      <c r="IE54" s="1954"/>
      <c r="IF54" s="1963">
        <v>0</v>
      </c>
      <c r="IG54" s="538">
        <v>0</v>
      </c>
      <c r="IH54" s="538">
        <v>0.5</v>
      </c>
      <c r="II54" s="538">
        <v>0</v>
      </c>
      <c r="IJ54" s="538">
        <v>0.5</v>
      </c>
      <c r="IK54" s="1281">
        <v>0</v>
      </c>
      <c r="IL54" s="1284">
        <v>0</v>
      </c>
      <c r="IM54" s="1282" t="s">
        <v>770</v>
      </c>
    </row>
    <row r="55" spans="2:256" ht="13.5" customHeight="1" x14ac:dyDescent="0.3">
      <c r="B55" s="1703" t="s">
        <v>52</v>
      </c>
      <c r="C55" s="2113"/>
      <c r="D55" s="679" t="s">
        <v>772</v>
      </c>
      <c r="E55" s="1783" t="s">
        <v>773</v>
      </c>
      <c r="F55" s="1804"/>
      <c r="G55" s="1797"/>
      <c r="H55" s="70"/>
      <c r="I55" s="13"/>
      <c r="J55" s="70" t="s">
        <v>563</v>
      </c>
      <c r="K55" s="71" t="s">
        <v>641</v>
      </c>
      <c r="L55" s="1176" t="s">
        <v>719</v>
      </c>
      <c r="M55" s="1827"/>
      <c r="N55" s="1817"/>
      <c r="O55" s="1177"/>
      <c r="P55" s="1178">
        <v>1</v>
      </c>
      <c r="Q55" s="1177"/>
      <c r="R55" s="1177"/>
      <c r="S55" s="1445"/>
      <c r="T55" s="1445"/>
      <c r="U55" s="1445"/>
      <c r="V55" s="1445"/>
      <c r="W55" s="1445">
        <f>_xlfn.XLOOKUP(D55,TalTech!$B$4:$B$46,TalTech!$AZ$4:$AZ$46)</f>
        <v>0.53703703703703709</v>
      </c>
      <c r="X55" s="1445">
        <f t="shared" si="175"/>
        <v>0.46296296296296291</v>
      </c>
      <c r="Y55" s="1187" cm="1">
        <f t="array" ref="Y55:AC55">TRANSPOSE(_xlfn.ANCHORARRAY(Assumptions!$H$668))</f>
        <v>0.28487054651199106</v>
      </c>
      <c r="Z55" s="1187">
        <v>0.22102001228428755</v>
      </c>
      <c r="AA55" s="1187">
        <v>4.8710323312732284E-2</v>
      </c>
      <c r="AB55" s="1187">
        <v>0.29755737005201738</v>
      </c>
      <c r="AC55" s="1187">
        <v>0.14784174783897172</v>
      </c>
      <c r="AD55" s="1177"/>
      <c r="AE55" s="1177"/>
      <c r="AF55" s="1177"/>
      <c r="AG55" s="1194">
        <v>1</v>
      </c>
      <c r="AH55" s="1194">
        <v>1</v>
      </c>
      <c r="AI55" s="1194"/>
      <c r="AJ55" s="1177"/>
      <c r="AK55" s="1417">
        <f t="shared" si="176"/>
        <v>0.28260582882764079</v>
      </c>
      <c r="AL55" s="1243">
        <f>Assumptions!L$780</f>
        <v>6.2270869049188979E-2</v>
      </c>
      <c r="AM55" s="1243">
        <f>Assumptions!M$780</f>
        <v>0.2203349597784518</v>
      </c>
      <c r="AN55" s="1243">
        <f>Assumptions!N$780</f>
        <v>0.71739417117235926</v>
      </c>
      <c r="AO55" s="1221"/>
      <c r="AP55" s="1846"/>
      <c r="AQ55" s="1842">
        <v>21.6</v>
      </c>
      <c r="AR55" s="663"/>
      <c r="AS55" s="663"/>
      <c r="AT55" s="663"/>
      <c r="AU55" s="663"/>
      <c r="AV55" s="659">
        <f>_xlfn.XLOOKUP($D55,TalTech!$B$4:$B$46,TalTech!BB$4:BB$46)</f>
        <v>21.6</v>
      </c>
      <c r="AW55" s="659">
        <f>_xlfn.XLOOKUP($D55,TalTech!$B$4:$B$46,TalTech!BC$4:BC$46)</f>
        <v>21.176470588235297</v>
      </c>
      <c r="AX55" s="659">
        <f>_xlfn.XLOOKUP($D55,TalTech!$B$4:$B$46,TalTech!BD$4:BD$46)</f>
        <v>20.761245674740479</v>
      </c>
      <c r="AY55" s="659">
        <f>_xlfn.XLOOKUP($D55,TalTech!$B$4:$B$46,TalTech!BE$4:BE$46)</f>
        <v>20.354162426216156</v>
      </c>
      <c r="AZ55" s="659">
        <f>_xlfn.XLOOKUP($D55,TalTech!$B$4:$B$46,TalTech!BF$4:BF$46)</f>
        <v>19.955061202172708</v>
      </c>
      <c r="BA55" s="659">
        <f>_xlfn.XLOOKUP($D55,TalTech!$B$4:$B$46,TalTech!BG$4:BG$46)</f>
        <v>19.563785492326183</v>
      </c>
      <c r="BB55" s="659">
        <f>_xlfn.XLOOKUP($D55,TalTech!$B$4:$B$46,TalTech!BH$4:BH$46)</f>
        <v>19.180181855221747</v>
      </c>
      <c r="BC55" s="659">
        <f>_xlfn.XLOOKUP($D55,TalTech!$B$4:$B$46,TalTech!BI$4:BI$46)</f>
        <v>18.804099858060539</v>
      </c>
      <c r="BD55" s="659">
        <f>_xlfn.XLOOKUP($D55,TalTech!$B$4:$B$46,TalTech!BJ$4:BJ$46)</f>
        <v>18.435392017706409</v>
      </c>
      <c r="BE55" s="659">
        <f>_xlfn.XLOOKUP($D55,TalTech!$B$4:$B$46,TalTech!BK$4:BK$46)</f>
        <v>18.073913742849417</v>
      </c>
      <c r="BF55" s="659">
        <f>_xlfn.XLOOKUP($D55,TalTech!$B$4:$B$46,TalTech!BL$4:BL$46)</f>
        <v>18.073913742849417</v>
      </c>
      <c r="BG55" s="501">
        <f t="shared" si="177"/>
        <v>19.634384236398034</v>
      </c>
      <c r="BH55" s="893">
        <f t="shared" si="111"/>
        <v>0</v>
      </c>
      <c r="BI55" s="658">
        <f t="shared" si="112"/>
        <v>0</v>
      </c>
      <c r="BJ55" s="658">
        <f t="shared" si="113"/>
        <v>0</v>
      </c>
      <c r="BK55" s="658">
        <f t="shared" si="114"/>
        <v>0</v>
      </c>
      <c r="BL55" s="658">
        <f t="shared" si="115"/>
        <v>21.6</v>
      </c>
      <c r="BM55" s="658">
        <f t="shared" si="116"/>
        <v>42.776470588235298</v>
      </c>
      <c r="BN55" s="658">
        <f t="shared" si="117"/>
        <v>63.537716262975778</v>
      </c>
      <c r="BO55" s="658">
        <f t="shared" si="118"/>
        <v>83.891878689191941</v>
      </c>
      <c r="BP55" s="658">
        <f t="shared" si="119"/>
        <v>103.84693989136466</v>
      </c>
      <c r="BQ55" s="658">
        <f t="shared" si="120"/>
        <v>123.41072538369085</v>
      </c>
      <c r="BR55" s="658">
        <f t="shared" si="121"/>
        <v>142.59090723891259</v>
      </c>
      <c r="BS55" s="658">
        <f t="shared" si="122"/>
        <v>161.39500709697313</v>
      </c>
      <c r="BT55" s="658">
        <f t="shared" si="123"/>
        <v>179.83039911467955</v>
      </c>
      <c r="BU55" s="658">
        <f t="shared" si="124"/>
        <v>197.90431285752896</v>
      </c>
      <c r="BV55" s="1851">
        <f t="shared" si="125"/>
        <v>215.97822660037838</v>
      </c>
      <c r="BW55" s="1661"/>
      <c r="BX55" s="1855">
        <v>300</v>
      </c>
      <c r="BY55" s="1192">
        <f t="shared" si="126"/>
        <v>8519.1419999999998</v>
      </c>
      <c r="BZ55" s="663"/>
      <c r="CA55" s="663"/>
      <c r="CB55" s="663"/>
      <c r="CC55" s="663"/>
      <c r="CD55" s="675">
        <f>_xlfn.XLOOKUP($D55,TalTech!$B$4:$B$46,TalTech!BM$4:BM$46)</f>
        <v>166.66666666666669</v>
      </c>
      <c r="CE55" s="675">
        <f>_xlfn.XLOOKUP($D55,TalTech!$B$4:$B$46,TalTech!BN$4:BN$46)</f>
        <v>170.00000000000003</v>
      </c>
      <c r="CF55" s="675">
        <f>_xlfn.XLOOKUP($D55,TalTech!$B$4:$B$46,TalTech!BO$4:BO$46)</f>
        <v>173.40000000000003</v>
      </c>
      <c r="CG55" s="675">
        <f>_xlfn.XLOOKUP($D55,TalTech!$B$4:$B$46,TalTech!BP$4:BP$46)</f>
        <v>176.86800000000005</v>
      </c>
      <c r="CH55" s="675">
        <f>_xlfn.XLOOKUP($D55,TalTech!$B$4:$B$46,TalTech!BQ$4:BQ$46)</f>
        <v>180.40536000000006</v>
      </c>
      <c r="CI55" s="675">
        <f>_xlfn.XLOOKUP($D55,TalTech!$B$4:$B$46,TalTech!BR$4:BR$46)</f>
        <v>184.01346720000006</v>
      </c>
      <c r="CJ55" s="675">
        <f>_xlfn.XLOOKUP($D55,TalTech!$B$4:$B$46,TalTech!BS$4:BS$46)</f>
        <v>187.69373654400007</v>
      </c>
      <c r="CK55" s="675">
        <f>_xlfn.XLOOKUP($D55,TalTech!$B$4:$B$46,TalTech!BT$4:BT$46)</f>
        <v>191.44761127488007</v>
      </c>
      <c r="CL55" s="675">
        <f>_xlfn.XLOOKUP($D55,TalTech!$B$4:$B$46,TalTech!BU$4:BU$46)</f>
        <v>195.27656350037768</v>
      </c>
      <c r="CM55" s="675">
        <f>_xlfn.XLOOKUP($D55,TalTech!$B$4:$B$46,TalTech!BV$4:BV$46)</f>
        <v>199.18209477038522</v>
      </c>
      <c r="CN55" s="675">
        <f>_xlfn.XLOOKUP($D55,TalTech!$B$4:$B$46,TalTech!BW$4:BW$46)</f>
        <v>203.16573666579293</v>
      </c>
      <c r="CO55" s="493">
        <f t="shared" si="178"/>
        <v>184.37447605655481</v>
      </c>
      <c r="CP55" s="660">
        <f t="shared" si="127"/>
        <v>1051.3534938666669</v>
      </c>
      <c r="CQ55" s="1193">
        <v>0.3</v>
      </c>
      <c r="CR55" s="662">
        <f t="shared" si="128"/>
        <v>0.7</v>
      </c>
      <c r="CS55" s="685" t="str">
        <v>Building owners</v>
      </c>
      <c r="CT55" s="1862">
        <f t="shared" si="129"/>
        <v>175.22558231111114</v>
      </c>
      <c r="CU55" s="1872"/>
      <c r="CV55" s="1866">
        <f>BH55*Assumptions!D$497</f>
        <v>0</v>
      </c>
      <c r="CW55" s="675">
        <f>BI55*Assumptions!E$497</f>
        <v>0</v>
      </c>
      <c r="CX55" s="675">
        <f>BJ55*Assumptions!F$497</f>
        <v>0</v>
      </c>
      <c r="CY55" s="675">
        <f>BK55*Assumptions!G$497</f>
        <v>0</v>
      </c>
      <c r="CZ55" s="675">
        <f>BL55*Assumptions!H$497</f>
        <v>1.778076076370571</v>
      </c>
      <c r="DA55" s="675">
        <f>BM55*Assumptions!I$497</f>
        <v>3.6210333614538222</v>
      </c>
      <c r="DB55" s="675">
        <f>BN55*Assumptions!J$497</f>
        <v>5.5310865548063433</v>
      </c>
      <c r="DC55" s="675">
        <f>BO55*Assumptions!K$497</f>
        <v>7.5104405146328554</v>
      </c>
      <c r="DD55" s="675">
        <f>BP55*Assumptions!L$497</f>
        <v>9.5613851776036434</v>
      </c>
      <c r="DE55" s="675">
        <f>BQ55*Assumptions!M$497</f>
        <v>11.686279026528812</v>
      </c>
      <c r="DF55" s="675">
        <f>BR55*Assumptions!N$497</f>
        <v>13.892581591238596</v>
      </c>
      <c r="DG55" s="675">
        <f>BS55*Assumptions!O$497</f>
        <v>16.179391491413728</v>
      </c>
      <c r="DH55" s="675">
        <f>BT55*Assumptions!P$497</f>
        <v>18.549362617180435</v>
      </c>
      <c r="DI55" s="675">
        <f>BU55*Assumptions!Q$497</f>
        <v>21.005228887918776</v>
      </c>
      <c r="DJ55" s="675">
        <f>BV55*Assumptions!R$497</f>
        <v>23.588512188337841</v>
      </c>
      <c r="DK55" s="659">
        <f>BH55*Assumptions!D$504</f>
        <v>0</v>
      </c>
      <c r="DL55" s="659">
        <f>BI55*Assumptions!E$504</f>
        <v>0</v>
      </c>
      <c r="DM55" s="659">
        <f>BJ55*Assumptions!F$504</f>
        <v>0</v>
      </c>
      <c r="DN55" s="659">
        <f>BK55*Assumptions!G$504</f>
        <v>0</v>
      </c>
      <c r="DO55" s="659">
        <f>BL55*Assumptions!H$504</f>
        <v>1.8090481022363063</v>
      </c>
      <c r="DP55" s="659">
        <f>BM55*Assumptions!I$504</f>
        <v>3.6834087235638262</v>
      </c>
      <c r="DQ55" s="659">
        <f>BN55*Assumptions!J$504</f>
        <v>5.6252539204346501</v>
      </c>
      <c r="DR55" s="659">
        <f>BO55*Assumptions!K$504</f>
        <v>7.6368054015379867</v>
      </c>
      <c r="DS55" s="659">
        <f>BP55*Assumptions!L$504</f>
        <v>9.7203549980058312</v>
      </c>
      <c r="DT55" s="659">
        <f>BQ55*Assumptions!M$504</f>
        <v>11.878263016303411</v>
      </c>
      <c r="DU55" s="659">
        <f>BR55*Assumptions!N$504</f>
        <v>14.11790388011512</v>
      </c>
      <c r="DV55" s="659">
        <f>BS55*Assumptions!O$504</f>
        <v>16.43843337340741</v>
      </c>
      <c r="DW55" s="659">
        <f>BT55*Assumptions!P$504</f>
        <v>18.84250448630225</v>
      </c>
      <c r="DX55" s="659">
        <f>BU55*Assumptions!Q$504</f>
        <v>21.332850145802187</v>
      </c>
      <c r="DY55" s="659">
        <f>BV55*Assumptions!R$504</f>
        <v>23.951586908063433</v>
      </c>
      <c r="DZ55" s="678">
        <v>0</v>
      </c>
      <c r="EA55" s="661">
        <f t="shared" si="130"/>
        <v>1</v>
      </c>
      <c r="EB55" s="1861">
        <f t="shared" si="131"/>
        <v>3.9688300711396045</v>
      </c>
      <c r="EC55" s="1881"/>
      <c r="ED55" s="1877">
        <v>1</v>
      </c>
      <c r="EE55" s="684"/>
      <c r="EF55" s="684"/>
      <c r="EG55" s="684"/>
      <c r="EH55" s="684"/>
      <c r="EI55" s="491">
        <f t="shared" ref="EI55:ES56" si="195">50+(CD55*$CQ55*0.32)</f>
        <v>66</v>
      </c>
      <c r="EJ55" s="491">
        <f t="shared" si="195"/>
        <v>66.320000000000007</v>
      </c>
      <c r="EK55" s="491">
        <f t="shared" si="195"/>
        <v>66.6464</v>
      </c>
      <c r="EL55" s="491">
        <f t="shared" si="195"/>
        <v>66.97932800000001</v>
      </c>
      <c r="EM55" s="491">
        <f t="shared" si="195"/>
        <v>67.31891456000001</v>
      </c>
      <c r="EN55" s="491">
        <f t="shared" si="195"/>
        <v>67.665292851200007</v>
      </c>
      <c r="EO55" s="491">
        <f t="shared" si="195"/>
        <v>68.018598708224005</v>
      </c>
      <c r="EP55" s="491">
        <f t="shared" si="195"/>
        <v>68.378970682388484</v>
      </c>
      <c r="EQ55" s="491">
        <f t="shared" si="195"/>
        <v>68.746550096036259</v>
      </c>
      <c r="ER55" s="491">
        <f t="shared" si="195"/>
        <v>69.121481097956973</v>
      </c>
      <c r="ES55" s="491">
        <f t="shared" si="195"/>
        <v>69.503910719916121</v>
      </c>
      <c r="ET55" s="541">
        <f t="shared" si="133"/>
        <v>67.699949701429261</v>
      </c>
      <c r="EU55" s="1450" cm="1">
        <f t="array" ref="EU55">(BH55*SUMPRODUCT($S55:$X55,TRANSPOSE(Assumptions!D$281:D$286)))*0.001</f>
        <v>0</v>
      </c>
      <c r="EV55" s="1450" cm="1">
        <f t="array" ref="EV55">(BI55*SUMPRODUCT($S55:$X55,TRANSPOSE(Assumptions!E$281:E$286)))*0.001</f>
        <v>0</v>
      </c>
      <c r="EW55" s="1450" cm="1">
        <f t="array" ref="EW55">(BJ55*SUMPRODUCT($S55:$X55,TRANSPOSE(Assumptions!F$281:F$286)))*0.001</f>
        <v>0</v>
      </c>
      <c r="EX55" s="1450" cm="1">
        <f t="array" ref="EX55">(BK55*SUMPRODUCT($S55:$X55,TRANSPOSE(Assumptions!G$281:G$286)))*0.001</f>
        <v>0</v>
      </c>
      <c r="EY55" s="1450" cm="1">
        <f t="array" ref="EY55">(BL55*SUMPRODUCT($S55:$X55,TRANSPOSE(Assumptions!H$281:H$286)))*0.001</f>
        <v>7.5536112707761727E-2</v>
      </c>
      <c r="EZ55" s="1450" cm="1">
        <f t="array" ref="EZ55">(BM55*SUMPRODUCT($S55:$X55,TRANSPOSE(Assumptions!I$281:I$286)))*0.001</f>
        <v>0.14959112516635167</v>
      </c>
      <c r="FA55" s="1450" cm="1">
        <f t="array" ref="FA55">(BN55*SUMPRODUCT($S55:$X55,TRANSPOSE(Assumptions!J$281:J$286)))*0.001</f>
        <v>0.22219407855712606</v>
      </c>
      <c r="FB55" s="1450" cm="1">
        <f t="array" ref="FB55">(BO55*SUMPRODUCT($S55:$X55,TRANSPOSE(Assumptions!K$281:K$286)))*0.001</f>
        <v>0.29337344462651277</v>
      </c>
      <c r="FC55" s="1450" cm="1">
        <f t="array" ref="FC55">(BP55*SUMPRODUCT($S55:$X55,TRANSPOSE(Assumptions!L$281:L$286)))*0.001</f>
        <v>0.36315713685140172</v>
      </c>
      <c r="FD55" s="1450" cm="1">
        <f t="array" ref="FD55">(BQ55*SUMPRODUCT($S55:$X55,TRANSPOSE(Assumptions!M$281:M$286)))*0.001</f>
        <v>0.43157252138560659</v>
      </c>
      <c r="FE55" s="1450" cm="1">
        <f t="array" ref="FE55">(BR55*SUMPRODUCT($S55:$X55,TRANSPOSE(Assumptions!N$281:N$286)))*0.001</f>
        <v>0.49864642779168977</v>
      </c>
      <c r="FF55" s="1450" cm="1">
        <f t="array" ref="FF55">(BS55*SUMPRODUCT($S55:$X55,TRANSPOSE(Assumptions!O$281:O$286)))*0.001</f>
        <v>0.56440515956235948</v>
      </c>
      <c r="FG55" s="1450" cm="1">
        <f t="array" ref="FG55">(BT55*SUMPRODUCT($S55:$X55,TRANSPOSE(Assumptions!P$281:P$286)))*0.001</f>
        <v>0.62887450443556525</v>
      </c>
      <c r="FH55" s="1450" cm="1">
        <f t="array" ref="FH55">(BU55*SUMPRODUCT($S55:$X55,TRANSPOSE(Assumptions!Q$281:Q$286)))*0.001</f>
        <v>0.69207974450733534</v>
      </c>
      <c r="FI55" s="1450" cm="1">
        <f t="array" ref="FI55">(BV55*SUMPRODUCT($S55:$X55,TRANSPOSE(Assumptions!R$281:R$286)))*0.001</f>
        <v>0.75528498457910564</v>
      </c>
      <c r="FJ55" s="666">
        <f t="shared" si="179"/>
        <v>0</v>
      </c>
      <c r="FK55" s="666">
        <f t="shared" si="180"/>
        <v>0</v>
      </c>
      <c r="FL55" s="666">
        <f t="shared" si="181"/>
        <v>0</v>
      </c>
      <c r="FM55" s="666">
        <f t="shared" si="182"/>
        <v>0</v>
      </c>
      <c r="FN55" s="666">
        <f t="shared" si="183"/>
        <v>65.924463887292234</v>
      </c>
      <c r="FO55" s="666">
        <f t="shared" si="184"/>
        <v>66.170408874833655</v>
      </c>
      <c r="FP55" s="666">
        <f t="shared" si="185"/>
        <v>66.424205921442876</v>
      </c>
      <c r="FQ55" s="666">
        <f t="shared" si="186"/>
        <v>66.685954555373499</v>
      </c>
      <c r="FR55" s="666">
        <f t="shared" si="187"/>
        <v>66.955757423148611</v>
      </c>
      <c r="FS55" s="666">
        <f t="shared" si="188"/>
        <v>67.233720329814403</v>
      </c>
      <c r="FT55" s="666">
        <f t="shared" si="144"/>
        <v>67.519952280432321</v>
      </c>
      <c r="FU55" s="666">
        <f t="shared" si="145"/>
        <v>67.814565522826129</v>
      </c>
      <c r="FV55" s="666">
        <f t="shared" si="146"/>
        <v>68.117675591600687</v>
      </c>
      <c r="FW55" s="666">
        <f t="shared" si="147"/>
        <v>68.429401353449634</v>
      </c>
      <c r="FX55" s="1883">
        <f t="shared" si="148"/>
        <v>68.748625735337015</v>
      </c>
      <c r="FY55" s="1895"/>
      <c r="FZ55" s="690"/>
      <c r="GA55" s="690"/>
      <c r="GB55" s="690"/>
      <c r="GC55" s="690"/>
      <c r="GD55" s="664">
        <f t="shared" si="149"/>
        <v>2833.3333333333335</v>
      </c>
      <c r="GE55" s="664">
        <f t="shared" si="150"/>
        <v>2890.0000000000005</v>
      </c>
      <c r="GF55" s="664">
        <f t="shared" si="151"/>
        <v>2947.8000000000006</v>
      </c>
      <c r="GG55" s="664">
        <f t="shared" si="152"/>
        <v>3006.7560000000008</v>
      </c>
      <c r="GH55" s="664">
        <f t="shared" si="153"/>
        <v>3066.8911200000011</v>
      </c>
      <c r="GI55" s="664">
        <f t="shared" si="154"/>
        <v>3128.228942400001</v>
      </c>
      <c r="GJ55" s="664">
        <f t="shared" si="155"/>
        <v>3190.7935212480011</v>
      </c>
      <c r="GK55" s="664">
        <f t="shared" si="156"/>
        <v>3254.6093916729615</v>
      </c>
      <c r="GL55" s="664">
        <f t="shared" si="157"/>
        <v>3319.7015795064203</v>
      </c>
      <c r="GM55" s="664">
        <f t="shared" si="158"/>
        <v>3386.095611096549</v>
      </c>
      <c r="GN55" s="1861">
        <f t="shared" si="159"/>
        <v>3453.8175233184797</v>
      </c>
      <c r="GO55" s="1910"/>
      <c r="GP55" s="1868">
        <f>BH55*INDEX(Assumptions!G$565:G$570,MATCH($B55,Assumptions!$B$565:$B$570,0))</f>
        <v>0</v>
      </c>
      <c r="GQ55" s="656">
        <f>BI55*INDEX(Assumptions!H$565:H$570,MATCH($B55,Assumptions!$B$565:$B$570,0))</f>
        <v>0</v>
      </c>
      <c r="GR55" s="656">
        <f>BJ55*INDEX(Assumptions!I$565:I$570,MATCH($B55,Assumptions!$B$565:$B$570,0))</f>
        <v>0</v>
      </c>
      <c r="GS55" s="656">
        <f>BK55*INDEX(Assumptions!J$565:J$570,MATCH($B55,Assumptions!$B$565:$B$570,0))</f>
        <v>0</v>
      </c>
      <c r="GT55" s="656">
        <f>BL55*INDEX(Assumptions!K$565:K$570,MATCH($B55,Assumptions!$B$565:$B$570,0))</f>
        <v>9.9252591610362693</v>
      </c>
      <c r="GU55" s="656">
        <f>BM55*INDEX(Assumptions!L$565:L$570,MATCH($B55,Assumptions!$B$565:$B$570,0))</f>
        <v>18.947625341211047</v>
      </c>
      <c r="GV55" s="656">
        <f>BN55*INDEX(Assumptions!M$565:M$570,MATCH($B55,Assumptions!$B$565:$B$570,0))</f>
        <v>27.100040185045938</v>
      </c>
      <c r="GW55" s="656">
        <f>BO55*INDEX(Assumptions!N$565:N$570,MATCH($B55,Assumptions!$B$565:$B$570,0))</f>
        <v>34.412688625020571</v>
      </c>
      <c r="GX55" s="656">
        <f>BP55*INDEX(Assumptions!O$565:O$570,MATCH($B55,Assumptions!$B$565:$B$570,0))</f>
        <v>40.91535190213893</v>
      </c>
      <c r="GY55" s="656">
        <f>BQ55*INDEX(Assumptions!P$565:P$570,MATCH($B55,Assumptions!$B$565:$B$570,0))</f>
        <v>44.716935469370377</v>
      </c>
      <c r="GZ55" s="656">
        <f>BR55*INDEX(Assumptions!Q$565:Q$570,MATCH($B55,Assumptions!$B$565:$B$570,0))</f>
        <v>18.054184862635672</v>
      </c>
      <c r="HA55" s="656">
        <f>BS55*INDEX(Assumptions!R$565:R$570,MATCH($B55,Assumptions!$B$565:$B$570,0))</f>
        <v>83.590068825620406</v>
      </c>
      <c r="HB55" s="656">
        <f>BT55*INDEX(Assumptions!S$565:S$570,MATCH($B55,Assumptions!$B$565:$B$570,0))</f>
        <v>93.138168951552203</v>
      </c>
      <c r="HC55" s="656">
        <f>BU55*INDEX(Assumptions!T$565:T$570,MATCH($B55,Assumptions!$B$565:$B$570,0))</f>
        <v>99.420058180902018</v>
      </c>
      <c r="HD55" s="1922">
        <f>BV55*INDEX(Assumptions!U$565:U$570,MATCH($B55,Assumptions!$B$565:$B$570,0))</f>
        <v>105.13955988510347</v>
      </c>
      <c r="HE55" s="1933"/>
      <c r="HF55" s="1930">
        <f t="shared" si="160"/>
        <v>0</v>
      </c>
      <c r="HG55" s="869">
        <f t="shared" si="161"/>
        <v>0</v>
      </c>
      <c r="HH55" s="869">
        <f t="shared" si="162"/>
        <v>0</v>
      </c>
      <c r="HI55" s="869">
        <f t="shared" si="163"/>
        <v>0</v>
      </c>
      <c r="HJ55" s="869">
        <f t="shared" si="164"/>
        <v>0.4</v>
      </c>
      <c r="HK55" s="869">
        <f t="shared" si="165"/>
        <v>0.39215686274509809</v>
      </c>
      <c r="HL55" s="869">
        <f t="shared" si="166"/>
        <v>0.38446751249519406</v>
      </c>
      <c r="HM55" s="869">
        <f t="shared" si="167"/>
        <v>0.3769289338188177</v>
      </c>
      <c r="HN55" s="869">
        <f t="shared" si="168"/>
        <v>0.36953817041060572</v>
      </c>
      <c r="HO55" s="869">
        <f t="shared" si="169"/>
        <v>0.36229232393196636</v>
      </c>
      <c r="HP55" s="869">
        <f t="shared" si="170"/>
        <v>0.35518855287447682</v>
      </c>
      <c r="HQ55" s="869">
        <f t="shared" si="171"/>
        <v>0.34822407144556555</v>
      </c>
      <c r="HR55" s="869">
        <f t="shared" si="172"/>
        <v>0.3413961484760446</v>
      </c>
      <c r="HS55" s="869">
        <f t="shared" si="173"/>
        <v>0.33470210634906328</v>
      </c>
      <c r="HT55" s="869">
        <f t="shared" si="174"/>
        <v>0.33470210634906328</v>
      </c>
      <c r="HU55" s="528">
        <f t="shared" si="189"/>
        <v>0.36359970808144504</v>
      </c>
      <c r="HV55" s="499">
        <f>_xlfn.XLOOKUP(D55,TalTech!B:B,TalTech!J:J)+_xlfn.XLOOKUP(D55,TalTech!B:B,TalTech!K:K)</f>
        <v>54</v>
      </c>
      <c r="HW55" s="1937">
        <f>HJ55/(Assumptions!$C$790/1000000)</f>
        <v>2.1099828563892919E-2</v>
      </c>
      <c r="HX55" s="1945"/>
      <c r="HY55" s="1942">
        <v>2025</v>
      </c>
      <c r="HZ55" s="691">
        <v>2030</v>
      </c>
      <c r="IA55" s="683" t="s">
        <v>733</v>
      </c>
      <c r="IB55" s="683" t="s">
        <v>757</v>
      </c>
      <c r="IC55" s="694"/>
      <c r="ID55" s="1376" t="s">
        <v>774</v>
      </c>
      <c r="IE55" s="1968"/>
      <c r="IF55" s="1963">
        <v>0</v>
      </c>
      <c r="IG55" s="538">
        <v>0</v>
      </c>
      <c r="IH55" s="538">
        <v>0.5</v>
      </c>
      <c r="II55" s="538">
        <v>0.5</v>
      </c>
      <c r="IJ55" s="538">
        <v>0.5</v>
      </c>
      <c r="IK55" s="1281">
        <v>0</v>
      </c>
      <c r="IL55" s="1287">
        <v>1</v>
      </c>
      <c r="IM55" s="1278" t="s">
        <v>773</v>
      </c>
    </row>
    <row r="56" spans="2:256" ht="13.5" customHeight="1" x14ac:dyDescent="0.3">
      <c r="B56" s="1703" t="s">
        <v>52</v>
      </c>
      <c r="C56" s="2113"/>
      <c r="D56" s="679" t="s">
        <v>775</v>
      </c>
      <c r="E56" s="1783" t="s">
        <v>743</v>
      </c>
      <c r="F56" s="1804"/>
      <c r="G56" s="1797"/>
      <c r="H56" s="70"/>
      <c r="I56" s="13"/>
      <c r="J56" s="70"/>
      <c r="K56" s="71" t="s">
        <v>641</v>
      </c>
      <c r="L56" s="1176" t="s">
        <v>719</v>
      </c>
      <c r="M56" s="1827"/>
      <c r="N56" s="1817"/>
      <c r="O56" s="1177"/>
      <c r="P56" s="1178">
        <v>1</v>
      </c>
      <c r="Q56" s="1177"/>
      <c r="R56" s="1177"/>
      <c r="S56" s="1445"/>
      <c r="T56" s="1445"/>
      <c r="U56" s="1445"/>
      <c r="V56" s="1445"/>
      <c r="W56" s="1445">
        <f>_xlfn.XLOOKUP(D56,TalTech!$B$4:$B$46,TalTech!$AZ$4:$AZ$46)</f>
        <v>0.53703703703703709</v>
      </c>
      <c r="X56" s="1445">
        <f t="shared" si="175"/>
        <v>0.46296296296296291</v>
      </c>
      <c r="Y56" s="1187" cm="1">
        <f t="array" ref="Y56:AC56">TRANSPOSE(_xlfn.ANCHORARRAY(Assumptions!$H$668))</f>
        <v>0.28487054651199106</v>
      </c>
      <c r="Z56" s="1187">
        <v>0.22102001228428755</v>
      </c>
      <c r="AA56" s="1187">
        <v>4.8710323312732284E-2</v>
      </c>
      <c r="AB56" s="1187">
        <v>0.29755737005201738</v>
      </c>
      <c r="AC56" s="1187">
        <v>0.14784174783897172</v>
      </c>
      <c r="AD56" s="1177"/>
      <c r="AE56" s="1177"/>
      <c r="AF56" s="1177"/>
      <c r="AG56" s="1194">
        <v>1</v>
      </c>
      <c r="AH56" s="1194">
        <v>1</v>
      </c>
      <c r="AI56" s="1194"/>
      <c r="AJ56" s="1177"/>
      <c r="AK56" s="1417">
        <f t="shared" si="176"/>
        <v>0.28260582882764079</v>
      </c>
      <c r="AL56" s="1243">
        <f>Assumptions!L$780</f>
        <v>6.2270869049188979E-2</v>
      </c>
      <c r="AM56" s="1243">
        <f>Assumptions!M$780</f>
        <v>0.2203349597784518</v>
      </c>
      <c r="AN56" s="1243">
        <f>Assumptions!N$780</f>
        <v>0.71739417117235926</v>
      </c>
      <c r="AO56" s="1221"/>
      <c r="AP56" s="1846"/>
      <c r="AQ56" s="1842">
        <v>21.6</v>
      </c>
      <c r="AR56" s="663"/>
      <c r="AS56" s="663"/>
      <c r="AT56" s="663"/>
      <c r="AU56" s="663"/>
      <c r="AV56" s="659">
        <f>_xlfn.XLOOKUP($D56,TalTech!$B$4:$B$46,TalTech!BB$4:BB$46)</f>
        <v>21.6</v>
      </c>
      <c r="AW56" s="659">
        <f>_xlfn.XLOOKUP($D56,TalTech!$B$4:$B$46,TalTech!BC$4:BC$46)</f>
        <v>21.176470588235297</v>
      </c>
      <c r="AX56" s="659">
        <f>_xlfn.XLOOKUP($D56,TalTech!$B$4:$B$46,TalTech!BD$4:BD$46)</f>
        <v>20.761245674740479</v>
      </c>
      <c r="AY56" s="659">
        <f>_xlfn.XLOOKUP($D56,TalTech!$B$4:$B$46,TalTech!BE$4:BE$46)</f>
        <v>20.354162426216156</v>
      </c>
      <c r="AZ56" s="659">
        <f>_xlfn.XLOOKUP($D56,TalTech!$B$4:$B$46,TalTech!BF$4:BF$46)</f>
        <v>19.955061202172708</v>
      </c>
      <c r="BA56" s="659">
        <f>_xlfn.XLOOKUP($D56,TalTech!$B$4:$B$46,TalTech!BG$4:BG$46)</f>
        <v>19.563785492326183</v>
      </c>
      <c r="BB56" s="659">
        <f>_xlfn.XLOOKUP($D56,TalTech!$B$4:$B$46,TalTech!BH$4:BH$46)</f>
        <v>19.180181855221747</v>
      </c>
      <c r="BC56" s="659">
        <f>_xlfn.XLOOKUP($D56,TalTech!$B$4:$B$46,TalTech!BI$4:BI$46)</f>
        <v>18.804099858060539</v>
      </c>
      <c r="BD56" s="659">
        <f>_xlfn.XLOOKUP($D56,TalTech!$B$4:$B$46,TalTech!BJ$4:BJ$46)</f>
        <v>18.435392017706409</v>
      </c>
      <c r="BE56" s="659">
        <f>_xlfn.XLOOKUP($D56,TalTech!$B$4:$B$46,TalTech!BK$4:BK$46)</f>
        <v>18.073913742849417</v>
      </c>
      <c r="BF56" s="659">
        <f>_xlfn.XLOOKUP($D56,TalTech!$B$4:$B$46,TalTech!BL$4:BL$46)</f>
        <v>18.073913742849417</v>
      </c>
      <c r="BG56" s="501">
        <f t="shared" si="177"/>
        <v>19.634384236398034</v>
      </c>
      <c r="BH56" s="893">
        <f t="shared" si="111"/>
        <v>0</v>
      </c>
      <c r="BI56" s="658">
        <f t="shared" si="112"/>
        <v>0</v>
      </c>
      <c r="BJ56" s="658">
        <f t="shared" si="113"/>
        <v>0</v>
      </c>
      <c r="BK56" s="658">
        <f t="shared" si="114"/>
        <v>0</v>
      </c>
      <c r="BL56" s="658">
        <f t="shared" si="115"/>
        <v>21.6</v>
      </c>
      <c r="BM56" s="658">
        <f t="shared" si="116"/>
        <v>42.776470588235298</v>
      </c>
      <c r="BN56" s="658">
        <f t="shared" si="117"/>
        <v>63.537716262975778</v>
      </c>
      <c r="BO56" s="658">
        <f t="shared" si="118"/>
        <v>83.891878689191941</v>
      </c>
      <c r="BP56" s="658">
        <f t="shared" si="119"/>
        <v>103.84693989136466</v>
      </c>
      <c r="BQ56" s="658">
        <f t="shared" si="120"/>
        <v>123.41072538369085</v>
      </c>
      <c r="BR56" s="658">
        <f t="shared" si="121"/>
        <v>142.59090723891259</v>
      </c>
      <c r="BS56" s="658">
        <f t="shared" si="122"/>
        <v>161.39500709697313</v>
      </c>
      <c r="BT56" s="658">
        <f t="shared" si="123"/>
        <v>179.83039911467955</v>
      </c>
      <c r="BU56" s="658">
        <f t="shared" si="124"/>
        <v>197.90431285752896</v>
      </c>
      <c r="BV56" s="1851">
        <f t="shared" si="125"/>
        <v>215.97822660037838</v>
      </c>
      <c r="BW56" s="1661"/>
      <c r="BX56" s="1855">
        <v>300</v>
      </c>
      <c r="BY56" s="1192">
        <f t="shared" si="126"/>
        <v>8519.1419999999998</v>
      </c>
      <c r="BZ56" s="663"/>
      <c r="CA56" s="663"/>
      <c r="CB56" s="663"/>
      <c r="CC56" s="663"/>
      <c r="CD56" s="675">
        <f>_xlfn.XLOOKUP($D56,TalTech!$B$4:$B$46,TalTech!BM$4:BM$46)</f>
        <v>166.66666666666669</v>
      </c>
      <c r="CE56" s="675">
        <f>_xlfn.XLOOKUP($D56,TalTech!$B$4:$B$46,TalTech!BN$4:BN$46)</f>
        <v>170.00000000000003</v>
      </c>
      <c r="CF56" s="675">
        <f>_xlfn.XLOOKUP($D56,TalTech!$B$4:$B$46,TalTech!BO$4:BO$46)</f>
        <v>173.40000000000003</v>
      </c>
      <c r="CG56" s="675">
        <f>_xlfn.XLOOKUP($D56,TalTech!$B$4:$B$46,TalTech!BP$4:BP$46)</f>
        <v>176.86800000000005</v>
      </c>
      <c r="CH56" s="675">
        <f>_xlfn.XLOOKUP($D56,TalTech!$B$4:$B$46,TalTech!BQ$4:BQ$46)</f>
        <v>180.40536000000006</v>
      </c>
      <c r="CI56" s="675">
        <f>_xlfn.XLOOKUP($D56,TalTech!$B$4:$B$46,TalTech!BR$4:BR$46)</f>
        <v>184.01346720000006</v>
      </c>
      <c r="CJ56" s="675">
        <f>_xlfn.XLOOKUP($D56,TalTech!$B$4:$B$46,TalTech!BS$4:BS$46)</f>
        <v>187.69373654400007</v>
      </c>
      <c r="CK56" s="675">
        <f>_xlfn.XLOOKUP($D56,TalTech!$B$4:$B$46,TalTech!BT$4:BT$46)</f>
        <v>191.44761127488007</v>
      </c>
      <c r="CL56" s="675">
        <f>_xlfn.XLOOKUP($D56,TalTech!$B$4:$B$46,TalTech!BU$4:BU$46)</f>
        <v>195.27656350037768</v>
      </c>
      <c r="CM56" s="675">
        <f>_xlfn.XLOOKUP($D56,TalTech!$B$4:$B$46,TalTech!BV$4:BV$46)</f>
        <v>199.18209477038522</v>
      </c>
      <c r="CN56" s="675">
        <f>_xlfn.XLOOKUP($D56,TalTech!$B$4:$B$46,TalTech!BW$4:BW$46)</f>
        <v>203.16573666579293</v>
      </c>
      <c r="CO56" s="493">
        <f t="shared" si="178"/>
        <v>184.37447605655481</v>
      </c>
      <c r="CP56" s="660">
        <f t="shared" si="127"/>
        <v>1051.3534938666669</v>
      </c>
      <c r="CQ56" s="1193">
        <v>0.3</v>
      </c>
      <c r="CR56" s="662">
        <f t="shared" si="128"/>
        <v>0.7</v>
      </c>
      <c r="CS56" s="685" t="str">
        <v>Building owners</v>
      </c>
      <c r="CT56" s="1862">
        <f t="shared" si="129"/>
        <v>175.22558231111114</v>
      </c>
      <c r="CU56" s="1872"/>
      <c r="CV56" s="1866">
        <f>BH56*Assumptions!D$497</f>
        <v>0</v>
      </c>
      <c r="CW56" s="675">
        <f>BI56*Assumptions!E$497</f>
        <v>0</v>
      </c>
      <c r="CX56" s="675">
        <f>BJ56*Assumptions!F$497</f>
        <v>0</v>
      </c>
      <c r="CY56" s="675">
        <f>BK56*Assumptions!G$497</f>
        <v>0</v>
      </c>
      <c r="CZ56" s="675">
        <f>BL56*Assumptions!H$497</f>
        <v>1.778076076370571</v>
      </c>
      <c r="DA56" s="675">
        <f>BM56*Assumptions!I$497</f>
        <v>3.6210333614538222</v>
      </c>
      <c r="DB56" s="675">
        <f>BN56*Assumptions!J$497</f>
        <v>5.5310865548063433</v>
      </c>
      <c r="DC56" s="675">
        <f>BO56*Assumptions!K$497</f>
        <v>7.5104405146328554</v>
      </c>
      <c r="DD56" s="675">
        <f>BP56*Assumptions!L$497</f>
        <v>9.5613851776036434</v>
      </c>
      <c r="DE56" s="675">
        <f>BQ56*Assumptions!M$497</f>
        <v>11.686279026528812</v>
      </c>
      <c r="DF56" s="675">
        <f>BR56*Assumptions!N$497</f>
        <v>13.892581591238596</v>
      </c>
      <c r="DG56" s="675">
        <f>BS56*Assumptions!O$497</f>
        <v>16.179391491413728</v>
      </c>
      <c r="DH56" s="675">
        <f>BT56*Assumptions!P$497</f>
        <v>18.549362617180435</v>
      </c>
      <c r="DI56" s="675">
        <f>BU56*Assumptions!Q$497</f>
        <v>21.005228887918776</v>
      </c>
      <c r="DJ56" s="675">
        <f>BV56*Assumptions!R$497</f>
        <v>23.588512188337841</v>
      </c>
      <c r="DK56" s="659">
        <f>BH56*Assumptions!D$504</f>
        <v>0</v>
      </c>
      <c r="DL56" s="659">
        <f>BI56*Assumptions!E$504</f>
        <v>0</v>
      </c>
      <c r="DM56" s="659">
        <f>BJ56*Assumptions!F$504</f>
        <v>0</v>
      </c>
      <c r="DN56" s="659">
        <f>BK56*Assumptions!G$504</f>
        <v>0</v>
      </c>
      <c r="DO56" s="659">
        <f>BL56*Assumptions!H$504</f>
        <v>1.8090481022363063</v>
      </c>
      <c r="DP56" s="659">
        <f>BM56*Assumptions!I$504</f>
        <v>3.6834087235638262</v>
      </c>
      <c r="DQ56" s="659">
        <f>BN56*Assumptions!J$504</f>
        <v>5.6252539204346501</v>
      </c>
      <c r="DR56" s="659">
        <f>BO56*Assumptions!K$504</f>
        <v>7.6368054015379867</v>
      </c>
      <c r="DS56" s="659">
        <f>BP56*Assumptions!L$504</f>
        <v>9.7203549980058312</v>
      </c>
      <c r="DT56" s="659">
        <f>BQ56*Assumptions!M$504</f>
        <v>11.878263016303411</v>
      </c>
      <c r="DU56" s="659">
        <f>BR56*Assumptions!N$504</f>
        <v>14.11790388011512</v>
      </c>
      <c r="DV56" s="659">
        <f>BS56*Assumptions!O$504</f>
        <v>16.43843337340741</v>
      </c>
      <c r="DW56" s="659">
        <f>BT56*Assumptions!P$504</f>
        <v>18.84250448630225</v>
      </c>
      <c r="DX56" s="659">
        <f>BU56*Assumptions!Q$504</f>
        <v>21.332850145802187</v>
      </c>
      <c r="DY56" s="659">
        <f>BV56*Assumptions!R$504</f>
        <v>23.951586908063433</v>
      </c>
      <c r="DZ56" s="678">
        <v>0</v>
      </c>
      <c r="EA56" s="661">
        <f t="shared" si="130"/>
        <v>1</v>
      </c>
      <c r="EB56" s="1861">
        <f t="shared" si="131"/>
        <v>3.9688300711396045</v>
      </c>
      <c r="EC56" s="1881"/>
      <c r="ED56" s="1877">
        <v>1</v>
      </c>
      <c r="EE56" s="684"/>
      <c r="EF56" s="684"/>
      <c r="EG56" s="684"/>
      <c r="EH56" s="684"/>
      <c r="EI56" s="491">
        <f t="shared" si="195"/>
        <v>66</v>
      </c>
      <c r="EJ56" s="491">
        <f t="shared" si="195"/>
        <v>66.320000000000007</v>
      </c>
      <c r="EK56" s="491">
        <f t="shared" si="195"/>
        <v>66.6464</v>
      </c>
      <c r="EL56" s="491">
        <f t="shared" si="195"/>
        <v>66.97932800000001</v>
      </c>
      <c r="EM56" s="491">
        <f t="shared" si="195"/>
        <v>67.31891456000001</v>
      </c>
      <c r="EN56" s="491">
        <f t="shared" si="195"/>
        <v>67.665292851200007</v>
      </c>
      <c r="EO56" s="491">
        <f t="shared" si="195"/>
        <v>68.018598708224005</v>
      </c>
      <c r="EP56" s="491">
        <f t="shared" si="195"/>
        <v>68.378970682388484</v>
      </c>
      <c r="EQ56" s="491">
        <f t="shared" si="195"/>
        <v>68.746550096036259</v>
      </c>
      <c r="ER56" s="491">
        <f t="shared" si="195"/>
        <v>69.121481097956973</v>
      </c>
      <c r="ES56" s="491">
        <f t="shared" si="195"/>
        <v>69.503910719916121</v>
      </c>
      <c r="ET56" s="541">
        <f t="shared" si="133"/>
        <v>67.699949701429261</v>
      </c>
      <c r="EU56" s="1450" cm="1">
        <f t="array" ref="EU56">(BH56*SUMPRODUCT($S56:$X56,TRANSPOSE(Assumptions!D$281:D$286)))*0.001</f>
        <v>0</v>
      </c>
      <c r="EV56" s="1450" cm="1">
        <f t="array" ref="EV56">(BI56*SUMPRODUCT($S56:$X56,TRANSPOSE(Assumptions!E$281:E$286)))*0.001</f>
        <v>0</v>
      </c>
      <c r="EW56" s="1450" cm="1">
        <f t="array" ref="EW56">(BJ56*SUMPRODUCT($S56:$X56,TRANSPOSE(Assumptions!F$281:F$286)))*0.001</f>
        <v>0</v>
      </c>
      <c r="EX56" s="1450" cm="1">
        <f t="array" ref="EX56">(BK56*SUMPRODUCT($S56:$X56,TRANSPOSE(Assumptions!G$281:G$286)))*0.001</f>
        <v>0</v>
      </c>
      <c r="EY56" s="1450" cm="1">
        <f t="array" ref="EY56">(BL56*SUMPRODUCT($S56:$X56,TRANSPOSE(Assumptions!H$281:H$286)))*0.001</f>
        <v>7.5536112707761727E-2</v>
      </c>
      <c r="EZ56" s="1450" cm="1">
        <f t="array" ref="EZ56">(BM56*SUMPRODUCT($S56:$X56,TRANSPOSE(Assumptions!I$281:I$286)))*0.001</f>
        <v>0.14959112516635167</v>
      </c>
      <c r="FA56" s="1450" cm="1">
        <f t="array" ref="FA56">(BN56*SUMPRODUCT($S56:$X56,TRANSPOSE(Assumptions!J$281:J$286)))*0.001</f>
        <v>0.22219407855712606</v>
      </c>
      <c r="FB56" s="1450" cm="1">
        <f t="array" ref="FB56">(BO56*SUMPRODUCT($S56:$X56,TRANSPOSE(Assumptions!K$281:K$286)))*0.001</f>
        <v>0.29337344462651277</v>
      </c>
      <c r="FC56" s="1450" cm="1">
        <f t="array" ref="FC56">(BP56*SUMPRODUCT($S56:$X56,TRANSPOSE(Assumptions!L$281:L$286)))*0.001</f>
        <v>0.36315713685140172</v>
      </c>
      <c r="FD56" s="1450" cm="1">
        <f t="array" ref="FD56">(BQ56*SUMPRODUCT($S56:$X56,TRANSPOSE(Assumptions!M$281:M$286)))*0.001</f>
        <v>0.43157252138560659</v>
      </c>
      <c r="FE56" s="1450" cm="1">
        <f t="array" ref="FE56">(BR56*SUMPRODUCT($S56:$X56,TRANSPOSE(Assumptions!N$281:N$286)))*0.001</f>
        <v>0.49864642779168977</v>
      </c>
      <c r="FF56" s="1450" cm="1">
        <f t="array" ref="FF56">(BS56*SUMPRODUCT($S56:$X56,TRANSPOSE(Assumptions!O$281:O$286)))*0.001</f>
        <v>0.56440515956235948</v>
      </c>
      <c r="FG56" s="1450" cm="1">
        <f t="array" ref="FG56">(BT56*SUMPRODUCT($S56:$X56,TRANSPOSE(Assumptions!P$281:P$286)))*0.001</f>
        <v>0.62887450443556525</v>
      </c>
      <c r="FH56" s="1450" cm="1">
        <f t="array" ref="FH56">(BU56*SUMPRODUCT($S56:$X56,TRANSPOSE(Assumptions!Q$281:Q$286)))*0.001</f>
        <v>0.69207974450733534</v>
      </c>
      <c r="FI56" s="1450" cm="1">
        <f t="array" ref="FI56">(BV56*SUMPRODUCT($S56:$X56,TRANSPOSE(Assumptions!R$281:R$286)))*0.001</f>
        <v>0.75528498457910564</v>
      </c>
      <c r="FJ56" s="666">
        <f t="shared" si="179"/>
        <v>0</v>
      </c>
      <c r="FK56" s="666">
        <f t="shared" si="180"/>
        <v>0</v>
      </c>
      <c r="FL56" s="666">
        <f t="shared" si="181"/>
        <v>0</v>
      </c>
      <c r="FM56" s="666">
        <f t="shared" si="182"/>
        <v>0</v>
      </c>
      <c r="FN56" s="666">
        <f t="shared" si="183"/>
        <v>65.924463887292234</v>
      </c>
      <c r="FO56" s="666">
        <f t="shared" si="184"/>
        <v>66.170408874833655</v>
      </c>
      <c r="FP56" s="666">
        <f t="shared" si="185"/>
        <v>66.424205921442876</v>
      </c>
      <c r="FQ56" s="666">
        <f t="shared" si="186"/>
        <v>66.685954555373499</v>
      </c>
      <c r="FR56" s="666">
        <f t="shared" si="187"/>
        <v>66.955757423148611</v>
      </c>
      <c r="FS56" s="666">
        <f t="shared" si="188"/>
        <v>67.233720329814403</v>
      </c>
      <c r="FT56" s="666">
        <f t="shared" si="144"/>
        <v>67.519952280432321</v>
      </c>
      <c r="FU56" s="666">
        <f t="shared" si="145"/>
        <v>67.814565522826129</v>
      </c>
      <c r="FV56" s="666">
        <f t="shared" si="146"/>
        <v>68.117675591600687</v>
      </c>
      <c r="FW56" s="666">
        <f t="shared" si="147"/>
        <v>68.429401353449634</v>
      </c>
      <c r="FX56" s="1883">
        <f t="shared" si="148"/>
        <v>68.748625735337015</v>
      </c>
      <c r="FY56" s="1895"/>
      <c r="FZ56" s="690"/>
      <c r="GA56" s="690"/>
      <c r="GB56" s="690"/>
      <c r="GC56" s="690"/>
      <c r="GD56" s="664">
        <f t="shared" si="149"/>
        <v>2833.3333333333335</v>
      </c>
      <c r="GE56" s="664">
        <f t="shared" si="150"/>
        <v>2890.0000000000005</v>
      </c>
      <c r="GF56" s="664">
        <f t="shared" si="151"/>
        <v>2947.8000000000006</v>
      </c>
      <c r="GG56" s="664">
        <f t="shared" si="152"/>
        <v>3006.7560000000008</v>
      </c>
      <c r="GH56" s="664">
        <f t="shared" si="153"/>
        <v>3066.8911200000011</v>
      </c>
      <c r="GI56" s="664">
        <f t="shared" si="154"/>
        <v>3128.228942400001</v>
      </c>
      <c r="GJ56" s="664">
        <f t="shared" si="155"/>
        <v>3190.7935212480011</v>
      </c>
      <c r="GK56" s="664">
        <f t="shared" si="156"/>
        <v>3254.6093916729615</v>
      </c>
      <c r="GL56" s="664">
        <f t="shared" si="157"/>
        <v>3319.7015795064203</v>
      </c>
      <c r="GM56" s="664">
        <f t="shared" si="158"/>
        <v>3386.095611096549</v>
      </c>
      <c r="GN56" s="1861">
        <f t="shared" si="159"/>
        <v>3453.8175233184797</v>
      </c>
      <c r="GO56" s="1910"/>
      <c r="GP56" s="1868">
        <f>BH56*INDEX(Assumptions!G$565:G$570,MATCH($B56,Assumptions!$B$565:$B$570,0))</f>
        <v>0</v>
      </c>
      <c r="GQ56" s="656">
        <f>BI56*INDEX(Assumptions!H$565:H$570,MATCH($B56,Assumptions!$B$565:$B$570,0))</f>
        <v>0</v>
      </c>
      <c r="GR56" s="656">
        <f>BJ56*INDEX(Assumptions!I$565:I$570,MATCH($B56,Assumptions!$B$565:$B$570,0))</f>
        <v>0</v>
      </c>
      <c r="GS56" s="656">
        <f>BK56*INDEX(Assumptions!J$565:J$570,MATCH($B56,Assumptions!$B$565:$B$570,0))</f>
        <v>0</v>
      </c>
      <c r="GT56" s="656">
        <f>BL56*INDEX(Assumptions!K$565:K$570,MATCH($B56,Assumptions!$B$565:$B$570,0))</f>
        <v>9.9252591610362693</v>
      </c>
      <c r="GU56" s="656">
        <f>BM56*INDEX(Assumptions!L$565:L$570,MATCH($B56,Assumptions!$B$565:$B$570,0))</f>
        <v>18.947625341211047</v>
      </c>
      <c r="GV56" s="656">
        <f>BN56*INDEX(Assumptions!M$565:M$570,MATCH($B56,Assumptions!$B$565:$B$570,0))</f>
        <v>27.100040185045938</v>
      </c>
      <c r="GW56" s="656">
        <f>BO56*INDEX(Assumptions!N$565:N$570,MATCH($B56,Assumptions!$B$565:$B$570,0))</f>
        <v>34.412688625020571</v>
      </c>
      <c r="GX56" s="656">
        <f>BP56*INDEX(Assumptions!O$565:O$570,MATCH($B56,Assumptions!$B$565:$B$570,0))</f>
        <v>40.91535190213893</v>
      </c>
      <c r="GY56" s="656">
        <f>BQ56*INDEX(Assumptions!P$565:P$570,MATCH($B56,Assumptions!$B$565:$B$570,0))</f>
        <v>44.716935469370377</v>
      </c>
      <c r="GZ56" s="656">
        <f>BR56*INDEX(Assumptions!Q$565:Q$570,MATCH($B56,Assumptions!$B$565:$B$570,0))</f>
        <v>18.054184862635672</v>
      </c>
      <c r="HA56" s="656">
        <f>BS56*INDEX(Assumptions!R$565:R$570,MATCH($B56,Assumptions!$B$565:$B$570,0))</f>
        <v>83.590068825620406</v>
      </c>
      <c r="HB56" s="656">
        <f>BT56*INDEX(Assumptions!S$565:S$570,MATCH($B56,Assumptions!$B$565:$B$570,0))</f>
        <v>93.138168951552203</v>
      </c>
      <c r="HC56" s="656">
        <f>BU56*INDEX(Assumptions!T$565:T$570,MATCH($B56,Assumptions!$B$565:$B$570,0))</f>
        <v>99.420058180902018</v>
      </c>
      <c r="HD56" s="1922">
        <f>BV56*INDEX(Assumptions!U$565:U$570,MATCH($B56,Assumptions!$B$565:$B$570,0))</f>
        <v>105.13955988510347</v>
      </c>
      <c r="HE56" s="1933"/>
      <c r="HF56" s="1930">
        <f t="shared" si="160"/>
        <v>0</v>
      </c>
      <c r="HG56" s="869">
        <f t="shared" si="161"/>
        <v>0</v>
      </c>
      <c r="HH56" s="869">
        <f t="shared" si="162"/>
        <v>0</v>
      </c>
      <c r="HI56" s="869">
        <f t="shared" si="163"/>
        <v>0</v>
      </c>
      <c r="HJ56" s="869">
        <f t="shared" si="164"/>
        <v>0.4</v>
      </c>
      <c r="HK56" s="869">
        <f t="shared" si="165"/>
        <v>0.39215686274509809</v>
      </c>
      <c r="HL56" s="869">
        <f t="shared" si="166"/>
        <v>0.38446751249519406</v>
      </c>
      <c r="HM56" s="869">
        <f t="shared" si="167"/>
        <v>0.3769289338188177</v>
      </c>
      <c r="HN56" s="869">
        <f t="shared" si="168"/>
        <v>0.36953817041060572</v>
      </c>
      <c r="HO56" s="869">
        <f t="shared" si="169"/>
        <v>0.36229232393196636</v>
      </c>
      <c r="HP56" s="869">
        <f t="shared" si="170"/>
        <v>0.35518855287447682</v>
      </c>
      <c r="HQ56" s="869">
        <f t="shared" si="171"/>
        <v>0.34822407144556555</v>
      </c>
      <c r="HR56" s="869">
        <f t="shared" si="172"/>
        <v>0.3413961484760446</v>
      </c>
      <c r="HS56" s="869">
        <f t="shared" si="173"/>
        <v>0.33470210634906328</v>
      </c>
      <c r="HT56" s="869">
        <f t="shared" si="174"/>
        <v>0.33470210634906328</v>
      </c>
      <c r="HU56" s="528">
        <f t="shared" si="189"/>
        <v>0.36359970808144504</v>
      </c>
      <c r="HV56" s="499">
        <f>_xlfn.XLOOKUP(D56,TalTech!B:B,TalTech!J:J)+_xlfn.XLOOKUP(D56,TalTech!B:B,TalTech!K:K)</f>
        <v>54</v>
      </c>
      <c r="HW56" s="1937">
        <f>HJ56/(Assumptions!$C$790/1000000)</f>
        <v>2.1099828563892919E-2</v>
      </c>
      <c r="HX56" s="1945"/>
      <c r="HY56" s="1942">
        <v>2025</v>
      </c>
      <c r="HZ56" s="691">
        <v>2030</v>
      </c>
      <c r="IA56" s="683" t="s">
        <v>733</v>
      </c>
      <c r="IB56" s="683" t="s">
        <v>757</v>
      </c>
      <c r="IC56" s="694"/>
      <c r="ID56" s="1376" t="s">
        <v>747</v>
      </c>
      <c r="IE56" s="1968"/>
      <c r="IF56" s="1963">
        <v>0</v>
      </c>
      <c r="IG56" s="538">
        <v>0.2</v>
      </c>
      <c r="IH56" s="538">
        <v>0.5</v>
      </c>
      <c r="II56" s="538">
        <v>0.5</v>
      </c>
      <c r="IJ56" s="538">
        <v>0.5</v>
      </c>
      <c r="IK56" s="1281">
        <v>1</v>
      </c>
      <c r="IL56" s="1284">
        <v>1</v>
      </c>
      <c r="IM56" s="1278" t="s">
        <v>743</v>
      </c>
    </row>
    <row r="57" spans="2:256" ht="27.75" thickBot="1" x14ac:dyDescent="0.35">
      <c r="B57" s="1703" t="s">
        <v>52</v>
      </c>
      <c r="C57" s="2113"/>
      <c r="D57" s="679" t="s">
        <v>776</v>
      </c>
      <c r="E57" s="1784" t="s">
        <v>777</v>
      </c>
      <c r="F57" s="1806"/>
      <c r="G57" s="1798"/>
      <c r="H57" s="687"/>
      <c r="I57" s="1126"/>
      <c r="J57" s="687" t="s">
        <v>563</v>
      </c>
      <c r="K57" s="1127" t="s">
        <v>725</v>
      </c>
      <c r="L57" s="1176" t="s">
        <v>719</v>
      </c>
      <c r="M57" s="1827"/>
      <c r="N57" s="1825"/>
      <c r="O57" s="1201"/>
      <c r="P57" s="1200">
        <v>1</v>
      </c>
      <c r="Q57" s="1201"/>
      <c r="R57" s="1201"/>
      <c r="S57" s="1445"/>
      <c r="T57" s="1445"/>
      <c r="U57" s="1445"/>
      <c r="V57" s="1445"/>
      <c r="W57" s="1445">
        <f>_xlfn.XLOOKUP(D57,TalTech!$B$4:$B$46,TalTech!$AZ$4:$AZ$46)</f>
        <v>0.53642384105960261</v>
      </c>
      <c r="X57" s="1445">
        <f t="shared" si="175"/>
        <v>0.46357615894039739</v>
      </c>
      <c r="Y57" s="1247" cm="1">
        <f t="array" ref="Y57:AC57">TRANSPOSE(_xlfn.ANCHORARRAY(Assumptions!$H$668))</f>
        <v>0.28487054651199106</v>
      </c>
      <c r="Z57" s="1247">
        <v>0.22102001228428755</v>
      </c>
      <c r="AA57" s="1247">
        <v>4.8710323312732284E-2</v>
      </c>
      <c r="AB57" s="1247">
        <v>0.29755737005201738</v>
      </c>
      <c r="AC57" s="1247">
        <v>0.14784174783897172</v>
      </c>
      <c r="AD57" s="1201"/>
      <c r="AE57" s="1201"/>
      <c r="AF57" s="1201"/>
      <c r="AG57" s="1248">
        <v>1</v>
      </c>
      <c r="AH57" s="1248"/>
      <c r="AI57" s="1248">
        <v>1</v>
      </c>
      <c r="AJ57" s="1201"/>
      <c r="AK57" s="1417">
        <f t="shared" si="176"/>
        <v>0.28260582882764079</v>
      </c>
      <c r="AL57" s="1243">
        <f>Assumptions!L$780</f>
        <v>6.2270869049188979E-2</v>
      </c>
      <c r="AM57" s="1243">
        <f>Assumptions!M$780</f>
        <v>0.2203349597784518</v>
      </c>
      <c r="AN57" s="1243">
        <f>Assumptions!N$780</f>
        <v>0.71739417117235926</v>
      </c>
      <c r="AO57" s="1222"/>
      <c r="AP57" s="1850"/>
      <c r="AQ57" s="1843">
        <v>129.6</v>
      </c>
      <c r="AR57" s="1249"/>
      <c r="AS57" s="1249"/>
      <c r="AT57" s="1249"/>
      <c r="AU57" s="1249"/>
      <c r="AV57" s="657">
        <f>_xlfn.XLOOKUP($D57,TalTech!$B$4:$B$46,TalTech!BB$4:BB$46)</f>
        <v>30.2</v>
      </c>
      <c r="AW57" s="657">
        <f>_xlfn.XLOOKUP($D57,TalTech!$B$4:$B$46,TalTech!BC$4:BC$46)</f>
        <v>30.2</v>
      </c>
      <c r="AX57" s="657">
        <f>_xlfn.XLOOKUP($D57,TalTech!$B$4:$B$46,TalTech!BD$4:BD$46)</f>
        <v>30.2</v>
      </c>
      <c r="AY57" s="657">
        <f>_xlfn.XLOOKUP($D57,TalTech!$B$4:$B$46,TalTech!BE$4:BE$46)</f>
        <v>30.2</v>
      </c>
      <c r="AZ57" s="657">
        <f>_xlfn.XLOOKUP($D57,TalTech!$B$4:$B$46,TalTech!BF$4:BF$46)</f>
        <v>30.2</v>
      </c>
      <c r="BA57" s="657">
        <f>_xlfn.XLOOKUP($D57,TalTech!$B$4:$B$46,TalTech!BG$4:BG$46)</f>
        <v>30.2</v>
      </c>
      <c r="BB57" s="657">
        <f>_xlfn.XLOOKUP($D57,TalTech!$B$4:$B$46,TalTech!BH$4:BH$46)</f>
        <v>30.2</v>
      </c>
      <c r="BC57" s="657">
        <f>_xlfn.XLOOKUP($D57,TalTech!$B$4:$B$46,TalTech!BI$4:BI$46)</f>
        <v>30.2</v>
      </c>
      <c r="BD57" s="657">
        <f>_xlfn.XLOOKUP($D57,TalTech!$B$4:$B$46,TalTech!BJ$4:BJ$46)</f>
        <v>30.2</v>
      </c>
      <c r="BE57" s="657">
        <f>_xlfn.XLOOKUP($D57,TalTech!$B$4:$B$46,TalTech!BK$4:BK$46)</f>
        <v>30.2</v>
      </c>
      <c r="BF57" s="657">
        <f>_xlfn.XLOOKUP($D57,TalTech!$B$4:$B$46,TalTech!BL$4:BL$46)</f>
        <v>30.2</v>
      </c>
      <c r="BG57" s="501">
        <f t="shared" si="177"/>
        <v>30.199999999999992</v>
      </c>
      <c r="BH57" s="893">
        <f t="shared" si="111"/>
        <v>0</v>
      </c>
      <c r="BI57" s="658">
        <f t="shared" si="112"/>
        <v>0</v>
      </c>
      <c r="BJ57" s="658">
        <f t="shared" si="113"/>
        <v>0</v>
      </c>
      <c r="BK57" s="658">
        <f t="shared" si="114"/>
        <v>0</v>
      </c>
      <c r="BL57" s="658">
        <f t="shared" si="115"/>
        <v>30.2</v>
      </c>
      <c r="BM57" s="658">
        <f t="shared" si="116"/>
        <v>60.4</v>
      </c>
      <c r="BN57" s="658">
        <f t="shared" si="117"/>
        <v>90.6</v>
      </c>
      <c r="BO57" s="658">
        <f t="shared" si="118"/>
        <v>120.8</v>
      </c>
      <c r="BP57" s="658">
        <f t="shared" si="119"/>
        <v>151</v>
      </c>
      <c r="BQ57" s="658">
        <f t="shared" si="120"/>
        <v>181.2</v>
      </c>
      <c r="BR57" s="658">
        <f t="shared" si="121"/>
        <v>211.39999999999998</v>
      </c>
      <c r="BS57" s="658">
        <f t="shared" si="122"/>
        <v>241.59999999999997</v>
      </c>
      <c r="BT57" s="658">
        <f t="shared" si="123"/>
        <v>271.79999999999995</v>
      </c>
      <c r="BU57" s="658">
        <f t="shared" si="124"/>
        <v>301.99999999999994</v>
      </c>
      <c r="BV57" s="1851">
        <f t="shared" si="125"/>
        <v>332.19999999999993</v>
      </c>
      <c r="BW57" s="1661"/>
      <c r="BX57" s="1855">
        <v>1892.4362889600002</v>
      </c>
      <c r="BY57" s="1192">
        <f t="shared" si="126"/>
        <v>2433.6886432098768</v>
      </c>
      <c r="BZ57" s="1249"/>
      <c r="CA57" s="1249"/>
      <c r="CB57" s="1249"/>
      <c r="CC57" s="1249"/>
      <c r="CD57" s="1250">
        <f>_xlfn.XLOOKUP($D57,TalTech!$B$4:$B$46,TalTech!BM$4:BM$46)</f>
        <v>69.907407407407405</v>
      </c>
      <c r="CE57" s="1250">
        <f>_xlfn.XLOOKUP($D57,TalTech!$B$4:$B$46,TalTech!BN$4:BN$46)</f>
        <v>71.305555555555557</v>
      </c>
      <c r="CF57" s="1250">
        <f>_xlfn.XLOOKUP($D57,TalTech!$B$4:$B$46,TalTech!BO$4:BO$46)</f>
        <v>72.731666666666669</v>
      </c>
      <c r="CG57" s="1250">
        <f>_xlfn.XLOOKUP($D57,TalTech!$B$4:$B$46,TalTech!BP$4:BP$46)</f>
        <v>74.186300000000003</v>
      </c>
      <c r="CH57" s="1250">
        <f>_xlfn.XLOOKUP($D57,TalTech!$B$4:$B$46,TalTech!BQ$4:BQ$46)</f>
        <v>75.670026000000007</v>
      </c>
      <c r="CI57" s="1250">
        <f>_xlfn.XLOOKUP($D57,TalTech!$B$4:$B$46,TalTech!BR$4:BR$46)</f>
        <v>77.183426520000012</v>
      </c>
      <c r="CJ57" s="1250">
        <f>_xlfn.XLOOKUP($D57,TalTech!$B$4:$B$46,TalTech!BS$4:BS$46)</f>
        <v>78.72709505040001</v>
      </c>
      <c r="CK57" s="1250">
        <f>_xlfn.XLOOKUP($D57,TalTech!$B$4:$B$46,TalTech!BT$4:BT$46)</f>
        <v>80.301636951408014</v>
      </c>
      <c r="CL57" s="1250">
        <f>_xlfn.XLOOKUP($D57,TalTech!$B$4:$B$46,TalTech!BU$4:BU$46)</f>
        <v>81.90766969043618</v>
      </c>
      <c r="CM57" s="1250">
        <f>_xlfn.XLOOKUP($D57,TalTech!$B$4:$B$46,TalTech!BV$4:BV$46)</f>
        <v>83.545823084244901</v>
      </c>
      <c r="CN57" s="1250">
        <f>_xlfn.XLOOKUP($D57,TalTech!$B$4:$B$46,TalTech!BW$4:BW$46)</f>
        <v>85.216739545929798</v>
      </c>
      <c r="CO57" s="493">
        <f t="shared" si="178"/>
        <v>77.334849679277141</v>
      </c>
      <c r="CP57" s="1251">
        <f t="shared" si="127"/>
        <v>440.98438214962965</v>
      </c>
      <c r="CQ57" s="1252">
        <f>_xlfn.XLOOKUP($D57,TalTech!$B$4:$B$46,TalTech!$H$4:$H$46)</f>
        <v>0</v>
      </c>
      <c r="CR57" s="1128">
        <f t="shared" si="128"/>
        <v>1</v>
      </c>
      <c r="CS57" s="1253" t="str">
        <v>Building owners</v>
      </c>
      <c r="CT57" s="1864">
        <f t="shared" si="129"/>
        <v>73.49739702493828</v>
      </c>
      <c r="CU57" s="1873"/>
      <c r="CV57" s="1871">
        <f>BH57*Assumptions!D$497</f>
        <v>0</v>
      </c>
      <c r="CW57" s="1250">
        <f>BI57*Assumptions!E$497</f>
        <v>0</v>
      </c>
      <c r="CX57" s="1250">
        <f>BJ57*Assumptions!F$497</f>
        <v>0</v>
      </c>
      <c r="CY57" s="1250">
        <f>BK57*Assumptions!G$497</f>
        <v>0</v>
      </c>
      <c r="CZ57" s="1250">
        <f>BL57*Assumptions!H$497</f>
        <v>2.4860137734440388</v>
      </c>
      <c r="DA57" s="1250">
        <f>BM57*Assumptions!I$497</f>
        <v>5.1128672380923872</v>
      </c>
      <c r="DB57" s="1250">
        <f>BN57*Assumptions!J$497</f>
        <v>7.8869130233039471</v>
      </c>
      <c r="DC57" s="1250">
        <f>BO57*Assumptions!K$497</f>
        <v>10.8146489069452</v>
      </c>
      <c r="DD57" s="1250">
        <f>BP57*Assumptions!L$497</f>
        <v>13.902857063756446</v>
      </c>
      <c r="DE57" s="1250">
        <f>BQ57*Assumptions!M$497</f>
        <v>17.158587740436882</v>
      </c>
      <c r="DF57" s="1250">
        <f>BR57*Assumptions!N$497</f>
        <v>20.596627129014934</v>
      </c>
      <c r="DG57" s="1250">
        <f>BS57*Assumptions!O$497</f>
        <v>24.219714442447991</v>
      </c>
      <c r="DH57" s="1250">
        <f>BT57*Assumptions!P$497</f>
        <v>28.035953788516537</v>
      </c>
      <c r="DI57" s="1250">
        <f>BU57*Assumptions!Q$497</f>
        <v>32.053768978335519</v>
      </c>
      <c r="DJ57" s="1250">
        <f>BV57*Assumptions!R$497</f>
        <v>36.281915414857387</v>
      </c>
      <c r="DK57" s="657">
        <f>BH57*Assumptions!D$504</f>
        <v>0</v>
      </c>
      <c r="DL57" s="657">
        <f>BI57*Assumptions!E$504</f>
        <v>0</v>
      </c>
      <c r="DM57" s="657">
        <f>BJ57*Assumptions!F$504</f>
        <v>0</v>
      </c>
      <c r="DN57" s="657">
        <f>BK57*Assumptions!G$504</f>
        <v>0</v>
      </c>
      <c r="DO57" s="657">
        <f>BL57*Assumptions!H$504</f>
        <v>2.5293172540526134</v>
      </c>
      <c r="DP57" s="657">
        <f>BM57*Assumptions!I$504</f>
        <v>5.2009407004336312</v>
      </c>
      <c r="DQ57" s="657">
        <f>BN57*Assumptions!J$504</f>
        <v>8.0211885973679156</v>
      </c>
      <c r="DR57" s="657">
        <f>BO57*Assumptions!K$504</f>
        <v>10.996607859070878</v>
      </c>
      <c r="DS57" s="657">
        <f>BP57*Assumptions!L$504</f>
        <v>14.134009208497945</v>
      </c>
      <c r="DT57" s="657">
        <f>BQ57*Assumptions!M$504</f>
        <v>17.440471659674866</v>
      </c>
      <c r="DU57" s="657">
        <f>BR57*Assumptions!N$504</f>
        <v>20.930681612507964</v>
      </c>
      <c r="DV57" s="657">
        <f>BS57*Assumptions!O$504</f>
        <v>24.607486777016369</v>
      </c>
      <c r="DW57" s="657">
        <f>BT57*Assumptions!P$504</f>
        <v>28.479015475637073</v>
      </c>
      <c r="DX57" s="657">
        <f>BU57*Assumptions!Q$504</f>
        <v>32.553715737717248</v>
      </c>
      <c r="DY57" s="657">
        <f>BV57*Assumptions!R$504</f>
        <v>36.840367180071716</v>
      </c>
      <c r="DZ57" s="678">
        <v>0</v>
      </c>
      <c r="EA57" s="1131">
        <f t="shared" si="130"/>
        <v>1</v>
      </c>
      <c r="EB57" s="1876">
        <f t="shared" si="131"/>
        <v>5.7361887745978901</v>
      </c>
      <c r="EC57" s="1882"/>
      <c r="ED57" s="1880">
        <v>0</v>
      </c>
      <c r="EE57" s="1254"/>
      <c r="EF57" s="1254"/>
      <c r="EG57" s="1254"/>
      <c r="EH57" s="1254"/>
      <c r="EI57" s="1203">
        <f t="shared" ref="EI57:EI69" si="196">(CD57*0.32*$CR57)</f>
        <v>22.37037037037037</v>
      </c>
      <c r="EJ57" s="1203">
        <f t="shared" ref="EJ57:EJ69" si="197">(CE57*0.32*$CR57)</f>
        <v>22.817777777777778</v>
      </c>
      <c r="EK57" s="1203">
        <f t="shared" ref="EK57:EK69" si="198">(CF57*0.32*$CR57)</f>
        <v>23.274133333333335</v>
      </c>
      <c r="EL57" s="1203">
        <f t="shared" ref="EL57:EL69" si="199">(CG57*0.32*$CR57)</f>
        <v>23.739616000000002</v>
      </c>
      <c r="EM57" s="1203">
        <f t="shared" ref="EM57:EM69" si="200">(CH57*0.32*$CR57)</f>
        <v>24.214408320000004</v>
      </c>
      <c r="EN57" s="1203">
        <f t="shared" ref="EN57:EN69" si="201">(CI57*0.32*$CR57)</f>
        <v>24.698696486400003</v>
      </c>
      <c r="EO57" s="1203">
        <f t="shared" ref="EO57:EO69" si="202">(CJ57*0.32*$CR57)</f>
        <v>25.192670416128003</v>
      </c>
      <c r="EP57" s="1203">
        <f t="shared" ref="EP57:EP69" si="203">(CK57*0.32*$CR57)</f>
        <v>25.696523824450566</v>
      </c>
      <c r="EQ57" s="1203">
        <f t="shared" ref="EQ57:EQ69" si="204">(CL57*0.32*$CR57)</f>
        <v>26.210454300939578</v>
      </c>
      <c r="ER57" s="1203">
        <f t="shared" ref="ER57:ER69" si="205">(CM57*0.32*$CR57)</f>
        <v>26.734663386958371</v>
      </c>
      <c r="ES57" s="1203">
        <f t="shared" ref="ES57:ES69" si="206">(CN57*0.32*$CR57)</f>
        <v>27.269356654697535</v>
      </c>
      <c r="ET57" s="541">
        <f t="shared" si="133"/>
        <v>24.747151897368688</v>
      </c>
      <c r="EU57" s="1450" cm="1">
        <f t="array" ref="EU57">(BH57*SUMPRODUCT($S57:$X57,TRANSPOSE(Assumptions!D$281:D$286)))*0.001</f>
        <v>0</v>
      </c>
      <c r="EV57" s="1450" cm="1">
        <f t="array" ref="EV57">(BI57*SUMPRODUCT($S57:$X57,TRANSPOSE(Assumptions!E$281:E$286)))*0.001</f>
        <v>0</v>
      </c>
      <c r="EW57" s="1450" cm="1">
        <f t="array" ref="EW57">(BJ57*SUMPRODUCT($S57:$X57,TRANSPOSE(Assumptions!F$281:F$286)))*0.001</f>
        <v>0</v>
      </c>
      <c r="EX57" s="1450" cm="1">
        <f t="array" ref="EX57">(BK57*SUMPRODUCT($S57:$X57,TRANSPOSE(Assumptions!G$281:G$286)))*0.001</f>
        <v>0</v>
      </c>
      <c r="EY57" s="1450" cm="1">
        <f t="array" ref="EY57">(BL57*SUMPRODUCT($S57:$X57,TRANSPOSE(Assumptions!H$281:H$286)))*0.001</f>
        <v>0.10564422636773621</v>
      </c>
      <c r="EZ57" s="1450" cm="1">
        <f t="array" ref="EZ57">(BM57*SUMPRODUCT($S57:$X57,TRANSPOSE(Assumptions!I$281:I$286)))*0.001</f>
        <v>0.21128845273547242</v>
      </c>
      <c r="FA57" s="1450" cm="1">
        <f t="array" ref="FA57">(BN57*SUMPRODUCT($S57:$X57,TRANSPOSE(Assumptions!J$281:J$286)))*0.001</f>
        <v>0.3169326791032086</v>
      </c>
      <c r="FB57" s="1450" cm="1">
        <f t="array" ref="FB57">(BO57*SUMPRODUCT($S57:$X57,TRANSPOSE(Assumptions!K$281:K$286)))*0.001</f>
        <v>0.42257690547094484</v>
      </c>
      <c r="FC57" s="1450" cm="1">
        <f t="array" ref="FC57">(BP57*SUMPRODUCT($S57:$X57,TRANSPOSE(Assumptions!L$281:L$286)))*0.001</f>
        <v>0.52822113183868102</v>
      </c>
      <c r="FD57" s="1450" cm="1">
        <f t="array" ref="FD57">(BQ57*SUMPRODUCT($S57:$X57,TRANSPOSE(Assumptions!M$281:M$286)))*0.001</f>
        <v>0.63386535820641721</v>
      </c>
      <c r="FE57" s="1450" cm="1">
        <f t="array" ref="FE57">(BR57*SUMPRODUCT($S57:$X57,TRANSPOSE(Assumptions!N$281:N$286)))*0.001</f>
        <v>0.73950958457415339</v>
      </c>
      <c r="FF57" s="1450" cm="1">
        <f t="array" ref="FF57">(BS57*SUMPRODUCT($S57:$X57,TRANSPOSE(Assumptions!O$281:O$286)))*0.001</f>
        <v>0.84515381094188957</v>
      </c>
      <c r="FG57" s="1450" cm="1">
        <f t="array" ref="FG57">(BT57*SUMPRODUCT($S57:$X57,TRANSPOSE(Assumptions!P$281:P$286)))*0.001</f>
        <v>0.95079803730962564</v>
      </c>
      <c r="FH57" s="1450" cm="1">
        <f t="array" ref="FH57">(BU57*SUMPRODUCT($S57:$X57,TRANSPOSE(Assumptions!Q$281:Q$286)))*0.001</f>
        <v>1.0564422636773618</v>
      </c>
      <c r="FI57" s="1450" cm="1">
        <f t="array" ref="FI57">(BV57*SUMPRODUCT($S57:$X57,TRANSPOSE(Assumptions!R$281:R$286)))*0.001</f>
        <v>1.1620864900450982</v>
      </c>
      <c r="FJ57" s="1133">
        <f t="shared" ref="FJ57:FJ86" si="207">EE57-EU57</f>
        <v>0</v>
      </c>
      <c r="FK57" s="1133">
        <f t="shared" ref="FK57:FK86" si="208">EF57-EV57</f>
        <v>0</v>
      </c>
      <c r="FL57" s="1133">
        <f t="shared" ref="FL57:FL86" si="209">EG57-EW57</f>
        <v>0</v>
      </c>
      <c r="FM57" s="1133">
        <f t="shared" ref="FM57:FM86" si="210">EH57-EX57</f>
        <v>0</v>
      </c>
      <c r="FN57" s="1133">
        <f t="shared" ref="FN57:FN86" si="211">EI57-EY57</f>
        <v>22.264726144002633</v>
      </c>
      <c r="FO57" s="1133">
        <f t="shared" ref="FO57:FO86" si="212">EJ57-EZ57</f>
        <v>22.606489325042304</v>
      </c>
      <c r="FP57" s="1133">
        <f t="shared" ref="FP57:FP86" si="213">EK57-FA57</f>
        <v>22.957200654230128</v>
      </c>
      <c r="FQ57" s="1133">
        <f t="shared" ref="FQ57:FQ86" si="214">EL57-FB57</f>
        <v>23.317039094529058</v>
      </c>
      <c r="FR57" s="1133">
        <f t="shared" ref="FR57:FR86" si="215">EM57-FC57</f>
        <v>23.686187188161323</v>
      </c>
      <c r="FS57" s="1133">
        <f t="shared" ref="FS57:FS86" si="216">EN57-FD57</f>
        <v>24.064831128193585</v>
      </c>
      <c r="FT57" s="1133">
        <f t="shared" si="144"/>
        <v>24.453160831553848</v>
      </c>
      <c r="FU57" s="1133">
        <f t="shared" si="145"/>
        <v>24.851370013508674</v>
      </c>
      <c r="FV57" s="1133">
        <f t="shared" si="146"/>
        <v>25.259656263629953</v>
      </c>
      <c r="FW57" s="1133">
        <f t="shared" si="147"/>
        <v>25.678221123281009</v>
      </c>
      <c r="FX57" s="1886">
        <f t="shared" si="148"/>
        <v>26.107270164652437</v>
      </c>
      <c r="FY57" s="1896"/>
      <c r="FZ57" s="1255"/>
      <c r="GA57" s="1255"/>
      <c r="GB57" s="1255"/>
      <c r="GC57" s="1255"/>
      <c r="GD57" s="664">
        <f t="shared" si="149"/>
        <v>1188.4259259259259</v>
      </c>
      <c r="GE57" s="664">
        <f t="shared" si="150"/>
        <v>1212.1944444444446</v>
      </c>
      <c r="GF57" s="664">
        <f t="shared" si="151"/>
        <v>1236.4383333333333</v>
      </c>
      <c r="GG57" s="664">
        <f t="shared" si="152"/>
        <v>1261.1671000000001</v>
      </c>
      <c r="GH57" s="664">
        <f t="shared" si="153"/>
        <v>1286.3904420000001</v>
      </c>
      <c r="GI57" s="664">
        <f t="shared" si="154"/>
        <v>1312.1182508400002</v>
      </c>
      <c r="GJ57" s="664">
        <f t="shared" si="155"/>
        <v>1338.3606158568002</v>
      </c>
      <c r="GK57" s="664">
        <f t="shared" si="156"/>
        <v>1365.1278281739362</v>
      </c>
      <c r="GL57" s="664">
        <f t="shared" si="157"/>
        <v>1392.4303847374151</v>
      </c>
      <c r="GM57" s="664">
        <f t="shared" si="158"/>
        <v>1420.2789924321632</v>
      </c>
      <c r="GN57" s="1861">
        <f t="shared" si="159"/>
        <v>1448.6845722808066</v>
      </c>
      <c r="GO57" s="1910"/>
      <c r="GP57" s="1908">
        <f>BH57*INDEX(Assumptions!G$565:G$570,MATCH($B57,Assumptions!$B$565:$B$570,0))</f>
        <v>0</v>
      </c>
      <c r="GQ57" s="1132">
        <f>BI57*INDEX(Assumptions!H$565:H$570,MATCH($B57,Assumptions!$B$565:$B$570,0))</f>
        <v>0</v>
      </c>
      <c r="GR57" s="1132">
        <f>BJ57*INDEX(Assumptions!I$565:I$570,MATCH($B57,Assumptions!$B$565:$B$570,0))</f>
        <v>0</v>
      </c>
      <c r="GS57" s="1132">
        <f>BK57*INDEX(Assumptions!J$565:J$570,MATCH($B57,Assumptions!$B$565:$B$570,0))</f>
        <v>0</v>
      </c>
      <c r="GT57" s="1132">
        <f>BL57*INDEX(Assumptions!K$565:K$570,MATCH($B57,Assumptions!$B$565:$B$570,0))</f>
        <v>13.8769827158933</v>
      </c>
      <c r="GU57" s="1132">
        <f>BM57*INDEX(Assumptions!L$565:L$570,MATCH($B57,Assumptions!$B$565:$B$570,0))</f>
        <v>26.753880226011415</v>
      </c>
      <c r="GV57" s="1132">
        <f>BN57*INDEX(Assumptions!M$565:M$570,MATCH($B57,Assumptions!$B$565:$B$570,0))</f>
        <v>38.642617096955284</v>
      </c>
      <c r="GW57" s="1132">
        <f>BO57*INDEX(Assumptions!N$565:N$570,MATCH($B57,Assumptions!$B$565:$B$570,0))</f>
        <v>49.552505568552149</v>
      </c>
      <c r="GX57" s="1132">
        <f>BP57*INDEX(Assumptions!O$565:O$570,MATCH($B57,Assumptions!$B$565:$B$570,0))</f>
        <v>59.493502106909219</v>
      </c>
      <c r="GY57" s="1132">
        <f>BQ57*INDEX(Assumptions!P$565:P$570,MATCH($B57,Assumptions!$B$565:$B$570,0))</f>
        <v>65.656438545824415</v>
      </c>
      <c r="GZ57" s="1132">
        <f>BR57*INDEX(Assumptions!Q$565:Q$570,MATCH($B57,Assumptions!$B$565:$B$570,0))</f>
        <v>26.766466066215113</v>
      </c>
      <c r="HA57" s="1132">
        <f>BS57*INDEX(Assumptions!R$565:R$570,MATCH($B57,Assumptions!$B$565:$B$570,0))</f>
        <v>125.1300210057653</v>
      </c>
      <c r="HB57" s="1132">
        <f>BT57*INDEX(Assumptions!S$565:S$570,MATCH($B57,Assumptions!$B$565:$B$570,0))</f>
        <v>140.77127363148597</v>
      </c>
      <c r="HC57" s="1132">
        <f>BU57*INDEX(Assumptions!T$565:T$570,MATCH($B57,Assumptions!$B$565:$B$570,0))</f>
        <v>151.71401338912335</v>
      </c>
      <c r="HD57" s="1925">
        <f>BV57*INDEX(Assumptions!U$565:U$570,MATCH($B57,Assumptions!$B$565:$B$570,0))</f>
        <v>161.71705057314409</v>
      </c>
      <c r="HE57" s="1934"/>
      <c r="HF57" s="1931">
        <f t="shared" si="160"/>
        <v>0</v>
      </c>
      <c r="HG57" s="1256">
        <f t="shared" si="161"/>
        <v>0</v>
      </c>
      <c r="HH57" s="1256">
        <f t="shared" si="162"/>
        <v>0</v>
      </c>
      <c r="HI57" s="1256">
        <f t="shared" si="163"/>
        <v>0</v>
      </c>
      <c r="HJ57" s="1256">
        <f t="shared" si="164"/>
        <v>0.55925925925925923</v>
      </c>
      <c r="HK57" s="1256">
        <f t="shared" si="165"/>
        <v>0.55925925925925923</v>
      </c>
      <c r="HL57" s="1256">
        <f t="shared" si="166"/>
        <v>0.55925925925925923</v>
      </c>
      <c r="HM57" s="1256">
        <f t="shared" si="167"/>
        <v>0.55925925925925923</v>
      </c>
      <c r="HN57" s="1256">
        <f t="shared" si="168"/>
        <v>0.55925925925925923</v>
      </c>
      <c r="HO57" s="1256">
        <f t="shared" si="169"/>
        <v>0.55925925925925923</v>
      </c>
      <c r="HP57" s="1256">
        <f t="shared" si="170"/>
        <v>0.55925925925925923</v>
      </c>
      <c r="HQ57" s="1256">
        <f t="shared" si="171"/>
        <v>0.55925925925925923</v>
      </c>
      <c r="HR57" s="1256">
        <f t="shared" si="172"/>
        <v>0.55925925925925923</v>
      </c>
      <c r="HS57" s="1256">
        <f t="shared" si="173"/>
        <v>0.55925925925925923</v>
      </c>
      <c r="HT57" s="1256">
        <f t="shared" si="174"/>
        <v>0.55925925925925923</v>
      </c>
      <c r="HU57" s="528">
        <f t="shared" si="189"/>
        <v>0.55925925925925923</v>
      </c>
      <c r="HV57" s="499">
        <f>_xlfn.XLOOKUP(D57,TalTech!B:B,TalTech!J:J)+_xlfn.XLOOKUP(D57,TalTech!B:B,TalTech!K:K)</f>
        <v>54</v>
      </c>
      <c r="HW57" s="1937">
        <f>HJ57/(Assumptions!$C$790/1000000)</f>
        <v>2.9500686232850282E-2</v>
      </c>
      <c r="HX57" s="1945"/>
      <c r="HY57" s="1942">
        <v>2025</v>
      </c>
      <c r="HZ57" s="691">
        <v>2030</v>
      </c>
      <c r="IA57" s="1135" t="s">
        <v>733</v>
      </c>
      <c r="IB57" s="1135" t="s">
        <v>757</v>
      </c>
      <c r="IC57" s="1136"/>
      <c r="ID57" s="1376"/>
      <c r="IE57" s="1968"/>
      <c r="IF57" s="1965">
        <v>0</v>
      </c>
      <c r="IG57" s="1378">
        <v>0.5</v>
      </c>
      <c r="IH57" s="1378">
        <v>0.5</v>
      </c>
      <c r="II57" s="1378">
        <v>1</v>
      </c>
      <c r="IJ57" s="1378">
        <v>0.5</v>
      </c>
      <c r="IK57" s="1379">
        <v>1</v>
      </c>
      <c r="IL57" s="1377">
        <v>0.7</v>
      </c>
      <c r="IM57" s="1283" t="s">
        <v>777</v>
      </c>
      <c r="IO57" s="547">
        <f t="shared" ref="IO57:IU57" si="217">SUM(IF50:IF57)/8</f>
        <v>0</v>
      </c>
      <c r="IP57" s="547">
        <f t="shared" si="217"/>
        <v>0.65</v>
      </c>
      <c r="IQ57" s="547">
        <f t="shared" si="217"/>
        <v>0.53125</v>
      </c>
      <c r="IR57" s="547">
        <f t="shared" si="217"/>
        <v>0.65</v>
      </c>
      <c r="IS57" s="547">
        <f t="shared" si="217"/>
        <v>0.53125</v>
      </c>
      <c r="IT57" s="547">
        <f t="shared" si="217"/>
        <v>0.5</v>
      </c>
      <c r="IU57" s="547">
        <f t="shared" si="217"/>
        <v>0.65</v>
      </c>
      <c r="IV57" t="s">
        <v>778</v>
      </c>
    </row>
    <row r="58" spans="2:256" ht="27" x14ac:dyDescent="0.3">
      <c r="B58" s="1703" t="s">
        <v>50</v>
      </c>
      <c r="C58" s="2112" t="s">
        <v>50</v>
      </c>
      <c r="D58" s="679" t="s">
        <v>779</v>
      </c>
      <c r="E58" s="1783" t="s">
        <v>780</v>
      </c>
      <c r="F58" s="1807"/>
      <c r="G58" s="1797"/>
      <c r="H58" s="70"/>
      <c r="I58" s="13"/>
      <c r="J58" s="70" t="s">
        <v>563</v>
      </c>
      <c r="K58" s="71" t="s">
        <v>781</v>
      </c>
      <c r="L58" s="1176" t="s">
        <v>719</v>
      </c>
      <c r="M58" s="1827"/>
      <c r="N58" s="1818">
        <v>1</v>
      </c>
      <c r="O58" s="1177"/>
      <c r="P58" s="1177"/>
      <c r="Q58" s="1177"/>
      <c r="R58" s="1177"/>
      <c r="S58" s="1445" cm="1">
        <f t="array" ref="S58:X58">TRANSPOSE(_xlfn.XLOOKUP(B58,Assumptions!$C$134:$I$134,Assumptions!$C$135:$I$140))</f>
        <v>0.10317241638291583</v>
      </c>
      <c r="T58" s="1445">
        <v>0.23872907169427657</v>
      </c>
      <c r="U58" s="1445">
        <v>3.2568433019642524E-3</v>
      </c>
      <c r="V58" s="1445">
        <v>4.5216233578577056E-2</v>
      </c>
      <c r="W58" s="1445">
        <v>9.7069623729229393E-2</v>
      </c>
      <c r="X58" s="1445">
        <v>0.51265511199796931</v>
      </c>
      <c r="Y58" s="1183" cm="1">
        <f t="array" ref="Y58:AC58">TRANSPOSE(_xlfn.ANCHORARRAY(Assumptions!$F$698))</f>
        <v>0.510495150787874</v>
      </c>
      <c r="Z58" s="1183">
        <v>8.3095626856569543E-2</v>
      </c>
      <c r="AA58" s="1183">
        <v>0.12648279660850237</v>
      </c>
      <c r="AB58" s="1183">
        <v>0.19450947219326029</v>
      </c>
      <c r="AC58" s="1183">
        <v>8.5416953553793806E-2</v>
      </c>
      <c r="AD58" s="1177"/>
      <c r="AE58" s="1177"/>
      <c r="AF58" s="1177"/>
      <c r="AG58" s="1177"/>
      <c r="AH58" s="1177"/>
      <c r="AI58" s="1177"/>
      <c r="AJ58" s="1177"/>
      <c r="AK58" s="1417">
        <f t="shared" si="176"/>
        <v>0</v>
      </c>
      <c r="AL58" s="1177"/>
      <c r="AM58" s="1177"/>
      <c r="AN58" s="1177"/>
      <c r="AO58" s="1221"/>
      <c r="AP58" s="1846"/>
      <c r="AQ58" s="1837">
        <f>AVERAGE(AR58:BA58)</f>
        <v>38.168738407473178</v>
      </c>
      <c r="AR58" s="663"/>
      <c r="AS58" s="663"/>
      <c r="AT58" s="663"/>
      <c r="AU58" s="663"/>
      <c r="AV58" s="659">
        <f>_xlfn.XLOOKUP($D58,TalTech!$B$4:$B$46,TalTech!BB$4:BB$46)</f>
        <v>1.5003688449621662</v>
      </c>
      <c r="AW58" s="659">
        <f>_xlfn.XLOOKUP($D58,TalTech!$B$4:$B$46,TalTech!BC$4:BC$46)</f>
        <v>11.675370228547255</v>
      </c>
      <c r="AX58" s="659">
        <f>_xlfn.XLOOKUP($D58,TalTech!$B$4:$B$46,TalTech!BD$4:BD$46)</f>
        <v>25.349766890138813</v>
      </c>
      <c r="AY58" s="659">
        <f>_xlfn.XLOOKUP($D58,TalTech!$B$4:$B$46,TalTech!BE$4:BE$46)</f>
        <v>43.197136306958299</v>
      </c>
      <c r="AZ58" s="659">
        <f>_xlfn.XLOOKUP($D58,TalTech!$B$4:$B$46,TalTech!BF$4:BF$46)</f>
        <v>65.396071439618908</v>
      </c>
      <c r="BA58" s="659">
        <f>_xlfn.XLOOKUP($D58,TalTech!$B$4:$B$46,TalTech!BG$4:BG$46)</f>
        <v>81.893716734613633</v>
      </c>
      <c r="BB58" s="659">
        <f>_xlfn.XLOOKUP($D58,TalTech!$B$4:$B$46,TalTech!BH$4:BH$46)</f>
        <v>83.128799999999998</v>
      </c>
      <c r="BC58" s="659">
        <f>_xlfn.XLOOKUP($D58,TalTech!$B$4:$B$46,TalTech!BI$4:BI$46)</f>
        <v>84.375200000000007</v>
      </c>
      <c r="BD58" s="659">
        <f>_xlfn.XLOOKUP($D58,TalTech!$B$4:$B$46,TalTech!BJ$4:BJ$46)</f>
        <v>85.636799999999994</v>
      </c>
      <c r="BE58" s="659">
        <f>_xlfn.XLOOKUP($D58,TalTech!$B$4:$B$46,TalTech!BK$4:BK$46)</f>
        <v>86.913600000000002</v>
      </c>
      <c r="BF58" s="659">
        <f>_xlfn.XLOOKUP($D58,TalTech!$B$4:$B$46,TalTech!BL$4:BL$46)</f>
        <v>88.220799999999997</v>
      </c>
      <c r="BG58" s="501">
        <f t="shared" si="177"/>
        <v>59.753420949530827</v>
      </c>
      <c r="BH58" s="893">
        <f t="shared" si="111"/>
        <v>0</v>
      </c>
      <c r="BI58" s="658">
        <f t="shared" si="112"/>
        <v>0</v>
      </c>
      <c r="BJ58" s="658">
        <f t="shared" si="113"/>
        <v>0</v>
      </c>
      <c r="BK58" s="658">
        <f t="shared" si="114"/>
        <v>0</v>
      </c>
      <c r="BL58" s="658">
        <f t="shared" si="115"/>
        <v>1.5003688449621662</v>
      </c>
      <c r="BM58" s="658">
        <f t="shared" si="116"/>
        <v>13.175739073509421</v>
      </c>
      <c r="BN58" s="658">
        <f t="shared" si="117"/>
        <v>38.525505963648236</v>
      </c>
      <c r="BO58" s="658">
        <f t="shared" si="118"/>
        <v>81.722642270606542</v>
      </c>
      <c r="BP58" s="658">
        <f t="shared" si="119"/>
        <v>147.11871371022545</v>
      </c>
      <c r="BQ58" s="658">
        <f t="shared" si="120"/>
        <v>229.01243044483908</v>
      </c>
      <c r="BR58" s="658">
        <f t="shared" si="121"/>
        <v>312.1412304448391</v>
      </c>
      <c r="BS58" s="658">
        <f t="shared" si="122"/>
        <v>396.5164304448391</v>
      </c>
      <c r="BT58" s="658">
        <f t="shared" si="123"/>
        <v>482.1532304448391</v>
      </c>
      <c r="BU58" s="658">
        <f t="shared" si="124"/>
        <v>569.06683044483907</v>
      </c>
      <c r="BV58" s="1851">
        <f t="shared" si="125"/>
        <v>657.28763044483912</v>
      </c>
      <c r="BW58" s="1661"/>
      <c r="BX58" s="1855">
        <f>TalTech!F20</f>
        <v>0</v>
      </c>
      <c r="BY58" s="1192">
        <f t="shared" si="126"/>
        <v>406.70248239540069</v>
      </c>
      <c r="BZ58" s="663"/>
      <c r="CA58" s="663"/>
      <c r="CB58" s="663"/>
      <c r="CC58" s="663"/>
      <c r="CD58" s="1250">
        <f>_xlfn.XLOOKUP($D58,TalTech!$B$4:$B$46,TalTech!BM$4:BM$46)</f>
        <v>0.61020373375483328</v>
      </c>
      <c r="CE58" s="1250">
        <f>_xlfn.XLOOKUP($D58,TalTech!$B$4:$B$46,TalTech!BN$4:BN$46)</f>
        <v>4.7484020548355268</v>
      </c>
      <c r="CF58" s="1250">
        <f>_xlfn.XLOOKUP($D58,TalTech!$B$4:$B$46,TalTech!BO$4:BO$46)</f>
        <v>10.309813122364195</v>
      </c>
      <c r="CG58" s="1250">
        <f>_xlfn.XLOOKUP($D58,TalTech!$B$4:$B$46,TalTech!BP$4:BP$46)</f>
        <v>17.568382568412435</v>
      </c>
      <c r="CH58" s="1250">
        <f>_xlfn.XLOOKUP($D58,TalTech!$B$4:$B$46,TalTech!BQ$4:BQ$46)</f>
        <v>26.596744593399979</v>
      </c>
      <c r="CI58" s="1250">
        <f>_xlfn.XLOOKUP($D58,TalTech!$B$4:$B$46,TalTech!BR$4:BR$46)</f>
        <v>33.306377888553143</v>
      </c>
      <c r="CJ58" s="1250">
        <f>_xlfn.XLOOKUP($D58,TalTech!$B$4:$B$46,TalTech!BS$4:BS$46)</f>
        <v>33.808689318550798</v>
      </c>
      <c r="CK58" s="1250">
        <f>_xlfn.XLOOKUP($D58,TalTech!$B$4:$B$46,TalTech!BT$4:BT$46)</f>
        <v>34.315603292608422</v>
      </c>
      <c r="CL58" s="1250">
        <f>_xlfn.XLOOKUP($D58,TalTech!$B$4:$B$46,TalTech!BU$4:BU$46)</f>
        <v>34.828699144398456</v>
      </c>
      <c r="CM58" s="1250">
        <f>_xlfn.XLOOKUP($D58,TalTech!$B$4:$B$46,TalTech!BV$4:BV$46)</f>
        <v>35.347976873920913</v>
      </c>
      <c r="CN58" s="1250">
        <f>_xlfn.XLOOKUP($D58,TalTech!$B$4:$B$46,TalTech!BW$4:BW$46)</f>
        <v>35.879618358908175</v>
      </c>
      <c r="CO58" s="493">
        <f t="shared" si="178"/>
        <v>24.301864631791535</v>
      </c>
      <c r="CP58" s="660">
        <f t="shared" si="127"/>
        <v>93.139923961320108</v>
      </c>
      <c r="CQ58" s="1193">
        <f>_xlfn.XLOOKUP($D58,TalTech!$B$4:$B$46,TalTech!$H$4:$H$46)</f>
        <v>0</v>
      </c>
      <c r="CR58" s="662">
        <f>1-CQ58</f>
        <v>1</v>
      </c>
      <c r="CS58" s="693" t="str">
        <v>Industry</v>
      </c>
      <c r="CT58" s="1862">
        <f t="shared" ref="CT58:CT86" si="218">IFERROR(AVERAGE(BZ58:CI58),"n/a")</f>
        <v>15.523320660220017</v>
      </c>
      <c r="CU58" s="1872"/>
      <c r="CV58" s="1867">
        <f>BH58*Assumptions!D$495</f>
        <v>0</v>
      </c>
      <c r="CW58" s="680">
        <f>BI58*Assumptions!E$495</f>
        <v>0</v>
      </c>
      <c r="CX58" s="680">
        <f>BJ58*Assumptions!F$495</f>
        <v>0</v>
      </c>
      <c r="CY58" s="680">
        <f>BK58*Assumptions!G$495</f>
        <v>0</v>
      </c>
      <c r="CZ58" s="680">
        <f>BL58*Assumptions!H$495</f>
        <v>0.11917578076648214</v>
      </c>
      <c r="DA58" s="680">
        <f>BM58*Assumptions!I$495</f>
        <v>1.0737493902339434</v>
      </c>
      <c r="DB58" s="680">
        <f>BN58*Assumptions!J$495</f>
        <v>3.2248635332735445</v>
      </c>
      <c r="DC58" s="680">
        <f>BO58*Assumptions!K$495</f>
        <v>7.025002437774047</v>
      </c>
      <c r="DD58" s="680">
        <f>BP58*Assumptions!L$495</f>
        <v>12.993224804117304</v>
      </c>
      <c r="DE58" s="680">
        <f>BQ58*Assumptions!M$495</f>
        <v>20.753202865538647</v>
      </c>
      <c r="DF58" s="680">
        <f>BR58*Assumptions!N$495</f>
        <v>29.039756423953936</v>
      </c>
      <c r="DG58" s="680">
        <f>BS58*Assumptions!O$495</f>
        <v>37.875267724207113</v>
      </c>
      <c r="DH58" s="680">
        <f>BT58*Assumptions!P$495</f>
        <v>47.289899011231299</v>
      </c>
      <c r="DI58" s="680">
        <f>BU58*Assumptions!Q$495</f>
        <v>57.31530625854586</v>
      </c>
      <c r="DJ58" s="680">
        <f>BV58*Assumptions!R$495</f>
        <v>67.986280471250737</v>
      </c>
      <c r="DK58" s="680">
        <f t="shared" ref="DK58:DT58" si="219">CV58</f>
        <v>0</v>
      </c>
      <c r="DL58" s="680">
        <f t="shared" si="219"/>
        <v>0</v>
      </c>
      <c r="DM58" s="680">
        <f t="shared" si="219"/>
        <v>0</v>
      </c>
      <c r="DN58" s="680">
        <f t="shared" si="219"/>
        <v>0</v>
      </c>
      <c r="DO58" s="680">
        <f t="shared" si="219"/>
        <v>0.11917578076648214</v>
      </c>
      <c r="DP58" s="680">
        <f t="shared" si="219"/>
        <v>1.0737493902339434</v>
      </c>
      <c r="DQ58" s="680">
        <f t="shared" si="219"/>
        <v>3.2248635332735445</v>
      </c>
      <c r="DR58" s="680">
        <f t="shared" si="219"/>
        <v>7.025002437774047</v>
      </c>
      <c r="DS58" s="680">
        <f t="shared" si="219"/>
        <v>12.993224804117304</v>
      </c>
      <c r="DT58" s="680">
        <f t="shared" si="219"/>
        <v>20.753202865538647</v>
      </c>
      <c r="DU58" s="680">
        <f t="shared" ref="DU58:DY73" si="220">DF58</f>
        <v>29.039756423953936</v>
      </c>
      <c r="DV58" s="680">
        <f t="shared" si="220"/>
        <v>37.875267724207113</v>
      </c>
      <c r="DW58" s="680">
        <f t="shared" si="220"/>
        <v>47.289899011231299</v>
      </c>
      <c r="DX58" s="680">
        <f t="shared" si="220"/>
        <v>57.31530625854586</v>
      </c>
      <c r="DY58" s="680">
        <f t="shared" si="220"/>
        <v>67.986280471250737</v>
      </c>
      <c r="DZ58" s="678">
        <v>0</v>
      </c>
      <c r="EA58" s="661">
        <f t="shared" si="130"/>
        <v>1</v>
      </c>
      <c r="EB58" s="1861">
        <f>IFERROR(AVERAGE(CV58:DE58),"n/a")</f>
        <v>4.5189218811703968</v>
      </c>
      <c r="EC58" s="1881"/>
      <c r="ED58" s="1877">
        <v>0</v>
      </c>
      <c r="EE58" s="684"/>
      <c r="EF58" s="684"/>
      <c r="EG58" s="684"/>
      <c r="EH58" s="684"/>
      <c r="EI58" s="665">
        <f t="shared" si="196"/>
        <v>0.19526519480154667</v>
      </c>
      <c r="EJ58" s="665">
        <f t="shared" si="197"/>
        <v>1.5194886575473685</v>
      </c>
      <c r="EK58" s="665">
        <f t="shared" si="198"/>
        <v>3.2991401991565428</v>
      </c>
      <c r="EL58" s="665">
        <f t="shared" si="199"/>
        <v>5.6218824218919794</v>
      </c>
      <c r="EM58" s="665">
        <f t="shared" si="200"/>
        <v>8.5109582698879933</v>
      </c>
      <c r="EN58" s="665">
        <f t="shared" si="201"/>
        <v>10.658040924337007</v>
      </c>
      <c r="EO58" s="665">
        <f t="shared" si="202"/>
        <v>10.818780581936256</v>
      </c>
      <c r="EP58" s="665">
        <f t="shared" si="203"/>
        <v>10.980993053634695</v>
      </c>
      <c r="EQ58" s="665">
        <f t="shared" si="204"/>
        <v>11.145183726207506</v>
      </c>
      <c r="ER58" s="665">
        <f t="shared" si="205"/>
        <v>11.311352599654693</v>
      </c>
      <c r="ES58" s="665">
        <f t="shared" si="206"/>
        <v>11.481477874850617</v>
      </c>
      <c r="ET58" s="541">
        <f t="shared" si="133"/>
        <v>7.7765966821732908</v>
      </c>
      <c r="EU58" s="1450" cm="1">
        <f t="array" ref="EU58">(BH58*SUMPRODUCT($S58:$X58,TRANSPOSE(Assumptions!D$281:D$286)))*0.001</f>
        <v>0</v>
      </c>
      <c r="EV58" s="1450" cm="1">
        <f t="array" ref="EV58">(BI58*SUMPRODUCT($S58:$X58,TRANSPOSE(Assumptions!E$281:E$286)))*0.001</f>
        <v>0</v>
      </c>
      <c r="EW58" s="1450" cm="1">
        <f t="array" ref="EW58">(BJ58*SUMPRODUCT($S58:$X58,TRANSPOSE(Assumptions!F$281:F$286)))*0.001</f>
        <v>0</v>
      </c>
      <c r="EX58" s="1450" cm="1">
        <f t="array" ref="EX58">(BK58*SUMPRODUCT($S58:$X58,TRANSPOSE(Assumptions!G$281:G$286)))*0.001</f>
        <v>0</v>
      </c>
      <c r="EY58" s="1450" cm="1">
        <f t="array" ref="EY58">(BL58*SUMPRODUCT($S58:$X58,TRANSPOSE(Assumptions!H$281:H$286)))*0.001</f>
        <v>1.447666111025191E-2</v>
      </c>
      <c r="EZ58" s="1450" cm="1">
        <f t="array" ref="EZ58">(BM58*SUMPRODUCT($S58:$X58,TRANSPOSE(Assumptions!I$281:I$286)))*0.001</f>
        <v>0.12712921231652885</v>
      </c>
      <c r="FA58" s="1450" cm="1">
        <f t="array" ref="FA58">(BN58*SUMPRODUCT($S58:$X58,TRANSPOSE(Assumptions!J$281:J$286)))*0.001</f>
        <v>0.37172239067040086</v>
      </c>
      <c r="FB58" s="1450" cm="1">
        <f t="array" ref="FB58">(BO58*SUMPRODUCT($S58:$X58,TRANSPOSE(Assumptions!K$281:K$286)))*0.001</f>
        <v>0.78852010367873993</v>
      </c>
      <c r="FC58" s="1450" cm="1">
        <f t="array" ref="FC58">(BP58*SUMPRODUCT($S58:$X58,TRANSPOSE(Assumptions!L$281:L$286)))*0.001</f>
        <v>1.4195094549652627</v>
      </c>
      <c r="FD58" s="1450" cm="1">
        <f t="array" ref="FD58">(BQ58*SUMPRODUCT($S58:$X58,TRANSPOSE(Assumptions!M$281:M$286)))*0.001</f>
        <v>2.2096802107808848</v>
      </c>
      <c r="FE58" s="1450" cm="1">
        <f t="array" ref="FE58">(BR58*SUMPRODUCT($S58:$X58,TRANSPOSE(Assumptions!N$281:N$286)))*0.001</f>
        <v>3.0117679574990963</v>
      </c>
      <c r="FF58" s="1450" cm="1">
        <f t="array" ref="FF58">(BS58*SUMPRODUCT($S58:$X58,TRANSPOSE(Assumptions!O$281:O$286)))*0.001</f>
        <v>3.8258818872911591</v>
      </c>
      <c r="FG58" s="1450" cm="1">
        <f t="array" ref="FG58">(BT58*SUMPRODUCT($S58:$X58,TRANSPOSE(Assumptions!P$281:P$286)))*0.001</f>
        <v>4.6521686609262662</v>
      </c>
      <c r="FH58" s="1450" cm="1">
        <f t="array" ref="FH58">(BU58*SUMPRODUCT($S58:$X58,TRANSPOSE(Assumptions!Q$281:Q$286)))*0.001</f>
        <v>5.4907749391736109</v>
      </c>
      <c r="FI58" s="1450" cm="1">
        <f t="array" ref="FI58">(BV58*SUMPRODUCT($S58:$X58,TRANSPOSE(Assumptions!R$281:R$286)))*0.001</f>
        <v>6.3419940435715816</v>
      </c>
      <c r="FJ58" s="666">
        <f t="shared" si="207"/>
        <v>0</v>
      </c>
      <c r="FK58" s="666">
        <f t="shared" si="208"/>
        <v>0</v>
      </c>
      <c r="FL58" s="666">
        <f t="shared" si="209"/>
        <v>0</v>
      </c>
      <c r="FM58" s="666">
        <f t="shared" si="210"/>
        <v>0</v>
      </c>
      <c r="FN58" s="666">
        <f t="shared" si="211"/>
        <v>0.18078853369129474</v>
      </c>
      <c r="FO58" s="666">
        <f t="shared" si="212"/>
        <v>1.3923594452308397</v>
      </c>
      <c r="FP58" s="666">
        <f t="shared" si="213"/>
        <v>2.9274178084861417</v>
      </c>
      <c r="FQ58" s="666">
        <f t="shared" si="214"/>
        <v>4.8333623182132399</v>
      </c>
      <c r="FR58" s="666">
        <f t="shared" si="215"/>
        <v>7.0914488149227308</v>
      </c>
      <c r="FS58" s="666">
        <f t="shared" si="216"/>
        <v>8.4483607135561218</v>
      </c>
      <c r="FT58" s="666">
        <f t="shared" si="144"/>
        <v>7.80701262443716</v>
      </c>
      <c r="FU58" s="666">
        <f t="shared" si="145"/>
        <v>7.1551111663435361</v>
      </c>
      <c r="FV58" s="666">
        <f t="shared" si="146"/>
        <v>6.4930150652812397</v>
      </c>
      <c r="FW58" s="666">
        <f t="shared" si="147"/>
        <v>5.8205776604810824</v>
      </c>
      <c r="FX58" s="1883">
        <f t="shared" si="148"/>
        <v>5.1394838312790352</v>
      </c>
      <c r="FY58" s="1895"/>
      <c r="FZ58" s="1888">
        <f t="shared" ref="FZ58:GN63" si="221">BZ58*14</f>
        <v>0</v>
      </c>
      <c r="GA58" s="665">
        <f t="shared" si="221"/>
        <v>0</v>
      </c>
      <c r="GB58" s="665">
        <f t="shared" si="221"/>
        <v>0</v>
      </c>
      <c r="GC58" s="665">
        <f t="shared" si="221"/>
        <v>0</v>
      </c>
      <c r="GD58" s="665">
        <f t="shared" si="221"/>
        <v>8.5428522725676661</v>
      </c>
      <c r="GE58" s="665">
        <f t="shared" si="221"/>
        <v>66.477628767697382</v>
      </c>
      <c r="GF58" s="665">
        <f t="shared" si="221"/>
        <v>144.33738371309875</v>
      </c>
      <c r="GG58" s="665">
        <f t="shared" si="221"/>
        <v>245.9573559577741</v>
      </c>
      <c r="GH58" s="665">
        <f t="shared" si="221"/>
        <v>372.35442430759969</v>
      </c>
      <c r="GI58" s="665">
        <f t="shared" si="221"/>
        <v>466.28929043974404</v>
      </c>
      <c r="GJ58" s="665">
        <f t="shared" si="221"/>
        <v>473.32165045971118</v>
      </c>
      <c r="GK58" s="665">
        <f t="shared" si="221"/>
        <v>480.41844609651793</v>
      </c>
      <c r="GL58" s="665">
        <f t="shared" si="221"/>
        <v>487.60178802157839</v>
      </c>
      <c r="GM58" s="665">
        <f t="shared" si="221"/>
        <v>494.87167623489279</v>
      </c>
      <c r="GN58" s="1898">
        <f t="shared" si="221"/>
        <v>502.31465702471445</v>
      </c>
      <c r="GO58" s="1911"/>
      <c r="GP58" s="1868">
        <f>BH58*INDEX(Assumptions!G$565:G$570,MATCH($B58,Assumptions!$B$565:$B$570,0))</f>
        <v>0</v>
      </c>
      <c r="GQ58" s="656">
        <f>BI58*INDEX(Assumptions!H$565:H$570,MATCH($B58,Assumptions!$B$565:$B$570,0))</f>
        <v>0</v>
      </c>
      <c r="GR58" s="656">
        <f>BJ58*INDEX(Assumptions!I$565:I$570,MATCH($B58,Assumptions!$B$565:$B$570,0))</f>
        <v>0</v>
      </c>
      <c r="GS58" s="656">
        <f>BK58*INDEX(Assumptions!J$565:J$570,MATCH($B58,Assumptions!$B$565:$B$570,0))</f>
        <v>0</v>
      </c>
      <c r="GT58" s="656">
        <f>BL58*INDEX(Assumptions!K$565:K$570,MATCH($B58,Assumptions!$B$565:$B$570,0))</f>
        <v>0.71211286842922039</v>
      </c>
      <c r="GU58" s="656">
        <f>BM58*INDEX(Assumptions!L$565:L$570,MATCH($B58,Assumptions!$B$565:$B$570,0))</f>
        <v>6.054950233111497</v>
      </c>
      <c r="GV58" s="656">
        <f>BN58*INDEX(Assumptions!M$565:M$570,MATCH($B58,Assumptions!$B$565:$B$570,0))</f>
        <v>17.120885857145002</v>
      </c>
      <c r="GW58" s="656">
        <f>BO58*INDEX(Assumptions!N$565:N$570,MATCH($B58,Assumptions!$B$565:$B$570,0))</f>
        <v>35.064460132509765</v>
      </c>
      <c r="GX58" s="656">
        <f>BP58*INDEX(Assumptions!O$565:O$570,MATCH($B58,Assumptions!$B$565:$B$570,0))</f>
        <v>60.825535296722407</v>
      </c>
      <c r="GY58" s="656">
        <f>BQ58*INDEX(Assumptions!P$565:P$570,MATCH($B58,Assumptions!$B$565:$B$570,0))</f>
        <v>87.092679477500766</v>
      </c>
      <c r="GZ58" s="656">
        <f>BR58*INDEX(Assumptions!Q$565:Q$570,MATCH($B58,Assumptions!$B$565:$B$570,0))</f>
        <v>36.936228084034653</v>
      </c>
      <c r="HA58" s="656">
        <f>BS58*INDEX(Assumptions!R$565:R$570,MATCH($B58,Assumptions!$B$565:$B$570,0))</f>
        <v>219.35035288000037</v>
      </c>
      <c r="HB58" s="656">
        <f>BT58*INDEX(Assumptions!S$565:S$570,MATCH($B58,Assumptions!$B$565:$B$570,0))</f>
        <v>266.72408283726929</v>
      </c>
      <c r="HC58" s="656">
        <f>BU58*INDEX(Assumptions!T$565:T$570,MATCH($B58,Assumptions!$B$565:$B$570,0))</f>
        <v>304.9651430862462</v>
      </c>
      <c r="HD58" s="1922">
        <f>BV58*INDEX(Assumptions!U$565:U$570,MATCH($B58,Assumptions!$B$565:$B$570,0))</f>
        <v>340.87871800021878</v>
      </c>
      <c r="HE58" s="1933"/>
      <c r="HF58" s="1927"/>
      <c r="HG58" s="501"/>
      <c r="HH58" s="501"/>
      <c r="HI58" s="501"/>
      <c r="HJ58" s="501"/>
      <c r="HK58" s="501"/>
      <c r="HL58" s="501"/>
      <c r="HM58" s="501"/>
      <c r="HN58" s="501"/>
      <c r="HO58" s="501"/>
      <c r="HP58" s="501"/>
      <c r="HQ58" s="501"/>
      <c r="HR58" s="501"/>
      <c r="HS58" s="501"/>
      <c r="HT58" s="501"/>
      <c r="HU58" s="501"/>
      <c r="HV58" s="656"/>
      <c r="HW58" s="1922"/>
      <c r="HX58" s="1946"/>
      <c r="HY58" s="1943"/>
      <c r="HZ58" s="695"/>
      <c r="IA58" s="682" t="s">
        <v>636</v>
      </c>
      <c r="IB58" s="683" t="s">
        <v>637</v>
      </c>
      <c r="IC58" s="694"/>
      <c r="ID58" s="1199"/>
      <c r="IE58" s="1969"/>
      <c r="IF58" s="1962">
        <v>0</v>
      </c>
      <c r="IG58" s="1290">
        <v>0</v>
      </c>
      <c r="IH58" s="1416">
        <v>1.5</v>
      </c>
      <c r="II58" s="1279">
        <v>0</v>
      </c>
      <c r="IJ58" s="1279">
        <v>0</v>
      </c>
      <c r="IK58" s="1371">
        <v>1</v>
      </c>
      <c r="IL58" s="1286">
        <v>1.5</v>
      </c>
      <c r="IM58" s="1288" t="s">
        <v>780</v>
      </c>
    </row>
    <row r="59" spans="2:256" ht="27" x14ac:dyDescent="0.3">
      <c r="B59" s="1703" t="s">
        <v>50</v>
      </c>
      <c r="C59" s="2113"/>
      <c r="D59" s="679" t="s">
        <v>782</v>
      </c>
      <c r="E59" s="1784" t="s">
        <v>783</v>
      </c>
      <c r="F59" s="1806"/>
      <c r="G59" s="1798"/>
      <c r="H59" s="687" t="s">
        <v>784</v>
      </c>
      <c r="I59" s="1126"/>
      <c r="J59" s="696"/>
      <c r="K59" s="1127" t="s">
        <v>564</v>
      </c>
      <c r="L59" s="1176" t="s">
        <v>719</v>
      </c>
      <c r="M59" s="1827"/>
      <c r="N59" s="1826">
        <v>1</v>
      </c>
      <c r="O59" s="1201"/>
      <c r="P59" s="1201"/>
      <c r="Q59" s="1201"/>
      <c r="R59" s="1201"/>
      <c r="S59" s="1445" cm="1">
        <f t="array" ref="S59:X59">TRANSPOSE(_xlfn.XLOOKUP(B59,Assumptions!$C$134:$I$134,Assumptions!$C$135:$I$140))</f>
        <v>0.10317241638291583</v>
      </c>
      <c r="T59" s="1445">
        <v>0.23872907169427657</v>
      </c>
      <c r="U59" s="1445">
        <v>3.2568433019642524E-3</v>
      </c>
      <c r="V59" s="1445">
        <v>4.5216233578577056E-2</v>
      </c>
      <c r="W59" s="1445">
        <v>9.7069623729229393E-2</v>
      </c>
      <c r="X59" s="1445">
        <v>0.51265511199796931</v>
      </c>
      <c r="Y59" s="1202" cm="1">
        <f t="array" ref="Y59:AC59">TRANSPOSE(_xlfn.ANCHORARRAY(Assumptions!$F$698))</f>
        <v>0.510495150787874</v>
      </c>
      <c r="Z59" s="1202">
        <v>8.3095626856569543E-2</v>
      </c>
      <c r="AA59" s="1202">
        <v>0.12648279660850237</v>
      </c>
      <c r="AB59" s="1202">
        <v>0.19450947219326029</v>
      </c>
      <c r="AC59" s="1202">
        <v>8.5416953553793806E-2</v>
      </c>
      <c r="AD59" s="1201"/>
      <c r="AE59" s="1201"/>
      <c r="AF59" s="1201"/>
      <c r="AG59" s="1201"/>
      <c r="AH59" s="1201"/>
      <c r="AI59" s="1201"/>
      <c r="AJ59" s="1201"/>
      <c r="AK59" s="1417">
        <f t="shared" si="176"/>
        <v>0</v>
      </c>
      <c r="AL59" s="1201"/>
      <c r="AM59" s="1201"/>
      <c r="AN59" s="1201"/>
      <c r="AO59" s="1222"/>
      <c r="AP59" s="1850"/>
      <c r="AQ59" s="1844">
        <f>AVERAGE(AR59:BA59)</f>
        <v>29.050720149067892</v>
      </c>
      <c r="AR59" s="663"/>
      <c r="AS59" s="663"/>
      <c r="AT59" s="663"/>
      <c r="AU59" s="663"/>
      <c r="AV59" s="659">
        <f>_xlfn.XLOOKUP($D59,TalTech!$B$4:$B$46,TalTech!BB$4:BB$46)</f>
        <v>40.66854940885171</v>
      </c>
      <c r="AW59" s="659">
        <f>_xlfn.XLOOKUP($D59,TalTech!$B$4:$B$46,TalTech!BC$4:BC$46)</f>
        <v>17.432890889284074</v>
      </c>
      <c r="AX59" s="663"/>
      <c r="AY59" s="663"/>
      <c r="AZ59" s="663"/>
      <c r="BA59" s="663"/>
      <c r="BB59" s="663"/>
      <c r="BC59" s="663"/>
      <c r="BD59" s="663"/>
      <c r="BE59" s="663"/>
      <c r="BF59" s="663"/>
      <c r="BG59" s="501">
        <f t="shared" si="177"/>
        <v>29.050720149067892</v>
      </c>
      <c r="BH59" s="893">
        <f t="shared" si="111"/>
        <v>0</v>
      </c>
      <c r="BI59" s="658">
        <f t="shared" si="112"/>
        <v>0</v>
      </c>
      <c r="BJ59" s="658">
        <f t="shared" si="113"/>
        <v>0</v>
      </c>
      <c r="BK59" s="658">
        <f t="shared" si="114"/>
        <v>0</v>
      </c>
      <c r="BL59" s="658">
        <f t="shared" si="115"/>
        <v>40.66854940885171</v>
      </c>
      <c r="BM59" s="658">
        <f t="shared" si="116"/>
        <v>58.101440298135785</v>
      </c>
      <c r="BN59" s="658">
        <f t="shared" si="117"/>
        <v>58.101440298135785</v>
      </c>
      <c r="BO59" s="658">
        <f t="shared" si="118"/>
        <v>58.101440298135785</v>
      </c>
      <c r="BP59" s="658">
        <f t="shared" si="119"/>
        <v>58.101440298135785</v>
      </c>
      <c r="BQ59" s="658">
        <f t="shared" si="120"/>
        <v>58.101440298135785</v>
      </c>
      <c r="BR59" s="658">
        <f t="shared" si="121"/>
        <v>58.101440298135785</v>
      </c>
      <c r="BS59" s="658">
        <f t="shared" si="122"/>
        <v>58.101440298135785</v>
      </c>
      <c r="BT59" s="658">
        <f t="shared" si="123"/>
        <v>58.101440298135785</v>
      </c>
      <c r="BU59" s="658">
        <f t="shared" si="124"/>
        <v>58.101440298135785</v>
      </c>
      <c r="BV59" s="1851">
        <f t="shared" si="125"/>
        <v>58.101440298135785</v>
      </c>
      <c r="BW59" s="1661"/>
      <c r="BX59" s="1855">
        <f>TalTech!F21</f>
        <v>23.628</v>
      </c>
      <c r="BY59" s="1192">
        <f t="shared" si="126"/>
        <v>406.70248239540081</v>
      </c>
      <c r="BZ59" s="663"/>
      <c r="CA59" s="663"/>
      <c r="CB59" s="663"/>
      <c r="CC59" s="663"/>
      <c r="CD59" s="675">
        <f>_xlfn.XLOOKUP($D59,TalTech!$B$4:$B$46,TalTech!BM$4:BM$46)</f>
        <v>16.54</v>
      </c>
      <c r="CE59" s="675">
        <f>_xlfn.XLOOKUP($D59,TalTech!$B$4:$B$46,TalTech!BN$4:BN$46)</f>
        <v>7.089999999999999</v>
      </c>
      <c r="CF59" s="663"/>
      <c r="CG59" s="663"/>
      <c r="CH59" s="663"/>
      <c r="CI59" s="663"/>
      <c r="CJ59" s="663"/>
      <c r="CK59" s="663"/>
      <c r="CL59" s="663"/>
      <c r="CM59" s="663"/>
      <c r="CN59" s="663"/>
      <c r="CO59" s="493">
        <f t="shared" si="178"/>
        <v>11.815</v>
      </c>
      <c r="CP59" s="660">
        <f t="shared" si="127"/>
        <v>23.63</v>
      </c>
      <c r="CQ59" s="1193">
        <v>1</v>
      </c>
      <c r="CR59" s="1128">
        <f t="shared" si="128"/>
        <v>0</v>
      </c>
      <c r="CS59" s="1129" t="str">
        <v>Government + cohesion fund</v>
      </c>
      <c r="CT59" s="1864">
        <f t="shared" si="218"/>
        <v>11.815</v>
      </c>
      <c r="CU59" s="1873"/>
      <c r="CV59" s="1858">
        <f>BH59*Assumptions!D$495</f>
        <v>0</v>
      </c>
      <c r="CW59" s="658">
        <f>BI59*Assumptions!E$495</f>
        <v>0</v>
      </c>
      <c r="CX59" s="658">
        <f>BJ59*Assumptions!F$495</f>
        <v>0</v>
      </c>
      <c r="CY59" s="658">
        <f>BK59*Assumptions!G$495</f>
        <v>0</v>
      </c>
      <c r="CZ59" s="658">
        <f>BL59*Assumptions!H$495</f>
        <v>3.230343088443945</v>
      </c>
      <c r="DA59" s="658">
        <f>BM59*Assumptions!I$495</f>
        <v>4.7349439559917048</v>
      </c>
      <c r="DB59" s="658">
        <f>BN59*Assumptions!J$495</f>
        <v>4.863510844605786</v>
      </c>
      <c r="DC59" s="658">
        <f>BO59*Assumptions!K$495</f>
        <v>4.9944880438525958</v>
      </c>
      <c r="DD59" s="658">
        <f>BP59*Assumptions!L$495</f>
        <v>5.1314007320892427</v>
      </c>
      <c r="DE59" s="658">
        <f>BQ59*Assumptions!M$495</f>
        <v>5.2651769816382359</v>
      </c>
      <c r="DF59" s="658">
        <f>BR59*Assumptions!N$495</f>
        <v>5.4054111074471853</v>
      </c>
      <c r="DG59" s="658">
        <f>BS59*Assumptions!O$495</f>
        <v>5.5498522570304019</v>
      </c>
      <c r="DH59" s="658">
        <f>BT59*Assumptions!P$495</f>
        <v>5.6986266411011162</v>
      </c>
      <c r="DI59" s="658">
        <f>BU59*Assumptions!Q$495</f>
        <v>5.8518642566939505</v>
      </c>
      <c r="DJ59" s="658">
        <f>BV59*Assumptions!R$495</f>
        <v>6.009699000754571</v>
      </c>
      <c r="DK59" s="680">
        <f t="shared" ref="DK59:DK85" si="222">CV59</f>
        <v>0</v>
      </c>
      <c r="DL59" s="680">
        <f t="shared" ref="DL59:DL85" si="223">CW59</f>
        <v>0</v>
      </c>
      <c r="DM59" s="680">
        <f t="shared" ref="DM59:DM85" si="224">CX59</f>
        <v>0</v>
      </c>
      <c r="DN59" s="680">
        <f t="shared" ref="DN59:DN85" si="225">CY59</f>
        <v>0</v>
      </c>
      <c r="DO59" s="680">
        <f t="shared" ref="DO59:DO85" si="226">CZ59</f>
        <v>3.230343088443945</v>
      </c>
      <c r="DP59" s="680">
        <f t="shared" ref="DP59:DP85" si="227">DA59</f>
        <v>4.7349439559917048</v>
      </c>
      <c r="DQ59" s="680">
        <f t="shared" ref="DQ59:DQ85" si="228">DB59</f>
        <v>4.863510844605786</v>
      </c>
      <c r="DR59" s="680">
        <f t="shared" ref="DR59:DR85" si="229">DC59</f>
        <v>4.9944880438525958</v>
      </c>
      <c r="DS59" s="680">
        <f t="shared" ref="DS59:DS85" si="230">DD59</f>
        <v>5.1314007320892427</v>
      </c>
      <c r="DT59" s="680">
        <f t="shared" ref="DT59:DT85" si="231">DE59</f>
        <v>5.2651769816382359</v>
      </c>
      <c r="DU59" s="680">
        <f t="shared" si="220"/>
        <v>5.4054111074471853</v>
      </c>
      <c r="DV59" s="680">
        <f t="shared" si="220"/>
        <v>5.5498522570304019</v>
      </c>
      <c r="DW59" s="680">
        <f t="shared" si="220"/>
        <v>5.6986266411011162</v>
      </c>
      <c r="DX59" s="680">
        <f t="shared" si="220"/>
        <v>5.8518642566939505</v>
      </c>
      <c r="DY59" s="680">
        <f t="shared" si="220"/>
        <v>6.009699000754571</v>
      </c>
      <c r="DZ59" s="1130">
        <v>0</v>
      </c>
      <c r="EA59" s="1131">
        <f t="shared" si="130"/>
        <v>1</v>
      </c>
      <c r="EB59" s="1876">
        <f t="shared" si="131"/>
        <v>2.821986364662151</v>
      </c>
      <c r="EC59" s="1882"/>
      <c r="ED59" s="1877">
        <v>0</v>
      </c>
      <c r="EE59" s="684"/>
      <c r="EF59" s="684"/>
      <c r="EG59" s="684"/>
      <c r="EH59" s="684"/>
      <c r="EI59" s="665">
        <f t="shared" si="196"/>
        <v>0</v>
      </c>
      <c r="EJ59" s="665">
        <f t="shared" si="197"/>
        <v>0</v>
      </c>
      <c r="EK59" s="665">
        <f t="shared" si="198"/>
        <v>0</v>
      </c>
      <c r="EL59" s="665">
        <f t="shared" si="199"/>
        <v>0</v>
      </c>
      <c r="EM59" s="665">
        <f t="shared" si="200"/>
        <v>0</v>
      </c>
      <c r="EN59" s="665">
        <f t="shared" si="201"/>
        <v>0</v>
      </c>
      <c r="EO59" s="665">
        <f t="shared" si="202"/>
        <v>0</v>
      </c>
      <c r="EP59" s="665">
        <f t="shared" si="203"/>
        <v>0</v>
      </c>
      <c r="EQ59" s="665">
        <f t="shared" si="204"/>
        <v>0</v>
      </c>
      <c r="ER59" s="665">
        <f t="shared" si="205"/>
        <v>0</v>
      </c>
      <c r="ES59" s="665">
        <f t="shared" si="206"/>
        <v>0</v>
      </c>
      <c r="ET59" s="541">
        <f t="shared" si="133"/>
        <v>0</v>
      </c>
      <c r="EU59" s="1450" cm="1">
        <f t="array" ref="EU59">(BH59*SUMPRODUCT($S59:$X59,TRANSPOSE(Assumptions!D$281:D$286)))*0.001</f>
        <v>0</v>
      </c>
      <c r="EV59" s="1450" cm="1">
        <f t="array" ref="EV59">(BI59*SUMPRODUCT($S59:$X59,TRANSPOSE(Assumptions!E$281:E$286)))*0.001</f>
        <v>0</v>
      </c>
      <c r="EW59" s="1450" cm="1">
        <f t="array" ref="EW59">(BJ59*SUMPRODUCT($S59:$X59,TRANSPOSE(Assumptions!F$281:F$286)))*0.001</f>
        <v>0</v>
      </c>
      <c r="EX59" s="1450" cm="1">
        <f t="array" ref="EX59">(BK59*SUMPRODUCT($S59:$X59,TRANSPOSE(Assumptions!G$281:G$286)))*0.001</f>
        <v>0</v>
      </c>
      <c r="EY59" s="1450" cm="1">
        <f t="array" ref="EY59">(BL59*SUMPRODUCT($S59:$X59,TRANSPOSE(Assumptions!H$281:H$286)))*0.001</f>
        <v>0.3924000485709418</v>
      </c>
      <c r="EZ59" s="1450" cm="1">
        <f t="array" ref="EZ59">(BM59*SUMPRODUCT($S59:$X59,TRANSPOSE(Assumptions!I$281:I$286)))*0.001</f>
        <v>0.56060538982656316</v>
      </c>
      <c r="FA59" s="1450" cm="1">
        <f t="array" ref="FA59">(BN59*SUMPRODUCT($S59:$X59,TRANSPOSE(Assumptions!J$281:J$286)))*0.001</f>
        <v>0.56060538982656316</v>
      </c>
      <c r="FB59" s="1450" cm="1">
        <f t="array" ref="FB59">(BO59*SUMPRODUCT($S59:$X59,TRANSPOSE(Assumptions!K$281:K$286)))*0.001</f>
        <v>0.56060538982656316</v>
      </c>
      <c r="FC59" s="1450" cm="1">
        <f t="array" ref="FC59">(BP59*SUMPRODUCT($S59:$X59,TRANSPOSE(Assumptions!L$281:L$286)))*0.001</f>
        <v>0.56060538982656316</v>
      </c>
      <c r="FD59" s="1450" cm="1">
        <f t="array" ref="FD59">(BQ59*SUMPRODUCT($S59:$X59,TRANSPOSE(Assumptions!M$281:M$286)))*0.001</f>
        <v>0.56060538982656316</v>
      </c>
      <c r="FE59" s="1450" cm="1">
        <f t="array" ref="FE59">(BR59*SUMPRODUCT($S59:$X59,TRANSPOSE(Assumptions!N$281:N$286)))*0.001</f>
        <v>0.56060538982656316</v>
      </c>
      <c r="FF59" s="1450" cm="1">
        <f t="array" ref="FF59">(BS59*SUMPRODUCT($S59:$X59,TRANSPOSE(Assumptions!O$281:O$286)))*0.001</f>
        <v>0.56060538982656316</v>
      </c>
      <c r="FG59" s="1450" cm="1">
        <f t="array" ref="FG59">(BT59*SUMPRODUCT($S59:$X59,TRANSPOSE(Assumptions!P$281:P$286)))*0.001</f>
        <v>0.56060538982656316</v>
      </c>
      <c r="FH59" s="1450" cm="1">
        <f t="array" ref="FH59">(BU59*SUMPRODUCT($S59:$X59,TRANSPOSE(Assumptions!Q$281:Q$286)))*0.001</f>
        <v>0.56060538982656316</v>
      </c>
      <c r="FI59" s="1450" cm="1">
        <f t="array" ref="FI59">(BV59*SUMPRODUCT($S59:$X59,TRANSPOSE(Assumptions!R$281:R$286)))*0.001</f>
        <v>0.56060538982656316</v>
      </c>
      <c r="FJ59" s="1133">
        <f t="shared" si="207"/>
        <v>0</v>
      </c>
      <c r="FK59" s="1133">
        <f t="shared" si="208"/>
        <v>0</v>
      </c>
      <c r="FL59" s="1133">
        <f t="shared" si="209"/>
        <v>0</v>
      </c>
      <c r="FM59" s="1133">
        <f t="shared" si="210"/>
        <v>0</v>
      </c>
      <c r="FN59" s="1133">
        <f t="shared" si="211"/>
        <v>-0.3924000485709418</v>
      </c>
      <c r="FO59" s="1133">
        <f t="shared" si="212"/>
        <v>-0.56060538982656316</v>
      </c>
      <c r="FP59" s="1133">
        <f t="shared" si="213"/>
        <v>-0.56060538982656316</v>
      </c>
      <c r="FQ59" s="1133">
        <f t="shared" si="214"/>
        <v>-0.56060538982656316</v>
      </c>
      <c r="FR59" s="1133">
        <f t="shared" si="215"/>
        <v>-0.56060538982656316</v>
      </c>
      <c r="FS59" s="1133">
        <f t="shared" si="216"/>
        <v>-0.56060538982656316</v>
      </c>
      <c r="FT59" s="1133">
        <f t="shared" si="144"/>
        <v>-0.56060538982656316</v>
      </c>
      <c r="FU59" s="1133">
        <f t="shared" si="145"/>
        <v>-0.56060538982656316</v>
      </c>
      <c r="FV59" s="1133">
        <f t="shared" si="146"/>
        <v>-0.56060538982656316</v>
      </c>
      <c r="FW59" s="1133">
        <f t="shared" si="147"/>
        <v>-0.56060538982656316</v>
      </c>
      <c r="FX59" s="1886">
        <f t="shared" si="148"/>
        <v>-0.56060538982656316</v>
      </c>
      <c r="FY59" s="1896"/>
      <c r="FZ59" s="1892">
        <f t="shared" si="221"/>
        <v>0</v>
      </c>
      <c r="GA59" s="1203">
        <f t="shared" si="221"/>
        <v>0</v>
      </c>
      <c r="GB59" s="1203">
        <f t="shared" si="221"/>
        <v>0</v>
      </c>
      <c r="GC59" s="1203">
        <f t="shared" si="221"/>
        <v>0</v>
      </c>
      <c r="GD59" s="1203">
        <f t="shared" si="221"/>
        <v>231.56</v>
      </c>
      <c r="GE59" s="1203">
        <f t="shared" si="221"/>
        <v>99.259999999999991</v>
      </c>
      <c r="GF59" s="1203">
        <f t="shared" si="221"/>
        <v>0</v>
      </c>
      <c r="GG59" s="1203">
        <f t="shared" si="221"/>
        <v>0</v>
      </c>
      <c r="GH59" s="1203">
        <f t="shared" si="221"/>
        <v>0</v>
      </c>
      <c r="GI59" s="1203">
        <f t="shared" si="221"/>
        <v>0</v>
      </c>
      <c r="GJ59" s="1203">
        <f t="shared" si="221"/>
        <v>0</v>
      </c>
      <c r="GK59" s="1203">
        <f t="shared" si="221"/>
        <v>0</v>
      </c>
      <c r="GL59" s="1203">
        <f t="shared" si="221"/>
        <v>0</v>
      </c>
      <c r="GM59" s="1203">
        <f t="shared" si="221"/>
        <v>0</v>
      </c>
      <c r="GN59" s="1902">
        <f t="shared" si="221"/>
        <v>0</v>
      </c>
      <c r="GO59" s="1913"/>
      <c r="GP59" s="1908">
        <f>BH59*INDEX(Assumptions!G$565:G$570,MATCH($B59,Assumptions!$B$565:$B$570,0))</f>
        <v>0</v>
      </c>
      <c r="GQ59" s="1132">
        <f>BI59*INDEX(Assumptions!H$565:H$570,MATCH($B59,Assumptions!$B$565:$B$570,0))</f>
        <v>0</v>
      </c>
      <c r="GR59" s="1132">
        <f>BJ59*INDEX(Assumptions!I$565:I$570,MATCH($B59,Assumptions!$B$565:$B$570,0))</f>
        <v>0</v>
      </c>
      <c r="GS59" s="1132">
        <f>BK59*INDEX(Assumptions!J$565:J$570,MATCH($B59,Assumptions!$B$565:$B$570,0))</f>
        <v>0</v>
      </c>
      <c r="GT59" s="1132">
        <f>BL59*INDEX(Assumptions!K$565:K$570,MATCH($B59,Assumptions!$B$565:$B$570,0))</f>
        <v>19.302318540960606</v>
      </c>
      <c r="GU59" s="1132">
        <f>BM59*INDEX(Assumptions!L$565:L$570,MATCH($B59,Assumptions!$B$565:$B$570,0))</f>
        <v>26.700690376043326</v>
      </c>
      <c r="GV59" s="1132">
        <f>BN59*INDEX(Assumptions!M$565:M$570,MATCH($B59,Assumptions!$B$565:$B$570,0))</f>
        <v>25.820507806405676</v>
      </c>
      <c r="GW59" s="1132">
        <f>BO59*INDEX(Assumptions!N$565:N$570,MATCH($B59,Assumptions!$B$565:$B$570,0))</f>
        <v>24.929390195550976</v>
      </c>
      <c r="GX59" s="1132">
        <f>BP59*INDEX(Assumptions!O$565:O$570,MATCH($B59,Assumptions!$B$565:$B$570,0))</f>
        <v>24.021765270498246</v>
      </c>
      <c r="GY59" s="1132">
        <f>BQ59*INDEX(Assumptions!P$565:P$570,MATCH($B59,Assumptions!$B$565:$B$570,0))</f>
        <v>22.095788020054702</v>
      </c>
      <c r="GZ59" s="1132">
        <f>BR59*INDEX(Assumptions!Q$565:Q$570,MATCH($B59,Assumptions!$B$565:$B$570,0))</f>
        <v>6.8752469765192092</v>
      </c>
      <c r="HA59" s="1132">
        <f>BS59*INDEX(Assumptions!R$565:R$570,MATCH($B59,Assumptions!$B$565:$B$570,0))</f>
        <v>32.14134510878813</v>
      </c>
      <c r="HB59" s="1132">
        <f>BT59*INDEX(Assumptions!S$565:S$570,MATCH($B59,Assumptions!$B$565:$B$570,0))</f>
        <v>32.14134510878813</v>
      </c>
      <c r="HC59" s="1132">
        <f>BU59*INDEX(Assumptions!T$565:T$570,MATCH($B59,Assumptions!$B$565:$B$570,0))</f>
        <v>31.136789399914786</v>
      </c>
      <c r="HD59" s="1925">
        <f>BV59*INDEX(Assumptions!U$565:U$570,MATCH($B59,Assumptions!$B$565:$B$570,0))</f>
        <v>30.132233691041439</v>
      </c>
      <c r="HE59" s="1934"/>
      <c r="HF59" s="1932"/>
      <c r="HG59" s="1240"/>
      <c r="HH59" s="1240"/>
      <c r="HI59" s="1240"/>
      <c r="HJ59" s="1240"/>
      <c r="HK59" s="1240"/>
      <c r="HL59" s="1240"/>
      <c r="HM59" s="1240"/>
      <c r="HN59" s="1240"/>
      <c r="HO59" s="1240"/>
      <c r="HP59" s="1240"/>
      <c r="HQ59" s="1240"/>
      <c r="HR59" s="1240"/>
      <c r="HS59" s="1240"/>
      <c r="HT59" s="1240"/>
      <c r="HU59" s="1240"/>
      <c r="HV59" s="1132"/>
      <c r="HW59" s="1925"/>
      <c r="HX59" s="1947"/>
      <c r="HY59" s="1943"/>
      <c r="HZ59" s="695"/>
      <c r="IA59" s="1134" t="s">
        <v>636</v>
      </c>
      <c r="IB59" s="1135" t="s">
        <v>637</v>
      </c>
      <c r="IC59" s="1136"/>
      <c r="ID59" s="1376" t="s">
        <v>785</v>
      </c>
      <c r="IE59" s="1968"/>
      <c r="IF59" s="1966">
        <v>0</v>
      </c>
      <c r="IG59" s="539">
        <v>1</v>
      </c>
      <c r="IH59" s="539">
        <v>1</v>
      </c>
      <c r="II59" s="539">
        <v>0.5</v>
      </c>
      <c r="IJ59" s="539">
        <v>0.5</v>
      </c>
      <c r="IK59" s="1281">
        <v>0.5</v>
      </c>
      <c r="IL59" s="1287">
        <v>1</v>
      </c>
      <c r="IM59" s="1283" t="s">
        <v>783</v>
      </c>
    </row>
    <row r="60" spans="2:256" ht="13.5" customHeight="1" x14ac:dyDescent="0.3">
      <c r="B60" s="1703" t="s">
        <v>50</v>
      </c>
      <c r="C60" s="2113"/>
      <c r="D60" s="679" t="s">
        <v>786</v>
      </c>
      <c r="E60" s="1785" t="s">
        <v>787</v>
      </c>
      <c r="F60" s="1805"/>
      <c r="G60" s="1797"/>
      <c r="H60" s="1175" t="s">
        <v>788</v>
      </c>
      <c r="I60" s="13"/>
      <c r="J60" s="696"/>
      <c r="K60" s="1127" t="s">
        <v>564</v>
      </c>
      <c r="L60" s="1176" t="s">
        <v>719</v>
      </c>
      <c r="M60" s="1827"/>
      <c r="N60" s="1818">
        <v>1</v>
      </c>
      <c r="O60" s="1177"/>
      <c r="P60" s="1177"/>
      <c r="Q60" s="1177"/>
      <c r="R60" s="1177"/>
      <c r="S60" s="1445" cm="1">
        <f t="array" ref="S60:X60">TRANSPOSE(_xlfn.XLOOKUP(B60,Assumptions!$C$134:$I$134,Assumptions!$C$135:$I$140))</f>
        <v>0.10317241638291583</v>
      </c>
      <c r="T60" s="1445">
        <v>0.23872907169427657</v>
      </c>
      <c r="U60" s="1445">
        <v>3.2568433019642524E-3</v>
      </c>
      <c r="V60" s="1445">
        <v>4.5216233578577056E-2</v>
      </c>
      <c r="W60" s="1445">
        <v>9.7069623729229393E-2</v>
      </c>
      <c r="X60" s="1445">
        <v>0.51265511199796931</v>
      </c>
      <c r="Y60" s="1183" cm="1">
        <f t="array" ref="Y60:AC60">TRANSPOSE(_xlfn.ANCHORARRAY(Assumptions!$F$698))</f>
        <v>0.510495150787874</v>
      </c>
      <c r="Z60" s="1183">
        <v>8.3095626856569543E-2</v>
      </c>
      <c r="AA60" s="1183">
        <v>0.12648279660850237</v>
      </c>
      <c r="AB60" s="1183">
        <v>0.19450947219326029</v>
      </c>
      <c r="AC60" s="1183">
        <v>8.5416953553793806E-2</v>
      </c>
      <c r="AD60" s="1177"/>
      <c r="AE60" s="1177"/>
      <c r="AF60" s="1177"/>
      <c r="AG60" s="1177"/>
      <c r="AH60" s="1177"/>
      <c r="AI60" s="1177"/>
      <c r="AJ60" s="1177"/>
      <c r="AK60" s="1417">
        <f t="shared" si="176"/>
        <v>0</v>
      </c>
      <c r="AL60" s="1177"/>
      <c r="AM60" s="1177"/>
      <c r="AN60" s="1177"/>
      <c r="AO60" s="1221"/>
      <c r="AP60" s="1846"/>
      <c r="AQ60" s="1837">
        <f>AVERAGE(AR60:BA60)</f>
        <v>4.0984153000000001</v>
      </c>
      <c r="AR60" s="663"/>
      <c r="AS60" s="663"/>
      <c r="AT60" s="663"/>
      <c r="AU60" s="663"/>
      <c r="AV60" s="659">
        <f>_xlfn.XLOOKUP($D60,TalTech!$B$4:$B$46,TalTech!BB$4:BB$46)</f>
        <v>4.0984153000000001</v>
      </c>
      <c r="AW60" s="659">
        <f>_xlfn.XLOOKUP($D60,TalTech!$B$4:$B$46,TalTech!BC$4:BC$46)</f>
        <v>4.0984153000000001</v>
      </c>
      <c r="AX60" s="659">
        <f>_xlfn.XLOOKUP($D60,TalTech!$B$4:$B$46,TalTech!BD$4:BD$46)</f>
        <v>4.0984153000000001</v>
      </c>
      <c r="AY60" s="659">
        <f>_xlfn.XLOOKUP($D60,TalTech!$B$4:$B$46,TalTech!BE$4:BE$46)</f>
        <v>4.0984153000000001</v>
      </c>
      <c r="AZ60" s="659">
        <f>_xlfn.XLOOKUP($D60,TalTech!$B$4:$B$46,TalTech!BF$4:BF$46)</f>
        <v>4.0984153000000001</v>
      </c>
      <c r="BA60" s="659">
        <f>_xlfn.XLOOKUP($D60,TalTech!$B$4:$B$46,TalTech!BG$4:BG$46)</f>
        <v>4.0984153000000001</v>
      </c>
      <c r="BB60" s="659">
        <f>_xlfn.XLOOKUP($D60,TalTech!$B$4:$B$46,TalTech!BH$4:BH$46)</f>
        <v>4.0984153000000001</v>
      </c>
      <c r="BC60" s="659">
        <f>_xlfn.XLOOKUP($D60,TalTech!$B$4:$B$46,TalTech!BI$4:BI$46)</f>
        <v>4.0984153000000001</v>
      </c>
      <c r="BD60" s="659">
        <f>_xlfn.XLOOKUP($D60,TalTech!$B$4:$B$46,TalTech!BJ$4:BJ$46)</f>
        <v>4.0984153000000001</v>
      </c>
      <c r="BE60" s="659">
        <f>_xlfn.XLOOKUP($D60,TalTech!$B$4:$B$46,TalTech!BK$4:BK$46)</f>
        <v>4.0984153000000001</v>
      </c>
      <c r="BF60" s="659">
        <f>_xlfn.XLOOKUP($D60,TalTech!$B$4:$B$46,TalTech!BL$4:BL$46)</f>
        <v>4.0984153000000001</v>
      </c>
      <c r="BG60" s="501">
        <f t="shared" si="177"/>
        <v>4.0984153000000001</v>
      </c>
      <c r="BH60" s="893">
        <f t="shared" si="111"/>
        <v>0</v>
      </c>
      <c r="BI60" s="658">
        <f t="shared" si="112"/>
        <v>0</v>
      </c>
      <c r="BJ60" s="658">
        <f t="shared" si="113"/>
        <v>0</v>
      </c>
      <c r="BK60" s="658">
        <f t="shared" si="114"/>
        <v>0</v>
      </c>
      <c r="BL60" s="658">
        <f t="shared" si="115"/>
        <v>4.0984153000000001</v>
      </c>
      <c r="BM60" s="658">
        <f t="shared" si="116"/>
        <v>8.1968306000000002</v>
      </c>
      <c r="BN60" s="658">
        <f t="shared" si="117"/>
        <v>12.295245900000001</v>
      </c>
      <c r="BO60" s="658">
        <f t="shared" si="118"/>
        <v>16.3936612</v>
      </c>
      <c r="BP60" s="658">
        <f t="shared" si="119"/>
        <v>20.4920765</v>
      </c>
      <c r="BQ60" s="658">
        <f t="shared" si="120"/>
        <v>24.590491799999999</v>
      </c>
      <c r="BR60" s="658">
        <f t="shared" si="121"/>
        <v>28.688907099999998</v>
      </c>
      <c r="BS60" s="658">
        <f t="shared" si="122"/>
        <v>32.787322400000001</v>
      </c>
      <c r="BT60" s="658">
        <f t="shared" si="123"/>
        <v>36.8857377</v>
      </c>
      <c r="BU60" s="658">
        <f t="shared" si="124"/>
        <v>40.984152999999999</v>
      </c>
      <c r="BV60" s="1851">
        <f t="shared" si="125"/>
        <v>45.082568299999998</v>
      </c>
      <c r="BW60" s="1661"/>
      <c r="BX60" s="1855">
        <f>TalTech!F22</f>
        <v>10</v>
      </c>
      <c r="BY60" s="1192">
        <f t="shared" si="126"/>
        <v>406.70248239540081</v>
      </c>
      <c r="BZ60" s="663"/>
      <c r="CA60" s="663"/>
      <c r="CB60" s="663"/>
      <c r="CC60" s="663"/>
      <c r="CD60" s="675">
        <f>_xlfn.XLOOKUP($D60,TalTech!$B$4:$B$46,TalTech!BM$4:BM$46)</f>
        <v>1.6668356763972914</v>
      </c>
      <c r="CE60" s="675">
        <f>_xlfn.XLOOKUP($D60,TalTech!$B$4:$B$46,TalTech!BN$4:BN$46)</f>
        <v>1.6668356763972914</v>
      </c>
      <c r="CF60" s="675">
        <f>_xlfn.XLOOKUP($D60,TalTech!$B$4:$B$46,TalTech!BO$4:BO$46)</f>
        <v>1.6668356763972914</v>
      </c>
      <c r="CG60" s="675">
        <f>_xlfn.XLOOKUP($D60,TalTech!$B$4:$B$46,TalTech!BP$4:BP$46)</f>
        <v>1.6668356763972914</v>
      </c>
      <c r="CH60" s="675">
        <f>_xlfn.XLOOKUP($D60,TalTech!$B$4:$B$46,TalTech!BQ$4:BQ$46)</f>
        <v>1.6668356763972914</v>
      </c>
      <c r="CI60" s="675">
        <f>_xlfn.XLOOKUP($D60,TalTech!$B$4:$B$46,TalTech!BR$4:BR$46)</f>
        <v>1.6668356763972914</v>
      </c>
      <c r="CJ60" s="675">
        <f>_xlfn.XLOOKUP($D60,TalTech!$B$4:$B$46,TalTech!BS$4:BS$46)</f>
        <v>1.6668356763972914</v>
      </c>
      <c r="CK60" s="675">
        <f>_xlfn.XLOOKUP($D60,TalTech!$B$4:$B$46,TalTech!BT$4:BT$46)</f>
        <v>1.6668356763972914</v>
      </c>
      <c r="CL60" s="675">
        <f>_xlfn.XLOOKUP($D60,TalTech!$B$4:$B$46,TalTech!BU$4:BU$46)</f>
        <v>1.6668356763972914</v>
      </c>
      <c r="CM60" s="675">
        <f>_xlfn.XLOOKUP($D60,TalTech!$B$4:$B$46,TalTech!BV$4:BV$46)</f>
        <v>1.6668356763972914</v>
      </c>
      <c r="CN60" s="675">
        <f>_xlfn.XLOOKUP($D60,TalTech!$B$4:$B$46,TalTech!BW$4:BW$46)</f>
        <v>1.6668356763972914</v>
      </c>
      <c r="CO60" s="493">
        <f t="shared" si="178"/>
        <v>1.6668356763972911</v>
      </c>
      <c r="CP60" s="660">
        <f t="shared" si="127"/>
        <v>10.001014058383747</v>
      </c>
      <c r="CQ60" s="1193">
        <f>_xlfn.XLOOKUP($D60,TalTech!$B$4:$B$46,TalTech!$H$4:$H$46)</f>
        <v>0.2</v>
      </c>
      <c r="CR60" s="662">
        <f t="shared" si="128"/>
        <v>0.8</v>
      </c>
      <c r="CS60" s="693" t="str">
        <v>Government (State aid)</v>
      </c>
      <c r="CT60" s="1862">
        <f t="shared" si="218"/>
        <v>1.6668356763972911</v>
      </c>
      <c r="CU60" s="1872"/>
      <c r="CV60" s="1867">
        <f>BH60*Assumptions!D$495</f>
        <v>0</v>
      </c>
      <c r="CW60" s="680">
        <f>BI60*Assumptions!E$495</f>
        <v>0</v>
      </c>
      <c r="CX60" s="680">
        <f>BJ60*Assumptions!F$495</f>
        <v>0</v>
      </c>
      <c r="CY60" s="680">
        <f>BK60*Assumptions!G$495</f>
        <v>0</v>
      </c>
      <c r="CZ60" s="680">
        <f>BL60*Assumptions!H$495</f>
        <v>0.32554117937253796</v>
      </c>
      <c r="DA60" s="680">
        <f>BM60*Assumptions!I$495</f>
        <v>0.66799606530585687</v>
      </c>
      <c r="DB60" s="680">
        <f>BN60*Assumptions!J$495</f>
        <v>1.0292010226408015</v>
      </c>
      <c r="DC60" s="680">
        <f>BO60*Assumptions!K$495</f>
        <v>1.4092240130060476</v>
      </c>
      <c r="DD60" s="680">
        <f>BP60*Assumptions!L$495</f>
        <v>1.8098184109474247</v>
      </c>
      <c r="DE60" s="680">
        <f>BQ60*Assumptions!M$495</f>
        <v>2.228400719984871</v>
      </c>
      <c r="DF60" s="680">
        <f>BR60*Assumptions!N$495</f>
        <v>2.6690446278633142</v>
      </c>
      <c r="DG60" s="680">
        <f>BS60*Assumptions!O$495</f>
        <v>3.1318465478636663</v>
      </c>
      <c r="DH60" s="680">
        <f>BT60*Assumptions!P$495</f>
        <v>3.6177768822132301</v>
      </c>
      <c r="DI60" s="680">
        <f>BU60*Assumptions!Q$495</f>
        <v>4.1278443150620365</v>
      </c>
      <c r="DJ60" s="680">
        <f>BV60*Assumptions!R$495</f>
        <v>4.6630972360362071</v>
      </c>
      <c r="DK60" s="680">
        <f t="shared" si="222"/>
        <v>0</v>
      </c>
      <c r="DL60" s="680">
        <f t="shared" si="223"/>
        <v>0</v>
      </c>
      <c r="DM60" s="680">
        <f t="shared" si="224"/>
        <v>0</v>
      </c>
      <c r="DN60" s="680">
        <f t="shared" si="225"/>
        <v>0</v>
      </c>
      <c r="DO60" s="680">
        <f t="shared" si="226"/>
        <v>0.32554117937253796</v>
      </c>
      <c r="DP60" s="680">
        <f t="shared" si="227"/>
        <v>0.66799606530585687</v>
      </c>
      <c r="DQ60" s="680">
        <f t="shared" si="228"/>
        <v>1.0292010226408015</v>
      </c>
      <c r="DR60" s="680">
        <f t="shared" si="229"/>
        <v>1.4092240130060476</v>
      </c>
      <c r="DS60" s="680">
        <f t="shared" si="230"/>
        <v>1.8098184109474247</v>
      </c>
      <c r="DT60" s="680">
        <f t="shared" si="231"/>
        <v>2.228400719984871</v>
      </c>
      <c r="DU60" s="680">
        <f t="shared" si="220"/>
        <v>2.6690446278633142</v>
      </c>
      <c r="DV60" s="680">
        <f t="shared" si="220"/>
        <v>3.1318465478636663</v>
      </c>
      <c r="DW60" s="680">
        <f t="shared" si="220"/>
        <v>3.6177768822132301</v>
      </c>
      <c r="DX60" s="680">
        <f t="shared" si="220"/>
        <v>4.1278443150620365</v>
      </c>
      <c r="DY60" s="680">
        <f t="shared" si="220"/>
        <v>4.6630972360362071</v>
      </c>
      <c r="DZ60" s="678">
        <v>0</v>
      </c>
      <c r="EA60" s="661">
        <f t="shared" si="130"/>
        <v>1</v>
      </c>
      <c r="EB60" s="1861">
        <f t="shared" si="131"/>
        <v>0.74701814112575404</v>
      </c>
      <c r="EC60" s="1881"/>
      <c r="ED60" s="1877">
        <v>0</v>
      </c>
      <c r="EE60" s="684"/>
      <c r="EF60" s="684"/>
      <c r="EG60" s="684"/>
      <c r="EH60" s="684"/>
      <c r="EI60" s="665">
        <f t="shared" si="196"/>
        <v>0.42670993315770667</v>
      </c>
      <c r="EJ60" s="665">
        <f t="shared" si="197"/>
        <v>0.42670993315770667</v>
      </c>
      <c r="EK60" s="665">
        <f t="shared" si="198"/>
        <v>0.42670993315770667</v>
      </c>
      <c r="EL60" s="665">
        <f t="shared" si="199"/>
        <v>0.42670993315770667</v>
      </c>
      <c r="EM60" s="665">
        <f t="shared" si="200"/>
        <v>0.42670993315770667</v>
      </c>
      <c r="EN60" s="665">
        <f t="shared" si="201"/>
        <v>0.42670993315770667</v>
      </c>
      <c r="EO60" s="665">
        <f t="shared" si="202"/>
        <v>0.42670993315770667</v>
      </c>
      <c r="EP60" s="665">
        <f t="shared" si="203"/>
        <v>0.42670993315770667</v>
      </c>
      <c r="EQ60" s="665">
        <f t="shared" si="204"/>
        <v>0.42670993315770667</v>
      </c>
      <c r="ER60" s="665">
        <f t="shared" si="205"/>
        <v>0.42670993315770667</v>
      </c>
      <c r="ES60" s="665">
        <f t="shared" si="206"/>
        <v>0.42670993315770667</v>
      </c>
      <c r="ET60" s="541">
        <f t="shared" si="133"/>
        <v>0.4267099331577065</v>
      </c>
      <c r="EU60" s="1450" cm="1">
        <f t="array" ref="EU60">(BH60*SUMPRODUCT($S60:$X60,TRANSPOSE(Assumptions!D$281:D$286)))*0.001</f>
        <v>0</v>
      </c>
      <c r="EV60" s="1450" cm="1">
        <f t="array" ref="EV60">(BI60*SUMPRODUCT($S60:$X60,TRANSPOSE(Assumptions!E$281:E$286)))*0.001</f>
        <v>0</v>
      </c>
      <c r="EW60" s="1450" cm="1">
        <f t="array" ref="EW60">(BJ60*SUMPRODUCT($S60:$X60,TRANSPOSE(Assumptions!F$281:F$286)))*0.001</f>
        <v>0</v>
      </c>
      <c r="EX60" s="1450" cm="1">
        <f t="array" ref="EX60">(BK60*SUMPRODUCT($S60:$X60,TRANSPOSE(Assumptions!G$281:G$286)))*0.001</f>
        <v>0</v>
      </c>
      <c r="EY60" s="1450" cm="1">
        <f t="array" ref="EY60">(BL60*SUMPRODUCT($S60:$X60,TRANSPOSE(Assumptions!H$281:H$286)))*0.001</f>
        <v>3.9544522392870353E-2</v>
      </c>
      <c r="EZ60" s="1450" cm="1">
        <f t="array" ref="EZ60">(BM60*SUMPRODUCT($S60:$X60,TRANSPOSE(Assumptions!I$281:I$286)))*0.001</f>
        <v>7.9089044785740706E-2</v>
      </c>
      <c r="FA60" s="1450" cm="1">
        <f t="array" ref="FA60">(BN60*SUMPRODUCT($S60:$X60,TRANSPOSE(Assumptions!J$281:J$286)))*0.001</f>
        <v>0.11863356717861108</v>
      </c>
      <c r="FB60" s="1450" cm="1">
        <f t="array" ref="FB60">(BO60*SUMPRODUCT($S60:$X60,TRANSPOSE(Assumptions!K$281:K$286)))*0.001</f>
        <v>0.15817808957148141</v>
      </c>
      <c r="FC60" s="1450" cm="1">
        <f t="array" ref="FC60">(BP60*SUMPRODUCT($S60:$X60,TRANSPOSE(Assumptions!L$281:L$286)))*0.001</f>
        <v>0.19772261196435179</v>
      </c>
      <c r="FD60" s="1450" cm="1">
        <f t="array" ref="FD60">(BQ60*SUMPRODUCT($S60:$X60,TRANSPOSE(Assumptions!M$281:M$286)))*0.001</f>
        <v>0.23726713435722213</v>
      </c>
      <c r="FE60" s="1450" cm="1">
        <f t="array" ref="FE60">(BR60*SUMPRODUCT($S60:$X60,TRANSPOSE(Assumptions!N$281:N$286)))*0.001</f>
        <v>0.27681165675009251</v>
      </c>
      <c r="FF60" s="1450" cm="1">
        <f t="array" ref="FF60">(BS60*SUMPRODUCT($S60:$X60,TRANSPOSE(Assumptions!O$281:O$286)))*0.001</f>
        <v>0.31635617914296282</v>
      </c>
      <c r="FG60" s="1450" cm="1">
        <f t="array" ref="FG60">(BT60*SUMPRODUCT($S60:$X60,TRANSPOSE(Assumptions!P$281:P$286)))*0.001</f>
        <v>0.3559007015358332</v>
      </c>
      <c r="FH60" s="1450" cm="1">
        <f t="array" ref="FH60">(BU60*SUMPRODUCT($S60:$X60,TRANSPOSE(Assumptions!Q$281:Q$286)))*0.001</f>
        <v>0.39544522392870357</v>
      </c>
      <c r="FI60" s="1450" cm="1">
        <f t="array" ref="FI60">(BV60*SUMPRODUCT($S60:$X60,TRANSPOSE(Assumptions!R$281:R$286)))*0.001</f>
        <v>0.43498974632157389</v>
      </c>
      <c r="FJ60" s="666">
        <f t="shared" si="207"/>
        <v>0</v>
      </c>
      <c r="FK60" s="666">
        <f t="shared" si="208"/>
        <v>0</v>
      </c>
      <c r="FL60" s="666">
        <f t="shared" si="209"/>
        <v>0</v>
      </c>
      <c r="FM60" s="666">
        <f t="shared" si="210"/>
        <v>0</v>
      </c>
      <c r="FN60" s="666">
        <f t="shared" si="211"/>
        <v>0.38716541076483629</v>
      </c>
      <c r="FO60" s="666">
        <f t="shared" si="212"/>
        <v>0.34762088837196597</v>
      </c>
      <c r="FP60" s="666">
        <f t="shared" si="213"/>
        <v>0.3080763659790956</v>
      </c>
      <c r="FQ60" s="666">
        <f t="shared" si="214"/>
        <v>0.26853184358622528</v>
      </c>
      <c r="FR60" s="666">
        <f t="shared" si="215"/>
        <v>0.22898732119335488</v>
      </c>
      <c r="FS60" s="666">
        <f t="shared" si="216"/>
        <v>0.18944279880048454</v>
      </c>
      <c r="FT60" s="666">
        <f t="shared" si="144"/>
        <v>0.14989827640761416</v>
      </c>
      <c r="FU60" s="666">
        <f t="shared" si="145"/>
        <v>0.11035375401474384</v>
      </c>
      <c r="FV60" s="666">
        <f t="shared" si="146"/>
        <v>7.080923162187347E-2</v>
      </c>
      <c r="FW60" s="666">
        <f t="shared" si="147"/>
        <v>3.1264709229003096E-2</v>
      </c>
      <c r="FX60" s="1883">
        <f t="shared" si="148"/>
        <v>-8.2798131638672223E-3</v>
      </c>
      <c r="FY60" s="1895"/>
      <c r="FZ60" s="1888">
        <f t="shared" si="221"/>
        <v>0</v>
      </c>
      <c r="GA60" s="665">
        <f t="shared" si="221"/>
        <v>0</v>
      </c>
      <c r="GB60" s="665">
        <f t="shared" si="221"/>
        <v>0</v>
      </c>
      <c r="GC60" s="665">
        <f t="shared" si="221"/>
        <v>0</v>
      </c>
      <c r="GD60" s="665">
        <f t="shared" si="221"/>
        <v>23.33569946956208</v>
      </c>
      <c r="GE60" s="665">
        <f t="shared" si="221"/>
        <v>23.33569946956208</v>
      </c>
      <c r="GF60" s="665">
        <f t="shared" si="221"/>
        <v>23.33569946956208</v>
      </c>
      <c r="GG60" s="665">
        <f t="shared" si="221"/>
        <v>23.33569946956208</v>
      </c>
      <c r="GH60" s="665">
        <f t="shared" si="221"/>
        <v>23.33569946956208</v>
      </c>
      <c r="GI60" s="665">
        <f t="shared" si="221"/>
        <v>23.33569946956208</v>
      </c>
      <c r="GJ60" s="665">
        <f t="shared" si="221"/>
        <v>23.33569946956208</v>
      </c>
      <c r="GK60" s="665">
        <f t="shared" si="221"/>
        <v>23.33569946956208</v>
      </c>
      <c r="GL60" s="665">
        <f t="shared" si="221"/>
        <v>23.33569946956208</v>
      </c>
      <c r="GM60" s="665">
        <f t="shared" si="221"/>
        <v>23.33569946956208</v>
      </c>
      <c r="GN60" s="1898">
        <f t="shared" si="221"/>
        <v>23.33569946956208</v>
      </c>
      <c r="GO60" s="1911"/>
      <c r="GP60" s="1868">
        <f>BH60*INDEX(Assumptions!G$565:G$570,MATCH($B60,Assumptions!$B$565:$B$570,0))</f>
        <v>0</v>
      </c>
      <c r="GQ60" s="656">
        <f>BI60*INDEX(Assumptions!H$565:H$570,MATCH($B60,Assumptions!$B$565:$B$570,0))</f>
        <v>0</v>
      </c>
      <c r="GR60" s="656">
        <f>BJ60*INDEX(Assumptions!I$565:I$570,MATCH($B60,Assumptions!$B$565:$B$570,0))</f>
        <v>0</v>
      </c>
      <c r="GS60" s="656">
        <f>BK60*INDEX(Assumptions!J$565:J$570,MATCH($B60,Assumptions!$B$565:$B$570,0))</f>
        <v>0</v>
      </c>
      <c r="GT60" s="656">
        <f>BL60*INDEX(Assumptions!K$565:K$570,MATCH($B60,Assumptions!$B$565:$B$570,0))</f>
        <v>1.9452111959648155</v>
      </c>
      <c r="GU60" s="656">
        <f>BM60*INDEX(Assumptions!L$565:L$570,MATCH($B60,Assumptions!$B$565:$B$570,0))</f>
        <v>3.7668779774208061</v>
      </c>
      <c r="GV60" s="656">
        <f>BN60*INDEX(Assumptions!M$565:M$570,MATCH($B60,Assumptions!$B$565:$B$570,0))</f>
        <v>5.4640554711483391</v>
      </c>
      <c r="GW60" s="656">
        <f>BO60*INDEX(Assumptions!N$565:N$570,MATCH($B60,Assumptions!$B$565:$B$570,0))</f>
        <v>7.0339732490517504</v>
      </c>
      <c r="GX60" s="656">
        <f>BP60*INDEX(Assumptions!O$565:O$570,MATCH($B60,Assumptions!$B$565:$B$570,0))</f>
        <v>8.4723519599889769</v>
      </c>
      <c r="GY60" s="656">
        <f>BQ60*INDEX(Assumptions!P$565:P$570,MATCH($B60,Assumptions!$B$565:$B$570,0))</f>
        <v>9.3516837333742817</v>
      </c>
      <c r="GZ60" s="656">
        <f>BR60*INDEX(Assumptions!Q$565:Q$570,MATCH($B60,Assumptions!$B$565:$B$570,0))</f>
        <v>3.3948095053547944</v>
      </c>
      <c r="HA60" s="656">
        <f>BS60*INDEX(Assumptions!R$565:R$570,MATCH($B60,Assumptions!$B$565:$B$570,0))</f>
        <v>18.137737017257937</v>
      </c>
      <c r="HB60" s="656">
        <f>BT60*INDEX(Assumptions!S$565:S$570,MATCH($B60,Assumptions!$B$565:$B$570,0))</f>
        <v>20.404954144415179</v>
      </c>
      <c r="HC60" s="656">
        <f>BU60*INDEX(Assumptions!T$565:T$570,MATCH($B60,Assumptions!$B$565:$B$570,0))</f>
        <v>21.963568099977557</v>
      </c>
      <c r="HD60" s="1922">
        <f>BV60*INDEX(Assumptions!U$565:U$570,MATCH($B60,Assumptions!$B$565:$B$570,0))</f>
        <v>23.380461421220964</v>
      </c>
      <c r="HE60" s="1933"/>
      <c r="HF60" s="1927"/>
      <c r="HG60" s="501"/>
      <c r="HH60" s="501"/>
      <c r="HI60" s="501"/>
      <c r="HJ60" s="501"/>
      <c r="HK60" s="501"/>
      <c r="HL60" s="501"/>
      <c r="HM60" s="501"/>
      <c r="HN60" s="501"/>
      <c r="HO60" s="501"/>
      <c r="HP60" s="501"/>
      <c r="HQ60" s="501"/>
      <c r="HR60" s="501"/>
      <c r="HS60" s="501"/>
      <c r="HT60" s="501"/>
      <c r="HU60" s="501"/>
      <c r="HV60" s="656"/>
      <c r="HW60" s="1922"/>
      <c r="HX60" s="1946"/>
      <c r="HY60" s="1943"/>
      <c r="HZ60" s="695"/>
      <c r="IA60" s="683"/>
      <c r="IB60" s="683"/>
      <c r="IC60" s="694"/>
      <c r="ID60" s="1376"/>
      <c r="IE60" s="1968"/>
      <c r="IF60" s="1963">
        <v>0</v>
      </c>
      <c r="IG60" s="538">
        <v>1</v>
      </c>
      <c r="IH60" s="538">
        <v>1</v>
      </c>
      <c r="II60" s="538">
        <v>0.5</v>
      </c>
      <c r="IJ60" s="538">
        <v>0.5</v>
      </c>
      <c r="IK60" s="1281">
        <v>0.5</v>
      </c>
      <c r="IL60" s="1284">
        <v>0.5</v>
      </c>
      <c r="IM60" s="1289" t="s">
        <v>787</v>
      </c>
    </row>
    <row r="61" spans="2:256" ht="22.5" customHeight="1" x14ac:dyDescent="0.3">
      <c r="B61" s="1703" t="s">
        <v>50</v>
      </c>
      <c r="C61" s="2113"/>
      <c r="D61" s="679" t="s">
        <v>789</v>
      </c>
      <c r="E61" s="1784" t="s">
        <v>790</v>
      </c>
      <c r="F61" s="1805"/>
      <c r="G61" s="1797"/>
      <c r="H61" s="70" t="s">
        <v>791</v>
      </c>
      <c r="I61" s="13"/>
      <c r="J61" s="696"/>
      <c r="K61" s="1127" t="s">
        <v>564</v>
      </c>
      <c r="L61" s="1176" t="s">
        <v>719</v>
      </c>
      <c r="M61" s="1827"/>
      <c r="N61" s="1818">
        <v>1</v>
      </c>
      <c r="O61" s="1177"/>
      <c r="P61" s="1177"/>
      <c r="Q61" s="1177"/>
      <c r="R61" s="1177"/>
      <c r="S61" s="1445" cm="1">
        <f t="array" ref="S61:X61">TRANSPOSE(_xlfn.XLOOKUP(B61,Assumptions!$C$134:$I$134,Assumptions!$C$135:$I$140))</f>
        <v>0.10317241638291583</v>
      </c>
      <c r="T61" s="1445">
        <v>0.23872907169427657</v>
      </c>
      <c r="U61" s="1445">
        <v>3.2568433019642524E-3</v>
      </c>
      <c r="V61" s="1445">
        <v>4.5216233578577056E-2</v>
      </c>
      <c r="W61" s="1445">
        <v>9.7069623729229393E-2</v>
      </c>
      <c r="X61" s="1445">
        <v>0.51265511199796931</v>
      </c>
      <c r="Y61" s="1183" cm="1">
        <f t="array" ref="Y61:AC61">TRANSPOSE(_xlfn.ANCHORARRAY(Assumptions!$F$698))</f>
        <v>0.510495150787874</v>
      </c>
      <c r="Z61" s="1183">
        <v>8.3095626856569543E-2</v>
      </c>
      <c r="AA61" s="1183">
        <v>0.12648279660850237</v>
      </c>
      <c r="AB61" s="1183">
        <v>0.19450947219326029</v>
      </c>
      <c r="AC61" s="1183">
        <v>8.5416953553793806E-2</v>
      </c>
      <c r="AD61" s="1177"/>
      <c r="AE61" s="1177"/>
      <c r="AF61" s="1177"/>
      <c r="AG61" s="1177"/>
      <c r="AH61" s="1177"/>
      <c r="AI61" s="1177"/>
      <c r="AJ61" s="1177"/>
      <c r="AK61" s="1417">
        <f t="shared" si="176"/>
        <v>0</v>
      </c>
      <c r="AL61" s="1177"/>
      <c r="AM61" s="1177"/>
      <c r="AN61" s="1177"/>
      <c r="AO61" s="1221"/>
      <c r="AP61" s="1846"/>
      <c r="AQ61" s="1837">
        <f>AVERAGE(AR61:BA61)</f>
        <v>34.423197806766865</v>
      </c>
      <c r="AR61" s="663"/>
      <c r="AS61" s="663"/>
      <c r="AT61" s="663"/>
      <c r="AU61" s="680">
        <f>_xlfn.XLOOKUP($D61,'KLIM 2021-30'!$C$4:$C$57,'KLIM 2021-30'!W$4:W$57)</f>
        <v>34.423197806766865</v>
      </c>
      <c r="AV61" s="663"/>
      <c r="AW61" s="663"/>
      <c r="AX61" s="663"/>
      <c r="AY61" s="663"/>
      <c r="AZ61" s="663"/>
      <c r="BA61" s="663"/>
      <c r="BB61" s="663"/>
      <c r="BC61" s="663"/>
      <c r="BD61" s="663"/>
      <c r="BE61" s="663"/>
      <c r="BF61" s="663"/>
      <c r="BG61" s="501">
        <f t="shared" si="177"/>
        <v>34.423197806766865</v>
      </c>
      <c r="BH61" s="893">
        <f t="shared" si="111"/>
        <v>0</v>
      </c>
      <c r="BI61" s="658">
        <f t="shared" si="112"/>
        <v>0</v>
      </c>
      <c r="BJ61" s="658">
        <f t="shared" si="113"/>
        <v>0</v>
      </c>
      <c r="BK61" s="658">
        <f t="shared" si="114"/>
        <v>34.423197806766865</v>
      </c>
      <c r="BL61" s="658">
        <f t="shared" si="115"/>
        <v>34.423197806766865</v>
      </c>
      <c r="BM61" s="658">
        <f t="shared" si="116"/>
        <v>34.423197806766865</v>
      </c>
      <c r="BN61" s="658">
        <f t="shared" si="117"/>
        <v>34.423197806766865</v>
      </c>
      <c r="BO61" s="658">
        <f t="shared" si="118"/>
        <v>34.423197806766865</v>
      </c>
      <c r="BP61" s="658">
        <f t="shared" si="119"/>
        <v>34.423197806766865</v>
      </c>
      <c r="BQ61" s="658">
        <f t="shared" si="120"/>
        <v>34.423197806766865</v>
      </c>
      <c r="BR61" s="658">
        <f t="shared" si="121"/>
        <v>34.423197806766865</v>
      </c>
      <c r="BS61" s="658">
        <f t="shared" si="122"/>
        <v>34.423197806766865</v>
      </c>
      <c r="BT61" s="658">
        <f t="shared" si="123"/>
        <v>34.423197806766865</v>
      </c>
      <c r="BU61" s="658">
        <f t="shared" si="124"/>
        <v>34.423197806766865</v>
      </c>
      <c r="BV61" s="1851">
        <f t="shared" si="125"/>
        <v>34.423197806766865</v>
      </c>
      <c r="BW61" s="1661"/>
      <c r="BX61" s="1854">
        <f>(_xlfn.XLOOKUP(D61,'KLIM 2021-30'!$C$4:$C$40,'KLIM 2021-30'!$G$4:$G$40)/1000000)/CQ61</f>
        <v>46.666666666666671</v>
      </c>
      <c r="BY61" s="1192">
        <f t="shared" si="126"/>
        <v>1355.6749413180028</v>
      </c>
      <c r="BZ61" s="663"/>
      <c r="CA61" s="663"/>
      <c r="CB61" s="663"/>
      <c r="CC61" s="680">
        <f>($BX61)*(AU61/SUM($AR61:$BA61))</f>
        <v>46.666666666666671</v>
      </c>
      <c r="CD61" s="663"/>
      <c r="CE61" s="663"/>
      <c r="CF61" s="663"/>
      <c r="CG61" s="663"/>
      <c r="CH61" s="663"/>
      <c r="CI61" s="663"/>
      <c r="CJ61" s="663"/>
      <c r="CK61" s="663"/>
      <c r="CL61" s="663"/>
      <c r="CM61" s="663"/>
      <c r="CN61" s="663"/>
      <c r="CO61" s="493">
        <f t="shared" si="178"/>
        <v>46.666666666666671</v>
      </c>
      <c r="CP61" s="660">
        <f t="shared" si="127"/>
        <v>46.666666666666671</v>
      </c>
      <c r="CQ61" s="1193">
        <f>_xlfn.XLOOKUP($D61,TalTech!$B$4:$B$46,TalTech!$H$4:$H$46)</f>
        <v>0.3</v>
      </c>
      <c r="CR61" s="662">
        <f t="shared" si="128"/>
        <v>0.7</v>
      </c>
      <c r="CS61" s="693" t="str">
        <v>EU support + government</v>
      </c>
      <c r="CT61" s="1862">
        <f t="shared" si="218"/>
        <v>46.666666666666671</v>
      </c>
      <c r="CU61" s="1872"/>
      <c r="CV61" s="1867">
        <f>BH61*Assumptions!D$495</f>
        <v>0</v>
      </c>
      <c r="CW61" s="680">
        <f>BI61*Assumptions!E$495</f>
        <v>0</v>
      </c>
      <c r="CX61" s="680">
        <f>BJ61*Assumptions!F$495</f>
        <v>0</v>
      </c>
      <c r="CY61" s="680">
        <f>BK61*Assumptions!G$495</f>
        <v>2.6184345360343837</v>
      </c>
      <c r="CZ61" s="680">
        <f>BL61*Assumptions!H$495</f>
        <v>2.7342686359259512</v>
      </c>
      <c r="DA61" s="680">
        <f>BM61*Assumptions!I$495</f>
        <v>2.8052990005875524</v>
      </c>
      <c r="DB61" s="680">
        <f>BN61*Assumptions!J$495</f>
        <v>2.8814706654456623</v>
      </c>
      <c r="DC61" s="680">
        <f>BO61*Assumptions!K$495</f>
        <v>2.9590703603020034</v>
      </c>
      <c r="DD61" s="680">
        <f>BP61*Assumptions!L$495</f>
        <v>3.04018663771686</v>
      </c>
      <c r="DE61" s="680">
        <f>BQ61*Assumptions!M$495</f>
        <v>3.1194446780759755</v>
      </c>
      <c r="DF61" s="680">
        <f>BR61*Assumptions!N$495</f>
        <v>3.2025287983182644</v>
      </c>
      <c r="DG61" s="680">
        <f>BS61*Assumptions!O$495</f>
        <v>3.2881054421678222</v>
      </c>
      <c r="DH61" s="680">
        <f>BT61*Assumptions!P$495</f>
        <v>3.3762493853328661</v>
      </c>
      <c r="DI61" s="680">
        <f>BU61*Assumptions!Q$495</f>
        <v>3.467037646792861</v>
      </c>
      <c r="DJ61" s="680">
        <f>BV61*Assumptions!R$495</f>
        <v>3.5605495560966567</v>
      </c>
      <c r="DK61" s="680">
        <f t="shared" si="222"/>
        <v>0</v>
      </c>
      <c r="DL61" s="680">
        <f t="shared" si="223"/>
        <v>0</v>
      </c>
      <c r="DM61" s="680">
        <f t="shared" si="224"/>
        <v>0</v>
      </c>
      <c r="DN61" s="680">
        <f t="shared" si="225"/>
        <v>2.6184345360343837</v>
      </c>
      <c r="DO61" s="680">
        <f t="shared" si="226"/>
        <v>2.7342686359259512</v>
      </c>
      <c r="DP61" s="680">
        <f t="shared" si="227"/>
        <v>2.8052990005875524</v>
      </c>
      <c r="DQ61" s="680">
        <f t="shared" si="228"/>
        <v>2.8814706654456623</v>
      </c>
      <c r="DR61" s="680">
        <f t="shared" si="229"/>
        <v>2.9590703603020034</v>
      </c>
      <c r="DS61" s="680">
        <f t="shared" si="230"/>
        <v>3.04018663771686</v>
      </c>
      <c r="DT61" s="680">
        <f t="shared" si="231"/>
        <v>3.1194446780759755</v>
      </c>
      <c r="DU61" s="680">
        <f t="shared" si="220"/>
        <v>3.2025287983182644</v>
      </c>
      <c r="DV61" s="680">
        <f t="shared" si="220"/>
        <v>3.2881054421678222</v>
      </c>
      <c r="DW61" s="680">
        <f t="shared" si="220"/>
        <v>3.3762493853328661</v>
      </c>
      <c r="DX61" s="680">
        <f t="shared" si="220"/>
        <v>3.467037646792861</v>
      </c>
      <c r="DY61" s="680">
        <f t="shared" si="220"/>
        <v>3.5605495560966567</v>
      </c>
      <c r="DZ61" s="678">
        <v>0</v>
      </c>
      <c r="EA61" s="661">
        <f t="shared" si="130"/>
        <v>1</v>
      </c>
      <c r="EB61" s="1861">
        <f t="shared" si="131"/>
        <v>2.0158174514088389</v>
      </c>
      <c r="EC61" s="1881"/>
      <c r="ED61" s="1877">
        <v>0</v>
      </c>
      <c r="EE61" s="684"/>
      <c r="EF61" s="684"/>
      <c r="EG61" s="684"/>
      <c r="EH61" s="684"/>
      <c r="EI61" s="665">
        <f t="shared" si="196"/>
        <v>0</v>
      </c>
      <c r="EJ61" s="665">
        <f t="shared" si="197"/>
        <v>0</v>
      </c>
      <c r="EK61" s="665">
        <f t="shared" si="198"/>
        <v>0</v>
      </c>
      <c r="EL61" s="665">
        <f t="shared" si="199"/>
        <v>0</v>
      </c>
      <c r="EM61" s="665">
        <f t="shared" si="200"/>
        <v>0</v>
      </c>
      <c r="EN61" s="665">
        <f t="shared" si="201"/>
        <v>0</v>
      </c>
      <c r="EO61" s="665">
        <f t="shared" si="202"/>
        <v>0</v>
      </c>
      <c r="EP61" s="665">
        <f t="shared" si="203"/>
        <v>0</v>
      </c>
      <c r="EQ61" s="665">
        <f t="shared" si="204"/>
        <v>0</v>
      </c>
      <c r="ER61" s="665">
        <f t="shared" si="205"/>
        <v>0</v>
      </c>
      <c r="ES61" s="665">
        <f t="shared" si="206"/>
        <v>0</v>
      </c>
      <c r="ET61" s="541">
        <f t="shared" si="133"/>
        <v>0</v>
      </c>
      <c r="EU61" s="1450" cm="1">
        <f t="array" ref="EU61">(BH61*SUMPRODUCT($S61:$X61,TRANSPOSE(Assumptions!D$281:D$286)))*0.001</f>
        <v>0</v>
      </c>
      <c r="EV61" s="1450" cm="1">
        <f t="array" ref="EV61">(BI61*SUMPRODUCT($S61:$X61,TRANSPOSE(Assumptions!E$281:E$286)))*0.001</f>
        <v>0</v>
      </c>
      <c r="EW61" s="1450" cm="1">
        <f t="array" ref="EW61">(BJ61*SUMPRODUCT($S61:$X61,TRANSPOSE(Assumptions!F$281:F$286)))*0.001</f>
        <v>0</v>
      </c>
      <c r="EX61" s="1450" cm="1">
        <f t="array" ref="EX61">(BK61*SUMPRODUCT($S61:$X61,TRANSPOSE(Assumptions!G$281:G$286)))*0.001</f>
        <v>0.28827269864575011</v>
      </c>
      <c r="EY61" s="1450" cm="1">
        <f t="array" ref="EY61">(BL61*SUMPRODUCT($S61:$X61,TRANSPOSE(Assumptions!H$281:H$286)))*0.001</f>
        <v>0.33214030713380804</v>
      </c>
      <c r="EZ61" s="1450" cm="1">
        <f t="array" ref="EZ61">(BM61*SUMPRODUCT($S61:$X61,TRANSPOSE(Assumptions!I$281:I$286)))*0.001</f>
        <v>0.33214030713380804</v>
      </c>
      <c r="FA61" s="1450" cm="1">
        <f t="array" ref="FA61">(BN61*SUMPRODUCT($S61:$X61,TRANSPOSE(Assumptions!J$281:J$286)))*0.001</f>
        <v>0.33214030713380804</v>
      </c>
      <c r="FB61" s="1450" cm="1">
        <f t="array" ref="FB61">(BO61*SUMPRODUCT($S61:$X61,TRANSPOSE(Assumptions!K$281:K$286)))*0.001</f>
        <v>0.33214030713380804</v>
      </c>
      <c r="FC61" s="1450" cm="1">
        <f t="array" ref="FC61">(BP61*SUMPRODUCT($S61:$X61,TRANSPOSE(Assumptions!L$281:L$286)))*0.001</f>
        <v>0.33214030713380804</v>
      </c>
      <c r="FD61" s="1450" cm="1">
        <f t="array" ref="FD61">(BQ61*SUMPRODUCT($S61:$X61,TRANSPOSE(Assumptions!M$281:M$286)))*0.001</f>
        <v>0.33214030713380804</v>
      </c>
      <c r="FE61" s="1450" cm="1">
        <f t="array" ref="FE61">(BR61*SUMPRODUCT($S61:$X61,TRANSPOSE(Assumptions!N$281:N$286)))*0.001</f>
        <v>0.33214030713380804</v>
      </c>
      <c r="FF61" s="1450" cm="1">
        <f t="array" ref="FF61">(BS61*SUMPRODUCT($S61:$X61,TRANSPOSE(Assumptions!O$281:O$286)))*0.001</f>
        <v>0.33214030713380804</v>
      </c>
      <c r="FG61" s="1450" cm="1">
        <f t="array" ref="FG61">(BT61*SUMPRODUCT($S61:$X61,TRANSPOSE(Assumptions!P$281:P$286)))*0.001</f>
        <v>0.33214030713380804</v>
      </c>
      <c r="FH61" s="1450" cm="1">
        <f t="array" ref="FH61">(BU61*SUMPRODUCT($S61:$X61,TRANSPOSE(Assumptions!Q$281:Q$286)))*0.001</f>
        <v>0.33214030713380804</v>
      </c>
      <c r="FI61" s="1450" cm="1">
        <f t="array" ref="FI61">(BV61*SUMPRODUCT($S61:$X61,TRANSPOSE(Assumptions!R$281:R$286)))*0.001</f>
        <v>0.33214030713380804</v>
      </c>
      <c r="FJ61" s="666">
        <f t="shared" si="207"/>
        <v>0</v>
      </c>
      <c r="FK61" s="666">
        <f t="shared" si="208"/>
        <v>0</v>
      </c>
      <c r="FL61" s="666">
        <f t="shared" si="209"/>
        <v>0</v>
      </c>
      <c r="FM61" s="666">
        <f t="shared" si="210"/>
        <v>-0.28827269864575011</v>
      </c>
      <c r="FN61" s="666">
        <f t="shared" si="211"/>
        <v>-0.33214030713380804</v>
      </c>
      <c r="FO61" s="666">
        <f t="shared" si="212"/>
        <v>-0.33214030713380804</v>
      </c>
      <c r="FP61" s="666">
        <f t="shared" si="213"/>
        <v>-0.33214030713380804</v>
      </c>
      <c r="FQ61" s="666">
        <f t="shared" si="214"/>
        <v>-0.33214030713380804</v>
      </c>
      <c r="FR61" s="666">
        <f t="shared" si="215"/>
        <v>-0.33214030713380804</v>
      </c>
      <c r="FS61" s="666">
        <f t="shared" si="216"/>
        <v>-0.33214030713380804</v>
      </c>
      <c r="FT61" s="666">
        <f t="shared" si="144"/>
        <v>-0.33214030713380804</v>
      </c>
      <c r="FU61" s="666">
        <f t="shared" si="145"/>
        <v>-0.33214030713380804</v>
      </c>
      <c r="FV61" s="666">
        <f t="shared" si="146"/>
        <v>-0.33214030713380804</v>
      </c>
      <c r="FW61" s="666">
        <f t="shared" si="147"/>
        <v>-0.33214030713380804</v>
      </c>
      <c r="FX61" s="1883">
        <f t="shared" si="148"/>
        <v>-0.33214030713380804</v>
      </c>
      <c r="FY61" s="1895"/>
      <c r="FZ61" s="1888">
        <f t="shared" si="221"/>
        <v>0</v>
      </c>
      <c r="GA61" s="665">
        <f t="shared" si="221"/>
        <v>0</v>
      </c>
      <c r="GB61" s="665">
        <f t="shared" si="221"/>
        <v>0</v>
      </c>
      <c r="GC61" s="665">
        <f t="shared" si="221"/>
        <v>653.33333333333337</v>
      </c>
      <c r="GD61" s="665">
        <f t="shared" si="221"/>
        <v>0</v>
      </c>
      <c r="GE61" s="665">
        <f t="shared" si="221"/>
        <v>0</v>
      </c>
      <c r="GF61" s="665">
        <f t="shared" si="221"/>
        <v>0</v>
      </c>
      <c r="GG61" s="665">
        <f t="shared" si="221"/>
        <v>0</v>
      </c>
      <c r="GH61" s="665">
        <f t="shared" si="221"/>
        <v>0</v>
      </c>
      <c r="GI61" s="665">
        <f t="shared" si="221"/>
        <v>0</v>
      </c>
      <c r="GJ61" s="665">
        <f t="shared" si="221"/>
        <v>0</v>
      </c>
      <c r="GK61" s="665">
        <f t="shared" si="221"/>
        <v>0</v>
      </c>
      <c r="GL61" s="665">
        <f t="shared" si="221"/>
        <v>0</v>
      </c>
      <c r="GM61" s="665">
        <f t="shared" si="221"/>
        <v>0</v>
      </c>
      <c r="GN61" s="1898">
        <f t="shared" si="221"/>
        <v>0</v>
      </c>
      <c r="GO61" s="1911"/>
      <c r="GP61" s="1868">
        <f>BH61*INDEX(Assumptions!G$565:G$570,MATCH($B61,Assumptions!$B$565:$B$570,0))</f>
        <v>0</v>
      </c>
      <c r="GQ61" s="656">
        <f>BI61*INDEX(Assumptions!H$565:H$570,MATCH($B61,Assumptions!$B$565:$B$570,0))</f>
        <v>0</v>
      </c>
      <c r="GR61" s="656">
        <f>BJ61*INDEX(Assumptions!I$565:I$570,MATCH($B61,Assumptions!$B$565:$B$570,0))</f>
        <v>0</v>
      </c>
      <c r="GS61" s="656">
        <f>BK61*INDEX(Assumptions!J$565:J$570,MATCH($B61,Assumptions!$B$565:$B$570,0))</f>
        <v>16.851165723999124</v>
      </c>
      <c r="GT61" s="656">
        <f>BL61*INDEX(Assumptions!K$565:K$570,MATCH($B61,Assumptions!$B$565:$B$570,0))</f>
        <v>16.338117265625662</v>
      </c>
      <c r="GU61" s="656">
        <f>BM61*INDEX(Assumptions!L$565:L$570,MATCH($B61,Assumptions!$B$565:$B$570,0))</f>
        <v>15.81928333747806</v>
      </c>
      <c r="GV61" s="656">
        <f>BN61*INDEX(Assumptions!M$565:M$570,MATCH($B61,Assumptions!$B$565:$B$570,0))</f>
        <v>15.297804032572131</v>
      </c>
      <c r="GW61" s="656">
        <f>BO61*INDEX(Assumptions!N$565:N$570,MATCH($B61,Assumptions!$B$565:$B$570,0))</f>
        <v>14.769846074384837</v>
      </c>
      <c r="GX61" s="656">
        <f>BP61*INDEX(Assumptions!O$565:O$570,MATCH($B61,Assumptions!$B$565:$B$570,0))</f>
        <v>14.232108073930405</v>
      </c>
      <c r="GY61" s="656">
        <f>BQ61*INDEX(Assumptions!P$565:P$570,MATCH($B61,Assumptions!$B$565:$B$570,0))</f>
        <v>13.091029719880062</v>
      </c>
      <c r="GZ61" s="656">
        <f>BR61*INDEX(Assumptions!Q$565:Q$570,MATCH($B61,Assumptions!$B$565:$B$570,0))</f>
        <v>4.0733583441078682</v>
      </c>
      <c r="HA61" s="656">
        <f>BS61*INDEX(Assumptions!R$565:R$570,MATCH($B61,Assumptions!$B$565:$B$570,0))</f>
        <v>19.042692827889709</v>
      </c>
      <c r="HB61" s="656">
        <f>BT61*INDEX(Assumptions!S$565:S$570,MATCH($B61,Assumptions!$B$565:$B$570,0))</f>
        <v>19.042692827889709</v>
      </c>
      <c r="HC61" s="656">
        <f>BU61*INDEX(Assumptions!T$565:T$570,MATCH($B61,Assumptions!$B$565:$B$570,0))</f>
        <v>18.447526517088743</v>
      </c>
      <c r="HD61" s="1922">
        <f>BV61*INDEX(Assumptions!U$565:U$570,MATCH($B61,Assumptions!$B$565:$B$570,0))</f>
        <v>17.852360206287777</v>
      </c>
      <c r="HE61" s="1933"/>
      <c r="HF61" s="1927"/>
      <c r="HG61" s="501"/>
      <c r="HH61" s="501"/>
      <c r="HI61" s="501"/>
      <c r="HJ61" s="501"/>
      <c r="HK61" s="501"/>
      <c r="HL61" s="501"/>
      <c r="HM61" s="501"/>
      <c r="HN61" s="501"/>
      <c r="HO61" s="501"/>
      <c r="HP61" s="501"/>
      <c r="HQ61" s="501"/>
      <c r="HR61" s="501"/>
      <c r="HS61" s="501"/>
      <c r="HT61" s="501"/>
      <c r="HU61" s="501"/>
      <c r="HV61" s="656"/>
      <c r="HW61" s="1922"/>
      <c r="HX61" s="1946"/>
      <c r="HY61" s="1943"/>
      <c r="HZ61" s="695"/>
      <c r="IA61" s="683"/>
      <c r="IB61" s="683"/>
      <c r="IC61" s="694"/>
      <c r="ID61" s="1376"/>
      <c r="IE61" s="1968"/>
      <c r="IF61" s="1963">
        <v>0</v>
      </c>
      <c r="IG61" s="538">
        <v>1</v>
      </c>
      <c r="IH61" s="538">
        <v>1</v>
      </c>
      <c r="II61" s="538">
        <v>0.5</v>
      </c>
      <c r="IJ61" s="538">
        <v>0.5</v>
      </c>
      <c r="IK61" s="1281">
        <v>0.5</v>
      </c>
      <c r="IL61" s="1284">
        <v>0.5</v>
      </c>
      <c r="IM61" s="1282" t="s">
        <v>790</v>
      </c>
    </row>
    <row r="62" spans="2:256" ht="13.5" customHeight="1" x14ac:dyDescent="0.3">
      <c r="B62" s="1703" t="s">
        <v>50</v>
      </c>
      <c r="C62" s="2113"/>
      <c r="D62" s="679" t="s">
        <v>792</v>
      </c>
      <c r="E62" s="1784" t="s">
        <v>793</v>
      </c>
      <c r="F62" s="1805"/>
      <c r="G62" s="1797"/>
      <c r="H62" s="70" t="s">
        <v>794</v>
      </c>
      <c r="I62" s="13"/>
      <c r="J62" s="696"/>
      <c r="K62" s="71" t="s">
        <v>564</v>
      </c>
      <c r="L62" s="1176" t="s">
        <v>719</v>
      </c>
      <c r="M62" s="1827"/>
      <c r="N62" s="1818">
        <v>1</v>
      </c>
      <c r="O62" s="1177"/>
      <c r="P62" s="1177"/>
      <c r="Q62" s="1177"/>
      <c r="R62" s="1177"/>
      <c r="S62" s="1445" cm="1">
        <f t="array" ref="S62:X62">TRANSPOSE(_xlfn.XLOOKUP(B62,Assumptions!$C$134:$I$134,Assumptions!$C$135:$I$140))</f>
        <v>0.10317241638291583</v>
      </c>
      <c r="T62" s="1445">
        <v>0.23872907169427657</v>
      </c>
      <c r="U62" s="1445">
        <v>3.2568433019642524E-3</v>
      </c>
      <c r="V62" s="1445">
        <v>4.5216233578577056E-2</v>
      </c>
      <c r="W62" s="1445">
        <v>9.7069623729229393E-2</v>
      </c>
      <c r="X62" s="1445">
        <v>0.51265511199796931</v>
      </c>
      <c r="Y62" s="1183" cm="1">
        <f t="array" ref="Y62:AC62">TRANSPOSE(_xlfn.ANCHORARRAY(Assumptions!$F$698))</f>
        <v>0.510495150787874</v>
      </c>
      <c r="Z62" s="1183">
        <v>8.3095626856569543E-2</v>
      </c>
      <c r="AA62" s="1183">
        <v>0.12648279660850237</v>
      </c>
      <c r="AB62" s="1183">
        <v>0.19450947219326029</v>
      </c>
      <c r="AC62" s="1183">
        <v>8.5416953553793806E-2</v>
      </c>
      <c r="AD62" s="1177"/>
      <c r="AE62" s="1177"/>
      <c r="AF62" s="1177"/>
      <c r="AG62" s="1177"/>
      <c r="AH62" s="1177"/>
      <c r="AI62" s="1177"/>
      <c r="AJ62" s="1177"/>
      <c r="AK62" s="1417">
        <f t="shared" si="176"/>
        <v>0</v>
      </c>
      <c r="AL62" s="1177"/>
      <c r="AM62" s="1177"/>
      <c r="AN62" s="1177"/>
      <c r="AO62" s="1221"/>
      <c r="AP62" s="1846"/>
      <c r="AQ62" s="1837">
        <v>19.899999999999999</v>
      </c>
      <c r="AR62" s="663"/>
      <c r="AS62" s="663"/>
      <c r="AT62" s="663"/>
      <c r="AU62" s="663"/>
      <c r="AV62" s="659">
        <f>_xlfn.XLOOKUP($D62,TalTech!$B$4:$B$46,TalTech!BB$4:BB$46)</f>
        <v>14.138099099207819</v>
      </c>
      <c r="AW62" s="659">
        <f>_xlfn.XLOOKUP($D62,TalTech!$B$4:$B$46,TalTech!BC$4:BC$46)</f>
        <v>14.138099099207819</v>
      </c>
      <c r="AX62" s="659">
        <f>_xlfn.XLOOKUP($D62,TalTech!$B$4:$B$46,TalTech!BD$4:BD$46)</f>
        <v>14.138099099207819</v>
      </c>
      <c r="AY62" s="659">
        <f>_xlfn.XLOOKUP($D62,TalTech!$B$4:$B$46,TalTech!BE$4:BE$46)</f>
        <v>14.138099099207819</v>
      </c>
      <c r="AZ62" s="659">
        <f>_xlfn.XLOOKUP($D62,TalTech!$B$4:$B$46,TalTech!BF$4:BF$46)</f>
        <v>14.138099099207819</v>
      </c>
      <c r="BA62" s="659">
        <f>_xlfn.XLOOKUP($D62,TalTech!$B$4:$B$46,TalTech!BG$4:BG$46)</f>
        <v>14.138099099207819</v>
      </c>
      <c r="BB62" s="659">
        <f>_xlfn.XLOOKUP($D62,TalTech!$B$4:$B$46,TalTech!BH$4:BH$46)</f>
        <v>14.138099099207819</v>
      </c>
      <c r="BC62" s="659">
        <f>_xlfn.XLOOKUP($D62,TalTech!$B$4:$B$46,TalTech!BI$4:BI$46)</f>
        <v>14.138099099207819</v>
      </c>
      <c r="BD62" s="659">
        <f>_xlfn.XLOOKUP($D62,TalTech!$B$4:$B$46,TalTech!BJ$4:BJ$46)</f>
        <v>14.138099099207819</v>
      </c>
      <c r="BE62" s="659">
        <f>_xlfn.XLOOKUP($D62,TalTech!$B$4:$B$46,TalTech!BK$4:BK$46)</f>
        <v>14.138099099207819</v>
      </c>
      <c r="BF62" s="659">
        <f>_xlfn.XLOOKUP($D62,TalTech!$B$4:$B$46,TalTech!BL$4:BL$46)</f>
        <v>14.138099099207819</v>
      </c>
      <c r="BG62" s="501">
        <f t="shared" si="177"/>
        <v>14.138099099207817</v>
      </c>
      <c r="BH62" s="893">
        <f t="shared" si="111"/>
        <v>0</v>
      </c>
      <c r="BI62" s="658">
        <f t="shared" si="112"/>
        <v>0</v>
      </c>
      <c r="BJ62" s="658">
        <f t="shared" si="113"/>
        <v>0</v>
      </c>
      <c r="BK62" s="658">
        <f t="shared" si="114"/>
        <v>0</v>
      </c>
      <c r="BL62" s="658">
        <f t="shared" si="115"/>
        <v>14.138099099207819</v>
      </c>
      <c r="BM62" s="658">
        <f t="shared" si="116"/>
        <v>28.276198198415639</v>
      </c>
      <c r="BN62" s="658">
        <f t="shared" si="117"/>
        <v>42.414297297623456</v>
      </c>
      <c r="BO62" s="658">
        <f t="shared" si="118"/>
        <v>56.552396396831277</v>
      </c>
      <c r="BP62" s="658">
        <f t="shared" si="119"/>
        <v>70.690495496039091</v>
      </c>
      <c r="BQ62" s="658">
        <f t="shared" si="120"/>
        <v>84.828594595246912</v>
      </c>
      <c r="BR62" s="658">
        <f t="shared" si="121"/>
        <v>98.966693694454733</v>
      </c>
      <c r="BS62" s="658">
        <f t="shared" si="122"/>
        <v>113.10479279366255</v>
      </c>
      <c r="BT62" s="658">
        <f t="shared" si="123"/>
        <v>127.24289189287038</v>
      </c>
      <c r="BU62" s="658">
        <f t="shared" si="124"/>
        <v>141.38099099207818</v>
      </c>
      <c r="BV62" s="1851">
        <f t="shared" si="125"/>
        <v>155.51909009128599</v>
      </c>
      <c r="BW62" s="1661"/>
      <c r="BX62" s="1858">
        <f>'MKM 2014-20'!X36*0.6</f>
        <v>36.6</v>
      </c>
      <c r="BY62" s="1192">
        <f t="shared" si="126"/>
        <v>406.70248239540081</v>
      </c>
      <c r="BZ62" s="663"/>
      <c r="CA62" s="663"/>
      <c r="CB62" s="663"/>
      <c r="CC62" s="663"/>
      <c r="CD62" s="675">
        <f>_xlfn.XLOOKUP($D62,TalTech!$B$4:$B$46,TalTech!BM$4:BM$46)</f>
        <v>5.75</v>
      </c>
      <c r="CE62" s="675">
        <f>_xlfn.XLOOKUP($D62,TalTech!$B$4:$B$46,TalTech!BN$4:BN$46)</f>
        <v>5.75</v>
      </c>
      <c r="CF62" s="675">
        <f>_xlfn.XLOOKUP($D62,TalTech!$B$4:$B$46,TalTech!BO$4:BO$46)</f>
        <v>5.75</v>
      </c>
      <c r="CG62" s="675">
        <f>_xlfn.XLOOKUP($D62,TalTech!$B$4:$B$46,TalTech!BP$4:BP$46)</f>
        <v>5.75</v>
      </c>
      <c r="CH62" s="675">
        <f>_xlfn.XLOOKUP($D62,TalTech!$B$4:$B$46,TalTech!BQ$4:BQ$46)</f>
        <v>5.75</v>
      </c>
      <c r="CI62" s="675">
        <f>_xlfn.XLOOKUP($D62,TalTech!$B$4:$B$46,TalTech!BR$4:BR$46)</f>
        <v>5.75</v>
      </c>
      <c r="CJ62" s="675">
        <f>_xlfn.XLOOKUP($D62,TalTech!$B$4:$B$46,TalTech!BS$4:BS$46)</f>
        <v>5.75</v>
      </c>
      <c r="CK62" s="675">
        <f>_xlfn.XLOOKUP($D62,TalTech!$B$4:$B$46,TalTech!BT$4:BT$46)</f>
        <v>5.75</v>
      </c>
      <c r="CL62" s="675">
        <f>_xlfn.XLOOKUP($D62,TalTech!$B$4:$B$46,TalTech!BU$4:BU$46)</f>
        <v>5.75</v>
      </c>
      <c r="CM62" s="675">
        <f>_xlfn.XLOOKUP($D62,TalTech!$B$4:$B$46,TalTech!BV$4:BV$46)</f>
        <v>5.75</v>
      </c>
      <c r="CN62" s="675">
        <f>_xlfn.XLOOKUP($D62,TalTech!$B$4:$B$46,TalTech!BW$4:BW$46)</f>
        <v>5.75</v>
      </c>
      <c r="CO62" s="493">
        <f t="shared" si="178"/>
        <v>5.75</v>
      </c>
      <c r="CP62" s="660">
        <f t="shared" si="127"/>
        <v>34.5</v>
      </c>
      <c r="CQ62" s="1193">
        <f>_xlfn.XLOOKUP($D62,TalTech!$B$4:$B$46,TalTech!$H$4:$H$46)</f>
        <v>0.4</v>
      </c>
      <c r="CR62" s="662">
        <f t="shared" ref="CR62" si="232">1-CQ62</f>
        <v>0.6</v>
      </c>
      <c r="CS62" s="685" t="str">
        <v>EU support + government</v>
      </c>
      <c r="CT62" s="1862">
        <f t="shared" si="218"/>
        <v>5.75</v>
      </c>
      <c r="CU62" s="1872"/>
      <c r="CV62" s="1867">
        <f>BH62*Assumptions!D$495</f>
        <v>0</v>
      </c>
      <c r="CW62" s="680">
        <f>BI62*Assumptions!E$495</f>
        <v>0</v>
      </c>
      <c r="CX62" s="680">
        <f>BJ62*Assumptions!F$495</f>
        <v>0</v>
      </c>
      <c r="CY62" s="680">
        <f>BK62*Assumptions!G$495</f>
        <v>0</v>
      </c>
      <c r="CZ62" s="680">
        <f>BL62*Assumptions!H$495</f>
        <v>1.1230031897553012</v>
      </c>
      <c r="DA62" s="680">
        <f>BM62*Assumptions!I$495</f>
        <v>2.3043527504826322</v>
      </c>
      <c r="DB62" s="680">
        <f>BN62*Assumptions!J$495</f>
        <v>3.550383498495548</v>
      </c>
      <c r="DC62" s="680">
        <f>BO62*Assumptions!K$495</f>
        <v>4.8613298776390055</v>
      </c>
      <c r="DD62" s="680">
        <f>BP62*Assumptions!L$495</f>
        <v>6.2432404167399795</v>
      </c>
      <c r="DE62" s="680">
        <f>BQ62*Assumptions!M$495</f>
        <v>7.6872029566872255</v>
      </c>
      <c r="DF62" s="680">
        <f>BR62*Assumptions!N$495</f>
        <v>9.2072702951650101</v>
      </c>
      <c r="DG62" s="680">
        <f>BS62*Assumptions!O$495</f>
        <v>10.8037750242657</v>
      </c>
      <c r="DH62" s="680">
        <f>BT62*Assumptions!P$495</f>
        <v>12.480064692212558</v>
      </c>
      <c r="DI62" s="680">
        <f>BU62*Assumptions!Q$495</f>
        <v>14.239618906470678</v>
      </c>
      <c r="DJ62" s="680">
        <f>BV62*Assumptions!R$495</f>
        <v>16.086054244508105</v>
      </c>
      <c r="DK62" s="680">
        <f t="shared" si="222"/>
        <v>0</v>
      </c>
      <c r="DL62" s="680">
        <f t="shared" si="223"/>
        <v>0</v>
      </c>
      <c r="DM62" s="680">
        <f t="shared" si="224"/>
        <v>0</v>
      </c>
      <c r="DN62" s="680">
        <f t="shared" si="225"/>
        <v>0</v>
      </c>
      <c r="DO62" s="680">
        <f t="shared" si="226"/>
        <v>1.1230031897553012</v>
      </c>
      <c r="DP62" s="680">
        <f t="shared" si="227"/>
        <v>2.3043527504826322</v>
      </c>
      <c r="DQ62" s="680">
        <f t="shared" si="228"/>
        <v>3.550383498495548</v>
      </c>
      <c r="DR62" s="680">
        <f t="shared" si="229"/>
        <v>4.8613298776390055</v>
      </c>
      <c r="DS62" s="680">
        <f t="shared" si="230"/>
        <v>6.2432404167399795</v>
      </c>
      <c r="DT62" s="680">
        <f t="shared" si="231"/>
        <v>7.6872029566872255</v>
      </c>
      <c r="DU62" s="680">
        <f t="shared" si="220"/>
        <v>9.2072702951650101</v>
      </c>
      <c r="DV62" s="680">
        <f t="shared" si="220"/>
        <v>10.8037750242657</v>
      </c>
      <c r="DW62" s="680">
        <f t="shared" si="220"/>
        <v>12.480064692212558</v>
      </c>
      <c r="DX62" s="680">
        <f t="shared" si="220"/>
        <v>14.239618906470678</v>
      </c>
      <c r="DY62" s="680">
        <f t="shared" si="220"/>
        <v>16.086054244508105</v>
      </c>
      <c r="DZ62" s="678">
        <v>0</v>
      </c>
      <c r="EA62" s="661">
        <f t="shared" si="130"/>
        <v>1</v>
      </c>
      <c r="EB62" s="1861">
        <f t="shared" si="131"/>
        <v>2.5769512689799692</v>
      </c>
      <c r="EC62" s="1881"/>
      <c r="ED62" s="1877">
        <v>0</v>
      </c>
      <c r="EE62" s="684"/>
      <c r="EF62" s="684"/>
      <c r="EG62" s="684"/>
      <c r="EH62" s="684"/>
      <c r="EI62" s="665">
        <f t="shared" si="196"/>
        <v>1.1040000000000001</v>
      </c>
      <c r="EJ62" s="665">
        <f t="shared" si="197"/>
        <v>1.1040000000000001</v>
      </c>
      <c r="EK62" s="665">
        <f t="shared" si="198"/>
        <v>1.1040000000000001</v>
      </c>
      <c r="EL62" s="665">
        <f t="shared" si="199"/>
        <v>1.1040000000000001</v>
      </c>
      <c r="EM62" s="665">
        <f t="shared" si="200"/>
        <v>1.1040000000000001</v>
      </c>
      <c r="EN62" s="665">
        <f t="shared" si="201"/>
        <v>1.1040000000000001</v>
      </c>
      <c r="EO62" s="665">
        <f t="shared" si="202"/>
        <v>1.1040000000000001</v>
      </c>
      <c r="EP62" s="665">
        <f t="shared" si="203"/>
        <v>1.1040000000000001</v>
      </c>
      <c r="EQ62" s="665">
        <f t="shared" si="204"/>
        <v>1.1040000000000001</v>
      </c>
      <c r="ER62" s="665">
        <f t="shared" si="205"/>
        <v>1.1040000000000001</v>
      </c>
      <c r="ES62" s="665">
        <f t="shared" si="206"/>
        <v>1.1040000000000001</v>
      </c>
      <c r="ET62" s="541">
        <f t="shared" si="133"/>
        <v>1.1039999999999999</v>
      </c>
      <c r="EU62" s="1450" cm="1">
        <f t="array" ref="EU62">(BH62*SUMPRODUCT($S62:$X62,TRANSPOSE(Assumptions!D$281:D$286)))*0.001</f>
        <v>0</v>
      </c>
      <c r="EV62" s="1450" cm="1">
        <f t="array" ref="EV62">(BI62*SUMPRODUCT($S62:$X62,TRANSPOSE(Assumptions!E$281:E$286)))*0.001</f>
        <v>0</v>
      </c>
      <c r="EW62" s="1450" cm="1">
        <f t="array" ref="EW62">(BJ62*SUMPRODUCT($S62:$X62,TRANSPOSE(Assumptions!F$281:F$286)))*0.001</f>
        <v>0</v>
      </c>
      <c r="EX62" s="1450" cm="1">
        <f t="array" ref="EX62">(BK62*SUMPRODUCT($S62:$X62,TRANSPOSE(Assumptions!G$281:G$286)))*0.001</f>
        <v>0</v>
      </c>
      <c r="EY62" s="1450" cm="1">
        <f t="array" ref="EY62">(BL62*SUMPRODUCT($S62:$X62,TRANSPOSE(Assumptions!H$281:H$286)))*0.001</f>
        <v>0.13641476900138547</v>
      </c>
      <c r="EZ62" s="1450" cm="1">
        <f t="array" ref="EZ62">(BM62*SUMPRODUCT($S62:$X62,TRANSPOSE(Assumptions!I$281:I$286)))*0.001</f>
        <v>0.27282953800277093</v>
      </c>
      <c r="FA62" s="1450" cm="1">
        <f t="array" ref="FA62">(BN62*SUMPRODUCT($S62:$X62,TRANSPOSE(Assumptions!J$281:J$286)))*0.001</f>
        <v>0.40924430700415632</v>
      </c>
      <c r="FB62" s="1450" cm="1">
        <f t="array" ref="FB62">(BO62*SUMPRODUCT($S62:$X62,TRANSPOSE(Assumptions!K$281:K$286)))*0.001</f>
        <v>0.54565907600554187</v>
      </c>
      <c r="FC62" s="1450" cm="1">
        <f t="array" ref="FC62">(BP62*SUMPRODUCT($S62:$X62,TRANSPOSE(Assumptions!L$281:L$286)))*0.001</f>
        <v>0.68207384500692714</v>
      </c>
      <c r="FD62" s="1450" cm="1">
        <f t="array" ref="FD62">(BQ62*SUMPRODUCT($S62:$X62,TRANSPOSE(Assumptions!M$281:M$286)))*0.001</f>
        <v>0.81848861400831263</v>
      </c>
      <c r="FE62" s="1450" cm="1">
        <f t="array" ref="FE62">(BR62*SUMPRODUCT($S62:$X62,TRANSPOSE(Assumptions!N$281:N$286)))*0.001</f>
        <v>0.95490338300969813</v>
      </c>
      <c r="FF62" s="1450" cm="1">
        <f t="array" ref="FF62">(BS62*SUMPRODUCT($S62:$X62,TRANSPOSE(Assumptions!O$281:O$286)))*0.001</f>
        <v>1.0913181520110837</v>
      </c>
      <c r="FG62" s="1450" cm="1">
        <f t="array" ref="FG62">(BT62*SUMPRODUCT($S62:$X62,TRANSPOSE(Assumptions!P$281:P$286)))*0.001</f>
        <v>1.227732921012469</v>
      </c>
      <c r="FH62" s="1450" cm="1">
        <f t="array" ref="FH62">(BU62*SUMPRODUCT($S62:$X62,TRANSPOSE(Assumptions!Q$281:Q$286)))*0.001</f>
        <v>1.3641476900138543</v>
      </c>
      <c r="FI62" s="1450" cm="1">
        <f t="array" ref="FI62">(BV62*SUMPRODUCT($S62:$X62,TRANSPOSE(Assumptions!R$281:R$286)))*0.001</f>
        <v>1.5005624590152398</v>
      </c>
      <c r="FJ62" s="666">
        <f t="shared" si="207"/>
        <v>0</v>
      </c>
      <c r="FK62" s="666">
        <f t="shared" si="208"/>
        <v>0</v>
      </c>
      <c r="FL62" s="666">
        <f t="shared" si="209"/>
        <v>0</v>
      </c>
      <c r="FM62" s="666">
        <f t="shared" si="210"/>
        <v>0</v>
      </c>
      <c r="FN62" s="666">
        <f t="shared" si="211"/>
        <v>0.9675852309986146</v>
      </c>
      <c r="FO62" s="666">
        <f t="shared" si="212"/>
        <v>0.8311704619972291</v>
      </c>
      <c r="FP62" s="666">
        <f t="shared" si="213"/>
        <v>0.69475569299584383</v>
      </c>
      <c r="FQ62" s="666">
        <f t="shared" si="214"/>
        <v>0.55834092399445823</v>
      </c>
      <c r="FR62" s="666">
        <f t="shared" si="215"/>
        <v>0.42192615499307295</v>
      </c>
      <c r="FS62" s="666">
        <f t="shared" si="216"/>
        <v>0.28551138599168746</v>
      </c>
      <c r="FT62" s="666">
        <f t="shared" si="144"/>
        <v>0.14909661699030197</v>
      </c>
      <c r="FU62" s="666">
        <f t="shared" si="145"/>
        <v>1.2681847988916362E-2</v>
      </c>
      <c r="FV62" s="666">
        <f t="shared" si="146"/>
        <v>-0.12373292101246891</v>
      </c>
      <c r="FW62" s="666">
        <f t="shared" si="147"/>
        <v>-0.26014769001385418</v>
      </c>
      <c r="FX62" s="1883">
        <f t="shared" si="148"/>
        <v>-0.39656245901523968</v>
      </c>
      <c r="FY62" s="1895"/>
      <c r="FZ62" s="1888">
        <f t="shared" si="221"/>
        <v>0</v>
      </c>
      <c r="GA62" s="665">
        <f t="shared" si="221"/>
        <v>0</v>
      </c>
      <c r="GB62" s="665">
        <f t="shared" si="221"/>
        <v>0</v>
      </c>
      <c r="GC62" s="665">
        <f t="shared" si="221"/>
        <v>0</v>
      </c>
      <c r="GD62" s="665">
        <f t="shared" si="221"/>
        <v>80.5</v>
      </c>
      <c r="GE62" s="665">
        <f t="shared" si="221"/>
        <v>80.5</v>
      </c>
      <c r="GF62" s="665">
        <f t="shared" si="221"/>
        <v>80.5</v>
      </c>
      <c r="GG62" s="665">
        <f t="shared" si="221"/>
        <v>80.5</v>
      </c>
      <c r="GH62" s="665">
        <f t="shared" si="221"/>
        <v>80.5</v>
      </c>
      <c r="GI62" s="665">
        <f t="shared" si="221"/>
        <v>80.5</v>
      </c>
      <c r="GJ62" s="665">
        <f t="shared" si="221"/>
        <v>80.5</v>
      </c>
      <c r="GK62" s="665">
        <f t="shared" si="221"/>
        <v>80.5</v>
      </c>
      <c r="GL62" s="665">
        <f t="shared" si="221"/>
        <v>80.5</v>
      </c>
      <c r="GM62" s="665">
        <f t="shared" si="221"/>
        <v>80.5</v>
      </c>
      <c r="GN62" s="1898">
        <f t="shared" si="221"/>
        <v>80.5</v>
      </c>
      <c r="GO62" s="1911"/>
      <c r="GP62" s="1868">
        <f>BH62*INDEX(Assumptions!G$565:G$570,MATCH($B62,Assumptions!$B$565:$B$570,0))</f>
        <v>0</v>
      </c>
      <c r="GQ62" s="656">
        <f>BI62*INDEX(Assumptions!H$565:H$570,MATCH($B62,Assumptions!$B$565:$B$570,0))</f>
        <v>0</v>
      </c>
      <c r="GR62" s="656">
        <f>BJ62*INDEX(Assumptions!I$565:I$570,MATCH($B62,Assumptions!$B$565:$B$570,0))</f>
        <v>0</v>
      </c>
      <c r="GS62" s="656">
        <f>BK62*INDEX(Assumptions!J$565:J$570,MATCH($B62,Assumptions!$B$565:$B$570,0))</f>
        <v>0</v>
      </c>
      <c r="GT62" s="656">
        <f>BL62*INDEX(Assumptions!K$565:K$570,MATCH($B62,Assumptions!$B$565:$B$570,0))</f>
        <v>6.7102981626676828</v>
      </c>
      <c r="GU62" s="656">
        <f>BM62*INDEX(Assumptions!L$565:L$570,MATCH($B62,Assumptions!$B$565:$B$570,0))</f>
        <v>12.994411312928406</v>
      </c>
      <c r="GV62" s="656">
        <f>BN62*INDEX(Assumptions!M$565:M$570,MATCH($B62,Assumptions!$B$565:$B$570,0))</f>
        <v>18.849079968704945</v>
      </c>
      <c r="GW62" s="656">
        <f>BO62*INDEX(Assumptions!N$565:N$570,MATCH($B62,Assumptions!$B$565:$B$570,0))</f>
        <v>24.264747122203659</v>
      </c>
      <c r="GX62" s="656">
        <f>BP62*INDEX(Assumptions!O$565:O$570,MATCH($B62,Assumptions!$B$565:$B$570,0))</f>
        <v>29.226650508964223</v>
      </c>
      <c r="GY62" s="656">
        <f>BQ62*INDEX(Assumptions!P$565:P$570,MATCH($B62,Assumptions!$B$565:$B$570,0))</f>
        <v>32.26003752399015</v>
      </c>
      <c r="GZ62" s="656">
        <f>BR62*INDEX(Assumptions!Q$565:Q$570,MATCH($B62,Assumptions!$B$565:$B$570,0))</f>
        <v>11.710905239310121</v>
      </c>
      <c r="HA62" s="656">
        <f>BS62*INDEX(Assumptions!R$565:R$570,MATCH($B62,Assumptions!$B$565:$B$570,0))</f>
        <v>62.568847863066189</v>
      </c>
      <c r="HB62" s="656">
        <f>BT62*INDEX(Assumptions!S$565:S$570,MATCH($B62,Assumptions!$B$565:$B$570,0))</f>
        <v>70.389953845949464</v>
      </c>
      <c r="HC62" s="656">
        <f>BU62*INDEX(Assumptions!T$565:T$570,MATCH($B62,Assumptions!$B$565:$B$570,0))</f>
        <v>75.766626766614479</v>
      </c>
      <c r="HD62" s="1922">
        <f>BV62*INDEX(Assumptions!U$565:U$570,MATCH($B62,Assumptions!$B$565:$B$570,0))</f>
        <v>80.654413074835844</v>
      </c>
      <c r="HE62" s="1933"/>
      <c r="HF62" s="1927"/>
      <c r="HG62" s="501"/>
      <c r="HH62" s="501"/>
      <c r="HI62" s="501"/>
      <c r="HJ62" s="501"/>
      <c r="HK62" s="501"/>
      <c r="HL62" s="501"/>
      <c r="HM62" s="501"/>
      <c r="HN62" s="501"/>
      <c r="HO62" s="501"/>
      <c r="HP62" s="501"/>
      <c r="HQ62" s="501"/>
      <c r="HR62" s="501"/>
      <c r="HS62" s="501"/>
      <c r="HT62" s="501"/>
      <c r="HU62" s="501"/>
      <c r="HV62" s="656"/>
      <c r="HW62" s="1922"/>
      <c r="HX62" s="1946"/>
      <c r="HY62" s="1943"/>
      <c r="HZ62" s="695"/>
      <c r="IA62" s="683"/>
      <c r="IB62" s="683"/>
      <c r="IC62" s="694"/>
      <c r="ID62" s="1376"/>
      <c r="IE62" s="1968"/>
      <c r="IF62" s="1963">
        <v>0</v>
      </c>
      <c r="IG62" s="1415">
        <v>1.5</v>
      </c>
      <c r="IH62" s="538">
        <v>1</v>
      </c>
      <c r="II62" s="538">
        <v>0.5</v>
      </c>
      <c r="IJ62" s="538">
        <v>0.5</v>
      </c>
      <c r="IK62" s="1281">
        <v>0.5</v>
      </c>
      <c r="IL62" s="1287">
        <v>1</v>
      </c>
      <c r="IM62" s="1282" t="s">
        <v>793</v>
      </c>
    </row>
    <row r="63" spans="2:256" ht="22.5" customHeight="1" thickBot="1" x14ac:dyDescent="0.35">
      <c r="B63" s="1703" t="s">
        <v>50</v>
      </c>
      <c r="C63" s="2113"/>
      <c r="D63" s="679" t="s">
        <v>795</v>
      </c>
      <c r="E63" s="1784" t="s">
        <v>796</v>
      </c>
      <c r="F63" s="1805"/>
      <c r="G63" s="1797"/>
      <c r="H63" s="70" t="s">
        <v>797</v>
      </c>
      <c r="I63" s="13"/>
      <c r="J63" s="696" t="s">
        <v>655</v>
      </c>
      <c r="K63" s="71" t="s">
        <v>564</v>
      </c>
      <c r="L63" s="1176" t="s">
        <v>719</v>
      </c>
      <c r="M63" s="1827"/>
      <c r="N63" s="1818">
        <v>1</v>
      </c>
      <c r="O63" s="1177"/>
      <c r="P63" s="1177"/>
      <c r="Q63" s="1177"/>
      <c r="R63" s="1177"/>
      <c r="S63" s="1445" cm="1">
        <f t="array" ref="S63:X63">TRANSPOSE(_xlfn.XLOOKUP(B63,Assumptions!$C$134:$I$134,Assumptions!$C$135:$I$140))</f>
        <v>0.10317241638291583</v>
      </c>
      <c r="T63" s="1445">
        <v>0.23872907169427657</v>
      </c>
      <c r="U63" s="1445">
        <v>3.2568433019642524E-3</v>
      </c>
      <c r="V63" s="1445">
        <v>4.5216233578577056E-2</v>
      </c>
      <c r="W63" s="1445">
        <v>9.7069623729229393E-2</v>
      </c>
      <c r="X63" s="1445">
        <v>0.51265511199796931</v>
      </c>
      <c r="Y63" s="1183" cm="1">
        <f t="array" ref="Y63:AC63">TRANSPOSE(_xlfn.ANCHORARRAY(Assumptions!$F$698))</f>
        <v>0.510495150787874</v>
      </c>
      <c r="Z63" s="1183">
        <v>8.3095626856569543E-2</v>
      </c>
      <c r="AA63" s="1183">
        <v>0.12648279660850237</v>
      </c>
      <c r="AB63" s="1183">
        <v>0.19450947219326029</v>
      </c>
      <c r="AC63" s="1183">
        <v>8.5416953553793806E-2</v>
      </c>
      <c r="AD63" s="1177"/>
      <c r="AE63" s="1177"/>
      <c r="AF63" s="1177"/>
      <c r="AG63" s="1177"/>
      <c r="AH63" s="1177"/>
      <c r="AI63" s="1177"/>
      <c r="AJ63" s="1177"/>
      <c r="AK63" s="1417">
        <f t="shared" si="176"/>
        <v>0</v>
      </c>
      <c r="AL63" s="1177"/>
      <c r="AM63" s="1177"/>
      <c r="AN63" s="1177"/>
      <c r="AO63" s="1221"/>
      <c r="AP63" s="1846"/>
      <c r="AQ63" s="1837">
        <f>AVERAGE(AR63:BA63)</f>
        <v>1.0383951766119965</v>
      </c>
      <c r="AR63" s="663"/>
      <c r="AS63" s="663"/>
      <c r="AT63" s="663"/>
      <c r="AU63" s="663"/>
      <c r="AV63" s="659">
        <f>_xlfn.XLOOKUP($D63,TalTech!$B$4:$B$46,TalTech!BB$4:BB$46)</f>
        <v>1.0383951766119965</v>
      </c>
      <c r="AW63" s="659">
        <f>_xlfn.XLOOKUP($D63,TalTech!$B$4:$B$46,TalTech!BC$4:BC$46)</f>
        <v>1.0383951766119965</v>
      </c>
      <c r="AX63" s="659">
        <f>_xlfn.XLOOKUP($D63,TalTech!$B$4:$B$46,TalTech!BD$4:BD$46)</f>
        <v>1.0383951766119965</v>
      </c>
      <c r="AY63" s="659">
        <f>_xlfn.XLOOKUP($D63,TalTech!$B$4:$B$46,TalTech!BE$4:BE$46)</f>
        <v>1.0383951766119965</v>
      </c>
      <c r="AZ63" s="659">
        <f>_xlfn.XLOOKUP($D63,TalTech!$B$4:$B$46,TalTech!BF$4:BF$46)</f>
        <v>1.0383951766119965</v>
      </c>
      <c r="BA63" s="659">
        <f>_xlfn.XLOOKUP($D63,TalTech!$B$4:$B$46,TalTech!BG$4:BG$46)</f>
        <v>1.0383951766119965</v>
      </c>
      <c r="BB63" s="659">
        <f>_xlfn.XLOOKUP($D63,TalTech!$B$4:$B$46,TalTech!BH$4:BH$46)</f>
        <v>1.0383951766119965</v>
      </c>
      <c r="BC63" s="659">
        <f>_xlfn.XLOOKUP($D63,TalTech!$B$4:$B$46,TalTech!BI$4:BI$46)</f>
        <v>1.0383951766119965</v>
      </c>
      <c r="BD63" s="659">
        <f>_xlfn.XLOOKUP($D63,TalTech!$B$4:$B$46,TalTech!BJ$4:BJ$46)</f>
        <v>1.0383951766119965</v>
      </c>
      <c r="BE63" s="659">
        <f>_xlfn.XLOOKUP($D63,TalTech!$B$4:$B$46,TalTech!BK$4:BK$46)</f>
        <v>1.0383951766119965</v>
      </c>
      <c r="BF63" s="659">
        <f>_xlfn.XLOOKUP($D63,TalTech!$B$4:$B$46,TalTech!BL$4:BL$46)</f>
        <v>1.0383951766119965</v>
      </c>
      <c r="BG63" s="501">
        <f t="shared" si="177"/>
        <v>1.0383951766119963</v>
      </c>
      <c r="BH63" s="893">
        <f t="shared" si="111"/>
        <v>0</v>
      </c>
      <c r="BI63" s="658">
        <f t="shared" si="112"/>
        <v>0</v>
      </c>
      <c r="BJ63" s="658">
        <f t="shared" si="113"/>
        <v>0</v>
      </c>
      <c r="BK63" s="658">
        <f t="shared" si="114"/>
        <v>0</v>
      </c>
      <c r="BL63" s="658">
        <f t="shared" si="115"/>
        <v>1.0383951766119965</v>
      </c>
      <c r="BM63" s="658">
        <f t="shared" si="116"/>
        <v>2.0767903532239931</v>
      </c>
      <c r="BN63" s="658">
        <f t="shared" si="117"/>
        <v>3.1151855298359896</v>
      </c>
      <c r="BO63" s="658">
        <f t="shared" si="118"/>
        <v>4.1535807064479862</v>
      </c>
      <c r="BP63" s="658">
        <f t="shared" si="119"/>
        <v>5.1919758830599827</v>
      </c>
      <c r="BQ63" s="658">
        <f t="shared" si="120"/>
        <v>6.2303710596719792</v>
      </c>
      <c r="BR63" s="658">
        <f t="shared" si="121"/>
        <v>7.2687662362839758</v>
      </c>
      <c r="BS63" s="658">
        <f t="shared" si="122"/>
        <v>8.3071614128959723</v>
      </c>
      <c r="BT63" s="658">
        <f t="shared" si="123"/>
        <v>9.345556589507968</v>
      </c>
      <c r="BU63" s="658">
        <f t="shared" si="124"/>
        <v>10.383951766119964</v>
      </c>
      <c r="BV63" s="1851">
        <f t="shared" si="125"/>
        <v>11.422346942731959</v>
      </c>
      <c r="BW63" s="1661"/>
      <c r="BX63" s="1858">
        <f>'MKM 2014-20'!X37*0.6</f>
        <v>24</v>
      </c>
      <c r="BY63" s="1192">
        <f t="shared" si="126"/>
        <v>3852.0980163360555</v>
      </c>
      <c r="BZ63" s="663"/>
      <c r="CA63" s="663"/>
      <c r="CB63" s="663"/>
      <c r="CC63" s="663"/>
      <c r="CD63" s="656">
        <f t="shared" ref="CD63:CN63" si="233">($BX63)*(AV63/SUM($AR63:$BA63))*IF($CQ63=0,1,1/$CQ63)</f>
        <v>4</v>
      </c>
      <c r="CE63" s="656">
        <f t="shared" si="233"/>
        <v>4</v>
      </c>
      <c r="CF63" s="656">
        <f t="shared" si="233"/>
        <v>4</v>
      </c>
      <c r="CG63" s="656">
        <f t="shared" si="233"/>
        <v>4</v>
      </c>
      <c r="CH63" s="656">
        <f t="shared" si="233"/>
        <v>4</v>
      </c>
      <c r="CI63" s="656">
        <f t="shared" si="233"/>
        <v>4</v>
      </c>
      <c r="CJ63" s="656">
        <f t="shared" si="233"/>
        <v>4</v>
      </c>
      <c r="CK63" s="656">
        <f t="shared" si="233"/>
        <v>4</v>
      </c>
      <c r="CL63" s="656">
        <f t="shared" si="233"/>
        <v>4</v>
      </c>
      <c r="CM63" s="656">
        <f t="shared" si="233"/>
        <v>4</v>
      </c>
      <c r="CN63" s="656">
        <f t="shared" si="233"/>
        <v>4</v>
      </c>
      <c r="CO63" s="493">
        <f t="shared" si="178"/>
        <v>4</v>
      </c>
      <c r="CP63" s="660">
        <f t="shared" si="127"/>
        <v>24</v>
      </c>
      <c r="CQ63" s="1193">
        <f>_xlfn.XLOOKUP($D63,TalTech!$B$4:$B$46,TalTech!$H$4:$H$46)</f>
        <v>1</v>
      </c>
      <c r="CR63" s="662">
        <f t="shared" si="128"/>
        <v>0</v>
      </c>
      <c r="CS63" s="685" t="str">
        <v>100% government</v>
      </c>
      <c r="CT63" s="1862">
        <f t="shared" si="218"/>
        <v>4</v>
      </c>
      <c r="CU63" s="1872"/>
      <c r="CV63" s="1867">
        <f>BH63*Assumptions!D$495</f>
        <v>0</v>
      </c>
      <c r="CW63" s="680">
        <f>BI63*Assumptions!E$495</f>
        <v>0</v>
      </c>
      <c r="CX63" s="680">
        <f>BJ63*Assumptions!F$495</f>
        <v>0</v>
      </c>
      <c r="CY63" s="680">
        <f>BK63*Assumptions!G$495</f>
        <v>0</v>
      </c>
      <c r="CZ63" s="680">
        <f>BL63*Assumptions!H$495</f>
        <v>8.2480755537152173E-2</v>
      </c>
      <c r="DA63" s="680">
        <f>BM63*Assumptions!I$495</f>
        <v>0.16924685309695045</v>
      </c>
      <c r="DB63" s="680">
        <f>BN63*Assumptions!J$495</f>
        <v>0.26076356333979683</v>
      </c>
      <c r="DC63" s="680">
        <f>BO63*Assumptions!K$495</f>
        <v>0.35704810536679416</v>
      </c>
      <c r="DD63" s="680">
        <f>BP63*Assumptions!L$495</f>
        <v>0.45854472299851945</v>
      </c>
      <c r="DE63" s="680">
        <f>BQ63*Assumptions!M$495</f>
        <v>0.56459884853323439</v>
      </c>
      <c r="DF63" s="680">
        <f>BR63*Assumptions!N$495</f>
        <v>0.67624261204944924</v>
      </c>
      <c r="DG63" s="680">
        <f>BS63*Assumptions!O$495</f>
        <v>0.79350044130241348</v>
      </c>
      <c r="DH63" s="680">
        <f>BT63*Assumptions!P$495</f>
        <v>0.91661820229604474</v>
      </c>
      <c r="DI63" s="680">
        <f>BU63*Assumptions!Q$495</f>
        <v>1.0458514603353322</v>
      </c>
      <c r="DJ63" s="680">
        <f>BV63*Assumptions!R$495</f>
        <v>1.1814658407049987</v>
      </c>
      <c r="DK63" s="680">
        <f t="shared" si="222"/>
        <v>0</v>
      </c>
      <c r="DL63" s="680">
        <f t="shared" si="223"/>
        <v>0</v>
      </c>
      <c r="DM63" s="680">
        <f t="shared" si="224"/>
        <v>0</v>
      </c>
      <c r="DN63" s="680">
        <f t="shared" si="225"/>
        <v>0</v>
      </c>
      <c r="DO63" s="680">
        <f t="shared" si="226"/>
        <v>8.2480755537152173E-2</v>
      </c>
      <c r="DP63" s="680">
        <f t="shared" si="227"/>
        <v>0.16924685309695045</v>
      </c>
      <c r="DQ63" s="680">
        <f t="shared" si="228"/>
        <v>0.26076356333979683</v>
      </c>
      <c r="DR63" s="680">
        <f t="shared" si="229"/>
        <v>0.35704810536679416</v>
      </c>
      <c r="DS63" s="680">
        <f t="shared" si="230"/>
        <v>0.45854472299851945</v>
      </c>
      <c r="DT63" s="680">
        <f t="shared" si="231"/>
        <v>0.56459884853323439</v>
      </c>
      <c r="DU63" s="680">
        <f t="shared" si="220"/>
        <v>0.67624261204944924</v>
      </c>
      <c r="DV63" s="680">
        <f t="shared" si="220"/>
        <v>0.79350044130241348</v>
      </c>
      <c r="DW63" s="680">
        <f t="shared" si="220"/>
        <v>0.91661820229604474</v>
      </c>
      <c r="DX63" s="680">
        <f t="shared" si="220"/>
        <v>1.0458514603353322</v>
      </c>
      <c r="DY63" s="680">
        <f t="shared" si="220"/>
        <v>1.1814658407049987</v>
      </c>
      <c r="DZ63" s="678">
        <v>0</v>
      </c>
      <c r="EA63" s="661">
        <f t="shared" si="130"/>
        <v>1</v>
      </c>
      <c r="EB63" s="1861">
        <f t="shared" si="131"/>
        <v>0.18926828488724476</v>
      </c>
      <c r="EC63" s="1881"/>
      <c r="ED63" s="1877">
        <v>0</v>
      </c>
      <c r="EE63" s="684"/>
      <c r="EF63" s="684"/>
      <c r="EG63" s="684"/>
      <c r="EH63" s="684"/>
      <c r="EI63" s="665">
        <f t="shared" si="196"/>
        <v>0</v>
      </c>
      <c r="EJ63" s="665">
        <f t="shared" si="197"/>
        <v>0</v>
      </c>
      <c r="EK63" s="665">
        <f t="shared" si="198"/>
        <v>0</v>
      </c>
      <c r="EL63" s="665">
        <f t="shared" si="199"/>
        <v>0</v>
      </c>
      <c r="EM63" s="665">
        <f t="shared" si="200"/>
        <v>0</v>
      </c>
      <c r="EN63" s="665">
        <f t="shared" si="201"/>
        <v>0</v>
      </c>
      <c r="EO63" s="665">
        <f t="shared" si="202"/>
        <v>0</v>
      </c>
      <c r="EP63" s="665">
        <f t="shared" si="203"/>
        <v>0</v>
      </c>
      <c r="EQ63" s="665">
        <f t="shared" si="204"/>
        <v>0</v>
      </c>
      <c r="ER63" s="665">
        <f t="shared" si="205"/>
        <v>0</v>
      </c>
      <c r="ES63" s="665">
        <f t="shared" si="206"/>
        <v>0</v>
      </c>
      <c r="ET63" s="541">
        <f t="shared" si="133"/>
        <v>0</v>
      </c>
      <c r="EU63" s="1450" cm="1">
        <f t="array" ref="EU63">(BH63*SUMPRODUCT($S63:$X63,TRANSPOSE(Assumptions!D$281:D$286)))*0.001</f>
        <v>0</v>
      </c>
      <c r="EV63" s="1450" cm="1">
        <f t="array" ref="EV63">(BI63*SUMPRODUCT($S63:$X63,TRANSPOSE(Assumptions!E$281:E$286)))*0.001</f>
        <v>0</v>
      </c>
      <c r="EW63" s="1450" cm="1">
        <f t="array" ref="EW63">(BJ63*SUMPRODUCT($S63:$X63,TRANSPOSE(Assumptions!F$281:F$286)))*0.001</f>
        <v>0</v>
      </c>
      <c r="EX63" s="1450" cm="1">
        <f t="array" ref="EX63">(BK63*SUMPRODUCT($S63:$X63,TRANSPOSE(Assumptions!G$281:G$286)))*0.001</f>
        <v>0</v>
      </c>
      <c r="EY63" s="1450" cm="1">
        <f t="array" ref="EY63">(BL63*SUMPRODUCT($S63:$X63,TRANSPOSE(Assumptions!H$281:H$286)))*0.001</f>
        <v>1.0019199692666984E-2</v>
      </c>
      <c r="EZ63" s="1450" cm="1">
        <f t="array" ref="EZ63">(BM63*SUMPRODUCT($S63:$X63,TRANSPOSE(Assumptions!I$281:I$286)))*0.001</f>
        <v>2.0038399385333968E-2</v>
      </c>
      <c r="FA63" s="1450" cm="1">
        <f t="array" ref="FA63">(BN63*SUMPRODUCT($S63:$X63,TRANSPOSE(Assumptions!J$281:J$286)))*0.001</f>
        <v>3.005759907800095E-2</v>
      </c>
      <c r="FB63" s="1450" cm="1">
        <f t="array" ref="FB63">(BO63*SUMPRODUCT($S63:$X63,TRANSPOSE(Assumptions!K$281:K$286)))*0.001</f>
        <v>4.0076798770667936E-2</v>
      </c>
      <c r="FC63" s="1450" cm="1">
        <f t="array" ref="FC63">(BP63*SUMPRODUCT($S63:$X63,TRANSPOSE(Assumptions!L$281:L$286)))*0.001</f>
        <v>5.0095998463334922E-2</v>
      </c>
      <c r="FD63" s="1450" cm="1">
        <f t="array" ref="FD63">(BQ63*SUMPRODUCT($S63:$X63,TRANSPOSE(Assumptions!M$281:M$286)))*0.001</f>
        <v>6.0115198156001901E-2</v>
      </c>
      <c r="FE63" s="1450" cm="1">
        <f t="array" ref="FE63">(BR63*SUMPRODUCT($S63:$X63,TRANSPOSE(Assumptions!N$281:N$286)))*0.001</f>
        <v>7.0134397848668886E-2</v>
      </c>
      <c r="FF63" s="1450" cm="1">
        <f t="array" ref="FF63">(BS63*SUMPRODUCT($S63:$X63,TRANSPOSE(Assumptions!O$281:O$286)))*0.001</f>
        <v>8.0153597541335872E-2</v>
      </c>
      <c r="FG63" s="1450" cm="1">
        <f t="array" ref="FG63">(BT63*SUMPRODUCT($S63:$X63,TRANSPOSE(Assumptions!P$281:P$286)))*0.001</f>
        <v>9.0172797234002844E-2</v>
      </c>
      <c r="FH63" s="1450" cm="1">
        <f t="array" ref="FH63">(BU63*SUMPRODUCT($S63:$X63,TRANSPOSE(Assumptions!Q$281:Q$286)))*0.001</f>
        <v>0.10019199692666983</v>
      </c>
      <c r="FI63" s="1450" cm="1">
        <f t="array" ref="FI63">(BV63*SUMPRODUCT($S63:$X63,TRANSPOSE(Assumptions!R$281:R$286)))*0.001</f>
        <v>0.1102111966193368</v>
      </c>
      <c r="FJ63" s="666">
        <f t="shared" si="207"/>
        <v>0</v>
      </c>
      <c r="FK63" s="666">
        <f t="shared" si="208"/>
        <v>0</v>
      </c>
      <c r="FL63" s="666">
        <f t="shared" si="209"/>
        <v>0</v>
      </c>
      <c r="FM63" s="666">
        <f t="shared" si="210"/>
        <v>0</v>
      </c>
      <c r="FN63" s="666">
        <f t="shared" si="211"/>
        <v>-1.0019199692666984E-2</v>
      </c>
      <c r="FO63" s="666">
        <f t="shared" si="212"/>
        <v>-2.0038399385333968E-2</v>
      </c>
      <c r="FP63" s="666">
        <f t="shared" si="213"/>
        <v>-3.005759907800095E-2</v>
      </c>
      <c r="FQ63" s="666">
        <f t="shared" si="214"/>
        <v>-4.0076798770667936E-2</v>
      </c>
      <c r="FR63" s="666">
        <f t="shared" si="215"/>
        <v>-5.0095998463334922E-2</v>
      </c>
      <c r="FS63" s="666">
        <f t="shared" si="216"/>
        <v>-6.0115198156001901E-2</v>
      </c>
      <c r="FT63" s="666">
        <f t="shared" si="144"/>
        <v>-7.0134397848668886E-2</v>
      </c>
      <c r="FU63" s="666">
        <f t="shared" si="145"/>
        <v>-8.0153597541335872E-2</v>
      </c>
      <c r="FV63" s="666">
        <f t="shared" si="146"/>
        <v>-9.0172797234002844E-2</v>
      </c>
      <c r="FW63" s="666">
        <f t="shared" si="147"/>
        <v>-0.10019199692666983</v>
      </c>
      <c r="FX63" s="1883">
        <f t="shared" si="148"/>
        <v>-0.1102111966193368</v>
      </c>
      <c r="FY63" s="1895"/>
      <c r="FZ63" s="1888">
        <f t="shared" si="221"/>
        <v>0</v>
      </c>
      <c r="GA63" s="665">
        <f t="shared" si="221"/>
        <v>0</v>
      </c>
      <c r="GB63" s="665">
        <f t="shared" si="221"/>
        <v>0</v>
      </c>
      <c r="GC63" s="665">
        <f t="shared" si="221"/>
        <v>0</v>
      </c>
      <c r="GD63" s="665">
        <f t="shared" si="221"/>
        <v>56</v>
      </c>
      <c r="GE63" s="665">
        <f t="shared" si="221"/>
        <v>56</v>
      </c>
      <c r="GF63" s="665">
        <f t="shared" si="221"/>
        <v>56</v>
      </c>
      <c r="GG63" s="665">
        <f t="shared" si="221"/>
        <v>56</v>
      </c>
      <c r="GH63" s="665">
        <f t="shared" si="221"/>
        <v>56</v>
      </c>
      <c r="GI63" s="665">
        <f t="shared" si="221"/>
        <v>56</v>
      </c>
      <c r="GJ63" s="665">
        <f t="shared" si="221"/>
        <v>56</v>
      </c>
      <c r="GK63" s="665">
        <f t="shared" si="221"/>
        <v>56</v>
      </c>
      <c r="GL63" s="665">
        <f t="shared" si="221"/>
        <v>56</v>
      </c>
      <c r="GM63" s="665">
        <f t="shared" si="221"/>
        <v>56</v>
      </c>
      <c r="GN63" s="1898">
        <f t="shared" si="221"/>
        <v>56</v>
      </c>
      <c r="GO63" s="1911"/>
      <c r="GP63" s="1868">
        <f>BH63*INDEX(Assumptions!G$565:G$570,MATCH($B63,Assumptions!$B$565:$B$570,0))</f>
        <v>0</v>
      </c>
      <c r="GQ63" s="656">
        <f>BI63*INDEX(Assumptions!H$565:H$570,MATCH($B63,Assumptions!$B$565:$B$570,0))</f>
        <v>0</v>
      </c>
      <c r="GR63" s="656">
        <f>BJ63*INDEX(Assumptions!I$565:I$570,MATCH($B63,Assumptions!$B$565:$B$570,0))</f>
        <v>0</v>
      </c>
      <c r="GS63" s="656">
        <f>BK63*INDEX(Assumptions!J$565:J$570,MATCH($B63,Assumptions!$B$565:$B$570,0))</f>
        <v>0</v>
      </c>
      <c r="GT63" s="656">
        <f>BL63*INDEX(Assumptions!K$565:K$570,MATCH($B63,Assumptions!$B$565:$B$570,0))</f>
        <v>0.492848522057176</v>
      </c>
      <c r="GU63" s="656">
        <f>BM63*INDEX(Assumptions!L$565:L$570,MATCH($B63,Assumptions!$B$565:$B$570,0))</f>
        <v>0.95439520798190414</v>
      </c>
      <c r="GV63" s="656">
        <f>BN63*INDEX(Assumptions!M$565:M$570,MATCH($B63,Assumptions!$B$565:$B$570,0))</f>
        <v>1.3844006599284422</v>
      </c>
      <c r="GW63" s="656">
        <f>BO63*INDEX(Assumptions!N$565:N$570,MATCH($B63,Assumptions!$B$565:$B$570,0))</f>
        <v>1.7821629482578674</v>
      </c>
      <c r="GX63" s="656">
        <f>BP63*INDEX(Assumptions!O$565:O$570,MATCH($B63,Assumptions!$B$565:$B$570,0))</f>
        <v>2.1465978349758137</v>
      </c>
      <c r="GY63" s="656">
        <f>BQ63*INDEX(Assumptions!P$565:P$570,MATCH($B63,Assumptions!$B$565:$B$570,0))</f>
        <v>2.3693897692448891</v>
      </c>
      <c r="GZ63" s="656">
        <f>BR63*INDEX(Assumptions!Q$565:Q$570,MATCH($B63,Assumptions!$B$565:$B$570,0))</f>
        <v>0.86012606284116122</v>
      </c>
      <c r="HA63" s="656">
        <f>BS63*INDEX(Assumptions!R$565:R$570,MATCH($B63,Assumptions!$B$565:$B$570,0))</f>
        <v>4.5954685542427836</v>
      </c>
      <c r="HB63" s="656">
        <f>BT63*INDEX(Assumptions!S$565:S$570,MATCH($B63,Assumptions!$B$565:$B$570,0))</f>
        <v>5.1699021235231308</v>
      </c>
      <c r="HC63" s="656">
        <f>BU63*INDEX(Assumptions!T$565:T$570,MATCH($B63,Assumptions!$B$565:$B$570,0))</f>
        <v>5.5648004183972786</v>
      </c>
      <c r="HD63" s="1922">
        <f>BV63*INDEX(Assumptions!U$565:U$570,MATCH($B63,Assumptions!$B$565:$B$570,0))</f>
        <v>5.9237916583901855</v>
      </c>
      <c r="HE63" s="1933"/>
      <c r="HF63" s="1927"/>
      <c r="HG63" s="501"/>
      <c r="HH63" s="501"/>
      <c r="HI63" s="501"/>
      <c r="HJ63" s="501"/>
      <c r="HK63" s="501"/>
      <c r="HL63" s="501"/>
      <c r="HM63" s="501"/>
      <c r="HN63" s="501"/>
      <c r="HO63" s="501"/>
      <c r="HP63" s="501"/>
      <c r="HQ63" s="501"/>
      <c r="HR63" s="501"/>
      <c r="HS63" s="501"/>
      <c r="HT63" s="501"/>
      <c r="HU63" s="501"/>
      <c r="HV63" s="656"/>
      <c r="HW63" s="1922"/>
      <c r="HX63" s="1946"/>
      <c r="HY63" s="1943">
        <v>2021</v>
      </c>
      <c r="HZ63" s="695">
        <v>2030</v>
      </c>
      <c r="IA63" s="682" t="s">
        <v>636</v>
      </c>
      <c r="IB63" s="683" t="s">
        <v>637</v>
      </c>
      <c r="IC63" s="694"/>
      <c r="ID63" s="1376"/>
      <c r="IE63" s="1968"/>
      <c r="IF63" s="1964">
        <v>0</v>
      </c>
      <c r="IG63" s="1374">
        <v>1</v>
      </c>
      <c r="IH63" s="1374">
        <v>1</v>
      </c>
      <c r="II63" s="1374">
        <v>0.5</v>
      </c>
      <c r="IJ63" s="1374">
        <v>0.5</v>
      </c>
      <c r="IK63" s="1379">
        <v>0.5</v>
      </c>
      <c r="IL63" s="1381">
        <v>1</v>
      </c>
      <c r="IM63" s="1282" t="s">
        <v>796</v>
      </c>
      <c r="IO63" s="547">
        <f t="shared" ref="IO63:IU63" si="234">SUM(IF58:IF63)/6</f>
        <v>0</v>
      </c>
      <c r="IP63" s="547">
        <f t="shared" si="234"/>
        <v>0.91666666666666663</v>
      </c>
      <c r="IQ63" s="547">
        <f t="shared" si="234"/>
        <v>1.0833333333333333</v>
      </c>
      <c r="IR63" s="547">
        <f t="shared" si="234"/>
        <v>0.41666666666666669</v>
      </c>
      <c r="IS63" s="547">
        <f t="shared" si="234"/>
        <v>0.41666666666666669</v>
      </c>
      <c r="IT63" s="547">
        <f t="shared" si="234"/>
        <v>0.58333333333333337</v>
      </c>
      <c r="IU63" s="547">
        <f t="shared" si="234"/>
        <v>0.91666666666666663</v>
      </c>
      <c r="IV63" t="s">
        <v>798</v>
      </c>
    </row>
    <row r="64" spans="2:256" ht="13.5" customHeight="1" x14ac:dyDescent="0.3">
      <c r="B64" s="1703" t="s">
        <v>53</v>
      </c>
      <c r="C64" s="2112" t="s">
        <v>53</v>
      </c>
      <c r="D64" s="679" t="s">
        <v>799</v>
      </c>
      <c r="E64" s="1786" t="s">
        <v>800</v>
      </c>
      <c r="F64" s="1776"/>
      <c r="G64" s="1796" t="s">
        <v>801</v>
      </c>
      <c r="H64" s="1204" t="s">
        <v>802</v>
      </c>
      <c r="I64" s="13"/>
      <c r="J64" s="696"/>
      <c r="K64" s="71" t="s">
        <v>648</v>
      </c>
      <c r="L64" s="1176" t="s">
        <v>719</v>
      </c>
      <c r="M64" s="1827"/>
      <c r="N64" s="1817"/>
      <c r="O64" s="1177"/>
      <c r="P64" s="1177"/>
      <c r="Q64" s="1178">
        <v>1</v>
      </c>
      <c r="R64" s="1177"/>
      <c r="S64" s="1445" cm="1">
        <f t="array" ref="S64:X64">TRANSPOSE(_xlfn.XLOOKUP(B64,Assumptions!$C$134:$I$134,Assumptions!$C$135:$I$140))</f>
        <v>0.89766686718609423</v>
      </c>
      <c r="T64" s="1445">
        <v>2.0574367766823833E-2</v>
      </c>
      <c r="U64" s="1445">
        <v>0</v>
      </c>
      <c r="V64" s="1445">
        <v>6.4936780001525515E-2</v>
      </c>
      <c r="W64" s="1445">
        <v>0</v>
      </c>
      <c r="X64" s="1445">
        <v>1.6821985045556383E-2</v>
      </c>
      <c r="Y64" s="1179" cm="1">
        <f t="array" ref="Y64:AC64">TRANSPOSE(_xlfn.ANCHORARRAY(Assumptions!$D$698))</f>
        <v>0.46715240825721654</v>
      </c>
      <c r="Z64" s="1179">
        <v>0.10872006700422583</v>
      </c>
      <c r="AA64" s="1179">
        <v>9.7634938252443113E-2</v>
      </c>
      <c r="AB64" s="1179">
        <v>0.23591534859475621</v>
      </c>
      <c r="AC64" s="1179">
        <v>9.057723789135827E-2</v>
      </c>
      <c r="AD64" s="1177"/>
      <c r="AE64" s="1177"/>
      <c r="AF64" s="1177"/>
      <c r="AG64" s="1177"/>
      <c r="AH64" s="1177"/>
      <c r="AI64" s="1177"/>
      <c r="AJ64" s="1177"/>
      <c r="AK64" s="1417">
        <f t="shared" si="176"/>
        <v>0</v>
      </c>
      <c r="AL64" s="1177"/>
      <c r="AM64" s="1177"/>
      <c r="AN64" s="1177"/>
      <c r="AO64" s="1834">
        <v>0</v>
      </c>
      <c r="AP64" s="1847"/>
      <c r="AQ64" s="1837">
        <f>AVERAGE(AR64:BA64)</f>
        <v>13.844151616568803</v>
      </c>
      <c r="AR64" s="663"/>
      <c r="AS64" s="663"/>
      <c r="AT64" s="663"/>
      <c r="AU64" s="663"/>
      <c r="AV64" s="659">
        <f>_xlfn.XLOOKUP($D64,TalTech!$B$4:$B$46,TalTech!BB$4:BB$46)</f>
        <v>13.844151616568801</v>
      </c>
      <c r="AW64" s="659">
        <f>_xlfn.XLOOKUP($D64,TalTech!$B$4:$B$46,TalTech!BC$4:BC$46)</f>
        <v>13.844151616568801</v>
      </c>
      <c r="AX64" s="659">
        <f>_xlfn.XLOOKUP($D64,TalTech!$B$4:$B$46,TalTech!BD$4:BD$46)</f>
        <v>13.844151616568801</v>
      </c>
      <c r="AY64" s="659">
        <f>_xlfn.XLOOKUP($D64,TalTech!$B$4:$B$46,TalTech!BE$4:BE$46)</f>
        <v>13.844151616568801</v>
      </c>
      <c r="AZ64" s="659">
        <f>_xlfn.XLOOKUP($D64,TalTech!$B$4:$B$46,TalTech!BF$4:BF$46)</f>
        <v>13.844151616568801</v>
      </c>
      <c r="BA64" s="659">
        <f>_xlfn.XLOOKUP($D64,TalTech!$B$4:$B$46,TalTech!BG$4:BG$46)</f>
        <v>13.844151616568801</v>
      </c>
      <c r="BB64" s="659">
        <f>_xlfn.XLOOKUP($D64,TalTech!$B$4:$B$46,TalTech!BH$4:BH$46)</f>
        <v>13.844151616568801</v>
      </c>
      <c r="BC64" s="659">
        <f>_xlfn.XLOOKUP($D64,TalTech!$B$4:$B$46,TalTech!BI$4:BI$46)</f>
        <v>13.844151616568801</v>
      </c>
      <c r="BD64" s="659">
        <f>_xlfn.XLOOKUP($D64,TalTech!$B$4:$B$46,TalTech!BJ$4:BJ$46)</f>
        <v>13.844151616568801</v>
      </c>
      <c r="BE64" s="659">
        <f>_xlfn.XLOOKUP($D64,TalTech!$B$4:$B$46,TalTech!BK$4:BK$46)</f>
        <v>13.844151616568801</v>
      </c>
      <c r="BF64" s="659">
        <f>_xlfn.XLOOKUP($D64,TalTech!$B$4:$B$46,TalTech!BL$4:BL$46)</f>
        <v>13.844151616568801</v>
      </c>
      <c r="BG64" s="501">
        <f t="shared" si="177"/>
        <v>13.844151616568807</v>
      </c>
      <c r="BH64" s="893">
        <f t="shared" si="111"/>
        <v>0</v>
      </c>
      <c r="BI64" s="658">
        <f t="shared" si="112"/>
        <v>0</v>
      </c>
      <c r="BJ64" s="658">
        <f t="shared" si="113"/>
        <v>0</v>
      </c>
      <c r="BK64" s="658">
        <f t="shared" si="114"/>
        <v>0</v>
      </c>
      <c r="BL64" s="658">
        <f t="shared" si="115"/>
        <v>13.844151616568801</v>
      </c>
      <c r="BM64" s="658">
        <f t="shared" si="116"/>
        <v>27.688303233137603</v>
      </c>
      <c r="BN64" s="658">
        <f t="shared" si="117"/>
        <v>41.532454849706404</v>
      </c>
      <c r="BO64" s="658">
        <f t="shared" si="118"/>
        <v>55.376606466275206</v>
      </c>
      <c r="BP64" s="658">
        <f t="shared" si="119"/>
        <v>69.220758082844014</v>
      </c>
      <c r="BQ64" s="658">
        <f t="shared" si="120"/>
        <v>83.064909699412823</v>
      </c>
      <c r="BR64" s="658">
        <f t="shared" si="121"/>
        <v>96.909061315981631</v>
      </c>
      <c r="BS64" s="658">
        <f t="shared" si="122"/>
        <v>110.75321293255044</v>
      </c>
      <c r="BT64" s="658">
        <f t="shared" si="123"/>
        <v>124.59736454911925</v>
      </c>
      <c r="BU64" s="658">
        <f t="shared" si="124"/>
        <v>138.44151616568806</v>
      </c>
      <c r="BV64" s="1851">
        <f t="shared" si="125"/>
        <v>152.28566778225687</v>
      </c>
      <c r="BW64" s="1661"/>
      <c r="BX64" s="1855">
        <v>551.97635458240802</v>
      </c>
      <c r="BY64" s="1192">
        <f t="shared" si="126"/>
        <v>6645.120744485801</v>
      </c>
      <c r="BZ64" s="663"/>
      <c r="CA64" s="663"/>
      <c r="CB64" s="663"/>
      <c r="CC64" s="663"/>
      <c r="CD64" s="675">
        <f>_xlfn.XLOOKUP($D64,TalTech!$B$4:$B$46,TalTech!BM$4:BM$46)</f>
        <v>87.502499999999998</v>
      </c>
      <c r="CE64" s="675">
        <f>_xlfn.XLOOKUP($D64,TalTech!$B$4:$B$46,TalTech!BN$4:BN$46)</f>
        <v>89.252549999999999</v>
      </c>
      <c r="CF64" s="675">
        <f>_xlfn.XLOOKUP($D64,TalTech!$B$4:$B$46,TalTech!BO$4:BO$46)</f>
        <v>91.037600999999995</v>
      </c>
      <c r="CG64" s="675">
        <f>_xlfn.XLOOKUP($D64,TalTech!$B$4:$B$46,TalTech!BP$4:BP$46)</f>
        <v>92.858353019999996</v>
      </c>
      <c r="CH64" s="675">
        <f>_xlfn.XLOOKUP($D64,TalTech!$B$4:$B$46,TalTech!BQ$4:BQ$46)</f>
        <v>94.715520080399997</v>
      </c>
      <c r="CI64" s="675">
        <f>_xlfn.XLOOKUP($D64,TalTech!$B$4:$B$46,TalTech!BR$4:BR$46)</f>
        <v>96.609830482007993</v>
      </c>
      <c r="CJ64" s="675">
        <f>_xlfn.XLOOKUP($D64,TalTech!$B$4:$B$46,TalTech!BS$4:BS$46)</f>
        <v>98.542027091648151</v>
      </c>
      <c r="CK64" s="675">
        <f>_xlfn.XLOOKUP($D64,TalTech!$B$4:$B$46,TalTech!BT$4:BT$46)</f>
        <v>100.51286763348112</v>
      </c>
      <c r="CL64" s="675">
        <f>_xlfn.XLOOKUP($D64,TalTech!$B$4:$B$46,TalTech!BU$4:BU$46)</f>
        <v>102.52312498615075</v>
      </c>
      <c r="CM64" s="675">
        <f>_xlfn.XLOOKUP($D64,TalTech!$B$4:$B$46,TalTech!BV$4:BV$46)</f>
        <v>104.57358748587376</v>
      </c>
      <c r="CN64" s="675">
        <f>_xlfn.XLOOKUP($D64,TalTech!$B$4:$B$46,TalTech!BW$4:BW$46)</f>
        <v>106.66505923559123</v>
      </c>
      <c r="CO64" s="493">
        <f t="shared" si="178"/>
        <v>96.799365546832092</v>
      </c>
      <c r="CP64" s="660">
        <f t="shared" si="127"/>
        <v>551.97635458240791</v>
      </c>
      <c r="CQ64" s="1193">
        <f>_xlfn.XLOOKUP($D64,TalTech!$B$4:$B$46,TalTech!$H$4:$H$46)</f>
        <v>1</v>
      </c>
      <c r="CR64" s="662">
        <f>1-CQ64</f>
        <v>0</v>
      </c>
      <c r="CS64" s="685" t="str">
        <v>100% government</v>
      </c>
      <c r="CT64" s="1862">
        <f t="shared" si="218"/>
        <v>91.996059097067985</v>
      </c>
      <c r="CU64" s="1872"/>
      <c r="CV64" s="1865">
        <f>BH64*Assumptions!D$498</f>
        <v>0</v>
      </c>
      <c r="CW64" s="659">
        <f>BI64*Assumptions!E$498</f>
        <v>0</v>
      </c>
      <c r="CX64" s="659">
        <f>BJ64*Assumptions!F$498</f>
        <v>0</v>
      </c>
      <c r="CY64" s="659">
        <f>BK64*Assumptions!G$498</f>
        <v>0</v>
      </c>
      <c r="CZ64" s="659">
        <f>BL64*Assumptions!H$498</f>
        <v>1.4396433685774424</v>
      </c>
      <c r="DA64" s="659">
        <f>BM64*Assumptions!I$498</f>
        <v>2.9280599234967966</v>
      </c>
      <c r="DB64" s="659">
        <f>BN64*Assumptions!J$498</f>
        <v>4.4678186399258326</v>
      </c>
      <c r="DC64" s="659">
        <f>BO64*Assumptions!K$498</f>
        <v>6.0615555826244716</v>
      </c>
      <c r="DD64" s="659">
        <f>BP64*Assumptions!L$498</f>
        <v>7.7119771189636621</v>
      </c>
      <c r="DE64" s="659">
        <f>BQ64*Assumptions!M$498</f>
        <v>9.4218631967810005</v>
      </c>
      <c r="DF64" s="659">
        <f>BR64*Assumptions!N$498</f>
        <v>11.197803501723104</v>
      </c>
      <c r="DG64" s="659">
        <f>BS64*Assumptions!O$498</f>
        <v>13.039545333751699</v>
      </c>
      <c r="DH64" s="659">
        <f>BT64*Assumptions!P$498</f>
        <v>14.949970447244983</v>
      </c>
      <c r="DI64" s="659">
        <f>BU64*Assumptions!Q$498</f>
        <v>16.932074280469489</v>
      </c>
      <c r="DJ64" s="659">
        <f>BV64*Assumptions!R$498</f>
        <v>18.9889701830344</v>
      </c>
      <c r="DK64" s="680">
        <f t="shared" si="222"/>
        <v>0</v>
      </c>
      <c r="DL64" s="680">
        <f t="shared" si="223"/>
        <v>0</v>
      </c>
      <c r="DM64" s="680">
        <f t="shared" si="224"/>
        <v>0</v>
      </c>
      <c r="DN64" s="680">
        <f t="shared" si="225"/>
        <v>0</v>
      </c>
      <c r="DO64" s="680">
        <f t="shared" si="226"/>
        <v>1.4396433685774424</v>
      </c>
      <c r="DP64" s="680">
        <f t="shared" si="227"/>
        <v>2.9280599234967966</v>
      </c>
      <c r="DQ64" s="680">
        <f t="shared" si="228"/>
        <v>4.4678186399258326</v>
      </c>
      <c r="DR64" s="680">
        <f t="shared" si="229"/>
        <v>6.0615555826244716</v>
      </c>
      <c r="DS64" s="680">
        <f t="shared" si="230"/>
        <v>7.7119771189636621</v>
      </c>
      <c r="DT64" s="680">
        <f t="shared" si="231"/>
        <v>9.4218631967810005</v>
      </c>
      <c r="DU64" s="680">
        <f t="shared" si="220"/>
        <v>11.197803501723104</v>
      </c>
      <c r="DV64" s="680">
        <f t="shared" si="220"/>
        <v>13.039545333751699</v>
      </c>
      <c r="DW64" s="680">
        <f t="shared" si="220"/>
        <v>14.949970447244983</v>
      </c>
      <c r="DX64" s="680">
        <f t="shared" si="220"/>
        <v>16.932074280469489</v>
      </c>
      <c r="DY64" s="680">
        <f t="shared" si="220"/>
        <v>18.9889701830344</v>
      </c>
      <c r="DZ64" s="678">
        <v>1</v>
      </c>
      <c r="EA64" s="661">
        <f t="shared" si="130"/>
        <v>0</v>
      </c>
      <c r="EB64" s="1861"/>
      <c r="EC64" s="1881"/>
      <c r="ED64" s="1877">
        <v>0</v>
      </c>
      <c r="EE64" s="684"/>
      <c r="EF64" s="684"/>
      <c r="EG64" s="684"/>
      <c r="EH64" s="684"/>
      <c r="EI64" s="665">
        <f t="shared" si="196"/>
        <v>0</v>
      </c>
      <c r="EJ64" s="665">
        <f t="shared" si="197"/>
        <v>0</v>
      </c>
      <c r="EK64" s="665">
        <f t="shared" si="198"/>
        <v>0</v>
      </c>
      <c r="EL64" s="665">
        <f t="shared" si="199"/>
        <v>0</v>
      </c>
      <c r="EM64" s="665">
        <f t="shared" si="200"/>
        <v>0</v>
      </c>
      <c r="EN64" s="665">
        <f t="shared" si="201"/>
        <v>0</v>
      </c>
      <c r="EO64" s="665">
        <f t="shared" si="202"/>
        <v>0</v>
      </c>
      <c r="EP64" s="665">
        <f t="shared" si="203"/>
        <v>0</v>
      </c>
      <c r="EQ64" s="665">
        <f t="shared" si="204"/>
        <v>0</v>
      </c>
      <c r="ER64" s="665">
        <f t="shared" si="205"/>
        <v>0</v>
      </c>
      <c r="ES64" s="665">
        <f t="shared" si="206"/>
        <v>0</v>
      </c>
      <c r="ET64" s="541">
        <f t="shared" si="133"/>
        <v>0</v>
      </c>
      <c r="EU64" s="1450" cm="1">
        <f t="array" ref="EU64">(BH64*SUMPRODUCT($S64:$X64,TRANSPOSE(Assumptions!D$281:D$286)))*0.001</f>
        <v>0</v>
      </c>
      <c r="EV64" s="1450" cm="1">
        <f t="array" ref="EV64">(BI64*SUMPRODUCT($S64:$X64,TRANSPOSE(Assumptions!E$281:E$286)))*0.001</f>
        <v>0</v>
      </c>
      <c r="EW64" s="1450" cm="1">
        <f t="array" ref="EW64">(BJ64*SUMPRODUCT($S64:$X64,TRANSPOSE(Assumptions!F$281:F$286)))*0.001</f>
        <v>0</v>
      </c>
      <c r="EX64" s="1450" cm="1">
        <f t="array" ref="EX64">(BK64*SUMPRODUCT($S64:$X64,TRANSPOSE(Assumptions!G$281:G$286)))*0.001</f>
        <v>0</v>
      </c>
      <c r="EY64" s="1450" cm="1">
        <f t="array" ref="EY64">(BL64*SUMPRODUCT($S64:$X64,TRANSPOSE(Assumptions!H$281:H$286)))*0.001</f>
        <v>0.59855349692608906</v>
      </c>
      <c r="EZ64" s="1450" cm="1">
        <f t="array" ref="EZ64">(BM64*SUMPRODUCT($S64:$X64,TRANSPOSE(Assumptions!I$281:I$286)))*0.001</f>
        <v>1.1971069938521781</v>
      </c>
      <c r="FA64" s="1450" cm="1">
        <f t="array" ref="FA64">(BN64*SUMPRODUCT($S64:$X64,TRANSPOSE(Assumptions!J$281:J$286)))*0.001</f>
        <v>1.7956604907782669</v>
      </c>
      <c r="FB64" s="1450" cm="1">
        <f t="array" ref="FB64">(BO64*SUMPRODUCT($S64:$X64,TRANSPOSE(Assumptions!K$281:K$286)))*0.001</f>
        <v>2.3942139877043562</v>
      </c>
      <c r="FC64" s="1450" cm="1">
        <f t="array" ref="FC64">(BP64*SUMPRODUCT($S64:$X64,TRANSPOSE(Assumptions!L$281:L$286)))*0.001</f>
        <v>2.9927674846304453</v>
      </c>
      <c r="FD64" s="1450" cm="1">
        <f t="array" ref="FD64">(BQ64*SUMPRODUCT($S64:$X64,TRANSPOSE(Assumptions!M$281:M$286)))*0.001</f>
        <v>3.5913209815565348</v>
      </c>
      <c r="FE64" s="1450" cm="1">
        <f t="array" ref="FE64">(BR64*SUMPRODUCT($S64:$X64,TRANSPOSE(Assumptions!N$281:N$286)))*0.001</f>
        <v>4.1898744784826238</v>
      </c>
      <c r="FF64" s="1450" cm="1">
        <f t="array" ref="FF64">(BS64*SUMPRODUCT($S64:$X64,TRANSPOSE(Assumptions!O$281:O$286)))*0.001</f>
        <v>4.7884279754087133</v>
      </c>
      <c r="FG64" s="1450" cm="1">
        <f t="array" ref="FG64">(BT64*SUMPRODUCT($S64:$X64,TRANSPOSE(Assumptions!P$281:P$286)))*0.001</f>
        <v>5.3869814723348028</v>
      </c>
      <c r="FH64" s="1450" cm="1">
        <f t="array" ref="FH64">(BU64*SUMPRODUCT($S64:$X64,TRANSPOSE(Assumptions!Q$281:Q$286)))*0.001</f>
        <v>5.9855349692608915</v>
      </c>
      <c r="FI64" s="1450" cm="1">
        <f t="array" ref="FI64">(BV64*SUMPRODUCT($S64:$X64,TRANSPOSE(Assumptions!R$281:R$286)))*0.001</f>
        <v>6.584088466186981</v>
      </c>
      <c r="FJ64" s="666">
        <f t="shared" ref="FJ64:FS64" si="235">EE64-EU64</f>
        <v>0</v>
      </c>
      <c r="FK64" s="666">
        <f t="shared" si="235"/>
        <v>0</v>
      </c>
      <c r="FL64" s="666">
        <f t="shared" si="235"/>
        <v>0</v>
      </c>
      <c r="FM64" s="666">
        <f t="shared" si="235"/>
        <v>0</v>
      </c>
      <c r="FN64" s="666">
        <f t="shared" si="235"/>
        <v>-0.59855349692608906</v>
      </c>
      <c r="FO64" s="666">
        <f t="shared" si="235"/>
        <v>-1.1971069938521781</v>
      </c>
      <c r="FP64" s="666">
        <f t="shared" si="235"/>
        <v>-1.7956604907782669</v>
      </c>
      <c r="FQ64" s="666">
        <f t="shared" si="235"/>
        <v>-2.3942139877043562</v>
      </c>
      <c r="FR64" s="666">
        <f t="shared" si="235"/>
        <v>-2.9927674846304453</v>
      </c>
      <c r="FS64" s="666">
        <f t="shared" si="235"/>
        <v>-3.5913209815565348</v>
      </c>
      <c r="FT64" s="666">
        <f t="shared" si="144"/>
        <v>-4.1898744784826238</v>
      </c>
      <c r="FU64" s="666">
        <f t="shared" si="145"/>
        <v>-4.7884279754087133</v>
      </c>
      <c r="FV64" s="666">
        <f t="shared" si="146"/>
        <v>-5.3869814723348028</v>
      </c>
      <c r="FW64" s="666">
        <f t="shared" si="147"/>
        <v>-5.9855349692608915</v>
      </c>
      <c r="FX64" s="1883">
        <f t="shared" si="148"/>
        <v>-6.584088466186981</v>
      </c>
      <c r="FY64" s="1895"/>
      <c r="FZ64" s="1890">
        <v>0</v>
      </c>
      <c r="GA64" s="491">
        <v>0</v>
      </c>
      <c r="GB64" s="491">
        <v>0</v>
      </c>
      <c r="GC64" s="491">
        <v>0</v>
      </c>
      <c r="GD64" s="491">
        <v>0</v>
      </c>
      <c r="GE64" s="491">
        <v>0</v>
      </c>
      <c r="GF64" s="491">
        <v>0</v>
      </c>
      <c r="GG64" s="491">
        <v>0</v>
      </c>
      <c r="GH64" s="491">
        <v>0</v>
      </c>
      <c r="GI64" s="491">
        <v>0</v>
      </c>
      <c r="GJ64" s="491"/>
      <c r="GK64" s="491"/>
      <c r="GL64" s="491"/>
      <c r="GM64" s="491"/>
      <c r="GN64" s="1900"/>
      <c r="GO64" s="1912"/>
      <c r="GP64" s="1868">
        <f>BH64*INDEX(Assumptions!G$565:G$570,MATCH($B64,Assumptions!$B$565:$B$570,0))</f>
        <v>0</v>
      </c>
      <c r="GQ64" s="656">
        <f>BI64*INDEX(Assumptions!H$565:H$570,MATCH($B64,Assumptions!$B$565:$B$570,0))</f>
        <v>0</v>
      </c>
      <c r="GR64" s="656">
        <f>BJ64*INDEX(Assumptions!I$565:I$570,MATCH($B64,Assumptions!$B$565:$B$570,0))</f>
        <v>0</v>
      </c>
      <c r="GS64" s="656">
        <f>BK64*INDEX(Assumptions!J$565:J$570,MATCH($B64,Assumptions!$B$565:$B$570,0))</f>
        <v>0</v>
      </c>
      <c r="GT64" s="656">
        <f>BL64*INDEX(Assumptions!K$565:K$570,MATCH($B64,Assumptions!$B$565:$B$570,0))</f>
        <v>3.8381813738039146</v>
      </c>
      <c r="GU64" s="656">
        <f>BM64*INDEX(Assumptions!L$565:L$570,MATCH($B64,Assumptions!$B$565:$B$570,0))</f>
        <v>7.6929556874711951</v>
      </c>
      <c r="GV64" s="656">
        <f>BN64*INDEX(Assumptions!M$565:M$570,MATCH($B64,Assumptions!$B$565:$B$570,0))</f>
        <v>11.553559789312823</v>
      </c>
      <c r="GW64" s="656">
        <f>BO64*INDEX(Assumptions!N$565:N$570,MATCH($B64,Assumptions!$B$565:$B$570,0))</f>
        <v>15.410508526190796</v>
      </c>
      <c r="GX64" s="656">
        <f>BP64*INDEX(Assumptions!O$565:O$570,MATCH($B64,Assumptions!$B$565:$B$570,0))</f>
        <v>19.255538765895921</v>
      </c>
      <c r="GY64" s="656">
        <f>BQ64*INDEX(Assumptions!P$565:P$570,MATCH($B64,Assumptions!$B$565:$B$570,0))</f>
        <v>23.004932834372081</v>
      </c>
      <c r="GZ64" s="656">
        <f>BR64*INDEX(Assumptions!Q$565:Q$570,MATCH($B64,Assumptions!$B$565:$B$570,0))</f>
        <v>25.484639436110964</v>
      </c>
      <c r="HA64" s="656">
        <f>BS64*INDEX(Assumptions!R$565:R$570,MATCH($B64,Assumptions!$B$565:$B$570,0))</f>
        <v>31.694885213029366</v>
      </c>
      <c r="HB64" s="656">
        <f>BT64*INDEX(Assumptions!S$565:S$570,MATCH($B64,Assumptions!$B$565:$B$570,0))</f>
        <v>35.656745864658035</v>
      </c>
      <c r="HC64" s="656">
        <f>BU64*INDEX(Assumptions!T$565:T$570,MATCH($B64,Assumptions!$B$565:$B$570,0))</f>
        <v>39.490901337053387</v>
      </c>
      <c r="HD64" s="1922">
        <f>BV64*INDEX(Assumptions!U$565:U$570,MATCH($B64,Assumptions!$B$565:$B$570,0))</f>
        <v>43.299515773602067</v>
      </c>
      <c r="HE64" s="1933"/>
      <c r="HF64" s="1927"/>
      <c r="HG64" s="501"/>
      <c r="HH64" s="501"/>
      <c r="HI64" s="501"/>
      <c r="HJ64" s="501"/>
      <c r="HK64" s="501"/>
      <c r="HL64" s="501"/>
      <c r="HM64" s="501"/>
      <c r="HN64" s="501"/>
      <c r="HO64" s="501"/>
      <c r="HP64" s="501"/>
      <c r="HQ64" s="501"/>
      <c r="HR64" s="501"/>
      <c r="HS64" s="501"/>
      <c r="HT64" s="501"/>
      <c r="HU64" s="501"/>
      <c r="HV64" s="656"/>
      <c r="HW64" s="1922"/>
      <c r="HX64" s="1946"/>
      <c r="HY64" s="1943"/>
      <c r="HZ64" s="695"/>
      <c r="IA64" s="683"/>
      <c r="IB64" s="683"/>
      <c r="IC64" s="694"/>
      <c r="ID64" s="1376"/>
      <c r="IE64" s="1968"/>
      <c r="IF64" s="1962">
        <v>0</v>
      </c>
      <c r="IG64" s="1290">
        <v>0.4</v>
      </c>
      <c r="IH64" s="1290">
        <v>0.4</v>
      </c>
      <c r="II64" s="1290">
        <v>0.4</v>
      </c>
      <c r="IJ64" s="1416">
        <v>1</v>
      </c>
      <c r="IK64" s="1380">
        <v>0.4</v>
      </c>
      <c r="IL64" s="1426">
        <v>1</v>
      </c>
      <c r="IM64" s="1291" t="s">
        <v>800</v>
      </c>
    </row>
    <row r="65" spans="2:247" ht="27" x14ac:dyDescent="0.3">
      <c r="B65" s="1703" t="s">
        <v>53</v>
      </c>
      <c r="C65" s="2113"/>
      <c r="D65" s="679" t="s">
        <v>803</v>
      </c>
      <c r="E65" s="1127" t="s">
        <v>804</v>
      </c>
      <c r="F65" s="1808"/>
      <c r="G65" s="1797"/>
      <c r="H65" s="70"/>
      <c r="I65" s="13"/>
      <c r="J65" s="696"/>
      <c r="K65" s="71" t="s">
        <v>648</v>
      </c>
      <c r="L65" s="1176" t="s">
        <v>719</v>
      </c>
      <c r="M65" s="1827"/>
      <c r="N65" s="1817"/>
      <c r="O65" s="1177"/>
      <c r="P65" s="1177"/>
      <c r="Q65" s="1178">
        <v>1</v>
      </c>
      <c r="R65" s="1177"/>
      <c r="S65" s="1445" cm="1">
        <f t="array" ref="S65:X65">TRANSPOSE(_xlfn.XLOOKUP(B65,Assumptions!$C$134:$I$134,Assumptions!$C$135:$I$140))</f>
        <v>0.89766686718609423</v>
      </c>
      <c r="T65" s="1445">
        <v>2.0574367766823833E-2</v>
      </c>
      <c r="U65" s="1445">
        <v>0</v>
      </c>
      <c r="V65" s="1445">
        <v>6.4936780001525515E-2</v>
      </c>
      <c r="W65" s="1445">
        <v>0</v>
      </c>
      <c r="X65" s="1445">
        <v>1.6821985045556383E-2</v>
      </c>
      <c r="Y65" s="1187" cm="1">
        <f t="array" ref="Y65:AC65">_xlfn.XLOOKUP($Y$6:$AC$6,Assumptions!$H$708:$L$708,Assumptions!$H$715:$L$715)</f>
        <v>0.86820541512921667</v>
      </c>
      <c r="Z65" s="1187">
        <v>2.9698754222823431E-2</v>
      </c>
      <c r="AA65" s="1187">
        <v>1.6179522227809374E-2</v>
      </c>
      <c r="AB65" s="1187">
        <v>8.345166682011658E-2</v>
      </c>
      <c r="AC65" s="1187">
        <v>2.4646416000339952E-3</v>
      </c>
      <c r="AD65" s="1177"/>
      <c r="AE65" s="1177"/>
      <c r="AF65" s="1177"/>
      <c r="AG65" s="1177"/>
      <c r="AH65" s="1177"/>
      <c r="AI65" s="1177"/>
      <c r="AJ65" s="1177"/>
      <c r="AK65" s="1417">
        <f t="shared" si="176"/>
        <v>0</v>
      </c>
      <c r="AL65" s="1177"/>
      <c r="AM65" s="1177"/>
      <c r="AN65" s="1177"/>
      <c r="AO65" s="1834">
        <v>1</v>
      </c>
      <c r="AP65" s="1847"/>
      <c r="AQ65" s="1837">
        <f>AVERAGE(AR65:BA65)</f>
        <v>5.8323648112381257</v>
      </c>
      <c r="AR65" s="663"/>
      <c r="AS65" s="663"/>
      <c r="AT65" s="663"/>
      <c r="AU65" s="663"/>
      <c r="AV65" s="659">
        <f>_xlfn.XLOOKUP($D65,TalTech!$B$4:$B$46,TalTech!BB$4:BB$46)</f>
        <v>23.329459244952506</v>
      </c>
      <c r="AW65" s="659">
        <f>_xlfn.XLOOKUP($D65,TalTech!$B$4:$B$46,TalTech!BC$4:BC$46)</f>
        <v>2.3329459244952506</v>
      </c>
      <c r="AX65" s="659">
        <f>_xlfn.XLOOKUP($D65,TalTech!$B$4:$B$46,TalTech!BD$4:BD$46)</f>
        <v>2.3329459244952506</v>
      </c>
      <c r="AY65" s="659">
        <f>_xlfn.XLOOKUP($D65,TalTech!$B$4:$B$46,TalTech!BE$4:BE$46)</f>
        <v>2.3329459244952506</v>
      </c>
      <c r="AZ65" s="659">
        <f>_xlfn.XLOOKUP($D65,TalTech!$B$4:$B$46,TalTech!BF$4:BF$46)</f>
        <v>2.3329459244952506</v>
      </c>
      <c r="BA65" s="659">
        <f>_xlfn.XLOOKUP($D65,TalTech!$B$4:$B$46,TalTech!BG$4:BG$46)</f>
        <v>2.3329459244952506</v>
      </c>
      <c r="BB65" s="659">
        <f>_xlfn.XLOOKUP($D65,TalTech!$B$4:$B$46,TalTech!BH$4:BH$46)</f>
        <v>2.3329459244952506</v>
      </c>
      <c r="BC65" s="659">
        <f>_xlfn.XLOOKUP($D65,TalTech!$B$4:$B$46,TalTech!BI$4:BI$46)</f>
        <v>2.3329459244952506</v>
      </c>
      <c r="BD65" s="659">
        <f>_xlfn.XLOOKUP($D65,TalTech!$B$4:$B$46,TalTech!BJ$4:BJ$46)</f>
        <v>2.3329459244952506</v>
      </c>
      <c r="BE65" s="659">
        <f>_xlfn.XLOOKUP($D65,TalTech!$B$4:$B$46,TalTech!BK$4:BK$46)</f>
        <v>2.3329459244952506</v>
      </c>
      <c r="BF65" s="659">
        <f>_xlfn.XLOOKUP($D65,TalTech!$B$4:$B$46,TalTech!BL$4:BL$46)</f>
        <v>2.3329459244952506</v>
      </c>
      <c r="BG65" s="501">
        <f t="shared" si="177"/>
        <v>4.2417198627186359</v>
      </c>
      <c r="BH65" s="893">
        <f t="shared" si="111"/>
        <v>0</v>
      </c>
      <c r="BI65" s="658">
        <f t="shared" si="112"/>
        <v>0</v>
      </c>
      <c r="BJ65" s="658">
        <f t="shared" si="113"/>
        <v>0</v>
      </c>
      <c r="BK65" s="658">
        <f t="shared" si="114"/>
        <v>0</v>
      </c>
      <c r="BL65" s="658">
        <f t="shared" si="115"/>
        <v>23.329459244952506</v>
      </c>
      <c r="BM65" s="658">
        <f t="shared" si="116"/>
        <v>25.662405169447759</v>
      </c>
      <c r="BN65" s="658">
        <f t="shared" si="117"/>
        <v>27.995351093943007</v>
      </c>
      <c r="BO65" s="658">
        <f t="shared" si="118"/>
        <v>30.328297018438256</v>
      </c>
      <c r="BP65" s="658">
        <f t="shared" si="119"/>
        <v>32.661242942933505</v>
      </c>
      <c r="BQ65" s="658">
        <f t="shared" si="120"/>
        <v>34.994188867428754</v>
      </c>
      <c r="BR65" s="658">
        <f t="shared" si="121"/>
        <v>37.327134791924003</v>
      </c>
      <c r="BS65" s="658">
        <f t="shared" si="122"/>
        <v>39.660080716419252</v>
      </c>
      <c r="BT65" s="658">
        <f t="shared" si="123"/>
        <v>41.993026640914501</v>
      </c>
      <c r="BU65" s="658">
        <f t="shared" si="124"/>
        <v>44.325972565409749</v>
      </c>
      <c r="BV65" s="1851">
        <f t="shared" si="125"/>
        <v>46.658918489904998</v>
      </c>
      <c r="BW65" s="1661"/>
      <c r="BX65" s="1855">
        <v>2.3151510000000002</v>
      </c>
      <c r="BY65" s="1192">
        <f t="shared" si="126"/>
        <v>66.158155823261652</v>
      </c>
      <c r="BZ65" s="663"/>
      <c r="CA65" s="663"/>
      <c r="CB65" s="663"/>
      <c r="CC65" s="663"/>
      <c r="CD65" s="675">
        <f>_xlfn.XLOOKUP($D65,TalTech!$B$4:$B$46,TalTech!BM$4:BM$46)</f>
        <v>0.38585849999999999</v>
      </c>
      <c r="CE65" s="675">
        <f>_xlfn.XLOOKUP($D65,TalTech!$B$4:$B$46,TalTech!BN$4:BN$46)</f>
        <v>0.38585849999999999</v>
      </c>
      <c r="CF65" s="675">
        <f>_xlfn.XLOOKUP($D65,TalTech!$B$4:$B$46,TalTech!BO$4:BO$46)</f>
        <v>0.38585849999999999</v>
      </c>
      <c r="CG65" s="675">
        <f>_xlfn.XLOOKUP($D65,TalTech!$B$4:$B$46,TalTech!BP$4:BP$46)</f>
        <v>0.38585849999999999</v>
      </c>
      <c r="CH65" s="675">
        <f>_xlfn.XLOOKUP($D65,TalTech!$B$4:$B$46,TalTech!BQ$4:BQ$46)</f>
        <v>0.38585849999999999</v>
      </c>
      <c r="CI65" s="675">
        <f>_xlfn.XLOOKUP($D65,TalTech!$B$4:$B$46,TalTech!BR$4:BR$46)</f>
        <v>0.38585849999999999</v>
      </c>
      <c r="CJ65" s="675">
        <f>_xlfn.XLOOKUP($D65,TalTech!$B$4:$B$46,TalTech!BS$4:BS$46)</f>
        <v>0.38585849999999999</v>
      </c>
      <c r="CK65" s="675">
        <f>_xlfn.XLOOKUP($D65,TalTech!$B$4:$B$46,TalTech!BT$4:BT$46)</f>
        <v>0.38585849999999999</v>
      </c>
      <c r="CL65" s="675">
        <f>_xlfn.XLOOKUP($D65,TalTech!$B$4:$B$46,TalTech!BU$4:BU$46)</f>
        <v>0.38585849999999999</v>
      </c>
      <c r="CM65" s="675">
        <f>_xlfn.XLOOKUP($D65,TalTech!$B$4:$B$46,TalTech!BV$4:BV$46)</f>
        <v>0.38585849999999999</v>
      </c>
      <c r="CN65" s="675">
        <f>_xlfn.XLOOKUP($D65,TalTech!$B$4:$B$46,TalTech!BW$4:BW$46)</f>
        <v>0.38585849999999999</v>
      </c>
      <c r="CO65" s="493">
        <f t="shared" si="178"/>
        <v>0.38585849999999994</v>
      </c>
      <c r="CP65" s="660">
        <f t="shared" si="127"/>
        <v>2.3151509999999997</v>
      </c>
      <c r="CQ65" s="1193">
        <f>_xlfn.XLOOKUP($D65,TalTech!$B$4:$B$46,TalTech!$H$4:$H$46)</f>
        <v>1</v>
      </c>
      <c r="CR65" s="662">
        <f t="shared" si="128"/>
        <v>0</v>
      </c>
      <c r="CS65" s="685" t="str">
        <v>100% government</v>
      </c>
      <c r="CT65" s="1862">
        <f t="shared" si="218"/>
        <v>0.38585849999999994</v>
      </c>
      <c r="CU65" s="1872"/>
      <c r="CV65" s="1865">
        <f>BH65*Assumptions!D$498</f>
        <v>0</v>
      </c>
      <c r="CW65" s="659">
        <f>BI65*Assumptions!E$498</f>
        <v>0</v>
      </c>
      <c r="CX65" s="659">
        <f>BJ65*Assumptions!F$498</f>
        <v>0</v>
      </c>
      <c r="CY65" s="659">
        <f>BK65*Assumptions!G$498</f>
        <v>0</v>
      </c>
      <c r="CZ65" s="659">
        <f>BL65*Assumptions!H$498</f>
        <v>2.4260136861183637</v>
      </c>
      <c r="DA65" s="659">
        <f>BM65*Assumptions!I$498</f>
        <v>2.7138196040582048</v>
      </c>
      <c r="DB65" s="659">
        <f>BN65*Assumptions!J$498</f>
        <v>3.0115761734144351</v>
      </c>
      <c r="DC65" s="659">
        <f>BO65*Assumptions!K$498</f>
        <v>3.3197530479872492</v>
      </c>
      <c r="DD65" s="659">
        <f>BP65*Assumptions!L$498</f>
        <v>3.6388327032096508</v>
      </c>
      <c r="DE65" s="659">
        <f>BQ65*Assumptions!M$498</f>
        <v>3.9693110049039286</v>
      </c>
      <c r="DF65" s="659">
        <f>BR65*Assumptions!N$498</f>
        <v>4.3131355830537386</v>
      </c>
      <c r="DG65" s="659">
        <f>BS65*Assumptions!O$498</f>
        <v>4.6693852643078477</v>
      </c>
      <c r="DH65" s="659">
        <f>BT65*Assumptions!P$498</f>
        <v>5.0385857641840532</v>
      </c>
      <c r="DI65" s="659">
        <f>BU65*Assumptions!Q$498</f>
        <v>5.4212831585384311</v>
      </c>
      <c r="DJ65" s="659">
        <f>BV65*Assumptions!R$498</f>
        <v>5.8180446320416559</v>
      </c>
      <c r="DK65" s="680">
        <f t="shared" si="222"/>
        <v>0</v>
      </c>
      <c r="DL65" s="680">
        <f t="shared" si="223"/>
        <v>0</v>
      </c>
      <c r="DM65" s="680">
        <f t="shared" si="224"/>
        <v>0</v>
      </c>
      <c r="DN65" s="680">
        <f t="shared" si="225"/>
        <v>0</v>
      </c>
      <c r="DO65" s="680">
        <f t="shared" si="226"/>
        <v>2.4260136861183637</v>
      </c>
      <c r="DP65" s="680">
        <f t="shared" si="227"/>
        <v>2.7138196040582048</v>
      </c>
      <c r="DQ65" s="680">
        <f t="shared" si="228"/>
        <v>3.0115761734144351</v>
      </c>
      <c r="DR65" s="680">
        <f t="shared" si="229"/>
        <v>3.3197530479872492</v>
      </c>
      <c r="DS65" s="680">
        <f t="shared" si="230"/>
        <v>3.6388327032096508</v>
      </c>
      <c r="DT65" s="680">
        <f t="shared" si="231"/>
        <v>3.9693110049039286</v>
      </c>
      <c r="DU65" s="680">
        <f t="shared" si="220"/>
        <v>4.3131355830537386</v>
      </c>
      <c r="DV65" s="680">
        <f t="shared" si="220"/>
        <v>4.6693852643078477</v>
      </c>
      <c r="DW65" s="680">
        <f t="shared" si="220"/>
        <v>5.0385857641840532</v>
      </c>
      <c r="DX65" s="680">
        <f t="shared" si="220"/>
        <v>5.4212831585384311</v>
      </c>
      <c r="DY65" s="680">
        <f t="shared" si="220"/>
        <v>5.8180446320416559</v>
      </c>
      <c r="DZ65" s="678">
        <v>0</v>
      </c>
      <c r="EA65" s="661">
        <f t="shared" si="130"/>
        <v>1</v>
      </c>
      <c r="EB65" s="1861">
        <f t="shared" ref="EB65:EB81" si="236">IFERROR(AVERAGE(CV65:DE65),"n/a")</f>
        <v>1.9079306219691834</v>
      </c>
      <c r="EC65" s="1881"/>
      <c r="ED65" s="1877">
        <v>0</v>
      </c>
      <c r="EE65" s="684"/>
      <c r="EF65" s="684"/>
      <c r="EG65" s="684"/>
      <c r="EH65" s="684"/>
      <c r="EI65" s="665">
        <f t="shared" si="196"/>
        <v>0</v>
      </c>
      <c r="EJ65" s="665">
        <f t="shared" si="197"/>
        <v>0</v>
      </c>
      <c r="EK65" s="665">
        <f t="shared" si="198"/>
        <v>0</v>
      </c>
      <c r="EL65" s="665">
        <f t="shared" si="199"/>
        <v>0</v>
      </c>
      <c r="EM65" s="665">
        <f t="shared" si="200"/>
        <v>0</v>
      </c>
      <c r="EN65" s="665">
        <f t="shared" si="201"/>
        <v>0</v>
      </c>
      <c r="EO65" s="665">
        <f t="shared" si="202"/>
        <v>0</v>
      </c>
      <c r="EP65" s="665">
        <f t="shared" si="203"/>
        <v>0</v>
      </c>
      <c r="EQ65" s="665">
        <f t="shared" si="204"/>
        <v>0</v>
      </c>
      <c r="ER65" s="665">
        <f t="shared" si="205"/>
        <v>0</v>
      </c>
      <c r="ES65" s="665">
        <f t="shared" si="206"/>
        <v>0</v>
      </c>
      <c r="ET65" s="541">
        <f t="shared" si="133"/>
        <v>0</v>
      </c>
      <c r="EU65" s="1450" cm="1">
        <f t="array" ref="EU65">(BH65*SUMPRODUCT($S65:$X65,TRANSPOSE(Assumptions!D$281:D$286)))*0.001</f>
        <v>0</v>
      </c>
      <c r="EV65" s="1450" cm="1">
        <f t="array" ref="EV65">(BI65*SUMPRODUCT($S65:$X65,TRANSPOSE(Assumptions!E$281:E$286)))*0.001</f>
        <v>0</v>
      </c>
      <c r="EW65" s="1450" cm="1">
        <f t="array" ref="EW65">(BJ65*SUMPRODUCT($S65:$X65,TRANSPOSE(Assumptions!F$281:F$286)))*0.001</f>
        <v>0</v>
      </c>
      <c r="EX65" s="1450" cm="1">
        <f t="array" ref="EX65">(BK65*SUMPRODUCT($S65:$X65,TRANSPOSE(Assumptions!G$281:G$286)))*0.001</f>
        <v>0</v>
      </c>
      <c r="EY65" s="1450" cm="1">
        <f t="array" ref="EY65">(BL65*SUMPRODUCT($S65:$X65,TRANSPOSE(Assumptions!H$281:H$286)))*0.001</f>
        <v>1.008651869699899</v>
      </c>
      <c r="EZ65" s="1450" cm="1">
        <f t="array" ref="EZ65">(BM65*SUMPRODUCT($S65:$X65,TRANSPOSE(Assumptions!I$281:I$286)))*0.001</f>
        <v>1.1095170566698886</v>
      </c>
      <c r="FA65" s="1450" cm="1">
        <f t="array" ref="FA65">(BN65*SUMPRODUCT($S65:$X65,TRANSPOSE(Assumptions!J$281:J$286)))*0.001</f>
        <v>1.2103822436398788</v>
      </c>
      <c r="FB65" s="1450" cm="1">
        <f t="array" ref="FB65">(BO65*SUMPRODUCT($S65:$X65,TRANSPOSE(Assumptions!K$281:K$286)))*0.001</f>
        <v>1.3112474306098685</v>
      </c>
      <c r="FC65" s="1450" cm="1">
        <f t="array" ref="FC65">(BP65*SUMPRODUCT($S65:$X65,TRANSPOSE(Assumptions!L$281:L$286)))*0.001</f>
        <v>1.4121126175798582</v>
      </c>
      <c r="FD65" s="1450" cm="1">
        <f t="array" ref="FD65">(BQ65*SUMPRODUCT($S65:$X65,TRANSPOSE(Assumptions!M$281:M$286)))*0.001</f>
        <v>1.5129778045498479</v>
      </c>
      <c r="FE65" s="1450" cm="1">
        <f t="array" ref="FE65">(BR65*SUMPRODUCT($S65:$X65,TRANSPOSE(Assumptions!N$281:N$286)))*0.001</f>
        <v>1.6138429915198378</v>
      </c>
      <c r="FF65" s="1450" cm="1">
        <f t="array" ref="FF65">(BS65*SUMPRODUCT($S65:$X65,TRANSPOSE(Assumptions!O$281:O$286)))*0.001</f>
        <v>1.7147081784898277</v>
      </c>
      <c r="FG65" s="1450" cm="1">
        <f t="array" ref="FG65">(BT65*SUMPRODUCT($S65:$X65,TRANSPOSE(Assumptions!P$281:P$286)))*0.001</f>
        <v>1.8155733654598174</v>
      </c>
      <c r="FH65" s="1450" cm="1">
        <f t="array" ref="FH65">(BU65*SUMPRODUCT($S65:$X65,TRANSPOSE(Assumptions!Q$281:Q$286)))*0.001</f>
        <v>1.9164385524298073</v>
      </c>
      <c r="FI65" s="1450" cm="1">
        <f t="array" ref="FI65">(BV65*SUMPRODUCT($S65:$X65,TRANSPOSE(Assumptions!R$281:R$286)))*0.001</f>
        <v>2.017303739399797</v>
      </c>
      <c r="FJ65" s="666">
        <f t="shared" si="207"/>
        <v>0</v>
      </c>
      <c r="FK65" s="666">
        <f t="shared" si="208"/>
        <v>0</v>
      </c>
      <c r="FL65" s="666">
        <f t="shared" si="209"/>
        <v>0</v>
      </c>
      <c r="FM65" s="666">
        <f t="shared" si="210"/>
        <v>0</v>
      </c>
      <c r="FN65" s="666">
        <f t="shared" si="211"/>
        <v>-1.008651869699899</v>
      </c>
      <c r="FO65" s="666">
        <f>EJ65-EZ65</f>
        <v>-1.1095170566698886</v>
      </c>
      <c r="FP65" s="666">
        <f t="shared" si="213"/>
        <v>-1.2103822436398788</v>
      </c>
      <c r="FQ65" s="666">
        <f t="shared" si="214"/>
        <v>-1.3112474306098685</v>
      </c>
      <c r="FR65" s="666">
        <f t="shared" si="215"/>
        <v>-1.4121126175798582</v>
      </c>
      <c r="FS65" s="666">
        <f t="shared" si="216"/>
        <v>-1.5129778045498479</v>
      </c>
      <c r="FT65" s="666">
        <f t="shared" si="144"/>
        <v>-1.6138429915198378</v>
      </c>
      <c r="FU65" s="666">
        <f t="shared" si="145"/>
        <v>-1.7147081784898277</v>
      </c>
      <c r="FV65" s="666">
        <f t="shared" si="146"/>
        <v>-1.8155733654598174</v>
      </c>
      <c r="FW65" s="666">
        <f t="shared" si="147"/>
        <v>-1.9164385524298073</v>
      </c>
      <c r="FX65" s="1883">
        <f t="shared" si="148"/>
        <v>-2.017303739399797</v>
      </c>
      <c r="FY65" s="1895"/>
      <c r="FZ65" s="690"/>
      <c r="GA65" s="690"/>
      <c r="GB65" s="690"/>
      <c r="GC65" s="690"/>
      <c r="GD65" s="493">
        <f>CD65*Admin!$H$14</f>
        <v>15.569390475000001</v>
      </c>
      <c r="GE65" s="493">
        <f>CE65*Admin!$H$14</f>
        <v>15.569390475000001</v>
      </c>
      <c r="GF65" s="493">
        <f>CF65*Admin!$H$14</f>
        <v>15.569390475000001</v>
      </c>
      <c r="GG65" s="493">
        <f>CG65*Admin!$H$14</f>
        <v>15.569390475000001</v>
      </c>
      <c r="GH65" s="493">
        <f>CH65*Admin!$H$14</f>
        <v>15.569390475000001</v>
      </c>
      <c r="GI65" s="493">
        <f>CI65*Admin!$H$14</f>
        <v>15.569390475000001</v>
      </c>
      <c r="GJ65" s="493">
        <f>CJ65*Admin!$H$14</f>
        <v>15.569390475000001</v>
      </c>
      <c r="GK65" s="493">
        <f>CK65*Admin!$H$14</f>
        <v>15.569390475000001</v>
      </c>
      <c r="GL65" s="493">
        <f>CL65*Admin!$H$14</f>
        <v>15.569390475000001</v>
      </c>
      <c r="GM65" s="493">
        <f>CM65*Admin!$H$14</f>
        <v>15.569390475000001</v>
      </c>
      <c r="GN65" s="1903">
        <f>CN65*Admin!$H$14</f>
        <v>15.569390475000001</v>
      </c>
      <c r="GO65" s="1914"/>
      <c r="GP65" s="1868">
        <f>BH65*INDEX(Assumptions!G$565:G$570,MATCH($B65,Assumptions!$B$565:$B$570,0))</f>
        <v>0</v>
      </c>
      <c r="GQ65" s="656">
        <f>BI65*INDEX(Assumptions!H$565:H$570,MATCH($B65,Assumptions!$B$565:$B$570,0))</f>
        <v>0</v>
      </c>
      <c r="GR65" s="656">
        <f>BJ65*INDEX(Assumptions!I$565:I$570,MATCH($B65,Assumptions!$B$565:$B$570,0))</f>
        <v>0</v>
      </c>
      <c r="GS65" s="656">
        <f>BK65*INDEX(Assumptions!J$565:J$570,MATCH($B65,Assumptions!$B$565:$B$570,0))</f>
        <v>0</v>
      </c>
      <c r="GT65" s="656">
        <f>BL65*INDEX(Assumptions!K$565:K$570,MATCH($B65,Assumptions!$B$565:$B$570,0))</f>
        <v>6.46790777903131</v>
      </c>
      <c r="GU65" s="656">
        <f>BM65*INDEX(Assumptions!L$565:L$570,MATCH($B65,Assumptions!$B$565:$B$570,0))</f>
        <v>7.1300774243984604</v>
      </c>
      <c r="GV65" s="656">
        <f>BN65*INDEX(Assumptions!M$565:M$570,MATCH($B65,Assumptions!$B$565:$B$570,0))</f>
        <v>7.7877882214554708</v>
      </c>
      <c r="GW65" s="656">
        <f>BO65*INDEX(Assumptions!N$565:N$570,MATCH($B65,Assumptions!$B$565:$B$570,0))</f>
        <v>8.4399263445679793</v>
      </c>
      <c r="GX65" s="656">
        <f>BP65*INDEX(Assumptions!O$565:O$570,MATCH($B65,Assumptions!$B$565:$B$570,0))</f>
        <v>9.0855669173301425</v>
      </c>
      <c r="GY65" s="656">
        <f>BQ65*INDEX(Assumptions!P$565:P$570,MATCH($B65,Assumptions!$B$565:$B$570,0))</f>
        <v>9.6916853025149372</v>
      </c>
      <c r="GZ65" s="656">
        <f>BR65*INDEX(Assumptions!Q$565:Q$570,MATCH($B65,Assumptions!$B$565:$B$570,0))</f>
        <v>9.8160951972653034</v>
      </c>
      <c r="HA65" s="656">
        <f>BS65*INDEX(Assumptions!R$565:R$570,MATCH($B65,Assumptions!$B$565:$B$570,0))</f>
        <v>11.349753858715806</v>
      </c>
      <c r="HB65" s="656">
        <f>BT65*INDEX(Assumptions!S$565:S$570,MATCH($B65,Assumptions!$B$565:$B$570,0))</f>
        <v>12.017386438640266</v>
      </c>
      <c r="HC65" s="656">
        <f>BU65*INDEX(Assumptions!T$565:T$570,MATCH($B65,Assumptions!$B$565:$B$570,0))</f>
        <v>12.644130588360145</v>
      </c>
      <c r="HD65" s="1922">
        <f>BV65*INDEX(Assumptions!U$565:U$570,MATCH($B65,Assumptions!$B$565:$B$570,0))</f>
        <v>13.266570692795328</v>
      </c>
      <c r="HE65" s="1933"/>
      <c r="HF65" s="1927"/>
      <c r="HG65" s="501"/>
      <c r="HH65" s="501"/>
      <c r="HI65" s="501"/>
      <c r="HJ65" s="501"/>
      <c r="HK65" s="501"/>
      <c r="HL65" s="501"/>
      <c r="HM65" s="501"/>
      <c r="HN65" s="501"/>
      <c r="HO65" s="501"/>
      <c r="HP65" s="501"/>
      <c r="HQ65" s="501"/>
      <c r="HR65" s="501"/>
      <c r="HS65" s="501"/>
      <c r="HT65" s="501"/>
      <c r="HU65" s="501"/>
      <c r="HV65" s="656"/>
      <c r="HW65" s="1922"/>
      <c r="HX65" s="1946"/>
      <c r="HY65" s="1943"/>
      <c r="HZ65" s="695"/>
      <c r="IA65" s="683"/>
      <c r="IB65" s="683"/>
      <c r="IC65" s="694"/>
      <c r="ID65" s="1376"/>
      <c r="IE65" s="1968"/>
      <c r="IF65" s="1963">
        <v>0</v>
      </c>
      <c r="IG65" s="538">
        <v>0.4</v>
      </c>
      <c r="IH65" s="538">
        <v>0.4</v>
      </c>
      <c r="II65" s="538">
        <v>0.4</v>
      </c>
      <c r="IJ65" s="1415">
        <v>2</v>
      </c>
      <c r="IK65" s="1276">
        <v>1</v>
      </c>
      <c r="IL65" s="1296">
        <v>2</v>
      </c>
      <c r="IM65" s="1292" t="s">
        <v>804</v>
      </c>
    </row>
    <row r="66" spans="2:247" ht="13.5" customHeight="1" x14ac:dyDescent="0.3">
      <c r="B66" s="1703" t="s">
        <v>53</v>
      </c>
      <c r="C66" s="2113"/>
      <c r="D66" s="679" t="s">
        <v>805</v>
      </c>
      <c r="E66" s="71" t="s">
        <v>806</v>
      </c>
      <c r="F66" s="1800"/>
      <c r="G66" s="1797"/>
      <c r="H66" s="70"/>
      <c r="I66" s="13"/>
      <c r="J66" s="696"/>
      <c r="K66" s="71" t="s">
        <v>648</v>
      </c>
      <c r="L66" s="1176" t="s">
        <v>719</v>
      </c>
      <c r="M66" s="1827"/>
      <c r="N66" s="1817"/>
      <c r="O66" s="1177"/>
      <c r="P66" s="1177"/>
      <c r="Q66" s="1178">
        <v>1</v>
      </c>
      <c r="R66" s="1177"/>
      <c r="S66" s="1445" cm="1">
        <f t="array" ref="S66:X66">TRANSPOSE(_xlfn.XLOOKUP(B66,Assumptions!$C$134:$I$134,Assumptions!$C$135:$I$140))</f>
        <v>0.89766686718609423</v>
      </c>
      <c r="T66" s="1445">
        <v>2.0574367766823833E-2</v>
      </c>
      <c r="U66" s="1445">
        <v>0</v>
      </c>
      <c r="V66" s="1445">
        <v>6.4936780001525515E-2</v>
      </c>
      <c r="W66" s="1445">
        <v>0</v>
      </c>
      <c r="X66" s="1445">
        <v>1.6821985045556383E-2</v>
      </c>
      <c r="Y66" s="1179" cm="1">
        <f t="array" ref="Y66:AC66">TRANSPOSE(_xlfn.ANCHORARRAY(Assumptions!$D$698))</f>
        <v>0.46715240825721654</v>
      </c>
      <c r="Z66" s="1179">
        <v>0.10872006700422583</v>
      </c>
      <c r="AA66" s="1179">
        <v>9.7634938252443113E-2</v>
      </c>
      <c r="AB66" s="1179">
        <v>0.23591534859475621</v>
      </c>
      <c r="AC66" s="1179">
        <v>9.057723789135827E-2</v>
      </c>
      <c r="AD66" s="1177"/>
      <c r="AE66" s="1177"/>
      <c r="AF66" s="1177"/>
      <c r="AG66" s="1177"/>
      <c r="AH66" s="1177"/>
      <c r="AI66" s="1177"/>
      <c r="AJ66" s="1177"/>
      <c r="AK66" s="1417">
        <f t="shared" si="176"/>
        <v>0</v>
      </c>
      <c r="AL66" s="1177"/>
      <c r="AM66" s="1177"/>
      <c r="AN66" s="1177"/>
      <c r="AO66" s="1834">
        <v>1</v>
      </c>
      <c r="AP66" s="1847"/>
      <c r="AQ66" s="1837">
        <f>AVERAGE(AR66:BA66)</f>
        <v>23.329459244952506</v>
      </c>
      <c r="AR66" s="663"/>
      <c r="AS66" s="663"/>
      <c r="AT66" s="663"/>
      <c r="AU66" s="663"/>
      <c r="AV66" s="659">
        <f>_xlfn.XLOOKUP($D66,TalTech!$B$4:$B$46,TalTech!BB$4:BB$46)</f>
        <v>23.329459244952506</v>
      </c>
      <c r="AW66" s="659">
        <f>_xlfn.XLOOKUP($D66,TalTech!$B$4:$B$46,TalTech!BC$4:BC$46)</f>
        <v>23.329459244952506</v>
      </c>
      <c r="AX66" s="659">
        <f>_xlfn.XLOOKUP($D66,TalTech!$B$4:$B$46,TalTech!BD$4:BD$46)</f>
        <v>23.329459244952506</v>
      </c>
      <c r="AY66" s="659">
        <f>_xlfn.XLOOKUP($D66,TalTech!$B$4:$B$46,TalTech!BE$4:BE$46)</f>
        <v>23.329459244952506</v>
      </c>
      <c r="AZ66" s="659">
        <f>_xlfn.XLOOKUP($D66,TalTech!$B$4:$B$46,TalTech!BF$4:BF$46)</f>
        <v>23.329459244952506</v>
      </c>
      <c r="BA66" s="659">
        <f>_xlfn.XLOOKUP($D66,TalTech!$B$4:$B$46,TalTech!BG$4:BG$46)</f>
        <v>23.329459244952506</v>
      </c>
      <c r="BB66" s="659">
        <f>_xlfn.XLOOKUP($D66,TalTech!$B$4:$B$46,TalTech!BH$4:BH$46)</f>
        <v>23.329459244952506</v>
      </c>
      <c r="BC66" s="659">
        <f>_xlfn.XLOOKUP($D66,TalTech!$B$4:$B$46,TalTech!BI$4:BI$46)</f>
        <v>23.329459244952506</v>
      </c>
      <c r="BD66" s="659">
        <f>_xlfn.XLOOKUP($D66,TalTech!$B$4:$B$46,TalTech!BJ$4:BJ$46)</f>
        <v>23.329459244952506</v>
      </c>
      <c r="BE66" s="659">
        <f>_xlfn.XLOOKUP($D66,TalTech!$B$4:$B$46,TalTech!BK$4:BK$46)</f>
        <v>23.329459244952506</v>
      </c>
      <c r="BF66" s="659">
        <f>_xlfn.XLOOKUP($D66,TalTech!$B$4:$B$46,TalTech!BL$4:BL$46)</f>
        <v>23.329459244952506</v>
      </c>
      <c r="BG66" s="501">
        <f t="shared" si="177"/>
        <v>23.32945924495251</v>
      </c>
      <c r="BH66" s="893">
        <f t="shared" si="111"/>
        <v>0</v>
      </c>
      <c r="BI66" s="658">
        <f t="shared" si="112"/>
        <v>0</v>
      </c>
      <c r="BJ66" s="658">
        <f t="shared" si="113"/>
        <v>0</v>
      </c>
      <c r="BK66" s="658">
        <f t="shared" si="114"/>
        <v>0</v>
      </c>
      <c r="BL66" s="658">
        <f t="shared" si="115"/>
        <v>23.329459244952506</v>
      </c>
      <c r="BM66" s="658">
        <f t="shared" si="116"/>
        <v>46.658918489905012</v>
      </c>
      <c r="BN66" s="658">
        <f t="shared" si="117"/>
        <v>69.988377734857522</v>
      </c>
      <c r="BO66" s="658">
        <f t="shared" si="118"/>
        <v>93.317836979810025</v>
      </c>
      <c r="BP66" s="658">
        <f t="shared" si="119"/>
        <v>116.64729622476253</v>
      </c>
      <c r="BQ66" s="658">
        <f t="shared" si="120"/>
        <v>139.97675546971504</v>
      </c>
      <c r="BR66" s="658">
        <f t="shared" si="121"/>
        <v>163.30621471466756</v>
      </c>
      <c r="BS66" s="658">
        <f t="shared" si="122"/>
        <v>186.63567395962008</v>
      </c>
      <c r="BT66" s="658">
        <f t="shared" si="123"/>
        <v>209.9651332045726</v>
      </c>
      <c r="BU66" s="658">
        <f t="shared" si="124"/>
        <v>233.29459244952511</v>
      </c>
      <c r="BV66" s="1851">
        <f t="shared" si="125"/>
        <v>256.6240516944776</v>
      </c>
      <c r="BW66" s="1661"/>
      <c r="BX66" s="1855">
        <v>120</v>
      </c>
      <c r="BY66" s="1192">
        <f t="shared" si="126"/>
        <v>857.28519422614306</v>
      </c>
      <c r="BZ66" s="663"/>
      <c r="CA66" s="663"/>
      <c r="CB66" s="663"/>
      <c r="CC66" s="663"/>
      <c r="CD66" s="675">
        <f>_xlfn.XLOOKUP($D66,TalTech!$B$4:$B$46,TalTech!BM$4:BM$46)</f>
        <v>20</v>
      </c>
      <c r="CE66" s="675">
        <f>_xlfn.XLOOKUP($D66,TalTech!$B$4:$B$46,TalTech!BN$4:BN$46)</f>
        <v>20</v>
      </c>
      <c r="CF66" s="675">
        <f>_xlfn.XLOOKUP($D66,TalTech!$B$4:$B$46,TalTech!BO$4:BO$46)</f>
        <v>20</v>
      </c>
      <c r="CG66" s="675">
        <f>_xlfn.XLOOKUP($D66,TalTech!$B$4:$B$46,TalTech!BP$4:BP$46)</f>
        <v>20</v>
      </c>
      <c r="CH66" s="675">
        <f>_xlfn.XLOOKUP($D66,TalTech!$B$4:$B$46,TalTech!BQ$4:BQ$46)</f>
        <v>20</v>
      </c>
      <c r="CI66" s="675">
        <f>_xlfn.XLOOKUP($D66,TalTech!$B$4:$B$46,TalTech!BR$4:BR$46)</f>
        <v>20</v>
      </c>
      <c r="CJ66" s="675">
        <f>_xlfn.XLOOKUP($D66,TalTech!$B$4:$B$46,TalTech!BS$4:BS$46)</f>
        <v>20</v>
      </c>
      <c r="CK66" s="675">
        <f>_xlfn.XLOOKUP($D66,TalTech!$B$4:$B$46,TalTech!BT$4:BT$46)</f>
        <v>20</v>
      </c>
      <c r="CL66" s="675">
        <f>_xlfn.XLOOKUP($D66,TalTech!$B$4:$B$46,TalTech!BU$4:BU$46)</f>
        <v>20</v>
      </c>
      <c r="CM66" s="675">
        <f>_xlfn.XLOOKUP($D66,TalTech!$B$4:$B$46,TalTech!BV$4:BV$46)</f>
        <v>20</v>
      </c>
      <c r="CN66" s="675">
        <f>_xlfn.XLOOKUP($D66,TalTech!$B$4:$B$46,TalTech!BW$4:BW$46)</f>
        <v>20</v>
      </c>
      <c r="CO66" s="493">
        <f t="shared" si="178"/>
        <v>20</v>
      </c>
      <c r="CP66" s="660">
        <f t="shared" si="127"/>
        <v>120</v>
      </c>
      <c r="CQ66" s="1193">
        <f>_xlfn.XLOOKUP($D66,TalTech!$B$4:$B$46,TalTech!$H$4:$H$46)</f>
        <v>0.8</v>
      </c>
      <c r="CR66" s="662">
        <f t="shared" si="128"/>
        <v>0.19999999999999996</v>
      </c>
      <c r="CS66" s="685" t="str">
        <v>100% government</v>
      </c>
      <c r="CT66" s="1862">
        <f t="shared" si="218"/>
        <v>20</v>
      </c>
      <c r="CU66" s="1872"/>
      <c r="CV66" s="1865">
        <f>BH66*Assumptions!D$498</f>
        <v>0</v>
      </c>
      <c r="CW66" s="659">
        <f>BI66*Assumptions!E$498</f>
        <v>0</v>
      </c>
      <c r="CX66" s="659">
        <f>BJ66*Assumptions!F$498</f>
        <v>0</v>
      </c>
      <c r="CY66" s="659">
        <f>BK66*Assumptions!G$498</f>
        <v>0</v>
      </c>
      <c r="CZ66" s="659">
        <f>BL66*Assumptions!H$498</f>
        <v>2.4260136861183637</v>
      </c>
      <c r="DA66" s="659">
        <f>BM66*Assumptions!I$498</f>
        <v>4.9342174619240078</v>
      </c>
      <c r="DB66" s="659">
        <f>BN66*Assumptions!J$498</f>
        <v>7.5289404335360883</v>
      </c>
      <c r="DC66" s="659">
        <f>BO66*Assumptions!K$498</f>
        <v>10.214624763037691</v>
      </c>
      <c r="DD66" s="659">
        <f>BP66*Assumptions!L$498</f>
        <v>12.995831082891611</v>
      </c>
      <c r="DE66" s="659">
        <f>BQ66*Assumptions!M$498</f>
        <v>15.877244019615718</v>
      </c>
      <c r="DF66" s="659">
        <f>BR66*Assumptions!N$498</f>
        <v>18.869968175860109</v>
      </c>
      <c r="DG66" s="659">
        <f>BS66*Assumptions!O$498</f>
        <v>21.973577714389879</v>
      </c>
      <c r="DH66" s="659">
        <f>BT66*Assumptions!P$498</f>
        <v>25.192928820920276</v>
      </c>
      <c r="DI66" s="659">
        <f>BU66*Assumptions!Q$498</f>
        <v>28.533069255465442</v>
      </c>
      <c r="DJ66" s="659">
        <f>BV66*Assumptions!R$498</f>
        <v>31.99924547622912</v>
      </c>
      <c r="DK66" s="680">
        <f t="shared" si="222"/>
        <v>0</v>
      </c>
      <c r="DL66" s="680">
        <f t="shared" si="223"/>
        <v>0</v>
      </c>
      <c r="DM66" s="680">
        <f t="shared" si="224"/>
        <v>0</v>
      </c>
      <c r="DN66" s="680">
        <f t="shared" si="225"/>
        <v>0</v>
      </c>
      <c r="DO66" s="680">
        <f t="shared" si="226"/>
        <v>2.4260136861183637</v>
      </c>
      <c r="DP66" s="680">
        <f t="shared" si="227"/>
        <v>4.9342174619240078</v>
      </c>
      <c r="DQ66" s="680">
        <f t="shared" si="228"/>
        <v>7.5289404335360883</v>
      </c>
      <c r="DR66" s="680">
        <f t="shared" si="229"/>
        <v>10.214624763037691</v>
      </c>
      <c r="DS66" s="680">
        <f t="shared" si="230"/>
        <v>12.995831082891611</v>
      </c>
      <c r="DT66" s="680">
        <f t="shared" si="231"/>
        <v>15.877244019615718</v>
      </c>
      <c r="DU66" s="680">
        <f t="shared" si="220"/>
        <v>18.869968175860109</v>
      </c>
      <c r="DV66" s="680">
        <f t="shared" si="220"/>
        <v>21.973577714389879</v>
      </c>
      <c r="DW66" s="680">
        <f t="shared" si="220"/>
        <v>25.192928820920276</v>
      </c>
      <c r="DX66" s="680">
        <f t="shared" si="220"/>
        <v>28.533069255465442</v>
      </c>
      <c r="DY66" s="680">
        <f t="shared" si="220"/>
        <v>31.99924547622912</v>
      </c>
      <c r="DZ66" s="678">
        <v>0</v>
      </c>
      <c r="EA66" s="661">
        <f t="shared" si="130"/>
        <v>1</v>
      </c>
      <c r="EB66" s="1861">
        <f t="shared" si="236"/>
        <v>5.3976871447123482</v>
      </c>
      <c r="EC66" s="1881"/>
      <c r="ED66" s="1877">
        <v>0</v>
      </c>
      <c r="EE66" s="684"/>
      <c r="EF66" s="684"/>
      <c r="EG66" s="684"/>
      <c r="EH66" s="684"/>
      <c r="EI66" s="665">
        <f t="shared" si="196"/>
        <v>1.2799999999999998</v>
      </c>
      <c r="EJ66" s="665">
        <f t="shared" si="197"/>
        <v>1.2799999999999998</v>
      </c>
      <c r="EK66" s="665">
        <f t="shared" si="198"/>
        <v>1.2799999999999998</v>
      </c>
      <c r="EL66" s="665">
        <f t="shared" si="199"/>
        <v>1.2799999999999998</v>
      </c>
      <c r="EM66" s="665">
        <f t="shared" si="200"/>
        <v>1.2799999999999998</v>
      </c>
      <c r="EN66" s="665">
        <f t="shared" si="201"/>
        <v>1.2799999999999998</v>
      </c>
      <c r="EO66" s="665">
        <f t="shared" si="202"/>
        <v>1.2799999999999998</v>
      </c>
      <c r="EP66" s="665">
        <f t="shared" si="203"/>
        <v>1.2799999999999998</v>
      </c>
      <c r="EQ66" s="665">
        <f t="shared" si="204"/>
        <v>1.2799999999999998</v>
      </c>
      <c r="ER66" s="665">
        <f t="shared" si="205"/>
        <v>1.2799999999999998</v>
      </c>
      <c r="ES66" s="665">
        <f t="shared" si="206"/>
        <v>1.2799999999999998</v>
      </c>
      <c r="ET66" s="541">
        <f t="shared" si="133"/>
        <v>1.2799999999999996</v>
      </c>
      <c r="EU66" s="1450" cm="1">
        <f t="array" ref="EU66">(BH66*SUMPRODUCT($S66:$X66,TRANSPOSE(Assumptions!D$281:D$286)))*0.001</f>
        <v>0</v>
      </c>
      <c r="EV66" s="1450" cm="1">
        <f t="array" ref="EV66">(BI66*SUMPRODUCT($S66:$X66,TRANSPOSE(Assumptions!E$281:E$286)))*0.001</f>
        <v>0</v>
      </c>
      <c r="EW66" s="1450" cm="1">
        <f t="array" ref="EW66">(BJ66*SUMPRODUCT($S66:$X66,TRANSPOSE(Assumptions!F$281:F$286)))*0.001</f>
        <v>0</v>
      </c>
      <c r="EX66" s="1450" cm="1">
        <f t="array" ref="EX66">(BK66*SUMPRODUCT($S66:$X66,TRANSPOSE(Assumptions!G$281:G$286)))*0.001</f>
        <v>0</v>
      </c>
      <c r="EY66" s="1450" cm="1">
        <f t="array" ref="EY66">(BL66*SUMPRODUCT($S66:$X66,TRANSPOSE(Assumptions!H$281:H$286)))*0.001</f>
        <v>1.008651869699899</v>
      </c>
      <c r="EZ66" s="1450" cm="1">
        <f t="array" ref="EZ66">(BM66*SUMPRODUCT($S66:$X66,TRANSPOSE(Assumptions!I$281:I$286)))*0.001</f>
        <v>2.0173037393997979</v>
      </c>
      <c r="FA66" s="1450" cm="1">
        <f t="array" ref="FA66">(BN66*SUMPRODUCT($S66:$X66,TRANSPOSE(Assumptions!J$281:J$286)))*0.001</f>
        <v>3.0259556090996966</v>
      </c>
      <c r="FB66" s="1450" cm="1">
        <f t="array" ref="FB66">(BO66*SUMPRODUCT($S66:$X66,TRANSPOSE(Assumptions!K$281:K$286)))*0.001</f>
        <v>4.0346074787995958</v>
      </c>
      <c r="FC66" s="1450" cm="1">
        <f t="array" ref="FC66">(BP66*SUMPRODUCT($S66:$X66,TRANSPOSE(Assumptions!L$281:L$286)))*0.001</f>
        <v>5.0432593484994941</v>
      </c>
      <c r="FD66" s="1450" cm="1">
        <f t="array" ref="FD66">(BQ66*SUMPRODUCT($S66:$X66,TRANSPOSE(Assumptions!M$281:M$286)))*0.001</f>
        <v>6.0519112181993933</v>
      </c>
      <c r="FE66" s="1450" cm="1">
        <f t="array" ref="FE66">(BR66*SUMPRODUCT($S66:$X66,TRANSPOSE(Assumptions!N$281:N$286)))*0.001</f>
        <v>7.0605630878992924</v>
      </c>
      <c r="FF66" s="1450" cm="1">
        <f t="array" ref="FF66">(BS66*SUMPRODUCT($S66:$X66,TRANSPOSE(Assumptions!O$281:O$286)))*0.001</f>
        <v>8.0692149575991916</v>
      </c>
      <c r="FG66" s="1450" cm="1">
        <f t="array" ref="FG66">(BT66*SUMPRODUCT($S66:$X66,TRANSPOSE(Assumptions!P$281:P$286)))*0.001</f>
        <v>9.0778668272990917</v>
      </c>
      <c r="FH66" s="1450" cm="1">
        <f t="array" ref="FH66">(BU66*SUMPRODUCT($S66:$X66,TRANSPOSE(Assumptions!Q$281:Q$286)))*0.001</f>
        <v>10.08651869699899</v>
      </c>
      <c r="FI66" s="1450" cm="1">
        <f t="array" ref="FI66">(BV66*SUMPRODUCT($S66:$X66,TRANSPOSE(Assumptions!R$281:R$286)))*0.001</f>
        <v>11.095170566698888</v>
      </c>
      <c r="FJ66" s="666">
        <f t="shared" si="207"/>
        <v>0</v>
      </c>
      <c r="FK66" s="666">
        <f t="shared" si="208"/>
        <v>0</v>
      </c>
      <c r="FL66" s="666">
        <f t="shared" si="209"/>
        <v>0</v>
      </c>
      <c r="FM66" s="666">
        <f t="shared" si="210"/>
        <v>0</v>
      </c>
      <c r="FN66" s="666">
        <f t="shared" si="211"/>
        <v>0.27134813030010085</v>
      </c>
      <c r="FO66" s="666">
        <f t="shared" si="212"/>
        <v>-0.7373037393997981</v>
      </c>
      <c r="FP66" s="666">
        <f t="shared" si="213"/>
        <v>-1.7459556090996968</v>
      </c>
      <c r="FQ66" s="666">
        <f t="shared" si="214"/>
        <v>-2.754607478799596</v>
      </c>
      <c r="FR66" s="666">
        <f t="shared" si="215"/>
        <v>-3.7632593484994943</v>
      </c>
      <c r="FS66" s="666">
        <f t="shared" si="216"/>
        <v>-4.7719112181993939</v>
      </c>
      <c r="FT66" s="666">
        <f t="shared" si="144"/>
        <v>-5.7805630878992922</v>
      </c>
      <c r="FU66" s="666">
        <f t="shared" si="145"/>
        <v>-6.7892149575991922</v>
      </c>
      <c r="FV66" s="666">
        <f t="shared" si="146"/>
        <v>-7.7978668272990923</v>
      </c>
      <c r="FW66" s="666">
        <f t="shared" si="147"/>
        <v>-8.8065186969989906</v>
      </c>
      <c r="FX66" s="1883">
        <f t="shared" si="148"/>
        <v>-9.8151705666988889</v>
      </c>
      <c r="FY66" s="1895"/>
      <c r="FZ66" s="690"/>
      <c r="GA66" s="690"/>
      <c r="GB66" s="690"/>
      <c r="GC66" s="690"/>
      <c r="GD66" s="500">
        <f>CD66*Admin!$H$16</f>
        <v>146.6</v>
      </c>
      <c r="GE66" s="500">
        <f>CE66*Admin!$H$16</f>
        <v>146.6</v>
      </c>
      <c r="GF66" s="500">
        <f>CF66*Admin!$H$16</f>
        <v>146.6</v>
      </c>
      <c r="GG66" s="500">
        <f>CG66*Admin!$H$16</f>
        <v>146.6</v>
      </c>
      <c r="GH66" s="500">
        <f>CH66*Admin!$H$16</f>
        <v>146.6</v>
      </c>
      <c r="GI66" s="500">
        <f>CI66*Admin!$H$16</f>
        <v>146.6</v>
      </c>
      <c r="GJ66" s="500">
        <f>CJ66*Admin!$H$16</f>
        <v>146.6</v>
      </c>
      <c r="GK66" s="500">
        <f>CK66*Admin!$H$16</f>
        <v>146.6</v>
      </c>
      <c r="GL66" s="500">
        <f>CL66*Admin!$H$16</f>
        <v>146.6</v>
      </c>
      <c r="GM66" s="500">
        <f>CM66*Admin!$H$16</f>
        <v>146.6</v>
      </c>
      <c r="GN66" s="1904">
        <f>CN66*Admin!$H$16</f>
        <v>146.6</v>
      </c>
      <c r="GO66" s="1915"/>
      <c r="GP66" s="1868">
        <f>BH66*INDEX(Assumptions!G$565:G$570,MATCH($B66,Assumptions!$B$565:$B$570,0))</f>
        <v>0</v>
      </c>
      <c r="GQ66" s="656">
        <f>BI66*INDEX(Assumptions!H$565:H$570,MATCH($B66,Assumptions!$B$565:$B$570,0))</f>
        <v>0</v>
      </c>
      <c r="GR66" s="656">
        <f>BJ66*INDEX(Assumptions!I$565:I$570,MATCH($B66,Assumptions!$B$565:$B$570,0))</f>
        <v>0</v>
      </c>
      <c r="GS66" s="656">
        <f>BK66*INDEX(Assumptions!J$565:J$570,MATCH($B66,Assumptions!$B$565:$B$570,0))</f>
        <v>0</v>
      </c>
      <c r="GT66" s="656">
        <f>BL66*INDEX(Assumptions!K$565:K$570,MATCH($B66,Assumptions!$B$565:$B$570,0))</f>
        <v>6.46790777903131</v>
      </c>
      <c r="GU66" s="656">
        <f>BM66*INDEX(Assumptions!L$565:L$570,MATCH($B66,Assumptions!$B$565:$B$570,0))</f>
        <v>12.963777135269927</v>
      </c>
      <c r="GV66" s="656">
        <f>BN66*INDEX(Assumptions!M$565:M$570,MATCH($B66,Assumptions!$B$565:$B$570,0))</f>
        <v>19.469470553638679</v>
      </c>
      <c r="GW66" s="656">
        <f>BO66*INDEX(Assumptions!N$565:N$570,MATCH($B66,Assumptions!$B$565:$B$570,0))</f>
        <v>25.969004137132245</v>
      </c>
      <c r="GX66" s="656">
        <f>BP66*INDEX(Assumptions!O$565:O$570,MATCH($B66,Assumptions!$B$565:$B$570,0))</f>
        <v>32.448453276179087</v>
      </c>
      <c r="GY66" s="656">
        <f>BQ66*INDEX(Assumptions!P$565:P$570,MATCH($B66,Assumptions!$B$565:$B$570,0))</f>
        <v>38.766741210059756</v>
      </c>
      <c r="GZ66" s="656">
        <f>BR66*INDEX(Assumptions!Q$565:Q$570,MATCH($B66,Assumptions!$B$565:$B$570,0))</f>
        <v>42.945416488035711</v>
      </c>
      <c r="HA66" s="656">
        <f>BS66*INDEX(Assumptions!R$565:R$570,MATCH($B66,Assumptions!$B$565:$B$570,0))</f>
        <v>53.410606393956755</v>
      </c>
      <c r="HB66" s="656">
        <f>BT66*INDEX(Assumptions!S$565:S$570,MATCH($B66,Assumptions!$B$565:$B$570,0))</f>
        <v>60.086932193201349</v>
      </c>
      <c r="HC66" s="656">
        <f>BU66*INDEX(Assumptions!T$565:T$570,MATCH($B66,Assumptions!$B$565:$B$570,0))</f>
        <v>66.548055728211324</v>
      </c>
      <c r="HD66" s="1922">
        <f>BV66*INDEX(Assumptions!U$565:U$570,MATCH($B66,Assumptions!$B$565:$B$570,0))</f>
        <v>72.966138810374346</v>
      </c>
      <c r="HE66" s="1933"/>
      <c r="HF66" s="1927"/>
      <c r="HG66" s="501"/>
      <c r="HH66" s="501"/>
      <c r="HI66" s="501"/>
      <c r="HJ66" s="501"/>
      <c r="HK66" s="501"/>
      <c r="HL66" s="501"/>
      <c r="HM66" s="501"/>
      <c r="HN66" s="501"/>
      <c r="HO66" s="501"/>
      <c r="HP66" s="501"/>
      <c r="HQ66" s="501"/>
      <c r="HR66" s="501"/>
      <c r="HS66" s="501"/>
      <c r="HT66" s="501"/>
      <c r="HU66" s="501"/>
      <c r="HV66" s="656"/>
      <c r="HW66" s="1922"/>
      <c r="HX66" s="1946"/>
      <c r="HY66" s="1943"/>
      <c r="HZ66" s="695"/>
      <c r="IA66" s="683"/>
      <c r="IB66" s="683"/>
      <c r="IC66" s="694"/>
      <c r="ID66" s="1376"/>
      <c r="IE66" s="1968"/>
      <c r="IF66" s="1963">
        <v>0</v>
      </c>
      <c r="IG66" s="538">
        <v>0.4</v>
      </c>
      <c r="IH66" s="538">
        <v>0.4</v>
      </c>
      <c r="II66" s="538">
        <v>0.4</v>
      </c>
      <c r="IJ66" s="538">
        <v>1</v>
      </c>
      <c r="IK66" s="1276">
        <v>1</v>
      </c>
      <c r="IL66" s="1280">
        <v>1</v>
      </c>
      <c r="IM66" s="1292" t="s">
        <v>806</v>
      </c>
    </row>
    <row r="67" spans="2:247" ht="13.5" customHeight="1" x14ac:dyDescent="0.3">
      <c r="B67" s="1703" t="s">
        <v>53</v>
      </c>
      <c r="C67" s="2113"/>
      <c r="D67" s="679" t="s">
        <v>807</v>
      </c>
      <c r="E67" s="71" t="s">
        <v>808</v>
      </c>
      <c r="F67" s="1800"/>
      <c r="G67" s="1797"/>
      <c r="H67" s="70"/>
      <c r="I67" s="13"/>
      <c r="J67" s="696"/>
      <c r="K67" s="71" t="s">
        <v>648</v>
      </c>
      <c r="L67" s="1176" t="s">
        <v>719</v>
      </c>
      <c r="M67" s="1827"/>
      <c r="N67" s="1817"/>
      <c r="O67" s="1177"/>
      <c r="P67" s="1177"/>
      <c r="Q67" s="1178">
        <v>1</v>
      </c>
      <c r="R67" s="1177"/>
      <c r="S67" s="1445" cm="1">
        <f t="array" ref="S67:X67">TRANSPOSE(_xlfn.XLOOKUP(B67,Assumptions!$C$134:$I$134,Assumptions!$C$135:$I$140))</f>
        <v>0.89766686718609423</v>
      </c>
      <c r="T67" s="1445">
        <v>2.0574367766823833E-2</v>
      </c>
      <c r="U67" s="1445">
        <v>0</v>
      </c>
      <c r="V67" s="1445">
        <v>6.4936780001525515E-2</v>
      </c>
      <c r="W67" s="1445">
        <v>0</v>
      </c>
      <c r="X67" s="1445">
        <v>1.6821985045556383E-2</v>
      </c>
      <c r="Y67" s="1179" cm="1">
        <f t="array" ref="Y67:AC67">TRANSPOSE(_xlfn.ANCHORARRAY(Assumptions!$D$698))</f>
        <v>0.46715240825721654</v>
      </c>
      <c r="Z67" s="1179">
        <v>0.10872006700422583</v>
      </c>
      <c r="AA67" s="1179">
        <v>9.7634938252443113E-2</v>
      </c>
      <c r="AB67" s="1179">
        <v>0.23591534859475621</v>
      </c>
      <c r="AC67" s="1179">
        <v>9.057723789135827E-2</v>
      </c>
      <c r="AD67" s="1177"/>
      <c r="AE67" s="1177"/>
      <c r="AF67" s="1177"/>
      <c r="AG67" s="1177"/>
      <c r="AH67" s="1177"/>
      <c r="AI67" s="1177"/>
      <c r="AJ67" s="1177"/>
      <c r="AK67" s="1417">
        <f t="shared" si="176"/>
        <v>0</v>
      </c>
      <c r="AL67" s="1177"/>
      <c r="AM67" s="1177"/>
      <c r="AN67" s="1177"/>
      <c r="AO67" s="1836">
        <f>Assumptions!E587</f>
        <v>0.76479758481750726</v>
      </c>
      <c r="AP67" s="1849"/>
      <c r="AQ67" s="1837">
        <f t="shared" ref="AQ67:AQ69" si="237">AVERAGE(AR67:BA67)</f>
        <v>1.2215985801305524</v>
      </c>
      <c r="AR67" s="663"/>
      <c r="AS67" s="663"/>
      <c r="AT67" s="663"/>
      <c r="AU67" s="663"/>
      <c r="AV67" s="659">
        <f>_xlfn.XLOOKUP($D67,TalTech!$B$4:$B$46,TalTech!BB$4:BB$46)</f>
        <v>1.2215985801305524</v>
      </c>
      <c r="AW67" s="659">
        <f>_xlfn.XLOOKUP($D67,TalTech!$B$4:$B$46,TalTech!BC$4:BC$46)</f>
        <v>1.2215985801305524</v>
      </c>
      <c r="AX67" s="659">
        <f>_xlfn.XLOOKUP($D67,TalTech!$B$4:$B$46,TalTech!BD$4:BD$46)</f>
        <v>1.2215985801305524</v>
      </c>
      <c r="AY67" s="659">
        <f>_xlfn.XLOOKUP($D67,TalTech!$B$4:$B$46,TalTech!BE$4:BE$46)</f>
        <v>1.2215985801305524</v>
      </c>
      <c r="AZ67" s="659">
        <f>_xlfn.XLOOKUP($D67,TalTech!$B$4:$B$46,TalTech!BF$4:BF$46)</f>
        <v>1.2215985801305524</v>
      </c>
      <c r="BA67" s="659">
        <f>_xlfn.XLOOKUP($D67,TalTech!$B$4:$B$46,TalTech!BG$4:BG$46)</f>
        <v>1.2215985801305524</v>
      </c>
      <c r="BB67" s="659">
        <f>_xlfn.XLOOKUP($D67,TalTech!$B$4:$B$46,TalTech!BH$4:BH$46)</f>
        <v>1.2215985801305524</v>
      </c>
      <c r="BC67" s="659">
        <f>_xlfn.XLOOKUP($D67,TalTech!$B$4:$B$46,TalTech!BI$4:BI$46)</f>
        <v>1.2215985801305524</v>
      </c>
      <c r="BD67" s="659">
        <f>_xlfn.XLOOKUP($D67,TalTech!$B$4:$B$46,TalTech!BJ$4:BJ$46)</f>
        <v>1.2215985801305524</v>
      </c>
      <c r="BE67" s="659">
        <f>_xlfn.XLOOKUP($D67,TalTech!$B$4:$B$46,TalTech!BK$4:BK$46)</f>
        <v>1.2215985801305524</v>
      </c>
      <c r="BF67" s="659">
        <f>_xlfn.XLOOKUP($D67,TalTech!$B$4:$B$46,TalTech!BL$4:BL$46)</f>
        <v>1.2215985801305524</v>
      </c>
      <c r="BG67" s="501">
        <f t="shared" si="177"/>
        <v>1.2215985801305522</v>
      </c>
      <c r="BH67" s="893">
        <f t="shared" si="111"/>
        <v>0</v>
      </c>
      <c r="BI67" s="658">
        <f t="shared" si="112"/>
        <v>0</v>
      </c>
      <c r="BJ67" s="658">
        <f t="shared" si="113"/>
        <v>0</v>
      </c>
      <c r="BK67" s="658">
        <f t="shared" si="114"/>
        <v>0</v>
      </c>
      <c r="BL67" s="658">
        <f t="shared" si="115"/>
        <v>1.2215985801305524</v>
      </c>
      <c r="BM67" s="658">
        <f t="shared" si="116"/>
        <v>2.4431971602611049</v>
      </c>
      <c r="BN67" s="658">
        <f t="shared" si="117"/>
        <v>3.6647957403916571</v>
      </c>
      <c r="BO67" s="658">
        <f t="shared" si="118"/>
        <v>4.8863943205222098</v>
      </c>
      <c r="BP67" s="658">
        <f t="shared" si="119"/>
        <v>6.1079929006527625</v>
      </c>
      <c r="BQ67" s="658">
        <f t="shared" si="120"/>
        <v>7.3295914807833151</v>
      </c>
      <c r="BR67" s="658">
        <f t="shared" si="121"/>
        <v>8.5511900609138678</v>
      </c>
      <c r="BS67" s="658">
        <f t="shared" si="122"/>
        <v>9.7727886410444196</v>
      </c>
      <c r="BT67" s="658">
        <f t="shared" si="123"/>
        <v>10.994387221174971</v>
      </c>
      <c r="BU67" s="658">
        <f t="shared" si="124"/>
        <v>12.215985801305523</v>
      </c>
      <c r="BV67" s="1851">
        <f t="shared" si="125"/>
        <v>13.437584381436075</v>
      </c>
      <c r="BW67" s="1661"/>
      <c r="BX67" s="1855">
        <v>40.32</v>
      </c>
      <c r="BY67" s="1192">
        <f t="shared" si="126"/>
        <v>5500.9887120872654</v>
      </c>
      <c r="BZ67" s="663"/>
      <c r="CA67" s="663"/>
      <c r="CB67" s="663"/>
      <c r="CC67" s="663"/>
      <c r="CD67" s="675">
        <f>_xlfn.XLOOKUP($D67,TalTech!$B$4:$B$46,TalTech!BM$4:BM$46)</f>
        <v>6.72</v>
      </c>
      <c r="CE67" s="675">
        <f>_xlfn.XLOOKUP($D67,TalTech!$B$4:$B$46,TalTech!BN$4:BN$46)</f>
        <v>6.72</v>
      </c>
      <c r="CF67" s="675">
        <f>_xlfn.XLOOKUP($D67,TalTech!$B$4:$B$46,TalTech!BO$4:BO$46)</f>
        <v>6.72</v>
      </c>
      <c r="CG67" s="675">
        <f>_xlfn.XLOOKUP($D67,TalTech!$B$4:$B$46,TalTech!BP$4:BP$46)</f>
        <v>6.72</v>
      </c>
      <c r="CH67" s="675">
        <f>_xlfn.XLOOKUP($D67,TalTech!$B$4:$B$46,TalTech!BQ$4:BQ$46)</f>
        <v>6.72</v>
      </c>
      <c r="CI67" s="675">
        <f>_xlfn.XLOOKUP($D67,TalTech!$B$4:$B$46,TalTech!BR$4:BR$46)</f>
        <v>6.72</v>
      </c>
      <c r="CJ67" s="675">
        <f>_xlfn.XLOOKUP($D67,TalTech!$B$4:$B$46,TalTech!BS$4:BS$46)</f>
        <v>6.72</v>
      </c>
      <c r="CK67" s="675">
        <f>_xlfn.XLOOKUP($D67,TalTech!$B$4:$B$46,TalTech!BT$4:BT$46)</f>
        <v>6.72</v>
      </c>
      <c r="CL67" s="675">
        <f>_xlfn.XLOOKUP($D67,TalTech!$B$4:$B$46,TalTech!BU$4:BU$46)</f>
        <v>6.72</v>
      </c>
      <c r="CM67" s="675">
        <f>_xlfn.XLOOKUP($D67,TalTech!$B$4:$B$46,TalTech!BV$4:BV$46)</f>
        <v>6.72</v>
      </c>
      <c r="CN67" s="675">
        <f>_xlfn.XLOOKUP($D67,TalTech!$B$4:$B$46,TalTech!BW$4:BW$46)</f>
        <v>6.72</v>
      </c>
      <c r="CO67" s="493">
        <f t="shared" si="178"/>
        <v>6.72</v>
      </c>
      <c r="CP67" s="660">
        <f t="shared" si="127"/>
        <v>40.32</v>
      </c>
      <c r="CQ67" s="1193">
        <f>_xlfn.XLOOKUP($D67,TalTech!$B$4:$B$46,TalTech!$H$4:$H$46)</f>
        <v>0.5</v>
      </c>
      <c r="CR67" s="662">
        <f t="shared" si="128"/>
        <v>0.5</v>
      </c>
      <c r="CS67" s="685" t="str">
        <v>50% government</v>
      </c>
      <c r="CT67" s="1862">
        <f t="shared" si="218"/>
        <v>6.72</v>
      </c>
      <c r="CU67" s="1872"/>
      <c r="CV67" s="1865">
        <f>BH67*Assumptions!D$498</f>
        <v>0</v>
      </c>
      <c r="CW67" s="659">
        <f>BI67*Assumptions!E$498</f>
        <v>0</v>
      </c>
      <c r="CX67" s="659">
        <f>BJ67*Assumptions!F$498</f>
        <v>0</v>
      </c>
      <c r="CY67" s="659">
        <f>BK67*Assumptions!G$498</f>
        <v>0</v>
      </c>
      <c r="CZ67" s="659">
        <f>BL67*Assumptions!H$498</f>
        <v>0.12703315765798043</v>
      </c>
      <c r="DA67" s="659">
        <f>BM67*Assumptions!I$498</f>
        <v>0.25837002830855876</v>
      </c>
      <c r="DB67" s="659">
        <f>BN67*Assumptions!J$498</f>
        <v>0.39423729658393608</v>
      </c>
      <c r="DC67" s="659">
        <f>BO67*Assumptions!K$498</f>
        <v>0.53486756705657312</v>
      </c>
      <c r="DD67" s="659">
        <f>BP67*Assumptions!L$498</f>
        <v>0.68049964775380345</v>
      </c>
      <c r="DE67" s="659">
        <f>BQ67*Assumptions!M$498</f>
        <v>0.83137883939359825</v>
      </c>
      <c r="DF67" s="659">
        <f>BR67*Assumptions!N$498</f>
        <v>0.98808661138284981</v>
      </c>
      <c r="DG67" s="659">
        <f>BS67*Assumptions!O$498</f>
        <v>1.1506006656410037</v>
      </c>
      <c r="DH67" s="659">
        <f>BT67*Assumptions!P$498</f>
        <v>1.3191752862263535</v>
      </c>
      <c r="DI67" s="659">
        <f>BU67*Assumptions!Q$498</f>
        <v>1.4940747885866503</v>
      </c>
      <c r="DJ67" s="659">
        <f>BV67*Assumptions!R$498</f>
        <v>1.6755738925868131</v>
      </c>
      <c r="DK67" s="680">
        <f t="shared" si="222"/>
        <v>0</v>
      </c>
      <c r="DL67" s="680">
        <f t="shared" si="223"/>
        <v>0</v>
      </c>
      <c r="DM67" s="680">
        <f t="shared" si="224"/>
        <v>0</v>
      </c>
      <c r="DN67" s="680">
        <f t="shared" si="225"/>
        <v>0</v>
      </c>
      <c r="DO67" s="680">
        <f t="shared" si="226"/>
        <v>0.12703315765798043</v>
      </c>
      <c r="DP67" s="680">
        <f t="shared" si="227"/>
        <v>0.25837002830855876</v>
      </c>
      <c r="DQ67" s="680">
        <f t="shared" si="228"/>
        <v>0.39423729658393608</v>
      </c>
      <c r="DR67" s="680">
        <f t="shared" si="229"/>
        <v>0.53486756705657312</v>
      </c>
      <c r="DS67" s="680">
        <f t="shared" si="230"/>
        <v>0.68049964775380345</v>
      </c>
      <c r="DT67" s="680">
        <f t="shared" si="231"/>
        <v>0.83137883939359825</v>
      </c>
      <c r="DU67" s="680">
        <f t="shared" si="220"/>
        <v>0.98808661138284981</v>
      </c>
      <c r="DV67" s="680">
        <f t="shared" si="220"/>
        <v>1.1506006656410037</v>
      </c>
      <c r="DW67" s="680">
        <f t="shared" si="220"/>
        <v>1.3191752862263535</v>
      </c>
      <c r="DX67" s="680">
        <f t="shared" si="220"/>
        <v>1.4940747885866503</v>
      </c>
      <c r="DY67" s="680">
        <f t="shared" si="220"/>
        <v>1.6755738925868131</v>
      </c>
      <c r="DZ67" s="1163">
        <f>Assumptions!M$840</f>
        <v>2.2650602409638555E-2</v>
      </c>
      <c r="EA67" s="661">
        <f t="shared" si="130"/>
        <v>0.97734939759036144</v>
      </c>
      <c r="EB67" s="1861">
        <f t="shared" si="236"/>
        <v>0.282638653675445</v>
      </c>
      <c r="EC67" s="1881"/>
      <c r="ED67" s="1877">
        <v>0</v>
      </c>
      <c r="EE67" s="684"/>
      <c r="EF67" s="684"/>
      <c r="EG67" s="684"/>
      <c r="EH67" s="684"/>
      <c r="EI67" s="665">
        <f t="shared" si="196"/>
        <v>1.0751999999999999</v>
      </c>
      <c r="EJ67" s="665">
        <f t="shared" si="197"/>
        <v>1.0751999999999999</v>
      </c>
      <c r="EK67" s="665">
        <f t="shared" si="198"/>
        <v>1.0751999999999999</v>
      </c>
      <c r="EL67" s="665">
        <f t="shared" si="199"/>
        <v>1.0751999999999999</v>
      </c>
      <c r="EM67" s="665">
        <f t="shared" si="200"/>
        <v>1.0751999999999999</v>
      </c>
      <c r="EN67" s="665">
        <f t="shared" si="201"/>
        <v>1.0751999999999999</v>
      </c>
      <c r="EO67" s="665">
        <f t="shared" si="202"/>
        <v>1.0751999999999999</v>
      </c>
      <c r="EP67" s="665">
        <f t="shared" si="203"/>
        <v>1.0751999999999999</v>
      </c>
      <c r="EQ67" s="665">
        <f t="shared" si="204"/>
        <v>1.0751999999999999</v>
      </c>
      <c r="ER67" s="665">
        <f t="shared" si="205"/>
        <v>1.0751999999999999</v>
      </c>
      <c r="ES67" s="665">
        <f t="shared" si="206"/>
        <v>1.0751999999999999</v>
      </c>
      <c r="ET67" s="541">
        <f t="shared" si="133"/>
        <v>1.0752000000000002</v>
      </c>
      <c r="EU67" s="1450" cm="1">
        <f t="array" ref="EU67">(BH67*SUMPRODUCT($S67:$X67,TRANSPOSE(Assumptions!D$281:D$286)))*0.001</f>
        <v>0</v>
      </c>
      <c r="EV67" s="1450" cm="1">
        <f t="array" ref="EV67">(BI67*SUMPRODUCT($S67:$X67,TRANSPOSE(Assumptions!E$281:E$286)))*0.001</f>
        <v>0</v>
      </c>
      <c r="EW67" s="1450" cm="1">
        <f t="array" ref="EW67">(BJ67*SUMPRODUCT($S67:$X67,TRANSPOSE(Assumptions!F$281:F$286)))*0.001</f>
        <v>0</v>
      </c>
      <c r="EX67" s="1450" cm="1">
        <f t="array" ref="EX67">(BK67*SUMPRODUCT($S67:$X67,TRANSPOSE(Assumptions!G$281:G$286)))*0.001</f>
        <v>0</v>
      </c>
      <c r="EY67" s="1450" cm="1">
        <f t="array" ref="EY67">(BL67*SUMPRODUCT($S67:$X67,TRANSPOSE(Assumptions!H$281:H$286)))*0.001</f>
        <v>5.2815955952258582E-2</v>
      </c>
      <c r="EZ67" s="1450" cm="1">
        <f t="array" ref="EZ67">(BM67*SUMPRODUCT($S67:$X67,TRANSPOSE(Assumptions!I$281:I$286)))*0.001</f>
        <v>0.10563191190451716</v>
      </c>
      <c r="FA67" s="1450" cm="1">
        <f t="array" ref="FA67">(BN67*SUMPRODUCT($S67:$X67,TRANSPOSE(Assumptions!J$281:J$286)))*0.001</f>
        <v>0.15844786785677573</v>
      </c>
      <c r="FB67" s="1450" cm="1">
        <f t="array" ref="FB67">(BO67*SUMPRODUCT($S67:$X67,TRANSPOSE(Assumptions!K$281:K$286)))*0.001</f>
        <v>0.21126382380903433</v>
      </c>
      <c r="FC67" s="1450" cm="1">
        <f t="array" ref="FC67">(BP67*SUMPRODUCT($S67:$X67,TRANSPOSE(Assumptions!L$281:L$286)))*0.001</f>
        <v>0.26407977976129293</v>
      </c>
      <c r="FD67" s="1450" cm="1">
        <f t="array" ref="FD67">(BQ67*SUMPRODUCT($S67:$X67,TRANSPOSE(Assumptions!M$281:M$286)))*0.001</f>
        <v>0.31689573571355151</v>
      </c>
      <c r="FE67" s="1450" cm="1">
        <f t="array" ref="FE67">(BR67*SUMPRODUCT($S67:$X67,TRANSPOSE(Assumptions!N$281:N$286)))*0.001</f>
        <v>0.36971169166581014</v>
      </c>
      <c r="FF67" s="1450" cm="1">
        <f t="array" ref="FF67">(BS67*SUMPRODUCT($S67:$X67,TRANSPOSE(Assumptions!O$281:O$286)))*0.001</f>
        <v>0.42252764761806866</v>
      </c>
      <c r="FG67" s="1450" cm="1">
        <f t="array" ref="FG67">(BT67*SUMPRODUCT($S67:$X67,TRANSPOSE(Assumptions!P$281:P$286)))*0.001</f>
        <v>0.47534360357032723</v>
      </c>
      <c r="FH67" s="1450" cm="1">
        <f t="array" ref="FH67">(BU67*SUMPRODUCT($S67:$X67,TRANSPOSE(Assumptions!Q$281:Q$286)))*0.001</f>
        <v>0.52815955952258586</v>
      </c>
      <c r="FI67" s="1450" cm="1">
        <f t="array" ref="FI67">(BV67*SUMPRODUCT($S67:$X67,TRANSPOSE(Assumptions!R$281:R$286)))*0.001</f>
        <v>0.58097551547484427</v>
      </c>
      <c r="FJ67" s="666">
        <f t="shared" si="207"/>
        <v>0</v>
      </c>
      <c r="FK67" s="666">
        <f t="shared" si="208"/>
        <v>0</v>
      </c>
      <c r="FL67" s="666">
        <f t="shared" si="209"/>
        <v>0</v>
      </c>
      <c r="FM67" s="666">
        <f t="shared" si="210"/>
        <v>0</v>
      </c>
      <c r="FN67" s="666">
        <f t="shared" si="211"/>
        <v>1.0223840440477414</v>
      </c>
      <c r="FO67" s="666">
        <f t="shared" si="212"/>
        <v>0.96956808809548278</v>
      </c>
      <c r="FP67" s="666">
        <f t="shared" si="213"/>
        <v>0.91675213214322415</v>
      </c>
      <c r="FQ67" s="666">
        <f t="shared" si="214"/>
        <v>0.86393617619096563</v>
      </c>
      <c r="FR67" s="666">
        <f t="shared" si="215"/>
        <v>0.811120220238707</v>
      </c>
      <c r="FS67" s="666">
        <f t="shared" si="216"/>
        <v>0.75830426428644837</v>
      </c>
      <c r="FT67" s="666">
        <f t="shared" si="144"/>
        <v>0.70548830833418985</v>
      </c>
      <c r="FU67" s="666">
        <f t="shared" si="145"/>
        <v>0.65267235238193133</v>
      </c>
      <c r="FV67" s="666">
        <f t="shared" si="146"/>
        <v>0.5998563964296727</v>
      </c>
      <c r="FW67" s="666">
        <f t="shared" si="147"/>
        <v>0.54704044047741407</v>
      </c>
      <c r="FX67" s="1883">
        <f t="shared" si="148"/>
        <v>0.49422448452515566</v>
      </c>
      <c r="FY67" s="1895"/>
      <c r="FZ67" s="1893">
        <v>0</v>
      </c>
      <c r="GA67" s="703">
        <v>0</v>
      </c>
      <c r="GB67" s="703">
        <v>0</v>
      </c>
      <c r="GC67" s="703">
        <v>0</v>
      </c>
      <c r="GD67" s="703">
        <v>0</v>
      </c>
      <c r="GE67" s="703">
        <v>0</v>
      </c>
      <c r="GF67" s="703">
        <v>0</v>
      </c>
      <c r="GG67" s="703">
        <v>0</v>
      </c>
      <c r="GH67" s="703">
        <v>0</v>
      </c>
      <c r="GI67" s="703">
        <v>0</v>
      </c>
      <c r="GJ67" s="703">
        <v>0</v>
      </c>
      <c r="GK67" s="703">
        <v>0</v>
      </c>
      <c r="GL67" s="703">
        <v>0</v>
      </c>
      <c r="GM67" s="703">
        <v>0</v>
      </c>
      <c r="GN67" s="1905">
        <v>0</v>
      </c>
      <c r="GO67" s="1916"/>
      <c r="GP67" s="1868">
        <f>BH67*INDEX(Assumptions!G$565:G$570,MATCH($B67,Assumptions!$B$565:$B$570,0))</f>
        <v>0</v>
      </c>
      <c r="GQ67" s="656">
        <f>BI67*INDEX(Assumptions!H$565:H$570,MATCH($B67,Assumptions!$B$565:$B$570,0))</f>
        <v>0</v>
      </c>
      <c r="GR67" s="656">
        <f>BJ67*INDEX(Assumptions!I$565:I$570,MATCH($B67,Assumptions!$B$565:$B$570,0))</f>
        <v>0</v>
      </c>
      <c r="GS67" s="656">
        <f>BK67*INDEX(Assumptions!J$565:J$570,MATCH($B67,Assumptions!$B$565:$B$570,0))</f>
        <v>0</v>
      </c>
      <c r="GT67" s="656">
        <f>BL67*INDEX(Assumptions!K$565:K$570,MATCH($B67,Assumptions!$B$565:$B$570,0))</f>
        <v>0.33867852985017138</v>
      </c>
      <c r="GU67" s="656">
        <f>BM67*INDEX(Assumptions!L$565:L$570,MATCH($B67,Assumptions!$B$565:$B$570,0))</f>
        <v>0.67882120949721581</v>
      </c>
      <c r="GV67" s="656">
        <f>BN67*INDEX(Assumptions!M$565:M$570,MATCH($B67,Assumptions!$B$565:$B$570,0))</f>
        <v>1.019478305711883</v>
      </c>
      <c r="GW67" s="656">
        <f>BO67*INDEX(Assumptions!N$565:N$570,MATCH($B67,Assumptions!$B$565:$B$570,0))</f>
        <v>1.3598128549931494</v>
      </c>
      <c r="GX67" s="656">
        <f>BP67*INDEX(Assumptions!O$565:O$570,MATCH($B67,Assumptions!$B$565:$B$570,0))</f>
        <v>1.699095724140675</v>
      </c>
      <c r="GY67" s="656">
        <f>BQ67*INDEX(Assumptions!P$565:P$570,MATCH($B67,Assumptions!$B$565:$B$570,0))</f>
        <v>2.0299397221881037</v>
      </c>
      <c r="GZ67" s="656">
        <f>BR67*INDEX(Assumptions!Q$565:Q$570,MATCH($B67,Assumptions!$B$565:$B$570,0))</f>
        <v>2.2487473564673461</v>
      </c>
      <c r="HA67" s="656">
        <f>BS67*INDEX(Assumptions!R$565:R$570,MATCH($B67,Assumptions!$B$565:$B$570,0))</f>
        <v>2.7967352457552512</v>
      </c>
      <c r="HB67" s="656">
        <f>BT67*INDEX(Assumptions!S$565:S$570,MATCH($B67,Assumptions!$B$565:$B$570,0))</f>
        <v>3.1463271514746576</v>
      </c>
      <c r="HC67" s="656">
        <f>BU67*INDEX(Assumptions!T$565:T$570,MATCH($B67,Assumptions!$B$565:$B$570,0))</f>
        <v>3.4846504385060082</v>
      </c>
      <c r="HD67" s="1922">
        <f>BV67*INDEX(Assumptions!U$565:U$570,MATCH($B67,Assumptions!$B$565:$B$570,0))</f>
        <v>3.8207200017997471</v>
      </c>
      <c r="HE67" s="1933"/>
      <c r="HF67" s="1927"/>
      <c r="HG67" s="501"/>
      <c r="HH67" s="501"/>
      <c r="HI67" s="501"/>
      <c r="HJ67" s="501"/>
      <c r="HK67" s="501"/>
      <c r="HL67" s="501"/>
      <c r="HM67" s="501"/>
      <c r="HN67" s="501"/>
      <c r="HO67" s="501"/>
      <c r="HP67" s="501"/>
      <c r="HQ67" s="501"/>
      <c r="HR67" s="501"/>
      <c r="HS67" s="501"/>
      <c r="HT67" s="501"/>
      <c r="HU67" s="501"/>
      <c r="HV67" s="656"/>
      <c r="HW67" s="1922"/>
      <c r="HX67" s="1946"/>
      <c r="HY67" s="1943"/>
      <c r="HZ67" s="695"/>
      <c r="IA67" s="683"/>
      <c r="IB67" s="683"/>
      <c r="IC67" s="694"/>
      <c r="ID67" s="1376"/>
      <c r="IE67" s="1968"/>
      <c r="IF67" s="1963">
        <v>0</v>
      </c>
      <c r="IG67" s="538">
        <v>0.4</v>
      </c>
      <c r="IH67" s="538">
        <v>0.4</v>
      </c>
      <c r="II67" s="538">
        <v>0.4</v>
      </c>
      <c r="IJ67" s="538">
        <v>1</v>
      </c>
      <c r="IK67" s="1276">
        <v>1</v>
      </c>
      <c r="IL67" s="1280">
        <v>1</v>
      </c>
      <c r="IM67" s="1292" t="s">
        <v>808</v>
      </c>
    </row>
    <row r="68" spans="2:247" ht="13.5" customHeight="1" x14ac:dyDescent="0.3">
      <c r="B68" s="1703" t="s">
        <v>53</v>
      </c>
      <c r="C68" s="2113"/>
      <c r="D68" s="679" t="s">
        <v>809</v>
      </c>
      <c r="E68" s="71" t="s">
        <v>810</v>
      </c>
      <c r="F68" s="1800"/>
      <c r="G68" s="1797"/>
      <c r="H68" s="70"/>
      <c r="I68" s="13"/>
      <c r="J68" s="696"/>
      <c r="K68" s="71" t="s">
        <v>648</v>
      </c>
      <c r="L68" s="1176" t="s">
        <v>719</v>
      </c>
      <c r="M68" s="1827"/>
      <c r="N68" s="1817"/>
      <c r="O68" s="1177"/>
      <c r="P68" s="1177"/>
      <c r="Q68" s="1178">
        <v>1</v>
      </c>
      <c r="R68" s="1177"/>
      <c r="S68" s="1445" cm="1">
        <f t="array" ref="S68:X68">TRANSPOSE(_xlfn.XLOOKUP(B68,Assumptions!$C$134:$I$134,Assumptions!$C$135:$I$140))</f>
        <v>0.89766686718609423</v>
      </c>
      <c r="T68" s="1445">
        <v>2.0574367766823833E-2</v>
      </c>
      <c r="U68" s="1445">
        <v>0</v>
      </c>
      <c r="V68" s="1445">
        <v>6.4936780001525515E-2</v>
      </c>
      <c r="W68" s="1445">
        <v>0</v>
      </c>
      <c r="X68" s="1445">
        <v>1.6821985045556383E-2</v>
      </c>
      <c r="Y68" s="1179" cm="1">
        <f t="array" ref="Y68:AC68">TRANSPOSE(_xlfn.ANCHORARRAY(Assumptions!$D$698))</f>
        <v>0.46715240825721654</v>
      </c>
      <c r="Z68" s="1179">
        <v>0.10872006700422583</v>
      </c>
      <c r="AA68" s="1179">
        <v>9.7634938252443113E-2</v>
      </c>
      <c r="AB68" s="1179">
        <v>0.23591534859475621</v>
      </c>
      <c r="AC68" s="1179">
        <v>9.057723789135827E-2</v>
      </c>
      <c r="AD68" s="1177"/>
      <c r="AE68" s="1177"/>
      <c r="AF68" s="1177"/>
      <c r="AG68" s="1177"/>
      <c r="AH68" s="1177"/>
      <c r="AI68" s="1177"/>
      <c r="AJ68" s="1177"/>
      <c r="AK68" s="1417">
        <f t="shared" si="176"/>
        <v>0</v>
      </c>
      <c r="AL68" s="1177"/>
      <c r="AM68" s="1177"/>
      <c r="AN68" s="1177"/>
      <c r="AO68" s="1834">
        <v>0</v>
      </c>
      <c r="AP68" s="1847"/>
      <c r="AQ68" s="1837">
        <f t="shared" si="237"/>
        <v>1.6195895781135814</v>
      </c>
      <c r="AR68" s="663"/>
      <c r="AS68" s="663"/>
      <c r="AT68" s="663"/>
      <c r="AU68" s="663"/>
      <c r="AV68" s="659">
        <f>_xlfn.XLOOKUP($D68,TalTech!$B$4:$B$46,TalTech!BB$4:BB$46)</f>
        <v>1.6195895781135814</v>
      </c>
      <c r="AW68" s="659">
        <f>_xlfn.XLOOKUP($D68,TalTech!$B$4:$B$46,TalTech!BC$4:BC$46)</f>
        <v>1.6195895781135814</v>
      </c>
      <c r="AX68" s="659">
        <f>_xlfn.XLOOKUP($D68,TalTech!$B$4:$B$46,TalTech!BD$4:BD$46)</f>
        <v>1.6195895781135814</v>
      </c>
      <c r="AY68" s="659">
        <f>_xlfn.XLOOKUP($D68,TalTech!$B$4:$B$46,TalTech!BE$4:BE$46)</f>
        <v>1.6195895781135814</v>
      </c>
      <c r="AZ68" s="659">
        <f>_xlfn.XLOOKUP($D68,TalTech!$B$4:$B$46,TalTech!BF$4:BF$46)</f>
        <v>1.6195895781135814</v>
      </c>
      <c r="BA68" s="659">
        <f>_xlfn.XLOOKUP($D68,TalTech!$B$4:$B$46,TalTech!BG$4:BG$46)</f>
        <v>1.6195895781135814</v>
      </c>
      <c r="BB68" s="659">
        <f>_xlfn.XLOOKUP($D68,TalTech!$B$4:$B$46,TalTech!BH$4:BH$46)</f>
        <v>1.6195895781135814</v>
      </c>
      <c r="BC68" s="659">
        <f>_xlfn.XLOOKUP($D68,TalTech!$B$4:$B$46,TalTech!BI$4:BI$46)</f>
        <v>1.6195895781135814</v>
      </c>
      <c r="BD68" s="659">
        <f>_xlfn.XLOOKUP($D68,TalTech!$B$4:$B$46,TalTech!BJ$4:BJ$46)</f>
        <v>1.6195895781135814</v>
      </c>
      <c r="BE68" s="659">
        <f>_xlfn.XLOOKUP($D68,TalTech!$B$4:$B$46,TalTech!BK$4:BK$46)</f>
        <v>1.6195895781135814</v>
      </c>
      <c r="BF68" s="659">
        <f>_xlfn.XLOOKUP($D68,TalTech!$B$4:$B$46,TalTech!BL$4:BL$46)</f>
        <v>1.6195895781135814</v>
      </c>
      <c r="BG68" s="501">
        <f t="shared" si="177"/>
        <v>1.6195895781135812</v>
      </c>
      <c r="BH68" s="893">
        <f t="shared" si="111"/>
        <v>0</v>
      </c>
      <c r="BI68" s="658">
        <f t="shared" si="112"/>
        <v>0</v>
      </c>
      <c r="BJ68" s="658">
        <f t="shared" si="113"/>
        <v>0</v>
      </c>
      <c r="BK68" s="658">
        <f t="shared" si="114"/>
        <v>0</v>
      </c>
      <c r="BL68" s="658">
        <f t="shared" si="115"/>
        <v>1.6195895781135814</v>
      </c>
      <c r="BM68" s="658">
        <f t="shared" si="116"/>
        <v>3.2391791562271628</v>
      </c>
      <c r="BN68" s="658">
        <f t="shared" si="117"/>
        <v>4.8587687343407442</v>
      </c>
      <c r="BO68" s="658">
        <f t="shared" si="118"/>
        <v>6.4783583124543256</v>
      </c>
      <c r="BP68" s="658">
        <f t="shared" si="119"/>
        <v>8.097947890567907</v>
      </c>
      <c r="BQ68" s="658">
        <f t="shared" si="120"/>
        <v>9.7175374686814884</v>
      </c>
      <c r="BR68" s="658">
        <f t="shared" si="121"/>
        <v>11.33712704679507</v>
      </c>
      <c r="BS68" s="658">
        <f t="shared" si="122"/>
        <v>12.956716624908651</v>
      </c>
      <c r="BT68" s="658">
        <f t="shared" si="123"/>
        <v>14.576306203022233</v>
      </c>
      <c r="BU68" s="658">
        <f t="shared" si="124"/>
        <v>16.195895781135814</v>
      </c>
      <c r="BV68" s="1851">
        <f t="shared" si="125"/>
        <v>17.815485359249394</v>
      </c>
      <c r="BW68" s="1661"/>
      <c r="BX68" s="1855">
        <v>64.8</v>
      </c>
      <c r="BY68" s="1192">
        <f t="shared" si="126"/>
        <v>6668.3560736290428</v>
      </c>
      <c r="BZ68" s="663"/>
      <c r="CA68" s="663"/>
      <c r="CB68" s="663"/>
      <c r="CC68" s="663"/>
      <c r="CD68" s="675">
        <f>_xlfn.XLOOKUP($D68,TalTech!$B$4:$B$46,TalTech!BM$4:BM$46)</f>
        <v>10.8</v>
      </c>
      <c r="CE68" s="675">
        <f>_xlfn.XLOOKUP($D68,TalTech!$B$4:$B$46,TalTech!BN$4:BN$46)</f>
        <v>10.8</v>
      </c>
      <c r="CF68" s="675">
        <f>_xlfn.XLOOKUP($D68,TalTech!$B$4:$B$46,TalTech!BO$4:BO$46)</f>
        <v>10.8</v>
      </c>
      <c r="CG68" s="675">
        <f>_xlfn.XLOOKUP($D68,TalTech!$B$4:$B$46,TalTech!BP$4:BP$46)</f>
        <v>10.8</v>
      </c>
      <c r="CH68" s="675">
        <f>_xlfn.XLOOKUP($D68,TalTech!$B$4:$B$46,TalTech!BQ$4:BQ$46)</f>
        <v>10.8</v>
      </c>
      <c r="CI68" s="675">
        <f>_xlfn.XLOOKUP($D68,TalTech!$B$4:$B$46,TalTech!BR$4:BR$46)</f>
        <v>10.8</v>
      </c>
      <c r="CJ68" s="675">
        <f>_xlfn.XLOOKUP($D68,TalTech!$B$4:$B$46,TalTech!BS$4:BS$46)</f>
        <v>10.8</v>
      </c>
      <c r="CK68" s="675">
        <f>_xlfn.XLOOKUP($D68,TalTech!$B$4:$B$46,TalTech!BT$4:BT$46)</f>
        <v>10.8</v>
      </c>
      <c r="CL68" s="675">
        <f>_xlfn.XLOOKUP($D68,TalTech!$B$4:$B$46,TalTech!BU$4:BU$46)</f>
        <v>10.8</v>
      </c>
      <c r="CM68" s="675">
        <f>_xlfn.XLOOKUP($D68,TalTech!$B$4:$B$46,TalTech!BV$4:BV$46)</f>
        <v>10.8</v>
      </c>
      <c r="CN68" s="675">
        <f>_xlfn.XLOOKUP($D68,TalTech!$B$4:$B$46,TalTech!BW$4:BW$46)</f>
        <v>10.8</v>
      </c>
      <c r="CO68" s="493">
        <f t="shared" si="178"/>
        <v>10.799999999999999</v>
      </c>
      <c r="CP68" s="660">
        <f t="shared" si="127"/>
        <v>64.8</v>
      </c>
      <c r="CQ68" s="1193">
        <f>_xlfn.XLOOKUP($D68,TalTech!$B$4:$B$46,TalTech!$H$4:$H$46)</f>
        <v>0.5</v>
      </c>
      <c r="CR68" s="662">
        <f t="shared" si="128"/>
        <v>0.5</v>
      </c>
      <c r="CS68" s="685" t="str">
        <v>50% government</v>
      </c>
      <c r="CT68" s="1862">
        <f t="shared" si="218"/>
        <v>10.799999999999999</v>
      </c>
      <c r="CU68" s="1872"/>
      <c r="CV68" s="1865">
        <f>BH68*Assumptions!D$498</f>
        <v>0</v>
      </c>
      <c r="CW68" s="659">
        <f>BI68*Assumptions!E$498</f>
        <v>0</v>
      </c>
      <c r="CX68" s="659">
        <f>BJ68*Assumptions!F$498</f>
        <v>0</v>
      </c>
      <c r="CY68" s="659">
        <f>BK68*Assumptions!G$498</f>
        <v>0</v>
      </c>
      <c r="CZ68" s="659">
        <f>BL68*Assumptions!H$498</f>
        <v>0.16841995526528605</v>
      </c>
      <c r="DA68" s="659">
        <f>BM68*Assumptions!I$498</f>
        <v>0.34254575271422838</v>
      </c>
      <c r="DB68" s="659">
        <f>BN68*Assumptions!J$498</f>
        <v>0.52267792975232419</v>
      </c>
      <c r="DC68" s="659">
        <f>BO68*Assumptions!K$498</f>
        <v>0.70912487241366551</v>
      </c>
      <c r="DD68" s="659">
        <f>BP68*Assumptions!L$498</f>
        <v>0.90220319124326287</v>
      </c>
      <c r="DE68" s="659">
        <f>BQ68*Assumptions!M$498</f>
        <v>1.1022381047644447</v>
      </c>
      <c r="DF68" s="659">
        <f>BR68*Assumptions!N$498</f>
        <v>1.3100005223468778</v>
      </c>
      <c r="DG68" s="659">
        <f>BS68*Assumptions!O$498</f>
        <v>1.5254608813015864</v>
      </c>
      <c r="DH68" s="659">
        <f>BT68*Assumptions!P$498</f>
        <v>1.7489563102217036</v>
      </c>
      <c r="DI68" s="659">
        <f>BU68*Assumptions!Q$498</f>
        <v>1.9808372372687175</v>
      </c>
      <c r="DJ68" s="659">
        <f>BV68*Assumptions!R$498</f>
        <v>2.2214678847308336</v>
      </c>
      <c r="DK68" s="680">
        <f t="shared" si="222"/>
        <v>0</v>
      </c>
      <c r="DL68" s="680">
        <f t="shared" si="223"/>
        <v>0</v>
      </c>
      <c r="DM68" s="680">
        <f t="shared" si="224"/>
        <v>0</v>
      </c>
      <c r="DN68" s="680">
        <f t="shared" si="225"/>
        <v>0</v>
      </c>
      <c r="DO68" s="680">
        <f t="shared" si="226"/>
        <v>0.16841995526528605</v>
      </c>
      <c r="DP68" s="680">
        <f t="shared" si="227"/>
        <v>0.34254575271422838</v>
      </c>
      <c r="DQ68" s="680">
        <f t="shared" si="228"/>
        <v>0.52267792975232419</v>
      </c>
      <c r="DR68" s="680">
        <f t="shared" si="229"/>
        <v>0.70912487241366551</v>
      </c>
      <c r="DS68" s="680">
        <f t="shared" si="230"/>
        <v>0.90220319124326287</v>
      </c>
      <c r="DT68" s="680">
        <f t="shared" si="231"/>
        <v>1.1022381047644447</v>
      </c>
      <c r="DU68" s="680">
        <f t="shared" si="220"/>
        <v>1.3100005223468778</v>
      </c>
      <c r="DV68" s="680">
        <f t="shared" si="220"/>
        <v>1.5254608813015864</v>
      </c>
      <c r="DW68" s="680">
        <f t="shared" si="220"/>
        <v>1.7489563102217036</v>
      </c>
      <c r="DX68" s="680">
        <f t="shared" si="220"/>
        <v>1.9808372372687175</v>
      </c>
      <c r="DY68" s="680">
        <f t="shared" si="220"/>
        <v>2.2214678847308336</v>
      </c>
      <c r="DZ68" s="678">
        <v>0</v>
      </c>
      <c r="EA68" s="661">
        <f t="shared" si="130"/>
        <v>1</v>
      </c>
      <c r="EB68" s="1861">
        <f t="shared" si="236"/>
        <v>0.37472098061532116</v>
      </c>
      <c r="EC68" s="1881"/>
      <c r="ED68" s="1877">
        <v>0</v>
      </c>
      <c r="EE68" s="684"/>
      <c r="EF68" s="684"/>
      <c r="EG68" s="684"/>
      <c r="EH68" s="684"/>
      <c r="EI68" s="665">
        <f t="shared" si="196"/>
        <v>1.7280000000000002</v>
      </c>
      <c r="EJ68" s="665">
        <f t="shared" si="197"/>
        <v>1.7280000000000002</v>
      </c>
      <c r="EK68" s="665">
        <f t="shared" si="198"/>
        <v>1.7280000000000002</v>
      </c>
      <c r="EL68" s="665">
        <f t="shared" si="199"/>
        <v>1.7280000000000002</v>
      </c>
      <c r="EM68" s="665">
        <f t="shared" si="200"/>
        <v>1.7280000000000002</v>
      </c>
      <c r="EN68" s="665">
        <f t="shared" si="201"/>
        <v>1.7280000000000002</v>
      </c>
      <c r="EO68" s="665">
        <f t="shared" si="202"/>
        <v>1.7280000000000002</v>
      </c>
      <c r="EP68" s="665">
        <f t="shared" si="203"/>
        <v>1.7280000000000002</v>
      </c>
      <c r="EQ68" s="665">
        <f t="shared" si="204"/>
        <v>1.7280000000000002</v>
      </c>
      <c r="ER68" s="665">
        <f t="shared" si="205"/>
        <v>1.7280000000000002</v>
      </c>
      <c r="ES68" s="665">
        <f t="shared" si="206"/>
        <v>1.7280000000000002</v>
      </c>
      <c r="ET68" s="541">
        <f t="shared" si="133"/>
        <v>1.7280000000000002</v>
      </c>
      <c r="EU68" s="1450" cm="1">
        <f t="array" ref="EU68">(BH68*SUMPRODUCT($S68:$X68,TRANSPOSE(Assumptions!D$281:D$286)))*0.001</f>
        <v>0</v>
      </c>
      <c r="EV68" s="1450" cm="1">
        <f t="array" ref="EV68">(BI68*SUMPRODUCT($S68:$X68,TRANSPOSE(Assumptions!E$281:E$286)))*0.001</f>
        <v>0</v>
      </c>
      <c r="EW68" s="1450" cm="1">
        <f t="array" ref="EW68">(BJ68*SUMPRODUCT($S68:$X68,TRANSPOSE(Assumptions!F$281:F$286)))*0.001</f>
        <v>0</v>
      </c>
      <c r="EX68" s="1450" cm="1">
        <f t="array" ref="EX68">(BK68*SUMPRODUCT($S68:$X68,TRANSPOSE(Assumptions!G$281:G$286)))*0.001</f>
        <v>0</v>
      </c>
      <c r="EY68" s="1450" cm="1">
        <f t="array" ref="EY68">(BL68*SUMPRODUCT($S68:$X68,TRANSPOSE(Assumptions!H$281:H$286)))*0.001</f>
        <v>7.0023142798055868E-2</v>
      </c>
      <c r="EZ68" s="1450" cm="1">
        <f t="array" ref="EZ68">(BM68*SUMPRODUCT($S68:$X68,TRANSPOSE(Assumptions!I$281:I$286)))*0.001</f>
        <v>0.14004628559611174</v>
      </c>
      <c r="FA68" s="1450" cm="1">
        <f t="array" ref="FA68">(BN68*SUMPRODUCT($S68:$X68,TRANSPOSE(Assumptions!J$281:J$286)))*0.001</f>
        <v>0.21006942839416765</v>
      </c>
      <c r="FB68" s="1450" cm="1">
        <f t="array" ref="FB68">(BO68*SUMPRODUCT($S68:$X68,TRANSPOSE(Assumptions!K$281:K$286)))*0.001</f>
        <v>0.28009257119222347</v>
      </c>
      <c r="FC68" s="1450" cm="1">
        <f t="array" ref="FC68">(BP68*SUMPRODUCT($S68:$X68,TRANSPOSE(Assumptions!L$281:L$286)))*0.001</f>
        <v>0.35011571399027941</v>
      </c>
      <c r="FD68" s="1450" cm="1">
        <f t="array" ref="FD68">(BQ68*SUMPRODUCT($S68:$X68,TRANSPOSE(Assumptions!M$281:M$286)))*0.001</f>
        <v>0.42013885678833529</v>
      </c>
      <c r="FE68" s="1450" cm="1">
        <f t="array" ref="FE68">(BR68*SUMPRODUCT($S68:$X68,TRANSPOSE(Assumptions!N$281:N$286)))*0.001</f>
        <v>0.49016199958639112</v>
      </c>
      <c r="FF68" s="1450" cm="1">
        <f t="array" ref="FF68">(BS68*SUMPRODUCT($S68:$X68,TRANSPOSE(Assumptions!O$281:O$286)))*0.001</f>
        <v>0.56018514238444694</v>
      </c>
      <c r="FG68" s="1450" cm="1">
        <f t="array" ref="FG68">(BT68*SUMPRODUCT($S68:$X68,TRANSPOSE(Assumptions!P$281:P$286)))*0.001</f>
        <v>0.63020828518250294</v>
      </c>
      <c r="FH68" s="1450" cm="1">
        <f t="array" ref="FH68">(BU68*SUMPRODUCT($S68:$X68,TRANSPOSE(Assumptions!Q$281:Q$286)))*0.001</f>
        <v>0.70023142798055882</v>
      </c>
      <c r="FI68" s="1450" cm="1">
        <f t="array" ref="FI68">(BV68*SUMPRODUCT($S68:$X68,TRANSPOSE(Assumptions!R$281:R$286)))*0.001</f>
        <v>0.77025457077861459</v>
      </c>
      <c r="FJ68" s="666">
        <f t="shared" si="207"/>
        <v>0</v>
      </c>
      <c r="FK68" s="666">
        <f t="shared" si="208"/>
        <v>0</v>
      </c>
      <c r="FL68" s="666">
        <f t="shared" si="209"/>
        <v>0</v>
      </c>
      <c r="FM68" s="666">
        <f t="shared" si="210"/>
        <v>0</v>
      </c>
      <c r="FN68" s="666">
        <f t="shared" si="211"/>
        <v>1.6579768572019444</v>
      </c>
      <c r="FO68" s="666">
        <f t="shared" si="212"/>
        <v>1.5879537144038884</v>
      </c>
      <c r="FP68" s="666">
        <f t="shared" si="213"/>
        <v>1.5179305716058327</v>
      </c>
      <c r="FQ68" s="666">
        <f t="shared" si="214"/>
        <v>1.4479074288077767</v>
      </c>
      <c r="FR68" s="666">
        <f t="shared" si="215"/>
        <v>1.3778842860097207</v>
      </c>
      <c r="FS68" s="666">
        <f t="shared" si="216"/>
        <v>1.3078611432116649</v>
      </c>
      <c r="FT68" s="666">
        <f t="shared" si="144"/>
        <v>1.2378380004136091</v>
      </c>
      <c r="FU68" s="666">
        <f t="shared" si="145"/>
        <v>1.1678148576155531</v>
      </c>
      <c r="FV68" s="666">
        <f t="shared" si="146"/>
        <v>1.0977917148174972</v>
      </c>
      <c r="FW68" s="666">
        <f t="shared" si="147"/>
        <v>1.0277685720194414</v>
      </c>
      <c r="FX68" s="1883">
        <f t="shared" si="148"/>
        <v>0.95774542922138561</v>
      </c>
      <c r="FY68" s="1895"/>
      <c r="FZ68" s="1893">
        <v>0</v>
      </c>
      <c r="GA68" s="703">
        <v>0</v>
      </c>
      <c r="GB68" s="703">
        <v>0</v>
      </c>
      <c r="GC68" s="703">
        <v>0</v>
      </c>
      <c r="GD68" s="703">
        <v>0</v>
      </c>
      <c r="GE68" s="703">
        <v>0</v>
      </c>
      <c r="GF68" s="703">
        <v>0</v>
      </c>
      <c r="GG68" s="703">
        <v>0</v>
      </c>
      <c r="GH68" s="703">
        <v>0</v>
      </c>
      <c r="GI68" s="703">
        <v>0</v>
      </c>
      <c r="GJ68" s="703">
        <v>0</v>
      </c>
      <c r="GK68" s="703">
        <v>0</v>
      </c>
      <c r="GL68" s="703">
        <v>0</v>
      </c>
      <c r="GM68" s="703">
        <v>0</v>
      </c>
      <c r="GN68" s="1905">
        <v>0</v>
      </c>
      <c r="GO68" s="1916"/>
      <c r="GP68" s="1868">
        <f>BH68*INDEX(Assumptions!G$565:G$570,MATCH($B68,Assumptions!$B$565:$B$570,0))</f>
        <v>0</v>
      </c>
      <c r="GQ68" s="656">
        <f>BI68*INDEX(Assumptions!H$565:H$570,MATCH($B68,Assumptions!$B$565:$B$570,0))</f>
        <v>0</v>
      </c>
      <c r="GR68" s="656">
        <f>BJ68*INDEX(Assumptions!I$565:I$570,MATCH($B68,Assumptions!$B$565:$B$570,0))</f>
        <v>0</v>
      </c>
      <c r="GS68" s="656">
        <f>BK68*INDEX(Assumptions!J$565:J$570,MATCH($B68,Assumptions!$B$565:$B$570,0))</f>
        <v>0</v>
      </c>
      <c r="GT68" s="656">
        <f>BL68*INDEX(Assumptions!K$565:K$570,MATCH($B68,Assumptions!$B$565:$B$570,0))</f>
        <v>0.44901838148628709</v>
      </c>
      <c r="GU68" s="656">
        <f>BM68*INDEX(Assumptions!L$565:L$570,MATCH($B68,Assumptions!$B$565:$B$570,0))</f>
        <v>0.89997792579838509</v>
      </c>
      <c r="GV68" s="656">
        <f>BN68*INDEX(Assumptions!M$565:M$570,MATCH($B68,Assumptions!$B$565:$B$570,0))</f>
        <v>1.3516194811452713</v>
      </c>
      <c r="GW68" s="656">
        <f>BO68*INDEX(Assumptions!N$565:N$570,MATCH($B68,Assumptions!$B$565:$B$570,0))</f>
        <v>1.8028334053043966</v>
      </c>
      <c r="GX68" s="656">
        <f>BP68*INDEX(Assumptions!O$565:O$570,MATCH($B68,Assumptions!$B$565:$B$570,0))</f>
        <v>2.2526530169521779</v>
      </c>
      <c r="GY68" s="656">
        <f>BQ68*INDEX(Assumptions!P$565:P$570,MATCH($B68,Assumptions!$B$565:$B$570,0))</f>
        <v>2.6912844134963527</v>
      </c>
      <c r="GZ68" s="656">
        <f>BR68*INDEX(Assumptions!Q$565:Q$570,MATCH($B68,Assumptions!$B$565:$B$570,0))</f>
        <v>2.9813785326729461</v>
      </c>
      <c r="HA68" s="656">
        <f>BS68*INDEX(Assumptions!R$565:R$570,MATCH($B68,Assumptions!$B$565:$B$570,0))</f>
        <v>3.7078982657986193</v>
      </c>
      <c r="HB68" s="656">
        <f>BT68*INDEX(Assumptions!S$565:S$570,MATCH($B68,Assumptions!$B$565:$B$570,0))</f>
        <v>4.1713855490234462</v>
      </c>
      <c r="HC68" s="656">
        <f>BU68*INDEX(Assumptions!T$565:T$570,MATCH($B68,Assumptions!$B$565:$B$570,0))</f>
        <v>4.6199329512728387</v>
      </c>
      <c r="HD68" s="1922">
        <f>BV68*INDEX(Assumptions!U$565:U$570,MATCH($B68,Assumptions!$B$565:$B$570,0))</f>
        <v>5.0654923773271427</v>
      </c>
      <c r="HE68" s="1933"/>
      <c r="HF68" s="1927"/>
      <c r="HG68" s="501"/>
      <c r="HH68" s="501"/>
      <c r="HI68" s="501"/>
      <c r="HJ68" s="501"/>
      <c r="HK68" s="501"/>
      <c r="HL68" s="501"/>
      <c r="HM68" s="501"/>
      <c r="HN68" s="501"/>
      <c r="HO68" s="501"/>
      <c r="HP68" s="501"/>
      <c r="HQ68" s="501"/>
      <c r="HR68" s="501"/>
      <c r="HS68" s="501"/>
      <c r="HT68" s="501"/>
      <c r="HU68" s="501"/>
      <c r="HV68" s="656"/>
      <c r="HW68" s="1922"/>
      <c r="HX68" s="1946"/>
      <c r="HY68" s="1943"/>
      <c r="HZ68" s="695"/>
      <c r="IA68" s="683"/>
      <c r="IB68" s="683"/>
      <c r="IC68" s="694"/>
      <c r="ID68" s="1376"/>
      <c r="IE68" s="1968"/>
      <c r="IF68" s="1963">
        <v>0</v>
      </c>
      <c r="IG68" s="538"/>
      <c r="IH68" s="538"/>
      <c r="II68" s="538"/>
      <c r="IJ68" s="538"/>
      <c r="IK68" s="1276"/>
      <c r="IL68" s="1280"/>
      <c r="IM68" s="1292" t="s">
        <v>810</v>
      </c>
    </row>
    <row r="69" spans="2:247" ht="13.5" customHeight="1" x14ac:dyDescent="0.3">
      <c r="B69" s="1703" t="s">
        <v>53</v>
      </c>
      <c r="C69" s="2113"/>
      <c r="D69" s="679" t="s">
        <v>811</v>
      </c>
      <c r="E69" s="1372" t="s">
        <v>812</v>
      </c>
      <c r="F69" s="1809"/>
      <c r="G69" s="1799"/>
      <c r="H69" s="70"/>
      <c r="I69" s="13"/>
      <c r="J69" s="696"/>
      <c r="K69" s="71" t="s">
        <v>648</v>
      </c>
      <c r="L69" s="1176" t="s">
        <v>719</v>
      </c>
      <c r="M69" s="1827"/>
      <c r="N69" s="1817"/>
      <c r="O69" s="1177"/>
      <c r="P69" s="1177"/>
      <c r="Q69" s="1178">
        <v>1</v>
      </c>
      <c r="R69" s="1177"/>
      <c r="S69" s="1445" cm="1">
        <f t="array" ref="S69:X69">TRANSPOSE(_xlfn.XLOOKUP(B69,Assumptions!$C$134:$I$134,Assumptions!$C$135:$I$140))</f>
        <v>0.89766686718609423</v>
      </c>
      <c r="T69" s="1445">
        <v>2.0574367766823833E-2</v>
      </c>
      <c r="U69" s="1445">
        <v>0</v>
      </c>
      <c r="V69" s="1445">
        <v>6.4936780001525515E-2</v>
      </c>
      <c r="W69" s="1445">
        <v>0</v>
      </c>
      <c r="X69" s="1445">
        <v>1.6821985045556383E-2</v>
      </c>
      <c r="Y69" s="1179" cm="1">
        <f t="array" ref="Y69:AC69">TRANSPOSE(_xlfn.ANCHORARRAY(Assumptions!$D$698))</f>
        <v>0.46715240825721654</v>
      </c>
      <c r="Z69" s="1179">
        <v>0.10872006700422583</v>
      </c>
      <c r="AA69" s="1179">
        <v>9.7634938252443113E-2</v>
      </c>
      <c r="AB69" s="1179">
        <v>0.23591534859475621</v>
      </c>
      <c r="AC69" s="1179">
        <v>9.057723789135827E-2</v>
      </c>
      <c r="AD69" s="1177"/>
      <c r="AE69" s="1177"/>
      <c r="AF69" s="1177"/>
      <c r="AG69" s="1177"/>
      <c r="AH69" s="1177"/>
      <c r="AI69" s="1177"/>
      <c r="AJ69" s="1177"/>
      <c r="AK69" s="1417">
        <f t="shared" si="176"/>
        <v>0</v>
      </c>
      <c r="AL69" s="1177"/>
      <c r="AM69" s="1177"/>
      <c r="AN69" s="1177"/>
      <c r="AO69" s="1834">
        <v>0</v>
      </c>
      <c r="AP69" s="1847"/>
      <c r="AQ69" s="1837">
        <f t="shared" si="237"/>
        <v>1.1083333499522903</v>
      </c>
      <c r="AR69" s="663"/>
      <c r="AS69" s="663"/>
      <c r="AT69" s="663"/>
      <c r="AU69" s="663"/>
      <c r="AV69" s="659">
        <f>_xlfn.XLOOKUP($D69,TalTech!$B$4:$B$46,TalTech!BB$4:BB$46)</f>
        <v>1.1083333499522903</v>
      </c>
      <c r="AW69" s="659">
        <f>_xlfn.XLOOKUP($D69,TalTech!$B$4:$B$46,TalTech!BC$4:BC$46)</f>
        <v>1.1083333499522903</v>
      </c>
      <c r="AX69" s="659">
        <f>_xlfn.XLOOKUP($D69,TalTech!$B$4:$B$46,TalTech!BD$4:BD$46)</f>
        <v>1.1083333499522903</v>
      </c>
      <c r="AY69" s="659">
        <f>_xlfn.XLOOKUP($D69,TalTech!$B$4:$B$46,TalTech!BE$4:BE$46)</f>
        <v>1.1083333499522903</v>
      </c>
      <c r="AZ69" s="659">
        <f>_xlfn.XLOOKUP($D69,TalTech!$B$4:$B$46,TalTech!BF$4:BF$46)</f>
        <v>1.1083333499522903</v>
      </c>
      <c r="BA69" s="659">
        <f>_xlfn.XLOOKUP($D69,TalTech!$B$4:$B$46,TalTech!BG$4:BG$46)</f>
        <v>1.1083333499522903</v>
      </c>
      <c r="BB69" s="659">
        <f>_xlfn.XLOOKUP($D69,TalTech!$B$4:$B$46,TalTech!BH$4:BH$46)</f>
        <v>1.1083333499522903</v>
      </c>
      <c r="BC69" s="659">
        <f>_xlfn.XLOOKUP($D69,TalTech!$B$4:$B$46,TalTech!BI$4:BI$46)</f>
        <v>1.1083333499522903</v>
      </c>
      <c r="BD69" s="659">
        <f>_xlfn.XLOOKUP($D69,TalTech!$B$4:$B$46,TalTech!BJ$4:BJ$46)</f>
        <v>1.1083333499522903</v>
      </c>
      <c r="BE69" s="659">
        <f>_xlfn.XLOOKUP($D69,TalTech!$B$4:$B$46,TalTech!BK$4:BK$46)</f>
        <v>1.1083333499522903</v>
      </c>
      <c r="BF69" s="659">
        <f>_xlfn.XLOOKUP($D69,TalTech!$B$4:$B$46,TalTech!BL$4:BL$46)</f>
        <v>1.1083333499522903</v>
      </c>
      <c r="BG69" s="501">
        <f t="shared" si="177"/>
        <v>1.10833334995229</v>
      </c>
      <c r="BH69" s="893">
        <f t="shared" si="111"/>
        <v>0</v>
      </c>
      <c r="BI69" s="658">
        <f t="shared" si="112"/>
        <v>0</v>
      </c>
      <c r="BJ69" s="658">
        <f t="shared" si="113"/>
        <v>0</v>
      </c>
      <c r="BK69" s="658">
        <f t="shared" si="114"/>
        <v>0</v>
      </c>
      <c r="BL69" s="658">
        <f t="shared" si="115"/>
        <v>1.1083333499522903</v>
      </c>
      <c r="BM69" s="658">
        <f t="shared" si="116"/>
        <v>2.2166666999045805</v>
      </c>
      <c r="BN69" s="658">
        <f t="shared" si="117"/>
        <v>3.3250000498568708</v>
      </c>
      <c r="BO69" s="658">
        <f t="shared" si="118"/>
        <v>4.4333333998091611</v>
      </c>
      <c r="BP69" s="658">
        <f t="shared" si="119"/>
        <v>5.5416667497614513</v>
      </c>
      <c r="BQ69" s="658">
        <f t="shared" si="120"/>
        <v>6.6500000997137416</v>
      </c>
      <c r="BR69" s="658">
        <f t="shared" si="121"/>
        <v>7.7583334496660319</v>
      </c>
      <c r="BS69" s="658">
        <f t="shared" si="122"/>
        <v>8.8666667996183222</v>
      </c>
      <c r="BT69" s="658">
        <f t="shared" si="123"/>
        <v>9.9750001495706115</v>
      </c>
      <c r="BU69" s="658">
        <f t="shared" si="124"/>
        <v>11.083333499522901</v>
      </c>
      <c r="BV69" s="1851">
        <f t="shared" si="125"/>
        <v>12.19166684947519</v>
      </c>
      <c r="BW69" s="1661"/>
      <c r="BX69" s="1855">
        <v>32.4</v>
      </c>
      <c r="BY69" s="1192">
        <f t="shared" si="126"/>
        <v>4872.1803780716791</v>
      </c>
      <c r="BZ69" s="663"/>
      <c r="CA69" s="663"/>
      <c r="CB69" s="663"/>
      <c r="CC69" s="663"/>
      <c r="CD69" s="675">
        <f>_xlfn.XLOOKUP($D69,TalTech!$B$4:$B$46,TalTech!BM$4:BM$46)</f>
        <v>5.4</v>
      </c>
      <c r="CE69" s="675">
        <f>_xlfn.XLOOKUP($D69,TalTech!$B$4:$B$46,TalTech!BN$4:BN$46)</f>
        <v>5.4</v>
      </c>
      <c r="CF69" s="675">
        <f>_xlfn.XLOOKUP($D69,TalTech!$B$4:$B$46,TalTech!BO$4:BO$46)</f>
        <v>5.4</v>
      </c>
      <c r="CG69" s="675">
        <f>_xlfn.XLOOKUP($D69,TalTech!$B$4:$B$46,TalTech!BP$4:BP$46)</f>
        <v>5.4</v>
      </c>
      <c r="CH69" s="675">
        <f>_xlfn.XLOOKUP($D69,TalTech!$B$4:$B$46,TalTech!BQ$4:BQ$46)</f>
        <v>5.4</v>
      </c>
      <c r="CI69" s="675">
        <f>_xlfn.XLOOKUP($D69,TalTech!$B$4:$B$46,TalTech!BR$4:BR$46)</f>
        <v>5.4</v>
      </c>
      <c r="CJ69" s="675">
        <f>_xlfn.XLOOKUP($D69,TalTech!$B$4:$B$46,TalTech!BS$4:BS$46)</f>
        <v>5.4</v>
      </c>
      <c r="CK69" s="675">
        <f>_xlfn.XLOOKUP($D69,TalTech!$B$4:$B$46,TalTech!BT$4:BT$46)</f>
        <v>5.4</v>
      </c>
      <c r="CL69" s="675">
        <f>_xlfn.XLOOKUP($D69,TalTech!$B$4:$B$46,TalTech!BU$4:BU$46)</f>
        <v>5.4</v>
      </c>
      <c r="CM69" s="675">
        <f>_xlfn.XLOOKUP($D69,TalTech!$B$4:$B$46,TalTech!BV$4:BV$46)</f>
        <v>5.4</v>
      </c>
      <c r="CN69" s="675">
        <f>_xlfn.XLOOKUP($D69,TalTech!$B$4:$B$46,TalTech!BW$4:BW$46)</f>
        <v>5.4</v>
      </c>
      <c r="CO69" s="493">
        <f t="shared" si="178"/>
        <v>5.3999999999999995</v>
      </c>
      <c r="CP69" s="660">
        <f t="shared" si="127"/>
        <v>32.4</v>
      </c>
      <c r="CQ69" s="1193">
        <f>_xlfn.XLOOKUP($D69,TalTech!$B$4:$B$46,TalTech!$H$4:$H$46)</f>
        <v>0.5</v>
      </c>
      <c r="CR69" s="662">
        <f t="shared" si="128"/>
        <v>0.5</v>
      </c>
      <c r="CS69" s="685" t="str">
        <v>50% government</v>
      </c>
      <c r="CT69" s="1862">
        <f t="shared" si="218"/>
        <v>5.3999999999999995</v>
      </c>
      <c r="CU69" s="1872"/>
      <c r="CV69" s="1865">
        <f>BH69*Assumptions!D$498</f>
        <v>0</v>
      </c>
      <c r="CW69" s="659">
        <f>BI69*Assumptions!E$498</f>
        <v>0</v>
      </c>
      <c r="CX69" s="659">
        <f>BJ69*Assumptions!F$498</f>
        <v>0</v>
      </c>
      <c r="CY69" s="659">
        <f>BK69*Assumptions!G$498</f>
        <v>0</v>
      </c>
      <c r="CZ69" s="659">
        <f>BL69*Assumptions!H$498</f>
        <v>0.11525478784286086</v>
      </c>
      <c r="DA69" s="659">
        <f>BM69*Assumptions!I$498</f>
        <v>0.23441425330724405</v>
      </c>
      <c r="DB69" s="659">
        <f>BN69*Assumptions!J$498</f>
        <v>0.35768406308421868</v>
      </c>
      <c r="DC69" s="659">
        <f>BO69*Assumptions!K$498</f>
        <v>0.48527525491498935</v>
      </c>
      <c r="DD69" s="659">
        <f>BP69*Assumptions!L$498</f>
        <v>0.61740449481835735</v>
      </c>
      <c r="DE69" s="659">
        <f>BQ69*Assumptions!M$498</f>
        <v>0.75429433950887437</v>
      </c>
      <c r="DF69" s="659">
        <f>BR69*Assumptions!N$498</f>
        <v>0.89647234521173391</v>
      </c>
      <c r="DG69" s="659">
        <f>BS69*Assumptions!O$498</f>
        <v>1.0439182812990357</v>
      </c>
      <c r="DH69" s="659">
        <f>BT69*Assumptions!P$498</f>
        <v>1.1968628549005618</v>
      </c>
      <c r="DI69" s="659">
        <f>BU69*Assumptions!Q$498</f>
        <v>1.3555458744365372</v>
      </c>
      <c r="DJ69" s="659">
        <f>BV69*Assumptions!R$498</f>
        <v>1.5202165880586351</v>
      </c>
      <c r="DK69" s="680">
        <f t="shared" si="222"/>
        <v>0</v>
      </c>
      <c r="DL69" s="680">
        <f t="shared" si="223"/>
        <v>0</v>
      </c>
      <c r="DM69" s="680">
        <f t="shared" si="224"/>
        <v>0</v>
      </c>
      <c r="DN69" s="680">
        <f t="shared" si="225"/>
        <v>0</v>
      </c>
      <c r="DO69" s="680">
        <f t="shared" si="226"/>
        <v>0.11525478784286086</v>
      </c>
      <c r="DP69" s="680">
        <f t="shared" si="227"/>
        <v>0.23441425330724405</v>
      </c>
      <c r="DQ69" s="680">
        <f t="shared" si="228"/>
        <v>0.35768406308421868</v>
      </c>
      <c r="DR69" s="680">
        <f t="shared" si="229"/>
        <v>0.48527525491498935</v>
      </c>
      <c r="DS69" s="680">
        <f t="shared" si="230"/>
        <v>0.61740449481835735</v>
      </c>
      <c r="DT69" s="680">
        <f t="shared" si="231"/>
        <v>0.75429433950887437</v>
      </c>
      <c r="DU69" s="680">
        <f t="shared" si="220"/>
        <v>0.89647234521173391</v>
      </c>
      <c r="DV69" s="680">
        <f t="shared" si="220"/>
        <v>1.0439182812990357</v>
      </c>
      <c r="DW69" s="680">
        <f t="shared" si="220"/>
        <v>1.1968628549005618</v>
      </c>
      <c r="DX69" s="680">
        <f t="shared" si="220"/>
        <v>1.3555458744365372</v>
      </c>
      <c r="DY69" s="680">
        <f t="shared" si="220"/>
        <v>1.5202165880586351</v>
      </c>
      <c r="DZ69" s="678">
        <v>0</v>
      </c>
      <c r="EA69" s="661">
        <f t="shared" si="130"/>
        <v>1</v>
      </c>
      <c r="EB69" s="1861">
        <f t="shared" si="236"/>
        <v>0.25643271934765444</v>
      </c>
      <c r="EC69" s="1881"/>
      <c r="ED69" s="1877">
        <v>0</v>
      </c>
      <c r="EE69" s="684"/>
      <c r="EF69" s="684"/>
      <c r="EG69" s="684"/>
      <c r="EH69" s="684"/>
      <c r="EI69" s="665">
        <f t="shared" si="196"/>
        <v>0.8640000000000001</v>
      </c>
      <c r="EJ69" s="665">
        <f t="shared" si="197"/>
        <v>0.8640000000000001</v>
      </c>
      <c r="EK69" s="665">
        <f t="shared" si="198"/>
        <v>0.8640000000000001</v>
      </c>
      <c r="EL69" s="665">
        <f t="shared" si="199"/>
        <v>0.8640000000000001</v>
      </c>
      <c r="EM69" s="665">
        <f t="shared" si="200"/>
        <v>0.8640000000000001</v>
      </c>
      <c r="EN69" s="665">
        <f t="shared" si="201"/>
        <v>0.8640000000000001</v>
      </c>
      <c r="EO69" s="665">
        <f t="shared" si="202"/>
        <v>0.8640000000000001</v>
      </c>
      <c r="EP69" s="665">
        <f t="shared" si="203"/>
        <v>0.8640000000000001</v>
      </c>
      <c r="EQ69" s="665">
        <f t="shared" si="204"/>
        <v>0.8640000000000001</v>
      </c>
      <c r="ER69" s="665">
        <f t="shared" si="205"/>
        <v>0.8640000000000001</v>
      </c>
      <c r="ES69" s="665">
        <f t="shared" si="206"/>
        <v>0.8640000000000001</v>
      </c>
      <c r="ET69" s="541">
        <f t="shared" si="133"/>
        <v>0.8640000000000001</v>
      </c>
      <c r="EU69" s="1450" cm="1">
        <f t="array" ref="EU69">(BH69*SUMPRODUCT($S69:$X69,TRANSPOSE(Assumptions!D$281:D$286)))*0.001</f>
        <v>0</v>
      </c>
      <c r="EV69" s="1450" cm="1">
        <f t="array" ref="EV69">(BI69*SUMPRODUCT($S69:$X69,TRANSPOSE(Assumptions!E$281:E$286)))*0.001</f>
        <v>0</v>
      </c>
      <c r="EW69" s="1450" cm="1">
        <f t="array" ref="EW69">(BJ69*SUMPRODUCT($S69:$X69,TRANSPOSE(Assumptions!F$281:F$286)))*0.001</f>
        <v>0</v>
      </c>
      <c r="EX69" s="1450" cm="1">
        <f t="array" ref="EX69">(BK69*SUMPRODUCT($S69:$X69,TRANSPOSE(Assumptions!G$281:G$286)))*0.001</f>
        <v>0</v>
      </c>
      <c r="EY69" s="1450" cm="1">
        <f t="array" ref="EY69">(BL69*SUMPRODUCT($S69:$X69,TRANSPOSE(Assumptions!H$281:H$286)))*0.001</f>
        <v>4.7918920620588341E-2</v>
      </c>
      <c r="EZ69" s="1450" cm="1">
        <f t="array" ref="EZ69">(BM69*SUMPRODUCT($S69:$X69,TRANSPOSE(Assumptions!I$281:I$286)))*0.001</f>
        <v>9.5837841241176683E-2</v>
      </c>
      <c r="FA69" s="1450" cm="1">
        <f t="array" ref="FA69">(BN69*SUMPRODUCT($S69:$X69,TRANSPOSE(Assumptions!J$281:J$286)))*0.001</f>
        <v>0.143756761861765</v>
      </c>
      <c r="FB69" s="1450" cm="1">
        <f t="array" ref="FB69">(BO69*SUMPRODUCT($S69:$X69,TRANSPOSE(Assumptions!K$281:K$286)))*0.001</f>
        <v>0.19167568248235337</v>
      </c>
      <c r="FC69" s="1450" cm="1">
        <f t="array" ref="FC69">(BP69*SUMPRODUCT($S69:$X69,TRANSPOSE(Assumptions!L$281:L$286)))*0.001</f>
        <v>0.23959460310294167</v>
      </c>
      <c r="FD69" s="1450" cm="1">
        <f t="array" ref="FD69">(BQ69*SUMPRODUCT($S69:$X69,TRANSPOSE(Assumptions!M$281:M$286)))*0.001</f>
        <v>0.28751352372353001</v>
      </c>
      <c r="FE69" s="1450" cm="1">
        <f t="array" ref="FE69">(BR69*SUMPRODUCT($S69:$X69,TRANSPOSE(Assumptions!N$281:N$286)))*0.001</f>
        <v>0.33543244434411834</v>
      </c>
      <c r="FF69" s="1450" cm="1">
        <f t="array" ref="FF69">(BS69*SUMPRODUCT($S69:$X69,TRANSPOSE(Assumptions!O$281:O$286)))*0.001</f>
        <v>0.38335136496470673</v>
      </c>
      <c r="FG69" s="1450" cm="1">
        <f t="array" ref="FG69">(BT69*SUMPRODUCT($S69:$X69,TRANSPOSE(Assumptions!P$281:P$286)))*0.001</f>
        <v>0.43127028558529495</v>
      </c>
      <c r="FH69" s="1450" cm="1">
        <f t="array" ref="FH69">(BU69*SUMPRODUCT($S69:$X69,TRANSPOSE(Assumptions!Q$281:Q$286)))*0.001</f>
        <v>0.47918920620588329</v>
      </c>
      <c r="FI69" s="1450" cm="1">
        <f t="array" ref="FI69">(BV69*SUMPRODUCT($S69:$X69,TRANSPOSE(Assumptions!R$281:R$286)))*0.001</f>
        <v>0.52710812682647157</v>
      </c>
      <c r="FJ69" s="666">
        <f t="shared" si="207"/>
        <v>0</v>
      </c>
      <c r="FK69" s="666">
        <f t="shared" si="208"/>
        <v>0</v>
      </c>
      <c r="FL69" s="666">
        <f t="shared" si="209"/>
        <v>0</v>
      </c>
      <c r="FM69" s="666">
        <f t="shared" si="210"/>
        <v>0</v>
      </c>
      <c r="FN69" s="666">
        <f t="shared" si="211"/>
        <v>0.81608107937941177</v>
      </c>
      <c r="FO69" s="666">
        <f t="shared" si="212"/>
        <v>0.76816215875882343</v>
      </c>
      <c r="FP69" s="666">
        <f t="shared" si="213"/>
        <v>0.7202432381382351</v>
      </c>
      <c r="FQ69" s="666">
        <f t="shared" si="214"/>
        <v>0.67232431751764676</v>
      </c>
      <c r="FR69" s="666">
        <f t="shared" si="215"/>
        <v>0.62440539689705843</v>
      </c>
      <c r="FS69" s="666">
        <f t="shared" si="216"/>
        <v>0.57648647627647009</v>
      </c>
      <c r="FT69" s="666">
        <f t="shared" si="144"/>
        <v>0.52856755565588176</v>
      </c>
      <c r="FU69" s="666">
        <f t="shared" si="145"/>
        <v>0.48064863503529337</v>
      </c>
      <c r="FV69" s="666">
        <f t="shared" si="146"/>
        <v>0.43272971441470515</v>
      </c>
      <c r="FW69" s="666">
        <f t="shared" si="147"/>
        <v>0.38481079379411681</v>
      </c>
      <c r="FX69" s="1883">
        <f t="shared" si="148"/>
        <v>0.33689187317352853</v>
      </c>
      <c r="FY69" s="1895"/>
      <c r="FZ69" s="1893">
        <v>0</v>
      </c>
      <c r="GA69" s="703">
        <v>0</v>
      </c>
      <c r="GB69" s="703">
        <v>0</v>
      </c>
      <c r="GC69" s="703">
        <v>0</v>
      </c>
      <c r="GD69" s="703">
        <v>0</v>
      </c>
      <c r="GE69" s="703">
        <v>0</v>
      </c>
      <c r="GF69" s="703">
        <v>0</v>
      </c>
      <c r="GG69" s="703">
        <v>0</v>
      </c>
      <c r="GH69" s="703">
        <v>0</v>
      </c>
      <c r="GI69" s="703">
        <v>0</v>
      </c>
      <c r="GJ69" s="703">
        <v>0</v>
      </c>
      <c r="GK69" s="703">
        <v>0</v>
      </c>
      <c r="GL69" s="703">
        <v>0</v>
      </c>
      <c r="GM69" s="703">
        <v>0</v>
      </c>
      <c r="GN69" s="1905">
        <v>0</v>
      </c>
      <c r="GO69" s="1916"/>
      <c r="GP69" s="1868">
        <f>BH69*INDEX(Assumptions!G$565:G$570,MATCH($B69,Assumptions!$B$565:$B$570,0))</f>
        <v>0</v>
      </c>
      <c r="GQ69" s="656">
        <f>BI69*INDEX(Assumptions!H$565:H$570,MATCH($B69,Assumptions!$B$565:$B$570,0))</f>
        <v>0</v>
      </c>
      <c r="GR69" s="656">
        <f>BJ69*INDEX(Assumptions!I$565:I$570,MATCH($B69,Assumptions!$B$565:$B$570,0))</f>
        <v>0</v>
      </c>
      <c r="GS69" s="656">
        <f>BK69*INDEX(Assumptions!J$565:J$570,MATCH($B69,Assumptions!$B$565:$B$570,0))</f>
        <v>0</v>
      </c>
      <c r="GT69" s="656">
        <f>BL69*INDEX(Assumptions!K$565:K$570,MATCH($B69,Assumptions!$B$565:$B$570,0))</f>
        <v>0.30727664197648419</v>
      </c>
      <c r="GU69" s="656">
        <f>BM69*INDEX(Assumptions!L$565:L$570,MATCH($B69,Assumptions!$B$565:$B$570,0))</f>
        <v>0.61588167944686856</v>
      </c>
      <c r="GV69" s="656">
        <f>BN69*INDEX(Assumptions!M$565:M$570,MATCH($B69,Assumptions!$B$565:$B$570,0))</f>
        <v>0.92495343736612856</v>
      </c>
      <c r="GW69" s="656">
        <f>BO69*INDEX(Assumptions!N$565:N$570,MATCH($B69,Assumptions!$B$565:$B$570,0))</f>
        <v>1.2337325545365962</v>
      </c>
      <c r="GX69" s="656">
        <f>BP69*INDEX(Assumptions!O$565:O$570,MATCH($B69,Assumptions!$B$565:$B$570,0))</f>
        <v>1.5415575021585182</v>
      </c>
      <c r="GY69" s="656">
        <f>BQ69*INDEX(Assumptions!P$565:P$570,MATCH($B69,Assumptions!$B$565:$B$570,0))</f>
        <v>1.8417260212053621</v>
      </c>
      <c r="GZ69" s="656">
        <f>BR69*INDEX(Assumptions!Q$565:Q$570,MATCH($B69,Assumptions!$B$565:$B$570,0))</f>
        <v>2.0402460606359347</v>
      </c>
      <c r="HA69" s="656">
        <f>BS69*INDEX(Assumptions!R$565:R$570,MATCH($B69,Assumptions!$B$565:$B$570,0))</f>
        <v>2.5374251364358105</v>
      </c>
      <c r="HB69" s="656">
        <f>BT69*INDEX(Assumptions!S$565:S$570,MATCH($B69,Assumptions!$B$565:$B$570,0))</f>
        <v>2.8546032784902864</v>
      </c>
      <c r="HC69" s="656">
        <f>BU69*INDEX(Assumptions!T$565:T$570,MATCH($B69,Assumptions!$B$565:$B$570,0))</f>
        <v>3.1615576153578471</v>
      </c>
      <c r="HD69" s="1922">
        <f>BV69*INDEX(Assumptions!U$565:U$570,MATCH($B69,Assumptions!$B$565:$B$570,0))</f>
        <v>3.4664671911880238</v>
      </c>
      <c r="HE69" s="1933"/>
      <c r="HF69" s="1927"/>
      <c r="HG69" s="501"/>
      <c r="HH69" s="501"/>
      <c r="HI69" s="501"/>
      <c r="HJ69" s="501"/>
      <c r="HK69" s="501"/>
      <c r="HL69" s="501"/>
      <c r="HM69" s="501"/>
      <c r="HN69" s="501"/>
      <c r="HO69" s="501"/>
      <c r="HP69" s="501"/>
      <c r="HQ69" s="501"/>
      <c r="HR69" s="501"/>
      <c r="HS69" s="501"/>
      <c r="HT69" s="501"/>
      <c r="HU69" s="501"/>
      <c r="HV69" s="656"/>
      <c r="HW69" s="1922"/>
      <c r="HX69" s="1946"/>
      <c r="HY69" s="1943">
        <v>2025</v>
      </c>
      <c r="HZ69" s="695">
        <v>2030</v>
      </c>
      <c r="IA69" s="683"/>
      <c r="IB69" s="683"/>
      <c r="IC69" s="694"/>
      <c r="ID69" s="1376"/>
      <c r="IE69" s="1968"/>
      <c r="IF69" s="1963">
        <v>0</v>
      </c>
      <c r="IG69" s="538"/>
      <c r="IH69" s="538"/>
      <c r="II69" s="538"/>
      <c r="IJ69" s="538"/>
      <c r="IK69" s="1276"/>
      <c r="IL69" s="1280"/>
      <c r="IM69" s="1293" t="s">
        <v>812</v>
      </c>
    </row>
    <row r="70" spans="2:247" ht="13.5" customHeight="1" x14ac:dyDescent="0.3">
      <c r="B70" s="1703" t="s">
        <v>53</v>
      </c>
      <c r="C70" s="2113"/>
      <c r="D70" s="679" t="s">
        <v>813</v>
      </c>
      <c r="E70" s="71" t="s">
        <v>814</v>
      </c>
      <c r="F70" s="1800"/>
      <c r="G70" s="1797"/>
      <c r="H70" s="70"/>
      <c r="I70" s="13"/>
      <c r="J70" s="696"/>
      <c r="K70" s="71" t="s">
        <v>648</v>
      </c>
      <c r="L70" s="1176" t="s">
        <v>719</v>
      </c>
      <c r="M70" s="1827"/>
      <c r="N70" s="1817"/>
      <c r="O70" s="1177"/>
      <c r="P70" s="1177"/>
      <c r="Q70" s="1178">
        <v>1</v>
      </c>
      <c r="R70" s="1177"/>
      <c r="S70" s="1445" cm="1">
        <f t="array" ref="S70:X70">TRANSPOSE(_xlfn.XLOOKUP(B70,Assumptions!$C$134:$I$134,Assumptions!$C$135:$I$140))</f>
        <v>0.89766686718609423</v>
      </c>
      <c r="T70" s="1445">
        <v>2.0574367766823833E-2</v>
      </c>
      <c r="U70" s="1445">
        <v>0</v>
      </c>
      <c r="V70" s="1445">
        <v>6.4936780001525515E-2</v>
      </c>
      <c r="W70" s="1445">
        <v>0</v>
      </c>
      <c r="X70" s="1445">
        <v>1.6821985045556383E-2</v>
      </c>
      <c r="Y70" s="1179" cm="1">
        <f t="array" ref="Y70:AC70">TRANSPOSE(_xlfn.ANCHORARRAY(Assumptions!$D$698))</f>
        <v>0.46715240825721654</v>
      </c>
      <c r="Z70" s="1179">
        <v>0.10872006700422583</v>
      </c>
      <c r="AA70" s="1179">
        <v>9.7634938252443113E-2</v>
      </c>
      <c r="AB70" s="1179">
        <v>0.23591534859475621</v>
      </c>
      <c r="AC70" s="1179">
        <v>9.057723789135827E-2</v>
      </c>
      <c r="AD70" s="1177"/>
      <c r="AE70" s="1177"/>
      <c r="AF70" s="1177"/>
      <c r="AG70" s="1177"/>
      <c r="AH70" s="1177"/>
      <c r="AI70" s="1177"/>
      <c r="AJ70" s="1177"/>
      <c r="AK70" s="1417">
        <f t="shared" si="176"/>
        <v>0</v>
      </c>
      <c r="AL70" s="1177"/>
      <c r="AM70" s="1177"/>
      <c r="AN70" s="1177"/>
      <c r="AO70" s="1836">
        <f>Assumptions!E587</f>
        <v>0.76479758481750726</v>
      </c>
      <c r="AP70" s="1849"/>
      <c r="AQ70" s="1837">
        <f>AVERAGE(AR70:BA70)</f>
        <v>5.0585731959351614E-2</v>
      </c>
      <c r="AR70" s="663"/>
      <c r="AS70" s="663"/>
      <c r="AT70" s="663"/>
      <c r="AU70" s="663"/>
      <c r="AV70" s="659">
        <f>_xlfn.XLOOKUP($D70,TalTech!$B$4:$B$46,TalTech!BB$4:BB$46)</f>
        <v>5.0585731959351614E-2</v>
      </c>
      <c r="AW70" s="659">
        <f>_xlfn.XLOOKUP($D70,TalTech!$B$4:$B$46,TalTech!BC$4:BC$46)</f>
        <v>5.0585731959351614E-2</v>
      </c>
      <c r="AX70" s="659">
        <f>_xlfn.XLOOKUP($D70,TalTech!$B$4:$B$46,TalTech!BD$4:BD$46)</f>
        <v>5.0585731959351614E-2</v>
      </c>
      <c r="AY70" s="659">
        <f>_xlfn.XLOOKUP($D70,TalTech!$B$4:$B$46,TalTech!BE$4:BE$46)</f>
        <v>5.0585731959351614E-2</v>
      </c>
      <c r="AZ70" s="659">
        <f>_xlfn.XLOOKUP($D70,TalTech!$B$4:$B$46,TalTech!BF$4:BF$46)</f>
        <v>5.0585731959351614E-2</v>
      </c>
      <c r="BA70" s="659">
        <f>_xlfn.XLOOKUP($D70,TalTech!$B$4:$B$46,TalTech!BG$4:BG$46)</f>
        <v>5.0585731959351614E-2</v>
      </c>
      <c r="BB70" s="659">
        <f>_xlfn.XLOOKUP($D70,TalTech!$B$4:$B$46,TalTech!BH$4:BH$46)</f>
        <v>5.0585731959351614E-2</v>
      </c>
      <c r="BC70" s="659">
        <f>_xlfn.XLOOKUP($D70,TalTech!$B$4:$B$46,TalTech!BI$4:BI$46)</f>
        <v>5.0585731959351614E-2</v>
      </c>
      <c r="BD70" s="659">
        <f>_xlfn.XLOOKUP($D70,TalTech!$B$4:$B$46,TalTech!BJ$4:BJ$46)</f>
        <v>5.0585731959351614E-2</v>
      </c>
      <c r="BE70" s="659">
        <f>_xlfn.XLOOKUP($D70,TalTech!$B$4:$B$46,TalTech!BK$4:BK$46)</f>
        <v>5.0585731959351614E-2</v>
      </c>
      <c r="BF70" s="659">
        <f>_xlfn.XLOOKUP($D70,TalTech!$B$4:$B$46,TalTech!BL$4:BL$46)</f>
        <v>5.0585731959351614E-2</v>
      </c>
      <c r="BG70" s="501">
        <f t="shared" si="177"/>
        <v>5.0585731959351607E-2</v>
      </c>
      <c r="BH70" s="893">
        <f t="shared" si="111"/>
        <v>0</v>
      </c>
      <c r="BI70" s="658">
        <f t="shared" si="112"/>
        <v>0</v>
      </c>
      <c r="BJ70" s="658">
        <f t="shared" si="113"/>
        <v>0</v>
      </c>
      <c r="BK70" s="658">
        <f t="shared" si="114"/>
        <v>0</v>
      </c>
      <c r="BL70" s="658">
        <f t="shared" si="115"/>
        <v>5.0585731959351614E-2</v>
      </c>
      <c r="BM70" s="658">
        <f t="shared" si="116"/>
        <v>0.10117146391870323</v>
      </c>
      <c r="BN70" s="658">
        <f t="shared" si="117"/>
        <v>0.15175719587805483</v>
      </c>
      <c r="BO70" s="658">
        <f t="shared" si="118"/>
        <v>0.20234292783740646</v>
      </c>
      <c r="BP70" s="658">
        <f t="shared" si="119"/>
        <v>0.25292865979675805</v>
      </c>
      <c r="BQ70" s="658">
        <f t="shared" si="120"/>
        <v>0.30351439175610967</v>
      </c>
      <c r="BR70" s="658">
        <f t="shared" si="121"/>
        <v>0.35410012371546129</v>
      </c>
      <c r="BS70" s="658">
        <f t="shared" si="122"/>
        <v>0.40468585567481291</v>
      </c>
      <c r="BT70" s="658">
        <f t="shared" si="123"/>
        <v>0.45527158763416453</v>
      </c>
      <c r="BU70" s="658">
        <f t="shared" si="124"/>
        <v>0.5058573195935161</v>
      </c>
      <c r="BV70" s="1851">
        <f t="shared" si="125"/>
        <v>0.55644305155286766</v>
      </c>
      <c r="BW70" s="1661"/>
      <c r="BX70" s="1855">
        <v>0.15</v>
      </c>
      <c r="BY70" s="1192">
        <f t="shared" si="126"/>
        <v>494.2105022833091</v>
      </c>
      <c r="BZ70" s="684"/>
      <c r="CA70" s="684"/>
      <c r="CB70" s="684"/>
      <c r="CC70" s="684"/>
      <c r="CD70" s="675">
        <f>_xlfn.XLOOKUP($D70,TalTech!$B$4:$B$46,TalTech!BM$4:BM$46)</f>
        <v>0.15</v>
      </c>
      <c r="CE70" s="663"/>
      <c r="CF70" s="663"/>
      <c r="CG70" s="663"/>
      <c r="CH70" s="663"/>
      <c r="CI70" s="663"/>
      <c r="CJ70" s="663"/>
      <c r="CK70" s="663"/>
      <c r="CL70" s="663"/>
      <c r="CM70" s="663"/>
      <c r="CN70" s="663"/>
      <c r="CO70" s="493">
        <f t="shared" si="178"/>
        <v>0.15</v>
      </c>
      <c r="CP70" s="660">
        <f t="shared" si="127"/>
        <v>0.15</v>
      </c>
      <c r="CQ70" s="1193">
        <f>_xlfn.XLOOKUP($D70,TalTech!$B$4:$B$46,TalTech!$H$4:$H$46)</f>
        <v>1</v>
      </c>
      <c r="CR70" s="662">
        <f t="shared" si="128"/>
        <v>0</v>
      </c>
      <c r="CS70" s="685" t="str">
        <v>Vehicle owners</v>
      </c>
      <c r="CT70" s="1862">
        <f t="shared" si="218"/>
        <v>0.15</v>
      </c>
      <c r="CU70" s="1872"/>
      <c r="CV70" s="1865">
        <f>BH70*Assumptions!D$498</f>
        <v>0</v>
      </c>
      <c r="CW70" s="659">
        <f>BI70*Assumptions!E$498</f>
        <v>0</v>
      </c>
      <c r="CX70" s="659">
        <f>BJ70*Assumptions!F$498</f>
        <v>0</v>
      </c>
      <c r="CY70" s="659">
        <f>BK70*Assumptions!G$498</f>
        <v>0</v>
      </c>
      <c r="CZ70" s="659">
        <f>BL70*Assumptions!H$498</f>
        <v>5.2603738803870407E-3</v>
      </c>
      <c r="DA70" s="659">
        <f>BM70*Assumptions!I$498</f>
        <v>1.0698962172131917E-2</v>
      </c>
      <c r="DB70" s="659">
        <f>BN70*Assumptions!J$498</f>
        <v>1.6325151762408816E-2</v>
      </c>
      <c r="DC70" s="659">
        <f>BO70*Assumptions!K$498</f>
        <v>2.214857467989426E-2</v>
      </c>
      <c r="DD70" s="659">
        <f>BP70*Assumptions!L$498</f>
        <v>2.8179119834952845E-2</v>
      </c>
      <c r="DE70" s="659">
        <f>BQ70*Assumptions!M$498</f>
        <v>3.4426944996732781E-2</v>
      </c>
      <c r="DF70" s="659">
        <f>BR70*Assumptions!N$498</f>
        <v>4.0916128496723658E-2</v>
      </c>
      <c r="DG70" s="659">
        <f>BS70*Assumptions!O$498</f>
        <v>4.7645746983552562E-2</v>
      </c>
      <c r="DH70" s="659">
        <f>BT70*Assumptions!P$498</f>
        <v>5.4626330221598386E-2</v>
      </c>
      <c r="DI70" s="659">
        <f>BU70*Assumptions!Q$498</f>
        <v>6.1868823369614669E-2</v>
      </c>
      <c r="DJ70" s="659">
        <f>BV70*Assumptions!R$498</f>
        <v>6.9384602427604011E-2</v>
      </c>
      <c r="DK70" s="680">
        <f t="shared" si="222"/>
        <v>0</v>
      </c>
      <c r="DL70" s="680">
        <f t="shared" si="223"/>
        <v>0</v>
      </c>
      <c r="DM70" s="680">
        <f t="shared" si="224"/>
        <v>0</v>
      </c>
      <c r="DN70" s="680">
        <f t="shared" si="225"/>
        <v>0</v>
      </c>
      <c r="DO70" s="680">
        <f t="shared" si="226"/>
        <v>5.2603738803870407E-3</v>
      </c>
      <c r="DP70" s="680">
        <f t="shared" si="227"/>
        <v>1.0698962172131917E-2</v>
      </c>
      <c r="DQ70" s="680">
        <f t="shared" si="228"/>
        <v>1.6325151762408816E-2</v>
      </c>
      <c r="DR70" s="680">
        <f t="shared" si="229"/>
        <v>2.214857467989426E-2</v>
      </c>
      <c r="DS70" s="680">
        <f t="shared" si="230"/>
        <v>2.8179119834952845E-2</v>
      </c>
      <c r="DT70" s="680">
        <f t="shared" si="231"/>
        <v>3.4426944996732781E-2</v>
      </c>
      <c r="DU70" s="680">
        <f t="shared" si="220"/>
        <v>4.0916128496723658E-2</v>
      </c>
      <c r="DV70" s="680">
        <f t="shared" si="220"/>
        <v>4.7645746983552562E-2</v>
      </c>
      <c r="DW70" s="680">
        <f t="shared" si="220"/>
        <v>5.4626330221598386E-2</v>
      </c>
      <c r="DX70" s="680">
        <f t="shared" si="220"/>
        <v>6.1868823369614669E-2</v>
      </c>
      <c r="DY70" s="680">
        <f t="shared" si="220"/>
        <v>6.9384602427604011E-2</v>
      </c>
      <c r="DZ70" s="1163">
        <f>Assumptions!M$840</f>
        <v>2.2650602409638555E-2</v>
      </c>
      <c r="EA70" s="661">
        <f t="shared" si="130"/>
        <v>0.97734939759036144</v>
      </c>
      <c r="EB70" s="1861">
        <f t="shared" si="236"/>
        <v>1.1703912732650767E-2</v>
      </c>
      <c r="EC70" s="1881"/>
      <c r="ED70" s="1877">
        <v>0</v>
      </c>
      <c r="EE70" s="684"/>
      <c r="EF70" s="684"/>
      <c r="EG70" s="684"/>
      <c r="EH70" s="684"/>
      <c r="EI70" s="702">
        <v>58</v>
      </c>
      <c r="EJ70" s="702">
        <v>58</v>
      </c>
      <c r="EK70" s="702">
        <v>58</v>
      </c>
      <c r="EL70" s="702">
        <v>58</v>
      </c>
      <c r="EM70" s="702">
        <v>58</v>
      </c>
      <c r="EN70" s="702">
        <v>58</v>
      </c>
      <c r="EO70" s="702">
        <v>58</v>
      </c>
      <c r="EP70" s="702">
        <v>58</v>
      </c>
      <c r="EQ70" s="702">
        <v>58</v>
      </c>
      <c r="ER70" s="702">
        <v>58</v>
      </c>
      <c r="ES70" s="702">
        <v>58</v>
      </c>
      <c r="ET70" s="541">
        <f t="shared" si="133"/>
        <v>58</v>
      </c>
      <c r="EU70" s="1450" cm="1">
        <f t="array" ref="EU70">(BH70*SUMPRODUCT($S70:$X70,TRANSPOSE(Assumptions!D$281:D$286)))*0.001</f>
        <v>0</v>
      </c>
      <c r="EV70" s="1450" cm="1">
        <f t="array" ref="EV70">(BI70*SUMPRODUCT($S70:$X70,TRANSPOSE(Assumptions!E$281:E$286)))*0.001</f>
        <v>0</v>
      </c>
      <c r="EW70" s="1450" cm="1">
        <f t="array" ref="EW70">(BJ70*SUMPRODUCT($S70:$X70,TRANSPOSE(Assumptions!F$281:F$286)))*0.001</f>
        <v>0</v>
      </c>
      <c r="EX70" s="1450" cm="1">
        <f t="array" ref="EX70">(BK70*SUMPRODUCT($S70:$X70,TRANSPOSE(Assumptions!G$281:G$286)))*0.001</f>
        <v>0</v>
      </c>
      <c r="EY70" s="1450" cm="1">
        <f t="array" ref="EY70">(BL70*SUMPRODUCT($S70:$X70,TRANSPOSE(Assumptions!H$281:H$286)))*0.001</f>
        <v>2.1870799740880066E-3</v>
      </c>
      <c r="EZ70" s="1450" cm="1">
        <f t="array" ref="EZ70">(BM70*SUMPRODUCT($S70:$X70,TRANSPOSE(Assumptions!I$281:I$286)))*0.001</f>
        <v>4.3741599481760133E-3</v>
      </c>
      <c r="FA70" s="1450" cm="1">
        <f t="array" ref="FA70">(BN70*SUMPRODUCT($S70:$X70,TRANSPOSE(Assumptions!J$281:J$286)))*0.001</f>
        <v>6.5612399222640195E-3</v>
      </c>
      <c r="FB70" s="1450" cm="1">
        <f t="array" ref="FB70">(BO70*SUMPRODUCT($S70:$X70,TRANSPOSE(Assumptions!K$281:K$286)))*0.001</f>
        <v>8.7483198963520265E-3</v>
      </c>
      <c r="FC70" s="1450" cm="1">
        <f t="array" ref="FC70">(BP70*SUMPRODUCT($S70:$X70,TRANSPOSE(Assumptions!L$281:L$286)))*0.001</f>
        <v>1.0935399870440031E-2</v>
      </c>
      <c r="FD70" s="1450" cm="1">
        <f t="array" ref="FD70">(BQ70*SUMPRODUCT($S70:$X70,TRANSPOSE(Assumptions!M$281:M$286)))*0.001</f>
        <v>1.3122479844528039E-2</v>
      </c>
      <c r="FE70" s="1450" cm="1">
        <f t="array" ref="FE70">(BR70*SUMPRODUCT($S70:$X70,TRANSPOSE(Assumptions!N$281:N$286)))*0.001</f>
        <v>1.5309559818616045E-2</v>
      </c>
      <c r="FF70" s="1450" cm="1">
        <f t="array" ref="FF70">(BS70*SUMPRODUCT($S70:$X70,TRANSPOSE(Assumptions!O$281:O$286)))*0.001</f>
        <v>1.7496639792704053E-2</v>
      </c>
      <c r="FG70" s="1450" cm="1">
        <f t="array" ref="FG70">(BT70*SUMPRODUCT($S70:$X70,TRANSPOSE(Assumptions!P$281:P$286)))*0.001</f>
        <v>1.9683719766792059E-2</v>
      </c>
      <c r="FH70" s="1450" cm="1">
        <f t="array" ref="FH70">(BU70*SUMPRODUCT($S70:$X70,TRANSPOSE(Assumptions!Q$281:Q$286)))*0.001</f>
        <v>2.1870799740880062E-2</v>
      </c>
      <c r="FI70" s="1450" cm="1">
        <f t="array" ref="FI70">(BV70*SUMPRODUCT($S70:$X70,TRANSPOSE(Assumptions!R$281:R$286)))*0.001</f>
        <v>2.4057879714968068E-2</v>
      </c>
      <c r="FJ70" s="666">
        <f t="shared" si="207"/>
        <v>0</v>
      </c>
      <c r="FK70" s="666">
        <f t="shared" si="208"/>
        <v>0</v>
      </c>
      <c r="FL70" s="666">
        <f t="shared" ref="FL70:FS71" si="238">EG70-EW70</f>
        <v>0</v>
      </c>
      <c r="FM70" s="666">
        <f t="shared" si="238"/>
        <v>0</v>
      </c>
      <c r="FN70" s="666">
        <f t="shared" si="238"/>
        <v>57.997812920025915</v>
      </c>
      <c r="FO70" s="666">
        <f t="shared" si="238"/>
        <v>57.995625840051822</v>
      </c>
      <c r="FP70" s="666">
        <f t="shared" si="238"/>
        <v>57.993438760077737</v>
      </c>
      <c r="FQ70" s="666">
        <f t="shared" si="238"/>
        <v>57.991251680103645</v>
      </c>
      <c r="FR70" s="666">
        <f t="shared" si="238"/>
        <v>57.989064600129559</v>
      </c>
      <c r="FS70" s="666">
        <f t="shared" si="238"/>
        <v>57.986877520155474</v>
      </c>
      <c r="FT70" s="666">
        <f t="shared" si="144"/>
        <v>57.984690440181382</v>
      </c>
      <c r="FU70" s="666">
        <f t="shared" si="145"/>
        <v>57.982503360207296</v>
      </c>
      <c r="FV70" s="666">
        <f t="shared" si="146"/>
        <v>57.980316280233211</v>
      </c>
      <c r="FW70" s="666">
        <f t="shared" si="147"/>
        <v>57.978129200259119</v>
      </c>
      <c r="FX70" s="1883">
        <f t="shared" si="148"/>
        <v>57.975942120285033</v>
      </c>
      <c r="FY70" s="1895"/>
      <c r="FZ70" s="684"/>
      <c r="GA70" s="684"/>
      <c r="GB70" s="684"/>
      <c r="GC70" s="684"/>
      <c r="GD70" s="491">
        <v>-285</v>
      </c>
      <c r="GE70" s="491">
        <v>-570</v>
      </c>
      <c r="GF70" s="491">
        <v>-855</v>
      </c>
      <c r="GG70" s="491">
        <v>-1140</v>
      </c>
      <c r="GH70" s="491">
        <v>-1425</v>
      </c>
      <c r="GI70" s="491">
        <v>-1710</v>
      </c>
      <c r="GJ70" s="491"/>
      <c r="GK70" s="491"/>
      <c r="GL70" s="491"/>
      <c r="GM70" s="491"/>
      <c r="GN70" s="1900"/>
      <c r="GO70" s="1912"/>
      <c r="GP70" s="1868">
        <f>BH70*INDEX(Assumptions!G$565:G$570,MATCH($B70,Assumptions!$B$565:$B$570,0))</f>
        <v>0</v>
      </c>
      <c r="GQ70" s="656">
        <f>BI70*INDEX(Assumptions!H$565:H$570,MATCH($B70,Assumptions!$B$565:$B$570,0))</f>
        <v>0</v>
      </c>
      <c r="GR70" s="656">
        <f>BJ70*INDEX(Assumptions!I$565:I$570,MATCH($B70,Assumptions!$B$565:$B$570,0))</f>
        <v>0</v>
      </c>
      <c r="GS70" s="656">
        <f>BK70*INDEX(Assumptions!J$565:J$570,MATCH($B70,Assumptions!$B$565:$B$570,0))</f>
        <v>0</v>
      </c>
      <c r="GT70" s="656">
        <f>BL70*INDEX(Assumptions!K$565:K$570,MATCH($B70,Assumptions!$B$565:$B$570,0))</f>
        <v>1.4024493487506428E-2</v>
      </c>
      <c r="GU70" s="656">
        <f>BM70*INDEX(Assumptions!L$565:L$570,MATCH($B70,Assumptions!$B$565:$B$570,0))</f>
        <v>2.8109616620771816E-2</v>
      </c>
      <c r="GV70" s="656">
        <f>BN70*INDEX(Assumptions!M$565:M$570,MATCH($B70,Assumptions!$B$565:$B$570,0))</f>
        <v>4.2216041463967506E-2</v>
      </c>
      <c r="GW70" s="656">
        <f>BO70*INDEX(Assumptions!N$565:N$570,MATCH($B70,Assumptions!$B$565:$B$570,0))</f>
        <v>5.6309109814299908E-2</v>
      </c>
      <c r="GX70" s="656">
        <f>BP70*INDEX(Assumptions!O$565:O$570,MATCH($B70,Assumptions!$B$565:$B$570,0))</f>
        <v>7.0358628663005754E-2</v>
      </c>
      <c r="GY70" s="656">
        <f>BQ70*INDEX(Assumptions!P$565:P$570,MATCH($B70,Assumptions!$B$565:$B$570,0))</f>
        <v>8.4058698454998207E-2</v>
      </c>
      <c r="GZ70" s="656">
        <f>BR70*INDEX(Assumptions!Q$565:Q$570,MATCH($B70,Assumptions!$B$565:$B$570,0))</f>
        <v>9.3119403434801573E-2</v>
      </c>
      <c r="HA70" s="656">
        <f>BS70*INDEX(Assumptions!R$565:R$570,MATCH($B70,Assumptions!$B$565:$B$570,0))</f>
        <v>0.11581128351338379</v>
      </c>
      <c r="HB70" s="656">
        <f>BT70*INDEX(Assumptions!S$565:S$570,MATCH($B70,Assumptions!$B$565:$B$570,0))</f>
        <v>0.13028769395255677</v>
      </c>
      <c r="HC70" s="656">
        <f>BU70*INDEX(Assumptions!T$565:T$570,MATCH($B70,Assumptions!$B$565:$B$570,0))</f>
        <v>0.1442974770283898</v>
      </c>
      <c r="HD70" s="1922">
        <f>BV70*INDEX(Assumptions!U$565:U$570,MATCH($B70,Assumptions!$B$565:$B$570,0))</f>
        <v>0.15821393463155484</v>
      </c>
      <c r="HE70" s="1933"/>
      <c r="HF70" s="1927"/>
      <c r="HG70" s="501"/>
      <c r="HH70" s="501"/>
      <c r="HI70" s="501"/>
      <c r="HJ70" s="501"/>
      <c r="HK70" s="501"/>
      <c r="HL70" s="501"/>
      <c r="HM70" s="501"/>
      <c r="HN70" s="501"/>
      <c r="HO70" s="501"/>
      <c r="HP70" s="501"/>
      <c r="HQ70" s="501"/>
      <c r="HR70" s="501"/>
      <c r="HS70" s="501"/>
      <c r="HT70" s="501"/>
      <c r="HU70" s="501"/>
      <c r="HV70" s="656"/>
      <c r="HW70" s="1922"/>
      <c r="HX70" s="1946"/>
      <c r="HY70" s="1943">
        <v>2023</v>
      </c>
      <c r="HZ70" s="695">
        <v>2030</v>
      </c>
      <c r="IA70" s="683"/>
      <c r="IB70" s="683"/>
      <c r="IC70" s="694"/>
      <c r="ID70" s="1376"/>
      <c r="IE70" s="1968"/>
      <c r="IF70" s="1963">
        <v>0</v>
      </c>
      <c r="IG70" s="538">
        <v>0.4</v>
      </c>
      <c r="IH70" s="538">
        <v>0.4</v>
      </c>
      <c r="II70" s="538">
        <v>0.4</v>
      </c>
      <c r="IJ70" s="538">
        <v>1</v>
      </c>
      <c r="IK70" s="1276">
        <v>1</v>
      </c>
      <c r="IL70" s="1280">
        <v>1</v>
      </c>
      <c r="IM70" s="1292" t="s">
        <v>814</v>
      </c>
    </row>
    <row r="71" spans="2:247" ht="13.5" customHeight="1" x14ac:dyDescent="0.3">
      <c r="B71" s="1703" t="s">
        <v>53</v>
      </c>
      <c r="C71" s="2113"/>
      <c r="D71" s="679" t="s">
        <v>815</v>
      </c>
      <c r="E71" s="71" t="s">
        <v>816</v>
      </c>
      <c r="F71" s="1800"/>
      <c r="G71" s="1797"/>
      <c r="H71" s="70"/>
      <c r="I71" s="13"/>
      <c r="J71" s="696"/>
      <c r="K71" s="71" t="s">
        <v>648</v>
      </c>
      <c r="L71" s="1176" t="s">
        <v>719</v>
      </c>
      <c r="M71" s="1827"/>
      <c r="N71" s="1817"/>
      <c r="O71" s="1177"/>
      <c r="P71" s="1177"/>
      <c r="Q71" s="1178">
        <v>1</v>
      </c>
      <c r="R71" s="1177"/>
      <c r="S71" s="1445" cm="1">
        <f t="array" ref="S71:X71">TRANSPOSE(_xlfn.XLOOKUP(B71,Assumptions!$C$134:$I$134,Assumptions!$C$135:$I$140))</f>
        <v>0.89766686718609423</v>
      </c>
      <c r="T71" s="1445">
        <v>2.0574367766823833E-2</v>
      </c>
      <c r="U71" s="1445">
        <v>0</v>
      </c>
      <c r="V71" s="1445">
        <v>6.4936780001525515E-2</v>
      </c>
      <c r="W71" s="1445">
        <v>0</v>
      </c>
      <c r="X71" s="1445">
        <v>1.6821985045556383E-2</v>
      </c>
      <c r="Y71" s="1179" cm="1">
        <f t="array" ref="Y71:AC71">TRANSPOSE(_xlfn.ANCHORARRAY(Assumptions!$D$698))</f>
        <v>0.46715240825721654</v>
      </c>
      <c r="Z71" s="1179">
        <v>0.10872006700422583</v>
      </c>
      <c r="AA71" s="1179">
        <v>9.7634938252443113E-2</v>
      </c>
      <c r="AB71" s="1179">
        <v>0.23591534859475621</v>
      </c>
      <c r="AC71" s="1179">
        <v>9.057723789135827E-2</v>
      </c>
      <c r="AD71" s="1177"/>
      <c r="AE71" s="1177"/>
      <c r="AF71" s="1177"/>
      <c r="AG71" s="1177"/>
      <c r="AH71" s="1177"/>
      <c r="AI71" s="1177"/>
      <c r="AJ71" s="1177"/>
      <c r="AK71" s="1417">
        <f t="shared" si="176"/>
        <v>0</v>
      </c>
      <c r="AL71" s="1177"/>
      <c r="AM71" s="1177"/>
      <c r="AN71" s="1177"/>
      <c r="AO71" s="1836">
        <f>Assumptions!E587</f>
        <v>0.76479758481750726</v>
      </c>
      <c r="AP71" s="1849"/>
      <c r="AQ71" s="1837">
        <f>AVERAGE(AR71:BA71)</f>
        <v>0.2529286597967581</v>
      </c>
      <c r="AR71" s="663"/>
      <c r="AS71" s="663"/>
      <c r="AT71" s="663"/>
      <c r="AU71" s="663"/>
      <c r="AV71" s="659">
        <f>_xlfn.XLOOKUP($D71,TalTech!$B$4:$B$46,TalTech!BB$4:BB$46)</f>
        <v>0.2529286597967581</v>
      </c>
      <c r="AW71" s="659">
        <f>_xlfn.XLOOKUP($D71,TalTech!$B$4:$B$46,TalTech!BC$4:BC$46)</f>
        <v>0.2529286597967581</v>
      </c>
      <c r="AX71" s="659">
        <f>_xlfn.XLOOKUP($D71,TalTech!$B$4:$B$46,TalTech!BD$4:BD$46)</f>
        <v>0.2529286597967581</v>
      </c>
      <c r="AY71" s="659">
        <f>_xlfn.XLOOKUP($D71,TalTech!$B$4:$B$46,TalTech!BE$4:BE$46)</f>
        <v>0.2529286597967581</v>
      </c>
      <c r="AZ71" s="659">
        <f>_xlfn.XLOOKUP($D71,TalTech!$B$4:$B$46,TalTech!BF$4:BF$46)</f>
        <v>0.2529286597967581</v>
      </c>
      <c r="BA71" s="659">
        <f>_xlfn.XLOOKUP($D71,TalTech!$B$4:$B$46,TalTech!BG$4:BG$46)</f>
        <v>0.2529286597967581</v>
      </c>
      <c r="BB71" s="659">
        <f>_xlfn.XLOOKUP($D71,TalTech!$B$4:$B$46,TalTech!BH$4:BH$46)</f>
        <v>0.2529286597967581</v>
      </c>
      <c r="BC71" s="659">
        <f>_xlfn.XLOOKUP($D71,TalTech!$B$4:$B$46,TalTech!BI$4:BI$46)</f>
        <v>0.2529286597967581</v>
      </c>
      <c r="BD71" s="659">
        <f>_xlfn.XLOOKUP($D71,TalTech!$B$4:$B$46,TalTech!BJ$4:BJ$46)</f>
        <v>0.2529286597967581</v>
      </c>
      <c r="BE71" s="659">
        <f>_xlfn.XLOOKUP($D71,TalTech!$B$4:$B$46,TalTech!BK$4:BK$46)</f>
        <v>0.2529286597967581</v>
      </c>
      <c r="BF71" s="659">
        <f>_xlfn.XLOOKUP($D71,TalTech!$B$4:$B$46,TalTech!BL$4:BL$46)</f>
        <v>0.2529286597967581</v>
      </c>
      <c r="BG71" s="501">
        <f t="shared" si="177"/>
        <v>0.25292865979675805</v>
      </c>
      <c r="BH71" s="893">
        <f t="shared" si="111"/>
        <v>0</v>
      </c>
      <c r="BI71" s="658">
        <f t="shared" si="112"/>
        <v>0</v>
      </c>
      <c r="BJ71" s="658">
        <f t="shared" si="113"/>
        <v>0</v>
      </c>
      <c r="BK71" s="658">
        <f t="shared" si="114"/>
        <v>0</v>
      </c>
      <c r="BL71" s="658">
        <f t="shared" si="115"/>
        <v>0.2529286597967581</v>
      </c>
      <c r="BM71" s="658">
        <f t="shared" si="116"/>
        <v>0.50585731959351621</v>
      </c>
      <c r="BN71" s="658">
        <f t="shared" si="117"/>
        <v>0.75878597939027426</v>
      </c>
      <c r="BO71" s="658">
        <f t="shared" si="118"/>
        <v>1.0117146391870324</v>
      </c>
      <c r="BP71" s="658">
        <f t="shared" si="119"/>
        <v>1.2646432989837906</v>
      </c>
      <c r="BQ71" s="658">
        <f t="shared" si="120"/>
        <v>1.5175719587805487</v>
      </c>
      <c r="BR71" s="658">
        <f t="shared" si="121"/>
        <v>1.7705006185773069</v>
      </c>
      <c r="BS71" s="658">
        <f t="shared" si="122"/>
        <v>2.0234292783740648</v>
      </c>
      <c r="BT71" s="658">
        <f t="shared" si="123"/>
        <v>2.2763579381708228</v>
      </c>
      <c r="BU71" s="658">
        <f t="shared" si="124"/>
        <v>2.5292865979675807</v>
      </c>
      <c r="BV71" s="1851">
        <f t="shared" si="125"/>
        <v>2.7822152577643386</v>
      </c>
      <c r="BW71" s="1661"/>
      <c r="BX71" s="1855">
        <v>0.15</v>
      </c>
      <c r="BY71" s="1192">
        <f t="shared" si="126"/>
        <v>98.842100456661782</v>
      </c>
      <c r="BZ71" s="684"/>
      <c r="CA71" s="684"/>
      <c r="CB71" s="684"/>
      <c r="CC71" s="684"/>
      <c r="CD71" s="675">
        <f>_xlfn.XLOOKUP($D71,TalTech!$B$4:$B$46,TalTech!BM$4:BM$46)</f>
        <v>0.15</v>
      </c>
      <c r="CE71" s="663"/>
      <c r="CF71" s="663"/>
      <c r="CG71" s="663"/>
      <c r="CH71" s="663"/>
      <c r="CI71" s="663"/>
      <c r="CJ71" s="663"/>
      <c r="CK71" s="663"/>
      <c r="CL71" s="663"/>
      <c r="CM71" s="663"/>
      <c r="CN71" s="663"/>
      <c r="CO71" s="493">
        <f t="shared" si="178"/>
        <v>0.15</v>
      </c>
      <c r="CP71" s="660">
        <f t="shared" si="127"/>
        <v>0.15</v>
      </c>
      <c r="CQ71" s="1193">
        <f>_xlfn.XLOOKUP($D71,TalTech!$B$4:$B$46,TalTech!$H$4:$H$46)</f>
        <v>1</v>
      </c>
      <c r="CR71" s="662">
        <f t="shared" si="128"/>
        <v>0</v>
      </c>
      <c r="CS71" s="685" t="str">
        <v>Vehicle owners</v>
      </c>
      <c r="CT71" s="1862">
        <f t="shared" si="218"/>
        <v>0.15</v>
      </c>
      <c r="CU71" s="1872"/>
      <c r="CV71" s="1865">
        <f>BH71*Assumptions!D$498</f>
        <v>0</v>
      </c>
      <c r="CW71" s="659">
        <f>BI71*Assumptions!E$498</f>
        <v>0</v>
      </c>
      <c r="CX71" s="659">
        <f>BJ71*Assumptions!F$498</f>
        <v>0</v>
      </c>
      <c r="CY71" s="659">
        <f>BK71*Assumptions!G$498</f>
        <v>0</v>
      </c>
      <c r="CZ71" s="659">
        <f>BL71*Assumptions!H$498</f>
        <v>2.6301869401935206E-2</v>
      </c>
      <c r="DA71" s="659">
        <f>BM71*Assumptions!I$498</f>
        <v>5.3494810860659596E-2</v>
      </c>
      <c r="DB71" s="659">
        <f>BN71*Assumptions!J$498</f>
        <v>8.1625758812044091E-2</v>
      </c>
      <c r="DC71" s="659">
        <f>BO71*Assumptions!K$498</f>
        <v>0.11074287339947131</v>
      </c>
      <c r="DD71" s="659">
        <f>BP71*Assumptions!L$498</f>
        <v>0.14089559917476427</v>
      </c>
      <c r="DE71" s="659">
        <f>BQ71*Assumptions!M$498</f>
        <v>0.17213472498366394</v>
      </c>
      <c r="DF71" s="659">
        <f>BR71*Assumptions!N$498</f>
        <v>0.20458064248361835</v>
      </c>
      <c r="DG71" s="659">
        <f>BS71*Assumptions!O$498</f>
        <v>0.23822873491776286</v>
      </c>
      <c r="DH71" s="659">
        <f>BT71*Assumptions!P$498</f>
        <v>0.27313165110799192</v>
      </c>
      <c r="DI71" s="659">
        <f>BU71*Assumptions!Q$498</f>
        <v>0.30934411684807339</v>
      </c>
      <c r="DJ71" s="659">
        <f>BV71*Assumptions!R$498</f>
        <v>0.34692301213802007</v>
      </c>
      <c r="DK71" s="680">
        <f t="shared" si="222"/>
        <v>0</v>
      </c>
      <c r="DL71" s="680">
        <f t="shared" si="223"/>
        <v>0</v>
      </c>
      <c r="DM71" s="680">
        <f t="shared" si="224"/>
        <v>0</v>
      </c>
      <c r="DN71" s="680">
        <f t="shared" si="225"/>
        <v>0</v>
      </c>
      <c r="DO71" s="680">
        <f t="shared" si="226"/>
        <v>2.6301869401935206E-2</v>
      </c>
      <c r="DP71" s="680">
        <f t="shared" si="227"/>
        <v>5.3494810860659596E-2</v>
      </c>
      <c r="DQ71" s="680">
        <f t="shared" si="228"/>
        <v>8.1625758812044091E-2</v>
      </c>
      <c r="DR71" s="680">
        <f t="shared" si="229"/>
        <v>0.11074287339947131</v>
      </c>
      <c r="DS71" s="680">
        <f t="shared" si="230"/>
        <v>0.14089559917476427</v>
      </c>
      <c r="DT71" s="680">
        <f t="shared" si="231"/>
        <v>0.17213472498366394</v>
      </c>
      <c r="DU71" s="680">
        <f t="shared" si="220"/>
        <v>0.20458064248361835</v>
      </c>
      <c r="DV71" s="680">
        <f t="shared" si="220"/>
        <v>0.23822873491776286</v>
      </c>
      <c r="DW71" s="680">
        <f t="shared" si="220"/>
        <v>0.27313165110799192</v>
      </c>
      <c r="DX71" s="680">
        <f t="shared" si="220"/>
        <v>0.30934411684807339</v>
      </c>
      <c r="DY71" s="680">
        <f t="shared" si="220"/>
        <v>0.34692301213802007</v>
      </c>
      <c r="DZ71" s="1163">
        <f>Assumptions!M$840</f>
        <v>2.2650602409638555E-2</v>
      </c>
      <c r="EA71" s="661">
        <f t="shared" si="130"/>
        <v>0.97734939759036144</v>
      </c>
      <c r="EB71" s="1861">
        <f t="shared" si="236"/>
        <v>5.8519563663253837E-2</v>
      </c>
      <c r="EC71" s="1881"/>
      <c r="ED71" s="1877">
        <v>0</v>
      </c>
      <c r="EE71" s="684"/>
      <c r="EF71" s="684"/>
      <c r="EG71" s="684"/>
      <c r="EH71" s="684"/>
      <c r="EI71" s="702">
        <v>2</v>
      </c>
      <c r="EJ71" s="702">
        <v>2</v>
      </c>
      <c r="EK71" s="702">
        <v>2</v>
      </c>
      <c r="EL71" s="702">
        <v>2</v>
      </c>
      <c r="EM71" s="702">
        <v>2</v>
      </c>
      <c r="EN71" s="702">
        <v>2</v>
      </c>
      <c r="EO71" s="702">
        <v>2</v>
      </c>
      <c r="EP71" s="702">
        <v>2</v>
      </c>
      <c r="EQ71" s="702">
        <v>2</v>
      </c>
      <c r="ER71" s="702">
        <v>2</v>
      </c>
      <c r="ES71" s="702">
        <v>2</v>
      </c>
      <c r="ET71" s="541">
        <f t="shared" si="133"/>
        <v>2</v>
      </c>
      <c r="EU71" s="1450" cm="1">
        <f t="array" ref="EU71">(BH71*SUMPRODUCT($S71:$X71,TRANSPOSE(Assumptions!D$281:D$286)))*0.001</f>
        <v>0</v>
      </c>
      <c r="EV71" s="1450" cm="1">
        <f t="array" ref="EV71">(BI71*SUMPRODUCT($S71:$X71,TRANSPOSE(Assumptions!E$281:E$286)))*0.001</f>
        <v>0</v>
      </c>
      <c r="EW71" s="1450" cm="1">
        <f t="array" ref="EW71">(BJ71*SUMPRODUCT($S71:$X71,TRANSPOSE(Assumptions!F$281:F$286)))*0.001</f>
        <v>0</v>
      </c>
      <c r="EX71" s="1450" cm="1">
        <f t="array" ref="EX71">(BK71*SUMPRODUCT($S71:$X71,TRANSPOSE(Assumptions!G$281:G$286)))*0.001</f>
        <v>0</v>
      </c>
      <c r="EY71" s="1450" cm="1">
        <f t="array" ref="EY71">(BL71*SUMPRODUCT($S71:$X71,TRANSPOSE(Assumptions!H$281:H$286)))*0.001</f>
        <v>1.0935399870440033E-2</v>
      </c>
      <c r="EZ71" s="1450" cm="1">
        <f t="array" ref="EZ71">(BM71*SUMPRODUCT($S71:$X71,TRANSPOSE(Assumptions!I$281:I$286)))*0.001</f>
        <v>2.1870799740880065E-2</v>
      </c>
      <c r="FA71" s="1450" cm="1">
        <f t="array" ref="FA71">(BN71*SUMPRODUCT($S71:$X71,TRANSPOSE(Assumptions!J$281:J$286)))*0.001</f>
        <v>3.28061996113201E-2</v>
      </c>
      <c r="FB71" s="1450" cm="1">
        <f t="array" ref="FB71">(BO71*SUMPRODUCT($S71:$X71,TRANSPOSE(Assumptions!K$281:K$286)))*0.001</f>
        <v>4.3741599481760131E-2</v>
      </c>
      <c r="FC71" s="1450" cm="1">
        <f t="array" ref="FC71">(BP71*SUMPRODUCT($S71:$X71,TRANSPOSE(Assumptions!L$281:L$286)))*0.001</f>
        <v>5.4676999352200169E-2</v>
      </c>
      <c r="FD71" s="1450" cm="1">
        <f t="array" ref="FD71">(BQ71*SUMPRODUCT($S71:$X71,TRANSPOSE(Assumptions!M$281:M$286)))*0.001</f>
        <v>6.5612399222640214E-2</v>
      </c>
      <c r="FE71" s="1450" cm="1">
        <f t="array" ref="FE71">(BR71*SUMPRODUCT($S71:$X71,TRANSPOSE(Assumptions!N$281:N$286)))*0.001</f>
        <v>7.6547799093080252E-2</v>
      </c>
      <c r="FF71" s="1450" cm="1">
        <f t="array" ref="FF71">(BS71*SUMPRODUCT($S71:$X71,TRANSPOSE(Assumptions!O$281:O$286)))*0.001</f>
        <v>8.7483198963520262E-2</v>
      </c>
      <c r="FG71" s="1450" cm="1">
        <f t="array" ref="FG71">(BT71*SUMPRODUCT($S71:$X71,TRANSPOSE(Assumptions!P$281:P$286)))*0.001</f>
        <v>9.84185988339603E-2</v>
      </c>
      <c r="FH71" s="1450" cm="1">
        <f t="array" ref="FH71">(BU71*SUMPRODUCT($S71:$X71,TRANSPOSE(Assumptions!Q$281:Q$286)))*0.001</f>
        <v>0.10935399870440032</v>
      </c>
      <c r="FI71" s="1450" cm="1">
        <f t="array" ref="FI71">(BV71*SUMPRODUCT($S71:$X71,TRANSPOSE(Assumptions!R$281:R$286)))*0.001</f>
        <v>0.12028939857484035</v>
      </c>
      <c r="FJ71" s="666">
        <f t="shared" si="207"/>
        <v>0</v>
      </c>
      <c r="FK71" s="666">
        <f t="shared" si="208"/>
        <v>0</v>
      </c>
      <c r="FL71" s="666">
        <f t="shared" si="238"/>
        <v>0</v>
      </c>
      <c r="FM71" s="666">
        <f t="shared" si="238"/>
        <v>0</v>
      </c>
      <c r="FN71" s="666">
        <f t="shared" si="238"/>
        <v>1.98906460012956</v>
      </c>
      <c r="FO71" s="666">
        <f t="shared" si="238"/>
        <v>1.97812920025912</v>
      </c>
      <c r="FP71" s="666">
        <f t="shared" si="238"/>
        <v>1.96719380038868</v>
      </c>
      <c r="FQ71" s="666">
        <f t="shared" si="238"/>
        <v>1.95625840051824</v>
      </c>
      <c r="FR71" s="666">
        <f t="shared" si="238"/>
        <v>1.9453230006477997</v>
      </c>
      <c r="FS71" s="666">
        <f t="shared" si="238"/>
        <v>1.9343876007773597</v>
      </c>
      <c r="FT71" s="666">
        <f t="shared" si="144"/>
        <v>1.9234522009069197</v>
      </c>
      <c r="FU71" s="666">
        <f t="shared" si="145"/>
        <v>1.9125168010364797</v>
      </c>
      <c r="FV71" s="666">
        <f t="shared" si="146"/>
        <v>1.9015814011660397</v>
      </c>
      <c r="FW71" s="666">
        <f t="shared" si="147"/>
        <v>1.8906460012955997</v>
      </c>
      <c r="FX71" s="1883">
        <f t="shared" si="148"/>
        <v>1.8797106014251597</v>
      </c>
      <c r="FY71" s="1895"/>
      <c r="FZ71" s="684"/>
      <c r="GA71" s="684"/>
      <c r="GB71" s="684"/>
      <c r="GC71" s="684"/>
      <c r="GD71" s="491">
        <v>-285</v>
      </c>
      <c r="GE71" s="491">
        <v>-570</v>
      </c>
      <c r="GF71" s="491">
        <v>-855</v>
      </c>
      <c r="GG71" s="491">
        <v>-1140</v>
      </c>
      <c r="GH71" s="491">
        <v>-1425</v>
      </c>
      <c r="GI71" s="491">
        <v>-1710</v>
      </c>
      <c r="GJ71" s="491"/>
      <c r="GK71" s="491"/>
      <c r="GL71" s="491"/>
      <c r="GM71" s="491"/>
      <c r="GN71" s="1900"/>
      <c r="GO71" s="1912"/>
      <c r="GP71" s="1868">
        <f>BH71*INDEX(Assumptions!G$565:G$570,MATCH($B71,Assumptions!$B$565:$B$570,0))</f>
        <v>0</v>
      </c>
      <c r="GQ71" s="656">
        <f>BI71*INDEX(Assumptions!H$565:H$570,MATCH($B71,Assumptions!$B$565:$B$570,0))</f>
        <v>0</v>
      </c>
      <c r="GR71" s="656">
        <f>BJ71*INDEX(Assumptions!I$565:I$570,MATCH($B71,Assumptions!$B$565:$B$570,0))</f>
        <v>0</v>
      </c>
      <c r="GS71" s="656">
        <f>BK71*INDEX(Assumptions!J$565:J$570,MATCH($B71,Assumptions!$B$565:$B$570,0))</f>
        <v>0</v>
      </c>
      <c r="GT71" s="656">
        <f>BL71*INDEX(Assumptions!K$565:K$570,MATCH($B71,Assumptions!$B$565:$B$570,0))</f>
        <v>7.0122467437532157E-2</v>
      </c>
      <c r="GU71" s="656">
        <f>BM71*INDEX(Assumptions!L$565:L$570,MATCH($B71,Assumptions!$B$565:$B$570,0))</f>
        <v>0.14054808310385911</v>
      </c>
      <c r="GV71" s="656">
        <f>BN71*INDEX(Assumptions!M$565:M$570,MATCH($B71,Assumptions!$B$565:$B$570,0))</f>
        <v>0.21108020731983757</v>
      </c>
      <c r="GW71" s="656">
        <f>BO71*INDEX(Assumptions!N$565:N$570,MATCH($B71,Assumptions!$B$565:$B$570,0))</f>
        <v>0.28154554907149959</v>
      </c>
      <c r="GX71" s="656">
        <f>BP71*INDEX(Assumptions!O$565:O$570,MATCH($B71,Assumptions!$B$565:$B$570,0))</f>
        <v>0.35179314331502881</v>
      </c>
      <c r="GY71" s="656">
        <f>BQ71*INDEX(Assumptions!P$565:P$570,MATCH($B71,Assumptions!$B$565:$B$570,0))</f>
        <v>0.42029349227499113</v>
      </c>
      <c r="GZ71" s="656">
        <f>BR71*INDEX(Assumptions!Q$565:Q$570,MATCH($B71,Assumptions!$B$565:$B$570,0))</f>
        <v>0.46559701717400798</v>
      </c>
      <c r="HA71" s="656">
        <f>BS71*INDEX(Assumptions!R$565:R$570,MATCH($B71,Assumptions!$B$565:$B$570,0))</f>
        <v>0.57905641756691906</v>
      </c>
      <c r="HB71" s="656">
        <f>BT71*INDEX(Assumptions!S$565:S$570,MATCH($B71,Assumptions!$B$565:$B$570,0))</f>
        <v>0.65143846976278386</v>
      </c>
      <c r="HC71" s="656">
        <f>BU71*INDEX(Assumptions!T$565:T$570,MATCH($B71,Assumptions!$B$565:$B$570,0))</f>
        <v>0.7214873851419491</v>
      </c>
      <c r="HD71" s="1922">
        <f>BV71*INDEX(Assumptions!U$565:U$570,MATCH($B71,Assumptions!$B$565:$B$570,0))</f>
        <v>0.79106967315777421</v>
      </c>
      <c r="HE71" s="1933"/>
      <c r="HF71" s="1927"/>
      <c r="HG71" s="501"/>
      <c r="HH71" s="501"/>
      <c r="HI71" s="501"/>
      <c r="HJ71" s="501"/>
      <c r="HK71" s="501"/>
      <c r="HL71" s="501"/>
      <c r="HM71" s="501"/>
      <c r="HN71" s="501"/>
      <c r="HO71" s="501"/>
      <c r="HP71" s="501"/>
      <c r="HQ71" s="501"/>
      <c r="HR71" s="501"/>
      <c r="HS71" s="501"/>
      <c r="HT71" s="501"/>
      <c r="HU71" s="501"/>
      <c r="HV71" s="656"/>
      <c r="HW71" s="1922"/>
      <c r="HX71" s="1946"/>
      <c r="HY71" s="1943">
        <v>2021</v>
      </c>
      <c r="HZ71" s="695">
        <v>2030</v>
      </c>
      <c r="IA71" s="683"/>
      <c r="IB71" s="683"/>
      <c r="IC71" s="694"/>
      <c r="ID71" s="1376"/>
      <c r="IE71" s="1968"/>
      <c r="IF71" s="1963">
        <v>0</v>
      </c>
      <c r="IG71" s="538">
        <v>0.4</v>
      </c>
      <c r="IH71" s="538">
        <v>0.4</v>
      </c>
      <c r="II71" s="538">
        <v>0.4</v>
      </c>
      <c r="IJ71" s="538">
        <v>1</v>
      </c>
      <c r="IK71" s="1276">
        <v>1</v>
      </c>
      <c r="IL71" s="1280">
        <v>1</v>
      </c>
      <c r="IM71" s="1292" t="s">
        <v>816</v>
      </c>
    </row>
    <row r="72" spans="2:247" ht="13.5" customHeight="1" x14ac:dyDescent="0.3">
      <c r="B72" s="1703" t="s">
        <v>53</v>
      </c>
      <c r="C72" s="2113"/>
      <c r="D72" s="679" t="s">
        <v>817</v>
      </c>
      <c r="E72" s="1787" t="s">
        <v>818</v>
      </c>
      <c r="F72" s="1810"/>
      <c r="G72" s="1795" t="s">
        <v>819</v>
      </c>
      <c r="H72" s="1195" t="s">
        <v>820</v>
      </c>
      <c r="I72" s="13"/>
      <c r="J72" s="696"/>
      <c r="K72" s="71" t="s">
        <v>648</v>
      </c>
      <c r="L72" s="1154" t="s">
        <v>821</v>
      </c>
      <c r="M72" s="1832"/>
      <c r="N72" s="1817"/>
      <c r="O72" s="1177"/>
      <c r="P72" s="1177"/>
      <c r="Q72" s="1178">
        <v>1</v>
      </c>
      <c r="R72" s="1177"/>
      <c r="S72" s="1445" cm="1">
        <f t="array" ref="S72:X72">TRANSPOSE(_xlfn.XLOOKUP(B72,Assumptions!$C$134:$I$134,Assumptions!$C$135:$I$140))</f>
        <v>0.89766686718609423</v>
      </c>
      <c r="T72" s="1445">
        <v>2.0574367766823833E-2</v>
      </c>
      <c r="U72" s="1445">
        <v>0</v>
      </c>
      <c r="V72" s="1445">
        <v>6.4936780001525515E-2</v>
      </c>
      <c r="W72" s="1445">
        <v>0</v>
      </c>
      <c r="X72" s="1445">
        <v>1.6821985045556383E-2</v>
      </c>
      <c r="Y72" s="1187" cm="1">
        <f t="array" ref="Y72:AC72">_xlfn.XLOOKUP($Y$6:$AC$6,Assumptions!$H$708:$L$708,Assumptions!$H$715:$L$715)</f>
        <v>0.86820541512921667</v>
      </c>
      <c r="Z72" s="1187">
        <v>2.9698754222823431E-2</v>
      </c>
      <c r="AA72" s="1187">
        <v>1.6179522227809374E-2</v>
      </c>
      <c r="AB72" s="1187">
        <v>8.345166682011658E-2</v>
      </c>
      <c r="AC72" s="1187">
        <v>2.4646416000339952E-3</v>
      </c>
      <c r="AD72" s="1177"/>
      <c r="AE72" s="1177"/>
      <c r="AF72" s="1177"/>
      <c r="AG72" s="1177"/>
      <c r="AH72" s="1177"/>
      <c r="AI72" s="1177"/>
      <c r="AJ72" s="1177"/>
      <c r="AK72" s="1417">
        <f t="shared" si="176"/>
        <v>0</v>
      </c>
      <c r="AL72" s="1177"/>
      <c r="AM72" s="1177"/>
      <c r="AN72" s="1177"/>
      <c r="AO72" s="1834">
        <v>1</v>
      </c>
      <c r="AP72" s="1847"/>
      <c r="AQ72" s="1837">
        <f>AVERAGE(AR72:BA72)</f>
        <v>43.611111111111107</v>
      </c>
      <c r="AR72" s="663"/>
      <c r="AS72" s="663"/>
      <c r="AT72" s="663"/>
      <c r="AU72" s="663"/>
      <c r="AV72" s="656">
        <f>INDEX(Sources!U$27:U$42,MATCH($D72,Sources!$E$27:$E$42,0))</f>
        <v>43.6111111111111</v>
      </c>
      <c r="AW72" s="656">
        <f>INDEX(Sources!V$27:V$42,MATCH($D72,Sources!$E$27:$E$42,0))</f>
        <v>43.611111111111121</v>
      </c>
      <c r="AX72" s="656">
        <f>INDEX(Sources!W$27:W$42,MATCH($D72,Sources!$E$27:$E$42,0))</f>
        <v>43.611111111111079</v>
      </c>
      <c r="AY72" s="656">
        <f>INDEX(Sources!X$27:X$42,MATCH($D72,Sources!$E$27:$E$42,0))</f>
        <v>43.611111111111107</v>
      </c>
      <c r="AZ72" s="656">
        <f>INDEX(Sources!Y$27:Y$42,MATCH($D72,Sources!$E$27:$E$42,0))</f>
        <v>43.611111111111136</v>
      </c>
      <c r="BA72" s="656">
        <f>INDEX(Sources!Z$27:Z$42,MATCH($D72,Sources!$E$27:$E$42,0))</f>
        <v>43.611111111111079</v>
      </c>
      <c r="BB72" s="663"/>
      <c r="BC72" s="663"/>
      <c r="BD72" s="663"/>
      <c r="BE72" s="663"/>
      <c r="BF72" s="663"/>
      <c r="BG72" s="501">
        <f t="shared" si="177"/>
        <v>43.611111111111107</v>
      </c>
      <c r="BH72" s="893">
        <f t="shared" si="111"/>
        <v>0</v>
      </c>
      <c r="BI72" s="658">
        <f t="shared" si="112"/>
        <v>0</v>
      </c>
      <c r="BJ72" s="658">
        <f t="shared" si="113"/>
        <v>0</v>
      </c>
      <c r="BK72" s="658">
        <f t="shared" si="114"/>
        <v>0</v>
      </c>
      <c r="BL72" s="658">
        <f t="shared" si="115"/>
        <v>43.6111111111111</v>
      </c>
      <c r="BM72" s="658">
        <f t="shared" si="116"/>
        <v>87.222222222222229</v>
      </c>
      <c r="BN72" s="658">
        <f t="shared" si="117"/>
        <v>130.83333333333331</v>
      </c>
      <c r="BO72" s="658">
        <f t="shared" si="118"/>
        <v>174.44444444444443</v>
      </c>
      <c r="BP72" s="658">
        <f t="shared" si="119"/>
        <v>218.05555555555557</v>
      </c>
      <c r="BQ72" s="658">
        <f t="shared" si="120"/>
        <v>261.66666666666663</v>
      </c>
      <c r="BR72" s="658">
        <f t="shared" si="121"/>
        <v>261.66666666666663</v>
      </c>
      <c r="BS72" s="658">
        <f t="shared" si="122"/>
        <v>261.66666666666663</v>
      </c>
      <c r="BT72" s="658">
        <f t="shared" si="123"/>
        <v>261.66666666666663</v>
      </c>
      <c r="BU72" s="658">
        <f t="shared" si="124"/>
        <v>261.66666666666663</v>
      </c>
      <c r="BV72" s="1851">
        <f t="shared" si="125"/>
        <v>261.66666666666663</v>
      </c>
      <c r="BW72" s="1661"/>
      <c r="BX72" s="1855">
        <v>3.28</v>
      </c>
      <c r="BY72" s="1192">
        <f t="shared" si="126"/>
        <v>169.22292993630572</v>
      </c>
      <c r="BZ72" s="684"/>
      <c r="CA72" s="684"/>
      <c r="CB72" s="684"/>
      <c r="CC72" s="684"/>
      <c r="CD72" s="659">
        <f>INDEX(Sources!AZ$27:AZ$42,MATCH($D72,Sources!$E$27:$E$42,0))</f>
        <v>3.28</v>
      </c>
      <c r="CE72" s="659">
        <f>INDEX(Sources!BA$27:BA$42,MATCH($D72,Sources!$E$27:$E$42,0))</f>
        <v>4.92</v>
      </c>
      <c r="CF72" s="659">
        <f>INDEX(Sources!BB$27:BB$42,MATCH($D72,Sources!$E$27:$E$42,0))</f>
        <v>6.56</v>
      </c>
      <c r="CG72" s="659">
        <f>INDEX(Sources!BC$27:BC$42,MATCH($D72,Sources!$E$27:$E$42,0))</f>
        <v>8.1999999999999993</v>
      </c>
      <c r="CH72" s="659">
        <f>INDEX(Sources!BD$27:BD$42,MATCH($D72,Sources!$E$27:$E$42,0))</f>
        <v>9.8399999999999981</v>
      </c>
      <c r="CI72" s="659">
        <f>INDEX(Sources!BE$27:BE$42,MATCH($D72,Sources!$E$27:$E$42,0))</f>
        <v>11.479999999999999</v>
      </c>
      <c r="CJ72" s="663"/>
      <c r="CK72" s="663"/>
      <c r="CL72" s="663"/>
      <c r="CM72" s="663"/>
      <c r="CN72" s="663"/>
      <c r="CO72" s="493">
        <f t="shared" si="178"/>
        <v>7.379999999999999</v>
      </c>
      <c r="CP72" s="660">
        <f t="shared" si="127"/>
        <v>44.279999999999994</v>
      </c>
      <c r="CQ72" s="661">
        <f>INDEX(Sources!BJ$27:BJ$42,MATCH($D72,Sources!$E$27:$E$42,0))</f>
        <v>1</v>
      </c>
      <c r="CR72" s="662">
        <f t="shared" si="128"/>
        <v>0</v>
      </c>
      <c r="CS72" s="685" t="str">
        <v>100% government</v>
      </c>
      <c r="CT72" s="1862">
        <f t="shared" si="218"/>
        <v>7.379999999999999</v>
      </c>
      <c r="CU72" s="1872"/>
      <c r="CV72" s="1865">
        <f>BH72*Assumptions!D$498</f>
        <v>0</v>
      </c>
      <c r="CW72" s="659">
        <f>BI72*Assumptions!E$498</f>
        <v>0</v>
      </c>
      <c r="CX72" s="659">
        <f>BJ72*Assumptions!F$498</f>
        <v>0</v>
      </c>
      <c r="CY72" s="659">
        <f>BK72*Assumptions!G$498</f>
        <v>0</v>
      </c>
      <c r="CZ72" s="659">
        <f>BL72*Assumptions!H$498</f>
        <v>4.5350880751886695</v>
      </c>
      <c r="DA72" s="659">
        <f>BM72*Assumptions!I$498</f>
        <v>9.223818851476798</v>
      </c>
      <c r="DB72" s="659">
        <f>BN72*Assumptions!J$498</f>
        <v>14.074284977990615</v>
      </c>
      <c r="DC72" s="659">
        <f>BO72*Assumptions!K$498</f>
        <v>19.094790445926197</v>
      </c>
      <c r="DD72" s="659">
        <f>BP72*Assumptions!L$498</f>
        <v>24.293860710030845</v>
      </c>
      <c r="DE72" s="659">
        <f>BQ72*Assumptions!M$498</f>
        <v>29.680253014329779</v>
      </c>
      <c r="DF72" s="659">
        <f>BR72*Assumptions!N$498</f>
        <v>30.235479288467726</v>
      </c>
      <c r="DG72" s="659">
        <f>BS72*Assumptions!O$498</f>
        <v>30.80736235082983</v>
      </c>
      <c r="DH72" s="659">
        <f>BT72*Assumptions!P$498</f>
        <v>31.396401905062785</v>
      </c>
      <c r="DI72" s="659">
        <f>BU72*Assumptions!Q$498</f>
        <v>32.003112645922741</v>
      </c>
      <c r="DJ72" s="659">
        <f>BV72*Assumptions!R$498</f>
        <v>32.628024709008486</v>
      </c>
      <c r="DK72" s="680">
        <f t="shared" si="222"/>
        <v>0</v>
      </c>
      <c r="DL72" s="680">
        <f t="shared" si="223"/>
        <v>0</v>
      </c>
      <c r="DM72" s="680">
        <f t="shared" si="224"/>
        <v>0</v>
      </c>
      <c r="DN72" s="680">
        <f t="shared" si="225"/>
        <v>0</v>
      </c>
      <c r="DO72" s="680">
        <f t="shared" si="226"/>
        <v>4.5350880751886695</v>
      </c>
      <c r="DP72" s="680">
        <f t="shared" si="227"/>
        <v>9.223818851476798</v>
      </c>
      <c r="DQ72" s="680">
        <f t="shared" si="228"/>
        <v>14.074284977990615</v>
      </c>
      <c r="DR72" s="680">
        <f t="shared" si="229"/>
        <v>19.094790445926197</v>
      </c>
      <c r="DS72" s="680">
        <f t="shared" si="230"/>
        <v>24.293860710030845</v>
      </c>
      <c r="DT72" s="680">
        <f t="shared" si="231"/>
        <v>29.680253014329779</v>
      </c>
      <c r="DU72" s="680">
        <f t="shared" si="220"/>
        <v>30.235479288467726</v>
      </c>
      <c r="DV72" s="680">
        <f t="shared" si="220"/>
        <v>30.80736235082983</v>
      </c>
      <c r="DW72" s="680">
        <f t="shared" si="220"/>
        <v>31.396401905062785</v>
      </c>
      <c r="DX72" s="680">
        <f t="shared" si="220"/>
        <v>32.003112645922741</v>
      </c>
      <c r="DY72" s="680">
        <f t="shared" si="220"/>
        <v>32.628024709008486</v>
      </c>
      <c r="DZ72" s="678">
        <v>0</v>
      </c>
      <c r="EA72" s="661">
        <f t="shared" si="130"/>
        <v>1</v>
      </c>
      <c r="EB72" s="1861">
        <f t="shared" si="236"/>
        <v>10.090209607494291</v>
      </c>
      <c r="EC72" s="1881"/>
      <c r="ED72" s="1877">
        <v>0</v>
      </c>
      <c r="EE72" s="684"/>
      <c r="EF72" s="684"/>
      <c r="EG72" s="684"/>
      <c r="EH72" s="684"/>
      <c r="EI72" s="665">
        <f t="shared" ref="EI72:EI86" si="239">(CD72*0.32*$CR72)</f>
        <v>0</v>
      </c>
      <c r="EJ72" s="665">
        <f t="shared" ref="EJ72:EJ86" si="240">(CE72*0.32*$CR72)</f>
        <v>0</v>
      </c>
      <c r="EK72" s="665">
        <f t="shared" ref="EK72:EK86" si="241">(CF72*0.32*$CR72)</f>
        <v>0</v>
      </c>
      <c r="EL72" s="665">
        <f t="shared" ref="EL72:EL86" si="242">(CG72*0.32*$CR72)</f>
        <v>0</v>
      </c>
      <c r="EM72" s="665">
        <f t="shared" ref="EM72:EM86" si="243">(CH72*0.32*$CR72)</f>
        <v>0</v>
      </c>
      <c r="EN72" s="665">
        <f t="shared" ref="EN72:EN86" si="244">(CI72*0.32*$CR72)</f>
        <v>0</v>
      </c>
      <c r="EO72" s="665">
        <f t="shared" ref="EO72:EO86" si="245">(CJ72*0.32*$CR72)</f>
        <v>0</v>
      </c>
      <c r="EP72" s="665">
        <f t="shared" ref="EP72:EP86" si="246">(CK72*0.32*$CR72)</f>
        <v>0</v>
      </c>
      <c r="EQ72" s="665">
        <f t="shared" ref="EQ72:EQ86" si="247">(CL72*0.32*$CR72)</f>
        <v>0</v>
      </c>
      <c r="ER72" s="665">
        <f t="shared" ref="ER72:ER86" si="248">(CM72*0.32*$CR72)</f>
        <v>0</v>
      </c>
      <c r="ES72" s="665">
        <f t="shared" ref="ES72:ES86" si="249">(CN72*0.32*$CR72)</f>
        <v>0</v>
      </c>
      <c r="ET72" s="541">
        <f t="shared" si="133"/>
        <v>0</v>
      </c>
      <c r="EU72" s="1450" cm="1">
        <f t="array" ref="EU72">(BH72*SUMPRODUCT($S72:$X72,TRANSPOSE(Assumptions!D$281:D$286)))*0.001</f>
        <v>0</v>
      </c>
      <c r="EV72" s="1450" cm="1">
        <f t="array" ref="EV72">(BI72*SUMPRODUCT($S72:$X72,TRANSPOSE(Assumptions!E$281:E$286)))*0.001</f>
        <v>0</v>
      </c>
      <c r="EW72" s="1450" cm="1">
        <f t="array" ref="EW72">(BJ72*SUMPRODUCT($S72:$X72,TRANSPOSE(Assumptions!F$281:F$286)))*0.001</f>
        <v>0</v>
      </c>
      <c r="EX72" s="1450" cm="1">
        <f t="array" ref="EX72">(BK72*SUMPRODUCT($S72:$X72,TRANSPOSE(Assumptions!G$281:G$286)))*0.001</f>
        <v>0</v>
      </c>
      <c r="EY72" s="1450" cm="1">
        <f t="array" ref="EY72">(BL72*SUMPRODUCT($S72:$X72,TRANSPOSE(Assumptions!H$281:H$286)))*0.001</f>
        <v>1.8855314347429399</v>
      </c>
      <c r="EZ72" s="1450" cm="1">
        <f t="array" ref="EZ72">(BM72*SUMPRODUCT($S72:$X72,TRANSPOSE(Assumptions!I$281:I$286)))*0.001</f>
        <v>3.7710628694858812</v>
      </c>
      <c r="FA72" s="1450" cm="1">
        <f t="array" ref="FA72">(BN72*SUMPRODUCT($S72:$X72,TRANSPOSE(Assumptions!J$281:J$286)))*0.001</f>
        <v>5.65659430422882</v>
      </c>
      <c r="FB72" s="1450" cm="1">
        <f t="array" ref="FB72">(BO72*SUMPRODUCT($S72:$X72,TRANSPOSE(Assumptions!K$281:K$286)))*0.001</f>
        <v>7.5421257389717606</v>
      </c>
      <c r="FC72" s="1450" cm="1">
        <f t="array" ref="FC72">(BP72*SUMPRODUCT($S72:$X72,TRANSPOSE(Assumptions!L$281:L$286)))*0.001</f>
        <v>9.427657173714703</v>
      </c>
      <c r="FD72" s="1450" cm="1">
        <f t="array" ref="FD72">(BQ72*SUMPRODUCT($S72:$X72,TRANSPOSE(Assumptions!M$281:M$286)))*0.001</f>
        <v>11.31318860845764</v>
      </c>
      <c r="FE72" s="1450" cm="1">
        <f t="array" ref="FE72">(BR72*SUMPRODUCT($S72:$X72,TRANSPOSE(Assumptions!N$281:N$286)))*0.001</f>
        <v>11.31318860845764</v>
      </c>
      <c r="FF72" s="1450" cm="1">
        <f t="array" ref="FF72">(BS72*SUMPRODUCT($S72:$X72,TRANSPOSE(Assumptions!O$281:O$286)))*0.001</f>
        <v>11.31318860845764</v>
      </c>
      <c r="FG72" s="1450" cm="1">
        <f t="array" ref="FG72">(BT72*SUMPRODUCT($S72:$X72,TRANSPOSE(Assumptions!P$281:P$286)))*0.001</f>
        <v>11.31318860845764</v>
      </c>
      <c r="FH72" s="1450" cm="1">
        <f t="array" ref="FH72">(BU72*SUMPRODUCT($S72:$X72,TRANSPOSE(Assumptions!Q$281:Q$286)))*0.001</f>
        <v>11.31318860845764</v>
      </c>
      <c r="FI72" s="1450" cm="1">
        <f t="array" ref="FI72">(BV72*SUMPRODUCT($S72:$X72,TRANSPOSE(Assumptions!R$281:R$286)))*0.001</f>
        <v>11.31318860845764</v>
      </c>
      <c r="FJ72" s="666">
        <f t="shared" si="207"/>
        <v>0</v>
      </c>
      <c r="FK72" s="666">
        <f t="shared" si="208"/>
        <v>0</v>
      </c>
      <c r="FL72" s="666">
        <f t="shared" si="209"/>
        <v>0</v>
      </c>
      <c r="FM72" s="666">
        <f t="shared" si="210"/>
        <v>0</v>
      </c>
      <c r="FN72" s="666">
        <f t="shared" si="211"/>
        <v>-1.8855314347429399</v>
      </c>
      <c r="FO72" s="666">
        <f t="shared" si="212"/>
        <v>-3.7710628694858812</v>
      </c>
      <c r="FP72" s="666">
        <f t="shared" si="213"/>
        <v>-5.65659430422882</v>
      </c>
      <c r="FQ72" s="666">
        <f t="shared" si="214"/>
        <v>-7.5421257389717606</v>
      </c>
      <c r="FR72" s="666">
        <f t="shared" si="215"/>
        <v>-9.427657173714703</v>
      </c>
      <c r="FS72" s="666">
        <f t="shared" si="216"/>
        <v>-11.31318860845764</v>
      </c>
      <c r="FT72" s="666">
        <f t="shared" si="144"/>
        <v>-11.31318860845764</v>
      </c>
      <c r="FU72" s="666">
        <f t="shared" si="145"/>
        <v>-11.31318860845764</v>
      </c>
      <c r="FV72" s="666">
        <f t="shared" si="146"/>
        <v>-11.31318860845764</v>
      </c>
      <c r="FW72" s="666">
        <f t="shared" si="147"/>
        <v>-11.31318860845764</v>
      </c>
      <c r="FX72" s="1883">
        <f t="shared" si="148"/>
        <v>-11.31318860845764</v>
      </c>
      <c r="FY72" s="1895"/>
      <c r="FZ72" s="690"/>
      <c r="GA72" s="690"/>
      <c r="GB72" s="690"/>
      <c r="GC72" s="690"/>
      <c r="GD72" s="491">
        <f>CD72*(Admin!$H$14)</f>
        <v>132.34799999999998</v>
      </c>
      <c r="GE72" s="491">
        <f>CE72*(Admin!$H$14)</f>
        <v>198.52199999999999</v>
      </c>
      <c r="GF72" s="491">
        <f>CF72*(Admin!$H$14)</f>
        <v>264.69599999999997</v>
      </c>
      <c r="GG72" s="491">
        <f>CG72*(Admin!$H$14)</f>
        <v>330.87</v>
      </c>
      <c r="GH72" s="491">
        <f>CH72*(Admin!$H$14)</f>
        <v>397.04399999999993</v>
      </c>
      <c r="GI72" s="491">
        <f>CI72*(Admin!$H$14)</f>
        <v>463.21799999999996</v>
      </c>
      <c r="GJ72" s="491"/>
      <c r="GK72" s="491"/>
      <c r="GL72" s="491"/>
      <c r="GM72" s="491"/>
      <c r="GN72" s="1900"/>
      <c r="GO72" s="1912"/>
      <c r="GP72" s="1868">
        <f>BH72*INDEX(Assumptions!G$565:G$570,MATCH($B72,Assumptions!$B$565:$B$570,0))</f>
        <v>0</v>
      </c>
      <c r="GQ72" s="656">
        <f>BI72*INDEX(Assumptions!H$565:H$570,MATCH($B72,Assumptions!$B$565:$B$570,0))</f>
        <v>0</v>
      </c>
      <c r="GR72" s="656">
        <f>BJ72*INDEX(Assumptions!I$565:I$570,MATCH($B72,Assumptions!$B$565:$B$570,0))</f>
        <v>0</v>
      </c>
      <c r="GS72" s="656">
        <f>BK72*INDEX(Assumptions!J$565:J$570,MATCH($B72,Assumptions!$B$565:$B$570,0))</f>
        <v>0</v>
      </c>
      <c r="GT72" s="656">
        <f>BL72*INDEX(Assumptions!K$565:K$570,MATCH($B72,Assumptions!$B$565:$B$570,0))</f>
        <v>12.090835104494877</v>
      </c>
      <c r="GU72" s="656">
        <f>BM72*INDEX(Assumptions!L$565:L$570,MATCH($B72,Assumptions!$B$565:$B$570,0))</f>
        <v>24.233940406838158</v>
      </c>
      <c r="GV72" s="656">
        <f>BN72*INDEX(Assumptions!M$565:M$570,MATCH($B72,Assumptions!$B$565:$B$570,0))</f>
        <v>36.395410398247776</v>
      </c>
      <c r="GW72" s="656">
        <f>BO72*INDEX(Assumptions!N$565:N$570,MATCH($B72,Assumptions!$B$565:$B$570,0))</f>
        <v>48.545365453098142</v>
      </c>
      <c r="GX72" s="656">
        <f>BP72*INDEX(Assumptions!O$565:O$570,MATCH($B72,Assumptions!$B$565:$B$570,0))</f>
        <v>60.657775491187749</v>
      </c>
      <c r="GY72" s="656">
        <f>BQ72*INDEX(Assumptions!P$565:P$570,MATCH($B72,Assumptions!$B$565:$B$570,0))</f>
        <v>72.468917542244029</v>
      </c>
      <c r="GZ72" s="656">
        <f>BR72*INDEX(Assumptions!Q$565:Q$570,MATCH($B72,Assumptions!$B$565:$B$570,0))</f>
        <v>68.811735062687177</v>
      </c>
      <c r="HA72" s="656">
        <f>BS72*INDEX(Assumptions!R$565:R$570,MATCH($B72,Assumptions!$B$565:$B$570,0))</f>
        <v>74.882657978751539</v>
      </c>
      <c r="HB72" s="656">
        <f>BT72*INDEX(Assumptions!S$565:S$570,MATCH($B72,Assumptions!$B$565:$B$570,0))</f>
        <v>74.882657978751539</v>
      </c>
      <c r="HC72" s="656">
        <f>BU72*INDEX(Assumptions!T$565:T$570,MATCH($B72,Assumptions!$B$565:$B$570,0))</f>
        <v>74.641283935100802</v>
      </c>
      <c r="HD72" s="1922">
        <f>BV72*INDEX(Assumptions!U$565:U$570,MATCH($B72,Assumptions!$B$565:$B$570,0))</f>
        <v>74.399909891450037</v>
      </c>
      <c r="HE72" s="1933"/>
      <c r="HF72" s="1927"/>
      <c r="HG72" s="501"/>
      <c r="HH72" s="501"/>
      <c r="HI72" s="501"/>
      <c r="HJ72" s="501"/>
      <c r="HK72" s="501"/>
      <c r="HL72" s="501"/>
      <c r="HM72" s="501"/>
      <c r="HN72" s="501"/>
      <c r="HO72" s="501"/>
      <c r="HP72" s="501"/>
      <c r="HQ72" s="501"/>
      <c r="HR72" s="501"/>
      <c r="HS72" s="501"/>
      <c r="HT72" s="501"/>
      <c r="HU72" s="501"/>
      <c r="HV72" s="656"/>
      <c r="HW72" s="1922"/>
      <c r="HX72" s="1946"/>
      <c r="HY72" s="1943">
        <v>2021</v>
      </c>
      <c r="HZ72" s="695">
        <v>2029</v>
      </c>
      <c r="IA72" s="683"/>
      <c r="IB72" s="683"/>
      <c r="IC72" s="694"/>
      <c r="ID72" s="1376"/>
      <c r="IE72" s="1968"/>
      <c r="IF72" s="1963">
        <v>0</v>
      </c>
      <c r="IG72" s="538">
        <v>0.4</v>
      </c>
      <c r="IH72" s="538">
        <v>0.4</v>
      </c>
      <c r="II72" s="538">
        <v>0.4</v>
      </c>
      <c r="IJ72" s="1415">
        <v>2</v>
      </c>
      <c r="IK72" s="1276">
        <v>1</v>
      </c>
      <c r="IL72" s="1296">
        <v>2</v>
      </c>
      <c r="IM72" s="1294" t="s">
        <v>818</v>
      </c>
    </row>
    <row r="73" spans="2:247" ht="13.5" customHeight="1" x14ac:dyDescent="0.3">
      <c r="B73" s="1703" t="s">
        <v>53</v>
      </c>
      <c r="C73" s="2113"/>
      <c r="D73" s="679" t="s">
        <v>822</v>
      </c>
      <c r="E73" s="1787" t="s">
        <v>823</v>
      </c>
      <c r="F73" s="1810"/>
      <c r="G73" s="1795" t="s">
        <v>824</v>
      </c>
      <c r="H73" s="1195" t="s">
        <v>825</v>
      </c>
      <c r="I73" s="13"/>
      <c r="J73" s="696"/>
      <c r="K73" s="71" t="s">
        <v>648</v>
      </c>
      <c r="L73" s="1154" t="s">
        <v>821</v>
      </c>
      <c r="M73" s="1832"/>
      <c r="N73" s="1817"/>
      <c r="O73" s="1177"/>
      <c r="P73" s="1177"/>
      <c r="Q73" s="1178">
        <v>1</v>
      </c>
      <c r="R73" s="1177"/>
      <c r="S73" s="1445" cm="1">
        <f t="array" ref="S73:X73">TRANSPOSE(_xlfn.XLOOKUP(B73,Assumptions!$C$134:$I$134,Assumptions!$C$135:$I$140))</f>
        <v>0.89766686718609423</v>
      </c>
      <c r="T73" s="1445">
        <v>2.0574367766823833E-2</v>
      </c>
      <c r="U73" s="1445">
        <v>0</v>
      </c>
      <c r="V73" s="1445">
        <v>6.4936780001525515E-2</v>
      </c>
      <c r="W73" s="1445">
        <v>0</v>
      </c>
      <c r="X73" s="1445">
        <v>1.6821985045556383E-2</v>
      </c>
      <c r="Y73" s="1205">
        <v>0.5</v>
      </c>
      <c r="Z73" s="1205">
        <v>0.5</v>
      </c>
      <c r="AA73" s="1177"/>
      <c r="AB73" s="1177"/>
      <c r="AC73" s="1177"/>
      <c r="AD73" s="1177"/>
      <c r="AE73" s="1177"/>
      <c r="AF73" s="1177"/>
      <c r="AG73" s="1177"/>
      <c r="AH73" s="1177"/>
      <c r="AI73" s="1177"/>
      <c r="AJ73" s="1177"/>
      <c r="AK73" s="1417">
        <f t="shared" si="176"/>
        <v>0</v>
      </c>
      <c r="AL73" s="1177"/>
      <c r="AM73" s="1177"/>
      <c r="AN73" s="1177"/>
      <c r="AO73" s="1834">
        <v>0</v>
      </c>
      <c r="AP73" s="1847"/>
      <c r="AQ73" s="1837">
        <f t="shared" ref="AQ73:AQ85" si="250">AVERAGE(AR73:BA73)</f>
        <v>339.4444444444444</v>
      </c>
      <c r="AR73" s="663"/>
      <c r="AS73" s="663"/>
      <c r="AT73" s="663"/>
      <c r="AU73" s="663"/>
      <c r="AV73" s="663"/>
      <c r="AW73" s="663"/>
      <c r="AX73" s="656">
        <f>INDEX(Sources!AA$27:AA$42,MATCH($D73,Sources!$E$27:$E$42,0))</f>
        <v>339.4444444444444</v>
      </c>
      <c r="AY73" s="663"/>
      <c r="AZ73" s="663"/>
      <c r="BA73" s="663"/>
      <c r="BB73" s="663"/>
      <c r="BC73" s="663"/>
      <c r="BD73" s="663"/>
      <c r="BE73" s="663"/>
      <c r="BF73" s="663"/>
      <c r="BG73" s="501">
        <f t="shared" si="177"/>
        <v>339.4444444444444</v>
      </c>
      <c r="BH73" s="893">
        <f t="shared" si="111"/>
        <v>0</v>
      </c>
      <c r="BI73" s="658">
        <f t="shared" si="112"/>
        <v>0</v>
      </c>
      <c r="BJ73" s="658">
        <f t="shared" si="113"/>
        <v>0</v>
      </c>
      <c r="BK73" s="658">
        <f t="shared" si="114"/>
        <v>0</v>
      </c>
      <c r="BL73" s="658">
        <f t="shared" si="115"/>
        <v>0</v>
      </c>
      <c r="BM73" s="658">
        <f t="shared" si="116"/>
        <v>0</v>
      </c>
      <c r="BN73" s="658">
        <f t="shared" si="117"/>
        <v>339.4444444444444</v>
      </c>
      <c r="BO73" s="658">
        <f t="shared" si="118"/>
        <v>339.4444444444444</v>
      </c>
      <c r="BP73" s="658">
        <f t="shared" si="119"/>
        <v>339.4444444444444</v>
      </c>
      <c r="BQ73" s="658">
        <f t="shared" si="120"/>
        <v>339.4444444444444</v>
      </c>
      <c r="BR73" s="658">
        <f t="shared" si="121"/>
        <v>339.4444444444444</v>
      </c>
      <c r="BS73" s="658">
        <f t="shared" si="122"/>
        <v>339.4444444444444</v>
      </c>
      <c r="BT73" s="658">
        <f t="shared" si="123"/>
        <v>339.4444444444444</v>
      </c>
      <c r="BU73" s="658">
        <f t="shared" si="124"/>
        <v>339.4444444444444</v>
      </c>
      <c r="BV73" s="1851">
        <f t="shared" si="125"/>
        <v>339.4444444444444</v>
      </c>
      <c r="BW73" s="1661"/>
      <c r="BX73" s="1855">
        <v>420</v>
      </c>
      <c r="BY73" s="1192">
        <f t="shared" si="126"/>
        <v>3980.1505728314246</v>
      </c>
      <c r="BZ73" s="659">
        <f>INDEX(Sources!AZ$27:AZ$42,MATCH($D73,Sources!$E$27:$E$42,0))</f>
        <v>83</v>
      </c>
      <c r="CA73" s="659">
        <f>INDEX(Sources!BA$27:BA$42,MATCH($D73,Sources!$E$27:$E$42,0))</f>
        <v>141</v>
      </c>
      <c r="CB73" s="659">
        <f>INDEX(Sources!BB$27:BB$42,MATCH($D73,Sources!$E$27:$E$42,0))</f>
        <v>100</v>
      </c>
      <c r="CC73" s="659">
        <f>INDEX(Sources!BC$27:BC$42,MATCH($D73,Sources!$E$27:$E$42,0))</f>
        <v>420</v>
      </c>
      <c r="CD73" s="659">
        <f>INDEX(Sources!BD$27:BD$42,MATCH($D73,Sources!$E$27:$E$42,0))</f>
        <v>420</v>
      </c>
      <c r="CE73" s="659">
        <f>INDEX(Sources!BE$27:BE$42,MATCH($D73,Sources!$E$27:$E$42,0))</f>
        <v>187.04</v>
      </c>
      <c r="CF73" s="663"/>
      <c r="CG73" s="663"/>
      <c r="CH73" s="663"/>
      <c r="CI73" s="663"/>
      <c r="CJ73" s="663"/>
      <c r="CK73" s="663"/>
      <c r="CL73" s="663"/>
      <c r="CM73" s="663"/>
      <c r="CN73" s="663"/>
      <c r="CO73" s="493">
        <f t="shared" si="178"/>
        <v>342.34666666666664</v>
      </c>
      <c r="CP73" s="660">
        <f t="shared" si="127"/>
        <v>1351.04</v>
      </c>
      <c r="CQ73" s="661">
        <f>INDEX(Sources!BJ$27:BJ$42,MATCH($D73,Sources!$E$27:$E$42,0))</f>
        <v>1</v>
      </c>
      <c r="CR73" s="662">
        <f t="shared" si="128"/>
        <v>0</v>
      </c>
      <c r="CS73" s="685" t="str">
        <v>100% government</v>
      </c>
      <c r="CT73" s="1862">
        <f t="shared" si="218"/>
        <v>225.17333333333332</v>
      </c>
      <c r="CU73" s="1872"/>
      <c r="CV73" s="1865">
        <f>BH73*Assumptions!D$498</f>
        <v>0</v>
      </c>
      <c r="CW73" s="659">
        <f>BI73*Assumptions!E$498</f>
        <v>0</v>
      </c>
      <c r="CX73" s="659">
        <f>BJ73*Assumptions!F$498</f>
        <v>0</v>
      </c>
      <c r="CY73" s="659">
        <f>BK73*Assumptions!G$498</f>
        <v>0</v>
      </c>
      <c r="CZ73" s="659">
        <f>BL73*Assumptions!H$498</f>
        <v>0</v>
      </c>
      <c r="DA73" s="659">
        <f>BM73*Assumptions!I$498</f>
        <v>0</v>
      </c>
      <c r="DB73" s="659">
        <f>BN73*Assumptions!J$498</f>
        <v>36.515448499160364</v>
      </c>
      <c r="DC73" s="659">
        <f>BO73*Assumptions!K$498</f>
        <v>37.155786504652568</v>
      </c>
      <c r="DD73" s="659">
        <f>BP73*Assumptions!L$498</f>
        <v>37.817958965169026</v>
      </c>
      <c r="DE73" s="659">
        <f>BQ73*Assumptions!M$498</f>
        <v>38.502408899693194</v>
      </c>
      <c r="DF73" s="659">
        <f>BR73*Assumptions!N$498</f>
        <v>39.222670584402934</v>
      </c>
      <c r="DG73" s="659">
        <f>BS73*Assumptions!O$498</f>
        <v>39.964540119653982</v>
      </c>
      <c r="DH73" s="659">
        <f>BT73*Assumptions!P$498</f>
        <v>40.728665740962555</v>
      </c>
      <c r="DI73" s="659">
        <f>BU73*Assumptions!Q$498</f>
        <v>41.515715130910394</v>
      </c>
      <c r="DJ73" s="659">
        <f>BV73*Assumptions!R$498</f>
        <v>42.32637600255665</v>
      </c>
      <c r="DK73" s="680">
        <f t="shared" si="222"/>
        <v>0</v>
      </c>
      <c r="DL73" s="680">
        <f t="shared" si="223"/>
        <v>0</v>
      </c>
      <c r="DM73" s="680">
        <f t="shared" si="224"/>
        <v>0</v>
      </c>
      <c r="DN73" s="680">
        <f t="shared" si="225"/>
        <v>0</v>
      </c>
      <c r="DO73" s="680">
        <f t="shared" si="226"/>
        <v>0</v>
      </c>
      <c r="DP73" s="680">
        <f t="shared" si="227"/>
        <v>0</v>
      </c>
      <c r="DQ73" s="680">
        <f t="shared" si="228"/>
        <v>36.515448499160364</v>
      </c>
      <c r="DR73" s="680">
        <f t="shared" si="229"/>
        <v>37.155786504652568</v>
      </c>
      <c r="DS73" s="680">
        <f t="shared" si="230"/>
        <v>37.817958965169026</v>
      </c>
      <c r="DT73" s="680">
        <f t="shared" si="231"/>
        <v>38.502408899693194</v>
      </c>
      <c r="DU73" s="680">
        <f t="shared" si="220"/>
        <v>39.222670584402934</v>
      </c>
      <c r="DV73" s="680">
        <f t="shared" si="220"/>
        <v>39.964540119653982</v>
      </c>
      <c r="DW73" s="680">
        <f t="shared" si="220"/>
        <v>40.728665740962555</v>
      </c>
      <c r="DX73" s="680">
        <f t="shared" si="220"/>
        <v>41.515715130910394</v>
      </c>
      <c r="DY73" s="680">
        <f t="shared" si="220"/>
        <v>42.32637600255665</v>
      </c>
      <c r="DZ73" s="678">
        <v>0</v>
      </c>
      <c r="EA73" s="661">
        <f t="shared" si="130"/>
        <v>1</v>
      </c>
      <c r="EB73" s="1861">
        <f t="shared" si="236"/>
        <v>14.999160286867516</v>
      </c>
      <c r="EC73" s="1881"/>
      <c r="ED73" s="1877">
        <v>0</v>
      </c>
      <c r="EE73" s="684"/>
      <c r="EF73" s="684"/>
      <c r="EG73" s="684"/>
      <c r="EH73" s="684"/>
      <c r="EI73" s="665">
        <f t="shared" si="239"/>
        <v>0</v>
      </c>
      <c r="EJ73" s="665">
        <f t="shared" si="240"/>
        <v>0</v>
      </c>
      <c r="EK73" s="665">
        <f t="shared" si="241"/>
        <v>0</v>
      </c>
      <c r="EL73" s="665">
        <f t="shared" si="242"/>
        <v>0</v>
      </c>
      <c r="EM73" s="665">
        <f t="shared" si="243"/>
        <v>0</v>
      </c>
      <c r="EN73" s="665">
        <f t="shared" si="244"/>
        <v>0</v>
      </c>
      <c r="EO73" s="665">
        <f t="shared" si="245"/>
        <v>0</v>
      </c>
      <c r="EP73" s="665">
        <f t="shared" si="246"/>
        <v>0</v>
      </c>
      <c r="EQ73" s="665">
        <f t="shared" si="247"/>
        <v>0</v>
      </c>
      <c r="ER73" s="665">
        <f t="shared" si="248"/>
        <v>0</v>
      </c>
      <c r="ES73" s="665">
        <f t="shared" si="249"/>
        <v>0</v>
      </c>
      <c r="ET73" s="541">
        <f t="shared" si="133"/>
        <v>0</v>
      </c>
      <c r="EU73" s="1450" cm="1">
        <f t="array" ref="EU73">(BH73*SUMPRODUCT($S73:$X73,TRANSPOSE(Assumptions!D$281:D$286)))*0.001</f>
        <v>0</v>
      </c>
      <c r="EV73" s="1450" cm="1">
        <f t="array" ref="EV73">(BI73*SUMPRODUCT($S73:$X73,TRANSPOSE(Assumptions!E$281:E$286)))*0.001</f>
        <v>0</v>
      </c>
      <c r="EW73" s="1450" cm="1">
        <f t="array" ref="EW73">(BJ73*SUMPRODUCT($S73:$X73,TRANSPOSE(Assumptions!F$281:F$286)))*0.001</f>
        <v>0</v>
      </c>
      <c r="EX73" s="1450" cm="1">
        <f t="array" ref="EX73">(BK73*SUMPRODUCT($S73:$X73,TRANSPOSE(Assumptions!G$281:G$286)))*0.001</f>
        <v>0</v>
      </c>
      <c r="EY73" s="1450" cm="1">
        <f t="array" ref="EY73">(BL73*SUMPRODUCT($S73:$X73,TRANSPOSE(Assumptions!H$281:H$286)))*0.001</f>
        <v>0</v>
      </c>
      <c r="EZ73" s="1450" cm="1">
        <f t="array" ref="EZ73">(BM73*SUMPRODUCT($S73:$X73,TRANSPOSE(Assumptions!I$281:I$286)))*0.001</f>
        <v>0</v>
      </c>
      <c r="FA73" s="1450" cm="1">
        <f t="array" ref="FA73">(BN73*SUMPRODUCT($S73:$X73,TRANSPOSE(Assumptions!J$281:J$286)))*0.001</f>
        <v>14.675919829655241</v>
      </c>
      <c r="FB73" s="1450" cm="1">
        <f t="array" ref="FB73">(BO73*SUMPRODUCT($S73:$X73,TRANSPOSE(Assumptions!K$281:K$286)))*0.001</f>
        <v>14.675919829655241</v>
      </c>
      <c r="FC73" s="1450" cm="1">
        <f t="array" ref="FC73">(BP73*SUMPRODUCT($S73:$X73,TRANSPOSE(Assumptions!L$281:L$286)))*0.001</f>
        <v>14.675919829655241</v>
      </c>
      <c r="FD73" s="1450" cm="1">
        <f t="array" ref="FD73">(BQ73*SUMPRODUCT($S73:$X73,TRANSPOSE(Assumptions!M$281:M$286)))*0.001</f>
        <v>14.675919829655241</v>
      </c>
      <c r="FE73" s="1450" cm="1">
        <f t="array" ref="FE73">(BR73*SUMPRODUCT($S73:$X73,TRANSPOSE(Assumptions!N$281:N$286)))*0.001</f>
        <v>14.675919829655241</v>
      </c>
      <c r="FF73" s="1450" cm="1">
        <f t="array" ref="FF73">(BS73*SUMPRODUCT($S73:$X73,TRANSPOSE(Assumptions!O$281:O$286)))*0.001</f>
        <v>14.675919829655241</v>
      </c>
      <c r="FG73" s="1450" cm="1">
        <f t="array" ref="FG73">(BT73*SUMPRODUCT($S73:$X73,TRANSPOSE(Assumptions!P$281:P$286)))*0.001</f>
        <v>14.675919829655241</v>
      </c>
      <c r="FH73" s="1450" cm="1">
        <f t="array" ref="FH73">(BU73*SUMPRODUCT($S73:$X73,TRANSPOSE(Assumptions!Q$281:Q$286)))*0.001</f>
        <v>14.675919829655241</v>
      </c>
      <c r="FI73" s="1450" cm="1">
        <f t="array" ref="FI73">(BV73*SUMPRODUCT($S73:$X73,TRANSPOSE(Assumptions!R$281:R$286)))*0.001</f>
        <v>14.675919829655241</v>
      </c>
      <c r="FJ73" s="666">
        <f t="shared" si="207"/>
        <v>0</v>
      </c>
      <c r="FK73" s="666">
        <f t="shared" si="208"/>
        <v>0</v>
      </c>
      <c r="FL73" s="666">
        <f t="shared" si="209"/>
        <v>0</v>
      </c>
      <c r="FM73" s="666">
        <f t="shared" si="210"/>
        <v>0</v>
      </c>
      <c r="FN73" s="666">
        <f t="shared" si="211"/>
        <v>0</v>
      </c>
      <c r="FO73" s="666">
        <f t="shared" si="212"/>
        <v>0</v>
      </c>
      <c r="FP73" s="666">
        <f t="shared" si="213"/>
        <v>-14.675919829655241</v>
      </c>
      <c r="FQ73" s="666">
        <f t="shared" si="214"/>
        <v>-14.675919829655241</v>
      </c>
      <c r="FR73" s="666">
        <f t="shared" si="215"/>
        <v>-14.675919829655241</v>
      </c>
      <c r="FS73" s="666">
        <f t="shared" si="216"/>
        <v>-14.675919829655241</v>
      </c>
      <c r="FT73" s="666">
        <f t="shared" si="144"/>
        <v>-14.675919829655241</v>
      </c>
      <c r="FU73" s="666">
        <f t="shared" si="145"/>
        <v>-14.675919829655241</v>
      </c>
      <c r="FV73" s="666">
        <f t="shared" si="146"/>
        <v>-14.675919829655241</v>
      </c>
      <c r="FW73" s="666">
        <f t="shared" si="147"/>
        <v>-14.675919829655241</v>
      </c>
      <c r="FX73" s="1883">
        <f t="shared" si="148"/>
        <v>-14.675919829655241</v>
      </c>
      <c r="FY73" s="1895"/>
      <c r="FZ73" s="1893">
        <v>0</v>
      </c>
      <c r="GA73" s="703">
        <v>0</v>
      </c>
      <c r="GB73" s="703">
        <v>0</v>
      </c>
      <c r="GC73" s="703">
        <v>0</v>
      </c>
      <c r="GD73" s="500">
        <f>CD73*(Admin!$H$14)</f>
        <v>16947</v>
      </c>
      <c r="GE73" s="500">
        <f>CE73*(Admin!$H$14)</f>
        <v>7547.0640000000003</v>
      </c>
      <c r="GF73" s="500">
        <f>CF73*(Admin!$H$14)</f>
        <v>0</v>
      </c>
      <c r="GG73" s="500">
        <f>CG73*(Admin!$H$14)</f>
        <v>0</v>
      </c>
      <c r="GH73" s="500">
        <f>CH73*(Admin!$H$14)</f>
        <v>0</v>
      </c>
      <c r="GI73" s="500">
        <f>CI73*(Admin!$H$14)</f>
        <v>0</v>
      </c>
      <c r="GJ73" s="500">
        <f>CJ73*(Admin!$H$14)</f>
        <v>0</v>
      </c>
      <c r="GK73" s="500">
        <f>CK73*(Admin!$H$14)</f>
        <v>0</v>
      </c>
      <c r="GL73" s="500">
        <f>CL73*(Admin!$H$14)</f>
        <v>0</v>
      </c>
      <c r="GM73" s="500">
        <f>CM73*(Admin!$H$14)</f>
        <v>0</v>
      </c>
      <c r="GN73" s="1904">
        <f>CN73*(Admin!$H$14)</f>
        <v>0</v>
      </c>
      <c r="GO73" s="1915"/>
      <c r="GP73" s="1868">
        <f>BH73*INDEX(Assumptions!G$565:G$570,MATCH($B73,Assumptions!$B$565:$B$570,0))</f>
        <v>0</v>
      </c>
      <c r="GQ73" s="656">
        <f>BI73*INDEX(Assumptions!H$565:H$570,MATCH($B73,Assumptions!$B$565:$B$570,0))</f>
        <v>0</v>
      </c>
      <c r="GR73" s="656">
        <f>BJ73*INDEX(Assumptions!I$565:I$570,MATCH($B73,Assumptions!$B$565:$B$570,0))</f>
        <v>0</v>
      </c>
      <c r="GS73" s="656">
        <f>BK73*INDEX(Assumptions!J$565:J$570,MATCH($B73,Assumptions!$B$565:$B$570,0))</f>
        <v>0</v>
      </c>
      <c r="GT73" s="656">
        <f>BL73*INDEX(Assumptions!K$565:K$570,MATCH($B73,Assumptions!$B$565:$B$570,0))</f>
        <v>0</v>
      </c>
      <c r="GU73" s="656">
        <f>BM73*INDEX(Assumptions!L$565:L$570,MATCH($B73,Assumptions!$B$565:$B$570,0))</f>
        <v>0</v>
      </c>
      <c r="GV73" s="656">
        <f>BN73*INDEX(Assumptions!M$565:M$570,MATCH($B73,Assumptions!$B$565:$B$570,0))</f>
        <v>94.427158188235211</v>
      </c>
      <c r="GW73" s="656">
        <f>BO73*INDEX(Assumptions!N$565:N$570,MATCH($B73,Assumptions!$B$565:$B$570,0))</f>
        <v>94.462478636442555</v>
      </c>
      <c r="GX73" s="656">
        <f>BP73*INDEX(Assumptions!O$565:O$570,MATCH($B73,Assumptions!$B$565:$B$570,0))</f>
        <v>94.425225032141924</v>
      </c>
      <c r="GY73" s="656">
        <f>BQ73*INDEX(Assumptions!P$565:P$570,MATCH($B73,Assumptions!$B$565:$B$570,0))</f>
        <v>94.009572438027817</v>
      </c>
      <c r="GZ73" s="656">
        <f>BR73*INDEX(Assumptions!Q$565:Q$570,MATCH($B73,Assumptions!$B$565:$B$570,0))</f>
        <v>89.265329348836232</v>
      </c>
      <c r="HA73" s="656">
        <f>BS73*INDEX(Assumptions!R$565:R$570,MATCH($B73,Assumptions!$B$565:$B$570,0))</f>
        <v>97.140772876894246</v>
      </c>
      <c r="HB73" s="656">
        <f>BT73*INDEX(Assumptions!S$565:S$570,MATCH($B73,Assumptions!$B$565:$B$570,0))</f>
        <v>97.140772876894246</v>
      </c>
      <c r="HC73" s="656">
        <f>BU73*INDEX(Assumptions!T$565:T$570,MATCH($B73,Assumptions!$B$565:$B$570,0))</f>
        <v>96.827652833007619</v>
      </c>
      <c r="HD73" s="1922">
        <f>BV73*INDEX(Assumptions!U$565:U$570,MATCH($B73,Assumptions!$B$565:$B$570,0))</f>
        <v>96.514532789120963</v>
      </c>
      <c r="HE73" s="1933"/>
      <c r="HF73" s="1927"/>
      <c r="HG73" s="501"/>
      <c r="HH73" s="501"/>
      <c r="HI73" s="501"/>
      <c r="HJ73" s="501"/>
      <c r="HK73" s="501"/>
      <c r="HL73" s="501"/>
      <c r="HM73" s="501"/>
      <c r="HN73" s="501"/>
      <c r="HO73" s="501"/>
      <c r="HP73" s="501"/>
      <c r="HQ73" s="501"/>
      <c r="HR73" s="501"/>
      <c r="HS73" s="501"/>
      <c r="HT73" s="501"/>
      <c r="HU73" s="501"/>
      <c r="HV73" s="656"/>
      <c r="HW73" s="1922"/>
      <c r="HX73" s="1946"/>
      <c r="HY73" s="1943">
        <v>2027</v>
      </c>
      <c r="HZ73" s="695">
        <v>2027</v>
      </c>
      <c r="IA73" s="683"/>
      <c r="IB73" s="683"/>
      <c r="IC73" s="694"/>
      <c r="ID73" s="1376"/>
      <c r="IE73" s="1968"/>
      <c r="IF73" s="1963">
        <v>0</v>
      </c>
      <c r="IG73" s="538">
        <v>0.4</v>
      </c>
      <c r="IH73" s="538">
        <v>0.4</v>
      </c>
      <c r="II73" s="538">
        <v>0.4</v>
      </c>
      <c r="IJ73" s="1415">
        <v>2</v>
      </c>
      <c r="IK73" s="1276">
        <v>1</v>
      </c>
      <c r="IL73" s="1280">
        <v>1</v>
      </c>
      <c r="IM73" s="1294" t="s">
        <v>823</v>
      </c>
    </row>
    <row r="74" spans="2:247" ht="13.5" customHeight="1" x14ac:dyDescent="0.3">
      <c r="B74" s="1703" t="s">
        <v>53</v>
      </c>
      <c r="C74" s="2113"/>
      <c r="D74" s="679" t="s">
        <v>826</v>
      </c>
      <c r="E74" s="1788" t="s">
        <v>827</v>
      </c>
      <c r="F74" s="1811"/>
      <c r="G74" s="1795" t="s">
        <v>828</v>
      </c>
      <c r="H74" s="1195" t="s">
        <v>829</v>
      </c>
      <c r="I74" s="13"/>
      <c r="J74" s="696"/>
      <c r="K74" s="71" t="s">
        <v>648</v>
      </c>
      <c r="L74" s="2043" t="s">
        <v>565</v>
      </c>
      <c r="M74" s="1827"/>
      <c r="N74" s="1817"/>
      <c r="O74" s="1177"/>
      <c r="P74" s="1177"/>
      <c r="Q74" s="1178">
        <v>1</v>
      </c>
      <c r="R74" s="1177"/>
      <c r="S74" s="1445" cm="1">
        <f t="array" ref="S74:X74">TRANSPOSE(_xlfn.XLOOKUP(B74,Assumptions!$C$134:$I$134,Assumptions!$C$135:$I$140))</f>
        <v>0.89766686718609423</v>
      </c>
      <c r="T74" s="1445">
        <v>2.0574367766823833E-2</v>
      </c>
      <c r="U74" s="1445">
        <v>0</v>
      </c>
      <c r="V74" s="1445">
        <v>6.4936780001525515E-2</v>
      </c>
      <c r="W74" s="1445">
        <v>0</v>
      </c>
      <c r="X74" s="1445">
        <v>1.6821985045556383E-2</v>
      </c>
      <c r="Y74" s="1179" cm="1">
        <f t="array" ref="Y74:AC74">TRANSPOSE(_xlfn.ANCHORARRAY(Assumptions!$D$698))</f>
        <v>0.46715240825721654</v>
      </c>
      <c r="Z74" s="1179">
        <v>0.10872006700422583</v>
      </c>
      <c r="AA74" s="1179">
        <v>9.7634938252443113E-2</v>
      </c>
      <c r="AB74" s="1179">
        <v>0.23591534859475621</v>
      </c>
      <c r="AC74" s="1179">
        <v>9.057723789135827E-2</v>
      </c>
      <c r="AD74" s="1177"/>
      <c r="AE74" s="1177"/>
      <c r="AF74" s="1177"/>
      <c r="AG74" s="1177"/>
      <c r="AH74" s="1177"/>
      <c r="AI74" s="1177"/>
      <c r="AJ74" s="1177"/>
      <c r="AK74" s="1417">
        <f t="shared" si="176"/>
        <v>0</v>
      </c>
      <c r="AL74" s="1177"/>
      <c r="AM74" s="1177"/>
      <c r="AN74" s="1177"/>
      <c r="AO74" s="1834">
        <v>0</v>
      </c>
      <c r="AP74" s="1847"/>
      <c r="AQ74" s="1837">
        <f t="shared" si="250"/>
        <v>8.8795075740625329</v>
      </c>
      <c r="AR74" s="680">
        <f>_xlfn.XLOOKUP($D74,'KLIM 2021-30'!$C$4:$C$57,'KLIM 2021-30'!T$4:T$57)</f>
        <v>46.688742801652673</v>
      </c>
      <c r="AS74" s="680">
        <f>_xlfn.XLOOKUP($D74,'KLIM 2021-30'!$C$4:$C$57,'KLIM 2021-30'!U$4:U$57)</f>
        <v>2.6507948145634614</v>
      </c>
      <c r="AT74" s="680">
        <f>_xlfn.XLOOKUP($D74,'KLIM 2021-30'!$C$4:$C$57,'KLIM 2021-30'!V$4:V$57)</f>
        <v>2.921225880350157</v>
      </c>
      <c r="AU74" s="680">
        <f>_xlfn.XLOOKUP($D74,'KLIM 2021-30'!$C$4:$C$57,'KLIM 2021-30'!W$4:W$57)</f>
        <v>1.1136530792668538</v>
      </c>
      <c r="AV74" s="680">
        <f>_xlfn.XLOOKUP($D74,'KLIM 2021-30'!$C$4:$C$57,'KLIM 2021-30'!X$4:X$57)</f>
        <v>8.5558162053672007</v>
      </c>
      <c r="AW74" s="680">
        <f>_xlfn.XLOOKUP($D74,'KLIM 2021-30'!$C$4:$C$57,'KLIM 2021-30'!Y$4:Y$57)</f>
        <v>6.0946399934141056</v>
      </c>
      <c r="AX74" s="680">
        <f>_xlfn.XLOOKUP($D74,'KLIM 2021-30'!$C$4:$C$57,'KLIM 2021-30'!Z$4:Z$57)</f>
        <v>10.685506004723393</v>
      </c>
      <c r="AY74" s="680">
        <f>_xlfn.XLOOKUP($D74,'KLIM 2021-30'!$C$4:$C$57,'KLIM 2021-30'!AA$4:AA$57)</f>
        <v>3.8306388537007052</v>
      </c>
      <c r="AZ74" s="680">
        <f>_xlfn.XLOOKUP($D74,'KLIM 2021-30'!$C$4:$C$57,'KLIM 2021-30'!AB$4:AB$57)</f>
        <v>4.1621034244649877</v>
      </c>
      <c r="BA74" s="680">
        <f>_xlfn.XLOOKUP($D74,'KLIM 2021-30'!$C$4:$C$57,'KLIM 2021-30'!AC$4:AC$57)</f>
        <v>2.0919546831217843</v>
      </c>
      <c r="BB74" s="663"/>
      <c r="BC74" s="663"/>
      <c r="BD74" s="663"/>
      <c r="BE74" s="663"/>
      <c r="BF74" s="663"/>
      <c r="BG74" s="501">
        <f t="shared" si="177"/>
        <v>5.2191874634370041</v>
      </c>
      <c r="BH74" s="893">
        <f t="shared" si="111"/>
        <v>46.688742801652673</v>
      </c>
      <c r="BI74" s="658">
        <f t="shared" si="112"/>
        <v>49.339537616216134</v>
      </c>
      <c r="BJ74" s="658">
        <f t="shared" si="113"/>
        <v>52.260763496566291</v>
      </c>
      <c r="BK74" s="658">
        <f t="shared" si="114"/>
        <v>53.374416575833145</v>
      </c>
      <c r="BL74" s="658">
        <f t="shared" si="115"/>
        <v>61.930232781200345</v>
      </c>
      <c r="BM74" s="658">
        <f t="shared" si="116"/>
        <v>68.024872774614451</v>
      </c>
      <c r="BN74" s="658">
        <f t="shared" si="117"/>
        <v>78.710378779337844</v>
      </c>
      <c r="BO74" s="658">
        <f t="shared" si="118"/>
        <v>82.54101763303855</v>
      </c>
      <c r="BP74" s="658">
        <f t="shared" si="119"/>
        <v>86.703121057503537</v>
      </c>
      <c r="BQ74" s="658">
        <f t="shared" si="120"/>
        <v>88.795075740625322</v>
      </c>
      <c r="BR74" s="658">
        <f t="shared" si="121"/>
        <v>88.795075740625322</v>
      </c>
      <c r="BS74" s="658">
        <f t="shared" si="122"/>
        <v>88.795075740625322</v>
      </c>
      <c r="BT74" s="658">
        <f t="shared" si="123"/>
        <v>88.795075740625322</v>
      </c>
      <c r="BU74" s="658">
        <f t="shared" si="124"/>
        <v>88.795075740625322</v>
      </c>
      <c r="BV74" s="1851">
        <f t="shared" si="125"/>
        <v>88.795075740625322</v>
      </c>
      <c r="BW74" s="1661"/>
      <c r="BX74" s="1854">
        <f>(_xlfn.XLOOKUP(D74,'KLIM 2021-30'!$C$4:$C$40,'KLIM 2021-30'!$G$4:$G$40)/1000000)/CQ74</f>
        <v>381</v>
      </c>
      <c r="BY74" s="1192">
        <f t="shared" si="126"/>
        <v>4290.7784786728407</v>
      </c>
      <c r="BZ74" s="680">
        <f t="shared" ref="BZ74:CI74" si="251">($BX74)*(AR74/SUM($AR74:$BA74))</f>
        <v>200.3310528096228</v>
      </c>
      <c r="CA74" s="680">
        <f t="shared" si="251"/>
        <v>11.373973341706465</v>
      </c>
      <c r="CB74" s="680">
        <f t="shared" si="251"/>
        <v>12.534333138748577</v>
      </c>
      <c r="CC74" s="680">
        <f t="shared" si="251"/>
        <v>4.7784386652259556</v>
      </c>
      <c r="CD74" s="680">
        <f t="shared" si="251"/>
        <v>36.71111204146991</v>
      </c>
      <c r="CE74" s="680">
        <f t="shared" si="251"/>
        <v>26.150750119000026</v>
      </c>
      <c r="CF74" s="680">
        <f t="shared" si="251"/>
        <v>45.84913919879655</v>
      </c>
      <c r="CG74" s="680">
        <f t="shared" si="251"/>
        <v>16.436422753026985</v>
      </c>
      <c r="CH74" s="680">
        <f t="shared" si="251"/>
        <v>17.858663799704903</v>
      </c>
      <c r="CI74" s="680">
        <f t="shared" si="251"/>
        <v>8.9761141326978144</v>
      </c>
      <c r="CJ74" s="663"/>
      <c r="CK74" s="663"/>
      <c r="CL74" s="663"/>
      <c r="CM74" s="663"/>
      <c r="CN74" s="663"/>
      <c r="CO74" s="493">
        <f t="shared" si="178"/>
        <v>22.39437724427459</v>
      </c>
      <c r="CP74" s="660">
        <f t="shared" si="127"/>
        <v>381</v>
      </c>
      <c r="CQ74" s="661">
        <f>INDEX(Sources!BJ$27:BJ$42,MATCH($D74,Sources!$E$27:$E$42,0))</f>
        <v>1</v>
      </c>
      <c r="CR74" s="662">
        <f t="shared" si="128"/>
        <v>0</v>
      </c>
      <c r="CS74" s="685" t="str">
        <v>100% government</v>
      </c>
      <c r="CT74" s="1862">
        <f t="shared" si="218"/>
        <v>38.1</v>
      </c>
      <c r="CU74" s="1872"/>
      <c r="CV74" s="1865">
        <f>BH74*Assumptions!D$498</f>
        <v>4.1883077945187246</v>
      </c>
      <c r="CW74" s="659">
        <f>BI74*Assumptions!E$498</f>
        <v>4.5023525528073378</v>
      </c>
      <c r="CX74" s="659">
        <f>BJ74*Assumptions!F$498</f>
        <v>4.8526294550775289</v>
      </c>
      <c r="CY74" s="659">
        <f>BK74*Assumptions!G$498</f>
        <v>5.3212551602154372</v>
      </c>
      <c r="CZ74" s="659">
        <f>BL74*Assumptions!H$498</f>
        <v>6.4400803608079533</v>
      </c>
      <c r="DA74" s="659">
        <f>BM74*Assumptions!I$498</f>
        <v>7.1936839933887846</v>
      </c>
      <c r="DB74" s="659">
        <f>BN74*Assumptions!J$498</f>
        <v>8.4672023057272821</v>
      </c>
      <c r="DC74" s="659">
        <f>BO74*Assumptions!K$498</f>
        <v>9.0349878433549886</v>
      </c>
      <c r="DD74" s="659">
        <f>BP74*Assumptions!L$498</f>
        <v>9.6597105298666985</v>
      </c>
      <c r="DE74" s="659">
        <f>BQ74*Assumptions!M$498</f>
        <v>10.071822857611474</v>
      </c>
      <c r="DF74" s="659">
        <f>BR74*Assumptions!N$498</f>
        <v>10.260235694803569</v>
      </c>
      <c r="DG74" s="659">
        <f>BS74*Assumptions!O$498</f>
        <v>10.45430091711143</v>
      </c>
      <c r="DH74" s="659">
        <f>BT74*Assumptions!P$498</f>
        <v>10.654188096088523</v>
      </c>
      <c r="DI74" s="659">
        <f>BU74*Assumptions!Q$498</f>
        <v>10.860071890434934</v>
      </c>
      <c r="DJ74" s="659">
        <f>BV74*Assumptions!R$498</f>
        <v>11.072132198611731</v>
      </c>
      <c r="DK74" s="680">
        <f t="shared" si="222"/>
        <v>4.1883077945187246</v>
      </c>
      <c r="DL74" s="680">
        <f t="shared" si="223"/>
        <v>4.5023525528073378</v>
      </c>
      <c r="DM74" s="680">
        <f t="shared" si="224"/>
        <v>4.8526294550775289</v>
      </c>
      <c r="DN74" s="680">
        <f t="shared" si="225"/>
        <v>5.3212551602154372</v>
      </c>
      <c r="DO74" s="680">
        <f t="shared" si="226"/>
        <v>6.4400803608079533</v>
      </c>
      <c r="DP74" s="680">
        <f t="shared" si="227"/>
        <v>7.1936839933887846</v>
      </c>
      <c r="DQ74" s="680">
        <f t="shared" si="228"/>
        <v>8.4672023057272821</v>
      </c>
      <c r="DR74" s="680">
        <f t="shared" si="229"/>
        <v>9.0349878433549886</v>
      </c>
      <c r="DS74" s="680">
        <f t="shared" si="230"/>
        <v>9.6597105298666985</v>
      </c>
      <c r="DT74" s="680">
        <f t="shared" si="231"/>
        <v>10.071822857611474</v>
      </c>
      <c r="DU74" s="680">
        <f t="shared" ref="DU74:DU85" si="252">DF74</f>
        <v>10.260235694803569</v>
      </c>
      <c r="DV74" s="680">
        <f t="shared" ref="DV74:DV85" si="253">DG74</f>
        <v>10.45430091711143</v>
      </c>
      <c r="DW74" s="680">
        <f t="shared" ref="DW74:DW85" si="254">DH74</f>
        <v>10.654188096088523</v>
      </c>
      <c r="DX74" s="680">
        <f t="shared" ref="DX74:DX85" si="255">DI74</f>
        <v>10.860071890434934</v>
      </c>
      <c r="DY74" s="680">
        <f t="shared" ref="DY74:DY85" si="256">DJ74</f>
        <v>11.072132198611731</v>
      </c>
      <c r="DZ74" s="678">
        <v>1</v>
      </c>
      <c r="EA74" s="661">
        <f t="shared" si="130"/>
        <v>0</v>
      </c>
      <c r="EB74" s="1861">
        <f t="shared" si="236"/>
        <v>6.9732032853376209</v>
      </c>
      <c r="EC74" s="1881"/>
      <c r="ED74" s="1877">
        <v>0</v>
      </c>
      <c r="EE74" s="684"/>
      <c r="EF74" s="684"/>
      <c r="EG74" s="684"/>
      <c r="EH74" s="684"/>
      <c r="EI74" s="665">
        <f t="shared" si="239"/>
        <v>0</v>
      </c>
      <c r="EJ74" s="665">
        <f t="shared" si="240"/>
        <v>0</v>
      </c>
      <c r="EK74" s="665">
        <f t="shared" si="241"/>
        <v>0</v>
      </c>
      <c r="EL74" s="665">
        <f t="shared" si="242"/>
        <v>0</v>
      </c>
      <c r="EM74" s="665">
        <f t="shared" si="243"/>
        <v>0</v>
      </c>
      <c r="EN74" s="665">
        <f t="shared" si="244"/>
        <v>0</v>
      </c>
      <c r="EO74" s="665">
        <f t="shared" si="245"/>
        <v>0</v>
      </c>
      <c r="EP74" s="665">
        <f t="shared" si="246"/>
        <v>0</v>
      </c>
      <c r="EQ74" s="665">
        <f t="shared" si="247"/>
        <v>0</v>
      </c>
      <c r="ER74" s="665">
        <f t="shared" si="248"/>
        <v>0</v>
      </c>
      <c r="ES74" s="665">
        <f t="shared" si="249"/>
        <v>0</v>
      </c>
      <c r="ET74" s="541">
        <f t="shared" si="133"/>
        <v>0</v>
      </c>
      <c r="EU74" s="1450" cm="1">
        <f t="array" ref="EU74">(BH74*SUMPRODUCT($S74:$X74,TRANSPOSE(Assumptions!D$281:D$286)))*0.001</f>
        <v>1.6565405647994531</v>
      </c>
      <c r="EV74" s="1450" cm="1">
        <f t="array" ref="EV74">(BI74*SUMPRODUCT($S74:$X74,TRANSPOSE(Assumptions!E$281:E$286)))*0.001</f>
        <v>1.7505921257493653</v>
      </c>
      <c r="EW74" s="1450" cm="1">
        <f t="array" ref="EW74">(BJ74*SUMPRODUCT($S74:$X74,TRANSPOSE(Assumptions!F$281:F$286)))*0.001</f>
        <v>1.8542387197538355</v>
      </c>
      <c r="EX74" s="1450" cm="1">
        <f t="array" ref="EX74">(BK74*SUMPRODUCT($S74:$X74,TRANSPOSE(Assumptions!G$281:G$286)))*0.001</f>
        <v>2.1696832850104633</v>
      </c>
      <c r="EY74" s="1450" cm="1">
        <f t="array" ref="EY74">(BL74*SUMPRODUCT($S74:$X74,TRANSPOSE(Assumptions!H$281:H$286)))*0.001</f>
        <v>2.6775607796919969</v>
      </c>
      <c r="EZ74" s="1450" cm="1">
        <f t="array" ref="EZ74">(BM74*SUMPRODUCT($S74:$X74,TRANSPOSE(Assumptions!I$281:I$286)))*0.001</f>
        <v>2.9410632449638801</v>
      </c>
      <c r="FA74" s="1450" cm="1">
        <f t="array" ref="FA74">(BN74*SUMPRODUCT($S74:$X74,TRANSPOSE(Assumptions!J$281:J$286)))*0.001</f>
        <v>3.4030523334030232</v>
      </c>
      <c r="FB74" s="1450" cm="1">
        <f t="array" ref="FB74">(BO74*SUMPRODUCT($S74:$X74,TRANSPOSE(Assumptions!K$281:K$286)))*0.001</f>
        <v>3.5686704474519479</v>
      </c>
      <c r="FC74" s="1450" cm="1">
        <f t="array" ref="FC74">(BP74*SUMPRODUCT($S74:$X74,TRANSPOSE(Assumptions!L$281:L$286)))*0.001</f>
        <v>3.7486194705686864</v>
      </c>
      <c r="FD74" s="1450" cm="1">
        <f t="array" ref="FD74">(BQ74*SUMPRODUCT($S74:$X74,TRANSPOSE(Assumptions!M$281:M$286)))*0.001</f>
        <v>3.83906537333494</v>
      </c>
      <c r="FE74" s="1450" cm="1">
        <f t="array" ref="FE74">(BR74*SUMPRODUCT($S74:$X74,TRANSPOSE(Assumptions!N$281:N$286)))*0.001</f>
        <v>3.83906537333494</v>
      </c>
      <c r="FF74" s="1450" cm="1">
        <f t="array" ref="FF74">(BS74*SUMPRODUCT($S74:$X74,TRANSPOSE(Assumptions!O$281:O$286)))*0.001</f>
        <v>3.83906537333494</v>
      </c>
      <c r="FG74" s="1450" cm="1">
        <f t="array" ref="FG74">(BT74*SUMPRODUCT($S74:$X74,TRANSPOSE(Assumptions!P$281:P$286)))*0.001</f>
        <v>3.83906537333494</v>
      </c>
      <c r="FH74" s="1450" cm="1">
        <f t="array" ref="FH74">(BU74*SUMPRODUCT($S74:$X74,TRANSPOSE(Assumptions!Q$281:Q$286)))*0.001</f>
        <v>3.83906537333494</v>
      </c>
      <c r="FI74" s="1450" cm="1">
        <f t="array" ref="FI74">(BV74*SUMPRODUCT($S74:$X74,TRANSPOSE(Assumptions!R$281:R$286)))*0.001</f>
        <v>3.83906537333494</v>
      </c>
      <c r="FJ74" s="666">
        <f t="shared" si="207"/>
        <v>-1.6565405647994531</v>
      </c>
      <c r="FK74" s="666">
        <f t="shared" si="208"/>
        <v>-1.7505921257493653</v>
      </c>
      <c r="FL74" s="666">
        <f t="shared" si="209"/>
        <v>-1.8542387197538355</v>
      </c>
      <c r="FM74" s="666">
        <f t="shared" si="210"/>
        <v>-2.1696832850104633</v>
      </c>
      <c r="FN74" s="666">
        <f t="shared" si="211"/>
        <v>-2.6775607796919969</v>
      </c>
      <c r="FO74" s="666">
        <f t="shared" si="212"/>
        <v>-2.9410632449638801</v>
      </c>
      <c r="FP74" s="666">
        <f t="shared" si="213"/>
        <v>-3.4030523334030232</v>
      </c>
      <c r="FQ74" s="666">
        <f t="shared" si="214"/>
        <v>-3.5686704474519479</v>
      </c>
      <c r="FR74" s="666">
        <f t="shared" si="215"/>
        <v>-3.7486194705686864</v>
      </c>
      <c r="FS74" s="666">
        <f t="shared" si="216"/>
        <v>-3.83906537333494</v>
      </c>
      <c r="FT74" s="666">
        <f t="shared" si="144"/>
        <v>-3.83906537333494</v>
      </c>
      <c r="FU74" s="666">
        <f t="shared" si="145"/>
        <v>-3.83906537333494</v>
      </c>
      <c r="FV74" s="666">
        <f t="shared" si="146"/>
        <v>-3.83906537333494</v>
      </c>
      <c r="FW74" s="666">
        <f t="shared" si="147"/>
        <v>-3.83906537333494</v>
      </c>
      <c r="FX74" s="1883">
        <f t="shared" si="148"/>
        <v>-3.83906537333494</v>
      </c>
      <c r="FY74" s="1895"/>
      <c r="FZ74" s="1893">
        <v>0</v>
      </c>
      <c r="GA74" s="703">
        <v>0</v>
      </c>
      <c r="GB74" s="703">
        <v>0</v>
      </c>
      <c r="GC74" s="703">
        <v>0</v>
      </c>
      <c r="GD74" s="493">
        <f>CD74*(Admin!$H$14)</f>
        <v>1481.293370873311</v>
      </c>
      <c r="GE74" s="493">
        <f>CE74*(Admin!$H$14)</f>
        <v>1055.182767301651</v>
      </c>
      <c r="GF74" s="493">
        <f>CF74*(Admin!$H$14)</f>
        <v>1850.0127666714409</v>
      </c>
      <c r="GG74" s="493">
        <f>CG74*(Admin!$H$14)</f>
        <v>663.20965808463882</v>
      </c>
      <c r="GH74" s="493">
        <f>CH74*(Admin!$H$14)</f>
        <v>720.59708431809281</v>
      </c>
      <c r="GI74" s="493">
        <f>CI74*(Admin!$H$14)</f>
        <v>362.18620525435682</v>
      </c>
      <c r="GJ74" s="493">
        <f>CJ74*(Admin!$H$14)</f>
        <v>0</v>
      </c>
      <c r="GK74" s="493">
        <f>CK74*(Admin!$H$14)</f>
        <v>0</v>
      </c>
      <c r="GL74" s="493">
        <f>CL74*(Admin!$H$14)</f>
        <v>0</v>
      </c>
      <c r="GM74" s="493">
        <f>CM74*(Admin!$H$14)</f>
        <v>0</v>
      </c>
      <c r="GN74" s="1903">
        <f>CN74*(Admin!$H$14)</f>
        <v>0</v>
      </c>
      <c r="GO74" s="1914"/>
      <c r="GP74" s="1868">
        <f>BH74*INDEX(Assumptions!G$565:G$570,MATCH($B74,Assumptions!$B$565:$B$570,0))</f>
        <v>12.688217002890697</v>
      </c>
      <c r="GQ74" s="656">
        <f>BI74*INDEX(Assumptions!H$565:H$570,MATCH($B74,Assumptions!$B$565:$B$570,0))</f>
        <v>13.501555540248878</v>
      </c>
      <c r="GR74" s="656">
        <f>BJ74*INDEX(Assumptions!I$565:I$570,MATCH($B74,Assumptions!$B$565:$B$570,0))</f>
        <v>14.380569659349653</v>
      </c>
      <c r="GS74" s="656">
        <f>BK74*INDEX(Assumptions!J$565:J$570,MATCH($B74,Assumptions!$B$565:$B$570,0))</f>
        <v>14.750539557471475</v>
      </c>
      <c r="GT74" s="656">
        <f>BL74*INDEX(Assumptions!K$565:K$570,MATCH($B74,Assumptions!$B$565:$B$570,0))</f>
        <v>17.169666478635133</v>
      </c>
      <c r="GU74" s="656">
        <f>BM74*INDEX(Assumptions!L$565:L$570,MATCH($B74,Assumptions!$B$565:$B$570,0))</f>
        <v>18.900122824235396</v>
      </c>
      <c r="GV74" s="656">
        <f>BN74*INDEX(Assumptions!M$565:M$570,MATCH($B74,Assumptions!$B$565:$B$570,0))</f>
        <v>21.895769719303445</v>
      </c>
      <c r="GW74" s="656">
        <f>BO74*INDEX(Assumptions!N$565:N$570,MATCH($B74,Assumptions!$B$565:$B$570,0))</f>
        <v>22.969971205603994</v>
      </c>
      <c r="GX74" s="656">
        <f>BP74*INDEX(Assumptions!O$565:O$570,MATCH($B74,Assumptions!$B$565:$B$570,0))</f>
        <v>24.118708822125807</v>
      </c>
      <c r="GY74" s="656">
        <f>BQ74*INDEX(Assumptions!P$565:P$570,MATCH($B74,Assumptions!$B$565:$B$570,0))</f>
        <v>24.591909638234483</v>
      </c>
      <c r="GZ74" s="656">
        <f>BR74*INDEX(Assumptions!Q$565:Q$570,MATCH($B74,Assumptions!$B$565:$B$570,0))</f>
        <v>23.350865834656631</v>
      </c>
      <c r="HA74" s="656">
        <f>BS74*INDEX(Assumptions!R$565:R$570,MATCH($B74,Assumptions!$B$565:$B$570,0))</f>
        <v>25.410998548595867</v>
      </c>
      <c r="HB74" s="656">
        <f>BT74*INDEX(Assumptions!S$565:S$570,MATCH($B74,Assumptions!$B$565:$B$570,0))</f>
        <v>25.410998548595867</v>
      </c>
      <c r="HC74" s="656">
        <f>BU74*INDEX(Assumptions!T$565:T$570,MATCH($B74,Assumptions!$B$565:$B$570,0))</f>
        <v>25.329089657559731</v>
      </c>
      <c r="HD74" s="1922">
        <f>BV74*INDEX(Assumptions!U$565:U$570,MATCH($B74,Assumptions!$B$565:$B$570,0))</f>
        <v>25.247180766523591</v>
      </c>
      <c r="HE74" s="1933"/>
      <c r="HF74" s="1927"/>
      <c r="HG74" s="501"/>
      <c r="HH74" s="501"/>
      <c r="HI74" s="501"/>
      <c r="HJ74" s="501"/>
      <c r="HK74" s="501"/>
      <c r="HL74" s="501"/>
      <c r="HM74" s="501"/>
      <c r="HN74" s="501"/>
      <c r="HO74" s="501"/>
      <c r="HP74" s="501"/>
      <c r="HQ74" s="501"/>
      <c r="HR74" s="501"/>
      <c r="HS74" s="501"/>
      <c r="HT74" s="501"/>
      <c r="HU74" s="501"/>
      <c r="HV74" s="656"/>
      <c r="HW74" s="1922"/>
      <c r="HX74" s="1946"/>
      <c r="HY74" s="1943">
        <v>2026</v>
      </c>
      <c r="HZ74" s="695">
        <v>2026</v>
      </c>
      <c r="IA74" s="683"/>
      <c r="IB74" s="683"/>
      <c r="IC74" s="694"/>
      <c r="ID74" s="1376"/>
      <c r="IE74" s="1968"/>
      <c r="IF74" s="1963">
        <v>0</v>
      </c>
      <c r="IG74" s="538">
        <v>0.4</v>
      </c>
      <c r="IH74" s="538">
        <v>0.4</v>
      </c>
      <c r="II74" s="538">
        <v>0.4</v>
      </c>
      <c r="IJ74" s="538">
        <v>1</v>
      </c>
      <c r="IK74" s="1276">
        <v>1</v>
      </c>
      <c r="IL74" s="1280">
        <v>1</v>
      </c>
      <c r="IM74" s="1295" t="s">
        <v>827</v>
      </c>
    </row>
    <row r="75" spans="2:247" ht="13.5" customHeight="1" x14ac:dyDescent="0.3">
      <c r="B75" s="1703" t="s">
        <v>53</v>
      </c>
      <c r="C75" s="2113"/>
      <c r="D75" s="679" t="s">
        <v>830</v>
      </c>
      <c r="E75" s="1787" t="s">
        <v>831</v>
      </c>
      <c r="F75" s="1810"/>
      <c r="G75" s="1795" t="s">
        <v>832</v>
      </c>
      <c r="H75" s="1195" t="s">
        <v>833</v>
      </c>
      <c r="I75" s="13"/>
      <c r="J75" s="696"/>
      <c r="K75" s="71" t="s">
        <v>648</v>
      </c>
      <c r="L75" s="1176" t="s">
        <v>719</v>
      </c>
      <c r="M75" s="1827"/>
      <c r="N75" s="1817"/>
      <c r="O75" s="1177"/>
      <c r="P75" s="1177"/>
      <c r="Q75" s="1178">
        <v>1</v>
      </c>
      <c r="R75" s="1177"/>
      <c r="S75" s="1445"/>
      <c r="T75" s="1445"/>
      <c r="U75" s="1445"/>
      <c r="V75" s="1445">
        <v>1</v>
      </c>
      <c r="W75" s="1445"/>
      <c r="X75" s="1445"/>
      <c r="Y75" s="1187" cm="1">
        <f t="array" ref="Y75:AC75">_xlfn.XLOOKUP($Y$6:$AC$6,Assumptions!$H$708:$L$708,Assumptions!$H$715:$L$715)</f>
        <v>0.86820541512921667</v>
      </c>
      <c r="Z75" s="1187">
        <v>2.9698754222823431E-2</v>
      </c>
      <c r="AA75" s="1187">
        <v>1.6179522227809374E-2</v>
      </c>
      <c r="AB75" s="1187">
        <v>8.345166682011658E-2</v>
      </c>
      <c r="AC75" s="1187">
        <v>2.4646416000339952E-3</v>
      </c>
      <c r="AD75" s="1177"/>
      <c r="AE75" s="1177"/>
      <c r="AF75" s="1177"/>
      <c r="AG75" s="1177"/>
      <c r="AH75" s="1177"/>
      <c r="AI75" s="1177"/>
      <c r="AJ75" s="1177"/>
      <c r="AK75" s="1417">
        <f t="shared" si="176"/>
        <v>0</v>
      </c>
      <c r="AL75" s="1177"/>
      <c r="AM75" s="1177"/>
      <c r="AN75" s="1177"/>
      <c r="AO75" s="1834">
        <v>0</v>
      </c>
      <c r="AP75" s="1847"/>
      <c r="AQ75" s="1837">
        <v>0</v>
      </c>
      <c r="AR75" s="663"/>
      <c r="AS75" s="663"/>
      <c r="AT75" s="663"/>
      <c r="AU75" s="663"/>
      <c r="AV75" s="659">
        <f>_xlfn.XLOOKUP($D75,TalTech!$B$4:$B$46,TalTech!BB$4:BB$46)</f>
        <v>-0.82167137791101763</v>
      </c>
      <c r="AW75" s="659">
        <f>_xlfn.XLOOKUP($D75,TalTech!$B$4:$B$46,TalTech!BC$4:BC$46)</f>
        <v>-0.82167137791101763</v>
      </c>
      <c r="AX75" s="659">
        <f>_xlfn.XLOOKUP($D75,TalTech!$B$4:$B$46,TalTech!BD$4:BD$46)</f>
        <v>-0.82167137791101763</v>
      </c>
      <c r="AY75" s="659">
        <f>_xlfn.XLOOKUP($D75,TalTech!$B$4:$B$46,TalTech!BE$4:BE$46)</f>
        <v>-0.82167137791101763</v>
      </c>
      <c r="AZ75" s="659">
        <f>_xlfn.XLOOKUP($D75,TalTech!$B$4:$B$46,TalTech!BF$4:BF$46)</f>
        <v>-0.82167137791101763</v>
      </c>
      <c r="BA75" s="659">
        <f>_xlfn.XLOOKUP($D75,TalTech!$B$4:$B$46,TalTech!BG$4:BG$46)</f>
        <v>-0.82167137791101763</v>
      </c>
      <c r="BB75" s="659">
        <f>_xlfn.XLOOKUP($D75,TalTech!$B$4:$B$46,TalTech!BH$4:BH$46)</f>
        <v>-0.82167137791101763</v>
      </c>
      <c r="BC75" s="659">
        <f>_xlfn.XLOOKUP($D75,TalTech!$B$4:$B$46,TalTech!BI$4:BI$46)</f>
        <v>-0.82167137791101763</v>
      </c>
      <c r="BD75" s="659">
        <f>_xlfn.XLOOKUP($D75,TalTech!$B$4:$B$46,TalTech!BJ$4:BJ$46)</f>
        <v>-0.82167137791101763</v>
      </c>
      <c r="BE75" s="659">
        <f>_xlfn.XLOOKUP($D75,TalTech!$B$4:$B$46,TalTech!BK$4:BK$46)</f>
        <v>-0.82167137791101763</v>
      </c>
      <c r="BF75" s="659">
        <f>_xlfn.XLOOKUP($D75,TalTech!$B$4:$B$46,TalTech!BL$4:BL$46)</f>
        <v>-0.82167137791101763</v>
      </c>
      <c r="BG75" s="501">
        <f t="shared" si="177"/>
        <v>-0.82167137791101763</v>
      </c>
      <c r="BH75" s="893">
        <f t="shared" si="111"/>
        <v>0</v>
      </c>
      <c r="BI75" s="658">
        <f t="shared" si="112"/>
        <v>0</v>
      </c>
      <c r="BJ75" s="658">
        <f t="shared" si="113"/>
        <v>0</v>
      </c>
      <c r="BK75" s="658">
        <f t="shared" si="114"/>
        <v>0</v>
      </c>
      <c r="BL75" s="658">
        <f t="shared" si="115"/>
        <v>-0.82167137791101763</v>
      </c>
      <c r="BM75" s="658">
        <f t="shared" si="116"/>
        <v>-1.6433427558220353</v>
      </c>
      <c r="BN75" s="658">
        <f t="shared" si="117"/>
        <v>-2.4650141337330531</v>
      </c>
      <c r="BO75" s="658">
        <f t="shared" si="118"/>
        <v>-3.2866855116440705</v>
      </c>
      <c r="BP75" s="658">
        <f t="shared" si="119"/>
        <v>-4.1083568895550879</v>
      </c>
      <c r="BQ75" s="658">
        <f t="shared" si="120"/>
        <v>-4.9300282674661053</v>
      </c>
      <c r="BR75" s="658">
        <f t="shared" si="121"/>
        <v>-5.7516996453771227</v>
      </c>
      <c r="BS75" s="658">
        <f t="shared" si="122"/>
        <v>-6.5733710232881402</v>
      </c>
      <c r="BT75" s="658">
        <f t="shared" si="123"/>
        <v>-7.3950424011991576</v>
      </c>
      <c r="BU75" s="658">
        <f t="shared" si="124"/>
        <v>-8.2167137791101759</v>
      </c>
      <c r="BV75" s="1851">
        <f t="shared" si="125"/>
        <v>-9.0383851570211942</v>
      </c>
      <c r="BW75" s="1661"/>
      <c r="BX75" s="1855">
        <v>0</v>
      </c>
      <c r="BY75" s="1192">
        <f t="shared" si="126"/>
        <v>0</v>
      </c>
      <c r="BZ75" s="684"/>
      <c r="CA75" s="684"/>
      <c r="CB75" s="684"/>
      <c r="CC75" s="684"/>
      <c r="CD75" s="675">
        <f>_xlfn.XLOOKUP($D75,TalTech!$B$4:$B$46,TalTech!BM$4:BM$46)</f>
        <v>0</v>
      </c>
      <c r="CE75" s="675">
        <f>_xlfn.XLOOKUP($D75,TalTech!$B$4:$B$46,TalTech!BN$4:BN$46)</f>
        <v>0</v>
      </c>
      <c r="CF75" s="675">
        <f>_xlfn.XLOOKUP($D75,TalTech!$B$4:$B$46,TalTech!BO$4:BO$46)</f>
        <v>0</v>
      </c>
      <c r="CG75" s="675">
        <f>_xlfn.XLOOKUP($D75,TalTech!$B$4:$B$46,TalTech!BP$4:BP$46)</f>
        <v>0</v>
      </c>
      <c r="CH75" s="675">
        <f>_xlfn.XLOOKUP($D75,TalTech!$B$4:$B$46,TalTech!BQ$4:BQ$46)</f>
        <v>0</v>
      </c>
      <c r="CI75" s="675">
        <f>_xlfn.XLOOKUP($D75,TalTech!$B$4:$B$46,TalTech!BR$4:BR$46)</f>
        <v>0</v>
      </c>
      <c r="CJ75" s="675">
        <f>_xlfn.XLOOKUP($D75,TalTech!$B$4:$B$46,TalTech!BS$4:BS$46)</f>
        <v>0</v>
      </c>
      <c r="CK75" s="675">
        <f>_xlfn.XLOOKUP($D75,TalTech!$B$4:$B$46,TalTech!BT$4:BT$46)</f>
        <v>0</v>
      </c>
      <c r="CL75" s="675">
        <f>_xlfn.XLOOKUP($D75,TalTech!$B$4:$B$46,TalTech!BU$4:BU$46)</f>
        <v>0</v>
      </c>
      <c r="CM75" s="675">
        <f>_xlfn.XLOOKUP($D75,TalTech!$B$4:$B$46,TalTech!BV$4:BV$46)</f>
        <v>0</v>
      </c>
      <c r="CN75" s="675">
        <f>_xlfn.XLOOKUP($D75,TalTech!$B$4:$B$46,TalTech!BW$4:BW$46)</f>
        <v>0</v>
      </c>
      <c r="CO75" s="493">
        <f t="shared" si="178"/>
        <v>0</v>
      </c>
      <c r="CP75" s="660">
        <f t="shared" si="127"/>
        <v>0</v>
      </c>
      <c r="CQ75" s="1193">
        <f>_xlfn.XLOOKUP($D75,TalTech!$B$4:$B$46,TalTech!$H$4:$H$46)</f>
        <v>0</v>
      </c>
      <c r="CR75" s="662">
        <f t="shared" si="128"/>
        <v>1</v>
      </c>
      <c r="CS75" s="685" t="str">
        <v>100% government</v>
      </c>
      <c r="CT75" s="1862">
        <f t="shared" si="218"/>
        <v>0</v>
      </c>
      <c r="CU75" s="1872"/>
      <c r="CV75" s="1865">
        <f>BH75*Assumptions!D$498</f>
        <v>0</v>
      </c>
      <c r="CW75" s="659">
        <f>BI75*Assumptions!E$498</f>
        <v>0</v>
      </c>
      <c r="CX75" s="659">
        <f>BJ75*Assumptions!F$498</f>
        <v>0</v>
      </c>
      <c r="CY75" s="659">
        <f>BK75*Assumptions!G$498</f>
        <v>0</v>
      </c>
      <c r="CZ75" s="659">
        <f>BL75*Assumptions!H$498</f>
        <v>-8.5445015564822674E-2</v>
      </c>
      <c r="DA75" s="659">
        <f>BM75*Assumptions!I$498</f>
        <v>-0.17378479365006635</v>
      </c>
      <c r="DB75" s="659">
        <f>BN75*Assumptions!J$498</f>
        <v>-0.26517180682497066</v>
      </c>
      <c r="DC75" s="659">
        <f>BO75*Assumptions!K$498</f>
        <v>-0.35976250952773714</v>
      </c>
      <c r="DD75" s="659">
        <f>BP75*Assumptions!L$498</f>
        <v>-0.45771752876306848</v>
      </c>
      <c r="DE75" s="659">
        <f>BQ75*Assumptions!M$498</f>
        <v>-0.5592018586478672</v>
      </c>
      <c r="DF75" s="659">
        <f>BR75*Assumptions!N$498</f>
        <v>-0.6646066070112886</v>
      </c>
      <c r="DG75" s="659">
        <f>BS75*Assumptions!O$498</f>
        <v>-0.77391677572311912</v>
      </c>
      <c r="DH75" s="659">
        <f>BT75*Assumptions!P$498</f>
        <v>-0.88730340127272356</v>
      </c>
      <c r="DI75" s="659">
        <f>BU75*Assumptions!Q$498</f>
        <v>-1.0049442674605167</v>
      </c>
      <c r="DJ75" s="659">
        <f>BV75*Assumptions!R$498</f>
        <v>-1.1270241563037824</v>
      </c>
      <c r="DK75" s="680">
        <f t="shared" si="222"/>
        <v>0</v>
      </c>
      <c r="DL75" s="680">
        <f t="shared" si="223"/>
        <v>0</v>
      </c>
      <c r="DM75" s="680">
        <f t="shared" si="224"/>
        <v>0</v>
      </c>
      <c r="DN75" s="680">
        <f t="shared" si="225"/>
        <v>0</v>
      </c>
      <c r="DO75" s="680">
        <f t="shared" si="226"/>
        <v>-8.5445015564822674E-2</v>
      </c>
      <c r="DP75" s="680">
        <f t="shared" si="227"/>
        <v>-0.17378479365006635</v>
      </c>
      <c r="DQ75" s="680">
        <f t="shared" si="228"/>
        <v>-0.26517180682497066</v>
      </c>
      <c r="DR75" s="680">
        <f t="shared" si="229"/>
        <v>-0.35976250952773714</v>
      </c>
      <c r="DS75" s="680">
        <f t="shared" si="230"/>
        <v>-0.45771752876306848</v>
      </c>
      <c r="DT75" s="680">
        <f t="shared" si="231"/>
        <v>-0.5592018586478672</v>
      </c>
      <c r="DU75" s="680">
        <f t="shared" si="252"/>
        <v>-0.6646066070112886</v>
      </c>
      <c r="DV75" s="680">
        <f t="shared" si="253"/>
        <v>-0.77391677572311912</v>
      </c>
      <c r="DW75" s="680">
        <f t="shared" si="254"/>
        <v>-0.88730340127272356</v>
      </c>
      <c r="DX75" s="680">
        <f t="shared" si="255"/>
        <v>-1.0049442674605167</v>
      </c>
      <c r="DY75" s="680">
        <f t="shared" si="256"/>
        <v>-1.1270241563037824</v>
      </c>
      <c r="DZ75" s="678">
        <v>1</v>
      </c>
      <c r="EA75" s="661">
        <f t="shared" si="130"/>
        <v>0</v>
      </c>
      <c r="EB75" s="1861">
        <f t="shared" si="236"/>
        <v>-0.19010835129785325</v>
      </c>
      <c r="EC75" s="1881"/>
      <c r="ED75" s="1877">
        <v>0</v>
      </c>
      <c r="EE75" s="684"/>
      <c r="EF75" s="684"/>
      <c r="EG75" s="684"/>
      <c r="EH75" s="684"/>
      <c r="EI75" s="665">
        <f t="shared" si="239"/>
        <v>0</v>
      </c>
      <c r="EJ75" s="665">
        <f t="shared" si="240"/>
        <v>0</v>
      </c>
      <c r="EK75" s="665">
        <f t="shared" si="241"/>
        <v>0</v>
      </c>
      <c r="EL75" s="665">
        <f t="shared" si="242"/>
        <v>0</v>
      </c>
      <c r="EM75" s="665">
        <f t="shared" si="243"/>
        <v>0</v>
      </c>
      <c r="EN75" s="665">
        <f t="shared" si="244"/>
        <v>0</v>
      </c>
      <c r="EO75" s="665">
        <f t="shared" si="245"/>
        <v>0</v>
      </c>
      <c r="EP75" s="665">
        <f t="shared" si="246"/>
        <v>0</v>
      </c>
      <c r="EQ75" s="665">
        <f t="shared" si="247"/>
        <v>0</v>
      </c>
      <c r="ER75" s="665">
        <f t="shared" si="248"/>
        <v>0</v>
      </c>
      <c r="ES75" s="665">
        <f t="shared" si="249"/>
        <v>0</v>
      </c>
      <c r="ET75" s="541">
        <f t="shared" si="133"/>
        <v>0</v>
      </c>
      <c r="EU75" s="1450" cm="1">
        <f t="array" ref="EU75">(BH75*SUMPRODUCT($S75:$X75,TRANSPOSE(Assumptions!D$281:D$286)))*0.001</f>
        <v>0</v>
      </c>
      <c r="EV75" s="1450" cm="1">
        <f t="array" ref="EV75">(BI75*SUMPRODUCT($S75:$X75,TRANSPOSE(Assumptions!E$281:E$286)))*0.001</f>
        <v>0</v>
      </c>
      <c r="EW75" s="1450" cm="1">
        <f t="array" ref="EW75">(BJ75*SUMPRODUCT($S75:$X75,TRANSPOSE(Assumptions!F$281:F$286)))*0.001</f>
        <v>0</v>
      </c>
      <c r="EX75" s="1450" cm="1">
        <f t="array" ref="EX75">(BK75*SUMPRODUCT($S75:$X75,TRANSPOSE(Assumptions!G$281:G$286)))*0.001</f>
        <v>0</v>
      </c>
      <c r="EY75" s="1450" cm="1">
        <f t="array" ref="EY75">(BL75*SUMPRODUCT($S75:$X75,TRANSPOSE(Assumptions!H$281:H$286)))*0.001</f>
        <v>0</v>
      </c>
      <c r="EZ75" s="1450" cm="1">
        <f t="array" ref="EZ75">(BM75*SUMPRODUCT($S75:$X75,TRANSPOSE(Assumptions!I$281:I$286)))*0.001</f>
        <v>0</v>
      </c>
      <c r="FA75" s="1450" cm="1">
        <f t="array" ref="FA75">(BN75*SUMPRODUCT($S75:$X75,TRANSPOSE(Assumptions!J$281:J$286)))*0.001</f>
        <v>0</v>
      </c>
      <c r="FB75" s="1450" cm="1">
        <f t="array" ref="FB75">(BO75*SUMPRODUCT($S75:$X75,TRANSPOSE(Assumptions!K$281:K$286)))*0.001</f>
        <v>0</v>
      </c>
      <c r="FC75" s="1450" cm="1">
        <f t="array" ref="FC75">(BP75*SUMPRODUCT($S75:$X75,TRANSPOSE(Assumptions!L$281:L$286)))*0.001</f>
        <v>0</v>
      </c>
      <c r="FD75" s="1450" cm="1">
        <f t="array" ref="FD75">(BQ75*SUMPRODUCT($S75:$X75,TRANSPOSE(Assumptions!M$281:M$286)))*0.001</f>
        <v>0</v>
      </c>
      <c r="FE75" s="1450" cm="1">
        <f t="array" ref="FE75">(BR75*SUMPRODUCT($S75:$X75,TRANSPOSE(Assumptions!N$281:N$286)))*0.001</f>
        <v>0</v>
      </c>
      <c r="FF75" s="1450" cm="1">
        <f t="array" ref="FF75">(BS75*SUMPRODUCT($S75:$X75,TRANSPOSE(Assumptions!O$281:O$286)))*0.001</f>
        <v>0</v>
      </c>
      <c r="FG75" s="1450" cm="1">
        <f t="array" ref="FG75">(BT75*SUMPRODUCT($S75:$X75,TRANSPOSE(Assumptions!P$281:P$286)))*0.001</f>
        <v>0</v>
      </c>
      <c r="FH75" s="1450" cm="1">
        <f t="array" ref="FH75">(BU75*SUMPRODUCT($S75:$X75,TRANSPOSE(Assumptions!Q$281:Q$286)))*0.001</f>
        <v>0</v>
      </c>
      <c r="FI75" s="1450" cm="1">
        <f t="array" ref="FI75">(BV75*SUMPRODUCT($S75:$X75,TRANSPOSE(Assumptions!R$281:R$286)))*0.001</f>
        <v>0</v>
      </c>
      <c r="FJ75" s="666">
        <f t="shared" si="207"/>
        <v>0</v>
      </c>
      <c r="FK75" s="666">
        <f t="shared" si="208"/>
        <v>0</v>
      </c>
      <c r="FL75" s="666">
        <f t="shared" si="209"/>
        <v>0</v>
      </c>
      <c r="FM75" s="666">
        <f t="shared" si="210"/>
        <v>0</v>
      </c>
      <c r="FN75" s="666">
        <f t="shared" si="211"/>
        <v>0</v>
      </c>
      <c r="FO75" s="666">
        <f t="shared" si="212"/>
        <v>0</v>
      </c>
      <c r="FP75" s="666">
        <f t="shared" si="213"/>
        <v>0</v>
      </c>
      <c r="FQ75" s="666">
        <f t="shared" si="214"/>
        <v>0</v>
      </c>
      <c r="FR75" s="666">
        <f t="shared" si="215"/>
        <v>0</v>
      </c>
      <c r="FS75" s="666">
        <f t="shared" si="216"/>
        <v>0</v>
      </c>
      <c r="FT75" s="666">
        <f t="shared" si="144"/>
        <v>0</v>
      </c>
      <c r="FU75" s="666">
        <f t="shared" si="145"/>
        <v>0</v>
      </c>
      <c r="FV75" s="666">
        <f t="shared" si="146"/>
        <v>0</v>
      </c>
      <c r="FW75" s="666">
        <f t="shared" si="147"/>
        <v>0</v>
      </c>
      <c r="FX75" s="1883">
        <f t="shared" si="148"/>
        <v>0</v>
      </c>
      <c r="FY75" s="1895"/>
      <c r="FZ75" s="1890">
        <v>0</v>
      </c>
      <c r="GA75" s="491">
        <v>0</v>
      </c>
      <c r="GB75" s="491">
        <v>0</v>
      </c>
      <c r="GC75" s="491">
        <v>0</v>
      </c>
      <c r="GD75" s="491">
        <v>0</v>
      </c>
      <c r="GE75" s="491">
        <v>0</v>
      </c>
      <c r="GF75" s="491">
        <v>0</v>
      </c>
      <c r="GG75" s="491">
        <v>0</v>
      </c>
      <c r="GH75" s="491">
        <v>0</v>
      </c>
      <c r="GI75" s="491">
        <v>0</v>
      </c>
      <c r="GJ75" s="491">
        <v>0</v>
      </c>
      <c r="GK75" s="491">
        <v>0</v>
      </c>
      <c r="GL75" s="491">
        <v>0</v>
      </c>
      <c r="GM75" s="491">
        <v>0</v>
      </c>
      <c r="GN75" s="1900">
        <v>0</v>
      </c>
      <c r="GO75" s="1912"/>
      <c r="GP75" s="1868">
        <f>BH75*INDEX(Assumptions!G$565:G$570,MATCH($B75,Assumptions!$B$565:$B$570,0))</f>
        <v>0</v>
      </c>
      <c r="GQ75" s="656">
        <f>BI75*INDEX(Assumptions!H$565:H$570,MATCH($B75,Assumptions!$B$565:$B$570,0))</f>
        <v>0</v>
      </c>
      <c r="GR75" s="656">
        <f>BJ75*INDEX(Assumptions!I$565:I$570,MATCH($B75,Assumptions!$B$565:$B$570,0))</f>
        <v>0</v>
      </c>
      <c r="GS75" s="656">
        <f>BK75*INDEX(Assumptions!J$565:J$570,MATCH($B75,Assumptions!$B$565:$B$570,0))</f>
        <v>0</v>
      </c>
      <c r="GT75" s="656">
        <f>BL75*INDEX(Assumptions!K$565:K$570,MATCH($B75,Assumptions!$B$565:$B$570,0))</f>
        <v>-0.2278018809264889</v>
      </c>
      <c r="GU75" s="656">
        <f>BM75*INDEX(Assumptions!L$565:L$570,MATCH($B75,Assumptions!$B$565:$B$570,0))</f>
        <v>-0.45658857797885799</v>
      </c>
      <c r="GV75" s="656">
        <f>BN75*INDEX(Assumptions!M$565:M$570,MATCH($B75,Assumptions!$B$565:$B$570,0))</f>
        <v>-0.68572128179385261</v>
      </c>
      <c r="GW75" s="656">
        <f>BO75*INDEX(Assumptions!N$565:N$570,MATCH($B75,Assumptions!$B$565:$B$570,0))</f>
        <v>-0.91463703415890341</v>
      </c>
      <c r="GX75" s="656">
        <f>BP75*INDEX(Assumptions!O$565:O$570,MATCH($B75,Assumptions!$B$565:$B$570,0))</f>
        <v>-1.1428454056554203</v>
      </c>
      <c r="GY75" s="656">
        <f>BQ75*INDEX(Assumptions!P$565:P$570,MATCH($B75,Assumptions!$B$565:$B$570,0))</f>
        <v>-1.3653776254621659</v>
      </c>
      <c r="GZ75" s="656">
        <f>BR75*INDEX(Assumptions!Q$565:Q$570,MATCH($B75,Assumptions!$B$565:$B$570,0))</f>
        <v>-1.512551970029971</v>
      </c>
      <c r="HA75" s="656">
        <f>BS75*INDEX(Assumptions!R$565:R$570,MATCH($B75,Assumptions!$B$565:$B$570,0))</f>
        <v>-1.8811394679146058</v>
      </c>
      <c r="HB75" s="656">
        <f>BT75*INDEX(Assumptions!S$565:S$570,MATCH($B75,Assumptions!$B$565:$B$570,0))</f>
        <v>-2.1162819014039318</v>
      </c>
      <c r="HC75" s="656">
        <f>BU75*INDEX(Assumptions!T$565:T$570,MATCH($B75,Assumptions!$B$565:$B$570,0))</f>
        <v>-2.3438448389809596</v>
      </c>
      <c r="HD75" s="1922">
        <f>BV75*INDEX(Assumptions!U$565:U$570,MATCH($B75,Assumptions!$B$565:$B$570,0))</f>
        <v>-2.5698918773755279</v>
      </c>
      <c r="HE75" s="1933"/>
      <c r="HF75" s="1927"/>
      <c r="HG75" s="501"/>
      <c r="HH75" s="501"/>
      <c r="HI75" s="501"/>
      <c r="HJ75" s="501"/>
      <c r="HK75" s="501"/>
      <c r="HL75" s="501"/>
      <c r="HM75" s="501"/>
      <c r="HN75" s="501"/>
      <c r="HO75" s="501"/>
      <c r="HP75" s="501"/>
      <c r="HQ75" s="501"/>
      <c r="HR75" s="501"/>
      <c r="HS75" s="501"/>
      <c r="HT75" s="501"/>
      <c r="HU75" s="501"/>
      <c r="HV75" s="656"/>
      <c r="HW75" s="1922"/>
      <c r="HX75" s="1946"/>
      <c r="HY75" s="1943"/>
      <c r="HZ75" s="695"/>
      <c r="IA75" s="683"/>
      <c r="IB75" s="683"/>
      <c r="IC75" s="694"/>
      <c r="ID75" s="1376"/>
      <c r="IE75" s="1968"/>
      <c r="IF75" s="1963">
        <v>0</v>
      </c>
      <c r="IG75" s="538"/>
      <c r="IH75" s="538"/>
      <c r="II75" s="538"/>
      <c r="IJ75" s="538"/>
      <c r="IK75" s="1276"/>
      <c r="IL75" s="1280"/>
      <c r="IM75" s="1294" t="s">
        <v>831</v>
      </c>
    </row>
    <row r="76" spans="2:247" ht="13.5" customHeight="1" x14ac:dyDescent="0.3">
      <c r="B76" s="1703" t="s">
        <v>53</v>
      </c>
      <c r="C76" s="2113"/>
      <c r="D76" s="679" t="s">
        <v>834</v>
      </c>
      <c r="E76" s="1787" t="s">
        <v>835</v>
      </c>
      <c r="F76" s="1810"/>
      <c r="G76" s="1795" t="s">
        <v>836</v>
      </c>
      <c r="H76" s="1195" t="s">
        <v>837</v>
      </c>
      <c r="I76" s="13"/>
      <c r="J76" s="696"/>
      <c r="K76" s="71" t="s">
        <v>648</v>
      </c>
      <c r="L76" s="2043" t="s">
        <v>565</v>
      </c>
      <c r="M76" s="1827"/>
      <c r="N76" s="1817"/>
      <c r="O76" s="1177"/>
      <c r="P76" s="1177"/>
      <c r="Q76" s="1178">
        <v>1</v>
      </c>
      <c r="R76" s="1177"/>
      <c r="S76" s="1445" cm="1">
        <f t="array" ref="S76:X76">TRANSPOSE(_xlfn.XLOOKUP(B76,Assumptions!$C$134:$I$134,Assumptions!$C$135:$I$140))</f>
        <v>0.89766686718609423</v>
      </c>
      <c r="T76" s="1445">
        <v>2.0574367766823833E-2</v>
      </c>
      <c r="U76" s="1445">
        <v>0</v>
      </c>
      <c r="V76" s="1445">
        <v>6.4936780001525515E-2</v>
      </c>
      <c r="W76" s="1445">
        <v>0</v>
      </c>
      <c r="X76" s="1445">
        <v>1.6821985045556383E-2</v>
      </c>
      <c r="Y76" s="1187" cm="1">
        <f t="array" ref="Y76:AC76">_xlfn.XLOOKUP($Y$6:$AC$6,Assumptions!$H$708:$L$708,Assumptions!$H$715:$L$715)</f>
        <v>0.86820541512921667</v>
      </c>
      <c r="Z76" s="1187">
        <v>2.9698754222823431E-2</v>
      </c>
      <c r="AA76" s="1187">
        <v>1.6179522227809374E-2</v>
      </c>
      <c r="AB76" s="1187">
        <v>8.345166682011658E-2</v>
      </c>
      <c r="AC76" s="1187">
        <v>2.4646416000339952E-3</v>
      </c>
      <c r="AD76" s="1177"/>
      <c r="AE76" s="1177"/>
      <c r="AF76" s="1177"/>
      <c r="AG76" s="1177"/>
      <c r="AH76" s="1177"/>
      <c r="AI76" s="1177"/>
      <c r="AJ76" s="1177"/>
      <c r="AK76" s="1417">
        <f t="shared" si="176"/>
        <v>0</v>
      </c>
      <c r="AL76" s="1177"/>
      <c r="AM76" s="1177"/>
      <c r="AN76" s="1177"/>
      <c r="AO76" s="1834">
        <v>0</v>
      </c>
      <c r="AP76" s="1847"/>
      <c r="AQ76" s="1837">
        <f t="shared" si="250"/>
        <v>0.46285714285714291</v>
      </c>
      <c r="AR76" s="663"/>
      <c r="AS76" s="663"/>
      <c r="AT76" s="680">
        <f>_xlfn.XLOOKUP($D76,'KLIM 2021-30'!$C$4:$C$57,'KLIM 2021-30'!V$4:V$57)</f>
        <v>0.46285714285714291</v>
      </c>
      <c r="AU76" s="663"/>
      <c r="AV76" s="663"/>
      <c r="AW76" s="663"/>
      <c r="AX76" s="663"/>
      <c r="AY76" s="663"/>
      <c r="AZ76" s="663"/>
      <c r="BA76" s="663"/>
      <c r="BB76" s="663"/>
      <c r="BC76" s="663"/>
      <c r="BD76" s="663"/>
      <c r="BE76" s="663"/>
      <c r="BF76" s="663"/>
      <c r="BG76" s="501">
        <f t="shared" si="177"/>
        <v>0</v>
      </c>
      <c r="BH76" s="893">
        <f t="shared" si="111"/>
        <v>0</v>
      </c>
      <c r="BI76" s="658">
        <f t="shared" si="112"/>
        <v>0</v>
      </c>
      <c r="BJ76" s="658">
        <f t="shared" si="113"/>
        <v>0.46285714285714291</v>
      </c>
      <c r="BK76" s="658">
        <f t="shared" si="114"/>
        <v>0.46285714285714291</v>
      </c>
      <c r="BL76" s="658">
        <f t="shared" si="115"/>
        <v>0.46285714285714291</v>
      </c>
      <c r="BM76" s="658">
        <f t="shared" si="116"/>
        <v>0.46285714285714291</v>
      </c>
      <c r="BN76" s="658">
        <f t="shared" si="117"/>
        <v>0.46285714285714291</v>
      </c>
      <c r="BO76" s="658">
        <f t="shared" si="118"/>
        <v>0.46285714285714291</v>
      </c>
      <c r="BP76" s="658">
        <f t="shared" si="119"/>
        <v>0.46285714285714291</v>
      </c>
      <c r="BQ76" s="658">
        <f t="shared" si="120"/>
        <v>0.46285714285714291</v>
      </c>
      <c r="BR76" s="658">
        <f t="shared" si="121"/>
        <v>0.46285714285714291</v>
      </c>
      <c r="BS76" s="658">
        <f t="shared" si="122"/>
        <v>0.46285714285714291</v>
      </c>
      <c r="BT76" s="658">
        <f t="shared" si="123"/>
        <v>0.46285714285714291</v>
      </c>
      <c r="BU76" s="658">
        <f t="shared" si="124"/>
        <v>0.46285714285714291</v>
      </c>
      <c r="BV76" s="1851">
        <f t="shared" si="125"/>
        <v>0.46285714285714291</v>
      </c>
      <c r="BW76" s="1661"/>
      <c r="BX76" s="1855">
        <v>2.5</v>
      </c>
      <c r="BY76" s="1192">
        <f t="shared" si="126"/>
        <v>54012.345679012345</v>
      </c>
      <c r="BZ76" s="659">
        <f>INDEX(Sources!AZ$27:AZ$42,MATCH($D76,Sources!$E$27:$E$42,0))</f>
        <v>2.5</v>
      </c>
      <c r="CA76" s="659">
        <f>INDEX(Sources!BA$27:BA$42,MATCH($D76,Sources!$E$27:$E$42,0))</f>
        <v>2.5</v>
      </c>
      <c r="CB76" s="659">
        <f>INDEX(Sources!BB$27:BB$42,MATCH($D76,Sources!$E$27:$E$42,0))</f>
        <v>2.5</v>
      </c>
      <c r="CC76" s="659">
        <f>INDEX(Sources!BC$27:BC$42,MATCH($D76,Sources!$E$27:$E$42,0))</f>
        <v>2.5</v>
      </c>
      <c r="CD76" s="659">
        <f>INDEX(Sources!BD$27:BD$42,MATCH($D76,Sources!$E$27:$E$42,0))</f>
        <v>2.5</v>
      </c>
      <c r="CE76" s="659">
        <f>INDEX(Sources!BE$27:BE$42,MATCH($D76,Sources!$E$27:$E$42,0))</f>
        <v>2.5</v>
      </c>
      <c r="CF76" s="659">
        <f>INDEX(Sources!BF$27:BF$42,MATCH($D76,Sources!$E$27:$E$42,0))</f>
        <v>2.5</v>
      </c>
      <c r="CG76" s="659">
        <f>INDEX(Sources!BG$27:BG$42,MATCH($D76,Sources!$E$27:$E$42,0))</f>
        <v>2.5</v>
      </c>
      <c r="CH76" s="659">
        <f>INDEX(Sources!BH$27:BH$42,MATCH($D76,Sources!$E$27:$E$42,0))</f>
        <v>2.5</v>
      </c>
      <c r="CI76" s="659">
        <f>INDEX(Sources!BI$27:BI$42,MATCH($D76,Sources!$E$27:$E$42,0))</f>
        <v>2.5</v>
      </c>
      <c r="CJ76" s="659">
        <f>INDEX(Sources!BJ$27:BJ$42,MATCH($D76,Sources!$E$27:$E$42,0))</f>
        <v>1</v>
      </c>
      <c r="CK76" s="663"/>
      <c r="CL76" s="663"/>
      <c r="CM76" s="663"/>
      <c r="CN76" s="663"/>
      <c r="CO76" s="493">
        <f t="shared" si="178"/>
        <v>2.3125</v>
      </c>
      <c r="CP76" s="660">
        <f t="shared" si="127"/>
        <v>25</v>
      </c>
      <c r="CQ76" s="661">
        <f>INDEX(Sources!BJ$27:BJ$42,MATCH($D76,Sources!$E$27:$E$42,0))</f>
        <v>1</v>
      </c>
      <c r="CR76" s="662">
        <f t="shared" si="128"/>
        <v>0</v>
      </c>
      <c r="CS76" s="685" t="str">
        <v>100% government</v>
      </c>
      <c r="CT76" s="1862">
        <f t="shared" si="218"/>
        <v>2.5</v>
      </c>
      <c r="CU76" s="1872"/>
      <c r="CV76" s="1865">
        <f>BH76*Assumptions!D$498</f>
        <v>0</v>
      </c>
      <c r="CW76" s="659">
        <f>BI76*Assumptions!E$498</f>
        <v>0</v>
      </c>
      <c r="CX76" s="659">
        <f>BJ76*Assumptions!F$498</f>
        <v>4.2978212613927348E-2</v>
      </c>
      <c r="CY76" s="659">
        <f>BK76*Assumptions!G$498</f>
        <v>4.6145346738765733E-2</v>
      </c>
      <c r="CZ76" s="659">
        <f>BL76*Assumptions!H$498</f>
        <v>4.8132181354868665E-2</v>
      </c>
      <c r="DA76" s="659">
        <f>BM76*Assumptions!I$498</f>
        <v>4.8947508227309089E-2</v>
      </c>
      <c r="DB76" s="659">
        <f>BN76*Assumptions!J$498</f>
        <v>4.9791464963082371E-2</v>
      </c>
      <c r="DC76" s="659">
        <f>BO76*Assumptions!K$498</f>
        <v>5.0664612320583072E-2</v>
      </c>
      <c r="DD76" s="659">
        <f>BP76*Assumptions!L$498</f>
        <v>5.1567532542638725E-2</v>
      </c>
      <c r="DE76" s="659">
        <f>BQ76*Assumptions!M$498</f>
        <v>5.2500829717795364E-2</v>
      </c>
      <c r="DF76" s="659">
        <f>BR76*Assumptions!N$498</f>
        <v>5.3482958814177688E-2</v>
      </c>
      <c r="DG76" s="659">
        <f>BS76*Assumptions!O$498</f>
        <v>5.4494551783451507E-2</v>
      </c>
      <c r="DH76" s="659">
        <f>BT76*Assumptions!P$498</f>
        <v>5.5536492541803519E-2</v>
      </c>
      <c r="DI76" s="659">
        <f>BU76*Assumptions!Q$498</f>
        <v>5.6609691522906118E-2</v>
      </c>
      <c r="DJ76" s="659">
        <f>BV76*Assumptions!R$498</f>
        <v>5.7715086473441771E-2</v>
      </c>
      <c r="DK76" s="680">
        <f t="shared" si="222"/>
        <v>0</v>
      </c>
      <c r="DL76" s="680">
        <f t="shared" si="223"/>
        <v>0</v>
      </c>
      <c r="DM76" s="680">
        <f t="shared" si="224"/>
        <v>4.2978212613927348E-2</v>
      </c>
      <c r="DN76" s="680">
        <f t="shared" si="225"/>
        <v>4.6145346738765733E-2</v>
      </c>
      <c r="DO76" s="680">
        <f t="shared" si="226"/>
        <v>4.8132181354868665E-2</v>
      </c>
      <c r="DP76" s="680">
        <f t="shared" si="227"/>
        <v>4.8947508227309089E-2</v>
      </c>
      <c r="DQ76" s="680">
        <f t="shared" si="228"/>
        <v>4.9791464963082371E-2</v>
      </c>
      <c r="DR76" s="680">
        <f t="shared" si="229"/>
        <v>5.0664612320583072E-2</v>
      </c>
      <c r="DS76" s="680">
        <f t="shared" si="230"/>
        <v>5.1567532542638725E-2</v>
      </c>
      <c r="DT76" s="680">
        <f t="shared" si="231"/>
        <v>5.2500829717795364E-2</v>
      </c>
      <c r="DU76" s="680">
        <f t="shared" si="252"/>
        <v>5.3482958814177688E-2</v>
      </c>
      <c r="DV76" s="680">
        <f t="shared" si="253"/>
        <v>5.4494551783451507E-2</v>
      </c>
      <c r="DW76" s="680">
        <f t="shared" si="254"/>
        <v>5.5536492541803519E-2</v>
      </c>
      <c r="DX76" s="680">
        <f t="shared" si="255"/>
        <v>5.6609691522906118E-2</v>
      </c>
      <c r="DY76" s="680">
        <f t="shared" si="256"/>
        <v>5.7715086473441771E-2</v>
      </c>
      <c r="DZ76" s="678">
        <v>1</v>
      </c>
      <c r="EA76" s="661">
        <f t="shared" si="130"/>
        <v>0</v>
      </c>
      <c r="EB76" s="1861">
        <f t="shared" si="236"/>
        <v>3.9072768847897038E-2</v>
      </c>
      <c r="EC76" s="1881"/>
      <c r="ED76" s="1877">
        <v>0</v>
      </c>
      <c r="EE76" s="684"/>
      <c r="EF76" s="684"/>
      <c r="EG76" s="684"/>
      <c r="EH76" s="684"/>
      <c r="EI76" s="665">
        <f t="shared" si="239"/>
        <v>0</v>
      </c>
      <c r="EJ76" s="665">
        <f t="shared" si="240"/>
        <v>0</v>
      </c>
      <c r="EK76" s="665">
        <f t="shared" si="241"/>
        <v>0</v>
      </c>
      <c r="EL76" s="665">
        <f t="shared" si="242"/>
        <v>0</v>
      </c>
      <c r="EM76" s="665">
        <f t="shared" si="243"/>
        <v>0</v>
      </c>
      <c r="EN76" s="665">
        <f t="shared" si="244"/>
        <v>0</v>
      </c>
      <c r="EO76" s="665">
        <f t="shared" si="245"/>
        <v>0</v>
      </c>
      <c r="EP76" s="665">
        <f t="shared" si="246"/>
        <v>0</v>
      </c>
      <c r="EQ76" s="665">
        <f t="shared" si="247"/>
        <v>0</v>
      </c>
      <c r="ER76" s="665">
        <f t="shared" si="248"/>
        <v>0</v>
      </c>
      <c r="ES76" s="665">
        <f t="shared" si="249"/>
        <v>0</v>
      </c>
      <c r="ET76" s="541">
        <f t="shared" si="133"/>
        <v>0</v>
      </c>
      <c r="EU76" s="1450" cm="1">
        <f t="array" ref="EU76">(BH76*SUMPRODUCT($S76:$X76,TRANSPOSE(Assumptions!D$281:D$286)))*0.001</f>
        <v>0</v>
      </c>
      <c r="EV76" s="1450" cm="1">
        <f t="array" ref="EV76">(BI76*SUMPRODUCT($S76:$X76,TRANSPOSE(Assumptions!E$281:E$286)))*0.001</f>
        <v>0</v>
      </c>
      <c r="EW76" s="1450" cm="1">
        <f t="array" ref="EW76">(BJ76*SUMPRODUCT($S76:$X76,TRANSPOSE(Assumptions!F$281:F$286)))*0.001</f>
        <v>1.6422409061374248E-2</v>
      </c>
      <c r="EX76" s="1450" cm="1">
        <f t="array" ref="EX76">(BK76*SUMPRODUCT($S76:$X76,TRANSPOSE(Assumptions!G$281:G$286)))*0.001</f>
        <v>1.8815257770134555E-2</v>
      </c>
      <c r="EY76" s="1450" cm="1">
        <f t="array" ref="EY76">(BL76*SUMPRODUCT($S76:$X76,TRANSPOSE(Assumptions!H$281:H$286)))*0.001</f>
        <v>2.0011682124514703E-2</v>
      </c>
      <c r="EZ76" s="1450" cm="1">
        <f t="array" ref="EZ76">(BM76*SUMPRODUCT($S76:$X76,TRANSPOSE(Assumptions!I$281:I$286)))*0.001</f>
        <v>2.0011682124514703E-2</v>
      </c>
      <c r="FA76" s="1450" cm="1">
        <f t="array" ref="FA76">(BN76*SUMPRODUCT($S76:$X76,TRANSPOSE(Assumptions!J$281:J$286)))*0.001</f>
        <v>2.0011682124514703E-2</v>
      </c>
      <c r="FB76" s="1450" cm="1">
        <f t="array" ref="FB76">(BO76*SUMPRODUCT($S76:$X76,TRANSPOSE(Assumptions!K$281:K$286)))*0.001</f>
        <v>2.0011682124514703E-2</v>
      </c>
      <c r="FC76" s="1450" cm="1">
        <f t="array" ref="FC76">(BP76*SUMPRODUCT($S76:$X76,TRANSPOSE(Assumptions!L$281:L$286)))*0.001</f>
        <v>2.0011682124514703E-2</v>
      </c>
      <c r="FD76" s="1450" cm="1">
        <f t="array" ref="FD76">(BQ76*SUMPRODUCT($S76:$X76,TRANSPOSE(Assumptions!M$281:M$286)))*0.001</f>
        <v>2.0011682124514703E-2</v>
      </c>
      <c r="FE76" s="1450" cm="1">
        <f t="array" ref="FE76">(BR76*SUMPRODUCT($S76:$X76,TRANSPOSE(Assumptions!N$281:N$286)))*0.001</f>
        <v>2.0011682124514703E-2</v>
      </c>
      <c r="FF76" s="1450" cm="1">
        <f t="array" ref="FF76">(BS76*SUMPRODUCT($S76:$X76,TRANSPOSE(Assumptions!O$281:O$286)))*0.001</f>
        <v>2.0011682124514703E-2</v>
      </c>
      <c r="FG76" s="1450" cm="1">
        <f t="array" ref="FG76">(BT76*SUMPRODUCT($S76:$X76,TRANSPOSE(Assumptions!P$281:P$286)))*0.001</f>
        <v>2.0011682124514703E-2</v>
      </c>
      <c r="FH76" s="1450" cm="1">
        <f t="array" ref="FH76">(BU76*SUMPRODUCT($S76:$X76,TRANSPOSE(Assumptions!Q$281:Q$286)))*0.001</f>
        <v>2.0011682124514703E-2</v>
      </c>
      <c r="FI76" s="1450" cm="1">
        <f t="array" ref="FI76">(BV76*SUMPRODUCT($S76:$X76,TRANSPOSE(Assumptions!R$281:R$286)))*0.001</f>
        <v>2.0011682124514703E-2</v>
      </c>
      <c r="FJ76" s="666">
        <f t="shared" si="207"/>
        <v>0</v>
      </c>
      <c r="FK76" s="666">
        <f t="shared" si="208"/>
        <v>0</v>
      </c>
      <c r="FL76" s="666">
        <f t="shared" si="209"/>
        <v>-1.6422409061374248E-2</v>
      </c>
      <c r="FM76" s="666">
        <f t="shared" si="210"/>
        <v>-1.8815257770134555E-2</v>
      </c>
      <c r="FN76" s="666">
        <f t="shared" si="211"/>
        <v>-2.0011682124514703E-2</v>
      </c>
      <c r="FO76" s="666">
        <f t="shared" si="212"/>
        <v>-2.0011682124514703E-2</v>
      </c>
      <c r="FP76" s="666">
        <f t="shared" si="213"/>
        <v>-2.0011682124514703E-2</v>
      </c>
      <c r="FQ76" s="666">
        <f t="shared" si="214"/>
        <v>-2.0011682124514703E-2</v>
      </c>
      <c r="FR76" s="666">
        <f t="shared" si="215"/>
        <v>-2.0011682124514703E-2</v>
      </c>
      <c r="FS76" s="666">
        <f t="shared" si="216"/>
        <v>-2.0011682124514703E-2</v>
      </c>
      <c r="FT76" s="666">
        <f t="shared" si="144"/>
        <v>-2.0011682124514703E-2</v>
      </c>
      <c r="FU76" s="666">
        <f t="shared" si="145"/>
        <v>-2.0011682124514703E-2</v>
      </c>
      <c r="FV76" s="666">
        <f t="shared" si="146"/>
        <v>-2.0011682124514703E-2</v>
      </c>
      <c r="FW76" s="666">
        <f t="shared" si="147"/>
        <v>-2.0011682124514703E-2</v>
      </c>
      <c r="FX76" s="1883">
        <f t="shared" si="148"/>
        <v>-2.0011682124514703E-2</v>
      </c>
      <c r="FY76" s="1895"/>
      <c r="FZ76" s="1890">
        <v>0</v>
      </c>
      <c r="GA76" s="491">
        <v>0</v>
      </c>
      <c r="GB76" s="491">
        <v>0</v>
      </c>
      <c r="GC76" s="491">
        <v>0</v>
      </c>
      <c r="GD76" s="491">
        <v>0</v>
      </c>
      <c r="GE76" s="491">
        <v>0</v>
      </c>
      <c r="GF76" s="491">
        <v>0</v>
      </c>
      <c r="GG76" s="491">
        <v>0</v>
      </c>
      <c r="GH76" s="491">
        <v>0</v>
      </c>
      <c r="GI76" s="491">
        <v>0</v>
      </c>
      <c r="GJ76" s="491">
        <v>0</v>
      </c>
      <c r="GK76" s="491">
        <v>0</v>
      </c>
      <c r="GL76" s="491">
        <v>0</v>
      </c>
      <c r="GM76" s="491">
        <v>0</v>
      </c>
      <c r="GN76" s="1900">
        <v>0</v>
      </c>
      <c r="GO76" s="1912"/>
      <c r="GP76" s="1868">
        <f>BH76*INDEX(Assumptions!G$565:G$570,MATCH($B76,Assumptions!$B$565:$B$570,0))</f>
        <v>0</v>
      </c>
      <c r="GQ76" s="656">
        <f>BI76*INDEX(Assumptions!H$565:H$570,MATCH($B76,Assumptions!$B$565:$B$570,0))</f>
        <v>0</v>
      </c>
      <c r="GR76" s="656">
        <f>BJ76*INDEX(Assumptions!I$565:I$570,MATCH($B76,Assumptions!$B$565:$B$570,0))</f>
        <v>0.12736418184212003</v>
      </c>
      <c r="GS76" s="656">
        <f>BK76*INDEX(Assumptions!J$565:J$570,MATCH($B76,Assumptions!$B$565:$B$570,0))</f>
        <v>0.12791507679474695</v>
      </c>
      <c r="GT76" s="656">
        <f>BL76*INDEX(Assumptions!K$565:K$570,MATCH($B76,Assumptions!$B$565:$B$570,0))</f>
        <v>0.12832347648664993</v>
      </c>
      <c r="GU76" s="656">
        <f>BM76*INDEX(Assumptions!L$565:L$570,MATCH($B76,Assumptions!$B$565:$B$570,0))</f>
        <v>0.12860085573492278</v>
      </c>
      <c r="GV76" s="656">
        <f>BN76*INDEX(Assumptions!M$565:M$570,MATCH($B76,Assumptions!$B$565:$B$570,0))</f>
        <v>0.12875828537614867</v>
      </c>
      <c r="GW76" s="656">
        <f>BO76*INDEX(Assumptions!N$565:N$570,MATCH($B76,Assumptions!$B$565:$B$570,0))</f>
        <v>0.12880644737145969</v>
      </c>
      <c r="GX76" s="656">
        <f>BP76*INDEX(Assumptions!O$565:O$570,MATCH($B76,Assumptions!$B$565:$B$570,0))</f>
        <v>0.12875564937747297</v>
      </c>
      <c r="GY76" s="656">
        <f>BQ76*INDEX(Assumptions!P$565:P$570,MATCH($B76,Assumptions!$B$565:$B$570,0))</f>
        <v>0.12818887689001129</v>
      </c>
      <c r="GZ76" s="656">
        <f>BR76*INDEX(Assumptions!Q$565:Q$570,MATCH($B76,Assumptions!$B$565:$B$570,0))</f>
        <v>0.1217197570171646</v>
      </c>
      <c r="HA76" s="656">
        <f>BS76*INDEX(Assumptions!R$565:R$570,MATCH($B76,Assumptions!$B$565:$B$570,0))</f>
        <v>0.13245849600609011</v>
      </c>
      <c r="HB76" s="656">
        <f>BT76*INDEX(Assumptions!S$565:S$570,MATCH($B76,Assumptions!$B$565:$B$570,0))</f>
        <v>0.13245849600609011</v>
      </c>
      <c r="HC76" s="656">
        <f>BU76*INDEX(Assumptions!T$565:T$570,MATCH($B76,Assumptions!$B$565:$B$570,0))</f>
        <v>0.13203153409448223</v>
      </c>
      <c r="HD76" s="1922">
        <f>BV76*INDEX(Assumptions!U$565:U$570,MATCH($B76,Assumptions!$B$565:$B$570,0))</f>
        <v>0.13160457218287436</v>
      </c>
      <c r="HE76" s="1933"/>
      <c r="HF76" s="1927"/>
      <c r="HG76" s="501"/>
      <c r="HH76" s="501"/>
      <c r="HI76" s="501"/>
      <c r="HJ76" s="501"/>
      <c r="HK76" s="501"/>
      <c r="HL76" s="501"/>
      <c r="HM76" s="501"/>
      <c r="HN76" s="501"/>
      <c r="HO76" s="501"/>
      <c r="HP76" s="501"/>
      <c r="HQ76" s="501"/>
      <c r="HR76" s="501"/>
      <c r="HS76" s="501"/>
      <c r="HT76" s="501"/>
      <c r="HU76" s="501"/>
      <c r="HV76" s="656"/>
      <c r="HW76" s="1922"/>
      <c r="HX76" s="1946"/>
      <c r="HY76" s="1943">
        <v>2022</v>
      </c>
      <c r="HZ76" s="695">
        <v>2030</v>
      </c>
      <c r="IA76" s="683"/>
      <c r="IB76" s="683"/>
      <c r="IC76" s="694"/>
      <c r="ID76" s="1376"/>
      <c r="IE76" s="1968"/>
      <c r="IF76" s="1963">
        <v>0</v>
      </c>
      <c r="IG76" s="538"/>
      <c r="IH76" s="538"/>
      <c r="II76" s="538"/>
      <c r="IJ76" s="538"/>
      <c r="IK76" s="1276"/>
      <c r="IL76" s="1280"/>
      <c r="IM76" s="1294" t="s">
        <v>835</v>
      </c>
    </row>
    <row r="77" spans="2:247" ht="13.5" customHeight="1" x14ac:dyDescent="0.3">
      <c r="B77" s="1703" t="s">
        <v>53</v>
      </c>
      <c r="C77" s="2113"/>
      <c r="D77" s="679" t="s">
        <v>838</v>
      </c>
      <c r="E77" s="1786" t="s">
        <v>839</v>
      </c>
      <c r="F77" s="1776"/>
      <c r="G77" s="1796" t="s">
        <v>840</v>
      </c>
      <c r="H77" s="1197" t="s">
        <v>841</v>
      </c>
      <c r="I77" s="13"/>
      <c r="J77" s="696"/>
      <c r="K77" s="71" t="s">
        <v>648</v>
      </c>
      <c r="L77" s="1154" t="s">
        <v>821</v>
      </c>
      <c r="M77" s="1832"/>
      <c r="N77" s="1817"/>
      <c r="O77" s="1177"/>
      <c r="P77" s="1177"/>
      <c r="Q77" s="1178">
        <v>1</v>
      </c>
      <c r="R77" s="1177"/>
      <c r="S77" s="1445" cm="1">
        <f t="array" ref="S77:X77">TRANSPOSE(_xlfn.XLOOKUP(B77,Assumptions!$C$134:$I$134,Assumptions!$C$135:$I$140))</f>
        <v>0.89766686718609423</v>
      </c>
      <c r="T77" s="1445">
        <v>2.0574367766823833E-2</v>
      </c>
      <c r="U77" s="1445">
        <v>0</v>
      </c>
      <c r="V77" s="1445">
        <v>6.4936780001525515E-2</v>
      </c>
      <c r="W77" s="1445">
        <v>0</v>
      </c>
      <c r="X77" s="1445">
        <v>1.6821985045556383E-2</v>
      </c>
      <c r="Y77" s="1179" cm="1">
        <f t="array" ref="Y77:AC77">TRANSPOSE(_xlfn.ANCHORARRAY(Assumptions!$D$698))</f>
        <v>0.46715240825721654</v>
      </c>
      <c r="Z77" s="1179">
        <v>0.10872006700422583</v>
      </c>
      <c r="AA77" s="1179">
        <v>9.7634938252443113E-2</v>
      </c>
      <c r="AB77" s="1179">
        <v>0.23591534859475621</v>
      </c>
      <c r="AC77" s="1179">
        <v>9.057723789135827E-2</v>
      </c>
      <c r="AD77" s="1177"/>
      <c r="AE77" s="1177"/>
      <c r="AF77" s="1177"/>
      <c r="AG77" s="1177"/>
      <c r="AH77" s="1177"/>
      <c r="AI77" s="1177"/>
      <c r="AJ77" s="1177"/>
      <c r="AK77" s="1417">
        <f t="shared" si="176"/>
        <v>0</v>
      </c>
      <c r="AL77" s="1177"/>
      <c r="AM77" s="1177"/>
      <c r="AN77" s="1177"/>
      <c r="AO77" s="1834">
        <v>1</v>
      </c>
      <c r="AP77" s="1847"/>
      <c r="AQ77" s="1837">
        <f t="shared" si="250"/>
        <v>10.802469135802497</v>
      </c>
      <c r="AR77" s="663"/>
      <c r="AS77" s="656">
        <f>INDEX(Sources!V$27:V$42,MATCH($D77,Sources!$E$27:$E$42,0))</f>
        <v>10.802469135802498</v>
      </c>
      <c r="AT77" s="656">
        <f>INDEX(Sources!W$27:W$42,MATCH($D77,Sources!$E$27:$E$42,0))</f>
        <v>10.802469135802495</v>
      </c>
      <c r="AU77" s="656">
        <f>INDEX(Sources!X$27:X$42,MATCH($D77,Sources!$E$27:$E$42,0))</f>
        <v>10.802469135802498</v>
      </c>
      <c r="AV77" s="663"/>
      <c r="AW77" s="663"/>
      <c r="AX77" s="663"/>
      <c r="AY77" s="663"/>
      <c r="AZ77" s="663"/>
      <c r="BA77" s="663"/>
      <c r="BB77" s="663"/>
      <c r="BC77" s="663"/>
      <c r="BD77" s="663"/>
      <c r="BE77" s="663"/>
      <c r="BF77" s="663"/>
      <c r="BG77" s="501">
        <f t="shared" si="177"/>
        <v>10.802469135802498</v>
      </c>
      <c r="BH77" s="893">
        <f t="shared" si="111"/>
        <v>0</v>
      </c>
      <c r="BI77" s="658">
        <f t="shared" si="112"/>
        <v>10.802469135802498</v>
      </c>
      <c r="BJ77" s="658">
        <f t="shared" si="113"/>
        <v>21.604938271604993</v>
      </c>
      <c r="BK77" s="658">
        <f t="shared" si="114"/>
        <v>32.40740740740749</v>
      </c>
      <c r="BL77" s="658">
        <f t="shared" si="115"/>
        <v>32.40740740740749</v>
      </c>
      <c r="BM77" s="658">
        <f t="shared" si="116"/>
        <v>32.40740740740749</v>
      </c>
      <c r="BN77" s="658">
        <f t="shared" si="117"/>
        <v>32.40740740740749</v>
      </c>
      <c r="BO77" s="658">
        <f t="shared" si="118"/>
        <v>32.40740740740749</v>
      </c>
      <c r="BP77" s="658">
        <f t="shared" si="119"/>
        <v>32.40740740740749</v>
      </c>
      <c r="BQ77" s="658">
        <f t="shared" si="120"/>
        <v>32.40740740740749</v>
      </c>
      <c r="BR77" s="658">
        <f t="shared" si="121"/>
        <v>32.40740740740749</v>
      </c>
      <c r="BS77" s="658">
        <f t="shared" si="122"/>
        <v>32.40740740740749</v>
      </c>
      <c r="BT77" s="658">
        <f t="shared" si="123"/>
        <v>32.40740740740749</v>
      </c>
      <c r="BU77" s="658">
        <f t="shared" si="124"/>
        <v>32.40740740740749</v>
      </c>
      <c r="BV77" s="1851">
        <f t="shared" si="125"/>
        <v>32.40740740740749</v>
      </c>
      <c r="BW77" s="1661"/>
      <c r="BX77" s="1855">
        <v>20</v>
      </c>
      <c r="BY77" s="1192">
        <f t="shared" si="126"/>
        <v>1851.4285714285668</v>
      </c>
      <c r="BZ77" s="663"/>
      <c r="CA77" s="659">
        <f>INDEX(Sources!BA$27:BA$42,MATCH($D77,Sources!$E$27:$E$42,0))</f>
        <v>20</v>
      </c>
      <c r="CB77" s="659">
        <f>INDEX(Sources!BB$27:BB$42,MATCH($D77,Sources!$E$27:$E$42,0))</f>
        <v>20</v>
      </c>
      <c r="CC77" s="659">
        <f>INDEX(Sources!BC$27:BC$42,MATCH($D77,Sources!$E$27:$E$42,0))</f>
        <v>20</v>
      </c>
      <c r="CD77" s="663"/>
      <c r="CE77" s="663"/>
      <c r="CF77" s="663"/>
      <c r="CG77" s="663"/>
      <c r="CH77" s="663"/>
      <c r="CI77" s="663"/>
      <c r="CJ77" s="663"/>
      <c r="CK77" s="663"/>
      <c r="CL77" s="663"/>
      <c r="CM77" s="663"/>
      <c r="CN77" s="663"/>
      <c r="CO77" s="493">
        <f t="shared" si="178"/>
        <v>20</v>
      </c>
      <c r="CP77" s="660">
        <f t="shared" si="127"/>
        <v>60</v>
      </c>
      <c r="CQ77" s="661">
        <f>INDEX(Sources!BJ$27:BJ$42,MATCH($D77,Sources!$E$27:$E$42,0))</f>
        <v>1</v>
      </c>
      <c r="CR77" s="662">
        <f t="shared" si="128"/>
        <v>0</v>
      </c>
      <c r="CS77" s="685" t="str">
        <v>100% government</v>
      </c>
      <c r="CT77" s="1862">
        <f t="shared" si="218"/>
        <v>20</v>
      </c>
      <c r="CU77" s="1872"/>
      <c r="CV77" s="1865">
        <f>BH77*Assumptions!D$498</f>
        <v>0</v>
      </c>
      <c r="CW77" s="659">
        <f>BI77*Assumptions!E$498</f>
        <v>0.98575152585576276</v>
      </c>
      <c r="CX77" s="659">
        <f>BJ77*Assumptions!F$498</f>
        <v>2.0061084610600948</v>
      </c>
      <c r="CY77" s="659">
        <f>BK77*Assumptions!G$498</f>
        <v>3.2309127660601371</v>
      </c>
      <c r="CZ77" s="659">
        <f>BL77*Assumptions!H$498</f>
        <v>3.3700229858089994</v>
      </c>
      <c r="DA77" s="659">
        <f>BM77*Assumptions!I$498</f>
        <v>3.4271089150922371</v>
      </c>
      <c r="DB77" s="659">
        <f>BN77*Assumptions!J$498</f>
        <v>3.4861993929913155</v>
      </c>
      <c r="DC77" s="659">
        <f>BO77*Assumptions!K$498</f>
        <v>3.5473336815680394</v>
      </c>
      <c r="DD77" s="659">
        <f>BP77*Assumptions!L$498</f>
        <v>3.6105525471383508</v>
      </c>
      <c r="DE77" s="659">
        <f>BQ77*Assumptions!M$498</f>
        <v>3.6758982855680999</v>
      </c>
      <c r="DF77" s="659">
        <f>BR77*Assumptions!N$498</f>
        <v>3.7446630399730125</v>
      </c>
      <c r="DG77" s="659">
        <f>BS77*Assumptions!O$498</f>
        <v>3.8154907370100744</v>
      </c>
      <c r="DH77" s="659">
        <f>BT77*Assumptions!P$498</f>
        <v>3.8884432649582465</v>
      </c>
      <c r="DI77" s="659">
        <f>BU77*Assumptions!Q$498</f>
        <v>3.9635843687448653</v>
      </c>
      <c r="DJ77" s="659">
        <f>BV77*Assumptions!R$498</f>
        <v>4.0409797056450811</v>
      </c>
      <c r="DK77" s="680">
        <f t="shared" si="222"/>
        <v>0</v>
      </c>
      <c r="DL77" s="680">
        <f t="shared" si="223"/>
        <v>0.98575152585576276</v>
      </c>
      <c r="DM77" s="680">
        <f t="shared" si="224"/>
        <v>2.0061084610600948</v>
      </c>
      <c r="DN77" s="680">
        <f t="shared" si="225"/>
        <v>3.2309127660601371</v>
      </c>
      <c r="DO77" s="680">
        <f t="shared" si="226"/>
        <v>3.3700229858089994</v>
      </c>
      <c r="DP77" s="680">
        <f t="shared" si="227"/>
        <v>3.4271089150922371</v>
      </c>
      <c r="DQ77" s="680">
        <f t="shared" si="228"/>
        <v>3.4861993929913155</v>
      </c>
      <c r="DR77" s="680">
        <f t="shared" si="229"/>
        <v>3.5473336815680394</v>
      </c>
      <c r="DS77" s="680">
        <f t="shared" si="230"/>
        <v>3.6105525471383508</v>
      </c>
      <c r="DT77" s="680">
        <f t="shared" si="231"/>
        <v>3.6758982855680999</v>
      </c>
      <c r="DU77" s="680">
        <f t="shared" si="252"/>
        <v>3.7446630399730125</v>
      </c>
      <c r="DV77" s="680">
        <f t="shared" si="253"/>
        <v>3.8154907370100744</v>
      </c>
      <c r="DW77" s="680">
        <f t="shared" si="254"/>
        <v>3.8884432649582465</v>
      </c>
      <c r="DX77" s="680">
        <f t="shared" si="255"/>
        <v>3.9635843687448653</v>
      </c>
      <c r="DY77" s="680">
        <f t="shared" si="256"/>
        <v>4.0409797056450811</v>
      </c>
      <c r="DZ77" s="678">
        <v>0</v>
      </c>
      <c r="EA77" s="661">
        <f t="shared" si="130"/>
        <v>1</v>
      </c>
      <c r="EB77" s="1861">
        <f t="shared" si="236"/>
        <v>2.7339888561143035</v>
      </c>
      <c r="EC77" s="1881"/>
      <c r="ED77" s="1877">
        <v>0</v>
      </c>
      <c r="EE77" s="684"/>
      <c r="EF77" s="684"/>
      <c r="EG77" s="684"/>
      <c r="EH77" s="684"/>
      <c r="EI77" s="665">
        <f t="shared" si="239"/>
        <v>0</v>
      </c>
      <c r="EJ77" s="665">
        <f t="shared" si="240"/>
        <v>0</v>
      </c>
      <c r="EK77" s="665">
        <f t="shared" si="241"/>
        <v>0</v>
      </c>
      <c r="EL77" s="665">
        <f t="shared" si="242"/>
        <v>0</v>
      </c>
      <c r="EM77" s="665">
        <f t="shared" si="243"/>
        <v>0</v>
      </c>
      <c r="EN77" s="665">
        <f t="shared" si="244"/>
        <v>0</v>
      </c>
      <c r="EO77" s="665">
        <f t="shared" si="245"/>
        <v>0</v>
      </c>
      <c r="EP77" s="665">
        <f t="shared" si="246"/>
        <v>0</v>
      </c>
      <c r="EQ77" s="665">
        <f t="shared" si="247"/>
        <v>0</v>
      </c>
      <c r="ER77" s="665">
        <f t="shared" si="248"/>
        <v>0</v>
      </c>
      <c r="ES77" s="665">
        <f t="shared" si="249"/>
        <v>0</v>
      </c>
      <c r="ET77" s="541">
        <f t="shared" si="133"/>
        <v>0</v>
      </c>
      <c r="EU77" s="1450" cm="1">
        <f t="array" ref="EU77">(BH77*SUMPRODUCT($S77:$X77,TRANSPOSE(Assumptions!D$281:D$286)))*0.001</f>
        <v>0</v>
      </c>
      <c r="EV77" s="1450" cm="1">
        <f t="array" ref="EV77">(BI77*SUMPRODUCT($S77:$X77,TRANSPOSE(Assumptions!E$281:E$286)))*0.001</f>
        <v>0.38327715097133641</v>
      </c>
      <c r="EW77" s="1450" cm="1">
        <f t="array" ref="EW77">(BJ77*SUMPRODUCT($S77:$X77,TRANSPOSE(Assumptions!F$281:F$286)))*0.001</f>
        <v>0.76655430194267271</v>
      </c>
      <c r="EX77" s="1450" cm="1">
        <f t="array" ref="EX77">(BK77*SUMPRODUCT($S77:$X77,TRANSPOSE(Assumptions!G$281:G$286)))*0.001</f>
        <v>1.3173691568595611</v>
      </c>
      <c r="EY77" s="1450" cm="1">
        <f t="array" ref="EY77">(BL77*SUMPRODUCT($S77:$X77,TRANSPOSE(Assumptions!H$281:H$286)))*0.001</f>
        <v>1.4011380088323373</v>
      </c>
      <c r="EZ77" s="1450" cm="1">
        <f t="array" ref="EZ77">(BM77*SUMPRODUCT($S77:$X77,TRANSPOSE(Assumptions!I$281:I$286)))*0.001</f>
        <v>1.4011380088323373</v>
      </c>
      <c r="FA77" s="1450" cm="1">
        <f t="array" ref="FA77">(BN77*SUMPRODUCT($S77:$X77,TRANSPOSE(Assumptions!J$281:J$286)))*0.001</f>
        <v>1.4011380088323373</v>
      </c>
      <c r="FB77" s="1450" cm="1">
        <f t="array" ref="FB77">(BO77*SUMPRODUCT($S77:$X77,TRANSPOSE(Assumptions!K$281:K$286)))*0.001</f>
        <v>1.4011380088323373</v>
      </c>
      <c r="FC77" s="1450" cm="1">
        <f t="array" ref="FC77">(BP77*SUMPRODUCT($S77:$X77,TRANSPOSE(Assumptions!L$281:L$286)))*0.001</f>
        <v>1.4011380088323373</v>
      </c>
      <c r="FD77" s="1450" cm="1">
        <f t="array" ref="FD77">(BQ77*SUMPRODUCT($S77:$X77,TRANSPOSE(Assumptions!M$281:M$286)))*0.001</f>
        <v>1.4011380088323373</v>
      </c>
      <c r="FE77" s="1450" cm="1">
        <f t="array" ref="FE77">(BR77*SUMPRODUCT($S77:$X77,TRANSPOSE(Assumptions!N$281:N$286)))*0.001</f>
        <v>1.4011380088323373</v>
      </c>
      <c r="FF77" s="1450" cm="1">
        <f t="array" ref="FF77">(BS77*SUMPRODUCT($S77:$X77,TRANSPOSE(Assumptions!O$281:O$286)))*0.001</f>
        <v>1.4011380088323373</v>
      </c>
      <c r="FG77" s="1450" cm="1">
        <f t="array" ref="FG77">(BT77*SUMPRODUCT($S77:$X77,TRANSPOSE(Assumptions!P$281:P$286)))*0.001</f>
        <v>1.4011380088323373</v>
      </c>
      <c r="FH77" s="1450" cm="1">
        <f t="array" ref="FH77">(BU77*SUMPRODUCT($S77:$X77,TRANSPOSE(Assumptions!Q$281:Q$286)))*0.001</f>
        <v>1.4011380088323373</v>
      </c>
      <c r="FI77" s="1450" cm="1">
        <f t="array" ref="FI77">(BV77*SUMPRODUCT($S77:$X77,TRANSPOSE(Assumptions!R$281:R$286)))*0.001</f>
        <v>1.4011380088323373</v>
      </c>
      <c r="FJ77" s="666">
        <f t="shared" si="207"/>
        <v>0</v>
      </c>
      <c r="FK77" s="666">
        <f t="shared" si="208"/>
        <v>-0.38327715097133641</v>
      </c>
      <c r="FL77" s="666">
        <f t="shared" si="209"/>
        <v>-0.76655430194267271</v>
      </c>
      <c r="FM77" s="666">
        <f t="shared" si="210"/>
        <v>-1.3173691568595611</v>
      </c>
      <c r="FN77" s="666">
        <f t="shared" si="211"/>
        <v>-1.4011380088323373</v>
      </c>
      <c r="FO77" s="666">
        <f t="shared" si="212"/>
        <v>-1.4011380088323373</v>
      </c>
      <c r="FP77" s="666">
        <f t="shared" si="213"/>
        <v>-1.4011380088323373</v>
      </c>
      <c r="FQ77" s="666">
        <f t="shared" si="214"/>
        <v>-1.4011380088323373</v>
      </c>
      <c r="FR77" s="666">
        <f t="shared" si="215"/>
        <v>-1.4011380088323373</v>
      </c>
      <c r="FS77" s="666">
        <f t="shared" si="216"/>
        <v>-1.4011380088323373</v>
      </c>
      <c r="FT77" s="666">
        <f t="shared" si="144"/>
        <v>-1.4011380088323373</v>
      </c>
      <c r="FU77" s="666">
        <f t="shared" si="145"/>
        <v>-1.4011380088323373</v>
      </c>
      <c r="FV77" s="666">
        <f t="shared" si="146"/>
        <v>-1.4011380088323373</v>
      </c>
      <c r="FW77" s="666">
        <f t="shared" si="147"/>
        <v>-1.4011380088323373</v>
      </c>
      <c r="FX77" s="1883">
        <f t="shared" si="148"/>
        <v>-1.4011380088323373</v>
      </c>
      <c r="FY77" s="1895"/>
      <c r="FZ77" s="690"/>
      <c r="GA77" s="690"/>
      <c r="GB77" s="690"/>
      <c r="GC77" s="690"/>
      <c r="GD77" s="500">
        <f>CD77*(Admin!$H$14)</f>
        <v>0</v>
      </c>
      <c r="GE77" s="500">
        <f>CE77*(Admin!$H$14)</f>
        <v>0</v>
      </c>
      <c r="GF77" s="500">
        <f>CF77*(Admin!$H$14)</f>
        <v>0</v>
      </c>
      <c r="GG77" s="500">
        <f>CG77*(Admin!$H$14)</f>
        <v>0</v>
      </c>
      <c r="GH77" s="500">
        <f>CH77*(Admin!$H$14)</f>
        <v>0</v>
      </c>
      <c r="GI77" s="500">
        <f>CI77*(Admin!$H$14)</f>
        <v>0</v>
      </c>
      <c r="GJ77" s="500">
        <f>CJ77*(Admin!$H$14)</f>
        <v>0</v>
      </c>
      <c r="GK77" s="500">
        <f>CK77*(Admin!$H$14)</f>
        <v>0</v>
      </c>
      <c r="GL77" s="500">
        <f>CL77*(Admin!$H$14)</f>
        <v>0</v>
      </c>
      <c r="GM77" s="500">
        <f>CM77*(Admin!$H$14)</f>
        <v>0</v>
      </c>
      <c r="GN77" s="1904">
        <f>CN77*(Admin!$H$14)</f>
        <v>0</v>
      </c>
      <c r="GO77" s="1915"/>
      <c r="GP77" s="1868">
        <f>BH77*INDEX(Assumptions!G$565:G$570,MATCH($B77,Assumptions!$B$565:$B$570,0))</f>
        <v>0</v>
      </c>
      <c r="GQ77" s="656">
        <f>BI77*INDEX(Assumptions!H$565:H$570,MATCH($B77,Assumptions!$B$565:$B$570,0))</f>
        <v>2.9560499359225054</v>
      </c>
      <c r="GR77" s="656">
        <f>BJ77*INDEX(Assumptions!I$565:I$570,MATCH($B77,Assumptions!$B$565:$B$570,0))</f>
        <v>5.9450206811689306</v>
      </c>
      <c r="GS77" s="656">
        <f>BK77*INDEX(Assumptions!J$565:J$570,MATCH($B77,Assumptions!$B$565:$B$570,0))</f>
        <v>8.9561024847716855</v>
      </c>
      <c r="GT77" s="656">
        <f>BL77*INDEX(Assumptions!K$565:K$570,MATCH($B77,Assumptions!$B$565:$B$570,0))</f>
        <v>8.9846969990938828</v>
      </c>
      <c r="GU77" s="656">
        <f>BM77*INDEX(Assumptions!L$565:L$570,MATCH($B77,Assumptions!$B$565:$B$570,0))</f>
        <v>9.0041179855556006</v>
      </c>
      <c r="GV77" s="656">
        <f>BN77*INDEX(Assumptions!M$565:M$570,MATCH($B77,Assumptions!$B$565:$B$570,0))</f>
        <v>9.0151405798915469</v>
      </c>
      <c r="GW77" s="656">
        <f>BO77*INDEX(Assumptions!N$565:N$570,MATCH($B77,Assumptions!$B$565:$B$570,0))</f>
        <v>9.0185126903314199</v>
      </c>
      <c r="GX77" s="656">
        <f>BP77*INDEX(Assumptions!O$565:O$570,MATCH($B77,Assumptions!$B$565:$B$570,0))</f>
        <v>9.0149560177986263</v>
      </c>
      <c r="GY77" s="656">
        <f>BQ77*INDEX(Assumptions!P$565:P$570,MATCH($B77,Assumptions!$B$565:$B$570,0))</f>
        <v>8.9752728732432683</v>
      </c>
      <c r="GZ77" s="656">
        <f>BR77*INDEX(Assumptions!Q$565:Q$570,MATCH($B77,Assumptions!$B$565:$B$570,0))</f>
        <v>8.5223309525621289</v>
      </c>
      <c r="HA77" s="656">
        <f>BS77*INDEX(Assumptions!R$565:R$570,MATCH($B77,Assumptions!$B$565:$B$570,0))</f>
        <v>9.2742145408928192</v>
      </c>
      <c r="HB77" s="656">
        <f>BT77*INDEX(Assumptions!S$565:S$570,MATCH($B77,Assumptions!$B$565:$B$570,0))</f>
        <v>9.2742145408928192</v>
      </c>
      <c r="HC77" s="656">
        <f>BU77*INDEX(Assumptions!T$565:T$570,MATCH($B77,Assumptions!$B$565:$B$570,0))</f>
        <v>9.2443203741278666</v>
      </c>
      <c r="HD77" s="1922">
        <f>BV77*INDEX(Assumptions!U$565:U$570,MATCH($B77,Assumptions!$B$565:$B$570,0))</f>
        <v>9.2144262073629104</v>
      </c>
      <c r="HE77" s="1933"/>
      <c r="HF77" s="1927"/>
      <c r="HG77" s="501"/>
      <c r="HH77" s="501"/>
      <c r="HI77" s="501"/>
      <c r="HJ77" s="501"/>
      <c r="HK77" s="501"/>
      <c r="HL77" s="501"/>
      <c r="HM77" s="501"/>
      <c r="HN77" s="501"/>
      <c r="HO77" s="501"/>
      <c r="HP77" s="501"/>
      <c r="HQ77" s="501"/>
      <c r="HR77" s="501"/>
      <c r="HS77" s="501"/>
      <c r="HT77" s="501"/>
      <c r="HU77" s="501"/>
      <c r="HV77" s="656"/>
      <c r="HW77" s="1922"/>
      <c r="HX77" s="1946"/>
      <c r="HY77" s="1943">
        <v>2021</v>
      </c>
      <c r="HZ77" s="695">
        <v>2023</v>
      </c>
      <c r="IA77" s="683"/>
      <c r="IB77" s="683"/>
      <c r="IC77" s="694"/>
      <c r="ID77" s="1376"/>
      <c r="IE77" s="1968"/>
      <c r="IF77" s="1963">
        <v>0</v>
      </c>
      <c r="IG77" s="538">
        <v>0.4</v>
      </c>
      <c r="IH77" s="538">
        <v>0.4</v>
      </c>
      <c r="II77" s="538">
        <v>0.4</v>
      </c>
      <c r="IJ77" s="538">
        <v>1</v>
      </c>
      <c r="IK77" s="1276">
        <v>1</v>
      </c>
      <c r="IL77" s="1280">
        <v>1</v>
      </c>
      <c r="IM77" s="1291" t="s">
        <v>839</v>
      </c>
    </row>
    <row r="78" spans="2:247" ht="13.5" customHeight="1" x14ac:dyDescent="0.3">
      <c r="B78" s="1703" t="s">
        <v>53</v>
      </c>
      <c r="C78" s="2113"/>
      <c r="D78" s="679" t="s">
        <v>842</v>
      </c>
      <c r="E78" s="1206" t="s">
        <v>843</v>
      </c>
      <c r="F78" s="1776"/>
      <c r="G78" s="1207" t="s">
        <v>844</v>
      </c>
      <c r="H78" s="1197" t="s">
        <v>845</v>
      </c>
      <c r="I78" s="13"/>
      <c r="J78" s="696"/>
      <c r="K78" s="71" t="s">
        <v>648</v>
      </c>
      <c r="L78" s="2043" t="s">
        <v>565</v>
      </c>
      <c r="M78" s="1827"/>
      <c r="N78" s="1817"/>
      <c r="O78" s="1177"/>
      <c r="P78" s="1177"/>
      <c r="Q78" s="1178">
        <v>1</v>
      </c>
      <c r="R78" s="1177"/>
      <c r="S78" s="1445" cm="1">
        <f t="array" ref="S78:X78">TRANSPOSE(_xlfn.XLOOKUP(B78,Assumptions!$C$134:$I$134,Assumptions!$C$135:$I$140))</f>
        <v>0.89766686718609423</v>
      </c>
      <c r="T78" s="1445">
        <v>2.0574367766823833E-2</v>
      </c>
      <c r="U78" s="1445">
        <v>0</v>
      </c>
      <c r="V78" s="1445">
        <v>6.4936780001525515E-2</v>
      </c>
      <c r="W78" s="1445">
        <v>0</v>
      </c>
      <c r="X78" s="1445">
        <v>1.6821985045556383E-2</v>
      </c>
      <c r="Y78" s="1205">
        <v>1</v>
      </c>
      <c r="Z78" s="1205"/>
      <c r="AA78" s="1205"/>
      <c r="AB78" s="1205"/>
      <c r="AC78" s="1205"/>
      <c r="AD78" s="1177"/>
      <c r="AE78" s="1177"/>
      <c r="AF78" s="1177"/>
      <c r="AG78" s="1177"/>
      <c r="AH78" s="1177"/>
      <c r="AI78" s="1177"/>
      <c r="AJ78" s="1177"/>
      <c r="AK78" s="1417">
        <f t="shared" si="176"/>
        <v>0</v>
      </c>
      <c r="AL78" s="1177"/>
      <c r="AM78" s="1177"/>
      <c r="AN78" s="1177"/>
      <c r="AO78" s="1834">
        <v>1</v>
      </c>
      <c r="AP78" s="1847"/>
      <c r="AQ78" s="1837">
        <f t="shared" si="250"/>
        <v>59.878</v>
      </c>
      <c r="AR78" s="663"/>
      <c r="AS78" s="663"/>
      <c r="AT78" s="663"/>
      <c r="AU78" s="663"/>
      <c r="AV78" s="680">
        <f>_xlfn.XLOOKUP($D78,'KLIM 2021-30'!$C$4:$C$57,'KLIM 2021-30'!X$4:X$57)</f>
        <v>59.878</v>
      </c>
      <c r="AW78" s="663"/>
      <c r="AX78" s="663"/>
      <c r="AY78" s="663"/>
      <c r="AZ78" s="663"/>
      <c r="BA78" s="663"/>
      <c r="BB78" s="663"/>
      <c r="BC78" s="663"/>
      <c r="BD78" s="663"/>
      <c r="BE78" s="663"/>
      <c r="BF78" s="663"/>
      <c r="BG78" s="501">
        <f t="shared" si="177"/>
        <v>59.878</v>
      </c>
      <c r="BH78" s="893">
        <f t="shared" si="111"/>
        <v>0</v>
      </c>
      <c r="BI78" s="658">
        <f t="shared" si="112"/>
        <v>0</v>
      </c>
      <c r="BJ78" s="658">
        <f t="shared" si="113"/>
        <v>0</v>
      </c>
      <c r="BK78" s="658">
        <f t="shared" si="114"/>
        <v>0</v>
      </c>
      <c r="BL78" s="658">
        <f t="shared" si="115"/>
        <v>59.878</v>
      </c>
      <c r="BM78" s="658">
        <f t="shared" si="116"/>
        <v>59.878</v>
      </c>
      <c r="BN78" s="658">
        <f t="shared" si="117"/>
        <v>59.878</v>
      </c>
      <c r="BO78" s="658">
        <f t="shared" si="118"/>
        <v>59.878</v>
      </c>
      <c r="BP78" s="658">
        <f t="shared" si="119"/>
        <v>59.878</v>
      </c>
      <c r="BQ78" s="658">
        <f t="shared" si="120"/>
        <v>59.878</v>
      </c>
      <c r="BR78" s="658">
        <f t="shared" si="121"/>
        <v>59.878</v>
      </c>
      <c r="BS78" s="658">
        <f t="shared" si="122"/>
        <v>59.878</v>
      </c>
      <c r="BT78" s="658">
        <f t="shared" si="123"/>
        <v>59.878</v>
      </c>
      <c r="BU78" s="658">
        <f t="shared" si="124"/>
        <v>59.878</v>
      </c>
      <c r="BV78" s="1851">
        <f t="shared" si="125"/>
        <v>59.878</v>
      </c>
      <c r="BW78" s="1661"/>
      <c r="BX78" s="1854">
        <f>(_xlfn.XLOOKUP(D78,'KLIM 2021-30'!$C$4:$C$40,'KLIM 2021-30'!$G$4:$G$40)/1000000)/CQ78</f>
        <v>55</v>
      </c>
      <c r="BY78" s="1192">
        <f t="shared" si="126"/>
        <v>918.53435318480911</v>
      </c>
      <c r="BZ78" s="663"/>
      <c r="CA78" s="663"/>
      <c r="CB78" s="663"/>
      <c r="CC78" s="663"/>
      <c r="CD78" s="680">
        <f>($BX78)*(AV78/SUM($AR78:$BA78))</f>
        <v>55</v>
      </c>
      <c r="CE78" s="663"/>
      <c r="CF78" s="663"/>
      <c r="CG78" s="663"/>
      <c r="CH78" s="663"/>
      <c r="CI78" s="663"/>
      <c r="CJ78" s="663"/>
      <c r="CK78" s="663"/>
      <c r="CL78" s="663"/>
      <c r="CM78" s="663"/>
      <c r="CN78" s="663"/>
      <c r="CO78" s="493">
        <f t="shared" si="178"/>
        <v>55</v>
      </c>
      <c r="CP78" s="660">
        <f t="shared" si="127"/>
        <v>55</v>
      </c>
      <c r="CQ78" s="661">
        <f>INDEX(Sources!BJ$27:BJ$42,MATCH($D78,Sources!$E$27:$E$42,0))</f>
        <v>1</v>
      </c>
      <c r="CR78" s="662">
        <f t="shared" si="128"/>
        <v>0</v>
      </c>
      <c r="CS78" s="685" t="str">
        <v>100% government</v>
      </c>
      <c r="CT78" s="1862">
        <f t="shared" si="218"/>
        <v>55</v>
      </c>
      <c r="CU78" s="1872"/>
      <c r="CV78" s="1865">
        <f>BH78*Assumptions!D$498</f>
        <v>0</v>
      </c>
      <c r="CW78" s="659">
        <f>BI78*Assumptions!E$498</f>
        <v>0</v>
      </c>
      <c r="CX78" s="659">
        <f>BJ78*Assumptions!F$498</f>
        <v>0</v>
      </c>
      <c r="CY78" s="659">
        <f>BK78*Assumptions!G$498</f>
        <v>0</v>
      </c>
      <c r="CZ78" s="659">
        <f>BL78*Assumptions!H$498</f>
        <v>6.2266701500517829</v>
      </c>
      <c r="DA78" s="659">
        <f>BM78*Assumptions!I$498</f>
        <v>6.3321457664949667</v>
      </c>
      <c r="DB78" s="659">
        <f>BN78*Assumptions!J$498</f>
        <v>6.4413251152518889</v>
      </c>
      <c r="DC78" s="659">
        <f>BO78*Assumptions!K$498</f>
        <v>6.5542807394207134</v>
      </c>
      <c r="DD78" s="659">
        <f>BP78*Assumptions!L$498</f>
        <v>6.6710879614558172</v>
      </c>
      <c r="DE78" s="659">
        <f>BQ78*Assumptions!M$498</f>
        <v>6.7918249299058804</v>
      </c>
      <c r="DF78" s="659">
        <f>BR78*Assumptions!N$498</f>
        <v>6.9188790910886784</v>
      </c>
      <c r="DG78" s="659">
        <f>BS78*Assumptions!O$498</f>
        <v>7.0497448771069635</v>
      </c>
      <c r="DH78" s="659">
        <f>BT78*Assumptions!P$498</f>
        <v>7.1845366367057952</v>
      </c>
      <c r="DI78" s="659">
        <f>BU78*Assumptions!Q$498</f>
        <v>7.3233721490925943</v>
      </c>
      <c r="DJ78" s="659">
        <f>BV78*Assumptions!R$498</f>
        <v>7.4663727268509943</v>
      </c>
      <c r="DK78" s="680">
        <f t="shared" si="222"/>
        <v>0</v>
      </c>
      <c r="DL78" s="680">
        <f t="shared" si="223"/>
        <v>0</v>
      </c>
      <c r="DM78" s="680">
        <f t="shared" si="224"/>
        <v>0</v>
      </c>
      <c r="DN78" s="680">
        <f t="shared" si="225"/>
        <v>0</v>
      </c>
      <c r="DO78" s="680">
        <f t="shared" si="226"/>
        <v>6.2266701500517829</v>
      </c>
      <c r="DP78" s="680">
        <f t="shared" si="227"/>
        <v>6.3321457664949667</v>
      </c>
      <c r="DQ78" s="680">
        <f t="shared" si="228"/>
        <v>6.4413251152518889</v>
      </c>
      <c r="DR78" s="680">
        <f t="shared" si="229"/>
        <v>6.5542807394207134</v>
      </c>
      <c r="DS78" s="680">
        <f t="shared" si="230"/>
        <v>6.6710879614558172</v>
      </c>
      <c r="DT78" s="680">
        <f t="shared" si="231"/>
        <v>6.7918249299058804</v>
      </c>
      <c r="DU78" s="680">
        <f t="shared" si="252"/>
        <v>6.9188790910886784</v>
      </c>
      <c r="DV78" s="680">
        <f t="shared" si="253"/>
        <v>7.0497448771069635</v>
      </c>
      <c r="DW78" s="680">
        <f t="shared" si="254"/>
        <v>7.1845366367057952</v>
      </c>
      <c r="DX78" s="680">
        <f t="shared" si="255"/>
        <v>7.3233721490925943</v>
      </c>
      <c r="DY78" s="680">
        <f t="shared" si="256"/>
        <v>7.4663727268509943</v>
      </c>
      <c r="DZ78" s="678">
        <v>0</v>
      </c>
      <c r="EA78" s="661">
        <f t="shared" si="130"/>
        <v>1</v>
      </c>
      <c r="EB78" s="1861">
        <f t="shared" si="236"/>
        <v>3.9017334662581051</v>
      </c>
      <c r="EC78" s="1881"/>
      <c r="ED78" s="1877">
        <v>0</v>
      </c>
      <c r="EE78" s="684"/>
      <c r="EF78" s="684"/>
      <c r="EG78" s="684"/>
      <c r="EH78" s="684"/>
      <c r="EI78" s="665">
        <f t="shared" si="239"/>
        <v>0</v>
      </c>
      <c r="EJ78" s="665">
        <f t="shared" si="240"/>
        <v>0</v>
      </c>
      <c r="EK78" s="665">
        <f t="shared" si="241"/>
        <v>0</v>
      </c>
      <c r="EL78" s="665">
        <f t="shared" si="242"/>
        <v>0</v>
      </c>
      <c r="EM78" s="665">
        <f t="shared" si="243"/>
        <v>0</v>
      </c>
      <c r="EN78" s="665">
        <f t="shared" si="244"/>
        <v>0</v>
      </c>
      <c r="EO78" s="665">
        <f t="shared" si="245"/>
        <v>0</v>
      </c>
      <c r="EP78" s="665">
        <f t="shared" si="246"/>
        <v>0</v>
      </c>
      <c r="EQ78" s="665">
        <f t="shared" si="247"/>
        <v>0</v>
      </c>
      <c r="ER78" s="665">
        <f t="shared" si="248"/>
        <v>0</v>
      </c>
      <c r="ES78" s="665">
        <f t="shared" si="249"/>
        <v>0</v>
      </c>
      <c r="ET78" s="541">
        <f t="shared" si="133"/>
        <v>0</v>
      </c>
      <c r="EU78" s="1450" cm="1">
        <f t="array" ref="EU78">(BH78*SUMPRODUCT($S78:$X78,TRANSPOSE(Assumptions!D$281:D$286)))*0.001</f>
        <v>0</v>
      </c>
      <c r="EV78" s="1450" cm="1">
        <f t="array" ref="EV78">(BI78*SUMPRODUCT($S78:$X78,TRANSPOSE(Assumptions!E$281:E$286)))*0.001</f>
        <v>0</v>
      </c>
      <c r="EW78" s="1450" cm="1">
        <f t="array" ref="EW78">(BJ78*SUMPRODUCT($S78:$X78,TRANSPOSE(Assumptions!F$281:F$286)))*0.001</f>
        <v>0</v>
      </c>
      <c r="EX78" s="1450" cm="1">
        <f t="array" ref="EX78">(BK78*SUMPRODUCT($S78:$X78,TRANSPOSE(Assumptions!G$281:G$286)))*0.001</f>
        <v>0</v>
      </c>
      <c r="EY78" s="1450" cm="1">
        <f t="array" ref="EY78">(BL78*SUMPRODUCT($S78:$X78,TRANSPOSE(Assumptions!H$281:H$286)))*0.001</f>
        <v>2.5888322579511844</v>
      </c>
      <c r="EZ78" s="1450" cm="1">
        <f t="array" ref="EZ78">(BM78*SUMPRODUCT($S78:$X78,TRANSPOSE(Assumptions!I$281:I$286)))*0.001</f>
        <v>2.5888322579511844</v>
      </c>
      <c r="FA78" s="1450" cm="1">
        <f t="array" ref="FA78">(BN78*SUMPRODUCT($S78:$X78,TRANSPOSE(Assumptions!J$281:J$286)))*0.001</f>
        <v>2.5888322579511844</v>
      </c>
      <c r="FB78" s="1450" cm="1">
        <f t="array" ref="FB78">(BO78*SUMPRODUCT($S78:$X78,TRANSPOSE(Assumptions!K$281:K$286)))*0.001</f>
        <v>2.5888322579511844</v>
      </c>
      <c r="FC78" s="1450" cm="1">
        <f t="array" ref="FC78">(BP78*SUMPRODUCT($S78:$X78,TRANSPOSE(Assumptions!L$281:L$286)))*0.001</f>
        <v>2.5888322579511844</v>
      </c>
      <c r="FD78" s="1450" cm="1">
        <f t="array" ref="FD78">(BQ78*SUMPRODUCT($S78:$X78,TRANSPOSE(Assumptions!M$281:M$286)))*0.001</f>
        <v>2.5888322579511844</v>
      </c>
      <c r="FE78" s="1450" cm="1">
        <f t="array" ref="FE78">(BR78*SUMPRODUCT($S78:$X78,TRANSPOSE(Assumptions!N$281:N$286)))*0.001</f>
        <v>2.5888322579511844</v>
      </c>
      <c r="FF78" s="1450" cm="1">
        <f t="array" ref="FF78">(BS78*SUMPRODUCT($S78:$X78,TRANSPOSE(Assumptions!O$281:O$286)))*0.001</f>
        <v>2.5888322579511844</v>
      </c>
      <c r="FG78" s="1450" cm="1">
        <f t="array" ref="FG78">(BT78*SUMPRODUCT($S78:$X78,TRANSPOSE(Assumptions!P$281:P$286)))*0.001</f>
        <v>2.5888322579511844</v>
      </c>
      <c r="FH78" s="1450" cm="1">
        <f t="array" ref="FH78">(BU78*SUMPRODUCT($S78:$X78,TRANSPOSE(Assumptions!Q$281:Q$286)))*0.001</f>
        <v>2.5888322579511844</v>
      </c>
      <c r="FI78" s="1450" cm="1">
        <f t="array" ref="FI78">(BV78*SUMPRODUCT($S78:$X78,TRANSPOSE(Assumptions!R$281:R$286)))*0.001</f>
        <v>2.5888322579511844</v>
      </c>
      <c r="FJ78" s="666">
        <f t="shared" si="207"/>
        <v>0</v>
      </c>
      <c r="FK78" s="666">
        <f t="shared" si="208"/>
        <v>0</v>
      </c>
      <c r="FL78" s="666">
        <f t="shared" si="209"/>
        <v>0</v>
      </c>
      <c r="FM78" s="666">
        <f t="shared" si="210"/>
        <v>0</v>
      </c>
      <c r="FN78" s="666">
        <f t="shared" si="211"/>
        <v>-2.5888322579511844</v>
      </c>
      <c r="FO78" s="666">
        <f t="shared" si="212"/>
        <v>-2.5888322579511844</v>
      </c>
      <c r="FP78" s="666">
        <f t="shared" si="213"/>
        <v>-2.5888322579511844</v>
      </c>
      <c r="FQ78" s="666">
        <f t="shared" si="214"/>
        <v>-2.5888322579511844</v>
      </c>
      <c r="FR78" s="666">
        <f t="shared" si="215"/>
        <v>-2.5888322579511844</v>
      </c>
      <c r="FS78" s="666">
        <f t="shared" si="216"/>
        <v>-2.5888322579511844</v>
      </c>
      <c r="FT78" s="666">
        <f t="shared" si="144"/>
        <v>-2.5888322579511844</v>
      </c>
      <c r="FU78" s="666">
        <f t="shared" si="145"/>
        <v>-2.5888322579511844</v>
      </c>
      <c r="FV78" s="666">
        <f t="shared" si="146"/>
        <v>-2.5888322579511844</v>
      </c>
      <c r="FW78" s="666">
        <f t="shared" si="147"/>
        <v>-2.5888322579511844</v>
      </c>
      <c r="FX78" s="1883">
        <f t="shared" si="148"/>
        <v>-2.5888322579511844</v>
      </c>
      <c r="FY78" s="1895"/>
      <c r="FZ78" s="690"/>
      <c r="GA78" s="690"/>
      <c r="GB78" s="690"/>
      <c r="GC78" s="690"/>
      <c r="GD78" s="500">
        <f>CD78*(Admin!$H$14)</f>
        <v>2219.25</v>
      </c>
      <c r="GE78" s="500">
        <f>CE78*(Admin!$H$14)</f>
        <v>0</v>
      </c>
      <c r="GF78" s="500">
        <f>CF78*(Admin!$H$14)</f>
        <v>0</v>
      </c>
      <c r="GG78" s="500">
        <f>CG78*(Admin!$H$14)</f>
        <v>0</v>
      </c>
      <c r="GH78" s="500">
        <f>CH78*(Admin!$H$14)</f>
        <v>0</v>
      </c>
      <c r="GI78" s="500">
        <f>CI78*(Admin!$H$14)</f>
        <v>0</v>
      </c>
      <c r="GJ78" s="500">
        <f>CJ78*(Admin!$H$14)</f>
        <v>0</v>
      </c>
      <c r="GK78" s="500">
        <f>CK78*(Admin!$H$14)</f>
        <v>0</v>
      </c>
      <c r="GL78" s="500">
        <f>CL78*(Admin!$H$14)</f>
        <v>0</v>
      </c>
      <c r="GM78" s="500">
        <f>CM78*(Admin!$H$14)</f>
        <v>0</v>
      </c>
      <c r="GN78" s="1904">
        <f>CN78*(Admin!$H$14)</f>
        <v>0</v>
      </c>
      <c r="GO78" s="1915"/>
      <c r="GP78" s="1868">
        <f>BH78*INDEX(Assumptions!G$565:G$570,MATCH($B78,Assumptions!$B$565:$B$570,0))</f>
        <v>0</v>
      </c>
      <c r="GQ78" s="656">
        <f>BI78*INDEX(Assumptions!H$565:H$570,MATCH($B78,Assumptions!$B$565:$B$570,0))</f>
        <v>0</v>
      </c>
      <c r="GR78" s="656">
        <f>BJ78*INDEX(Assumptions!I$565:I$570,MATCH($B78,Assumptions!$B$565:$B$570,0))</f>
        <v>0</v>
      </c>
      <c r="GS78" s="656">
        <f>BK78*INDEX(Assumptions!J$565:J$570,MATCH($B78,Assumptions!$B$565:$B$570,0))</f>
        <v>0</v>
      </c>
      <c r="GT78" s="656">
        <f>BL78*INDEX(Assumptions!K$565:K$570,MATCH($B78,Assumptions!$B$565:$B$570,0))</f>
        <v>16.600701196133755</v>
      </c>
      <c r="GU78" s="656">
        <f>BM78*INDEX(Assumptions!L$565:L$570,MATCH($B78,Assumptions!$B$565:$B$570,0))</f>
        <v>16.636584653663562</v>
      </c>
      <c r="GV78" s="656">
        <f>BN78*INDEX(Assumptions!M$565:M$570,MATCH($B78,Assumptions!$B$565:$B$570,0))</f>
        <v>16.656950704404693</v>
      </c>
      <c r="GW78" s="656">
        <f>BO78*INDEX(Assumptions!N$565:N$570,MATCH($B78,Assumptions!$B$565:$B$570,0))</f>
        <v>16.663181231468467</v>
      </c>
      <c r="GX78" s="656">
        <f>BP78*INDEX(Assumptions!O$565:O$570,MATCH($B78,Assumptions!$B$565:$B$570,0))</f>
        <v>16.65660969566984</v>
      </c>
      <c r="GY78" s="656">
        <f>BQ78*INDEX(Assumptions!P$565:P$570,MATCH($B78,Assumptions!$B$565:$B$570,0))</f>
        <v>16.583288578068107</v>
      </c>
      <c r="GZ78" s="656">
        <f>BR78*INDEX(Assumptions!Q$565:Q$570,MATCH($B78,Assumptions!$B$565:$B$570,0))</f>
        <v>15.746404097134713</v>
      </c>
      <c r="HA78" s="656">
        <f>BS78*INDEX(Assumptions!R$565:R$570,MATCH($B78,Assumptions!$B$565:$B$570,0))</f>
        <v>17.135632335484146</v>
      </c>
      <c r="HB78" s="656">
        <f>BT78*INDEX(Assumptions!S$565:S$570,MATCH($B78,Assumptions!$B$565:$B$570,0))</f>
        <v>17.135632335484146</v>
      </c>
      <c r="HC78" s="656">
        <f>BU78*INDEX(Assumptions!T$565:T$570,MATCH($B78,Assumptions!$B$565:$B$570,0))</f>
        <v>17.080397959742545</v>
      </c>
      <c r="HD78" s="1922">
        <f>BV78*INDEX(Assumptions!U$565:U$570,MATCH($B78,Assumptions!$B$565:$B$570,0))</f>
        <v>17.025163584000939</v>
      </c>
      <c r="HE78" s="1933"/>
      <c r="HF78" s="1927"/>
      <c r="HG78" s="501"/>
      <c r="HH78" s="501"/>
      <c r="HI78" s="501"/>
      <c r="HJ78" s="501"/>
      <c r="HK78" s="501"/>
      <c r="HL78" s="501"/>
      <c r="HM78" s="501"/>
      <c r="HN78" s="501"/>
      <c r="HO78" s="501"/>
      <c r="HP78" s="501"/>
      <c r="HQ78" s="501"/>
      <c r="HR78" s="501"/>
      <c r="HS78" s="501"/>
      <c r="HT78" s="501"/>
      <c r="HU78" s="501"/>
      <c r="HV78" s="656"/>
      <c r="HW78" s="1922"/>
      <c r="HX78" s="1946"/>
      <c r="HY78" s="1943">
        <v>2024</v>
      </c>
      <c r="HZ78" s="695">
        <v>2024</v>
      </c>
      <c r="IA78" s="683"/>
      <c r="IB78" s="683"/>
      <c r="IC78" s="694"/>
      <c r="ID78" s="1376"/>
      <c r="IE78" s="1968"/>
      <c r="IF78" s="1963">
        <v>0</v>
      </c>
      <c r="IG78" s="538">
        <v>0.4</v>
      </c>
      <c r="IH78" s="538">
        <v>0.4</v>
      </c>
      <c r="II78" s="538">
        <v>0.4</v>
      </c>
      <c r="IJ78" s="538">
        <v>1</v>
      </c>
      <c r="IK78" s="1276">
        <v>1</v>
      </c>
      <c r="IL78" s="1280">
        <v>1</v>
      </c>
      <c r="IM78" s="1204" t="s">
        <v>843</v>
      </c>
    </row>
    <row r="79" spans="2:247" ht="13.5" customHeight="1" x14ac:dyDescent="0.3">
      <c r="B79" s="1703" t="s">
        <v>53</v>
      </c>
      <c r="C79" s="653"/>
      <c r="D79" s="679" t="s">
        <v>846</v>
      </c>
      <c r="E79" s="71" t="s">
        <v>847</v>
      </c>
      <c r="F79" s="1800"/>
      <c r="G79" s="1208"/>
      <c r="H79" s="1209"/>
      <c r="I79" s="13"/>
      <c r="J79" s="696"/>
      <c r="K79" s="71" t="s">
        <v>648</v>
      </c>
      <c r="L79" s="1176" t="s">
        <v>719</v>
      </c>
      <c r="M79" s="1827"/>
      <c r="N79" s="1817"/>
      <c r="O79" s="1177"/>
      <c r="P79" s="1177"/>
      <c r="Q79" s="1178">
        <v>1</v>
      </c>
      <c r="R79" s="1177"/>
      <c r="S79" s="1445" cm="1">
        <f t="array" ref="S79:X79">TRANSPOSE(_xlfn.XLOOKUP(B79,Assumptions!$C$134:$I$134,Assumptions!$C$135:$I$140))</f>
        <v>0.89766686718609423</v>
      </c>
      <c r="T79" s="1445">
        <v>2.0574367766823833E-2</v>
      </c>
      <c r="U79" s="1445">
        <v>0</v>
      </c>
      <c r="V79" s="1445">
        <v>6.4936780001525515E-2</v>
      </c>
      <c r="W79" s="1445">
        <v>0</v>
      </c>
      <c r="X79" s="1445">
        <v>1.6821985045556383E-2</v>
      </c>
      <c r="Y79" s="1179" cm="1">
        <f t="array" ref="Y79:AC79">TRANSPOSE(_xlfn.ANCHORARRAY(Assumptions!$D$698))</f>
        <v>0.46715240825721654</v>
      </c>
      <c r="Z79" s="1179">
        <v>0.10872006700422583</v>
      </c>
      <c r="AA79" s="1179">
        <v>9.7634938252443113E-2</v>
      </c>
      <c r="AB79" s="1179">
        <v>0.23591534859475621</v>
      </c>
      <c r="AC79" s="1179">
        <v>9.057723789135827E-2</v>
      </c>
      <c r="AD79" s="1177"/>
      <c r="AE79" s="1177"/>
      <c r="AF79" s="1177"/>
      <c r="AG79" s="1177"/>
      <c r="AH79" s="1177"/>
      <c r="AI79" s="1177"/>
      <c r="AJ79" s="1177"/>
      <c r="AK79" s="1417">
        <f t="shared" si="176"/>
        <v>0</v>
      </c>
      <c r="AL79" s="1177"/>
      <c r="AM79" s="1177"/>
      <c r="AN79" s="1177"/>
      <c r="AO79" s="1834">
        <v>1</v>
      </c>
      <c r="AP79" s="1847"/>
      <c r="AQ79" s="1837">
        <f>AVERAGE(AR79:BA79)</f>
        <v>13.608851226222297</v>
      </c>
      <c r="AR79" s="663"/>
      <c r="AS79" s="663"/>
      <c r="AT79" s="663"/>
      <c r="AU79" s="663"/>
      <c r="AV79" s="659">
        <f>_xlfn.XLOOKUP($D79,TalTech!$B$4:$B$46,TalTech!BB$4:BB$46)</f>
        <v>23.329459244952506</v>
      </c>
      <c r="AW79" s="659">
        <f>_xlfn.XLOOKUP($D79,TalTech!$B$4:$B$46,TalTech!BC$4:BC$46)</f>
        <v>11.664729622476255</v>
      </c>
      <c r="AX79" s="659">
        <f>_xlfn.XLOOKUP($D79,TalTech!$B$4:$B$46,TalTech!BD$4:BD$46)</f>
        <v>11.664729622476251</v>
      </c>
      <c r="AY79" s="659">
        <f>_xlfn.XLOOKUP($D79,TalTech!$B$4:$B$46,TalTech!BE$4:BE$46)</f>
        <v>11.664729622476251</v>
      </c>
      <c r="AZ79" s="659">
        <f>_xlfn.XLOOKUP($D79,TalTech!$B$4:$B$46,TalTech!BF$4:BF$46)</f>
        <v>11.664729622476258</v>
      </c>
      <c r="BA79" s="659">
        <f>_xlfn.XLOOKUP($D79,TalTech!$B$4:$B$46,TalTech!BG$4:BG$46)</f>
        <v>11.664729622476258</v>
      </c>
      <c r="BB79" s="659">
        <f>_xlfn.XLOOKUP($D79,TalTech!$B$4:$B$46,TalTech!BH$4:BH$46)</f>
        <v>11.664729622476258</v>
      </c>
      <c r="BC79" s="659">
        <f>_xlfn.XLOOKUP($D79,TalTech!$B$4:$B$46,TalTech!BI$4:BI$46)</f>
        <v>11.664729622476258</v>
      </c>
      <c r="BD79" s="659">
        <f>_xlfn.XLOOKUP($D79,TalTech!$B$4:$B$46,TalTech!BJ$4:BJ$46)</f>
        <v>11.664729622476258</v>
      </c>
      <c r="BE79" s="659">
        <f>_xlfn.XLOOKUP($D79,TalTech!$B$4:$B$46,TalTech!BK$4:BK$46)</f>
        <v>11.664729622476258</v>
      </c>
      <c r="BF79" s="659">
        <f>_xlfn.XLOOKUP($D79,TalTech!$B$4:$B$46,TalTech!BL$4:BL$46)</f>
        <v>11.664729622476258</v>
      </c>
      <c r="BG79" s="501">
        <f t="shared" si="177"/>
        <v>12.725159588155918</v>
      </c>
      <c r="BH79" s="893">
        <f t="shared" si="111"/>
        <v>0</v>
      </c>
      <c r="BI79" s="658">
        <f t="shared" si="112"/>
        <v>0</v>
      </c>
      <c r="BJ79" s="658">
        <f t="shared" si="113"/>
        <v>0</v>
      </c>
      <c r="BK79" s="658">
        <f t="shared" si="114"/>
        <v>0</v>
      </c>
      <c r="BL79" s="658">
        <f t="shared" si="115"/>
        <v>23.329459244952506</v>
      </c>
      <c r="BM79" s="658">
        <f t="shared" si="116"/>
        <v>34.994188867428761</v>
      </c>
      <c r="BN79" s="658">
        <f t="shared" si="117"/>
        <v>46.658918489905012</v>
      </c>
      <c r="BO79" s="658">
        <f t="shared" si="118"/>
        <v>58.323648112381264</v>
      </c>
      <c r="BP79" s="658">
        <f t="shared" si="119"/>
        <v>69.988377734857522</v>
      </c>
      <c r="BQ79" s="658">
        <f t="shared" si="120"/>
        <v>81.653107357333781</v>
      </c>
      <c r="BR79" s="658">
        <f t="shared" si="121"/>
        <v>93.317836979810039</v>
      </c>
      <c r="BS79" s="658">
        <f t="shared" si="122"/>
        <v>104.9825666022863</v>
      </c>
      <c r="BT79" s="658">
        <f t="shared" si="123"/>
        <v>116.64729622476256</v>
      </c>
      <c r="BU79" s="658">
        <f t="shared" si="124"/>
        <v>128.31202584723883</v>
      </c>
      <c r="BV79" s="1851">
        <f t="shared" si="125"/>
        <v>139.9767554697151</v>
      </c>
      <c r="BW79" s="1661"/>
      <c r="BX79" s="1855">
        <v>2.3151509999999997</v>
      </c>
      <c r="BY79" s="1192">
        <f t="shared" si="126"/>
        <v>28.353495352826414</v>
      </c>
      <c r="BZ79" s="663"/>
      <c r="CA79" s="663"/>
      <c r="CB79" s="663"/>
      <c r="CC79" s="663"/>
      <c r="CD79" s="675">
        <f>_xlfn.XLOOKUP($D79,TalTech!$B$4:$B$46,TalTech!BM$4:BM$46)</f>
        <v>0.38585849999999999</v>
      </c>
      <c r="CE79" s="675">
        <f>_xlfn.XLOOKUP($D79,TalTech!$B$4:$B$46,TalTech!BN$4:BN$46)</f>
        <v>0.38585849999999999</v>
      </c>
      <c r="CF79" s="675">
        <f>_xlfn.XLOOKUP($D79,TalTech!$B$4:$B$46,TalTech!BO$4:BO$46)</f>
        <v>0.38585849999999999</v>
      </c>
      <c r="CG79" s="675">
        <f>_xlfn.XLOOKUP($D79,TalTech!$B$4:$B$46,TalTech!BP$4:BP$46)</f>
        <v>0.38585849999999999</v>
      </c>
      <c r="CH79" s="675">
        <f>_xlfn.XLOOKUP($D79,TalTech!$B$4:$B$46,TalTech!BQ$4:BQ$46)</f>
        <v>0.38585849999999999</v>
      </c>
      <c r="CI79" s="675">
        <f>_xlfn.XLOOKUP($D79,TalTech!$B$4:$B$46,TalTech!BR$4:BR$46)</f>
        <v>0.38585849999999999</v>
      </c>
      <c r="CJ79" s="675">
        <f>_xlfn.XLOOKUP($D79,TalTech!$B$4:$B$46,TalTech!BS$4:BS$46)</f>
        <v>0.38585849999999999</v>
      </c>
      <c r="CK79" s="675">
        <f>_xlfn.XLOOKUP($D79,TalTech!$B$4:$B$46,TalTech!BT$4:BT$46)</f>
        <v>0.38585849999999999</v>
      </c>
      <c r="CL79" s="675">
        <f>_xlfn.XLOOKUP($D79,TalTech!$B$4:$B$46,TalTech!BU$4:BU$46)</f>
        <v>0.38585849999999999</v>
      </c>
      <c r="CM79" s="675">
        <f>_xlfn.XLOOKUP($D79,TalTech!$B$4:$B$46,TalTech!BV$4:BV$46)</f>
        <v>0.38585849999999999</v>
      </c>
      <c r="CN79" s="675">
        <f>_xlfn.XLOOKUP($D79,TalTech!$B$4:$B$46,TalTech!BW$4:BW$46)</f>
        <v>0.38585849999999999</v>
      </c>
      <c r="CO79" s="493">
        <f t="shared" si="178"/>
        <v>0.38585849999999994</v>
      </c>
      <c r="CP79" s="660">
        <f t="shared" si="127"/>
        <v>2.3151509999999997</v>
      </c>
      <c r="CQ79" s="1193">
        <f>_xlfn.XLOOKUP($D79,TalTech!$B$4:$B$46,TalTech!$H$4:$H$46)</f>
        <v>1</v>
      </c>
      <c r="CR79" s="662">
        <f>1-CQ79</f>
        <v>0</v>
      </c>
      <c r="CS79" s="685" t="str">
        <v>100% government</v>
      </c>
      <c r="CT79" s="1862">
        <f t="shared" si="218"/>
        <v>0.38585849999999994</v>
      </c>
      <c r="CU79" s="1872"/>
      <c r="CV79" s="1865">
        <f>BH79*Assumptions!D$498</f>
        <v>0</v>
      </c>
      <c r="CW79" s="659">
        <f>BI79*Assumptions!E$498</f>
        <v>0</v>
      </c>
      <c r="CX79" s="659">
        <f>BJ79*Assumptions!F$498</f>
        <v>0</v>
      </c>
      <c r="CY79" s="659">
        <f>BK79*Assumptions!G$498</f>
        <v>0</v>
      </c>
      <c r="CZ79" s="659">
        <f>BL79*Assumptions!H$498</f>
        <v>2.4260136861183637</v>
      </c>
      <c r="DA79" s="659">
        <f>BM79*Assumptions!I$498</f>
        <v>3.7006630964430065</v>
      </c>
      <c r="DB79" s="659">
        <f>BN79*Assumptions!J$498</f>
        <v>5.0192936223573916</v>
      </c>
      <c r="DC79" s="659">
        <f>BO79*Assumptions!K$498</f>
        <v>6.3841404768985566</v>
      </c>
      <c r="DD79" s="659">
        <f>BP79*Assumptions!L$498</f>
        <v>7.7974986497349672</v>
      </c>
      <c r="DE79" s="659">
        <f>BQ79*Assumptions!M$498</f>
        <v>9.261725678109169</v>
      </c>
      <c r="DF79" s="659">
        <f>BR79*Assumptions!N$498</f>
        <v>10.782838957634349</v>
      </c>
      <c r="DG79" s="659">
        <f>BS79*Assumptions!O$498</f>
        <v>12.360137464344307</v>
      </c>
      <c r="DH79" s="659">
        <f>BT79*Assumptions!P$498</f>
        <v>13.996071567177932</v>
      </c>
      <c r="DI79" s="659">
        <f>BU79*Assumptions!Q$498</f>
        <v>15.693188090505995</v>
      </c>
      <c r="DJ79" s="659">
        <f>BV79*Assumptions!R$498</f>
        <v>17.454133896124979</v>
      </c>
      <c r="DK79" s="680">
        <f t="shared" si="222"/>
        <v>0</v>
      </c>
      <c r="DL79" s="680">
        <f t="shared" si="223"/>
        <v>0</v>
      </c>
      <c r="DM79" s="680">
        <f t="shared" si="224"/>
        <v>0</v>
      </c>
      <c r="DN79" s="680">
        <f t="shared" si="225"/>
        <v>0</v>
      </c>
      <c r="DO79" s="680">
        <f t="shared" si="226"/>
        <v>2.4260136861183637</v>
      </c>
      <c r="DP79" s="680">
        <f t="shared" si="227"/>
        <v>3.7006630964430065</v>
      </c>
      <c r="DQ79" s="680">
        <f t="shared" si="228"/>
        <v>5.0192936223573916</v>
      </c>
      <c r="DR79" s="680">
        <f t="shared" si="229"/>
        <v>6.3841404768985566</v>
      </c>
      <c r="DS79" s="680">
        <f t="shared" si="230"/>
        <v>7.7974986497349672</v>
      </c>
      <c r="DT79" s="680">
        <f t="shared" si="231"/>
        <v>9.261725678109169</v>
      </c>
      <c r="DU79" s="680">
        <f t="shared" si="252"/>
        <v>10.782838957634349</v>
      </c>
      <c r="DV79" s="680">
        <f t="shared" si="253"/>
        <v>12.360137464344307</v>
      </c>
      <c r="DW79" s="680">
        <f t="shared" si="254"/>
        <v>13.996071567177932</v>
      </c>
      <c r="DX79" s="680">
        <f t="shared" si="255"/>
        <v>15.693188090505995</v>
      </c>
      <c r="DY79" s="680">
        <f t="shared" si="256"/>
        <v>17.454133896124979</v>
      </c>
      <c r="DZ79" s="678">
        <v>0</v>
      </c>
      <c r="EA79" s="661">
        <f t="shared" si="130"/>
        <v>1</v>
      </c>
      <c r="EB79" s="1861">
        <f t="shared" si="236"/>
        <v>3.4589335209661458</v>
      </c>
      <c r="EC79" s="1881"/>
      <c r="ED79" s="1877">
        <v>0</v>
      </c>
      <c r="EE79" s="684"/>
      <c r="EF79" s="684"/>
      <c r="EG79" s="684"/>
      <c r="EH79" s="684"/>
      <c r="EI79" s="665">
        <f t="shared" si="239"/>
        <v>0</v>
      </c>
      <c r="EJ79" s="665">
        <f t="shared" si="240"/>
        <v>0</v>
      </c>
      <c r="EK79" s="665">
        <f t="shared" si="241"/>
        <v>0</v>
      </c>
      <c r="EL79" s="665">
        <f t="shared" si="242"/>
        <v>0</v>
      </c>
      <c r="EM79" s="665">
        <f t="shared" si="243"/>
        <v>0</v>
      </c>
      <c r="EN79" s="665">
        <f t="shared" si="244"/>
        <v>0</v>
      </c>
      <c r="EO79" s="665">
        <f t="shared" si="245"/>
        <v>0</v>
      </c>
      <c r="EP79" s="665">
        <f t="shared" si="246"/>
        <v>0</v>
      </c>
      <c r="EQ79" s="665">
        <f t="shared" si="247"/>
        <v>0</v>
      </c>
      <c r="ER79" s="665">
        <f t="shared" si="248"/>
        <v>0</v>
      </c>
      <c r="ES79" s="665">
        <f t="shared" si="249"/>
        <v>0</v>
      </c>
      <c r="ET79" s="541">
        <f t="shared" si="133"/>
        <v>0</v>
      </c>
      <c r="EU79" s="1450" cm="1">
        <f t="array" ref="EU79">(BH79*SUMPRODUCT($S79:$X79,TRANSPOSE(Assumptions!D$281:D$286)))*0.001</f>
        <v>0</v>
      </c>
      <c r="EV79" s="1450" cm="1">
        <f t="array" ref="EV79">(BI79*SUMPRODUCT($S79:$X79,TRANSPOSE(Assumptions!E$281:E$286)))*0.001</f>
        <v>0</v>
      </c>
      <c r="EW79" s="1450" cm="1">
        <f t="array" ref="EW79">(BJ79*SUMPRODUCT($S79:$X79,TRANSPOSE(Assumptions!F$281:F$286)))*0.001</f>
        <v>0</v>
      </c>
      <c r="EX79" s="1450" cm="1">
        <f t="array" ref="EX79">(BK79*SUMPRODUCT($S79:$X79,TRANSPOSE(Assumptions!G$281:G$286)))*0.001</f>
        <v>0</v>
      </c>
      <c r="EY79" s="1450" cm="1">
        <f t="array" ref="EY79">(BL79*SUMPRODUCT($S79:$X79,TRANSPOSE(Assumptions!H$281:H$286)))*0.001</f>
        <v>1.008651869699899</v>
      </c>
      <c r="EZ79" s="1450" cm="1">
        <f t="array" ref="EZ79">(BM79*SUMPRODUCT($S79:$X79,TRANSPOSE(Assumptions!I$281:I$286)))*0.001</f>
        <v>1.5129778045498483</v>
      </c>
      <c r="FA79" s="1450" cm="1">
        <f t="array" ref="FA79">(BN79*SUMPRODUCT($S79:$X79,TRANSPOSE(Assumptions!J$281:J$286)))*0.001</f>
        <v>2.0173037393997979</v>
      </c>
      <c r="FB79" s="1450" cm="1">
        <f t="array" ref="FB79">(BO79*SUMPRODUCT($S79:$X79,TRANSPOSE(Assumptions!K$281:K$286)))*0.001</f>
        <v>2.521629674249747</v>
      </c>
      <c r="FC79" s="1450" cm="1">
        <f t="array" ref="FC79">(BP79*SUMPRODUCT($S79:$X79,TRANSPOSE(Assumptions!L$281:L$286)))*0.001</f>
        <v>3.0259556090996966</v>
      </c>
      <c r="FD79" s="1450" cm="1">
        <f t="array" ref="FD79">(BQ79*SUMPRODUCT($S79:$X79,TRANSPOSE(Assumptions!M$281:M$286)))*0.001</f>
        <v>3.5302815439496462</v>
      </c>
      <c r="FE79" s="1450" cm="1">
        <f t="array" ref="FE79">(BR79*SUMPRODUCT($S79:$X79,TRANSPOSE(Assumptions!N$281:N$286)))*0.001</f>
        <v>4.0346074787995958</v>
      </c>
      <c r="FF79" s="1450" cm="1">
        <f t="array" ref="FF79">(BS79*SUMPRODUCT($S79:$X79,TRANSPOSE(Assumptions!O$281:O$286)))*0.001</f>
        <v>4.5389334136495458</v>
      </c>
      <c r="FG79" s="1450" cm="1">
        <f t="array" ref="FG79">(BT79*SUMPRODUCT($S79:$X79,TRANSPOSE(Assumptions!P$281:P$286)))*0.001</f>
        <v>5.043259348499495</v>
      </c>
      <c r="FH79" s="1450" cm="1">
        <f t="array" ref="FH79">(BU79*SUMPRODUCT($S79:$X79,TRANSPOSE(Assumptions!Q$281:Q$286)))*0.001</f>
        <v>5.5475852833494459</v>
      </c>
      <c r="FI79" s="1450" cm="1">
        <f t="array" ref="FI79">(BV79*SUMPRODUCT($S79:$X79,TRANSPOSE(Assumptions!R$281:R$286)))*0.001</f>
        <v>6.051911218199395</v>
      </c>
      <c r="FJ79" s="666">
        <f t="shared" ref="FJ79:FS81" si="257">EE79-EU79</f>
        <v>0</v>
      </c>
      <c r="FK79" s="666">
        <f t="shared" si="257"/>
        <v>0</v>
      </c>
      <c r="FL79" s="666">
        <f t="shared" si="257"/>
        <v>0</v>
      </c>
      <c r="FM79" s="666">
        <f t="shared" si="257"/>
        <v>0</v>
      </c>
      <c r="FN79" s="666">
        <f t="shared" si="257"/>
        <v>-1.008651869699899</v>
      </c>
      <c r="FO79" s="666">
        <f t="shared" si="257"/>
        <v>-1.5129778045498483</v>
      </c>
      <c r="FP79" s="666">
        <f t="shared" si="257"/>
        <v>-2.0173037393997979</v>
      </c>
      <c r="FQ79" s="666">
        <f t="shared" si="257"/>
        <v>-2.521629674249747</v>
      </c>
      <c r="FR79" s="666">
        <f t="shared" si="257"/>
        <v>-3.0259556090996966</v>
      </c>
      <c r="FS79" s="666">
        <f t="shared" si="257"/>
        <v>-3.5302815439496462</v>
      </c>
      <c r="FT79" s="666">
        <f t="shared" si="144"/>
        <v>-4.0346074787995958</v>
      </c>
      <c r="FU79" s="666">
        <f t="shared" si="145"/>
        <v>-4.5389334136495458</v>
      </c>
      <c r="FV79" s="666">
        <f t="shared" si="146"/>
        <v>-5.043259348499495</v>
      </c>
      <c r="FW79" s="666">
        <f t="shared" si="147"/>
        <v>-5.5475852833494459</v>
      </c>
      <c r="FX79" s="1883">
        <f t="shared" si="148"/>
        <v>-6.051911218199395</v>
      </c>
      <c r="FY79" s="1895"/>
      <c r="FZ79" s="690"/>
      <c r="GA79" s="690"/>
      <c r="GB79" s="690"/>
      <c r="GC79" s="690"/>
      <c r="GD79" s="493">
        <f>CD79*Admin!$H$16</f>
        <v>2.8283428050000001</v>
      </c>
      <c r="GE79" s="493">
        <f>CE79*Admin!$H$16</f>
        <v>2.8283428050000001</v>
      </c>
      <c r="GF79" s="493">
        <f>CF79*Admin!$H$16</f>
        <v>2.8283428050000001</v>
      </c>
      <c r="GG79" s="493">
        <f>CG79*Admin!$H$16</f>
        <v>2.8283428050000001</v>
      </c>
      <c r="GH79" s="493">
        <f>CH79*Admin!$H$16</f>
        <v>2.8283428050000001</v>
      </c>
      <c r="GI79" s="493">
        <f>CI79*Admin!$H$16</f>
        <v>2.8283428050000001</v>
      </c>
      <c r="GJ79" s="493">
        <f>CJ79*Admin!$H$16</f>
        <v>2.8283428050000001</v>
      </c>
      <c r="GK79" s="493">
        <f>CK79*Admin!$H$16</f>
        <v>2.8283428050000001</v>
      </c>
      <c r="GL79" s="493">
        <f>CL79*Admin!$H$16</f>
        <v>2.8283428050000001</v>
      </c>
      <c r="GM79" s="493">
        <f>CM79*Admin!$H$16</f>
        <v>2.8283428050000001</v>
      </c>
      <c r="GN79" s="1903">
        <f>CN79*Admin!$H$16</f>
        <v>2.8283428050000001</v>
      </c>
      <c r="GO79" s="1914"/>
      <c r="GP79" s="1868">
        <f>BH79*INDEX(Assumptions!G$565:G$570,MATCH($B79,Assumptions!$B$565:$B$570,0))</f>
        <v>0</v>
      </c>
      <c r="GQ79" s="656">
        <f>BI79*INDEX(Assumptions!H$565:H$570,MATCH($B79,Assumptions!$B$565:$B$570,0))</f>
        <v>0</v>
      </c>
      <c r="GR79" s="656">
        <f>BJ79*INDEX(Assumptions!I$565:I$570,MATCH($B79,Assumptions!$B$565:$B$570,0))</f>
        <v>0</v>
      </c>
      <c r="GS79" s="656">
        <f>BK79*INDEX(Assumptions!J$565:J$570,MATCH($B79,Assumptions!$B$565:$B$570,0))</f>
        <v>0</v>
      </c>
      <c r="GT79" s="656">
        <f>BL79*INDEX(Assumptions!K$565:K$570,MATCH($B79,Assumptions!$B$565:$B$570,0))</f>
        <v>6.46790777903131</v>
      </c>
      <c r="GU79" s="656">
        <f>BM79*INDEX(Assumptions!L$565:L$570,MATCH($B79,Assumptions!$B$565:$B$570,0))</f>
        <v>9.7228328514524467</v>
      </c>
      <c r="GV79" s="656">
        <f>BN79*INDEX(Assumptions!M$565:M$570,MATCH($B79,Assumptions!$B$565:$B$570,0))</f>
        <v>12.979647035759118</v>
      </c>
      <c r="GW79" s="656">
        <f>BO79*INDEX(Assumptions!N$565:N$570,MATCH($B79,Assumptions!$B$565:$B$570,0))</f>
        <v>16.230627585707651</v>
      </c>
      <c r="GX79" s="656">
        <f>BP79*INDEX(Assumptions!O$565:O$570,MATCH($B79,Assumptions!$B$565:$B$570,0))</f>
        <v>19.469071965707453</v>
      </c>
      <c r="GY79" s="656">
        <f>BQ79*INDEX(Assumptions!P$565:P$570,MATCH($B79,Assumptions!$B$565:$B$570,0))</f>
        <v>22.613932372534858</v>
      </c>
      <c r="GZ79" s="656">
        <f>BR79*INDEX(Assumptions!Q$565:Q$570,MATCH($B79,Assumptions!$B$565:$B$570,0))</f>
        <v>24.540237993163267</v>
      </c>
      <c r="HA79" s="656">
        <f>BS79*INDEX(Assumptions!R$565:R$570,MATCH($B79,Assumptions!$B$565:$B$570,0))</f>
        <v>30.043466096600675</v>
      </c>
      <c r="HB79" s="656">
        <f>BT79*INDEX(Assumptions!S$565:S$570,MATCH($B79,Assumptions!$B$565:$B$570,0))</f>
        <v>33.381628996222972</v>
      </c>
      <c r="HC79" s="656">
        <f>BU79*INDEX(Assumptions!T$565:T$570,MATCH($B79,Assumptions!$B$565:$B$570,0))</f>
        <v>36.601430650516228</v>
      </c>
      <c r="HD79" s="1922">
        <f>BV79*INDEX(Assumptions!U$565:U$570,MATCH($B79,Assumptions!$B$565:$B$570,0))</f>
        <v>39.799712078386015</v>
      </c>
      <c r="HE79" s="1933"/>
      <c r="HF79" s="1927"/>
      <c r="HG79" s="501"/>
      <c r="HH79" s="501"/>
      <c r="HI79" s="501"/>
      <c r="HJ79" s="501"/>
      <c r="HK79" s="501"/>
      <c r="HL79" s="501"/>
      <c r="HM79" s="501"/>
      <c r="HN79" s="501"/>
      <c r="HO79" s="501"/>
      <c r="HP79" s="501"/>
      <c r="HQ79" s="501"/>
      <c r="HR79" s="501"/>
      <c r="HS79" s="501"/>
      <c r="HT79" s="501"/>
      <c r="HU79" s="501"/>
      <c r="HV79" s="656"/>
      <c r="HW79" s="1922"/>
      <c r="HX79" s="1946"/>
      <c r="HY79" s="1943"/>
      <c r="HZ79" s="695"/>
      <c r="IA79" s="683"/>
      <c r="IB79" s="683"/>
      <c r="IC79" s="694"/>
      <c r="ID79" s="1376"/>
      <c r="IE79" s="1968"/>
      <c r="IF79" s="1963">
        <v>0</v>
      </c>
      <c r="IG79" s="538">
        <v>0.4</v>
      </c>
      <c r="IH79" s="538">
        <v>0.4</v>
      </c>
      <c r="II79" s="538">
        <v>0.4</v>
      </c>
      <c r="IJ79" s="538">
        <v>1</v>
      </c>
      <c r="IK79" s="1276">
        <v>1</v>
      </c>
      <c r="IL79" s="1280">
        <v>1</v>
      </c>
      <c r="IM79" s="1292" t="s">
        <v>847</v>
      </c>
    </row>
    <row r="80" spans="2:247" ht="13.5" customHeight="1" x14ac:dyDescent="0.3">
      <c r="B80" s="1703" t="s">
        <v>53</v>
      </c>
      <c r="C80" s="653"/>
      <c r="D80" s="679" t="s">
        <v>848</v>
      </c>
      <c r="E80" s="71" t="s">
        <v>849</v>
      </c>
      <c r="F80" s="1800"/>
      <c r="G80" s="1208"/>
      <c r="H80" s="1209"/>
      <c r="I80" s="13"/>
      <c r="J80" s="696"/>
      <c r="K80" s="71" t="s">
        <v>648</v>
      </c>
      <c r="L80" s="1176" t="s">
        <v>719</v>
      </c>
      <c r="M80" s="1827"/>
      <c r="N80" s="1817"/>
      <c r="O80" s="1177"/>
      <c r="P80" s="1177"/>
      <c r="Q80" s="1178">
        <v>1</v>
      </c>
      <c r="R80" s="1177"/>
      <c r="S80" s="1445" cm="1">
        <f t="array" ref="S80:X80">TRANSPOSE(_xlfn.XLOOKUP(B80,Assumptions!$C$134:$I$134,Assumptions!$C$135:$I$140))</f>
        <v>0.89766686718609423</v>
      </c>
      <c r="T80" s="1445">
        <v>2.0574367766823833E-2</v>
      </c>
      <c r="U80" s="1445">
        <v>0</v>
      </c>
      <c r="V80" s="1445">
        <v>6.4936780001525515E-2</v>
      </c>
      <c r="W80" s="1445">
        <v>0</v>
      </c>
      <c r="X80" s="1445">
        <v>1.6821985045556383E-2</v>
      </c>
      <c r="Y80" s="1205">
        <v>0.5</v>
      </c>
      <c r="Z80" s="1205"/>
      <c r="AA80" s="1205"/>
      <c r="AB80" s="1205"/>
      <c r="AC80" s="1205"/>
      <c r="AD80" s="1177"/>
      <c r="AE80" s="1177"/>
      <c r="AF80" s="1177"/>
      <c r="AG80" s="1177"/>
      <c r="AH80" s="1177"/>
      <c r="AI80" s="1177"/>
      <c r="AJ80" s="1177"/>
      <c r="AK80" s="1417">
        <f t="shared" si="176"/>
        <v>0</v>
      </c>
      <c r="AL80" s="1177"/>
      <c r="AM80" s="1177"/>
      <c r="AN80" s="1177"/>
      <c r="AO80" s="1834">
        <v>0</v>
      </c>
      <c r="AP80" s="1847"/>
      <c r="AQ80" s="1837">
        <f>AVERAGE(AR80:BA80)</f>
        <v>0.80069200859679068</v>
      </c>
      <c r="AR80" s="663"/>
      <c r="AS80" s="663"/>
      <c r="AT80" s="663"/>
      <c r="AU80" s="663"/>
      <c r="AV80" s="659">
        <f>_xlfn.XLOOKUP($D80,TalTech!$B$4:$B$46,TalTech!BB$4:BB$46)</f>
        <v>0.80069200859679068</v>
      </c>
      <c r="AW80" s="659">
        <f>_xlfn.XLOOKUP($D80,TalTech!$B$4:$B$46,TalTech!BC$4:BC$46)</f>
        <v>0.80069200859679068</v>
      </c>
      <c r="AX80" s="659">
        <f>_xlfn.XLOOKUP($D80,TalTech!$B$4:$B$46,TalTech!BD$4:BD$46)</f>
        <v>0.80069200859679079</v>
      </c>
      <c r="AY80" s="659">
        <f>_xlfn.XLOOKUP($D80,TalTech!$B$4:$B$46,TalTech!BE$4:BE$46)</f>
        <v>0.80069200859679057</v>
      </c>
      <c r="AZ80" s="659">
        <f>_xlfn.XLOOKUP($D80,TalTech!$B$4:$B$46,TalTech!BF$4:BF$46)</f>
        <v>0.80069200859679102</v>
      </c>
      <c r="BA80" s="659">
        <f>_xlfn.XLOOKUP($D80,TalTech!$B$4:$B$46,TalTech!BG$4:BG$46)</f>
        <v>0.80069200859679057</v>
      </c>
      <c r="BB80" s="659">
        <f>_xlfn.XLOOKUP($D80,TalTech!$B$4:$B$46,TalTech!BH$4:BH$46)</f>
        <v>0.80069200859679057</v>
      </c>
      <c r="BC80" s="659">
        <f>_xlfn.XLOOKUP($D80,TalTech!$B$4:$B$46,TalTech!BI$4:BI$46)</f>
        <v>0.80069200859679057</v>
      </c>
      <c r="BD80" s="659">
        <f>_xlfn.XLOOKUP($D80,TalTech!$B$4:$B$46,TalTech!BJ$4:BJ$46)</f>
        <v>0.80069200859679057</v>
      </c>
      <c r="BE80" s="659">
        <f>_xlfn.XLOOKUP($D80,TalTech!$B$4:$B$46,TalTech!BK$4:BK$46)</f>
        <v>0.80069200859679057</v>
      </c>
      <c r="BF80" s="659">
        <f>_xlfn.XLOOKUP($D80,TalTech!$B$4:$B$46,TalTech!BL$4:BL$46)</f>
        <v>0.80069200859679057</v>
      </c>
      <c r="BG80" s="501">
        <f t="shared" si="177"/>
        <v>0.80069200859679057</v>
      </c>
      <c r="BH80" s="893">
        <f t="shared" si="111"/>
        <v>0</v>
      </c>
      <c r="BI80" s="658">
        <f t="shared" si="112"/>
        <v>0</v>
      </c>
      <c r="BJ80" s="658">
        <f t="shared" si="113"/>
        <v>0</v>
      </c>
      <c r="BK80" s="658">
        <f t="shared" si="114"/>
        <v>0</v>
      </c>
      <c r="BL80" s="658">
        <f t="shared" si="115"/>
        <v>0.80069200859679068</v>
      </c>
      <c r="BM80" s="658">
        <f t="shared" si="116"/>
        <v>1.6013840171935814</v>
      </c>
      <c r="BN80" s="658">
        <f t="shared" si="117"/>
        <v>2.4020760257903722</v>
      </c>
      <c r="BO80" s="658">
        <f t="shared" si="118"/>
        <v>3.2027680343871627</v>
      </c>
      <c r="BP80" s="658">
        <f t="shared" si="119"/>
        <v>4.0034600429839537</v>
      </c>
      <c r="BQ80" s="658">
        <f t="shared" si="120"/>
        <v>4.8041520515807443</v>
      </c>
      <c r="BR80" s="658">
        <f t="shared" si="121"/>
        <v>5.6048440601775349</v>
      </c>
      <c r="BS80" s="658">
        <f t="shared" si="122"/>
        <v>6.4055360687743255</v>
      </c>
      <c r="BT80" s="658">
        <f t="shared" si="123"/>
        <v>7.206228077371116</v>
      </c>
      <c r="BU80" s="658">
        <f t="shared" si="124"/>
        <v>8.0069200859679057</v>
      </c>
      <c r="BV80" s="1851">
        <f t="shared" si="125"/>
        <v>8.8076120945646963</v>
      </c>
      <c r="BW80" s="1661"/>
      <c r="BX80" s="1855">
        <v>0</v>
      </c>
      <c r="BY80" s="1192">
        <f t="shared" si="126"/>
        <v>299.11626121974507</v>
      </c>
      <c r="BZ80" s="663"/>
      <c r="CA80" s="663"/>
      <c r="CB80" s="663"/>
      <c r="CC80" s="663"/>
      <c r="CD80" s="675">
        <f>_xlfn.XLOOKUP($D80,TalTech!$B$4:$B$46,TalTech!BM$4:BM$46)</f>
        <v>0.23949999999999999</v>
      </c>
      <c r="CE80" s="675">
        <f>_xlfn.XLOOKUP($D80,TalTech!$B$4:$B$46,TalTech!BN$4:BN$46)</f>
        <v>0.23949999999999999</v>
      </c>
      <c r="CF80" s="675">
        <f>_xlfn.XLOOKUP($D80,TalTech!$B$4:$B$46,TalTech!BO$4:BO$46)</f>
        <v>0.23949999999999999</v>
      </c>
      <c r="CG80" s="675">
        <f>_xlfn.XLOOKUP($D80,TalTech!$B$4:$B$46,TalTech!BP$4:BP$46)</f>
        <v>0.23949999999999999</v>
      </c>
      <c r="CH80" s="675">
        <f>_xlfn.XLOOKUP($D80,TalTech!$B$4:$B$46,TalTech!BQ$4:BQ$46)</f>
        <v>0.23949999999999999</v>
      </c>
      <c r="CI80" s="675">
        <f>_xlfn.XLOOKUP($D80,TalTech!$B$4:$B$46,TalTech!BR$4:BR$46)</f>
        <v>0.23949999999999999</v>
      </c>
      <c r="CJ80" s="675">
        <f>_xlfn.XLOOKUP($D80,TalTech!$B$4:$B$46,TalTech!BS$4:BS$46)</f>
        <v>0.23949999999999999</v>
      </c>
      <c r="CK80" s="675">
        <f>_xlfn.XLOOKUP($D80,TalTech!$B$4:$B$46,TalTech!BT$4:BT$46)</f>
        <v>0.23949999999999999</v>
      </c>
      <c r="CL80" s="675">
        <f>_xlfn.XLOOKUP($D80,TalTech!$B$4:$B$46,TalTech!BU$4:BU$46)</f>
        <v>0.23949999999999999</v>
      </c>
      <c r="CM80" s="675">
        <f>_xlfn.XLOOKUP($D80,TalTech!$B$4:$B$46,TalTech!BV$4:BV$46)</f>
        <v>0.23949999999999999</v>
      </c>
      <c r="CN80" s="675">
        <f>_xlfn.XLOOKUP($D80,TalTech!$B$4:$B$46,TalTech!BW$4:BW$46)</f>
        <v>0.23949999999999999</v>
      </c>
      <c r="CO80" s="493">
        <f t="shared" si="178"/>
        <v>0.23950000000000002</v>
      </c>
      <c r="CP80" s="660">
        <f t="shared" si="127"/>
        <v>1.4370000000000001</v>
      </c>
      <c r="CQ80" s="1193"/>
      <c r="CR80" s="662">
        <f>1-CQ80</f>
        <v>1</v>
      </c>
      <c r="CS80" s="685" t="str">
        <v>50% government 50% taxi companies</v>
      </c>
      <c r="CT80" s="1862">
        <f t="shared" si="218"/>
        <v>0.23950000000000002</v>
      </c>
      <c r="CU80" s="1872"/>
      <c r="CV80" s="1865">
        <f>BH80*Assumptions!D$498</f>
        <v>0</v>
      </c>
      <c r="CW80" s="659">
        <f>BI80*Assumptions!E$498</f>
        <v>0</v>
      </c>
      <c r="CX80" s="659">
        <f>BJ80*Assumptions!F$498</f>
        <v>0</v>
      </c>
      <c r="CY80" s="659">
        <f>BK80*Assumptions!G$498</f>
        <v>0</v>
      </c>
      <c r="CZ80" s="659">
        <f>BL80*Assumptions!H$498</f>
        <v>8.3263386040192428E-2</v>
      </c>
      <c r="DA80" s="659">
        <f>BM80*Assumptions!I$498</f>
        <v>0.16934762391871871</v>
      </c>
      <c r="DB80" s="659">
        <f>BN80*Assumptions!J$498</f>
        <v>0.25840129319062038</v>
      </c>
      <c r="DC80" s="659">
        <f>BO80*Assumptions!K$498</f>
        <v>0.35057685361261426</v>
      </c>
      <c r="DD80" s="659">
        <f>BP80*Assumptions!L$498</f>
        <v>0.44603083097163637</v>
      </c>
      <c r="DE80" s="659">
        <f>BQ80*Assumptions!M$498</f>
        <v>0.54492400666329166</v>
      </c>
      <c r="DF80" s="659">
        <f>BR80*Assumptions!N$498</f>
        <v>0.64763750253473595</v>
      </c>
      <c r="DG80" s="659">
        <f>BS80*Assumptions!O$498</f>
        <v>0.75415670339633389</v>
      </c>
      <c r="DH80" s="659">
        <f>BT80*Assumptions!P$498</f>
        <v>0.86464827873894834</v>
      </c>
      <c r="DI80" s="659">
        <f>BU80*Assumptions!Q$498</f>
        <v>0.97928547308840375</v>
      </c>
      <c r="DJ80" s="659">
        <f>BV80*Assumptions!R$498</f>
        <v>1.0982483505050404</v>
      </c>
      <c r="DK80" s="680">
        <f t="shared" si="222"/>
        <v>0</v>
      </c>
      <c r="DL80" s="680">
        <f t="shared" si="223"/>
        <v>0</v>
      </c>
      <c r="DM80" s="680">
        <f t="shared" si="224"/>
        <v>0</v>
      </c>
      <c r="DN80" s="680">
        <f t="shared" si="225"/>
        <v>0</v>
      </c>
      <c r="DO80" s="680">
        <f t="shared" si="226"/>
        <v>8.3263386040192428E-2</v>
      </c>
      <c r="DP80" s="680">
        <f t="shared" si="227"/>
        <v>0.16934762391871871</v>
      </c>
      <c r="DQ80" s="680">
        <f t="shared" si="228"/>
        <v>0.25840129319062038</v>
      </c>
      <c r="DR80" s="680">
        <f t="shared" si="229"/>
        <v>0.35057685361261426</v>
      </c>
      <c r="DS80" s="680">
        <f t="shared" si="230"/>
        <v>0.44603083097163637</v>
      </c>
      <c r="DT80" s="680">
        <f t="shared" si="231"/>
        <v>0.54492400666329166</v>
      </c>
      <c r="DU80" s="680">
        <f t="shared" si="252"/>
        <v>0.64763750253473595</v>
      </c>
      <c r="DV80" s="680">
        <f t="shared" si="253"/>
        <v>0.75415670339633389</v>
      </c>
      <c r="DW80" s="680">
        <f t="shared" si="254"/>
        <v>0.86464827873894834</v>
      </c>
      <c r="DX80" s="680">
        <f t="shared" si="255"/>
        <v>0.97928547308840375</v>
      </c>
      <c r="DY80" s="680">
        <f t="shared" si="256"/>
        <v>1.0982483505050404</v>
      </c>
      <c r="DZ80" s="678">
        <v>0</v>
      </c>
      <c r="EA80" s="661">
        <f t="shared" si="130"/>
        <v>1</v>
      </c>
      <c r="EB80" s="1861">
        <f t="shared" si="236"/>
        <v>0.1852543994397074</v>
      </c>
      <c r="EC80" s="1881"/>
      <c r="ED80" s="1877">
        <v>0</v>
      </c>
      <c r="EE80" s="684"/>
      <c r="EF80" s="684"/>
      <c r="EG80" s="684"/>
      <c r="EH80" s="684"/>
      <c r="EI80" s="665">
        <f t="shared" si="239"/>
        <v>7.664E-2</v>
      </c>
      <c r="EJ80" s="665">
        <f t="shared" si="240"/>
        <v>7.664E-2</v>
      </c>
      <c r="EK80" s="665">
        <f t="shared" si="241"/>
        <v>7.664E-2</v>
      </c>
      <c r="EL80" s="665">
        <f t="shared" si="242"/>
        <v>7.664E-2</v>
      </c>
      <c r="EM80" s="665">
        <f t="shared" si="243"/>
        <v>7.664E-2</v>
      </c>
      <c r="EN80" s="665">
        <f t="shared" si="244"/>
        <v>7.664E-2</v>
      </c>
      <c r="EO80" s="665">
        <f t="shared" si="245"/>
        <v>7.664E-2</v>
      </c>
      <c r="EP80" s="665">
        <f t="shared" si="246"/>
        <v>7.664E-2</v>
      </c>
      <c r="EQ80" s="665">
        <f t="shared" si="247"/>
        <v>7.664E-2</v>
      </c>
      <c r="ER80" s="665">
        <f t="shared" si="248"/>
        <v>7.664E-2</v>
      </c>
      <c r="ES80" s="665">
        <f t="shared" si="249"/>
        <v>7.664E-2</v>
      </c>
      <c r="ET80" s="541">
        <f t="shared" si="133"/>
        <v>7.6640000000000014E-2</v>
      </c>
      <c r="EU80" s="1450" cm="1">
        <f t="array" ref="EU80">(BH80*SUMPRODUCT($S80:$X80,TRANSPOSE(Assumptions!D$281:D$286)))*0.001</f>
        <v>0</v>
      </c>
      <c r="EV80" s="1450" cm="1">
        <f t="array" ref="EV80">(BI80*SUMPRODUCT($S80:$X80,TRANSPOSE(Assumptions!E$281:E$286)))*0.001</f>
        <v>0</v>
      </c>
      <c r="EW80" s="1450" cm="1">
        <f t="array" ref="EW80">(BJ80*SUMPRODUCT($S80:$X80,TRANSPOSE(Assumptions!F$281:F$286)))*0.001</f>
        <v>0</v>
      </c>
      <c r="EX80" s="1450" cm="1">
        <f t="array" ref="EX80">(BK80*SUMPRODUCT($S80:$X80,TRANSPOSE(Assumptions!G$281:G$286)))*0.001</f>
        <v>0</v>
      </c>
      <c r="EY80" s="1450" cm="1">
        <f t="array" ref="EY80">(BL80*SUMPRODUCT($S80:$X80,TRANSPOSE(Assumptions!H$281:H$286)))*0.001</f>
        <v>3.4618011632638016E-2</v>
      </c>
      <c r="EZ80" s="1450" cm="1">
        <f t="array" ref="EZ80">(BM80*SUMPRODUCT($S80:$X80,TRANSPOSE(Assumptions!I$281:I$286)))*0.001</f>
        <v>6.9236023265276031E-2</v>
      </c>
      <c r="FA80" s="1450" cm="1">
        <f t="array" ref="FA80">(BN80*SUMPRODUCT($S80:$X80,TRANSPOSE(Assumptions!J$281:J$286)))*0.001</f>
        <v>0.10385403489791405</v>
      </c>
      <c r="FB80" s="1450" cm="1">
        <f t="array" ref="FB80">(BO80*SUMPRODUCT($S80:$X80,TRANSPOSE(Assumptions!K$281:K$286)))*0.001</f>
        <v>0.13847204653055206</v>
      </c>
      <c r="FC80" s="1450" cm="1">
        <f t="array" ref="FC80">(BP80*SUMPRODUCT($S80:$X80,TRANSPOSE(Assumptions!L$281:L$286)))*0.001</f>
        <v>0.17309005816319009</v>
      </c>
      <c r="FD80" s="1450" cm="1">
        <f t="array" ref="FD80">(BQ80*SUMPRODUCT($S80:$X80,TRANSPOSE(Assumptions!M$281:M$286)))*0.001</f>
        <v>0.20770806979582809</v>
      </c>
      <c r="FE80" s="1450" cm="1">
        <f t="array" ref="FE80">(BR80*SUMPRODUCT($S80:$X80,TRANSPOSE(Assumptions!N$281:N$286)))*0.001</f>
        <v>0.24232608142846612</v>
      </c>
      <c r="FF80" s="1450" cm="1">
        <f t="array" ref="FF80">(BS80*SUMPRODUCT($S80:$X80,TRANSPOSE(Assumptions!O$281:O$286)))*0.001</f>
        <v>0.27694409306110412</v>
      </c>
      <c r="FG80" s="1450" cm="1">
        <f t="array" ref="FG80">(BT80*SUMPRODUCT($S80:$X80,TRANSPOSE(Assumptions!P$281:P$286)))*0.001</f>
        <v>0.31156210469374213</v>
      </c>
      <c r="FH80" s="1450" cm="1">
        <f t="array" ref="FH80">(BU80*SUMPRODUCT($S80:$X80,TRANSPOSE(Assumptions!Q$281:Q$286)))*0.001</f>
        <v>0.34618011632638013</v>
      </c>
      <c r="FI80" s="1450" cm="1">
        <f t="array" ref="FI80">(BV80*SUMPRODUCT($S80:$X80,TRANSPOSE(Assumptions!R$281:R$286)))*0.001</f>
        <v>0.38079812795901813</v>
      </c>
      <c r="FJ80" s="666">
        <f t="shared" si="257"/>
        <v>0</v>
      </c>
      <c r="FK80" s="666">
        <f t="shared" si="257"/>
        <v>0</v>
      </c>
      <c r="FL80" s="666">
        <f t="shared" si="257"/>
        <v>0</v>
      </c>
      <c r="FM80" s="666">
        <f t="shared" si="257"/>
        <v>0</v>
      </c>
      <c r="FN80" s="666">
        <f t="shared" si="257"/>
        <v>4.2021988367361984E-2</v>
      </c>
      <c r="FO80" s="666">
        <f t="shared" si="257"/>
        <v>7.4039767347239688E-3</v>
      </c>
      <c r="FP80" s="666">
        <f t="shared" si="257"/>
        <v>-2.7214034897914047E-2</v>
      </c>
      <c r="FQ80" s="666">
        <f t="shared" si="257"/>
        <v>-6.1832046530552062E-2</v>
      </c>
      <c r="FR80" s="666">
        <f t="shared" si="257"/>
        <v>-9.6450058163190092E-2</v>
      </c>
      <c r="FS80" s="666">
        <f t="shared" si="257"/>
        <v>-0.13106806979582808</v>
      </c>
      <c r="FT80" s="666">
        <f t="shared" si="144"/>
        <v>-0.16568608142846614</v>
      </c>
      <c r="FU80" s="666">
        <f t="shared" si="145"/>
        <v>-0.20030409306110414</v>
      </c>
      <c r="FV80" s="666">
        <f t="shared" si="146"/>
        <v>-0.23492210469374214</v>
      </c>
      <c r="FW80" s="666">
        <f t="shared" si="147"/>
        <v>-0.26954011632638014</v>
      </c>
      <c r="FX80" s="1883">
        <f t="shared" si="148"/>
        <v>-0.30415812795901814</v>
      </c>
      <c r="FY80" s="1895"/>
      <c r="FZ80" s="1893">
        <v>0</v>
      </c>
      <c r="GA80" s="703">
        <v>0</v>
      </c>
      <c r="GB80" s="703">
        <v>0</v>
      </c>
      <c r="GC80" s="703">
        <v>0</v>
      </c>
      <c r="GD80" s="703">
        <v>0</v>
      </c>
      <c r="GE80" s="703">
        <v>0</v>
      </c>
      <c r="GF80" s="703">
        <v>0</v>
      </c>
      <c r="GG80" s="703">
        <v>0</v>
      </c>
      <c r="GH80" s="703">
        <v>0</v>
      </c>
      <c r="GI80" s="703">
        <v>0</v>
      </c>
      <c r="GJ80" s="703">
        <v>0</v>
      </c>
      <c r="GK80" s="703">
        <v>0</v>
      </c>
      <c r="GL80" s="703">
        <v>0</v>
      </c>
      <c r="GM80" s="703">
        <v>0</v>
      </c>
      <c r="GN80" s="1905">
        <v>0</v>
      </c>
      <c r="GO80" s="1916"/>
      <c r="GP80" s="1868">
        <f>BH80*INDEX(Assumptions!G$565:G$570,MATCH($B80,Assumptions!$B$565:$B$570,0))</f>
        <v>0</v>
      </c>
      <c r="GQ80" s="656">
        <f>BI80*INDEX(Assumptions!H$565:H$570,MATCH($B80,Assumptions!$B$565:$B$570,0))</f>
        <v>0</v>
      </c>
      <c r="GR80" s="656">
        <f>BJ80*INDEX(Assumptions!I$565:I$570,MATCH($B80,Assumptions!$B$565:$B$570,0))</f>
        <v>0</v>
      </c>
      <c r="GS80" s="656">
        <f>BK80*INDEX(Assumptions!J$565:J$570,MATCH($B80,Assumptions!$B$565:$B$570,0))</f>
        <v>0</v>
      </c>
      <c r="GT80" s="656">
        <f>BL80*INDEX(Assumptions!K$565:K$570,MATCH($B80,Assumptions!$B$565:$B$570,0))</f>
        <v>0.22198551696528748</v>
      </c>
      <c r="GU80" s="656">
        <f>BM80*INDEX(Assumptions!L$565:L$570,MATCH($B80,Assumptions!$B$565:$B$570,0))</f>
        <v>0.44493070518495675</v>
      </c>
      <c r="GV80" s="656">
        <f>BN80*INDEX(Assumptions!M$565:M$570,MATCH($B80,Assumptions!$B$565:$B$570,0))</f>
        <v>0.66821306573069517</v>
      </c>
      <c r="GW80" s="656">
        <f>BO80*INDEX(Assumptions!N$565:N$570,MATCH($B80,Assumptions!$B$565:$B$570,0))</f>
        <v>0.8912840141512296</v>
      </c>
      <c r="GX80" s="656">
        <f>BP80*INDEX(Assumptions!O$565:O$570,MATCH($B80,Assumptions!$B$565:$B$570,0))</f>
        <v>1.1136656429438745</v>
      </c>
      <c r="GY80" s="656">
        <f>BQ80*INDEX(Assumptions!P$565:P$570,MATCH($B80,Assumptions!$B$565:$B$570,0))</f>
        <v>1.3305160466996464</v>
      </c>
      <c r="GZ80" s="656">
        <f>BR80*INDEX(Assumptions!Q$565:Q$570,MATCH($B80,Assumptions!$B$565:$B$570,0))</f>
        <v>1.4739326542800477</v>
      </c>
      <c r="HA80" s="656">
        <f>BS80*INDEX(Assumptions!R$565:R$570,MATCH($B80,Assumptions!$B$565:$B$570,0))</f>
        <v>1.8331091717525525</v>
      </c>
      <c r="HB80" s="656">
        <f>BT80*INDEX(Assumptions!S$565:S$570,MATCH($B80,Assumptions!$B$565:$B$570,0))</f>
        <v>2.0622478182216217</v>
      </c>
      <c r="HC80" s="656">
        <f>BU80*INDEX(Assumptions!T$565:T$570,MATCH($B80,Assumptions!$B$565:$B$570,0))</f>
        <v>2.2840004926715625</v>
      </c>
      <c r="HD80" s="1922">
        <f>BV80*INDEX(Assumptions!U$565:U$570,MATCH($B80,Assumptions!$B$565:$B$570,0))</f>
        <v>2.5042759727176778</v>
      </c>
      <c r="HE80" s="1933"/>
      <c r="HF80" s="1927"/>
      <c r="HG80" s="501"/>
      <c r="HH80" s="501"/>
      <c r="HI80" s="501"/>
      <c r="HJ80" s="501"/>
      <c r="HK80" s="501"/>
      <c r="HL80" s="501"/>
      <c r="HM80" s="501"/>
      <c r="HN80" s="501"/>
      <c r="HO80" s="501"/>
      <c r="HP80" s="501"/>
      <c r="HQ80" s="501"/>
      <c r="HR80" s="501"/>
      <c r="HS80" s="501"/>
      <c r="HT80" s="501"/>
      <c r="HU80" s="501"/>
      <c r="HV80" s="656"/>
      <c r="HW80" s="1922"/>
      <c r="HX80" s="1946"/>
      <c r="HY80" s="1943"/>
      <c r="HZ80" s="695"/>
      <c r="IA80" s="683"/>
      <c r="IB80" s="683"/>
      <c r="IC80" s="694"/>
      <c r="ID80" s="1376"/>
      <c r="IE80" s="1968"/>
      <c r="IF80" s="1963">
        <v>0</v>
      </c>
      <c r="IG80" s="538">
        <v>0.4</v>
      </c>
      <c r="IH80" s="538">
        <v>0.4</v>
      </c>
      <c r="II80" s="538">
        <v>0.4</v>
      </c>
      <c r="IJ80" s="538">
        <v>1</v>
      </c>
      <c r="IK80" s="1276">
        <v>1</v>
      </c>
      <c r="IL80" s="1280">
        <v>1</v>
      </c>
      <c r="IM80" s="1292" t="s">
        <v>849</v>
      </c>
    </row>
    <row r="81" spans="2:256" ht="13.5" customHeight="1" x14ac:dyDescent="0.3">
      <c r="B81" s="1703" t="s">
        <v>53</v>
      </c>
      <c r="C81" s="653"/>
      <c r="D81" s="679" t="s">
        <v>850</v>
      </c>
      <c r="E81" s="71" t="s">
        <v>851</v>
      </c>
      <c r="F81" s="1800"/>
      <c r="G81" s="1208"/>
      <c r="H81" s="1209"/>
      <c r="I81" s="13"/>
      <c r="J81" s="696"/>
      <c r="K81" s="71" t="s">
        <v>648</v>
      </c>
      <c r="L81" s="1176" t="s">
        <v>719</v>
      </c>
      <c r="M81" s="1827"/>
      <c r="N81" s="1817"/>
      <c r="O81" s="1177"/>
      <c r="P81" s="1177"/>
      <c r="Q81" s="1178">
        <v>1</v>
      </c>
      <c r="R81" s="1177"/>
      <c r="S81" s="1445" cm="1">
        <f t="array" ref="S81:X81">TRANSPOSE(_xlfn.XLOOKUP(B81,Assumptions!$C$134:$I$134,Assumptions!$C$135:$I$140))</f>
        <v>0.89766686718609423</v>
      </c>
      <c r="T81" s="1445">
        <v>2.0574367766823833E-2</v>
      </c>
      <c r="U81" s="1445">
        <v>0</v>
      </c>
      <c r="V81" s="1445">
        <v>6.4936780001525515E-2</v>
      </c>
      <c r="W81" s="1445">
        <v>0</v>
      </c>
      <c r="X81" s="1445">
        <v>1.6821985045556383E-2</v>
      </c>
      <c r="Y81" s="1205">
        <v>0.5</v>
      </c>
      <c r="Z81" s="1205"/>
      <c r="AA81" s="1205"/>
      <c r="AB81" s="1205"/>
      <c r="AC81" s="1205"/>
      <c r="AD81" s="1177"/>
      <c r="AE81" s="1177"/>
      <c r="AF81" s="1177"/>
      <c r="AG81" s="1177"/>
      <c r="AH81" s="1177"/>
      <c r="AI81" s="1177"/>
      <c r="AJ81" s="1177"/>
      <c r="AK81" s="1417">
        <f t="shared" si="176"/>
        <v>0</v>
      </c>
      <c r="AL81" s="1177"/>
      <c r="AM81" s="1177"/>
      <c r="AN81" s="1177"/>
      <c r="AO81" s="1834">
        <v>1</v>
      </c>
      <c r="AP81" s="1847"/>
      <c r="AQ81" s="1837">
        <f>AVERAGE(AR81:BA81)</f>
        <v>0</v>
      </c>
      <c r="AR81" s="663"/>
      <c r="AS81" s="663"/>
      <c r="AT81" s="663"/>
      <c r="AU81" s="663"/>
      <c r="AV81" s="659">
        <f>_xlfn.XLOOKUP($D81,TalTech!$B$4:$B$46,TalTech!BB$4:BB$46)</f>
        <v>0</v>
      </c>
      <c r="AW81" s="659">
        <f>_xlfn.XLOOKUP($D81,TalTech!$B$4:$B$46,TalTech!BC$4:BC$46)</f>
        <v>0</v>
      </c>
      <c r="AX81" s="659">
        <f>_xlfn.XLOOKUP($D81,TalTech!$B$4:$B$46,TalTech!BD$4:BD$46)</f>
        <v>0</v>
      </c>
      <c r="AY81" s="659">
        <f>_xlfn.XLOOKUP($D81,TalTech!$B$4:$B$46,TalTech!BE$4:BE$46)</f>
        <v>0</v>
      </c>
      <c r="AZ81" s="659">
        <f>_xlfn.XLOOKUP($D81,TalTech!$B$4:$B$46,TalTech!BF$4:BF$46)</f>
        <v>0</v>
      </c>
      <c r="BA81" s="659">
        <f>_xlfn.XLOOKUP($D81,TalTech!$B$4:$B$46,TalTech!BG$4:BG$46)</f>
        <v>0</v>
      </c>
      <c r="BB81" s="659">
        <f>_xlfn.XLOOKUP($D81,TalTech!$B$4:$B$46,TalTech!BH$4:BH$46)</f>
        <v>0</v>
      </c>
      <c r="BC81" s="659">
        <f>_xlfn.XLOOKUP($D81,TalTech!$B$4:$B$46,TalTech!BI$4:BI$46)</f>
        <v>0</v>
      </c>
      <c r="BD81" s="659">
        <f>_xlfn.XLOOKUP($D81,TalTech!$B$4:$B$46,TalTech!BJ$4:BJ$46)</f>
        <v>0</v>
      </c>
      <c r="BE81" s="659">
        <f>_xlfn.XLOOKUP($D81,TalTech!$B$4:$B$46,TalTech!BK$4:BK$46)</f>
        <v>0</v>
      </c>
      <c r="BF81" s="659">
        <f>_xlfn.XLOOKUP($D81,TalTech!$B$4:$B$46,TalTech!BL$4:BL$46)</f>
        <v>0</v>
      </c>
      <c r="BG81" s="501">
        <f t="shared" si="177"/>
        <v>0</v>
      </c>
      <c r="BH81" s="893">
        <f t="shared" si="111"/>
        <v>0</v>
      </c>
      <c r="BI81" s="658">
        <f t="shared" si="112"/>
        <v>0</v>
      </c>
      <c r="BJ81" s="658">
        <f t="shared" si="113"/>
        <v>0</v>
      </c>
      <c r="BK81" s="658">
        <f t="shared" si="114"/>
        <v>0</v>
      </c>
      <c r="BL81" s="658">
        <f t="shared" si="115"/>
        <v>0</v>
      </c>
      <c r="BM81" s="658">
        <f t="shared" si="116"/>
        <v>0</v>
      </c>
      <c r="BN81" s="658">
        <f t="shared" si="117"/>
        <v>0</v>
      </c>
      <c r="BO81" s="658">
        <f t="shared" si="118"/>
        <v>0</v>
      </c>
      <c r="BP81" s="658">
        <f t="shared" si="119"/>
        <v>0</v>
      </c>
      <c r="BQ81" s="658">
        <f t="shared" si="120"/>
        <v>0</v>
      </c>
      <c r="BR81" s="658">
        <f t="shared" si="121"/>
        <v>0</v>
      </c>
      <c r="BS81" s="658">
        <f t="shared" si="122"/>
        <v>0</v>
      </c>
      <c r="BT81" s="658">
        <f t="shared" si="123"/>
        <v>0</v>
      </c>
      <c r="BU81" s="658">
        <f t="shared" si="124"/>
        <v>0</v>
      </c>
      <c r="BV81" s="1851">
        <f t="shared" si="125"/>
        <v>0</v>
      </c>
      <c r="BW81" s="1661"/>
      <c r="BX81" s="1855">
        <v>0.6</v>
      </c>
      <c r="BY81" s="1192" t="str">
        <f t="shared" si="126"/>
        <v/>
      </c>
      <c r="BZ81" s="663"/>
      <c r="CA81" s="663"/>
      <c r="CB81" s="663"/>
      <c r="CC81" s="663"/>
      <c r="CD81" s="675">
        <f>_xlfn.XLOOKUP($D81,TalTech!$B$4:$B$46,TalTech!BM$4:BM$46)</f>
        <v>0.1</v>
      </c>
      <c r="CE81" s="675">
        <f>_xlfn.XLOOKUP($D81,TalTech!$B$4:$B$46,TalTech!BN$4:BN$46)</f>
        <v>0.1</v>
      </c>
      <c r="CF81" s="675">
        <f>_xlfn.XLOOKUP($D81,TalTech!$B$4:$B$46,TalTech!BO$4:BO$46)</f>
        <v>0.1</v>
      </c>
      <c r="CG81" s="675">
        <f>_xlfn.XLOOKUP($D81,TalTech!$B$4:$B$46,TalTech!BP$4:BP$46)</f>
        <v>0.1</v>
      </c>
      <c r="CH81" s="675">
        <f>_xlfn.XLOOKUP($D81,TalTech!$B$4:$B$46,TalTech!BQ$4:BQ$46)</f>
        <v>0.1</v>
      </c>
      <c r="CI81" s="675">
        <f>_xlfn.XLOOKUP($D81,TalTech!$B$4:$B$46,TalTech!BR$4:BR$46)</f>
        <v>0.1</v>
      </c>
      <c r="CJ81" s="675">
        <f>_xlfn.XLOOKUP($D81,TalTech!$B$4:$B$46,TalTech!BS$4:BS$46)</f>
        <v>0.1</v>
      </c>
      <c r="CK81" s="675">
        <f>_xlfn.XLOOKUP($D81,TalTech!$B$4:$B$46,TalTech!BT$4:BT$46)</f>
        <v>0.1</v>
      </c>
      <c r="CL81" s="675">
        <f>_xlfn.XLOOKUP($D81,TalTech!$B$4:$B$46,TalTech!BU$4:BU$46)</f>
        <v>0.1</v>
      </c>
      <c r="CM81" s="675">
        <f>_xlfn.XLOOKUP($D81,TalTech!$B$4:$B$46,TalTech!BV$4:BV$46)</f>
        <v>0.1</v>
      </c>
      <c r="CN81" s="675">
        <f>_xlfn.XLOOKUP($D81,TalTech!$B$4:$B$46,TalTech!BW$4:BW$46)</f>
        <v>0.1</v>
      </c>
      <c r="CO81" s="493">
        <f t="shared" si="178"/>
        <v>9.9999999999999992E-2</v>
      </c>
      <c r="CP81" s="660">
        <f t="shared" si="127"/>
        <v>0.6</v>
      </c>
      <c r="CQ81" s="1193">
        <f>_xlfn.XLOOKUP($D81,TalTech!$B$4:$B$46,TalTech!$H$4:$H$46)</f>
        <v>1</v>
      </c>
      <c r="CR81" s="662">
        <f>1-CQ81</f>
        <v>0</v>
      </c>
      <c r="CS81" s="685" t="str">
        <v>Road users</v>
      </c>
      <c r="CT81" s="1862">
        <f t="shared" si="218"/>
        <v>9.9999999999999992E-2</v>
      </c>
      <c r="CU81" s="1872"/>
      <c r="CV81" s="1865">
        <f>BH81*Assumptions!D$498</f>
        <v>0</v>
      </c>
      <c r="CW81" s="659">
        <f>BI81*Assumptions!E$498</f>
        <v>0</v>
      </c>
      <c r="CX81" s="659">
        <f>BJ81*Assumptions!F$498</f>
        <v>0</v>
      </c>
      <c r="CY81" s="659">
        <f>BK81*Assumptions!G$498</f>
        <v>0</v>
      </c>
      <c r="CZ81" s="659">
        <f>BL81*Assumptions!H$498</f>
        <v>0</v>
      </c>
      <c r="DA81" s="659">
        <f>BM81*Assumptions!I$498</f>
        <v>0</v>
      </c>
      <c r="DB81" s="659">
        <f>BN81*Assumptions!J$498</f>
        <v>0</v>
      </c>
      <c r="DC81" s="659">
        <f>BO81*Assumptions!K$498</f>
        <v>0</v>
      </c>
      <c r="DD81" s="659">
        <f>BP81*Assumptions!L$498</f>
        <v>0</v>
      </c>
      <c r="DE81" s="659">
        <f>BQ81*Assumptions!M$498</f>
        <v>0</v>
      </c>
      <c r="DF81" s="659">
        <f>BR81*Assumptions!N$498</f>
        <v>0</v>
      </c>
      <c r="DG81" s="659">
        <f>BS81*Assumptions!O$498</f>
        <v>0</v>
      </c>
      <c r="DH81" s="659">
        <f>BT81*Assumptions!P$498</f>
        <v>0</v>
      </c>
      <c r="DI81" s="659">
        <f>BU81*Assumptions!Q$498</f>
        <v>0</v>
      </c>
      <c r="DJ81" s="659">
        <f>BV81*Assumptions!R$498</f>
        <v>0</v>
      </c>
      <c r="DK81" s="680">
        <f t="shared" si="222"/>
        <v>0</v>
      </c>
      <c r="DL81" s="680">
        <f t="shared" si="223"/>
        <v>0</v>
      </c>
      <c r="DM81" s="680">
        <f t="shared" si="224"/>
        <v>0</v>
      </c>
      <c r="DN81" s="680">
        <f t="shared" si="225"/>
        <v>0</v>
      </c>
      <c r="DO81" s="680">
        <f t="shared" si="226"/>
        <v>0</v>
      </c>
      <c r="DP81" s="680">
        <f t="shared" si="227"/>
        <v>0</v>
      </c>
      <c r="DQ81" s="680">
        <f t="shared" si="228"/>
        <v>0</v>
      </c>
      <c r="DR81" s="680">
        <f t="shared" si="229"/>
        <v>0</v>
      </c>
      <c r="DS81" s="680">
        <f t="shared" si="230"/>
        <v>0</v>
      </c>
      <c r="DT81" s="680">
        <f t="shared" si="231"/>
        <v>0</v>
      </c>
      <c r="DU81" s="680">
        <f t="shared" si="252"/>
        <v>0</v>
      </c>
      <c r="DV81" s="680">
        <f t="shared" si="253"/>
        <v>0</v>
      </c>
      <c r="DW81" s="680">
        <f t="shared" si="254"/>
        <v>0</v>
      </c>
      <c r="DX81" s="680">
        <f t="shared" si="255"/>
        <v>0</v>
      </c>
      <c r="DY81" s="680">
        <f t="shared" si="256"/>
        <v>0</v>
      </c>
      <c r="DZ81" s="678">
        <v>0</v>
      </c>
      <c r="EA81" s="661">
        <f t="shared" si="130"/>
        <v>1</v>
      </c>
      <c r="EB81" s="1861">
        <f t="shared" si="236"/>
        <v>0</v>
      </c>
      <c r="EC81" s="1881"/>
      <c r="ED81" s="1877">
        <v>0</v>
      </c>
      <c r="EE81" s="684"/>
      <c r="EF81" s="684"/>
      <c r="EG81" s="684"/>
      <c r="EH81" s="684"/>
      <c r="EI81" s="665">
        <f t="shared" si="239"/>
        <v>0</v>
      </c>
      <c r="EJ81" s="665">
        <f t="shared" si="240"/>
        <v>0</v>
      </c>
      <c r="EK81" s="665">
        <f t="shared" si="241"/>
        <v>0</v>
      </c>
      <c r="EL81" s="665">
        <f t="shared" si="242"/>
        <v>0</v>
      </c>
      <c r="EM81" s="665">
        <f t="shared" si="243"/>
        <v>0</v>
      </c>
      <c r="EN81" s="665">
        <f t="shared" si="244"/>
        <v>0</v>
      </c>
      <c r="EO81" s="665">
        <f t="shared" si="245"/>
        <v>0</v>
      </c>
      <c r="EP81" s="665">
        <f t="shared" si="246"/>
        <v>0</v>
      </c>
      <c r="EQ81" s="665">
        <f t="shared" si="247"/>
        <v>0</v>
      </c>
      <c r="ER81" s="665">
        <f t="shared" si="248"/>
        <v>0</v>
      </c>
      <c r="ES81" s="665">
        <f t="shared" si="249"/>
        <v>0</v>
      </c>
      <c r="ET81" s="541">
        <f t="shared" si="133"/>
        <v>0</v>
      </c>
      <c r="EU81" s="1450" cm="1">
        <f t="array" ref="EU81">(BH81*SUMPRODUCT($S81:$X81,TRANSPOSE(Assumptions!D$281:D$286)))*0.001</f>
        <v>0</v>
      </c>
      <c r="EV81" s="1450" cm="1">
        <f t="array" ref="EV81">(BI81*SUMPRODUCT($S81:$X81,TRANSPOSE(Assumptions!E$281:E$286)))*0.001</f>
        <v>0</v>
      </c>
      <c r="EW81" s="1450" cm="1">
        <f t="array" ref="EW81">(BJ81*SUMPRODUCT($S81:$X81,TRANSPOSE(Assumptions!F$281:F$286)))*0.001</f>
        <v>0</v>
      </c>
      <c r="EX81" s="1450" cm="1">
        <f t="array" ref="EX81">(BK81*SUMPRODUCT($S81:$X81,TRANSPOSE(Assumptions!G$281:G$286)))*0.001</f>
        <v>0</v>
      </c>
      <c r="EY81" s="1450" cm="1">
        <f t="array" ref="EY81">(BL81*SUMPRODUCT($S81:$X81,TRANSPOSE(Assumptions!H$281:H$286)))*0.001</f>
        <v>0</v>
      </c>
      <c r="EZ81" s="1450" cm="1">
        <f t="array" ref="EZ81">(BM81*SUMPRODUCT($S81:$X81,TRANSPOSE(Assumptions!I$281:I$286)))*0.001</f>
        <v>0</v>
      </c>
      <c r="FA81" s="1450" cm="1">
        <f t="array" ref="FA81">(BN81*SUMPRODUCT($S81:$X81,TRANSPOSE(Assumptions!J$281:J$286)))*0.001</f>
        <v>0</v>
      </c>
      <c r="FB81" s="1450" cm="1">
        <f t="array" ref="FB81">(BO81*SUMPRODUCT($S81:$X81,TRANSPOSE(Assumptions!K$281:K$286)))*0.001</f>
        <v>0</v>
      </c>
      <c r="FC81" s="1450" cm="1">
        <f t="array" ref="FC81">(BP81*SUMPRODUCT($S81:$X81,TRANSPOSE(Assumptions!L$281:L$286)))*0.001</f>
        <v>0</v>
      </c>
      <c r="FD81" s="1450" cm="1">
        <f t="array" ref="FD81">(BQ81*SUMPRODUCT($S81:$X81,TRANSPOSE(Assumptions!M$281:M$286)))*0.001</f>
        <v>0</v>
      </c>
      <c r="FE81" s="1450" cm="1">
        <f t="array" ref="FE81">(BR81*SUMPRODUCT($S81:$X81,TRANSPOSE(Assumptions!N$281:N$286)))*0.001</f>
        <v>0</v>
      </c>
      <c r="FF81" s="1450" cm="1">
        <f t="array" ref="FF81">(BS81*SUMPRODUCT($S81:$X81,TRANSPOSE(Assumptions!O$281:O$286)))*0.001</f>
        <v>0</v>
      </c>
      <c r="FG81" s="1450" cm="1">
        <f t="array" ref="FG81">(BT81*SUMPRODUCT($S81:$X81,TRANSPOSE(Assumptions!P$281:P$286)))*0.001</f>
        <v>0</v>
      </c>
      <c r="FH81" s="1450" cm="1">
        <f t="array" ref="FH81">(BU81*SUMPRODUCT($S81:$X81,TRANSPOSE(Assumptions!Q$281:Q$286)))*0.001</f>
        <v>0</v>
      </c>
      <c r="FI81" s="1450" cm="1">
        <f t="array" ref="FI81">(BV81*SUMPRODUCT($S81:$X81,TRANSPOSE(Assumptions!R$281:R$286)))*0.001</f>
        <v>0</v>
      </c>
      <c r="FJ81" s="666">
        <f t="shared" si="257"/>
        <v>0</v>
      </c>
      <c r="FK81" s="666">
        <f t="shared" si="257"/>
        <v>0</v>
      </c>
      <c r="FL81" s="666">
        <f t="shared" si="257"/>
        <v>0</v>
      </c>
      <c r="FM81" s="666">
        <f t="shared" si="257"/>
        <v>0</v>
      </c>
      <c r="FN81" s="666">
        <f t="shared" si="257"/>
        <v>0</v>
      </c>
      <c r="FO81" s="666">
        <f t="shared" si="257"/>
        <v>0</v>
      </c>
      <c r="FP81" s="666">
        <f t="shared" si="257"/>
        <v>0</v>
      </c>
      <c r="FQ81" s="666">
        <f t="shared" si="257"/>
        <v>0</v>
      </c>
      <c r="FR81" s="666">
        <f t="shared" si="257"/>
        <v>0</v>
      </c>
      <c r="FS81" s="666">
        <f t="shared" si="257"/>
        <v>0</v>
      </c>
      <c r="FT81" s="666">
        <f t="shared" si="144"/>
        <v>0</v>
      </c>
      <c r="FU81" s="666">
        <f t="shared" si="145"/>
        <v>0</v>
      </c>
      <c r="FV81" s="666">
        <f t="shared" si="146"/>
        <v>0</v>
      </c>
      <c r="FW81" s="666">
        <f t="shared" si="147"/>
        <v>0</v>
      </c>
      <c r="FX81" s="1883">
        <f t="shared" si="148"/>
        <v>0</v>
      </c>
      <c r="FY81" s="1895"/>
      <c r="FZ81" s="1890">
        <v>0</v>
      </c>
      <c r="GA81" s="491">
        <v>0</v>
      </c>
      <c r="GB81" s="491">
        <v>0</v>
      </c>
      <c r="GC81" s="491">
        <v>0</v>
      </c>
      <c r="GD81" s="491">
        <v>0</v>
      </c>
      <c r="GE81" s="491">
        <v>0</v>
      </c>
      <c r="GF81" s="491">
        <v>0</v>
      </c>
      <c r="GG81" s="491">
        <v>0</v>
      </c>
      <c r="GH81" s="491">
        <v>0</v>
      </c>
      <c r="GI81" s="491">
        <v>0</v>
      </c>
      <c r="GJ81" s="491">
        <v>0</v>
      </c>
      <c r="GK81" s="491">
        <v>0</v>
      </c>
      <c r="GL81" s="491">
        <v>0</v>
      </c>
      <c r="GM81" s="491">
        <v>0</v>
      </c>
      <c r="GN81" s="1900">
        <v>0</v>
      </c>
      <c r="GO81" s="1912"/>
      <c r="GP81" s="1868">
        <f>BH81*INDEX(Assumptions!G$565:G$570,MATCH($B81,Assumptions!$B$565:$B$570,0))</f>
        <v>0</v>
      </c>
      <c r="GQ81" s="656">
        <f>BI81*INDEX(Assumptions!H$565:H$570,MATCH($B81,Assumptions!$B$565:$B$570,0))</f>
        <v>0</v>
      </c>
      <c r="GR81" s="656">
        <f>BJ81*INDEX(Assumptions!I$565:I$570,MATCH($B81,Assumptions!$B$565:$B$570,0))</f>
        <v>0</v>
      </c>
      <c r="GS81" s="656">
        <f>BK81*INDEX(Assumptions!J$565:J$570,MATCH($B81,Assumptions!$B$565:$B$570,0))</f>
        <v>0</v>
      </c>
      <c r="GT81" s="656">
        <f>BL81*INDEX(Assumptions!K$565:K$570,MATCH($B81,Assumptions!$B$565:$B$570,0))</f>
        <v>0</v>
      </c>
      <c r="GU81" s="656">
        <f>BM81*INDEX(Assumptions!L$565:L$570,MATCH($B81,Assumptions!$B$565:$B$570,0))</f>
        <v>0</v>
      </c>
      <c r="GV81" s="656">
        <f>BN81*INDEX(Assumptions!M$565:M$570,MATCH($B81,Assumptions!$B$565:$B$570,0))</f>
        <v>0</v>
      </c>
      <c r="GW81" s="656">
        <f>BO81*INDEX(Assumptions!N$565:N$570,MATCH($B81,Assumptions!$B$565:$B$570,0))</f>
        <v>0</v>
      </c>
      <c r="GX81" s="656">
        <f>BP81*INDEX(Assumptions!O$565:O$570,MATCH($B81,Assumptions!$B$565:$B$570,0))</f>
        <v>0</v>
      </c>
      <c r="GY81" s="656">
        <f>BQ81*INDEX(Assumptions!P$565:P$570,MATCH($B81,Assumptions!$B$565:$B$570,0))</f>
        <v>0</v>
      </c>
      <c r="GZ81" s="656">
        <f>BR81*INDEX(Assumptions!Q$565:Q$570,MATCH($B81,Assumptions!$B$565:$B$570,0))</f>
        <v>0</v>
      </c>
      <c r="HA81" s="656">
        <f>BS81*INDEX(Assumptions!R$565:R$570,MATCH($B81,Assumptions!$B$565:$B$570,0))</f>
        <v>0</v>
      </c>
      <c r="HB81" s="656">
        <f>BT81*INDEX(Assumptions!S$565:S$570,MATCH($B81,Assumptions!$B$565:$B$570,0))</f>
        <v>0</v>
      </c>
      <c r="HC81" s="656">
        <f>BU81*INDEX(Assumptions!T$565:T$570,MATCH($B81,Assumptions!$B$565:$B$570,0))</f>
        <v>0</v>
      </c>
      <c r="HD81" s="1922">
        <f>BV81*INDEX(Assumptions!U$565:U$570,MATCH($B81,Assumptions!$B$565:$B$570,0))</f>
        <v>0</v>
      </c>
      <c r="HE81" s="1933"/>
      <c r="HF81" s="1927"/>
      <c r="HG81" s="501"/>
      <c r="HH81" s="501"/>
      <c r="HI81" s="501"/>
      <c r="HJ81" s="501"/>
      <c r="HK81" s="501"/>
      <c r="HL81" s="501"/>
      <c r="HM81" s="501"/>
      <c r="HN81" s="501"/>
      <c r="HO81" s="501"/>
      <c r="HP81" s="501"/>
      <c r="HQ81" s="501"/>
      <c r="HR81" s="501"/>
      <c r="HS81" s="501"/>
      <c r="HT81" s="501"/>
      <c r="HU81" s="501"/>
      <c r="HV81" s="656"/>
      <c r="HW81" s="1922"/>
      <c r="HX81" s="1946"/>
      <c r="HY81" s="1943"/>
      <c r="HZ81" s="695"/>
      <c r="IA81" s="683"/>
      <c r="IB81" s="683"/>
      <c r="IC81" s="694"/>
      <c r="ID81" s="1376"/>
      <c r="IE81" s="1968"/>
      <c r="IF81" s="1963">
        <v>0</v>
      </c>
      <c r="IG81" s="538">
        <v>0.4</v>
      </c>
      <c r="IH81" s="538">
        <v>0.4</v>
      </c>
      <c r="II81" s="538">
        <v>0.4</v>
      </c>
      <c r="IJ81" s="538">
        <v>1</v>
      </c>
      <c r="IK81" s="1276">
        <v>1</v>
      </c>
      <c r="IL81" s="1280">
        <v>1</v>
      </c>
      <c r="IM81" s="1292" t="s">
        <v>851</v>
      </c>
    </row>
    <row r="82" spans="2:256" ht="13.5" customHeight="1" x14ac:dyDescent="0.3">
      <c r="B82" s="1703" t="s">
        <v>53</v>
      </c>
      <c r="C82" s="653"/>
      <c r="D82" s="679" t="s">
        <v>852</v>
      </c>
      <c r="E82" s="71" t="s">
        <v>853</v>
      </c>
      <c r="F82" s="1800"/>
      <c r="G82" s="1208"/>
      <c r="H82" s="1209"/>
      <c r="I82" s="13"/>
      <c r="J82" s="696"/>
      <c r="K82" s="71" t="s">
        <v>648</v>
      </c>
      <c r="L82" s="1176" t="s">
        <v>719</v>
      </c>
      <c r="M82" s="1827"/>
      <c r="N82" s="1817"/>
      <c r="O82" s="1177"/>
      <c r="P82" s="1177"/>
      <c r="Q82" s="1178"/>
      <c r="R82" s="1177"/>
      <c r="S82" s="1445" cm="1">
        <f t="array" ref="S82:X82">TRANSPOSE(_xlfn.XLOOKUP(B82,Assumptions!$C$134:$I$134,Assumptions!$C$135:$I$140))</f>
        <v>0.89766686718609423</v>
      </c>
      <c r="T82" s="1445">
        <v>2.0574367766823833E-2</v>
      </c>
      <c r="U82" s="1445">
        <v>0</v>
      </c>
      <c r="V82" s="1445">
        <v>6.4936780001525515E-2</v>
      </c>
      <c r="W82" s="1445">
        <v>0</v>
      </c>
      <c r="X82" s="1445">
        <v>1.6821985045556383E-2</v>
      </c>
      <c r="Y82" s="1179"/>
      <c r="Z82" s="1179"/>
      <c r="AA82" s="1179"/>
      <c r="AB82" s="1179"/>
      <c r="AC82" s="1179"/>
      <c r="AD82" s="1177"/>
      <c r="AE82" s="1177"/>
      <c r="AF82" s="1177"/>
      <c r="AG82" s="1177"/>
      <c r="AH82" s="1177"/>
      <c r="AI82" s="1177"/>
      <c r="AJ82" s="1177"/>
      <c r="AK82" s="1417">
        <f t="shared" si="176"/>
        <v>0</v>
      </c>
      <c r="AL82" s="1177"/>
      <c r="AM82" s="1177"/>
      <c r="AN82" s="1177"/>
      <c r="AO82" s="1836">
        <f>Assumptions!E588</f>
        <v>0.31115934892817265</v>
      </c>
      <c r="AP82" s="1849"/>
      <c r="AQ82" s="1837">
        <f t="shared" ref="AQ82:AQ83" si="258">AVERAGE(AR82:BA82)</f>
        <v>-1.1098331965606227</v>
      </c>
      <c r="AR82" s="663"/>
      <c r="AS82" s="663"/>
      <c r="AT82" s="663"/>
      <c r="AU82" s="663"/>
      <c r="AV82" s="659">
        <f>_xlfn.XLOOKUP($D82,TalTech!$B$4:$B$46,TalTech!BB$4:BB$46)</f>
        <v>-1.1098331965606227</v>
      </c>
      <c r="AW82" s="659">
        <f>_xlfn.XLOOKUP($D82,TalTech!$B$4:$B$46,TalTech!BC$4:BC$46)</f>
        <v>-1.1098331965606227</v>
      </c>
      <c r="AX82" s="659">
        <f>_xlfn.XLOOKUP($D82,TalTech!$B$4:$B$46,TalTech!BD$4:BD$46)</f>
        <v>-1.1098331965606227</v>
      </c>
      <c r="AY82" s="659">
        <f>_xlfn.XLOOKUP($D82,TalTech!$B$4:$B$46,TalTech!BE$4:BE$46)</f>
        <v>-1.1098331965606227</v>
      </c>
      <c r="AZ82" s="659">
        <f>_xlfn.XLOOKUP($D82,TalTech!$B$4:$B$46,TalTech!BF$4:BF$46)</f>
        <v>-1.1098331965606227</v>
      </c>
      <c r="BA82" s="659">
        <f>_xlfn.XLOOKUP($D82,TalTech!$B$4:$B$46,TalTech!BG$4:BG$46)</f>
        <v>-1.1098331965606227</v>
      </c>
      <c r="BB82" s="659">
        <f>_xlfn.XLOOKUP($D82,TalTech!$B$4:$B$46,TalTech!BH$4:BH$46)</f>
        <v>-1.1098331965606227</v>
      </c>
      <c r="BC82" s="659">
        <f>_xlfn.XLOOKUP($D82,TalTech!$B$4:$B$46,TalTech!BI$4:BI$46)</f>
        <v>-1.1098331965606227</v>
      </c>
      <c r="BD82" s="659">
        <f>_xlfn.XLOOKUP($D82,TalTech!$B$4:$B$46,TalTech!BJ$4:BJ$46)</f>
        <v>-1.1098331965606227</v>
      </c>
      <c r="BE82" s="659">
        <f>_xlfn.XLOOKUP($D82,TalTech!$B$4:$B$46,TalTech!BK$4:BK$46)</f>
        <v>-1.1098331965606227</v>
      </c>
      <c r="BF82" s="659">
        <f>_xlfn.XLOOKUP($D82,TalTech!$B$4:$B$46,TalTech!BL$4:BL$46)</f>
        <v>-1.1098331965606227</v>
      </c>
      <c r="BG82" s="501">
        <f t="shared" si="177"/>
        <v>-1.1098331965606225</v>
      </c>
      <c r="BH82" s="893">
        <f t="shared" si="111"/>
        <v>0</v>
      </c>
      <c r="BI82" s="658">
        <f t="shared" si="112"/>
        <v>0</v>
      </c>
      <c r="BJ82" s="658">
        <f t="shared" si="113"/>
        <v>0</v>
      </c>
      <c r="BK82" s="658">
        <f t="shared" si="114"/>
        <v>0</v>
      </c>
      <c r="BL82" s="658">
        <f t="shared" si="115"/>
        <v>-1.1098331965606227</v>
      </c>
      <c r="BM82" s="658">
        <f t="shared" si="116"/>
        <v>-2.2196663931212455</v>
      </c>
      <c r="BN82" s="658">
        <f t="shared" si="117"/>
        <v>-3.329499589681868</v>
      </c>
      <c r="BO82" s="658">
        <f t="shared" si="118"/>
        <v>-4.4393327862424909</v>
      </c>
      <c r="BP82" s="658">
        <f t="shared" si="119"/>
        <v>-5.5491659828031139</v>
      </c>
      <c r="BQ82" s="658">
        <f t="shared" si="120"/>
        <v>-6.6589991793637369</v>
      </c>
      <c r="BR82" s="658">
        <f t="shared" si="121"/>
        <v>-7.7688323759243598</v>
      </c>
      <c r="BS82" s="658">
        <f t="shared" si="122"/>
        <v>-8.8786655724849819</v>
      </c>
      <c r="BT82" s="658">
        <f t="shared" si="123"/>
        <v>-9.988498769045604</v>
      </c>
      <c r="BU82" s="658">
        <f t="shared" si="124"/>
        <v>-11.098331965606226</v>
      </c>
      <c r="BV82" s="1851">
        <f t="shared" si="125"/>
        <v>-12.208165162166848</v>
      </c>
      <c r="BW82" s="1661"/>
      <c r="BX82" s="1855"/>
      <c r="BY82" s="1192">
        <f t="shared" si="126"/>
        <v>0</v>
      </c>
      <c r="BZ82" s="663"/>
      <c r="CA82" s="663"/>
      <c r="CB82" s="663"/>
      <c r="CC82" s="663"/>
      <c r="CD82" s="675">
        <f>_xlfn.XLOOKUP($D82,TalTech!$B$4:$B$46,TalTech!BM$4:BM$46)</f>
        <v>0</v>
      </c>
      <c r="CE82" s="675">
        <f>_xlfn.XLOOKUP($D82,TalTech!$B$4:$B$46,TalTech!BN$4:BN$46)</f>
        <v>0</v>
      </c>
      <c r="CF82" s="675">
        <f>_xlfn.XLOOKUP($D82,TalTech!$B$4:$B$46,TalTech!BO$4:BO$46)</f>
        <v>0</v>
      </c>
      <c r="CG82" s="675">
        <f>_xlfn.XLOOKUP($D82,TalTech!$B$4:$B$46,TalTech!BP$4:BP$46)</f>
        <v>0</v>
      </c>
      <c r="CH82" s="675">
        <f>_xlfn.XLOOKUP($D82,TalTech!$B$4:$B$46,TalTech!BQ$4:BQ$46)</f>
        <v>0</v>
      </c>
      <c r="CI82" s="675">
        <f>_xlfn.XLOOKUP($D82,TalTech!$B$4:$B$46,TalTech!BR$4:BR$46)</f>
        <v>0</v>
      </c>
      <c r="CJ82" s="675">
        <f>_xlfn.XLOOKUP($D82,TalTech!$B$4:$B$46,TalTech!BS$4:BS$46)</f>
        <v>0</v>
      </c>
      <c r="CK82" s="675">
        <f>_xlfn.XLOOKUP($D82,TalTech!$B$4:$B$46,TalTech!BT$4:BT$46)</f>
        <v>0</v>
      </c>
      <c r="CL82" s="675">
        <f>_xlfn.XLOOKUP($D82,TalTech!$B$4:$B$46,TalTech!BU$4:BU$46)</f>
        <v>0</v>
      </c>
      <c r="CM82" s="675">
        <f>_xlfn.XLOOKUP($D82,TalTech!$B$4:$B$46,TalTech!BV$4:BV$46)</f>
        <v>0</v>
      </c>
      <c r="CN82" s="675">
        <f>_xlfn.XLOOKUP($D82,TalTech!$B$4:$B$46,TalTech!BW$4:BW$46)</f>
        <v>0</v>
      </c>
      <c r="CO82" s="493">
        <f t="shared" si="178"/>
        <v>0</v>
      </c>
      <c r="CP82" s="660">
        <f t="shared" si="127"/>
        <v>0</v>
      </c>
      <c r="CQ82" s="1193"/>
      <c r="CR82" s="662">
        <f>1-CQ82</f>
        <v>1</v>
      </c>
      <c r="CS82" s="685" t="str">
        <v>100% government</v>
      </c>
      <c r="CT82" s="1862">
        <f t="shared" si="218"/>
        <v>0</v>
      </c>
      <c r="CU82" s="1872"/>
      <c r="CV82" s="1865">
        <f>BH82*Assumptions!D$498</f>
        <v>0</v>
      </c>
      <c r="CW82" s="659">
        <f>BI82*Assumptions!E$498</f>
        <v>0</v>
      </c>
      <c r="CX82" s="659">
        <f>BJ82*Assumptions!F$498</f>
        <v>0</v>
      </c>
      <c r="CY82" s="659">
        <f>BK82*Assumptions!G$498</f>
        <v>0</v>
      </c>
      <c r="CZ82" s="659">
        <f>BL82*Assumptions!H$498</f>
        <v>-0.11541075581282914</v>
      </c>
      <c r="DA82" s="659">
        <f>BM82*Assumptions!I$498</f>
        <v>-0.23473147323280416</v>
      </c>
      <c r="DB82" s="659">
        <f>BN82*Assumptions!J$498</f>
        <v>-0.35816809726842375</v>
      </c>
      <c r="DC82" s="659">
        <f>BO82*Assumptions!K$498</f>
        <v>-0.48593195124666905</v>
      </c>
      <c r="DD82" s="659">
        <f>BP82*Assumptions!L$498</f>
        <v>-0.61823999438855659</v>
      </c>
      <c r="DE82" s="659">
        <f>BQ82*Assumptions!M$498</f>
        <v>-0.75531508458240804</v>
      </c>
      <c r="DF82" s="659">
        <f>BR82*Assumptions!N$498</f>
        <v>-0.89768549196626191</v>
      </c>
      <c r="DG82" s="659">
        <f>BS82*Assumptions!O$498</f>
        <v>-1.0453309585352211</v>
      </c>
      <c r="DH82" s="659">
        <f>BT82*Assumptions!P$498</f>
        <v>-1.1984825036223468</v>
      </c>
      <c r="DI82" s="659">
        <f>BU82*Assumptions!Q$498</f>
        <v>-1.3573802601674188</v>
      </c>
      <c r="DJ82" s="659">
        <f>BV82*Assumptions!R$498</f>
        <v>-1.5222738136159357</v>
      </c>
      <c r="DK82" s="680">
        <f t="shared" si="222"/>
        <v>0</v>
      </c>
      <c r="DL82" s="680">
        <f t="shared" si="223"/>
        <v>0</v>
      </c>
      <c r="DM82" s="680">
        <f t="shared" si="224"/>
        <v>0</v>
      </c>
      <c r="DN82" s="680">
        <f t="shared" si="225"/>
        <v>0</v>
      </c>
      <c r="DO82" s="680">
        <f t="shared" si="226"/>
        <v>-0.11541075581282914</v>
      </c>
      <c r="DP82" s="680">
        <f t="shared" si="227"/>
        <v>-0.23473147323280416</v>
      </c>
      <c r="DQ82" s="680">
        <f t="shared" si="228"/>
        <v>-0.35816809726842375</v>
      </c>
      <c r="DR82" s="680">
        <f t="shared" si="229"/>
        <v>-0.48593195124666905</v>
      </c>
      <c r="DS82" s="680">
        <f t="shared" si="230"/>
        <v>-0.61823999438855659</v>
      </c>
      <c r="DT82" s="680">
        <f t="shared" si="231"/>
        <v>-0.75531508458240804</v>
      </c>
      <c r="DU82" s="680">
        <f t="shared" si="252"/>
        <v>-0.89768549196626191</v>
      </c>
      <c r="DV82" s="680">
        <f t="shared" si="253"/>
        <v>-1.0453309585352211</v>
      </c>
      <c r="DW82" s="680">
        <f t="shared" si="254"/>
        <v>-1.1984825036223468</v>
      </c>
      <c r="DX82" s="680">
        <f t="shared" si="255"/>
        <v>-1.3573802601674188</v>
      </c>
      <c r="DY82" s="680">
        <f t="shared" si="256"/>
        <v>-1.5222738136159357</v>
      </c>
      <c r="DZ82" s="678"/>
      <c r="EA82" s="661">
        <f t="shared" ref="EA82:EA83" si="259">1-DZ82</f>
        <v>1</v>
      </c>
      <c r="EB82" s="1861">
        <f t="shared" ref="EB82:EB83" si="260">IFERROR(AVERAGE(CV82:DE82),"n/a")</f>
        <v>-0.25677973565316908</v>
      </c>
      <c r="EC82" s="1881"/>
      <c r="ED82" s="1877">
        <v>0</v>
      </c>
      <c r="EE82" s="684"/>
      <c r="EF82" s="684"/>
      <c r="EG82" s="684"/>
      <c r="EH82" s="684"/>
      <c r="EI82" s="665">
        <f t="shared" si="239"/>
        <v>0</v>
      </c>
      <c r="EJ82" s="665">
        <f t="shared" si="240"/>
        <v>0</v>
      </c>
      <c r="EK82" s="665">
        <f t="shared" si="241"/>
        <v>0</v>
      </c>
      <c r="EL82" s="665">
        <f t="shared" si="242"/>
        <v>0</v>
      </c>
      <c r="EM82" s="665">
        <f t="shared" si="243"/>
        <v>0</v>
      </c>
      <c r="EN82" s="665">
        <f t="shared" si="244"/>
        <v>0</v>
      </c>
      <c r="EO82" s="665">
        <f t="shared" si="245"/>
        <v>0</v>
      </c>
      <c r="EP82" s="665">
        <f t="shared" si="246"/>
        <v>0</v>
      </c>
      <c r="EQ82" s="665">
        <f t="shared" si="247"/>
        <v>0</v>
      </c>
      <c r="ER82" s="665">
        <f t="shared" si="248"/>
        <v>0</v>
      </c>
      <c r="ES82" s="665">
        <f t="shared" si="249"/>
        <v>0</v>
      </c>
      <c r="ET82" s="541">
        <f t="shared" si="133"/>
        <v>0</v>
      </c>
      <c r="EU82" s="1450" cm="1">
        <f t="array" ref="EU82">(BH82*SUMPRODUCT($S82:$X82,TRANSPOSE(Assumptions!D$281:D$286)))*0.001</f>
        <v>0</v>
      </c>
      <c r="EV82" s="1450" cm="1">
        <f t="array" ref="EV82">(BI82*SUMPRODUCT($S82:$X82,TRANSPOSE(Assumptions!E$281:E$286)))*0.001</f>
        <v>0</v>
      </c>
      <c r="EW82" s="1450" cm="1">
        <f t="array" ref="EW82">(BJ82*SUMPRODUCT($S82:$X82,TRANSPOSE(Assumptions!F$281:F$286)))*0.001</f>
        <v>0</v>
      </c>
      <c r="EX82" s="1450" cm="1">
        <f t="array" ref="EX82">(BK82*SUMPRODUCT($S82:$X82,TRANSPOSE(Assumptions!G$281:G$286)))*0.001</f>
        <v>0</v>
      </c>
      <c r="EY82" s="1450" cm="1">
        <f t="array" ref="EY82">(BL82*SUMPRODUCT($S82:$X82,TRANSPOSE(Assumptions!H$281:H$286)))*0.001</f>
        <v>-4.7983766662233508E-2</v>
      </c>
      <c r="EZ82" s="1450" cm="1">
        <f t="array" ref="EZ82">(BM82*SUMPRODUCT($S82:$X82,TRANSPOSE(Assumptions!I$281:I$286)))*0.001</f>
        <v>-9.5967533324467016E-2</v>
      </c>
      <c r="FA82" s="1450" cm="1">
        <f t="array" ref="FA82">(BN82*SUMPRODUCT($S82:$X82,TRANSPOSE(Assumptions!J$281:J$286)))*0.001</f>
        <v>-0.14395129998670053</v>
      </c>
      <c r="FB82" s="1450" cm="1">
        <f t="array" ref="FB82">(BO82*SUMPRODUCT($S82:$X82,TRANSPOSE(Assumptions!K$281:K$286)))*0.001</f>
        <v>-0.19193506664893403</v>
      </c>
      <c r="FC82" s="1450" cm="1">
        <f t="array" ref="FC82">(BP82*SUMPRODUCT($S82:$X82,TRANSPOSE(Assumptions!L$281:L$286)))*0.001</f>
        <v>-0.23991883331116756</v>
      </c>
      <c r="FD82" s="1450" cm="1">
        <f t="array" ref="FD82">(BQ82*SUMPRODUCT($S82:$X82,TRANSPOSE(Assumptions!M$281:M$286)))*0.001</f>
        <v>-0.28790259997340112</v>
      </c>
      <c r="FE82" s="1450" cm="1">
        <f t="array" ref="FE82">(BR82*SUMPRODUCT($S82:$X82,TRANSPOSE(Assumptions!N$281:N$286)))*0.001</f>
        <v>-0.33588636663563459</v>
      </c>
      <c r="FF82" s="1450" cm="1">
        <f t="array" ref="FF82">(BS82*SUMPRODUCT($S82:$X82,TRANSPOSE(Assumptions!O$281:O$286)))*0.001</f>
        <v>-0.38387013329786807</v>
      </c>
      <c r="FG82" s="1450" cm="1">
        <f t="array" ref="FG82">(BT82*SUMPRODUCT($S82:$X82,TRANSPOSE(Assumptions!P$281:P$286)))*0.001</f>
        <v>-0.43185389996010154</v>
      </c>
      <c r="FH82" s="1450" cm="1">
        <f t="array" ref="FH82">(BU82*SUMPRODUCT($S82:$X82,TRANSPOSE(Assumptions!Q$281:Q$286)))*0.001</f>
        <v>-0.47983766662233507</v>
      </c>
      <c r="FI82" s="1450" cm="1">
        <f t="array" ref="FI82">(BV82*SUMPRODUCT($S82:$X82,TRANSPOSE(Assumptions!R$281:R$286)))*0.001</f>
        <v>-0.52782143328456854</v>
      </c>
      <c r="FJ82" s="666">
        <f t="shared" ref="FJ82:FJ83" si="261">EE82-EU82</f>
        <v>0</v>
      </c>
      <c r="FK82" s="666">
        <f t="shared" ref="FK82:FK83" si="262">EF82-EV82</f>
        <v>0</v>
      </c>
      <c r="FL82" s="666">
        <f t="shared" ref="FL82:FL83" si="263">EG82-EW82</f>
        <v>0</v>
      </c>
      <c r="FM82" s="666">
        <f t="shared" ref="FM82:FM83" si="264">EH82-EX82</f>
        <v>0</v>
      </c>
      <c r="FN82" s="666">
        <f t="shared" ref="FN82:FN83" si="265">EI82-EY82</f>
        <v>4.7983766662233508E-2</v>
      </c>
      <c r="FO82" s="666">
        <f t="shared" ref="FO82:FO83" si="266">EJ82-EZ82</f>
        <v>9.5967533324467016E-2</v>
      </c>
      <c r="FP82" s="666">
        <f t="shared" ref="FP82:FP83" si="267">EK82-FA82</f>
        <v>0.14395129998670053</v>
      </c>
      <c r="FQ82" s="666">
        <f t="shared" ref="FQ82:FQ83" si="268">EL82-FB82</f>
        <v>0.19193506664893403</v>
      </c>
      <c r="FR82" s="666">
        <f t="shared" ref="FR82:FR83" si="269">EM82-FC82</f>
        <v>0.23991883331116756</v>
      </c>
      <c r="FS82" s="666">
        <f t="shared" ref="FS82:FS83" si="270">EN82-FD82</f>
        <v>0.28790259997340112</v>
      </c>
      <c r="FT82" s="666">
        <f t="shared" si="144"/>
        <v>0.33588636663563459</v>
      </c>
      <c r="FU82" s="666">
        <f t="shared" si="145"/>
        <v>0.38387013329786807</v>
      </c>
      <c r="FV82" s="666">
        <f t="shared" si="146"/>
        <v>0.43185389996010154</v>
      </c>
      <c r="FW82" s="666">
        <f t="shared" si="147"/>
        <v>0.47983766662233507</v>
      </c>
      <c r="FX82" s="1883">
        <f t="shared" si="148"/>
        <v>0.52782143328456854</v>
      </c>
      <c r="FY82" s="1895"/>
      <c r="FZ82" s="1890"/>
      <c r="GA82" s="491"/>
      <c r="GB82" s="491"/>
      <c r="GC82" s="491"/>
      <c r="GD82" s="491"/>
      <c r="GE82" s="491"/>
      <c r="GF82" s="491"/>
      <c r="GG82" s="491"/>
      <c r="GH82" s="491"/>
      <c r="GI82" s="491"/>
      <c r="GJ82" s="491"/>
      <c r="GK82" s="491"/>
      <c r="GL82" s="491"/>
      <c r="GM82" s="491"/>
      <c r="GN82" s="1900"/>
      <c r="GO82" s="1912"/>
      <c r="GP82" s="1868">
        <f>BH82*INDEX(Assumptions!G$565:G$570,MATCH($B82,Assumptions!$B$565:$B$570,0))</f>
        <v>0</v>
      </c>
      <c r="GQ82" s="656">
        <f>BI82*INDEX(Assumptions!H$565:H$570,MATCH($B82,Assumptions!$B$565:$B$570,0))</f>
        <v>0</v>
      </c>
      <c r="GR82" s="656">
        <f>BJ82*INDEX(Assumptions!I$565:I$570,MATCH($B82,Assumptions!$B$565:$B$570,0))</f>
        <v>0</v>
      </c>
      <c r="GS82" s="656">
        <f>BK82*INDEX(Assumptions!J$565:J$570,MATCH($B82,Assumptions!$B$565:$B$570,0))</f>
        <v>0</v>
      </c>
      <c r="GT82" s="656">
        <f>BL82*INDEX(Assumptions!K$565:K$570,MATCH($B82,Assumptions!$B$565:$B$570,0))</f>
        <v>-0.30769246256810318</v>
      </c>
      <c r="GU82" s="656">
        <f>BM82*INDEX(Assumptions!L$565:L$570,MATCH($B82,Assumptions!$B$565:$B$570,0))</f>
        <v>-0.61671511827471959</v>
      </c>
      <c r="GV82" s="656">
        <f>BN82*INDEX(Assumptions!M$565:M$570,MATCH($B82,Assumptions!$B$565:$B$570,0))</f>
        <v>-0.92620512601734406</v>
      </c>
      <c r="GW82" s="656">
        <f>BO82*INDEX(Assumptions!N$565:N$570,MATCH($B82,Assumptions!$B$565:$B$570,0))</f>
        <v>-1.2354020969965347</v>
      </c>
      <c r="GX82" s="656">
        <f>BP82*INDEX(Assumptions!O$565:O$570,MATCH($B82,Assumptions!$B$565:$B$570,0))</f>
        <v>-1.5436436072019706</v>
      </c>
      <c r="GY82" s="656">
        <f>BQ82*INDEX(Assumptions!P$565:P$570,MATCH($B82,Assumptions!$B$565:$B$570,0))</f>
        <v>-1.8442183278083364</v>
      </c>
      <c r="GZ82" s="656">
        <f>BR82*INDEX(Assumptions!Q$565:Q$570,MATCH($B82,Assumptions!$B$565:$B$570,0))</f>
        <v>-2.0430070134975806</v>
      </c>
      <c r="HA82" s="656">
        <f>BS82*INDEX(Assumptions!R$565:R$570,MATCH($B82,Assumptions!$B$565:$B$570,0))</f>
        <v>-2.5408588944157042</v>
      </c>
      <c r="HB82" s="656">
        <f>BT82*INDEX(Assumptions!S$565:S$570,MATCH($B82,Assumptions!$B$565:$B$570,0))</f>
        <v>-2.858466256217667</v>
      </c>
      <c r="HC82" s="656">
        <f>BU82*INDEX(Assumptions!T$565:T$570,MATCH($B82,Assumptions!$B$565:$B$570,0))</f>
        <v>-3.1658359775190563</v>
      </c>
      <c r="HD82" s="1922">
        <f>BV82*INDEX(Assumptions!U$565:U$570,MATCH($B82,Assumptions!$B$565:$B$570,0))</f>
        <v>-3.4711581707203307</v>
      </c>
      <c r="HE82" s="1933"/>
      <c r="HF82" s="1927"/>
      <c r="HG82" s="501"/>
      <c r="HH82" s="501"/>
      <c r="HI82" s="501"/>
      <c r="HJ82" s="501"/>
      <c r="HK82" s="501"/>
      <c r="HL82" s="501"/>
      <c r="HM82" s="501"/>
      <c r="HN82" s="501"/>
      <c r="HO82" s="501"/>
      <c r="HP82" s="501"/>
      <c r="HQ82" s="501"/>
      <c r="HR82" s="501"/>
      <c r="HS82" s="501"/>
      <c r="HT82" s="501"/>
      <c r="HU82" s="501"/>
      <c r="HV82" s="656"/>
      <c r="HW82" s="1922"/>
      <c r="HX82" s="1946"/>
      <c r="HY82" s="1943"/>
      <c r="HZ82" s="695"/>
      <c r="IA82" s="683"/>
      <c r="IB82" s="683"/>
      <c r="IC82" s="694"/>
      <c r="ID82" s="1376"/>
      <c r="IE82" s="1968"/>
      <c r="IF82" s="1963"/>
      <c r="IG82" s="538"/>
      <c r="IH82" s="538"/>
      <c r="II82" s="538"/>
      <c r="IJ82" s="538"/>
      <c r="IK82" s="1276"/>
      <c r="IL82" s="1280"/>
      <c r="IM82" s="1292" t="s">
        <v>853</v>
      </c>
    </row>
    <row r="83" spans="2:256" ht="13.5" customHeight="1" x14ac:dyDescent="0.3">
      <c r="B83" s="1703" t="s">
        <v>53</v>
      </c>
      <c r="C83" s="653"/>
      <c r="D83" s="679" t="s">
        <v>854</v>
      </c>
      <c r="E83" s="71" t="s">
        <v>855</v>
      </c>
      <c r="F83" s="1800"/>
      <c r="G83" s="1208"/>
      <c r="H83" s="1209"/>
      <c r="I83" s="13"/>
      <c r="J83" s="696"/>
      <c r="K83" s="71" t="s">
        <v>648</v>
      </c>
      <c r="L83" s="1176" t="s">
        <v>719</v>
      </c>
      <c r="M83" s="1827"/>
      <c r="N83" s="1817"/>
      <c r="O83" s="1177"/>
      <c r="P83" s="1177"/>
      <c r="Q83" s="1178"/>
      <c r="R83" s="1177"/>
      <c r="S83" s="1445" cm="1">
        <f t="array" ref="S83:X83">TRANSPOSE(_xlfn.XLOOKUP(B83,Assumptions!$C$134:$I$134,Assumptions!$C$135:$I$140))</f>
        <v>0.89766686718609423</v>
      </c>
      <c r="T83" s="1445">
        <v>2.0574367766823833E-2</v>
      </c>
      <c r="U83" s="1445">
        <v>0</v>
      </c>
      <c r="V83" s="1445">
        <v>6.4936780001525515E-2</v>
      </c>
      <c r="W83" s="1445">
        <v>0</v>
      </c>
      <c r="X83" s="1445">
        <v>1.6821985045556383E-2</v>
      </c>
      <c r="Y83" s="1179"/>
      <c r="Z83" s="1179"/>
      <c r="AA83" s="1179"/>
      <c r="AB83" s="1179"/>
      <c r="AC83" s="1179"/>
      <c r="AD83" s="1177"/>
      <c r="AE83" s="1177"/>
      <c r="AF83" s="1177"/>
      <c r="AG83" s="1177"/>
      <c r="AH83" s="1177"/>
      <c r="AI83" s="1177"/>
      <c r="AJ83" s="1177"/>
      <c r="AK83" s="1417">
        <f t="shared" si="176"/>
        <v>0</v>
      </c>
      <c r="AL83" s="1177"/>
      <c r="AM83" s="1177"/>
      <c r="AN83" s="1177"/>
      <c r="AO83" s="1834">
        <v>0</v>
      </c>
      <c r="AP83" s="1847"/>
      <c r="AQ83" s="1837">
        <f t="shared" si="258"/>
        <v>66.598204122481448</v>
      </c>
      <c r="AR83" s="663"/>
      <c r="AS83" s="663"/>
      <c r="AT83" s="663"/>
      <c r="AU83" s="663"/>
      <c r="AV83" s="659">
        <f>_xlfn.XLOOKUP($D83,TalTech!$B$4:$B$46,TalTech!BB$4:BB$46)</f>
        <v>66.598204122481462</v>
      </c>
      <c r="AW83" s="659">
        <f>_xlfn.XLOOKUP($D83,TalTech!$B$4:$B$46,TalTech!BC$4:BC$46)</f>
        <v>66.598204122481462</v>
      </c>
      <c r="AX83" s="659">
        <f>_xlfn.XLOOKUP($D83,TalTech!$B$4:$B$46,TalTech!BD$4:BD$46)</f>
        <v>66.598204122481462</v>
      </c>
      <c r="AY83" s="659">
        <f>_xlfn.XLOOKUP($D83,TalTech!$B$4:$B$46,TalTech!BE$4:BE$46)</f>
        <v>66.598204122481462</v>
      </c>
      <c r="AZ83" s="659">
        <f>_xlfn.XLOOKUP($D83,TalTech!$B$4:$B$46,TalTech!BF$4:BF$46)</f>
        <v>66.598204122481434</v>
      </c>
      <c r="BA83" s="659">
        <f>_xlfn.XLOOKUP($D83,TalTech!$B$4:$B$46,TalTech!BG$4:BG$46)</f>
        <v>66.598204122481434</v>
      </c>
      <c r="BB83" s="659">
        <f>_xlfn.XLOOKUP($D83,TalTech!$B$4:$B$46,TalTech!BH$4:BH$46)</f>
        <v>66.598204122481434</v>
      </c>
      <c r="BC83" s="659">
        <f>_xlfn.XLOOKUP($D83,TalTech!$B$4:$B$46,TalTech!BI$4:BI$46)</f>
        <v>66.598204122481434</v>
      </c>
      <c r="BD83" s="659">
        <f>_xlfn.XLOOKUP($D83,TalTech!$B$4:$B$46,TalTech!BJ$4:BJ$46)</f>
        <v>66.598204122481434</v>
      </c>
      <c r="BE83" s="659">
        <f>_xlfn.XLOOKUP($D83,TalTech!$B$4:$B$46,TalTech!BK$4:BK$46)</f>
        <v>66.598204122481434</v>
      </c>
      <c r="BF83" s="659">
        <f>_xlfn.XLOOKUP($D83,TalTech!$B$4:$B$46,TalTech!BL$4:BL$46)</f>
        <v>66.598204122481434</v>
      </c>
      <c r="BG83" s="501">
        <f t="shared" si="177"/>
        <v>66.598204122481448</v>
      </c>
      <c r="BH83" s="893">
        <f t="shared" si="111"/>
        <v>0</v>
      </c>
      <c r="BI83" s="658">
        <f t="shared" si="112"/>
        <v>0</v>
      </c>
      <c r="BJ83" s="658">
        <f t="shared" si="113"/>
        <v>0</v>
      </c>
      <c r="BK83" s="658">
        <f t="shared" si="114"/>
        <v>0</v>
      </c>
      <c r="BL83" s="658">
        <f t="shared" si="115"/>
        <v>66.598204122481462</v>
      </c>
      <c r="BM83" s="658">
        <f t="shared" si="116"/>
        <v>133.19640824496292</v>
      </c>
      <c r="BN83" s="658">
        <f t="shared" si="117"/>
        <v>199.79461236744439</v>
      </c>
      <c r="BO83" s="658">
        <f t="shared" si="118"/>
        <v>266.39281648992585</v>
      </c>
      <c r="BP83" s="658">
        <f t="shared" si="119"/>
        <v>332.99102061240728</v>
      </c>
      <c r="BQ83" s="658">
        <f t="shared" si="120"/>
        <v>399.58922473488872</v>
      </c>
      <c r="BR83" s="658">
        <f t="shared" si="121"/>
        <v>466.18742885737015</v>
      </c>
      <c r="BS83" s="658">
        <f t="shared" si="122"/>
        <v>532.78563297985158</v>
      </c>
      <c r="BT83" s="658">
        <f t="shared" si="123"/>
        <v>599.38383710233302</v>
      </c>
      <c r="BU83" s="658">
        <f t="shared" si="124"/>
        <v>665.98204122481445</v>
      </c>
      <c r="BV83" s="1851">
        <f t="shared" si="125"/>
        <v>732.58024534729589</v>
      </c>
      <c r="BW83" s="1661"/>
      <c r="BX83" s="1855"/>
      <c r="BY83" s="1192">
        <f t="shared" si="126"/>
        <v>2275</v>
      </c>
      <c r="BZ83" s="663"/>
      <c r="CA83" s="663"/>
      <c r="CB83" s="663"/>
      <c r="CC83" s="663"/>
      <c r="CD83" s="675">
        <f>_xlfn.XLOOKUP($D83,TalTech!$B$4:$B$46,TalTech!BM$4:BM$46)</f>
        <v>43.288832679612945</v>
      </c>
      <c r="CE83" s="675">
        <f>_xlfn.XLOOKUP($D83,TalTech!$B$4:$B$46,TalTech!BN$4:BN$46)</f>
        <v>86.57766535922589</v>
      </c>
      <c r="CF83" s="675">
        <f>_xlfn.XLOOKUP($D83,TalTech!$B$4:$B$46,TalTech!BO$4:BO$46)</f>
        <v>129.86649803883884</v>
      </c>
      <c r="CG83" s="675">
        <f>_xlfn.XLOOKUP($D83,TalTech!$B$4:$B$46,TalTech!BP$4:BP$46)</f>
        <v>173.15533071845178</v>
      </c>
      <c r="CH83" s="675">
        <f>_xlfn.XLOOKUP($D83,TalTech!$B$4:$B$46,TalTech!BQ$4:BQ$46)</f>
        <v>216.44416339806472</v>
      </c>
      <c r="CI83" s="675">
        <f>_xlfn.XLOOKUP($D83,TalTech!$B$4:$B$46,TalTech!BR$4:BR$46)</f>
        <v>259.73299607767768</v>
      </c>
      <c r="CJ83" s="675">
        <f>_xlfn.XLOOKUP($D83,TalTech!$B$4:$B$46,TalTech!BS$4:BS$46)</f>
        <v>259.73299607767768</v>
      </c>
      <c r="CK83" s="675">
        <f>_xlfn.XLOOKUP($D83,TalTech!$B$4:$B$46,TalTech!BT$4:BT$46)</f>
        <v>259.73299607767768</v>
      </c>
      <c r="CL83" s="675">
        <f>_xlfn.XLOOKUP($D83,TalTech!$B$4:$B$46,TalTech!BU$4:BU$46)</f>
        <v>259.73299607767768</v>
      </c>
      <c r="CM83" s="675">
        <f>_xlfn.XLOOKUP($D83,TalTech!$B$4:$B$46,TalTech!BV$4:BV$46)</f>
        <v>259.73299607767768</v>
      </c>
      <c r="CN83" s="675">
        <f>_xlfn.XLOOKUP($D83,TalTech!$B$4:$B$46,TalTech!BW$4:BW$46)</f>
        <v>259.73299607767768</v>
      </c>
      <c r="CO83" s="493">
        <f t="shared" si="178"/>
        <v>200.70276969638726</v>
      </c>
      <c r="CP83" s="660">
        <f t="shared" si="127"/>
        <v>909.06548627187181</v>
      </c>
      <c r="CQ83" s="1193">
        <f>_xlfn.XLOOKUP($D83,TalTech!$B$4:$B$46,TalTech!$H$4:$H$46)</f>
        <v>1</v>
      </c>
      <c r="CR83" s="662">
        <f t="shared" ref="CR83" si="271">1-CQ83</f>
        <v>0</v>
      </c>
      <c r="CS83" s="685" t="str">
        <v>100% government</v>
      </c>
      <c r="CT83" s="1862">
        <f t="shared" si="218"/>
        <v>151.51091437864531</v>
      </c>
      <c r="CU83" s="1872"/>
      <c r="CV83" s="1865">
        <f>BH83*Assumptions!D$498</f>
        <v>0</v>
      </c>
      <c r="CW83" s="659">
        <f>BI83*Assumptions!E$498</f>
        <v>0</v>
      </c>
      <c r="CX83" s="659">
        <f>BJ83*Assumptions!F$498</f>
        <v>0</v>
      </c>
      <c r="CY83" s="659">
        <f>BK83*Assumptions!G$498</f>
        <v>0</v>
      </c>
      <c r="CZ83" s="659">
        <f>BL83*Assumptions!H$498</f>
        <v>6.9254993429391583</v>
      </c>
      <c r="DA83" s="659">
        <f>BM83*Assumptions!I$498</f>
        <v>14.085625314484073</v>
      </c>
      <c r="DB83" s="659">
        <f>BN83*Assumptions!J$498</f>
        <v>21.492736139056671</v>
      </c>
      <c r="DC83" s="659">
        <f>BO83*Assumptions!K$498</f>
        <v>29.159512779985263</v>
      </c>
      <c r="DD83" s="659">
        <f>BP83*Assumptions!L$498</f>
        <v>37.098974395943685</v>
      </c>
      <c r="DE83" s="659">
        <f>BQ83*Assumptions!M$498</f>
        <v>45.324494109291905</v>
      </c>
      <c r="DF83" s="659">
        <f>BR83*Assumptions!N$498</f>
        <v>53.867772037303332</v>
      </c>
      <c r="DG83" s="659">
        <f>BS83*Assumptions!O$498</f>
        <v>62.727592549782884</v>
      </c>
      <c r="DH83" s="659">
        <f>BT83*Assumptions!P$498</f>
        <v>71.917818516166363</v>
      </c>
      <c r="DI83" s="659">
        <f>BU83*Assumptions!Q$498</f>
        <v>81.45285968972982</v>
      </c>
      <c r="DJ83" s="659">
        <f>BV83*Assumptions!R$498</f>
        <v>91.347693044037214</v>
      </c>
      <c r="DK83" s="680">
        <f t="shared" si="222"/>
        <v>0</v>
      </c>
      <c r="DL83" s="680">
        <f t="shared" si="223"/>
        <v>0</v>
      </c>
      <c r="DM83" s="680">
        <f t="shared" si="224"/>
        <v>0</v>
      </c>
      <c r="DN83" s="680">
        <f t="shared" si="225"/>
        <v>0</v>
      </c>
      <c r="DO83" s="680">
        <f t="shared" si="226"/>
        <v>6.9254993429391583</v>
      </c>
      <c r="DP83" s="680">
        <f t="shared" si="227"/>
        <v>14.085625314484073</v>
      </c>
      <c r="DQ83" s="680">
        <f t="shared" si="228"/>
        <v>21.492736139056671</v>
      </c>
      <c r="DR83" s="680">
        <f t="shared" si="229"/>
        <v>29.159512779985263</v>
      </c>
      <c r="DS83" s="680">
        <f t="shared" si="230"/>
        <v>37.098974395943685</v>
      </c>
      <c r="DT83" s="680">
        <f t="shared" si="231"/>
        <v>45.324494109291905</v>
      </c>
      <c r="DU83" s="680">
        <f t="shared" si="252"/>
        <v>53.867772037303332</v>
      </c>
      <c r="DV83" s="680">
        <f t="shared" si="253"/>
        <v>62.727592549782884</v>
      </c>
      <c r="DW83" s="680">
        <f t="shared" si="254"/>
        <v>71.917818516166363</v>
      </c>
      <c r="DX83" s="680">
        <f t="shared" si="255"/>
        <v>81.45285968972982</v>
      </c>
      <c r="DY83" s="680">
        <f t="shared" si="256"/>
        <v>91.347693044037214</v>
      </c>
      <c r="DZ83" s="678"/>
      <c r="EA83" s="661">
        <f t="shared" si="259"/>
        <v>1</v>
      </c>
      <c r="EB83" s="1861">
        <f t="shared" si="260"/>
        <v>15.408684208170076</v>
      </c>
      <c r="EC83" s="1881"/>
      <c r="ED83" s="1877">
        <v>0</v>
      </c>
      <c r="EE83" s="684"/>
      <c r="EF83" s="684"/>
      <c r="EG83" s="684"/>
      <c r="EH83" s="684"/>
      <c r="EI83" s="665">
        <f t="shared" si="239"/>
        <v>0</v>
      </c>
      <c r="EJ83" s="665">
        <f t="shared" si="240"/>
        <v>0</v>
      </c>
      <c r="EK83" s="665">
        <f t="shared" si="241"/>
        <v>0</v>
      </c>
      <c r="EL83" s="665">
        <f t="shared" si="242"/>
        <v>0</v>
      </c>
      <c r="EM83" s="665">
        <f t="shared" si="243"/>
        <v>0</v>
      </c>
      <c r="EN83" s="665">
        <f t="shared" si="244"/>
        <v>0</v>
      </c>
      <c r="EO83" s="665">
        <f t="shared" si="245"/>
        <v>0</v>
      </c>
      <c r="EP83" s="665">
        <f t="shared" si="246"/>
        <v>0</v>
      </c>
      <c r="EQ83" s="665">
        <f t="shared" si="247"/>
        <v>0</v>
      </c>
      <c r="ER83" s="665">
        <f t="shared" si="248"/>
        <v>0</v>
      </c>
      <c r="ES83" s="665">
        <f t="shared" si="249"/>
        <v>0</v>
      </c>
      <c r="ET83" s="541">
        <f t="shared" si="133"/>
        <v>0</v>
      </c>
      <c r="EU83" s="1450" cm="1">
        <f t="array" ref="EU83">(BH83*SUMPRODUCT($S83:$X83,TRANSPOSE(Assumptions!D$281:D$286)))*0.001</f>
        <v>0</v>
      </c>
      <c r="EV83" s="1450" cm="1">
        <f t="array" ref="EV83">(BI83*SUMPRODUCT($S83:$X83,TRANSPOSE(Assumptions!E$281:E$286)))*0.001</f>
        <v>0</v>
      </c>
      <c r="EW83" s="1450" cm="1">
        <f t="array" ref="EW83">(BJ83*SUMPRODUCT($S83:$X83,TRANSPOSE(Assumptions!F$281:F$286)))*0.001</f>
        <v>0</v>
      </c>
      <c r="EX83" s="1450" cm="1">
        <f t="array" ref="EX83">(BK83*SUMPRODUCT($S83:$X83,TRANSPOSE(Assumptions!G$281:G$286)))*0.001</f>
        <v>0</v>
      </c>
      <c r="EY83" s="1450" cm="1">
        <f t="array" ref="EY83">(BL83*SUMPRODUCT($S83:$X83,TRANSPOSE(Assumptions!H$281:H$286)))*0.001</f>
        <v>2.8793810607217605</v>
      </c>
      <c r="EZ83" s="1450" cm="1">
        <f t="array" ref="EZ83">(BM83*SUMPRODUCT($S83:$X83,TRANSPOSE(Assumptions!I$281:I$286)))*0.001</f>
        <v>5.758762121443521</v>
      </c>
      <c r="FA83" s="1450" cm="1">
        <f t="array" ref="FA83">(BN83*SUMPRODUCT($S83:$X83,TRANSPOSE(Assumptions!J$281:J$286)))*0.001</f>
        <v>8.6381431821652832</v>
      </c>
      <c r="FB83" s="1450" cm="1">
        <f t="array" ref="FB83">(BO83*SUMPRODUCT($S83:$X83,TRANSPOSE(Assumptions!K$281:K$286)))*0.001</f>
        <v>11.517524242887042</v>
      </c>
      <c r="FC83" s="1450" cm="1">
        <f t="array" ref="FC83">(BP83*SUMPRODUCT($S83:$X83,TRANSPOSE(Assumptions!L$281:L$286)))*0.001</f>
        <v>14.396905303608802</v>
      </c>
      <c r="FD83" s="1450" cm="1">
        <f t="array" ref="FD83">(BQ83*SUMPRODUCT($S83:$X83,TRANSPOSE(Assumptions!M$281:M$286)))*0.001</f>
        <v>17.276286364330563</v>
      </c>
      <c r="FE83" s="1450" cm="1">
        <f t="array" ref="FE83">(BR83*SUMPRODUCT($S83:$X83,TRANSPOSE(Assumptions!N$281:N$286)))*0.001</f>
        <v>20.155667425052322</v>
      </c>
      <c r="FF83" s="1450" cm="1">
        <f t="array" ref="FF83">(BS83*SUMPRODUCT($S83:$X83,TRANSPOSE(Assumptions!O$281:O$286)))*0.001</f>
        <v>23.03504848577408</v>
      </c>
      <c r="FG83" s="1450" cm="1">
        <f t="array" ref="FG83">(BT83*SUMPRODUCT($S83:$X83,TRANSPOSE(Assumptions!P$281:P$286)))*0.001</f>
        <v>25.914429546495843</v>
      </c>
      <c r="FH83" s="1450" cm="1">
        <f t="array" ref="FH83">(BU83*SUMPRODUCT($S83:$X83,TRANSPOSE(Assumptions!Q$281:Q$286)))*0.001</f>
        <v>28.793810607217601</v>
      </c>
      <c r="FI83" s="1450" cm="1">
        <f t="array" ref="FI83">(BV83*SUMPRODUCT($S83:$X83,TRANSPOSE(Assumptions!R$281:R$286)))*0.001</f>
        <v>31.67319166793936</v>
      </c>
      <c r="FJ83" s="666">
        <f t="shared" si="261"/>
        <v>0</v>
      </c>
      <c r="FK83" s="666">
        <f t="shared" si="262"/>
        <v>0</v>
      </c>
      <c r="FL83" s="666">
        <f t="shared" si="263"/>
        <v>0</v>
      </c>
      <c r="FM83" s="666">
        <f t="shared" si="264"/>
        <v>0</v>
      </c>
      <c r="FN83" s="666">
        <f t="shared" si="265"/>
        <v>-2.8793810607217605</v>
      </c>
      <c r="FO83" s="666">
        <f t="shared" si="266"/>
        <v>-5.758762121443521</v>
      </c>
      <c r="FP83" s="666">
        <f t="shared" si="267"/>
        <v>-8.6381431821652832</v>
      </c>
      <c r="FQ83" s="666">
        <f t="shared" si="268"/>
        <v>-11.517524242887042</v>
      </c>
      <c r="FR83" s="666">
        <f t="shared" si="269"/>
        <v>-14.396905303608802</v>
      </c>
      <c r="FS83" s="666">
        <f t="shared" si="270"/>
        <v>-17.276286364330563</v>
      </c>
      <c r="FT83" s="666">
        <f t="shared" si="144"/>
        <v>-20.155667425052322</v>
      </c>
      <c r="FU83" s="666">
        <f t="shared" si="145"/>
        <v>-23.03504848577408</v>
      </c>
      <c r="FV83" s="666">
        <f t="shared" si="146"/>
        <v>-25.914429546495843</v>
      </c>
      <c r="FW83" s="666">
        <f t="shared" si="147"/>
        <v>-28.793810607217601</v>
      </c>
      <c r="FX83" s="1883">
        <f t="shared" si="148"/>
        <v>-31.67319166793936</v>
      </c>
      <c r="FY83" s="1895"/>
      <c r="FZ83" s="1890"/>
      <c r="GA83" s="491"/>
      <c r="GB83" s="491"/>
      <c r="GC83" s="491"/>
      <c r="GD83" s="491"/>
      <c r="GE83" s="491"/>
      <c r="GF83" s="491"/>
      <c r="GG83" s="491"/>
      <c r="GH83" s="491"/>
      <c r="GI83" s="491"/>
      <c r="GJ83" s="491"/>
      <c r="GK83" s="491"/>
      <c r="GL83" s="491"/>
      <c r="GM83" s="491"/>
      <c r="GN83" s="1900"/>
      <c r="GO83" s="1912"/>
      <c r="GP83" s="1868">
        <f>BH83*INDEX(Assumptions!G$565:G$570,MATCH($B83,Assumptions!$B$565:$B$570,0))</f>
        <v>0</v>
      </c>
      <c r="GQ83" s="656">
        <f>BI83*INDEX(Assumptions!H$565:H$570,MATCH($B83,Assumptions!$B$565:$B$570,0))</f>
        <v>0</v>
      </c>
      <c r="GR83" s="656">
        <f>BJ83*INDEX(Assumptions!I$565:I$570,MATCH($B83,Assumptions!$B$565:$B$570,0))</f>
        <v>0</v>
      </c>
      <c r="GS83" s="656">
        <f>BK83*INDEX(Assumptions!J$565:J$570,MATCH($B83,Assumptions!$B$565:$B$570,0))</f>
        <v>0</v>
      </c>
      <c r="GT83" s="656">
        <f>BL83*INDEX(Assumptions!K$565:K$570,MATCH($B83,Assumptions!$B$565:$B$570,0))</f>
        <v>18.463824557206955</v>
      </c>
      <c r="GU83" s="656">
        <f>BM83*INDEX(Assumptions!L$565:L$570,MATCH($B83,Assumptions!$B$565:$B$570,0))</f>
        <v>37.007470545630397</v>
      </c>
      <c r="GV83" s="656">
        <f>BN83*INDEX(Assumptions!M$565:M$570,MATCH($B83,Assumptions!$B$565:$B$570,0))</f>
        <v>55.579161114435443</v>
      </c>
      <c r="GW83" s="656">
        <f>BO83*INDEX(Assumptions!N$565:N$570,MATCH($B83,Assumptions!$B$565:$B$570,0))</f>
        <v>74.133267309077738</v>
      </c>
      <c r="GX83" s="656">
        <f>BP83*INDEX(Assumptions!O$565:O$570,MATCH($B83,Assumptions!$B$565:$B$570,0))</f>
        <v>92.630038787261071</v>
      </c>
      <c r="GY83" s="656">
        <f>BQ83*INDEX(Assumptions!P$565:P$570,MATCH($B83,Assumptions!$B$565:$B$570,0))</f>
        <v>110.66674615827466</v>
      </c>
      <c r="GZ83" s="656">
        <f>BR83*INDEX(Assumptions!Q$565:Q$570,MATCH($B83,Assumptions!$B$565:$B$570,0))</f>
        <v>122.59553825766376</v>
      </c>
      <c r="HA83" s="656">
        <f>BS83*INDEX(Assumptions!R$565:R$570,MATCH($B83,Assumptions!$B$565:$B$570,0))</f>
        <v>152.47033502072438</v>
      </c>
      <c r="HB83" s="656">
        <f>BT83*INDEX(Assumptions!S$565:S$570,MATCH($B83,Assumptions!$B$565:$B$570,0))</f>
        <v>171.52912689831493</v>
      </c>
      <c r="HC83" s="656">
        <f>BU83*INDEX(Assumptions!T$565:T$570,MATCH($B83,Assumptions!$B$565:$B$570,0))</f>
        <v>189.97358459136072</v>
      </c>
      <c r="HD83" s="1922">
        <f>BV83*INDEX(Assumptions!U$565:U$570,MATCH($B83,Assumptions!$B$565:$B$570,0))</f>
        <v>208.29517544749751</v>
      </c>
      <c r="HE83" s="1933"/>
      <c r="HF83" s="1927"/>
      <c r="HG83" s="501"/>
      <c r="HH83" s="501"/>
      <c r="HI83" s="501"/>
      <c r="HJ83" s="501"/>
      <c r="HK83" s="501"/>
      <c r="HL83" s="501"/>
      <c r="HM83" s="501"/>
      <c r="HN83" s="501"/>
      <c r="HO83" s="501"/>
      <c r="HP83" s="501"/>
      <c r="HQ83" s="501"/>
      <c r="HR83" s="501"/>
      <c r="HS83" s="501"/>
      <c r="HT83" s="501"/>
      <c r="HU83" s="501"/>
      <c r="HV83" s="656"/>
      <c r="HW83" s="1922"/>
      <c r="HX83" s="1946"/>
      <c r="HY83" s="1943"/>
      <c r="HZ83" s="695"/>
      <c r="IA83" s="683"/>
      <c r="IB83" s="683"/>
      <c r="IC83" s="694"/>
      <c r="ID83" s="1376"/>
      <c r="IE83" s="1968"/>
      <c r="IF83" s="1963"/>
      <c r="IG83" s="538"/>
      <c r="IH83" s="538"/>
      <c r="II83" s="538"/>
      <c r="IJ83" s="538"/>
      <c r="IK83" s="1276"/>
      <c r="IL83" s="1280"/>
      <c r="IM83" s="1292" t="s">
        <v>855</v>
      </c>
      <c r="IO83" s="547">
        <f t="shared" ref="IO83:IU83" si="272">SUM(IF64:IF83)/20</f>
        <v>0</v>
      </c>
      <c r="IP83" s="547">
        <f t="shared" si="272"/>
        <v>0.28000000000000003</v>
      </c>
      <c r="IQ83" s="547">
        <f t="shared" si="272"/>
        <v>0.28000000000000003</v>
      </c>
      <c r="IR83" s="547">
        <f t="shared" si="272"/>
        <v>0.28000000000000003</v>
      </c>
      <c r="IS83" s="547">
        <f t="shared" si="272"/>
        <v>0.85</v>
      </c>
      <c r="IT83" s="547">
        <f t="shared" si="272"/>
        <v>0.67</v>
      </c>
      <c r="IU83" s="547">
        <f t="shared" si="272"/>
        <v>0.8</v>
      </c>
      <c r="IV83" t="s">
        <v>856</v>
      </c>
    </row>
    <row r="84" spans="2:256" ht="13.5" customHeight="1" x14ac:dyDescent="0.3">
      <c r="B84" s="1703" t="s">
        <v>54</v>
      </c>
      <c r="C84" s="2112" t="s">
        <v>535</v>
      </c>
      <c r="D84" s="679" t="s">
        <v>857</v>
      </c>
      <c r="E84" s="1787" t="s">
        <v>858</v>
      </c>
      <c r="F84" s="1810"/>
      <c r="G84" s="1795" t="s">
        <v>859</v>
      </c>
      <c r="H84" s="1195" t="s">
        <v>860</v>
      </c>
      <c r="I84" s="13"/>
      <c r="J84" s="696"/>
      <c r="K84" s="71"/>
      <c r="L84" s="1176" t="s">
        <v>719</v>
      </c>
      <c r="M84" s="1827"/>
      <c r="N84" s="1817"/>
      <c r="O84" s="1177"/>
      <c r="P84" s="1177"/>
      <c r="Q84" s="1177"/>
      <c r="R84" s="1178">
        <v>1</v>
      </c>
      <c r="S84" s="1445" cm="1">
        <f t="array" ref="S84:X84">TRANSPOSE(_xlfn.XLOOKUP(B84,Assumptions!$C$134:$I$134,Assumptions!$C$135:$I$140))</f>
        <v>0.75525651808242222</v>
      </c>
      <c r="T84" s="1445">
        <v>3.4763106251752177E-2</v>
      </c>
      <c r="U84" s="1445">
        <v>3.3641715727502097E-3</v>
      </c>
      <c r="V84" s="1445">
        <v>2.9436501261564336E-2</v>
      </c>
      <c r="W84" s="1445">
        <v>1.9624334174376225E-2</v>
      </c>
      <c r="X84" s="1445">
        <v>0.15755536865713485</v>
      </c>
      <c r="Y84" s="1183" cm="1">
        <f t="array" ref="Y84:AC84">TRANSPOSE(_xlfn.ANCHORARRAY(Assumptions!$E$698))</f>
        <v>6.6969983920146997E-2</v>
      </c>
      <c r="Z84" s="1183">
        <v>0.22051716973331675</v>
      </c>
      <c r="AA84" s="1183">
        <v>3.5302344810288558E-2</v>
      </c>
      <c r="AB84" s="1183">
        <v>0.4111989321192141</v>
      </c>
      <c r="AC84" s="1183">
        <v>0.26601156941703358</v>
      </c>
      <c r="AD84" s="1177"/>
      <c r="AE84" s="1177"/>
      <c r="AF84" s="1177"/>
      <c r="AG84" s="1177"/>
      <c r="AH84" s="1177"/>
      <c r="AI84" s="1177"/>
      <c r="AJ84" s="1177"/>
      <c r="AK84" s="1417">
        <f t="shared" si="176"/>
        <v>0</v>
      </c>
      <c r="AL84" s="1177"/>
      <c r="AM84" s="1177"/>
      <c r="AN84" s="1177"/>
      <c r="AO84" s="1221"/>
      <c r="AP84" s="1846"/>
      <c r="AQ84" s="1845"/>
      <c r="AR84" s="698"/>
      <c r="AS84" s="698"/>
      <c r="AT84" s="698"/>
      <c r="AU84" s="698"/>
      <c r="AV84" s="698"/>
      <c r="AW84" s="698"/>
      <c r="AX84" s="698"/>
      <c r="AY84" s="698"/>
      <c r="AZ84" s="698"/>
      <c r="BA84" s="698"/>
      <c r="BB84" s="698"/>
      <c r="BC84" s="698"/>
      <c r="BD84" s="698"/>
      <c r="BE84" s="698"/>
      <c r="BF84" s="698"/>
      <c r="BG84" s="501">
        <f t="shared" si="177"/>
        <v>0</v>
      </c>
      <c r="BH84" s="893">
        <f t="shared" si="111"/>
        <v>0</v>
      </c>
      <c r="BI84" s="658">
        <f t="shared" si="112"/>
        <v>0</v>
      </c>
      <c r="BJ84" s="658">
        <f t="shared" si="113"/>
        <v>0</v>
      </c>
      <c r="BK84" s="658">
        <f t="shared" si="114"/>
        <v>0</v>
      </c>
      <c r="BL84" s="658">
        <f t="shared" si="115"/>
        <v>0</v>
      </c>
      <c r="BM84" s="658">
        <f t="shared" si="116"/>
        <v>0</v>
      </c>
      <c r="BN84" s="658">
        <f t="shared" si="117"/>
        <v>0</v>
      </c>
      <c r="BO84" s="658">
        <f t="shared" si="118"/>
        <v>0</v>
      </c>
      <c r="BP84" s="658">
        <f t="shared" si="119"/>
        <v>0</v>
      </c>
      <c r="BQ84" s="658">
        <f t="shared" si="120"/>
        <v>0</v>
      </c>
      <c r="BR84" s="658">
        <f t="shared" si="121"/>
        <v>0</v>
      </c>
      <c r="BS84" s="658">
        <f t="shared" si="122"/>
        <v>0</v>
      </c>
      <c r="BT84" s="658">
        <f t="shared" si="123"/>
        <v>0</v>
      </c>
      <c r="BU84" s="658">
        <f t="shared" si="124"/>
        <v>0</v>
      </c>
      <c r="BV84" s="1851">
        <f t="shared" si="125"/>
        <v>0</v>
      </c>
      <c r="BW84" s="1661"/>
      <c r="BX84" s="1855"/>
      <c r="BY84" s="1192" t="str">
        <f t="shared" si="126"/>
        <v/>
      </c>
      <c r="BZ84" s="676"/>
      <c r="CA84" s="676"/>
      <c r="CB84" s="676"/>
      <c r="CC84" s="676"/>
      <c r="CD84" s="677"/>
      <c r="CE84" s="677"/>
      <c r="CF84" s="677"/>
      <c r="CG84" s="677"/>
      <c r="CH84" s="677"/>
      <c r="CI84" s="677"/>
      <c r="CJ84" s="677"/>
      <c r="CK84" s="677"/>
      <c r="CL84" s="677"/>
      <c r="CM84" s="677"/>
      <c r="CN84" s="677"/>
      <c r="CO84" s="493">
        <f t="shared" si="178"/>
        <v>0</v>
      </c>
      <c r="CP84" s="660">
        <f t="shared" si="127"/>
        <v>0</v>
      </c>
      <c r="CQ84" s="1193"/>
      <c r="CR84" s="662">
        <f>1-CQ84</f>
        <v>1</v>
      </c>
      <c r="CS84" s="685" t="str">
        <v/>
      </c>
      <c r="CT84" s="1862" t="str">
        <f t="shared" si="218"/>
        <v>n/a</v>
      </c>
      <c r="CU84" s="1872"/>
      <c r="CV84" s="1865">
        <f>BH84*Assumptions!D$499</f>
        <v>0</v>
      </c>
      <c r="CW84" s="659">
        <f>BI84*Assumptions!E$499</f>
        <v>0</v>
      </c>
      <c r="CX84" s="659">
        <f>BJ84*Assumptions!F$499</f>
        <v>0</v>
      </c>
      <c r="CY84" s="659">
        <f>BK84*Assumptions!G$499</f>
        <v>0</v>
      </c>
      <c r="CZ84" s="659">
        <f>BL84*Assumptions!H$499</f>
        <v>0</v>
      </c>
      <c r="DA84" s="659">
        <f>BM84*Assumptions!I$499</f>
        <v>0</v>
      </c>
      <c r="DB84" s="659">
        <f>BN84*Assumptions!J$499</f>
        <v>0</v>
      </c>
      <c r="DC84" s="659">
        <f>BO84*Assumptions!K$499</f>
        <v>0</v>
      </c>
      <c r="DD84" s="659">
        <f>BP84*Assumptions!L$499</f>
        <v>0</v>
      </c>
      <c r="DE84" s="659">
        <f>BQ84*Assumptions!M$499</f>
        <v>0</v>
      </c>
      <c r="DF84" s="659">
        <f>BR84*Assumptions!N$499</f>
        <v>0</v>
      </c>
      <c r="DG84" s="659">
        <f>BS84*Assumptions!O$499</f>
        <v>0</v>
      </c>
      <c r="DH84" s="659">
        <f>BT84*Assumptions!P$499</f>
        <v>0</v>
      </c>
      <c r="DI84" s="659">
        <f>BU84*Assumptions!Q$499</f>
        <v>0</v>
      </c>
      <c r="DJ84" s="659">
        <f>BV84*Assumptions!R$499</f>
        <v>0</v>
      </c>
      <c r="DK84" s="680">
        <f t="shared" si="222"/>
        <v>0</v>
      </c>
      <c r="DL84" s="680">
        <f t="shared" si="223"/>
        <v>0</v>
      </c>
      <c r="DM84" s="680">
        <f t="shared" si="224"/>
        <v>0</v>
      </c>
      <c r="DN84" s="680">
        <f t="shared" si="225"/>
        <v>0</v>
      </c>
      <c r="DO84" s="680">
        <f t="shared" si="226"/>
        <v>0</v>
      </c>
      <c r="DP84" s="680">
        <f t="shared" si="227"/>
        <v>0</v>
      </c>
      <c r="DQ84" s="680">
        <f t="shared" si="228"/>
        <v>0</v>
      </c>
      <c r="DR84" s="680">
        <f t="shared" si="229"/>
        <v>0</v>
      </c>
      <c r="DS84" s="680">
        <f t="shared" si="230"/>
        <v>0</v>
      </c>
      <c r="DT84" s="680">
        <f t="shared" si="231"/>
        <v>0</v>
      </c>
      <c r="DU84" s="680">
        <f t="shared" si="252"/>
        <v>0</v>
      </c>
      <c r="DV84" s="680">
        <f t="shared" si="253"/>
        <v>0</v>
      </c>
      <c r="DW84" s="680">
        <f t="shared" si="254"/>
        <v>0</v>
      </c>
      <c r="DX84" s="680">
        <f t="shared" si="255"/>
        <v>0</v>
      </c>
      <c r="DY84" s="680">
        <f t="shared" si="256"/>
        <v>0</v>
      </c>
      <c r="DZ84" s="678">
        <v>0</v>
      </c>
      <c r="EA84" s="661">
        <f t="shared" si="130"/>
        <v>1</v>
      </c>
      <c r="EB84" s="1861">
        <f>IFERROR(AVERAGE(CV84:DE84),"n/a")</f>
        <v>0</v>
      </c>
      <c r="EC84" s="1881"/>
      <c r="ED84" s="1877">
        <v>0</v>
      </c>
      <c r="EE84" s="684"/>
      <c r="EF84" s="684"/>
      <c r="EG84" s="684"/>
      <c r="EH84" s="684"/>
      <c r="EI84" s="665">
        <f t="shared" si="239"/>
        <v>0</v>
      </c>
      <c r="EJ84" s="665">
        <f t="shared" si="240"/>
        <v>0</v>
      </c>
      <c r="EK84" s="665">
        <f t="shared" si="241"/>
        <v>0</v>
      </c>
      <c r="EL84" s="665">
        <f t="shared" si="242"/>
        <v>0</v>
      </c>
      <c r="EM84" s="665">
        <f t="shared" si="243"/>
        <v>0</v>
      </c>
      <c r="EN84" s="665">
        <f t="shared" si="244"/>
        <v>0</v>
      </c>
      <c r="EO84" s="665">
        <f t="shared" si="245"/>
        <v>0</v>
      </c>
      <c r="EP84" s="665">
        <f t="shared" si="246"/>
        <v>0</v>
      </c>
      <c r="EQ84" s="665">
        <f t="shared" si="247"/>
        <v>0</v>
      </c>
      <c r="ER84" s="665">
        <f t="shared" si="248"/>
        <v>0</v>
      </c>
      <c r="ES84" s="665">
        <f t="shared" si="249"/>
        <v>0</v>
      </c>
      <c r="ET84" s="541">
        <f t="shared" si="133"/>
        <v>0</v>
      </c>
      <c r="EU84" s="1450" cm="1">
        <f t="array" ref="EU84">(BH84*SUMPRODUCT($S84:$X84,TRANSPOSE(Assumptions!D$281:D$286)))*0.001</f>
        <v>0</v>
      </c>
      <c r="EV84" s="1450" cm="1">
        <f t="array" ref="EV84">(BI84*SUMPRODUCT($S84:$X84,TRANSPOSE(Assumptions!E$281:E$286)))*0.001</f>
        <v>0</v>
      </c>
      <c r="EW84" s="1450" cm="1">
        <f t="array" ref="EW84">(BJ84*SUMPRODUCT($S84:$X84,TRANSPOSE(Assumptions!F$281:F$286)))*0.001</f>
        <v>0</v>
      </c>
      <c r="EX84" s="1450" cm="1">
        <f t="array" ref="EX84">(BK84*SUMPRODUCT($S84:$X84,TRANSPOSE(Assumptions!G$281:G$286)))*0.001</f>
        <v>0</v>
      </c>
      <c r="EY84" s="1450" cm="1">
        <f t="array" ref="EY84">(BL84*SUMPRODUCT($S84:$X84,TRANSPOSE(Assumptions!H$281:H$286)))*0.001</f>
        <v>0</v>
      </c>
      <c r="EZ84" s="1450" cm="1">
        <f t="array" ref="EZ84">(BM84*SUMPRODUCT($S84:$X84,TRANSPOSE(Assumptions!I$281:I$286)))*0.001</f>
        <v>0</v>
      </c>
      <c r="FA84" s="1450" cm="1">
        <f t="array" ref="FA84">(BN84*SUMPRODUCT($S84:$X84,TRANSPOSE(Assumptions!J$281:J$286)))*0.001</f>
        <v>0</v>
      </c>
      <c r="FB84" s="1450" cm="1">
        <f t="array" ref="FB84">(BO84*SUMPRODUCT($S84:$X84,TRANSPOSE(Assumptions!K$281:K$286)))*0.001</f>
        <v>0</v>
      </c>
      <c r="FC84" s="1450" cm="1">
        <f t="array" ref="FC84">(BP84*SUMPRODUCT($S84:$X84,TRANSPOSE(Assumptions!L$281:L$286)))*0.001</f>
        <v>0</v>
      </c>
      <c r="FD84" s="1450" cm="1">
        <f t="array" ref="FD84">(BQ84*SUMPRODUCT($S84:$X84,TRANSPOSE(Assumptions!M$281:M$286)))*0.001</f>
        <v>0</v>
      </c>
      <c r="FE84" s="1450" cm="1">
        <f t="array" ref="FE84">(BR84*SUMPRODUCT($S84:$X84,TRANSPOSE(Assumptions!N$281:N$286)))*0.001</f>
        <v>0</v>
      </c>
      <c r="FF84" s="1450" cm="1">
        <f t="array" ref="FF84">(BS84*SUMPRODUCT($S84:$X84,TRANSPOSE(Assumptions!O$281:O$286)))*0.001</f>
        <v>0</v>
      </c>
      <c r="FG84" s="1450" cm="1">
        <f t="array" ref="FG84">(BT84*SUMPRODUCT($S84:$X84,TRANSPOSE(Assumptions!P$281:P$286)))*0.001</f>
        <v>0</v>
      </c>
      <c r="FH84" s="1450" cm="1">
        <f t="array" ref="FH84">(BU84*SUMPRODUCT($S84:$X84,TRANSPOSE(Assumptions!Q$281:Q$286)))*0.001</f>
        <v>0</v>
      </c>
      <c r="FI84" s="1450" cm="1">
        <f t="array" ref="FI84">(BV84*SUMPRODUCT($S84:$X84,TRANSPOSE(Assumptions!R$281:R$286)))*0.001</f>
        <v>0</v>
      </c>
      <c r="FJ84" s="666">
        <f t="shared" si="207"/>
        <v>0</v>
      </c>
      <c r="FK84" s="666">
        <f t="shared" si="208"/>
        <v>0</v>
      </c>
      <c r="FL84" s="666">
        <f t="shared" si="209"/>
        <v>0</v>
      </c>
      <c r="FM84" s="666">
        <f t="shared" si="210"/>
        <v>0</v>
      </c>
      <c r="FN84" s="666">
        <f t="shared" si="211"/>
        <v>0</v>
      </c>
      <c r="FO84" s="666">
        <f t="shared" si="212"/>
        <v>0</v>
      </c>
      <c r="FP84" s="666">
        <f t="shared" si="213"/>
        <v>0</v>
      </c>
      <c r="FQ84" s="666">
        <f t="shared" si="214"/>
        <v>0</v>
      </c>
      <c r="FR84" s="666">
        <f t="shared" si="215"/>
        <v>0</v>
      </c>
      <c r="FS84" s="666">
        <f t="shared" si="216"/>
        <v>0</v>
      </c>
      <c r="FT84" s="666">
        <f t="shared" si="144"/>
        <v>0</v>
      </c>
      <c r="FU84" s="666">
        <f t="shared" si="145"/>
        <v>0</v>
      </c>
      <c r="FV84" s="666">
        <f t="shared" si="146"/>
        <v>0</v>
      </c>
      <c r="FW84" s="666">
        <f t="shared" si="147"/>
        <v>0</v>
      </c>
      <c r="FX84" s="1883">
        <f t="shared" si="148"/>
        <v>0</v>
      </c>
      <c r="FY84" s="1895"/>
      <c r="FZ84" s="1889"/>
      <c r="GA84" s="704"/>
      <c r="GB84" s="704"/>
      <c r="GC84" s="704"/>
      <c r="GD84" s="704"/>
      <c r="GE84" s="704"/>
      <c r="GF84" s="704"/>
      <c r="GG84" s="704"/>
      <c r="GH84" s="704"/>
      <c r="GI84" s="704"/>
      <c r="GJ84" s="704"/>
      <c r="GK84" s="704"/>
      <c r="GL84" s="704"/>
      <c r="GM84" s="704"/>
      <c r="GN84" s="1899"/>
      <c r="GO84" s="1910"/>
      <c r="GP84" s="1868">
        <f>BH84*INDEX(Assumptions!G$565:G$570,MATCH($B84,Assumptions!$B$565:$B$570,0))</f>
        <v>0</v>
      </c>
      <c r="GQ84" s="656">
        <f>BI84*INDEX(Assumptions!H$565:H$570,MATCH($B84,Assumptions!$B$565:$B$570,0))</f>
        <v>0</v>
      </c>
      <c r="GR84" s="656">
        <f>BJ84*INDEX(Assumptions!I$565:I$570,MATCH($B84,Assumptions!$B$565:$B$570,0))</f>
        <v>0</v>
      </c>
      <c r="GS84" s="656">
        <f>BK84*INDEX(Assumptions!J$565:J$570,MATCH($B84,Assumptions!$B$565:$B$570,0))</f>
        <v>0</v>
      </c>
      <c r="GT84" s="656">
        <f>BL84*INDEX(Assumptions!K$565:K$570,MATCH($B84,Assumptions!$B$565:$B$570,0))</f>
        <v>0</v>
      </c>
      <c r="GU84" s="656">
        <f>BM84*INDEX(Assumptions!L$565:L$570,MATCH($B84,Assumptions!$B$565:$B$570,0))</f>
        <v>0</v>
      </c>
      <c r="GV84" s="656">
        <f>BN84*INDEX(Assumptions!M$565:M$570,MATCH($B84,Assumptions!$B$565:$B$570,0))</f>
        <v>0</v>
      </c>
      <c r="GW84" s="656">
        <f>BO84*INDEX(Assumptions!N$565:N$570,MATCH($B84,Assumptions!$B$565:$B$570,0))</f>
        <v>0</v>
      </c>
      <c r="GX84" s="656">
        <f>BP84*INDEX(Assumptions!O$565:O$570,MATCH($B84,Assumptions!$B$565:$B$570,0))</f>
        <v>0</v>
      </c>
      <c r="GY84" s="656">
        <f>BQ84*INDEX(Assumptions!P$565:P$570,MATCH($B84,Assumptions!$B$565:$B$570,0))</f>
        <v>0</v>
      </c>
      <c r="GZ84" s="656">
        <f>BR84*INDEX(Assumptions!Q$565:Q$570,MATCH($B84,Assumptions!$B$565:$B$570,0))</f>
        <v>0</v>
      </c>
      <c r="HA84" s="656">
        <f>BS84*INDEX(Assumptions!R$565:R$570,MATCH($B84,Assumptions!$B$565:$B$570,0))</f>
        <v>0</v>
      </c>
      <c r="HB84" s="656">
        <f>BT84*INDEX(Assumptions!S$565:S$570,MATCH($B84,Assumptions!$B$565:$B$570,0))</f>
        <v>0</v>
      </c>
      <c r="HC84" s="656">
        <f>BU84*INDEX(Assumptions!T$565:T$570,MATCH($B84,Assumptions!$B$565:$B$570,0))</f>
        <v>0</v>
      </c>
      <c r="HD84" s="1922">
        <f>BV84*INDEX(Assumptions!U$565:U$570,MATCH($B84,Assumptions!$B$565:$B$570,0))</f>
        <v>0</v>
      </c>
      <c r="HE84" s="1933"/>
      <c r="HF84" s="1927"/>
      <c r="HG84" s="501"/>
      <c r="HH84" s="501"/>
      <c r="HI84" s="501"/>
      <c r="HJ84" s="501"/>
      <c r="HK84" s="501"/>
      <c r="HL84" s="501"/>
      <c r="HM84" s="501"/>
      <c r="HN84" s="501"/>
      <c r="HO84" s="501"/>
      <c r="HP84" s="501"/>
      <c r="HQ84" s="501"/>
      <c r="HR84" s="501"/>
      <c r="HS84" s="501"/>
      <c r="HT84" s="501"/>
      <c r="HU84" s="501"/>
      <c r="HV84" s="656"/>
      <c r="HW84" s="1922"/>
      <c r="HX84" s="1946"/>
      <c r="HY84" s="1943"/>
      <c r="HZ84" s="695"/>
      <c r="IA84" s="683"/>
      <c r="IB84" s="683"/>
      <c r="IC84" s="694"/>
      <c r="ID84" s="1376"/>
      <c r="IE84" s="1968"/>
      <c r="IF84" s="1963">
        <v>0</v>
      </c>
      <c r="IG84" s="538">
        <v>1</v>
      </c>
      <c r="IH84" s="538">
        <v>1</v>
      </c>
      <c r="II84" s="538">
        <v>1</v>
      </c>
      <c r="IJ84" s="538">
        <v>1</v>
      </c>
      <c r="IK84" s="1382">
        <v>1</v>
      </c>
      <c r="IL84" s="1383">
        <v>1</v>
      </c>
      <c r="IM84" s="1294" t="s">
        <v>858</v>
      </c>
    </row>
    <row r="85" spans="2:256" ht="13.5" customHeight="1" x14ac:dyDescent="0.3">
      <c r="B85" s="1703" t="s">
        <v>54</v>
      </c>
      <c r="C85" s="2113"/>
      <c r="D85" s="679" t="s">
        <v>861</v>
      </c>
      <c r="E85" s="1783" t="s">
        <v>862</v>
      </c>
      <c r="F85" s="1804"/>
      <c r="G85" s="1797"/>
      <c r="H85" s="70" t="s">
        <v>863</v>
      </c>
      <c r="I85" s="13"/>
      <c r="J85" s="696"/>
      <c r="K85" s="71" t="s">
        <v>564</v>
      </c>
      <c r="L85" s="1176" t="s">
        <v>719</v>
      </c>
      <c r="M85" s="1827"/>
      <c r="N85" s="1817"/>
      <c r="O85" s="1177"/>
      <c r="P85" s="1177"/>
      <c r="Q85" s="1177"/>
      <c r="R85" s="1178">
        <v>1</v>
      </c>
      <c r="S85" s="1445" cm="1">
        <f t="array" ref="S85:X85">TRANSPOSE(_xlfn.XLOOKUP(B85,Assumptions!$C$134:$I$134,Assumptions!$C$135:$I$140))</f>
        <v>0.75525651808242222</v>
      </c>
      <c r="T85" s="1445">
        <v>3.4763106251752177E-2</v>
      </c>
      <c r="U85" s="1445">
        <v>3.3641715727502097E-3</v>
      </c>
      <c r="V85" s="1445">
        <v>2.9436501261564336E-2</v>
      </c>
      <c r="W85" s="1445">
        <v>1.9624334174376225E-2</v>
      </c>
      <c r="X85" s="1445">
        <v>0.15755536865713485</v>
      </c>
      <c r="Y85" s="1183" cm="1">
        <f t="array" ref="Y85:AC85">TRANSPOSE(_xlfn.ANCHORARRAY(Assumptions!$E$698))</f>
        <v>6.6969983920146997E-2</v>
      </c>
      <c r="Z85" s="1183">
        <v>0.22051716973331675</v>
      </c>
      <c r="AA85" s="1183">
        <v>3.5302344810288558E-2</v>
      </c>
      <c r="AB85" s="1183">
        <v>0.4111989321192141</v>
      </c>
      <c r="AC85" s="1183">
        <v>0.26601156941703358</v>
      </c>
      <c r="AD85" s="1177"/>
      <c r="AE85" s="1177"/>
      <c r="AF85" s="1177"/>
      <c r="AG85" s="1177"/>
      <c r="AH85" s="1177"/>
      <c r="AI85" s="1177"/>
      <c r="AJ85" s="1177"/>
      <c r="AK85" s="1417">
        <f t="shared" si="176"/>
        <v>0</v>
      </c>
      <c r="AL85" s="1177"/>
      <c r="AM85" s="1177"/>
      <c r="AN85" s="1177"/>
      <c r="AO85" s="1221"/>
      <c r="AP85" s="1846"/>
      <c r="AQ85" s="1837">
        <f t="shared" si="250"/>
        <v>6.8000000000000007</v>
      </c>
      <c r="AR85" s="663"/>
      <c r="AS85" s="663"/>
      <c r="AT85" s="663"/>
      <c r="AU85" s="663"/>
      <c r="AV85" s="663"/>
      <c r="AW85" s="663"/>
      <c r="AX85" s="659">
        <f>_xlfn.XLOOKUP($D85,TalTech!$B$4:$B$46,TalTech!BD$4:BD$46)</f>
        <v>6.8000000000000007</v>
      </c>
      <c r="AY85" s="659">
        <f>_xlfn.XLOOKUP($D85,TalTech!$B$4:$B$46,TalTech!BE$4:BE$46)</f>
        <v>6.8000000000000007</v>
      </c>
      <c r="AZ85" s="659">
        <f>_xlfn.XLOOKUP($D85,TalTech!$B$4:$B$46,TalTech!BF$4:BF$46)</f>
        <v>6.8000000000000007</v>
      </c>
      <c r="BA85" s="659">
        <f>_xlfn.XLOOKUP($D85,TalTech!$B$4:$B$46,TalTech!BG$4:BG$46)</f>
        <v>6.8000000000000007</v>
      </c>
      <c r="BB85" s="663"/>
      <c r="BC85" s="663"/>
      <c r="BD85" s="663"/>
      <c r="BE85" s="663"/>
      <c r="BF85" s="663"/>
      <c r="BG85" s="501">
        <f t="shared" si="177"/>
        <v>6.8000000000000007</v>
      </c>
      <c r="BH85" s="893">
        <f t="shared" si="111"/>
        <v>0</v>
      </c>
      <c r="BI85" s="658">
        <f t="shared" si="112"/>
        <v>0</v>
      </c>
      <c r="BJ85" s="658">
        <f t="shared" si="113"/>
        <v>0</v>
      </c>
      <c r="BK85" s="658">
        <f t="shared" si="114"/>
        <v>0</v>
      </c>
      <c r="BL85" s="658">
        <f t="shared" si="115"/>
        <v>0</v>
      </c>
      <c r="BM85" s="658">
        <f t="shared" si="116"/>
        <v>0</v>
      </c>
      <c r="BN85" s="658">
        <f t="shared" si="117"/>
        <v>6.8000000000000007</v>
      </c>
      <c r="BO85" s="658">
        <f t="shared" si="118"/>
        <v>13.600000000000001</v>
      </c>
      <c r="BP85" s="658">
        <f t="shared" si="119"/>
        <v>20.400000000000002</v>
      </c>
      <c r="BQ85" s="658">
        <f t="shared" si="120"/>
        <v>27.200000000000003</v>
      </c>
      <c r="BR85" s="658">
        <f t="shared" si="121"/>
        <v>27.200000000000003</v>
      </c>
      <c r="BS85" s="658">
        <f t="shared" si="122"/>
        <v>27.200000000000003</v>
      </c>
      <c r="BT85" s="658">
        <f t="shared" si="123"/>
        <v>27.200000000000003</v>
      </c>
      <c r="BU85" s="658">
        <f t="shared" si="124"/>
        <v>27.200000000000003</v>
      </c>
      <c r="BV85" s="1851">
        <f t="shared" si="125"/>
        <v>27.200000000000003</v>
      </c>
      <c r="BW85" s="1661"/>
      <c r="BX85" s="1855"/>
      <c r="BY85" s="1192">
        <f t="shared" si="126"/>
        <v>406.70248239540086</v>
      </c>
      <c r="BZ85" s="663"/>
      <c r="CA85" s="663"/>
      <c r="CB85" s="663"/>
      <c r="CC85" s="663"/>
      <c r="CD85" s="663"/>
      <c r="CE85" s="663"/>
      <c r="CF85" s="675">
        <f>_xlfn.XLOOKUP($D85,TalTech!$B$4:$B$46,TalTech!BO$4:BO$46)</f>
        <v>2.7655768802887262</v>
      </c>
      <c r="CG85" s="675">
        <f>_xlfn.XLOOKUP($D85,TalTech!$B$4:$B$46,TalTech!BP$4:BP$46)</f>
        <v>2.7655768802887262</v>
      </c>
      <c r="CH85" s="675">
        <f>_xlfn.XLOOKUP($D85,TalTech!$B$4:$B$46,TalTech!BQ$4:BQ$46)</f>
        <v>2.7655768802887262</v>
      </c>
      <c r="CI85" s="675">
        <f>_xlfn.XLOOKUP($D85,TalTech!$B$4:$B$46,TalTech!BR$4:BR$46)</f>
        <v>2.7655768802887262</v>
      </c>
      <c r="CJ85" s="663"/>
      <c r="CK85" s="663"/>
      <c r="CL85" s="663"/>
      <c r="CM85" s="663"/>
      <c r="CN85" s="663"/>
      <c r="CO85" s="493">
        <f t="shared" si="178"/>
        <v>2.7655768802887262</v>
      </c>
      <c r="CP85" s="660">
        <f t="shared" si="127"/>
        <v>11.062307521154905</v>
      </c>
      <c r="CQ85" s="1193">
        <f>_xlfn.XLOOKUP($D85,TalTech!$B$4:$B$46,TalTech!$H$4:$H$46)</f>
        <v>0.4</v>
      </c>
      <c r="CR85" s="662">
        <f t="shared" si="128"/>
        <v>0.6</v>
      </c>
      <c r="CS85" s="685" t="str">
        <v>EU support + government</v>
      </c>
      <c r="CT85" s="1862">
        <f t="shared" si="218"/>
        <v>2.7655768802887262</v>
      </c>
      <c r="CU85" s="1872"/>
      <c r="CV85" s="1865">
        <f>BH85*Assumptions!D$499</f>
        <v>0</v>
      </c>
      <c r="CW85" s="659">
        <f>BI85*Assumptions!E$499</f>
        <v>0</v>
      </c>
      <c r="CX85" s="659">
        <f>BJ85*Assumptions!F$499</f>
        <v>0</v>
      </c>
      <c r="CY85" s="659">
        <f>BK85*Assumptions!G$499</f>
        <v>0</v>
      </c>
      <c r="CZ85" s="659">
        <f>BL85*Assumptions!H$499</f>
        <v>0</v>
      </c>
      <c r="DA85" s="659">
        <f>BM85*Assumptions!I$499</f>
        <v>0</v>
      </c>
      <c r="DB85" s="659">
        <f>BN85*Assumptions!J$499</f>
        <v>0.71957355645783927</v>
      </c>
      <c r="DC85" s="659">
        <f>BO85*Assumptions!K$499</f>
        <v>1.4671285758501986</v>
      </c>
      <c r="DD85" s="659">
        <f>BP85*Assumptions!L$499</f>
        <v>2.2439242240091311</v>
      </c>
      <c r="DE85" s="659">
        <f>BQ85*Assumptions!M$499</f>
        <v>3.0512700333999732</v>
      </c>
      <c r="DF85" s="659">
        <f>BR85*Assumptions!N$499</f>
        <v>3.1124222334960718</v>
      </c>
      <c r="DG85" s="659">
        <f>BS85*Assumptions!O$499</f>
        <v>3.175408999595053</v>
      </c>
      <c r="DH85" s="659">
        <f>BT85*Assumptions!P$499</f>
        <v>3.2402853686770037</v>
      </c>
      <c r="DI85" s="659">
        <f>BU85*Assumptions!Q$499</f>
        <v>3.3071080288314136</v>
      </c>
      <c r="DJ85" s="659">
        <f>BV85*Assumptions!R$499</f>
        <v>3.3759353687904556</v>
      </c>
      <c r="DK85" s="680">
        <f t="shared" si="222"/>
        <v>0</v>
      </c>
      <c r="DL85" s="680">
        <f t="shared" si="223"/>
        <v>0</v>
      </c>
      <c r="DM85" s="680">
        <f t="shared" si="224"/>
        <v>0</v>
      </c>
      <c r="DN85" s="680">
        <f t="shared" si="225"/>
        <v>0</v>
      </c>
      <c r="DO85" s="680">
        <f t="shared" si="226"/>
        <v>0</v>
      </c>
      <c r="DP85" s="680">
        <f t="shared" si="227"/>
        <v>0</v>
      </c>
      <c r="DQ85" s="680">
        <f t="shared" si="228"/>
        <v>0.71957355645783927</v>
      </c>
      <c r="DR85" s="680">
        <f t="shared" si="229"/>
        <v>1.4671285758501986</v>
      </c>
      <c r="DS85" s="680">
        <f t="shared" si="230"/>
        <v>2.2439242240091311</v>
      </c>
      <c r="DT85" s="680">
        <f t="shared" si="231"/>
        <v>3.0512700333999732</v>
      </c>
      <c r="DU85" s="680">
        <f t="shared" si="252"/>
        <v>3.1124222334960718</v>
      </c>
      <c r="DV85" s="680">
        <f t="shared" si="253"/>
        <v>3.175408999595053</v>
      </c>
      <c r="DW85" s="680">
        <f t="shared" si="254"/>
        <v>3.2402853686770037</v>
      </c>
      <c r="DX85" s="680">
        <f t="shared" si="255"/>
        <v>3.3071080288314136</v>
      </c>
      <c r="DY85" s="680">
        <f t="shared" si="256"/>
        <v>3.3759353687904556</v>
      </c>
      <c r="DZ85" s="678">
        <v>0</v>
      </c>
      <c r="EA85" s="661">
        <f t="shared" si="130"/>
        <v>1</v>
      </c>
      <c r="EB85" s="1861">
        <f>IFERROR(AVERAGE(CV85:DE85),"n/a")</f>
        <v>0.7481896389717142</v>
      </c>
      <c r="EC85" s="1881"/>
      <c r="ED85" s="1877">
        <v>0</v>
      </c>
      <c r="EE85" s="684"/>
      <c r="EF85" s="684"/>
      <c r="EG85" s="684"/>
      <c r="EH85" s="684"/>
      <c r="EI85" s="665">
        <f t="shared" si="239"/>
        <v>0</v>
      </c>
      <c r="EJ85" s="665">
        <f t="shared" si="240"/>
        <v>0</v>
      </c>
      <c r="EK85" s="665">
        <f t="shared" si="241"/>
        <v>0.53099076101543541</v>
      </c>
      <c r="EL85" s="665">
        <f t="shared" si="242"/>
        <v>0.53099076101543541</v>
      </c>
      <c r="EM85" s="665">
        <f t="shared" si="243"/>
        <v>0.53099076101543541</v>
      </c>
      <c r="EN85" s="665">
        <f t="shared" si="244"/>
        <v>0.53099076101543541</v>
      </c>
      <c r="EO85" s="665">
        <f t="shared" si="245"/>
        <v>0</v>
      </c>
      <c r="EP85" s="665">
        <f t="shared" si="246"/>
        <v>0</v>
      </c>
      <c r="EQ85" s="665">
        <f t="shared" si="247"/>
        <v>0</v>
      </c>
      <c r="ER85" s="665">
        <f t="shared" si="248"/>
        <v>0</v>
      </c>
      <c r="ES85" s="665">
        <f t="shared" si="249"/>
        <v>0</v>
      </c>
      <c r="ET85" s="541">
        <f t="shared" si="133"/>
        <v>0.19308754946015833</v>
      </c>
      <c r="EU85" s="1450" cm="1">
        <f t="array" ref="EU85">(BH85*SUMPRODUCT($S85:$X85,TRANSPOSE(Assumptions!D$281:D$286)))*0.001</f>
        <v>0</v>
      </c>
      <c r="EV85" s="1450" cm="1">
        <f t="array" ref="EV85">(BI85*SUMPRODUCT($S85:$X85,TRANSPOSE(Assumptions!E$281:E$286)))*0.001</f>
        <v>0</v>
      </c>
      <c r="EW85" s="1450" cm="1">
        <f t="array" ref="EW85">(BJ85*SUMPRODUCT($S85:$X85,TRANSPOSE(Assumptions!F$281:F$286)))*0.001</f>
        <v>0</v>
      </c>
      <c r="EX85" s="1450" cm="1">
        <f t="array" ref="EX85">(BK85*SUMPRODUCT($S85:$X85,TRANSPOSE(Assumptions!G$281:G$286)))*0.001</f>
        <v>0</v>
      </c>
      <c r="EY85" s="1450" cm="1">
        <f t="array" ref="EY85">(BL85*SUMPRODUCT($S85:$X85,TRANSPOSE(Assumptions!H$281:H$286)))*0.001</f>
        <v>0</v>
      </c>
      <c r="EZ85" s="1450" cm="1">
        <f t="array" ref="EZ85">(BM85*SUMPRODUCT($S85:$X85,TRANSPOSE(Assumptions!I$281:I$286)))*0.001</f>
        <v>0</v>
      </c>
      <c r="FA85" s="1450" cm="1">
        <f t="array" ref="FA85">(BN85*SUMPRODUCT($S85:$X85,TRANSPOSE(Assumptions!J$281:J$286)))*0.001</f>
        <v>0.25321584088250632</v>
      </c>
      <c r="FB85" s="1450" cm="1">
        <f t="array" ref="FB85">(BO85*SUMPRODUCT($S85:$X85,TRANSPOSE(Assumptions!K$281:K$286)))*0.001</f>
        <v>0.50643168176501263</v>
      </c>
      <c r="FC85" s="1450" cm="1">
        <f t="array" ref="FC85">(BP85*SUMPRODUCT($S85:$X85,TRANSPOSE(Assumptions!L$281:L$286)))*0.001</f>
        <v>0.75964752264751889</v>
      </c>
      <c r="FD85" s="1450" cm="1">
        <f t="array" ref="FD85">(BQ85*SUMPRODUCT($S85:$X85,TRANSPOSE(Assumptions!M$281:M$286)))*0.001</f>
        <v>1.0128633635300253</v>
      </c>
      <c r="FE85" s="1450" cm="1">
        <f t="array" ref="FE85">(BR85*SUMPRODUCT($S85:$X85,TRANSPOSE(Assumptions!N$281:N$286)))*0.001</f>
        <v>1.0128633635300253</v>
      </c>
      <c r="FF85" s="1450" cm="1">
        <f t="array" ref="FF85">(BS85*SUMPRODUCT($S85:$X85,TRANSPOSE(Assumptions!O$281:O$286)))*0.001</f>
        <v>1.0128633635300253</v>
      </c>
      <c r="FG85" s="1450" cm="1">
        <f t="array" ref="FG85">(BT85*SUMPRODUCT($S85:$X85,TRANSPOSE(Assumptions!P$281:P$286)))*0.001</f>
        <v>1.0128633635300253</v>
      </c>
      <c r="FH85" s="1450" cm="1">
        <f t="array" ref="FH85">(BU85*SUMPRODUCT($S85:$X85,TRANSPOSE(Assumptions!Q$281:Q$286)))*0.001</f>
        <v>1.0128633635300253</v>
      </c>
      <c r="FI85" s="1450" cm="1">
        <f t="array" ref="FI85">(BV85*SUMPRODUCT($S85:$X85,TRANSPOSE(Assumptions!R$281:R$286)))*0.001</f>
        <v>1.0128633635300253</v>
      </c>
      <c r="FJ85" s="666">
        <f t="shared" si="207"/>
        <v>0</v>
      </c>
      <c r="FK85" s="666">
        <f t="shared" si="208"/>
        <v>0</v>
      </c>
      <c r="FL85" s="666">
        <f t="shared" si="209"/>
        <v>0</v>
      </c>
      <c r="FM85" s="666">
        <f t="shared" si="210"/>
        <v>0</v>
      </c>
      <c r="FN85" s="666">
        <f t="shared" si="211"/>
        <v>0</v>
      </c>
      <c r="FO85" s="666">
        <f t="shared" si="212"/>
        <v>0</v>
      </c>
      <c r="FP85" s="666">
        <f t="shared" si="213"/>
        <v>0.27777492013292909</v>
      </c>
      <c r="FQ85" s="666">
        <f t="shared" si="214"/>
        <v>2.4559079250422777E-2</v>
      </c>
      <c r="FR85" s="666">
        <f t="shared" si="215"/>
        <v>-0.22865676163208348</v>
      </c>
      <c r="FS85" s="666">
        <f t="shared" si="216"/>
        <v>-0.48187260251458985</v>
      </c>
      <c r="FT85" s="666">
        <f t="shared" si="144"/>
        <v>-1.0128633635300253</v>
      </c>
      <c r="FU85" s="666">
        <f t="shared" si="145"/>
        <v>-1.0128633635300253</v>
      </c>
      <c r="FV85" s="666">
        <f t="shared" si="146"/>
        <v>-1.0128633635300253</v>
      </c>
      <c r="FW85" s="666">
        <f t="shared" si="147"/>
        <v>-1.0128633635300253</v>
      </c>
      <c r="FX85" s="1883">
        <f t="shared" si="148"/>
        <v>-1.0128633635300253</v>
      </c>
      <c r="FY85" s="1895"/>
      <c r="FZ85" s="1889"/>
      <c r="GA85" s="704"/>
      <c r="GB85" s="704"/>
      <c r="GC85" s="704"/>
      <c r="GD85" s="704"/>
      <c r="GE85" s="704"/>
      <c r="GF85" s="704"/>
      <c r="GG85" s="704"/>
      <c r="GH85" s="704"/>
      <c r="GI85" s="704"/>
      <c r="GJ85" s="704"/>
      <c r="GK85" s="704"/>
      <c r="GL85" s="704"/>
      <c r="GM85" s="704"/>
      <c r="GN85" s="1899"/>
      <c r="GO85" s="1910"/>
      <c r="GP85" s="1868">
        <f>BH85*INDEX(Assumptions!G$565:G$570,MATCH($B85,Assumptions!$B$565:$B$570,0))</f>
        <v>0</v>
      </c>
      <c r="GQ85" s="656">
        <f>BI85*INDEX(Assumptions!H$565:H$570,MATCH($B85,Assumptions!$B$565:$B$570,0))</f>
        <v>0</v>
      </c>
      <c r="GR85" s="656">
        <f>BJ85*INDEX(Assumptions!I$565:I$570,MATCH($B85,Assumptions!$B$565:$B$570,0))</f>
        <v>0</v>
      </c>
      <c r="GS85" s="656">
        <f>BK85*INDEX(Assumptions!J$565:J$570,MATCH($B85,Assumptions!$B$565:$B$570,0))</f>
        <v>0</v>
      </c>
      <c r="GT85" s="656">
        <f>BL85*INDEX(Assumptions!K$565:K$570,MATCH($B85,Assumptions!$B$565:$B$570,0))</f>
        <v>0</v>
      </c>
      <c r="GU85" s="656">
        <f>BM85*INDEX(Assumptions!L$565:L$570,MATCH($B85,Assumptions!$B$565:$B$570,0))</f>
        <v>0</v>
      </c>
      <c r="GV85" s="656">
        <f>BN85*INDEX(Assumptions!M$565:M$570,MATCH($B85,Assumptions!$B$565:$B$570,0))</f>
        <v>2.1928412946283515</v>
      </c>
      <c r="GW85" s="656">
        <f>BO85*INDEX(Assumptions!N$565:N$570,MATCH($B85,Assumptions!$B$565:$B$570,0))</f>
        <v>4.3149717398033811</v>
      </c>
      <c r="GX85" s="656">
        <f>BP85*INDEX(Assumptions!O$565:O$570,MATCH($B85,Assumptions!$B$565:$B$570,0))</f>
        <v>6.366391335525087</v>
      </c>
      <c r="GY85" s="656">
        <f>BQ85*INDEX(Assumptions!P$565:P$570,MATCH($B85,Assumptions!$B$565:$B$570,0))</f>
        <v>8.2056783828868287</v>
      </c>
      <c r="GZ85" s="656">
        <f>BR85*INDEX(Assumptions!Q$565:Q$570,MATCH($B85,Assumptions!$B$565:$B$570,0))</f>
        <v>6.0629253691497951</v>
      </c>
      <c r="HA85" s="656">
        <f>BS85*INDEX(Assumptions!R$565:R$570,MATCH($B85,Assumptions!$B$565:$B$570,0))</f>
        <v>9.6198953719532714</v>
      </c>
      <c r="HB85" s="656">
        <f>BT85*INDEX(Assumptions!S$565:S$570,MATCH($B85,Assumptions!$B$565:$B$570,0))</f>
        <v>9.6198953719532714</v>
      </c>
      <c r="HC85" s="656">
        <f>BU85*INDEX(Assumptions!T$565:T$570,MATCH($B85,Assumptions!$B$565:$B$570,0))</f>
        <v>9.4784736730466275</v>
      </c>
      <c r="HD85" s="1922">
        <f>BV85*INDEX(Assumptions!U$565:U$570,MATCH($B85,Assumptions!$B$565:$B$570,0))</f>
        <v>9.3370519741399836</v>
      </c>
      <c r="HE85" s="1933"/>
      <c r="HF85" s="1927"/>
      <c r="HG85" s="501"/>
      <c r="HH85" s="501"/>
      <c r="HI85" s="501"/>
      <c r="HJ85" s="501"/>
      <c r="HK85" s="501"/>
      <c r="HL85" s="501"/>
      <c r="HM85" s="501"/>
      <c r="HN85" s="501"/>
      <c r="HO85" s="501"/>
      <c r="HP85" s="501"/>
      <c r="HQ85" s="501"/>
      <c r="HR85" s="501"/>
      <c r="HS85" s="501"/>
      <c r="HT85" s="501"/>
      <c r="HU85" s="501"/>
      <c r="HV85" s="656"/>
      <c r="HW85" s="1922"/>
      <c r="HX85" s="1946"/>
      <c r="HY85" s="1943"/>
      <c r="HZ85" s="695"/>
      <c r="IA85" s="682" t="s">
        <v>726</v>
      </c>
      <c r="IB85" s="683" t="s">
        <v>637</v>
      </c>
      <c r="IC85" s="694"/>
      <c r="ID85" s="1376"/>
      <c r="IE85" s="1968"/>
      <c r="IF85" s="1963">
        <v>0</v>
      </c>
      <c r="IG85" s="538">
        <v>1</v>
      </c>
      <c r="IH85" s="538">
        <v>1</v>
      </c>
      <c r="II85" s="538">
        <v>1</v>
      </c>
      <c r="IJ85" s="538">
        <v>1</v>
      </c>
      <c r="IK85" s="1281">
        <v>1</v>
      </c>
      <c r="IL85" s="1284">
        <v>1</v>
      </c>
      <c r="IM85" s="1278" t="s">
        <v>862</v>
      </c>
    </row>
    <row r="86" spans="2:256" ht="13.5" customHeight="1" thickBot="1" x14ac:dyDescent="0.35">
      <c r="B86" s="1703" t="s">
        <v>470</v>
      </c>
      <c r="C86" s="671" t="s">
        <v>470</v>
      </c>
      <c r="D86" s="679" t="s">
        <v>864</v>
      </c>
      <c r="E86" s="71" t="s">
        <v>865</v>
      </c>
      <c r="F86" s="1800"/>
      <c r="G86" s="1797"/>
      <c r="H86" s="70"/>
      <c r="I86" s="13"/>
      <c r="J86" s="696"/>
      <c r="K86" s="71"/>
      <c r="L86" s="1176" t="s">
        <v>719</v>
      </c>
      <c r="M86" s="1827"/>
      <c r="N86" s="1818">
        <f>Assumptions!$C$133</f>
        <v>0.15185814422852076</v>
      </c>
      <c r="O86" s="1178">
        <f>Assumptions!$D$133</f>
        <v>0.33446675526470854</v>
      </c>
      <c r="P86" s="1178">
        <f>Assumptions!$E$133</f>
        <v>0.17149527776605353</v>
      </c>
      <c r="Q86" s="1178">
        <f>Assumptions!$F$133</f>
        <v>0.31081271243871134</v>
      </c>
      <c r="R86" s="1178">
        <f>Assumptions!$G$133</f>
        <v>3.1367110302005889E-2</v>
      </c>
      <c r="S86" s="1445" cm="1">
        <f t="array" ref="S86:X86">TRANSPOSE(_xlfn.XLOOKUP(B86,Assumptions!$C$134:$I$134,Assumptions!$C$135:$I$140))</f>
        <v>0.31835925931701969</v>
      </c>
      <c r="T86" s="1445">
        <v>4.3737487496855368E-2</v>
      </c>
      <c r="U86" s="1445">
        <v>6.0009347149655263E-4</v>
      </c>
      <c r="V86" s="1445">
        <v>2.7972546216228675E-2</v>
      </c>
      <c r="W86" s="1445">
        <v>0.36967313442998079</v>
      </c>
      <c r="X86" s="1445">
        <v>0.23965747906841889</v>
      </c>
      <c r="Y86" s="1190" cm="1">
        <f t="array" ref="Y86:AC86">(_xlfn.ANCHORARRAY($Y$19)*N86)+(_xlfn.ANCHORARRAY($Y$11)*O86)+(P86*_xlfn.ANCHORARRAY($Y$12))+(Q86*_xlfn.ANCHORARRAY($Y$21))+(_xlfn.ANCHORARRAY($Y$26)*R86)</f>
        <v>0.47402537058444644</v>
      </c>
      <c r="Z86" s="1190">
        <v>0.10159112739973016</v>
      </c>
      <c r="AA86" s="1190">
        <v>8.8955962189664159E-2</v>
      </c>
      <c r="AB86" s="1190">
        <v>0.23670812903259181</v>
      </c>
      <c r="AC86" s="1190">
        <v>9.8719410793567455E-2</v>
      </c>
      <c r="AD86" s="1182">
        <f>Assumptions!E$667*O86</f>
        <v>0.14446491151085153</v>
      </c>
      <c r="AE86" s="1180">
        <f>Assumptions!F$667*O86</f>
        <v>4.3058465731093684E-3</v>
      </c>
      <c r="AF86" s="1181">
        <f>Assumptions!G$667*O86</f>
        <v>0.18569599718074761</v>
      </c>
      <c r="AG86" s="1177"/>
      <c r="AH86" s="1177"/>
      <c r="AI86" s="1177"/>
      <c r="AJ86" s="1177"/>
      <c r="AK86" s="1417">
        <f t="shared" si="176"/>
        <v>0</v>
      </c>
      <c r="AL86" s="1177"/>
      <c r="AM86" s="1177"/>
      <c r="AN86" s="1177"/>
      <c r="AO86" s="1221"/>
      <c r="AP86" s="1846"/>
      <c r="AQ86" s="1845"/>
      <c r="AR86" s="698"/>
      <c r="AS86" s="698"/>
      <c r="AT86" s="698"/>
      <c r="AU86" s="698"/>
      <c r="AV86" s="698"/>
      <c r="AW86" s="698"/>
      <c r="AX86" s="698"/>
      <c r="AY86" s="698"/>
      <c r="AZ86" s="698"/>
      <c r="BA86" s="698"/>
      <c r="BB86" s="698"/>
      <c r="BC86" s="698"/>
      <c r="BD86" s="698"/>
      <c r="BE86" s="698"/>
      <c r="BF86" s="698"/>
      <c r="BG86" s="501">
        <f t="shared" si="177"/>
        <v>0</v>
      </c>
      <c r="BH86" s="893">
        <f t="shared" si="111"/>
        <v>0</v>
      </c>
      <c r="BI86" s="658">
        <f t="shared" si="112"/>
        <v>0</v>
      </c>
      <c r="BJ86" s="658">
        <f t="shared" si="113"/>
        <v>0</v>
      </c>
      <c r="BK86" s="658">
        <f t="shared" si="114"/>
        <v>0</v>
      </c>
      <c r="BL86" s="658">
        <f t="shared" si="115"/>
        <v>0</v>
      </c>
      <c r="BM86" s="658">
        <f t="shared" si="116"/>
        <v>0</v>
      </c>
      <c r="BN86" s="658">
        <f t="shared" si="117"/>
        <v>0</v>
      </c>
      <c r="BO86" s="658">
        <f t="shared" si="118"/>
        <v>0</v>
      </c>
      <c r="BP86" s="658">
        <f t="shared" si="119"/>
        <v>0</v>
      </c>
      <c r="BQ86" s="658">
        <f t="shared" si="120"/>
        <v>0</v>
      </c>
      <c r="BR86" s="658">
        <f t="shared" si="121"/>
        <v>0</v>
      </c>
      <c r="BS86" s="658">
        <f t="shared" si="122"/>
        <v>0</v>
      </c>
      <c r="BT86" s="658">
        <f t="shared" si="123"/>
        <v>0</v>
      </c>
      <c r="BU86" s="658">
        <f t="shared" si="124"/>
        <v>0</v>
      </c>
      <c r="BV86" s="1851">
        <f t="shared" si="125"/>
        <v>0</v>
      </c>
      <c r="BW86" s="1661"/>
      <c r="BX86" s="1859"/>
      <c r="BY86" s="1192" t="str">
        <f t="shared" si="126"/>
        <v/>
      </c>
      <c r="BZ86" s="676"/>
      <c r="CA86" s="676"/>
      <c r="CB86" s="676"/>
      <c r="CC86" s="676"/>
      <c r="CD86" s="677"/>
      <c r="CE86" s="677"/>
      <c r="CF86" s="677"/>
      <c r="CG86" s="677"/>
      <c r="CH86" s="677"/>
      <c r="CI86" s="677"/>
      <c r="CJ86" s="677"/>
      <c r="CK86" s="677"/>
      <c r="CL86" s="677"/>
      <c r="CM86" s="677"/>
      <c r="CN86" s="677"/>
      <c r="CO86" s="493">
        <f t="shared" si="178"/>
        <v>0</v>
      </c>
      <c r="CP86" s="660">
        <f t="shared" si="127"/>
        <v>0</v>
      </c>
      <c r="CQ86" s="1193"/>
      <c r="CR86" s="662">
        <f t="shared" si="128"/>
        <v>1</v>
      </c>
      <c r="CS86" s="685" t="str">
        <v/>
      </c>
      <c r="CT86" s="1862" t="str">
        <f t="shared" si="218"/>
        <v>n/a</v>
      </c>
      <c r="CU86" s="1872"/>
      <c r="CV86" s="1868">
        <f>BH86*Assumptions!D$500</f>
        <v>0</v>
      </c>
      <c r="CW86" s="656">
        <f>BI86*Assumptions!E$500</f>
        <v>0</v>
      </c>
      <c r="CX86" s="656">
        <f>BJ86*Assumptions!F$500</f>
        <v>0</v>
      </c>
      <c r="CY86" s="656">
        <f>BK86*Assumptions!G$500</f>
        <v>0</v>
      </c>
      <c r="CZ86" s="656">
        <f>BL86*Assumptions!H$500</f>
        <v>0</v>
      </c>
      <c r="DA86" s="656">
        <f>BM86*Assumptions!I$500</f>
        <v>0</v>
      </c>
      <c r="DB86" s="656">
        <f>BN86*Assumptions!J$500</f>
        <v>0</v>
      </c>
      <c r="DC86" s="656">
        <f>BO86*Assumptions!K$500</f>
        <v>0</v>
      </c>
      <c r="DD86" s="656">
        <f>BP86*Assumptions!L$500</f>
        <v>0</v>
      </c>
      <c r="DE86" s="656">
        <f>BQ86*Assumptions!M$500</f>
        <v>0</v>
      </c>
      <c r="DF86" s="656">
        <f>BR86*Assumptions!N$500</f>
        <v>0</v>
      </c>
      <c r="DG86" s="656">
        <f>BS86*Assumptions!O$500</f>
        <v>0</v>
      </c>
      <c r="DH86" s="656">
        <f>BT86*Assumptions!P$500</f>
        <v>0</v>
      </c>
      <c r="DI86" s="656">
        <f>BU86*Assumptions!Q$500</f>
        <v>0</v>
      </c>
      <c r="DJ86" s="656">
        <f>BV86*Assumptions!R$500</f>
        <v>0</v>
      </c>
      <c r="DK86" s="659">
        <f>BH86*Assumptions!D$507</f>
        <v>0</v>
      </c>
      <c r="DL86" s="659">
        <f>BI86*Assumptions!E$507</f>
        <v>0</v>
      </c>
      <c r="DM86" s="659">
        <f>BJ86*Assumptions!F$507</f>
        <v>0</v>
      </c>
      <c r="DN86" s="659">
        <f>BK86*Assumptions!G$507</f>
        <v>0</v>
      </c>
      <c r="DO86" s="659">
        <f>BL86*Assumptions!H$507</f>
        <v>0</v>
      </c>
      <c r="DP86" s="659">
        <f>BM86*Assumptions!I$507</f>
        <v>0</v>
      </c>
      <c r="DQ86" s="659">
        <f>BN86*Assumptions!J$507</f>
        <v>0</v>
      </c>
      <c r="DR86" s="659">
        <f>BO86*Assumptions!K$507</f>
        <v>0</v>
      </c>
      <c r="DS86" s="659">
        <f>BP86*Assumptions!L$507</f>
        <v>0</v>
      </c>
      <c r="DT86" s="659">
        <f>BQ86*Assumptions!M$507</f>
        <v>0</v>
      </c>
      <c r="DU86" s="659">
        <f>BR86*Assumptions!N$507</f>
        <v>0</v>
      </c>
      <c r="DV86" s="659">
        <f>BS86*Assumptions!O$507</f>
        <v>0</v>
      </c>
      <c r="DW86" s="659">
        <f>BT86*Assumptions!P$507</f>
        <v>0</v>
      </c>
      <c r="DX86" s="659">
        <f>BU86*Assumptions!Q$507</f>
        <v>0</v>
      </c>
      <c r="DY86" s="659">
        <f>BV86*Assumptions!R$507</f>
        <v>0</v>
      </c>
      <c r="DZ86" s="678">
        <v>0</v>
      </c>
      <c r="EA86" s="661">
        <f t="shared" si="130"/>
        <v>1</v>
      </c>
      <c r="EB86" s="1861">
        <f>IFERROR(AVERAGE(CV86:DE86),"n/a")</f>
        <v>0</v>
      </c>
      <c r="EC86" s="1881"/>
      <c r="ED86" s="1877">
        <v>0</v>
      </c>
      <c r="EE86" s="684"/>
      <c r="EF86" s="684"/>
      <c r="EG86" s="684"/>
      <c r="EH86" s="684"/>
      <c r="EI86" s="665">
        <f t="shared" si="239"/>
        <v>0</v>
      </c>
      <c r="EJ86" s="665">
        <f t="shared" si="240"/>
        <v>0</v>
      </c>
      <c r="EK86" s="665">
        <f t="shared" si="241"/>
        <v>0</v>
      </c>
      <c r="EL86" s="665">
        <f t="shared" si="242"/>
        <v>0</v>
      </c>
      <c r="EM86" s="665">
        <f t="shared" si="243"/>
        <v>0</v>
      </c>
      <c r="EN86" s="665">
        <f t="shared" si="244"/>
        <v>0</v>
      </c>
      <c r="EO86" s="665">
        <f t="shared" si="245"/>
        <v>0</v>
      </c>
      <c r="EP86" s="665">
        <f t="shared" si="246"/>
        <v>0</v>
      </c>
      <c r="EQ86" s="665">
        <f t="shared" si="247"/>
        <v>0</v>
      </c>
      <c r="ER86" s="665">
        <f t="shared" si="248"/>
        <v>0</v>
      </c>
      <c r="ES86" s="665">
        <f t="shared" si="249"/>
        <v>0</v>
      </c>
      <c r="ET86" s="541">
        <f t="shared" si="133"/>
        <v>0</v>
      </c>
      <c r="EU86" s="1450" cm="1">
        <f t="array" ref="EU86">(BH86*SUMPRODUCT($S86:$X86,TRANSPOSE(Assumptions!D$281:D$286)))*0.001</f>
        <v>0</v>
      </c>
      <c r="EV86" s="1450" cm="1">
        <f t="array" ref="EV86">(BI86*SUMPRODUCT($S86:$X86,TRANSPOSE(Assumptions!E$281:E$286)))*0.001</f>
        <v>0</v>
      </c>
      <c r="EW86" s="1450" cm="1">
        <f t="array" ref="EW86">(BJ86*SUMPRODUCT($S86:$X86,TRANSPOSE(Assumptions!F$281:F$286)))*0.001</f>
        <v>0</v>
      </c>
      <c r="EX86" s="1450" cm="1">
        <f t="array" ref="EX86">(BK86*SUMPRODUCT($S86:$X86,TRANSPOSE(Assumptions!G$281:G$286)))*0.001</f>
        <v>0</v>
      </c>
      <c r="EY86" s="1450" cm="1">
        <f t="array" ref="EY86">(BL86*SUMPRODUCT($S86:$X86,TRANSPOSE(Assumptions!H$281:H$286)))*0.001</f>
        <v>0</v>
      </c>
      <c r="EZ86" s="1450" cm="1">
        <f t="array" ref="EZ86">(BM86*SUMPRODUCT($S86:$X86,TRANSPOSE(Assumptions!I$281:I$286)))*0.001</f>
        <v>0</v>
      </c>
      <c r="FA86" s="1450" cm="1">
        <f t="array" ref="FA86">(BN86*SUMPRODUCT($S86:$X86,TRANSPOSE(Assumptions!J$281:J$286)))*0.001</f>
        <v>0</v>
      </c>
      <c r="FB86" s="1450" cm="1">
        <f t="array" ref="FB86">(BO86*SUMPRODUCT($S86:$X86,TRANSPOSE(Assumptions!K$281:K$286)))*0.001</f>
        <v>0</v>
      </c>
      <c r="FC86" s="1450" cm="1">
        <f t="array" ref="FC86">(BP86*SUMPRODUCT($S86:$X86,TRANSPOSE(Assumptions!L$281:L$286)))*0.001</f>
        <v>0</v>
      </c>
      <c r="FD86" s="1450" cm="1">
        <f t="array" ref="FD86">(BQ86*SUMPRODUCT($S86:$X86,TRANSPOSE(Assumptions!M$281:M$286)))*0.001</f>
        <v>0</v>
      </c>
      <c r="FE86" s="1450" cm="1">
        <f t="array" ref="FE86">(BR86*SUMPRODUCT($S86:$X86,TRANSPOSE(Assumptions!N$281:N$286)))*0.001</f>
        <v>0</v>
      </c>
      <c r="FF86" s="1450" cm="1">
        <f t="array" ref="FF86">(BS86*SUMPRODUCT($S86:$X86,TRANSPOSE(Assumptions!O$281:O$286)))*0.001</f>
        <v>0</v>
      </c>
      <c r="FG86" s="1450" cm="1">
        <f t="array" ref="FG86">(BT86*SUMPRODUCT($S86:$X86,TRANSPOSE(Assumptions!P$281:P$286)))*0.001</f>
        <v>0</v>
      </c>
      <c r="FH86" s="1450" cm="1">
        <f t="array" ref="FH86">(BU86*SUMPRODUCT($S86:$X86,TRANSPOSE(Assumptions!Q$281:Q$286)))*0.001</f>
        <v>0</v>
      </c>
      <c r="FI86" s="1450" cm="1">
        <f t="array" ref="FI86">(BV86*SUMPRODUCT($S86:$X86,TRANSPOSE(Assumptions!R$281:R$286)))*0.001</f>
        <v>0</v>
      </c>
      <c r="FJ86" s="666">
        <f t="shared" si="207"/>
        <v>0</v>
      </c>
      <c r="FK86" s="666">
        <f t="shared" si="208"/>
        <v>0</v>
      </c>
      <c r="FL86" s="666">
        <f t="shared" si="209"/>
        <v>0</v>
      </c>
      <c r="FM86" s="666">
        <f t="shared" si="210"/>
        <v>0</v>
      </c>
      <c r="FN86" s="666">
        <f t="shared" si="211"/>
        <v>0</v>
      </c>
      <c r="FO86" s="666">
        <f t="shared" si="212"/>
        <v>0</v>
      </c>
      <c r="FP86" s="666">
        <f t="shared" si="213"/>
        <v>0</v>
      </c>
      <c r="FQ86" s="666">
        <f t="shared" si="214"/>
        <v>0</v>
      </c>
      <c r="FR86" s="666">
        <f t="shared" si="215"/>
        <v>0</v>
      </c>
      <c r="FS86" s="666">
        <f t="shared" si="216"/>
        <v>0</v>
      </c>
      <c r="FT86" s="666">
        <f t="shared" si="144"/>
        <v>0</v>
      </c>
      <c r="FU86" s="666">
        <f t="shared" si="145"/>
        <v>0</v>
      </c>
      <c r="FV86" s="666">
        <f t="shared" si="146"/>
        <v>0</v>
      </c>
      <c r="FW86" s="666">
        <f t="shared" si="147"/>
        <v>0</v>
      </c>
      <c r="FX86" s="1883">
        <f t="shared" si="148"/>
        <v>0</v>
      </c>
      <c r="FY86" s="1895"/>
      <c r="FZ86" s="1889"/>
      <c r="GA86" s="704"/>
      <c r="GB86" s="704"/>
      <c r="GC86" s="704"/>
      <c r="GD86" s="704"/>
      <c r="GE86" s="704"/>
      <c r="GF86" s="704"/>
      <c r="GG86" s="704"/>
      <c r="GH86" s="704"/>
      <c r="GI86" s="704"/>
      <c r="GJ86" s="704"/>
      <c r="GK86" s="704"/>
      <c r="GL86" s="704"/>
      <c r="GM86" s="704"/>
      <c r="GN86" s="1899"/>
      <c r="GO86" s="1910"/>
      <c r="GP86" s="1868">
        <f>BH86*INDEX(Assumptions!G$565:G$570,MATCH($B86,Assumptions!$B$565:$B$570,0))</f>
        <v>0</v>
      </c>
      <c r="GQ86" s="656">
        <f>BI86*INDEX(Assumptions!H$565:H$570,MATCH($B86,Assumptions!$B$565:$B$570,0))</f>
        <v>0</v>
      </c>
      <c r="GR86" s="656">
        <f>BJ86*INDEX(Assumptions!I$565:I$570,MATCH($B86,Assumptions!$B$565:$B$570,0))</f>
        <v>0</v>
      </c>
      <c r="GS86" s="656">
        <f>BK86*INDEX(Assumptions!J$565:J$570,MATCH($B86,Assumptions!$B$565:$B$570,0))</f>
        <v>0</v>
      </c>
      <c r="GT86" s="656">
        <f>BL86*INDEX(Assumptions!K$565:K$570,MATCH($B86,Assumptions!$B$565:$B$570,0))</f>
        <v>0</v>
      </c>
      <c r="GU86" s="656">
        <f>BM86*INDEX(Assumptions!L$565:L$570,MATCH($B86,Assumptions!$B$565:$B$570,0))</f>
        <v>0</v>
      </c>
      <c r="GV86" s="656">
        <f>BN86*INDEX(Assumptions!M$565:M$570,MATCH($B86,Assumptions!$B$565:$B$570,0))</f>
        <v>0</v>
      </c>
      <c r="GW86" s="656">
        <f>BO86*INDEX(Assumptions!N$565:N$570,MATCH($B86,Assumptions!$B$565:$B$570,0))</f>
        <v>0</v>
      </c>
      <c r="GX86" s="656">
        <f>BP86*INDEX(Assumptions!O$565:O$570,MATCH($B86,Assumptions!$B$565:$B$570,0))</f>
        <v>0</v>
      </c>
      <c r="GY86" s="656">
        <f>BQ86*INDEX(Assumptions!P$565:P$570,MATCH($B86,Assumptions!$B$565:$B$570,0))</f>
        <v>0</v>
      </c>
      <c r="GZ86" s="656">
        <f>BR86*INDEX(Assumptions!Q$565:Q$570,MATCH($B86,Assumptions!$B$565:$B$570,0))</f>
        <v>0</v>
      </c>
      <c r="HA86" s="656">
        <f>BS86*INDEX(Assumptions!R$565:R$570,MATCH($B86,Assumptions!$B$565:$B$570,0))</f>
        <v>0</v>
      </c>
      <c r="HB86" s="656">
        <f>BT86*INDEX(Assumptions!S$565:S$570,MATCH($B86,Assumptions!$B$565:$B$570,0))</f>
        <v>0</v>
      </c>
      <c r="HC86" s="656">
        <f>BU86*INDEX(Assumptions!T$565:T$570,MATCH($B86,Assumptions!$B$565:$B$570,0))</f>
        <v>0</v>
      </c>
      <c r="HD86" s="1922">
        <f>BV86*INDEX(Assumptions!U$565:U$570,MATCH($B86,Assumptions!$B$565:$B$570,0))</f>
        <v>0</v>
      </c>
      <c r="HE86" s="1933"/>
      <c r="HF86" s="1927"/>
      <c r="HG86" s="501"/>
      <c r="HH86" s="501"/>
      <c r="HI86" s="501"/>
      <c r="HJ86" s="501"/>
      <c r="HK86" s="501"/>
      <c r="HL86" s="501"/>
      <c r="HM86" s="501"/>
      <c r="HN86" s="501"/>
      <c r="HO86" s="501"/>
      <c r="HP86" s="501"/>
      <c r="HQ86" s="501"/>
      <c r="HR86" s="501"/>
      <c r="HS86" s="501"/>
      <c r="HT86" s="501"/>
      <c r="HU86" s="501"/>
      <c r="HV86" s="656"/>
      <c r="HW86" s="1922"/>
      <c r="HX86" s="1946"/>
      <c r="HY86" s="1943"/>
      <c r="HZ86" s="695"/>
      <c r="IA86" s="683"/>
      <c r="IB86" s="683"/>
      <c r="IC86" s="694"/>
      <c r="ID86" s="1376"/>
      <c r="IE86" s="1968"/>
      <c r="IF86" s="1963">
        <v>0</v>
      </c>
      <c r="IG86" s="538">
        <v>1</v>
      </c>
      <c r="IH86" s="538">
        <v>1</v>
      </c>
      <c r="II86" s="538">
        <v>1</v>
      </c>
      <c r="IJ86" s="538">
        <v>1</v>
      </c>
      <c r="IK86" s="1281">
        <v>1</v>
      </c>
      <c r="IL86" s="1285">
        <v>1</v>
      </c>
      <c r="IM86" s="1292" t="s">
        <v>865</v>
      </c>
    </row>
    <row r="87" spans="2:256" x14ac:dyDescent="0.3">
      <c r="I87" s="1210"/>
      <c r="ID87"/>
      <c r="IE87"/>
      <c r="IH87" s="534"/>
      <c r="II87" s="534"/>
      <c r="IJ87" s="534"/>
      <c r="IK87" s="534"/>
      <c r="IL87" s="534"/>
    </row>
    <row r="88" spans="2:256" x14ac:dyDescent="0.3">
      <c r="E88" s="1586" t="s">
        <v>866</v>
      </c>
      <c r="F88" s="1586"/>
      <c r="I88" s="1210"/>
      <c r="ID88"/>
      <c r="IE88"/>
      <c r="IH88" s="534"/>
      <c r="II88" s="534"/>
      <c r="IJ88" s="534"/>
      <c r="IK88" s="534"/>
      <c r="IL88" s="534"/>
    </row>
    <row r="89" spans="2:256" ht="12" customHeight="1" x14ac:dyDescent="0.3">
      <c r="E89" s="699" t="s">
        <v>867</v>
      </c>
      <c r="F89" s="699"/>
      <c r="ID89"/>
      <c r="IE89"/>
      <c r="IH89" s="534"/>
      <c r="II89" s="534"/>
      <c r="IJ89" s="534"/>
      <c r="IK89" s="534"/>
      <c r="IL89" s="534"/>
    </row>
    <row r="90" spans="2:256" ht="12" customHeight="1" x14ac:dyDescent="0.3">
      <c r="E90" s="701" t="s">
        <v>868</v>
      </c>
      <c r="F90" s="701"/>
      <c r="ID90"/>
      <c r="IE90"/>
      <c r="IH90" s="534"/>
      <c r="II90" s="534"/>
      <c r="IJ90" s="534"/>
      <c r="IK90" s="534"/>
      <c r="IL90" s="534"/>
    </row>
    <row r="91" spans="2:256" x14ac:dyDescent="0.3">
      <c r="E91" s="1211" t="s">
        <v>869</v>
      </c>
      <c r="F91" s="1211"/>
      <c r="ID91"/>
      <c r="IE91"/>
      <c r="IH91" s="534"/>
      <c r="II91" s="534"/>
      <c r="IJ91" s="534"/>
      <c r="IK91" s="534"/>
      <c r="IL91" s="534"/>
    </row>
    <row r="92" spans="2:256" ht="12" customHeight="1" x14ac:dyDescent="0.3">
      <c r="E92" s="1212" t="s">
        <v>870</v>
      </c>
      <c r="F92" s="1212"/>
      <c r="ID92"/>
      <c r="IE92"/>
      <c r="IH92" s="534"/>
      <c r="II92" s="534"/>
      <c r="IJ92" s="534"/>
      <c r="IK92" s="534"/>
      <c r="IL92" s="534"/>
    </row>
    <row r="93" spans="2:256" x14ac:dyDescent="0.3">
      <c r="ID93"/>
      <c r="IE93"/>
      <c r="IH93" s="534"/>
      <c r="II93" s="534"/>
      <c r="IJ93" s="534"/>
      <c r="IK93" s="534"/>
      <c r="IL93" s="534"/>
    </row>
    <row r="94" spans="2:256" x14ac:dyDescent="0.3">
      <c r="ID94"/>
      <c r="IE94"/>
    </row>
    <row r="95" spans="2:256" ht="12" customHeight="1" x14ac:dyDescent="0.3">
      <c r="E95" t="s">
        <v>871</v>
      </c>
      <c r="F95"/>
      <c r="ID95"/>
      <c r="IE95"/>
    </row>
    <row r="96" spans="2:256" x14ac:dyDescent="0.3">
      <c r="E96"/>
      <c r="F96"/>
      <c r="ID96"/>
      <c r="IE96"/>
    </row>
    <row r="97" spans="3:239" ht="12" customHeight="1" x14ac:dyDescent="0.3">
      <c r="E97"/>
      <c r="F97"/>
      <c r="ID97"/>
      <c r="IE97"/>
    </row>
    <row r="98" spans="3:239" x14ac:dyDescent="0.3">
      <c r="E98"/>
      <c r="F98"/>
      <c r="ID98"/>
      <c r="IE98"/>
    </row>
    <row r="99" spans="3:239" ht="12" customHeight="1" x14ac:dyDescent="0.3">
      <c r="C99" s="688"/>
      <c r="ID99"/>
      <c r="IE99"/>
    </row>
    <row r="100" spans="3:239" x14ac:dyDescent="0.3">
      <c r="ID100"/>
      <c r="IE100"/>
    </row>
    <row r="101" spans="3:239" ht="12" customHeight="1" x14ac:dyDescent="0.3">
      <c r="ID101"/>
      <c r="IE101"/>
    </row>
    <row r="102" spans="3:239" hidden="1" x14ac:dyDescent="0.3">
      <c r="ID102"/>
      <c r="IE102"/>
    </row>
    <row r="103" spans="3:239" ht="12" hidden="1" customHeight="1" x14ac:dyDescent="0.3">
      <c r="ID103"/>
      <c r="IE103"/>
    </row>
    <row r="104" spans="3:239" hidden="1" x14ac:dyDescent="0.3">
      <c r="ID104"/>
      <c r="IE104"/>
    </row>
    <row r="105" spans="3:239" ht="12" hidden="1" customHeight="1" x14ac:dyDescent="0.3">
      <c r="ID105"/>
      <c r="IE105"/>
    </row>
    <row r="106" spans="3:239" hidden="1" x14ac:dyDescent="0.3">
      <c r="ID106"/>
      <c r="IE106"/>
    </row>
    <row r="107" spans="3:239" ht="12" hidden="1" customHeight="1" x14ac:dyDescent="0.3">
      <c r="ID107"/>
      <c r="IE107"/>
    </row>
    <row r="108" spans="3:239" hidden="1" x14ac:dyDescent="0.3">
      <c r="ID108"/>
      <c r="IE108"/>
    </row>
    <row r="109" spans="3:239" ht="12" hidden="1" customHeight="1" x14ac:dyDescent="0.3">
      <c r="ID109"/>
      <c r="IE109"/>
    </row>
    <row r="110" spans="3:239" hidden="1" x14ac:dyDescent="0.3">
      <c r="ID110"/>
      <c r="IE110"/>
    </row>
    <row r="111" spans="3:239" ht="12" hidden="1" customHeight="1" x14ac:dyDescent="0.3">
      <c r="ID111"/>
      <c r="IE111"/>
    </row>
    <row r="112" spans="3:239" hidden="1" x14ac:dyDescent="0.3">
      <c r="ID112"/>
      <c r="IE112"/>
    </row>
    <row r="113" spans="238:239" ht="12" hidden="1" customHeight="1" x14ac:dyDescent="0.3">
      <c r="ID113"/>
      <c r="IE113"/>
    </row>
    <row r="114" spans="238:239" hidden="1" x14ac:dyDescent="0.3">
      <c r="ID114"/>
      <c r="IE114"/>
    </row>
    <row r="115" spans="238:239" ht="12" hidden="1" customHeight="1" x14ac:dyDescent="0.3">
      <c r="ID115"/>
      <c r="IE115"/>
    </row>
    <row r="116" spans="238:239" hidden="1" x14ac:dyDescent="0.3">
      <c r="ID116"/>
      <c r="IE116"/>
    </row>
    <row r="117" spans="238:239" ht="12" hidden="1" customHeight="1" x14ac:dyDescent="0.3">
      <c r="ID117"/>
      <c r="IE117"/>
    </row>
    <row r="118" spans="238:239" hidden="1" x14ac:dyDescent="0.3">
      <c r="ID118"/>
      <c r="IE118"/>
    </row>
    <row r="119" spans="238:239" ht="12" hidden="1" customHeight="1" x14ac:dyDescent="0.3">
      <c r="ID119"/>
      <c r="IE119"/>
    </row>
    <row r="120" spans="238:239" hidden="1" x14ac:dyDescent="0.3">
      <c r="ID120"/>
      <c r="IE120"/>
    </row>
    <row r="121" spans="238:239" ht="12" hidden="1" customHeight="1" x14ac:dyDescent="0.3">
      <c r="ID121"/>
      <c r="IE121"/>
    </row>
    <row r="122" spans="238:239" hidden="1" x14ac:dyDescent="0.3">
      <c r="ID122"/>
      <c r="IE122"/>
    </row>
    <row r="123" spans="238:239" ht="12" hidden="1" customHeight="1" x14ac:dyDescent="0.3">
      <c r="ID123"/>
      <c r="IE123"/>
    </row>
    <row r="124" spans="238:239" hidden="1" x14ac:dyDescent="0.3">
      <c r="ID124"/>
      <c r="IE124"/>
    </row>
    <row r="125" spans="238:239" ht="12" hidden="1" customHeight="1" x14ac:dyDescent="0.3">
      <c r="ID125"/>
      <c r="IE125"/>
    </row>
    <row r="126" spans="238:239" hidden="1" x14ac:dyDescent="0.3">
      <c r="ID126"/>
      <c r="IE126"/>
    </row>
    <row r="127" spans="238:239" ht="12" hidden="1" customHeight="1" x14ac:dyDescent="0.3">
      <c r="ID127"/>
      <c r="IE127"/>
    </row>
    <row r="128" spans="238:239" hidden="1" x14ac:dyDescent="0.3">
      <c r="ID128"/>
      <c r="IE128"/>
    </row>
    <row r="129" spans="238:239" ht="12" hidden="1" customHeight="1" x14ac:dyDescent="0.3">
      <c r="ID129"/>
      <c r="IE129"/>
    </row>
    <row r="130" spans="238:239" hidden="1" x14ac:dyDescent="0.3">
      <c r="ID130"/>
      <c r="IE130"/>
    </row>
    <row r="131" spans="238:239" ht="12" hidden="1" customHeight="1" x14ac:dyDescent="0.3">
      <c r="ID131"/>
      <c r="IE131"/>
    </row>
    <row r="132" spans="238:239" hidden="1" x14ac:dyDescent="0.3">
      <c r="ID132"/>
      <c r="IE132"/>
    </row>
    <row r="133" spans="238:239" ht="12" hidden="1" customHeight="1" x14ac:dyDescent="0.3">
      <c r="ID133"/>
      <c r="IE133"/>
    </row>
    <row r="134" spans="238:239" hidden="1" x14ac:dyDescent="0.3">
      <c r="ID134"/>
      <c r="IE134"/>
    </row>
    <row r="135" spans="238:239" ht="12" hidden="1" customHeight="1" x14ac:dyDescent="0.3">
      <c r="ID135"/>
      <c r="IE135"/>
    </row>
    <row r="136" spans="238:239" hidden="1" x14ac:dyDescent="0.3">
      <c r="ID136"/>
      <c r="IE136"/>
    </row>
    <row r="137" spans="238:239" ht="12" hidden="1" customHeight="1" x14ac:dyDescent="0.3">
      <c r="ID137"/>
      <c r="IE137"/>
    </row>
    <row r="138" spans="238:239" hidden="1" x14ac:dyDescent="0.3">
      <c r="ID138"/>
      <c r="IE138"/>
    </row>
    <row r="139" spans="238:239" ht="12" hidden="1" customHeight="1" x14ac:dyDescent="0.3">
      <c r="ID139"/>
      <c r="IE139"/>
    </row>
    <row r="140" spans="238:239" hidden="1" x14ac:dyDescent="0.3">
      <c r="ID140"/>
      <c r="IE140"/>
    </row>
    <row r="141" spans="238:239" ht="12" hidden="1" customHeight="1" x14ac:dyDescent="0.3">
      <c r="ID141"/>
      <c r="IE141"/>
    </row>
    <row r="142" spans="238:239" hidden="1" x14ac:dyDescent="0.3">
      <c r="ID142"/>
      <c r="IE142"/>
    </row>
    <row r="143" spans="238:239" ht="12" hidden="1" customHeight="1" x14ac:dyDescent="0.3">
      <c r="ID143"/>
      <c r="IE143"/>
    </row>
    <row r="144" spans="238:239" hidden="1" x14ac:dyDescent="0.3">
      <c r="ID144"/>
      <c r="IE144"/>
    </row>
    <row r="145" spans="238:239" ht="12" hidden="1" customHeight="1" x14ac:dyDescent="0.3">
      <c r="ID145"/>
      <c r="IE145"/>
    </row>
    <row r="146" spans="238:239" hidden="1" x14ac:dyDescent="0.3">
      <c r="ID146"/>
      <c r="IE146"/>
    </row>
    <row r="147" spans="238:239" ht="12" hidden="1" customHeight="1" x14ac:dyDescent="0.3">
      <c r="ID147"/>
      <c r="IE147"/>
    </row>
    <row r="148" spans="238:239" hidden="1" x14ac:dyDescent="0.3">
      <c r="ID148"/>
      <c r="IE148"/>
    </row>
    <row r="149" spans="238:239" ht="12" hidden="1" customHeight="1" x14ac:dyDescent="0.3">
      <c r="ID149"/>
      <c r="IE149"/>
    </row>
    <row r="150" spans="238:239" hidden="1" x14ac:dyDescent="0.3">
      <c r="ID150"/>
      <c r="IE150"/>
    </row>
    <row r="151" spans="238:239" ht="12" hidden="1" customHeight="1" x14ac:dyDescent="0.3">
      <c r="ID151"/>
      <c r="IE151"/>
    </row>
    <row r="152" spans="238:239" hidden="1" x14ac:dyDescent="0.3">
      <c r="ID152"/>
      <c r="IE152"/>
    </row>
    <row r="153" spans="238:239" ht="12" hidden="1" customHeight="1" x14ac:dyDescent="0.3">
      <c r="ID153"/>
      <c r="IE153"/>
    </row>
    <row r="154" spans="238:239" hidden="1" x14ac:dyDescent="0.3">
      <c r="ID154"/>
      <c r="IE154"/>
    </row>
    <row r="155" spans="238:239" ht="12" hidden="1" customHeight="1" x14ac:dyDescent="0.3">
      <c r="ID155"/>
      <c r="IE155"/>
    </row>
    <row r="156" spans="238:239" hidden="1" x14ac:dyDescent="0.3">
      <c r="ID156"/>
      <c r="IE156"/>
    </row>
    <row r="157" spans="238:239" ht="12" hidden="1" customHeight="1" x14ac:dyDescent="0.3">
      <c r="ID157"/>
      <c r="IE157"/>
    </row>
    <row r="158" spans="238:239" hidden="1" x14ac:dyDescent="0.3">
      <c r="ID158"/>
      <c r="IE158"/>
    </row>
    <row r="159" spans="238:239" ht="12" hidden="1" customHeight="1" x14ac:dyDescent="0.3">
      <c r="ID159"/>
      <c r="IE159"/>
    </row>
    <row r="160" spans="238:239" hidden="1" x14ac:dyDescent="0.3">
      <c r="ID160"/>
      <c r="IE160"/>
    </row>
    <row r="161" spans="238:239" ht="12" hidden="1" customHeight="1" x14ac:dyDescent="0.3">
      <c r="ID161"/>
      <c r="IE161"/>
    </row>
    <row r="162" spans="238:239" hidden="1" x14ac:dyDescent="0.3">
      <c r="ID162"/>
      <c r="IE162"/>
    </row>
    <row r="163" spans="238:239" ht="12" hidden="1" customHeight="1" x14ac:dyDescent="0.3">
      <c r="ID163"/>
      <c r="IE163"/>
    </row>
    <row r="164" spans="238:239" hidden="1" x14ac:dyDescent="0.3">
      <c r="ID164"/>
      <c r="IE164"/>
    </row>
    <row r="165" spans="238:239" ht="12" hidden="1" customHeight="1" x14ac:dyDescent="0.3">
      <c r="ID165"/>
      <c r="IE165"/>
    </row>
    <row r="166" spans="238:239" hidden="1" x14ac:dyDescent="0.3">
      <c r="ID166"/>
      <c r="IE166"/>
    </row>
    <row r="167" spans="238:239" ht="12" hidden="1" customHeight="1" x14ac:dyDescent="0.3">
      <c r="ID167"/>
      <c r="IE167"/>
    </row>
    <row r="168" spans="238:239" hidden="1" x14ac:dyDescent="0.3">
      <c r="ID168"/>
      <c r="IE168"/>
    </row>
    <row r="169" spans="238:239" ht="12" hidden="1" customHeight="1" x14ac:dyDescent="0.3">
      <c r="ID169"/>
      <c r="IE169"/>
    </row>
    <row r="170" spans="238:239" hidden="1" x14ac:dyDescent="0.3">
      <c r="ID170"/>
      <c r="IE170"/>
    </row>
    <row r="171" spans="238:239" ht="12" hidden="1" customHeight="1" x14ac:dyDescent="0.3">
      <c r="ID171"/>
      <c r="IE171"/>
    </row>
    <row r="172" spans="238:239" hidden="1" x14ac:dyDescent="0.3">
      <c r="ID172"/>
      <c r="IE172"/>
    </row>
    <row r="173" spans="238:239" ht="12" hidden="1" customHeight="1" x14ac:dyDescent="0.3">
      <c r="ID173"/>
      <c r="IE173"/>
    </row>
    <row r="174" spans="238:239" hidden="1" x14ac:dyDescent="0.3">
      <c r="ID174"/>
      <c r="IE174"/>
    </row>
    <row r="175" spans="238:239" ht="12" hidden="1" customHeight="1" x14ac:dyDescent="0.3">
      <c r="ID175"/>
      <c r="IE175"/>
    </row>
    <row r="176" spans="238:239" hidden="1" x14ac:dyDescent="0.3">
      <c r="ID176"/>
      <c r="IE176"/>
    </row>
    <row r="177" spans="238:239" ht="12" hidden="1" customHeight="1" x14ac:dyDescent="0.3">
      <c r="ID177"/>
      <c r="IE177"/>
    </row>
    <row r="178" spans="238:239" hidden="1" x14ac:dyDescent="0.3">
      <c r="ID178"/>
      <c r="IE178"/>
    </row>
    <row r="179" spans="238:239" ht="12" hidden="1" customHeight="1" x14ac:dyDescent="0.3">
      <c r="ID179"/>
      <c r="IE179"/>
    </row>
    <row r="180" spans="238:239" hidden="1" x14ac:dyDescent="0.3">
      <c r="ID180"/>
      <c r="IE180"/>
    </row>
    <row r="181" spans="238:239" ht="12" hidden="1" customHeight="1" x14ac:dyDescent="0.3">
      <c r="ID181"/>
      <c r="IE181"/>
    </row>
    <row r="182" spans="238:239" hidden="1" x14ac:dyDescent="0.3">
      <c r="ID182"/>
      <c r="IE182"/>
    </row>
    <row r="183" spans="238:239" ht="12" hidden="1" customHeight="1" x14ac:dyDescent="0.3">
      <c r="ID183"/>
      <c r="IE183"/>
    </row>
    <row r="184" spans="238:239" hidden="1" x14ac:dyDescent="0.3">
      <c r="ID184"/>
      <c r="IE184"/>
    </row>
    <row r="185" spans="238:239" ht="12" hidden="1" customHeight="1" x14ac:dyDescent="0.3">
      <c r="ID185"/>
      <c r="IE185"/>
    </row>
    <row r="186" spans="238:239" hidden="1" x14ac:dyDescent="0.3">
      <c r="ID186"/>
      <c r="IE186"/>
    </row>
    <row r="187" spans="238:239" ht="12" hidden="1" customHeight="1" x14ac:dyDescent="0.3">
      <c r="ID187"/>
      <c r="IE187"/>
    </row>
    <row r="188" spans="238:239" hidden="1" x14ac:dyDescent="0.3">
      <c r="ID188"/>
      <c r="IE188"/>
    </row>
    <row r="189" spans="238:239" ht="12" hidden="1" customHeight="1" x14ac:dyDescent="0.3">
      <c r="ID189"/>
      <c r="IE189"/>
    </row>
    <row r="190" spans="238:239" hidden="1" x14ac:dyDescent="0.3">
      <c r="ID190"/>
      <c r="IE190"/>
    </row>
    <row r="191" spans="238:239" ht="12" hidden="1" customHeight="1" x14ac:dyDescent="0.3">
      <c r="ID191"/>
      <c r="IE191"/>
    </row>
    <row r="192" spans="238:239" hidden="1" x14ac:dyDescent="0.3">
      <c r="ID192"/>
      <c r="IE192"/>
    </row>
    <row r="193" spans="238:239" ht="12" hidden="1" customHeight="1" x14ac:dyDescent="0.3">
      <c r="ID193"/>
      <c r="IE193"/>
    </row>
    <row r="194" spans="238:239" hidden="1" x14ac:dyDescent="0.3">
      <c r="ID194"/>
      <c r="IE194"/>
    </row>
    <row r="195" spans="238:239" ht="12" hidden="1" customHeight="1" x14ac:dyDescent="0.3">
      <c r="ID195"/>
      <c r="IE195"/>
    </row>
    <row r="196" spans="238:239" hidden="1" x14ac:dyDescent="0.3">
      <c r="ID196"/>
      <c r="IE196"/>
    </row>
    <row r="197" spans="238:239" ht="12" hidden="1" customHeight="1" x14ac:dyDescent="0.3">
      <c r="ID197"/>
      <c r="IE197"/>
    </row>
    <row r="198" spans="238:239" hidden="1" x14ac:dyDescent="0.3">
      <c r="ID198"/>
      <c r="IE198"/>
    </row>
    <row r="199" spans="238:239" ht="12" hidden="1" customHeight="1" x14ac:dyDescent="0.3">
      <c r="ID199"/>
      <c r="IE199"/>
    </row>
    <row r="200" spans="238:239" hidden="1" x14ac:dyDescent="0.3">
      <c r="ID200"/>
      <c r="IE200"/>
    </row>
    <row r="201" spans="238:239" ht="12" hidden="1" customHeight="1" x14ac:dyDescent="0.3">
      <c r="ID201"/>
      <c r="IE201"/>
    </row>
    <row r="202" spans="238:239" hidden="1" x14ac:dyDescent="0.3">
      <c r="ID202"/>
      <c r="IE202"/>
    </row>
    <row r="203" spans="238:239" ht="12" hidden="1" customHeight="1" x14ac:dyDescent="0.3">
      <c r="ID203"/>
      <c r="IE203"/>
    </row>
    <row r="204" spans="238:239" hidden="1" x14ac:dyDescent="0.3">
      <c r="ID204"/>
      <c r="IE204"/>
    </row>
    <row r="205" spans="238:239" ht="12" hidden="1" customHeight="1" x14ac:dyDescent="0.3">
      <c r="ID205"/>
      <c r="IE205"/>
    </row>
    <row r="206" spans="238:239" hidden="1" x14ac:dyDescent="0.3">
      <c r="ID206"/>
      <c r="IE206"/>
    </row>
    <row r="207" spans="238:239" ht="12" hidden="1" customHeight="1" x14ac:dyDescent="0.3">
      <c r="ID207"/>
      <c r="IE207"/>
    </row>
    <row r="208" spans="238:239" hidden="1" x14ac:dyDescent="0.3">
      <c r="ID208"/>
      <c r="IE208"/>
    </row>
    <row r="209" spans="238:239" ht="12" hidden="1" customHeight="1" x14ac:dyDescent="0.3">
      <c r="ID209"/>
      <c r="IE209"/>
    </row>
    <row r="210" spans="238:239" hidden="1" x14ac:dyDescent="0.3">
      <c r="ID210"/>
      <c r="IE210"/>
    </row>
    <row r="211" spans="238:239" ht="12" hidden="1" customHeight="1" x14ac:dyDescent="0.3">
      <c r="ID211"/>
      <c r="IE211"/>
    </row>
    <row r="212" spans="238:239" hidden="1" x14ac:dyDescent="0.3">
      <c r="ID212"/>
      <c r="IE212"/>
    </row>
    <row r="213" spans="238:239" ht="12" hidden="1" customHeight="1" x14ac:dyDescent="0.3">
      <c r="ID213"/>
      <c r="IE213"/>
    </row>
    <row r="214" spans="238:239" hidden="1" x14ac:dyDescent="0.3">
      <c r="ID214"/>
      <c r="IE214"/>
    </row>
    <row r="215" spans="238:239" ht="12" hidden="1" customHeight="1" x14ac:dyDescent="0.3">
      <c r="ID215"/>
      <c r="IE215"/>
    </row>
    <row r="216" spans="238:239" hidden="1" x14ac:dyDescent="0.3">
      <c r="ID216"/>
      <c r="IE216"/>
    </row>
    <row r="217" spans="238:239" ht="12" hidden="1" customHeight="1" x14ac:dyDescent="0.3">
      <c r="ID217"/>
      <c r="IE217"/>
    </row>
    <row r="218" spans="238:239" hidden="1" x14ac:dyDescent="0.3">
      <c r="ID218"/>
      <c r="IE218"/>
    </row>
    <row r="219" spans="238:239" ht="12" hidden="1" customHeight="1" x14ac:dyDescent="0.3">
      <c r="ID219"/>
      <c r="IE219"/>
    </row>
    <row r="220" spans="238:239" hidden="1" x14ac:dyDescent="0.3">
      <c r="ID220"/>
      <c r="IE220"/>
    </row>
    <row r="221" spans="238:239" ht="12" hidden="1" customHeight="1" x14ac:dyDescent="0.3">
      <c r="ID221"/>
      <c r="IE221"/>
    </row>
    <row r="222" spans="238:239" hidden="1" x14ac:dyDescent="0.3">
      <c r="ID222"/>
      <c r="IE222"/>
    </row>
    <row r="223" spans="238:239" ht="12" hidden="1" customHeight="1" x14ac:dyDescent="0.3">
      <c r="ID223"/>
      <c r="IE223"/>
    </row>
    <row r="224" spans="238:239" hidden="1" x14ac:dyDescent="0.3">
      <c r="ID224"/>
      <c r="IE224"/>
    </row>
    <row r="225" spans="238:239" ht="12" hidden="1" customHeight="1" x14ac:dyDescent="0.3">
      <c r="ID225"/>
      <c r="IE225"/>
    </row>
    <row r="226" spans="238:239" hidden="1" x14ac:dyDescent="0.3">
      <c r="ID226"/>
      <c r="IE226"/>
    </row>
    <row r="227" spans="238:239" ht="12" hidden="1" customHeight="1" x14ac:dyDescent="0.3">
      <c r="ID227"/>
      <c r="IE227"/>
    </row>
    <row r="228" spans="238:239" hidden="1" x14ac:dyDescent="0.3">
      <c r="ID228"/>
      <c r="IE228"/>
    </row>
    <row r="229" spans="238:239" ht="12" hidden="1" customHeight="1" x14ac:dyDescent="0.3">
      <c r="ID229"/>
      <c r="IE229"/>
    </row>
    <row r="230" spans="238:239" hidden="1" x14ac:dyDescent="0.3">
      <c r="ID230"/>
      <c r="IE230"/>
    </row>
    <row r="231" spans="238:239" ht="12" hidden="1" customHeight="1" x14ac:dyDescent="0.3">
      <c r="ID231"/>
      <c r="IE231"/>
    </row>
    <row r="232" spans="238:239" hidden="1" x14ac:dyDescent="0.3">
      <c r="ID232"/>
      <c r="IE232"/>
    </row>
    <row r="233" spans="238:239" ht="12" hidden="1" customHeight="1" x14ac:dyDescent="0.3">
      <c r="ID233"/>
      <c r="IE233"/>
    </row>
    <row r="234" spans="238:239" hidden="1" x14ac:dyDescent="0.3">
      <c r="ID234"/>
      <c r="IE234"/>
    </row>
    <row r="235" spans="238:239" ht="12" hidden="1" customHeight="1" x14ac:dyDescent="0.3">
      <c r="ID235"/>
      <c r="IE235"/>
    </row>
    <row r="236" spans="238:239" hidden="1" x14ac:dyDescent="0.3">
      <c r="ID236"/>
      <c r="IE236"/>
    </row>
    <row r="237" spans="238:239" ht="12" hidden="1" customHeight="1" x14ac:dyDescent="0.3">
      <c r="ID237"/>
      <c r="IE237"/>
    </row>
    <row r="238" spans="238:239" hidden="1" x14ac:dyDescent="0.3">
      <c r="ID238"/>
      <c r="IE238"/>
    </row>
    <row r="239" spans="238:239" ht="12" hidden="1" customHeight="1" x14ac:dyDescent="0.3">
      <c r="ID239"/>
      <c r="IE239"/>
    </row>
    <row r="240" spans="238:239" hidden="1" x14ac:dyDescent="0.3">
      <c r="ID240"/>
      <c r="IE240"/>
    </row>
    <row r="241" spans="238:239" ht="12" hidden="1" customHeight="1" x14ac:dyDescent="0.3">
      <c r="ID241"/>
      <c r="IE241"/>
    </row>
    <row r="242" spans="238:239" hidden="1" x14ac:dyDescent="0.3">
      <c r="ID242"/>
      <c r="IE242"/>
    </row>
    <row r="243" spans="238:239" ht="12" hidden="1" customHeight="1" x14ac:dyDescent="0.3">
      <c r="ID243"/>
      <c r="IE243"/>
    </row>
    <row r="244" spans="238:239" hidden="1" x14ac:dyDescent="0.3">
      <c r="ID244"/>
      <c r="IE244"/>
    </row>
    <row r="245" spans="238:239" ht="12" hidden="1" customHeight="1" x14ac:dyDescent="0.3">
      <c r="ID245"/>
      <c r="IE245"/>
    </row>
    <row r="246" spans="238:239" hidden="1" x14ac:dyDescent="0.3">
      <c r="ID246"/>
      <c r="IE246"/>
    </row>
    <row r="247" spans="238:239" ht="12" hidden="1" customHeight="1" x14ac:dyDescent="0.3">
      <c r="ID247"/>
      <c r="IE247"/>
    </row>
    <row r="248" spans="238:239" hidden="1" x14ac:dyDescent="0.3">
      <c r="ID248"/>
      <c r="IE248"/>
    </row>
    <row r="249" spans="238:239" ht="12" hidden="1" customHeight="1" x14ac:dyDescent="0.3">
      <c r="ID249"/>
      <c r="IE249"/>
    </row>
    <row r="250" spans="238:239" hidden="1" x14ac:dyDescent="0.3">
      <c r="ID250"/>
      <c r="IE250"/>
    </row>
    <row r="251" spans="238:239" ht="12" hidden="1" customHeight="1" x14ac:dyDescent="0.3">
      <c r="ID251"/>
      <c r="IE251"/>
    </row>
    <row r="252" spans="238:239" hidden="1" x14ac:dyDescent="0.3">
      <c r="ID252"/>
      <c r="IE252"/>
    </row>
    <row r="253" spans="238:239" ht="12" hidden="1" customHeight="1" x14ac:dyDescent="0.3">
      <c r="ID253"/>
      <c r="IE253"/>
    </row>
    <row r="254" spans="238:239" hidden="1" x14ac:dyDescent="0.3">
      <c r="ID254"/>
      <c r="IE254"/>
    </row>
    <row r="255" spans="238:239" ht="12" hidden="1" customHeight="1" x14ac:dyDescent="0.3">
      <c r="ID255"/>
      <c r="IE255"/>
    </row>
    <row r="256" spans="238:239" hidden="1" x14ac:dyDescent="0.3">
      <c r="ID256"/>
      <c r="IE256"/>
    </row>
    <row r="257" spans="238:239" ht="12" hidden="1" customHeight="1" x14ac:dyDescent="0.3">
      <c r="ID257"/>
      <c r="IE257"/>
    </row>
    <row r="258" spans="238:239" hidden="1" x14ac:dyDescent="0.3">
      <c r="ID258"/>
      <c r="IE258"/>
    </row>
    <row r="259" spans="238:239" ht="12" hidden="1" customHeight="1" x14ac:dyDescent="0.3">
      <c r="ID259"/>
      <c r="IE259"/>
    </row>
    <row r="260" spans="238:239" hidden="1" x14ac:dyDescent="0.3">
      <c r="ID260"/>
      <c r="IE260"/>
    </row>
    <row r="261" spans="238:239" ht="12" hidden="1" customHeight="1" x14ac:dyDescent="0.3">
      <c r="ID261"/>
      <c r="IE261"/>
    </row>
    <row r="262" spans="238:239" hidden="1" x14ac:dyDescent="0.3">
      <c r="ID262"/>
      <c r="IE262"/>
    </row>
    <row r="263" spans="238:239" ht="12" hidden="1" customHeight="1" x14ac:dyDescent="0.3">
      <c r="ID263"/>
      <c r="IE263"/>
    </row>
    <row r="264" spans="238:239" hidden="1" x14ac:dyDescent="0.3">
      <c r="ID264"/>
      <c r="IE264"/>
    </row>
    <row r="265" spans="238:239" ht="12" hidden="1" customHeight="1" x14ac:dyDescent="0.3">
      <c r="ID265"/>
      <c r="IE265"/>
    </row>
    <row r="266" spans="238:239" hidden="1" x14ac:dyDescent="0.3">
      <c r="ID266"/>
      <c r="IE266"/>
    </row>
    <row r="267" spans="238:239" ht="12" hidden="1" customHeight="1" x14ac:dyDescent="0.3">
      <c r="ID267"/>
      <c r="IE267"/>
    </row>
    <row r="268" spans="238:239" hidden="1" x14ac:dyDescent="0.3">
      <c r="ID268"/>
      <c r="IE268"/>
    </row>
    <row r="269" spans="238:239" ht="12" hidden="1" customHeight="1" x14ac:dyDescent="0.3">
      <c r="ID269"/>
      <c r="IE269"/>
    </row>
    <row r="270" spans="238:239" hidden="1" x14ac:dyDescent="0.3">
      <c r="ID270"/>
      <c r="IE270"/>
    </row>
    <row r="271" spans="238:239" ht="12" hidden="1" customHeight="1" x14ac:dyDescent="0.3">
      <c r="ID271"/>
      <c r="IE271"/>
    </row>
    <row r="272" spans="238:239" hidden="1" x14ac:dyDescent="0.3">
      <c r="ID272"/>
      <c r="IE272"/>
    </row>
    <row r="273" spans="238:239" ht="12" hidden="1" customHeight="1" x14ac:dyDescent="0.3">
      <c r="ID273"/>
      <c r="IE273"/>
    </row>
    <row r="274" spans="238:239" hidden="1" x14ac:dyDescent="0.3">
      <c r="ID274"/>
      <c r="IE274"/>
    </row>
    <row r="275" spans="238:239" ht="12" hidden="1" customHeight="1" x14ac:dyDescent="0.3">
      <c r="ID275"/>
      <c r="IE275"/>
    </row>
    <row r="276" spans="238:239" hidden="1" x14ac:dyDescent="0.3">
      <c r="ID276"/>
      <c r="IE276"/>
    </row>
    <row r="277" spans="238:239" ht="12" hidden="1" customHeight="1" x14ac:dyDescent="0.3">
      <c r="ID277"/>
      <c r="IE277"/>
    </row>
    <row r="278" spans="238:239" hidden="1" x14ac:dyDescent="0.3">
      <c r="ID278"/>
      <c r="IE278"/>
    </row>
    <row r="279" spans="238:239" ht="12" hidden="1" customHeight="1" x14ac:dyDescent="0.3">
      <c r="ID279"/>
      <c r="IE279"/>
    </row>
    <row r="280" spans="238:239" hidden="1" x14ac:dyDescent="0.3">
      <c r="ID280"/>
      <c r="IE280"/>
    </row>
    <row r="281" spans="238:239" ht="12" hidden="1" customHeight="1" x14ac:dyDescent="0.3">
      <c r="ID281"/>
      <c r="IE281"/>
    </row>
    <row r="282" spans="238:239" hidden="1" x14ac:dyDescent="0.3">
      <c r="ID282"/>
      <c r="IE282"/>
    </row>
    <row r="283" spans="238:239" ht="12" hidden="1" customHeight="1" x14ac:dyDescent="0.3">
      <c r="ID283"/>
      <c r="IE283"/>
    </row>
    <row r="284" spans="238:239" hidden="1" x14ac:dyDescent="0.3">
      <c r="ID284"/>
      <c r="IE284"/>
    </row>
    <row r="285" spans="238:239" ht="12" hidden="1" customHeight="1" x14ac:dyDescent="0.3">
      <c r="ID285"/>
      <c r="IE285"/>
    </row>
    <row r="286" spans="238:239" hidden="1" x14ac:dyDescent="0.3">
      <c r="ID286"/>
      <c r="IE286"/>
    </row>
    <row r="287" spans="238:239" ht="12" hidden="1" customHeight="1" x14ac:dyDescent="0.3">
      <c r="ID287"/>
      <c r="IE287"/>
    </row>
    <row r="288" spans="238:239" hidden="1" x14ac:dyDescent="0.3">
      <c r="ID288"/>
      <c r="IE288"/>
    </row>
    <row r="289" spans="238:239" ht="12" hidden="1" customHeight="1" x14ac:dyDescent="0.3">
      <c r="ID289"/>
      <c r="IE289"/>
    </row>
    <row r="290" spans="238:239" hidden="1" x14ac:dyDescent="0.3">
      <c r="ID290"/>
      <c r="IE290"/>
    </row>
    <row r="291" spans="238:239" ht="12" hidden="1" customHeight="1" x14ac:dyDescent="0.3">
      <c r="ID291"/>
      <c r="IE291"/>
    </row>
  </sheetData>
  <mergeCells count="60">
    <mergeCell ref="C64:C78"/>
    <mergeCell ref="C58:C63"/>
    <mergeCell ref="C50:C57"/>
    <mergeCell ref="AP4:AP6"/>
    <mergeCell ref="C42:C49"/>
    <mergeCell ref="J5:J6"/>
    <mergeCell ref="C28:C40"/>
    <mergeCell ref="C26:C27"/>
    <mergeCell ref="C21:C25"/>
    <mergeCell ref="AH5:AI5"/>
    <mergeCell ref="AJ5:AN5"/>
    <mergeCell ref="C84:C85"/>
    <mergeCell ref="AD5:AG5"/>
    <mergeCell ref="C8:C11"/>
    <mergeCell ref="L5:L6"/>
    <mergeCell ref="C5:C6"/>
    <mergeCell ref="E5:E6"/>
    <mergeCell ref="G5:G6"/>
    <mergeCell ref="I5:I6"/>
    <mergeCell ref="H5:H6"/>
    <mergeCell ref="K5:K6"/>
    <mergeCell ref="C19:C20"/>
    <mergeCell ref="D5:D6"/>
    <mergeCell ref="C12:C18"/>
    <mergeCell ref="M4:M6"/>
    <mergeCell ref="N4:AO4"/>
    <mergeCell ref="F4:F6"/>
    <mergeCell ref="IF5:IL5"/>
    <mergeCell ref="AR5:BG5"/>
    <mergeCell ref="BH5:BV5"/>
    <mergeCell ref="BZ5:CP5"/>
    <mergeCell ref="CV5:DJ5"/>
    <mergeCell ref="DK5:DY5"/>
    <mergeCell ref="FJ5:FX5"/>
    <mergeCell ref="EU5:FI5"/>
    <mergeCell ref="EE5:ET5"/>
    <mergeCell ref="FZ5:GN5"/>
    <mergeCell ref="HE4:HE6"/>
    <mergeCell ref="HF5:HU5"/>
    <mergeCell ref="HX4:HX6"/>
    <mergeCell ref="HY4:ID4"/>
    <mergeCell ref="IE4:IE6"/>
    <mergeCell ref="IF4:IL4"/>
    <mergeCell ref="B1:N1"/>
    <mergeCell ref="G4:L4"/>
    <mergeCell ref="CU4:CU6"/>
    <mergeCell ref="CV4:EB4"/>
    <mergeCell ref="EC4:EC6"/>
    <mergeCell ref="N5:R5"/>
    <mergeCell ref="S5:X5"/>
    <mergeCell ref="Y5:AC5"/>
    <mergeCell ref="BW4:BW6"/>
    <mergeCell ref="BX4:CT4"/>
    <mergeCell ref="AQ4:BV4"/>
    <mergeCell ref="ED4:FX4"/>
    <mergeCell ref="FY4:FY6"/>
    <mergeCell ref="FZ4:GN4"/>
    <mergeCell ref="GO4:GO6"/>
    <mergeCell ref="GP4:HD4"/>
    <mergeCell ref="GP5:HD5"/>
  </mergeCells>
  <phoneticPr fontId="0" type="noConversion"/>
  <conditionalFormatting sqref="IC7:IC41">
    <cfRule type="expression" dxfId="23" priority="629">
      <formula>$IC7="Go, with changes"</formula>
    </cfRule>
    <cfRule type="expression" dxfId="22" priority="630">
      <formula>$IC7="Go"</formula>
    </cfRule>
    <cfRule type="expression" dxfId="21" priority="631">
      <formula>$IC7="Stop"</formula>
    </cfRule>
  </conditionalFormatting>
  <dataValidations count="2">
    <dataValidation type="list" allowBlank="1" showInputMessage="1" showErrorMessage="1" sqref="K7:K41 O28:R29" xr:uid="{C7F3561F-B246-4299-86A7-0C5B40128BD4}">
      <formula1>INDIRECT($J7)</formula1>
    </dataValidation>
    <dataValidation type="list" allowBlank="1" showInputMessage="1" showErrorMessage="1" sqref="K42:K86" xr:uid="{220AD165-5976-437B-BBED-B747EB07FB7E}">
      <formula1>Main</formula1>
    </dataValidation>
  </dataValidations>
  <hyperlinks>
    <hyperlink ref="L72" r:id="rId1" display="https://energiatalgud.ee/sites/default/files/2022-04/Energiat%C3%B5husus%20L%C3%95PPARUANNE.pdf" xr:uid="{FA6EF152-9485-487E-B7CA-978AEC0CAA50}"/>
    <hyperlink ref="L42" location="TalTech!A1" display="See Sheet 'TalTech'" xr:uid="{05F7D8DA-7D5A-4F0D-8636-9259B77C280B}"/>
    <hyperlink ref="L43:L71" location="TalTech!A1" display="See Sheet 'TalTech'" xr:uid="{5E9B29B1-04AF-4234-B30A-CA58E6D68480}"/>
    <hyperlink ref="L75" location="TalTech!A1" display="See Sheet 'TalTech'" xr:uid="{F496BFF8-33D3-4ECC-83D8-02907F46DE04}"/>
    <hyperlink ref="L79" location="TalTech!A1" display="See Sheet 'TalTech'" xr:uid="{26D0C172-4EE2-460E-BC69-F935845105BE}"/>
    <hyperlink ref="L80:L86" location="TalTech!A1" display="See Sheet 'TalTech'" xr:uid="{53B07145-9563-43D4-B8D8-CB2DA460EAB7}"/>
    <hyperlink ref="L73" r:id="rId2" display="https://energiatalgud.ee/sites/default/files/2022-04/Energiat%C3%B5husus%20L%C3%95PPARUANNE.pdf" xr:uid="{E693CEA7-742F-44A3-A58F-9FD6C2D00453}"/>
    <hyperlink ref="L77" r:id="rId3" display="https://energiatalgud.ee/sites/default/files/2022-04/Energiat%C3%B5husus%20L%C3%95PPARUANNE.pdf" xr:uid="{14C17C42-FDBE-4CAA-B0E3-44117A0682EB}"/>
    <hyperlink ref="L24" r:id="rId4" xr:uid="{78FCAB67-E83B-434A-ACFA-24197E7EEBCD}"/>
    <hyperlink ref="L18" r:id="rId5" display="https://energiatalgud.ee/sites/default/files/2022-04/EL struktuurivahenditest rahastatud meetmete m%C3%B5ju riigi energiamajanduse eesm%C3%A4rkide t%C3%A4itmisele - L%C3%B5pparuanne.pdf" xr:uid="{4326BA0C-E454-4AAD-A7B6-BF870343856F}"/>
    <hyperlink ref="L14" r:id="rId6" display="https://energiatalgud.ee/sites/default/files/2022-04/EL struktuurivahenditest rahastatud meetmete m%C3%B5ju riigi energiamajanduse eesm%C3%A4rkide t%C3%A4itmisele - L%C3%B5pparuanne.pdf" xr:uid="{BC840497-C31F-41EF-B23B-826EE380895E}"/>
    <hyperlink ref="L16" r:id="rId7" display="https://energiatalgud.ee/sites/default/files/2022-04/EL struktuurivahenditest rahastatud meetmete m%C3%B5ju riigi energiamajanduse eesm%C3%A4rkide t%C3%A4itmisele - L%C3%B5pparuanne.pdf" xr:uid="{A32C6174-9D21-4101-BCEE-AE3C10197557}"/>
    <hyperlink ref="L8" location="'KLIM 2021-30'!A1" display="See Sheet 'KLIM (2021-2030)'" xr:uid="{1BCB91E6-29B0-483F-A48E-6065A333186D}"/>
    <hyperlink ref="L38" location="'MKM 2014-2020'!A1" display="See Sheet 'MKM (2014-2020)'" xr:uid="{AB1B8F35-CFC8-486B-9BA4-7AFD2BBF353A}"/>
    <hyperlink ref="L39:L40" location="'MKM 2014-2020'!A1" display="See Sheet 'MKM (2014-2020)'" xr:uid="{2D295EB1-6C62-41CE-8E3B-BE541525D0C0}"/>
    <hyperlink ref="L34" location="'MKM 2014-2020'!A1" display="See Sheet 'MKM (2014-2020)'" xr:uid="{2615678D-16A8-4B62-9DF0-055CDE280901}"/>
    <hyperlink ref="L26" location="'MKM 2014-2020'!A1" display="See Sheet 'MKM (2014-2020)'" xr:uid="{2C77346E-7DC1-4084-9CCE-81A1FB9136D4}"/>
    <hyperlink ref="L27" location="'MKM 2014-2020'!A1" display="See Sheet 'MKM (2014-2020)'" xr:uid="{F1912D6D-F72C-421F-8E11-158AB89A251A}"/>
    <hyperlink ref="L23" location="'MKM 2014-2020'!A1" display="See Sheet 'MKM (2014-2020)'" xr:uid="{15FABEF9-6FB4-4876-8198-96AB77BB4D70}"/>
    <hyperlink ref="L17" location="'MKM 2014-2020'!A1" display="See Sheet 'MKM (2014-2020)'" xr:uid="{92DE3F10-FF29-44E9-836A-4473C361F909}"/>
    <hyperlink ref="L9" location="'KLIM 2021-30'!A1" display="See Sheet 'KLIM (2021-2030)'" xr:uid="{377467BF-9CA4-4764-8223-20F63F2DCC4E}"/>
    <hyperlink ref="L11" location="'KLIM 2021-30'!A1" display="See Sheet 'KLIM (2021-2030)'" xr:uid="{F7423D0F-9898-416C-8036-0A5AA69A7E42}"/>
    <hyperlink ref="L12" location="'KLIM 2021-30'!A1" display="See Sheet 'KLIM (2021-2030)'" xr:uid="{39222C39-0415-4157-9F09-A7415E1772F4}"/>
    <hyperlink ref="L13" location="'KLIM 2021-30'!A1" display="See Sheet 'KLIM (2021-2030)'" xr:uid="{B31B169B-CBD5-451C-9FF0-5143B2FDF673}"/>
    <hyperlink ref="L15" location="'KLIM 2021-30'!A1" display="See Sheet 'KLIM (2021-2030)'" xr:uid="{B5A8D909-ED4D-42ED-AE7D-5FE9A3140973}"/>
    <hyperlink ref="L19" location="'KLIM 2021-30'!A1" display="See Sheet 'KLIM (2021-2030)'" xr:uid="{48493C0E-99DF-44DA-A4B7-6DE620F98918}"/>
    <hyperlink ref="L20" location="'KLIM 2021-30'!A1" display="See Sheet 'KLIM (2021-2030)'" xr:uid="{3A2DACD1-00D7-47EC-A8F6-74F7138CCBBA}"/>
    <hyperlink ref="L21" location="'KLIM 2021-30'!A1" display="See Sheet 'KLIM (2021-2030)'" xr:uid="{F879D4AB-4FF3-49BE-99FA-ABD3B915F3B8}"/>
    <hyperlink ref="L22" location="'KLIM 2021-30'!A1" display="See Sheet 'KLIM (2021-2030)'" xr:uid="{3AD536EE-67EF-4539-A61C-92D781B13E4C}"/>
    <hyperlink ref="L25" location="'KLIM 2021-30'!A1" display="See Sheet 'KLIM (2021-2030)'" xr:uid="{C5C3EACF-1DD1-47F0-8FCC-4960FF8E8464}"/>
    <hyperlink ref="L28" location="'KLIM 2021-30'!A1" display="See Sheet 'KLIM (2021-2030)'" xr:uid="{9BCB28F7-065C-4F88-8975-F8CFC06C8232}"/>
    <hyperlink ref="L29" location="'KLIM 2021-30'!A1" display="See Sheet 'KLIM (2021-2030)'" xr:uid="{7470A746-8C77-4875-9676-8092E31D6E48}"/>
    <hyperlink ref="L30" location="'KLIM 2021-30'!A1" display="See Sheet 'KLIM (2021-2030)'" xr:uid="{49A88352-4AEB-481D-B7B8-DE63B136F2E9}"/>
    <hyperlink ref="L31" location="'KLIM 2021-30'!A1" display="See Sheet 'KLIM (2021-2030)'" xr:uid="{B2AAFB7F-58D1-4484-AFF4-EBEBEBD88BFE}"/>
    <hyperlink ref="L32" location="'KLIM 2021-30'!A1" display="See Sheet 'KLIM (2021-2030)'" xr:uid="{99040A2D-BA1D-4D1F-A50C-6A16D7DCD45B}"/>
    <hyperlink ref="L35" location="'KLIM 2021-30'!A1" display="See Sheet 'KLIM (2021-2030)'" xr:uid="{1E588C27-33A6-4560-A22D-76C4AB6E6FE9}"/>
    <hyperlink ref="L37" location="'KLIM 2021-30'!A1" display="See Sheet 'KLIM (2021-2030)'" xr:uid="{90E25255-CC03-40A1-8F92-298AFFECFFFF}"/>
    <hyperlink ref="L74" location="'KLIM 2021-30'!A1" display="See Sheet 'KLIM (2021-2030)'" xr:uid="{8816E8AA-9EE0-448D-B4CF-8FE688B1CB6A}"/>
    <hyperlink ref="L76" location="'KLIM 2021-30'!A1" display="See Sheet 'KLIM (2021-2030)'" xr:uid="{DA992D5B-AAA5-4D5C-A133-308DC9923077}"/>
    <hyperlink ref="L78" location="'KLIM 2021-30'!A1" display="See Sheet 'KLIM (2021-2030)'" xr:uid="{C1C38ABC-68BC-418C-A846-FA8657E99720}"/>
  </hyperlinks>
  <pageMargins left="0.7" right="0.7" top="0.75" bottom="0.75" header="0.3" footer="0.3"/>
  <pageSetup orientation="portrait" r:id="rId8"/>
  <legacyDrawing r:id="rId9"/>
  <extLst>
    <ext xmlns:x14="http://schemas.microsoft.com/office/spreadsheetml/2009/9/main" uri="{CCE6A557-97BC-4b89-ADB6-D9C93CAAB3DF}">
      <x14:dataValidations xmlns:xm="http://schemas.microsoft.com/office/excel/2006/main" count="2">
        <x14:dataValidation type="list" allowBlank="1" showInputMessage="1" showErrorMessage="1" xr:uid="{0BBF5E73-2208-4457-AFD5-8852A8A6DEE2}">
          <x14:formula1>
            <xm:f>Admin!$B$5:$B$7</xm:f>
          </x14:formula1>
          <xm:sqref>IC7:IC86</xm:sqref>
        </x14:dataValidation>
        <x14:dataValidation type="list" allowBlank="1" showInputMessage="1" showErrorMessage="1" xr:uid="{499CB8FB-8C0F-47AB-B30B-B256A5182110}">
          <x14:formula1>
            <xm:f>Admin!$B$10:$B$11</xm:f>
          </x14:formula1>
          <xm:sqref>J7:J86</xm:sqref>
        </x14:dataValidation>
      </x14:dataValidation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079A57-DC42-40CD-B581-7C82DE0286C0}">
  <sheetPr codeName="Sheet1">
    <tabColor theme="4" tint="0.249977111117893"/>
  </sheetPr>
  <dimension ref="A1:BM1322"/>
  <sheetViews>
    <sheetView topLeftCell="L190" zoomScale="85" zoomScaleNormal="85" workbookViewId="0">
      <selection activeCell="U612" sqref="U612"/>
    </sheetView>
  </sheetViews>
  <sheetFormatPr defaultColWidth="9.1640625" defaultRowHeight="13.5" outlineLevelRow="2" outlineLevelCol="1" x14ac:dyDescent="0.3"/>
  <cols>
    <col min="1" max="11" width="9.1640625" style="89" hidden="1" customWidth="1" outlineLevel="1"/>
    <col min="12" max="12" width="9.1640625" style="89" collapsed="1"/>
    <col min="13" max="13" width="60.1640625" style="89" customWidth="1"/>
    <col min="14" max="14" width="11.83203125" style="89" customWidth="1"/>
    <col min="15" max="15" width="14.83203125" style="89" hidden="1" customWidth="1" outlineLevel="1"/>
    <col min="16" max="18" width="12.6640625" style="89" hidden="1" customWidth="1" outlineLevel="1"/>
    <col min="19" max="19" width="13.1640625" style="89" hidden="1" customWidth="1" outlineLevel="1"/>
    <col min="20" max="20" width="12.6640625" style="89" hidden="1" customWidth="1" outlineLevel="1"/>
    <col min="21" max="24" width="13.6640625" style="89" hidden="1" customWidth="1" outlineLevel="1"/>
    <col min="25" max="25" width="9.1640625" style="89" customWidth="1" collapsed="1"/>
    <col min="26" max="26" width="11.1640625" style="89" customWidth="1"/>
    <col min="27" max="27" width="9.1640625" style="89" customWidth="1"/>
    <col min="28" max="28" width="17.6640625" style="89" customWidth="1"/>
    <col min="29" max="29" width="16.6640625" style="89" customWidth="1"/>
    <col min="30" max="58" width="14.6640625" style="89" bestFit="1" customWidth="1"/>
    <col min="59" max="16384" width="9.1640625" style="89"/>
  </cols>
  <sheetData>
    <row r="1" spans="1:59" s="1552" customFormat="1" ht="18" x14ac:dyDescent="0.35">
      <c r="B1" s="2077" t="s">
        <v>872</v>
      </c>
      <c r="C1" s="2077"/>
      <c r="D1" s="2077"/>
      <c r="E1" s="2077"/>
      <c r="F1" s="2077"/>
      <c r="G1" s="2077"/>
      <c r="H1" s="2077"/>
      <c r="I1" s="2077"/>
      <c r="J1" s="2077"/>
      <c r="K1" s="2077"/>
      <c r="L1" s="2077"/>
      <c r="M1" s="2077"/>
      <c r="N1" s="2077"/>
    </row>
    <row r="2" spans="1:59" customFormat="1" x14ac:dyDescent="0.3"/>
    <row r="3" spans="1:59" x14ac:dyDescent="0.3">
      <c r="A3" s="110"/>
      <c r="B3" s="110"/>
      <c r="C3" s="110"/>
      <c r="D3" s="110"/>
      <c r="E3" s="530" t="s">
        <v>873</v>
      </c>
      <c r="F3" s="530" t="s">
        <v>874</v>
      </c>
      <c r="G3" s="530" t="s">
        <v>875</v>
      </c>
      <c r="H3" s="530" t="s">
        <v>876</v>
      </c>
      <c r="I3" s="530" t="s">
        <v>877</v>
      </c>
      <c r="J3" s="530" t="s">
        <v>878</v>
      </c>
      <c r="K3" s="530" t="s">
        <v>879</v>
      </c>
      <c r="L3" s="110"/>
      <c r="M3" s="76" t="s">
        <v>880</v>
      </c>
      <c r="N3" s="400"/>
      <c r="O3" s="401">
        <v>2010</v>
      </c>
      <c r="P3" s="401">
        <v>2011</v>
      </c>
      <c r="Q3" s="401">
        <v>2012</v>
      </c>
      <c r="R3" s="401">
        <v>2013</v>
      </c>
      <c r="S3" s="401">
        <v>2014</v>
      </c>
      <c r="T3" s="401">
        <v>2015</v>
      </c>
      <c r="U3" s="401">
        <v>2016</v>
      </c>
      <c r="V3" s="401">
        <v>2017</v>
      </c>
      <c r="W3" s="401">
        <v>2018</v>
      </c>
      <c r="X3" s="401">
        <v>2019</v>
      </c>
      <c r="Y3" s="394"/>
      <c r="Z3" s="399"/>
      <c r="AA3" s="399"/>
      <c r="AB3" s="401">
        <v>2020</v>
      </c>
      <c r="AC3" s="401">
        <v>2021</v>
      </c>
      <c r="AD3" s="109">
        <v>2022</v>
      </c>
      <c r="AE3" s="109">
        <v>2023</v>
      </c>
      <c r="AF3" s="109">
        <v>2024</v>
      </c>
      <c r="AG3" s="109">
        <v>2025</v>
      </c>
      <c r="AH3" s="109">
        <v>2026</v>
      </c>
      <c r="AI3" s="109">
        <v>2027</v>
      </c>
      <c r="AJ3" s="109">
        <v>2028</v>
      </c>
      <c r="AK3" s="109">
        <v>2029</v>
      </c>
      <c r="AL3" s="109">
        <v>2030</v>
      </c>
      <c r="AM3" s="109">
        <v>2031</v>
      </c>
      <c r="AN3" s="109">
        <v>2032</v>
      </c>
      <c r="AO3" s="109">
        <v>2033</v>
      </c>
      <c r="AP3" s="109">
        <v>2034</v>
      </c>
      <c r="AQ3" s="109">
        <v>2035</v>
      </c>
      <c r="AR3" s="109">
        <v>2036</v>
      </c>
      <c r="AS3" s="109">
        <v>2037</v>
      </c>
      <c r="AT3" s="109">
        <v>2038</v>
      </c>
      <c r="AU3" s="109">
        <v>2039</v>
      </c>
      <c r="AV3" s="109">
        <v>2040</v>
      </c>
      <c r="AW3" s="109">
        <v>2041</v>
      </c>
      <c r="AX3" s="109">
        <v>2042</v>
      </c>
      <c r="AY3" s="109">
        <v>2043</v>
      </c>
      <c r="AZ3" s="109">
        <v>2044</v>
      </c>
      <c r="BA3" s="109">
        <v>2045</v>
      </c>
      <c r="BB3" s="109">
        <v>2046</v>
      </c>
      <c r="BC3" s="109">
        <v>2047</v>
      </c>
      <c r="BD3" s="109">
        <v>2048</v>
      </c>
      <c r="BE3" s="109">
        <v>2049</v>
      </c>
      <c r="BF3" s="109">
        <v>2050</v>
      </c>
    </row>
    <row r="4" spans="1:59" s="110" customFormat="1" x14ac:dyDescent="0.3">
      <c r="L4" s="73" t="s">
        <v>881</v>
      </c>
      <c r="M4" s="73"/>
      <c r="N4" s="73"/>
      <c r="O4" s="74"/>
      <c r="P4" s="74"/>
      <c r="Q4" s="74"/>
      <c r="R4" s="74"/>
      <c r="S4" s="74"/>
      <c r="T4" s="74"/>
      <c r="U4" s="74"/>
      <c r="V4" s="74"/>
      <c r="W4" s="74"/>
      <c r="X4" s="74"/>
      <c r="Y4" s="394"/>
      <c r="Z4" s="74"/>
      <c r="AA4" s="74"/>
      <c r="AB4" s="74"/>
      <c r="AC4" s="74"/>
    </row>
    <row r="5" spans="1:59" ht="12" customHeight="1" x14ac:dyDescent="0.3">
      <c r="A5" s="183"/>
      <c r="B5" s="183"/>
      <c r="C5" s="183"/>
      <c r="D5" s="183"/>
      <c r="E5" s="183"/>
      <c r="F5" s="183"/>
      <c r="G5" s="183"/>
      <c r="H5" s="183"/>
      <c r="I5" s="183"/>
      <c r="J5" s="183"/>
      <c r="K5" s="183"/>
      <c r="L5" s="1307" t="s">
        <v>882</v>
      </c>
      <c r="M5" s="185"/>
      <c r="N5" s="186"/>
      <c r="O5" s="187"/>
      <c r="P5" s="187"/>
      <c r="Q5" s="187"/>
      <c r="R5" s="187"/>
      <c r="S5" s="187"/>
      <c r="T5" s="187"/>
      <c r="U5" s="187"/>
      <c r="V5" s="187"/>
      <c r="W5" s="187"/>
      <c r="X5" s="187"/>
      <c r="Y5" s="394"/>
      <c r="Z5" s="74"/>
      <c r="AA5" s="74"/>
      <c r="AB5" s="187"/>
      <c r="AC5" s="1300"/>
      <c r="AD5" s="1028"/>
      <c r="AE5" s="183"/>
      <c r="AF5" s="183"/>
      <c r="AG5" s="183"/>
      <c r="AH5" s="183"/>
      <c r="AI5" s="183"/>
      <c r="AJ5" s="183"/>
      <c r="AK5" s="183"/>
      <c r="AL5" s="183"/>
      <c r="AM5" s="183"/>
      <c r="AN5" s="183"/>
      <c r="AO5" s="183"/>
      <c r="AP5" s="183"/>
      <c r="AQ5" s="183"/>
      <c r="AR5" s="183"/>
      <c r="AS5" s="183"/>
      <c r="AT5" s="183"/>
      <c r="AU5" s="183"/>
      <c r="AV5" s="183"/>
      <c r="AW5" s="183"/>
      <c r="AX5" s="183"/>
      <c r="AY5" s="183"/>
      <c r="AZ5" s="183"/>
      <c r="BA5" s="183"/>
      <c r="BB5" s="183"/>
      <c r="BC5" s="183"/>
      <c r="BD5" s="183"/>
      <c r="BE5" s="183"/>
      <c r="BF5" s="183"/>
    </row>
    <row r="6" spans="1:59" ht="12" customHeight="1" x14ac:dyDescent="0.3">
      <c r="A6" s="183"/>
      <c r="B6" s="183" t="s">
        <v>883</v>
      </c>
      <c r="C6" s="183" t="s">
        <v>884</v>
      </c>
      <c r="D6" s="183" t="s">
        <v>885</v>
      </c>
      <c r="E6" s="183"/>
      <c r="F6" s="183"/>
      <c r="G6" s="183"/>
      <c r="H6" s="183"/>
      <c r="I6" s="183"/>
      <c r="J6" s="183"/>
      <c r="K6" s="183"/>
      <c r="L6" s="1307"/>
      <c r="M6" s="467" t="s">
        <v>886</v>
      </c>
      <c r="N6" s="468" t="s">
        <v>77</v>
      </c>
      <c r="O6" s="323">
        <v>6718.6111111111122</v>
      </c>
      <c r="P6" s="145">
        <v>6816.1111111111113</v>
      </c>
      <c r="Q6" s="145">
        <v>6560.2777777777774</v>
      </c>
      <c r="R6" s="145">
        <v>7438.6111111111113</v>
      </c>
      <c r="S6" s="145">
        <v>6464.4444444444443</v>
      </c>
      <c r="T6" s="145">
        <v>6222.2222222222217</v>
      </c>
      <c r="U6" s="145">
        <v>5324.166666666667</v>
      </c>
      <c r="V6" s="145">
        <v>5416.9444444444443</v>
      </c>
      <c r="W6" s="145">
        <v>5673.6111111111104</v>
      </c>
      <c r="X6" s="145">
        <v>5341.3888888888887</v>
      </c>
      <c r="Y6" s="1301">
        <f>AC6-AB6</f>
        <v>-350.83333333333394</v>
      </c>
      <c r="Z6" s="2125" t="s">
        <v>887</v>
      </c>
      <c r="AA6" s="2126"/>
      <c r="AB6" s="402">
        <f t="shared" ref="AB6:AK10" si="0">SUMIFS(AB$248:AB$1322,$B$248:$B$1322,$B6,$C$248:$C$1322,$C6,$D$248:$D$1322,$D6)</f>
        <v>4749.4444444444443</v>
      </c>
      <c r="AC6" s="402">
        <f t="shared" si="0"/>
        <v>4398.6111111111104</v>
      </c>
      <c r="AD6" s="402">
        <f t="shared" si="0"/>
        <v>4796.938888888888</v>
      </c>
      <c r="AE6" s="402">
        <f t="shared" si="0"/>
        <v>4854.5021555555568</v>
      </c>
      <c r="AF6" s="402">
        <f t="shared" si="0"/>
        <v>4927.3196878888884</v>
      </c>
      <c r="AG6" s="402">
        <f t="shared" si="0"/>
        <v>5001.2294832072203</v>
      </c>
      <c r="AH6" s="402">
        <f t="shared" si="0"/>
        <v>5076.2479254553282</v>
      </c>
      <c r="AI6" s="402">
        <f t="shared" si="0"/>
        <v>5152.3916443371581</v>
      </c>
      <c r="AJ6" s="402">
        <f t="shared" si="0"/>
        <v>5229.6775190022154</v>
      </c>
      <c r="AK6" s="402">
        <f t="shared" si="0"/>
        <v>5308.1226817872484</v>
      </c>
      <c r="AL6" s="402">
        <f t="shared" ref="AL6:AU10" si="1">SUMIFS(AL$248:AL$1322,$B$248:$B$1322,$B6,$C$248:$C$1322,$C6,$D$248:$D$1322,$D6)</f>
        <v>5387.7445220140553</v>
      </c>
      <c r="AM6" s="402">
        <f t="shared" si="1"/>
        <v>5468.5606898442657</v>
      </c>
      <c r="AN6" s="402">
        <f t="shared" si="1"/>
        <v>5550.5891001919308</v>
      </c>
      <c r="AO6" s="402">
        <f t="shared" si="1"/>
        <v>5633.8479366948086</v>
      </c>
      <c r="AP6" s="402">
        <f t="shared" si="1"/>
        <v>5718.3556557452293</v>
      </c>
      <c r="AQ6" s="402">
        <f t="shared" si="1"/>
        <v>5804.1309905814087</v>
      </c>
      <c r="AR6" s="402">
        <f t="shared" si="1"/>
        <v>5891.1929554401286</v>
      </c>
      <c r="AS6" s="402">
        <f t="shared" si="1"/>
        <v>5979.5608497717294</v>
      </c>
      <c r="AT6" s="402">
        <f t="shared" si="1"/>
        <v>6069.254262518305</v>
      </c>
      <c r="AU6" s="402">
        <f t="shared" si="1"/>
        <v>6160.2930764560788</v>
      </c>
      <c r="AV6" s="402">
        <f t="shared" ref="AV6:BF10" si="2">SUMIFS(AV$248:AV$1322,$B$248:$B$1322,$B6,$C$248:$C$1322,$C6,$D$248:$D$1322,$D6)</f>
        <v>6252.6974726029202</v>
      </c>
      <c r="AW6" s="402">
        <f t="shared" si="2"/>
        <v>6346.4879346919633</v>
      </c>
      <c r="AX6" s="402">
        <f t="shared" si="2"/>
        <v>6441.6852537123414</v>
      </c>
      <c r="AY6" s="402">
        <f t="shared" si="2"/>
        <v>6538.310532518025</v>
      </c>
      <c r="AZ6" s="402">
        <f t="shared" si="2"/>
        <v>6636.3851905057963</v>
      </c>
      <c r="BA6" s="402">
        <f t="shared" si="2"/>
        <v>6735.9309683633819</v>
      </c>
      <c r="BB6" s="402">
        <f t="shared" si="2"/>
        <v>6823.4980709521051</v>
      </c>
      <c r="BC6" s="402">
        <f t="shared" si="2"/>
        <v>6905.38004780353</v>
      </c>
      <c r="BD6" s="402">
        <f t="shared" si="2"/>
        <v>6981.339228329367</v>
      </c>
      <c r="BE6" s="402">
        <f t="shared" si="2"/>
        <v>7051.15262061266</v>
      </c>
      <c r="BF6" s="402">
        <f t="shared" si="2"/>
        <v>7121.6641468187881</v>
      </c>
      <c r="BG6" s="28"/>
    </row>
    <row r="7" spans="1:59" x14ac:dyDescent="0.3">
      <c r="A7" s="183"/>
      <c r="B7" s="183" t="s">
        <v>888</v>
      </c>
      <c r="C7" s="183" t="s">
        <v>884</v>
      </c>
      <c r="D7" s="183" t="s">
        <v>885</v>
      </c>
      <c r="E7" s="183"/>
      <c r="F7" s="183"/>
      <c r="G7" s="183"/>
      <c r="H7" s="183"/>
      <c r="I7" s="183"/>
      <c r="J7" s="183"/>
      <c r="K7" s="183"/>
      <c r="L7" s="1307"/>
      <c r="M7" s="467" t="s">
        <v>889</v>
      </c>
      <c r="N7" s="468" t="s">
        <v>77</v>
      </c>
      <c r="O7" s="323">
        <v>11942.222222222223</v>
      </c>
      <c r="P7" s="145">
        <v>10876.944444444443</v>
      </c>
      <c r="Q7" s="145">
        <v>11290.833333333334</v>
      </c>
      <c r="R7" s="145">
        <v>10859.196704371021</v>
      </c>
      <c r="S7" s="145">
        <v>10329.10888888889</v>
      </c>
      <c r="T7" s="145">
        <v>9967.0015493322953</v>
      </c>
      <c r="U7" s="145">
        <v>10822.5</v>
      </c>
      <c r="V7" s="145">
        <v>10961.111111111111</v>
      </c>
      <c r="W7" s="145">
        <v>10945.248316317538</v>
      </c>
      <c r="X7" s="145">
        <v>11063.623146193635</v>
      </c>
      <c r="Y7" s="1301">
        <f>AC7-AB7</f>
        <v>-32.078500000001441</v>
      </c>
      <c r="Z7" s="2125"/>
      <c r="AA7" s="2126"/>
      <c r="AB7" s="402">
        <f t="shared" si="0"/>
        <v>10567.960000000001</v>
      </c>
      <c r="AC7" s="402">
        <f t="shared" si="0"/>
        <v>10535.8815</v>
      </c>
      <c r="AD7" s="402">
        <f t="shared" si="0"/>
        <v>10565.232398437502</v>
      </c>
      <c r="AE7" s="402">
        <f t="shared" si="0"/>
        <v>10596.024181042589</v>
      </c>
      <c r="AF7" s="402">
        <f t="shared" si="0"/>
        <v>10628.275414227639</v>
      </c>
      <c r="AG7" s="402">
        <f t="shared" si="0"/>
        <v>10662.005057906583</v>
      </c>
      <c r="AH7" s="402">
        <f t="shared" si="0"/>
        <v>10697.232472134878</v>
      </c>
      <c r="AI7" s="402">
        <f t="shared" si="0"/>
        <v>10738.450455025293</v>
      </c>
      <c r="AJ7" s="402">
        <f t="shared" si="0"/>
        <v>10780.629357659825</v>
      </c>
      <c r="AK7" s="402">
        <f t="shared" si="0"/>
        <v>10823.781475688736</v>
      </c>
      <c r="AL7" s="402">
        <f t="shared" si="1"/>
        <v>10867.919286368789</v>
      </c>
      <c r="AM7" s="402">
        <f t="shared" si="1"/>
        <v>10913.055451137174</v>
      </c>
      <c r="AN7" s="402">
        <f t="shared" si="1"/>
        <v>10959.202818222388</v>
      </c>
      <c r="AO7" s="402">
        <f t="shared" si="1"/>
        <v>11006.37442529255</v>
      </c>
      <c r="AP7" s="402">
        <f t="shared" si="1"/>
        <v>11054.583502141741</v>
      </c>
      <c r="AQ7" s="402">
        <f t="shared" si="1"/>
        <v>11103.84347341486</v>
      </c>
      <c r="AR7" s="402">
        <f t="shared" si="1"/>
        <v>11154.167961371599</v>
      </c>
      <c r="AS7" s="402">
        <f t="shared" si="1"/>
        <v>11205.570788690031</v>
      </c>
      <c r="AT7" s="402">
        <f t="shared" si="1"/>
        <v>11258.06598131049</v>
      </c>
      <c r="AU7" s="402">
        <f t="shared" si="1"/>
        <v>11311.667771320139</v>
      </c>
      <c r="AV7" s="402">
        <f t="shared" si="2"/>
        <v>11366.39059987902</v>
      </c>
      <c r="AW7" s="402">
        <f t="shared" si="2"/>
        <v>11422.249120188011</v>
      </c>
      <c r="AX7" s="402">
        <f t="shared" si="2"/>
        <v>11479.258200499371</v>
      </c>
      <c r="AY7" s="402">
        <f t="shared" si="2"/>
        <v>11537.432927170474</v>
      </c>
      <c r="AZ7" s="402">
        <f t="shared" si="2"/>
        <v>11596.788607761318</v>
      </c>
      <c r="BA7" s="402">
        <f t="shared" si="2"/>
        <v>11657.340774176488</v>
      </c>
      <c r="BB7" s="402">
        <f t="shared" si="2"/>
        <v>11719.10518585214</v>
      </c>
      <c r="BC7" s="402">
        <f t="shared" si="2"/>
        <v>11782.097832988729</v>
      </c>
      <c r="BD7" s="402">
        <f t="shared" si="2"/>
        <v>11846.334939830063</v>
      </c>
      <c r="BE7" s="402">
        <f t="shared" si="2"/>
        <v>11911.832967989405</v>
      </c>
      <c r="BF7" s="402">
        <f t="shared" si="2"/>
        <v>11978.608619823226</v>
      </c>
      <c r="BG7" s="28"/>
    </row>
    <row r="8" spans="1:59" x14ac:dyDescent="0.3">
      <c r="A8" s="183"/>
      <c r="B8" s="183" t="s">
        <v>890</v>
      </c>
      <c r="C8" s="183" t="s">
        <v>884</v>
      </c>
      <c r="D8" s="183" t="s">
        <v>885</v>
      </c>
      <c r="E8" s="183"/>
      <c r="F8" s="183"/>
      <c r="G8" s="183"/>
      <c r="H8" s="183"/>
      <c r="I8" s="183"/>
      <c r="J8" s="183"/>
      <c r="K8" s="183"/>
      <c r="L8" s="1307"/>
      <c r="M8" s="467" t="s">
        <v>891</v>
      </c>
      <c r="N8" s="468" t="s">
        <v>77</v>
      </c>
      <c r="O8" s="323">
        <v>4933.8888888888887</v>
      </c>
      <c r="P8" s="145">
        <v>4677.2222222222217</v>
      </c>
      <c r="Q8" s="145">
        <v>4925.5555555555557</v>
      </c>
      <c r="R8" s="145">
        <v>4860</v>
      </c>
      <c r="S8" s="145">
        <v>5322.5</v>
      </c>
      <c r="T8" s="145">
        <v>5412.5</v>
      </c>
      <c r="U8" s="145">
        <v>5794.4444444444443</v>
      </c>
      <c r="V8" s="145">
        <v>5450.5555555555557</v>
      </c>
      <c r="W8" s="145">
        <v>5701.9444444444443</v>
      </c>
      <c r="X8" s="145">
        <v>5434.7222222222217</v>
      </c>
      <c r="Y8" s="1301">
        <f>AC8-AB8</f>
        <v>2.8156999999991967</v>
      </c>
      <c r="Z8" s="2125"/>
      <c r="AA8" s="2126"/>
      <c r="AB8" s="402">
        <f t="shared" si="0"/>
        <v>5382.26</v>
      </c>
      <c r="AC8" s="402">
        <f t="shared" si="0"/>
        <v>5385.0756999999994</v>
      </c>
      <c r="AD8" s="402">
        <f t="shared" si="0"/>
        <v>5417.2423307032623</v>
      </c>
      <c r="AE8" s="402">
        <f t="shared" si="0"/>
        <v>5450.3686442362277</v>
      </c>
      <c r="AF8" s="402">
        <f t="shared" si="0"/>
        <v>5484.4685950765415</v>
      </c>
      <c r="AG8" s="402">
        <f t="shared" si="0"/>
        <v>5519.5564318341085</v>
      </c>
      <c r="AH8" s="402">
        <f t="shared" si="0"/>
        <v>5555.6467026143164</v>
      </c>
      <c r="AI8" s="402">
        <f t="shared" si="0"/>
        <v>5593.1545212250676</v>
      </c>
      <c r="AJ8" s="402">
        <f t="shared" si="0"/>
        <v>5631.6437889430599</v>
      </c>
      <c r="AK8" s="402">
        <f t="shared" si="0"/>
        <v>5671.129434132431</v>
      </c>
      <c r="AL8" s="402">
        <f t="shared" si="1"/>
        <v>5711.6266861403783</v>
      </c>
      <c r="AM8" s="402">
        <f t="shared" si="1"/>
        <v>5753.1510808661678</v>
      </c>
      <c r="AN8" s="402">
        <f t="shared" si="1"/>
        <v>5795.7184664405668</v>
      </c>
      <c r="AO8" s="402">
        <f t="shared" si="1"/>
        <v>5839.3450090178249</v>
      </c>
      <c r="AP8" s="402">
        <f t="shared" si="1"/>
        <v>5884.0471986824687</v>
      </c>
      <c r="AQ8" s="402">
        <f t="shared" si="1"/>
        <v>5929.8418554731425</v>
      </c>
      <c r="AR8" s="402">
        <f t="shared" si="1"/>
        <v>5976.7461355257874</v>
      </c>
      <c r="AS8" s="402">
        <f t="shared" si="1"/>
        <v>6024.777537338523</v>
      </c>
      <c r="AT8" s="402">
        <f t="shared" si="1"/>
        <v>6073.9539081606181</v>
      </c>
      <c r="AU8" s="402">
        <f t="shared" si="1"/>
        <v>6124.2934505079793</v>
      </c>
      <c r="AV8" s="402">
        <f t="shared" si="2"/>
        <v>6175.8147288076798</v>
      </c>
      <c r="AW8" s="402">
        <f t="shared" si="2"/>
        <v>6228.5366761740452</v>
      </c>
      <c r="AX8" s="402">
        <f t="shared" si="2"/>
        <v>6282.4786013188841</v>
      </c>
      <c r="AY8" s="402">
        <f t="shared" si="2"/>
        <v>6337.6601955985279</v>
      </c>
      <c r="AZ8" s="402">
        <f t="shared" si="2"/>
        <v>6394.1015402003568</v>
      </c>
      <c r="BA8" s="402">
        <f t="shared" si="2"/>
        <v>6451.8231134715816</v>
      </c>
      <c r="BB8" s="402">
        <f t="shared" si="2"/>
        <v>6510.8457983930593</v>
      </c>
      <c r="BC8" s="402">
        <f t="shared" si="2"/>
        <v>6571.19089020104</v>
      </c>
      <c r="BD8" s="402">
        <f t="shared" si="2"/>
        <v>6632.8801041597271</v>
      </c>
      <c r="BE8" s="402">
        <f t="shared" si="2"/>
        <v>6695.9355834876606</v>
      </c>
      <c r="BF8" s="402">
        <f t="shared" si="2"/>
        <v>6760.3799074409417</v>
      </c>
      <c r="BG8" s="28"/>
    </row>
    <row r="9" spans="1:59" x14ac:dyDescent="0.3">
      <c r="A9" s="183"/>
      <c r="B9" s="183" t="s">
        <v>892</v>
      </c>
      <c r="C9" s="183" t="s">
        <v>884</v>
      </c>
      <c r="D9" s="183" t="s">
        <v>885</v>
      </c>
      <c r="E9" s="183"/>
      <c r="F9" s="183"/>
      <c r="G9" s="183"/>
      <c r="H9" s="183"/>
      <c r="I9" s="183"/>
      <c r="J9" s="183"/>
      <c r="K9" s="183"/>
      <c r="L9" s="1307"/>
      <c r="M9" s="467" t="s">
        <v>893</v>
      </c>
      <c r="N9" s="468" t="s">
        <v>77</v>
      </c>
      <c r="O9" s="323">
        <v>8776.1111111111113</v>
      </c>
      <c r="P9" s="145">
        <v>8713.8888888888869</v>
      </c>
      <c r="Q9" s="145">
        <v>8813.3333333333339</v>
      </c>
      <c r="R9" s="145">
        <v>8596.9444444444434</v>
      </c>
      <c r="S9" s="145">
        <v>8623.8888888888887</v>
      </c>
      <c r="T9" s="145">
        <v>8838.8888888888887</v>
      </c>
      <c r="U9" s="145">
        <v>9035.2777777777774</v>
      </c>
      <c r="V9" s="145">
        <v>9350.5555555555547</v>
      </c>
      <c r="W9" s="145">
        <v>9677.5</v>
      </c>
      <c r="X9" s="145">
        <v>9708.3333333333339</v>
      </c>
      <c r="Y9" s="1301">
        <f>AC9-AB9</f>
        <v>543.05555555555475</v>
      </c>
      <c r="Z9" s="2125"/>
      <c r="AA9" s="2126"/>
      <c r="AB9" s="402">
        <f t="shared" si="0"/>
        <v>9177.7777777777792</v>
      </c>
      <c r="AC9" s="402">
        <f t="shared" si="0"/>
        <v>9720.8333333333339</v>
      </c>
      <c r="AD9" s="402">
        <f t="shared" si="0"/>
        <v>9818.0416666666679</v>
      </c>
      <c r="AE9" s="402">
        <f t="shared" si="0"/>
        <v>9916.222083333334</v>
      </c>
      <c r="AF9" s="402">
        <f t="shared" si="0"/>
        <v>10015.384304166668</v>
      </c>
      <c r="AG9" s="402">
        <f t="shared" si="0"/>
        <v>10115.538147208335</v>
      </c>
      <c r="AH9" s="402">
        <f t="shared" si="0"/>
        <v>10216.693528680418</v>
      </c>
      <c r="AI9" s="402">
        <f t="shared" si="0"/>
        <v>10318.860463967223</v>
      </c>
      <c r="AJ9" s="402">
        <f t="shared" si="0"/>
        <v>10422.049068606895</v>
      </c>
      <c r="AK9" s="402">
        <f t="shared" si="0"/>
        <v>10526.269559292965</v>
      </c>
      <c r="AL9" s="402">
        <f t="shared" si="1"/>
        <v>10631.532254885895</v>
      </c>
      <c r="AM9" s="402">
        <f t="shared" si="1"/>
        <v>10737.847577434753</v>
      </c>
      <c r="AN9" s="402">
        <f t="shared" si="1"/>
        <v>10845.2260532091</v>
      </c>
      <c r="AO9" s="402">
        <f t="shared" si="1"/>
        <v>10953.678313741191</v>
      </c>
      <c r="AP9" s="402">
        <f t="shared" si="1"/>
        <v>11063.215096878603</v>
      </c>
      <c r="AQ9" s="402">
        <f t="shared" si="1"/>
        <v>11173.847247847389</v>
      </c>
      <c r="AR9" s="402">
        <f t="shared" si="1"/>
        <v>11285.585720325862</v>
      </c>
      <c r="AS9" s="402">
        <f t="shared" si="1"/>
        <v>11398.44157752912</v>
      </c>
      <c r="AT9" s="402">
        <f t="shared" si="1"/>
        <v>11512.42599330441</v>
      </c>
      <c r="AU9" s="402">
        <f t="shared" si="1"/>
        <v>11627.550253237454</v>
      </c>
      <c r="AV9" s="402">
        <f t="shared" si="2"/>
        <v>11743.825755769829</v>
      </c>
      <c r="AW9" s="402">
        <f t="shared" si="2"/>
        <v>11861.264013327527</v>
      </c>
      <c r="AX9" s="402">
        <f t="shared" si="2"/>
        <v>11979.876653460802</v>
      </c>
      <c r="AY9" s="402">
        <f t="shared" si="2"/>
        <v>12099.67541999541</v>
      </c>
      <c r="AZ9" s="402">
        <f t="shared" si="2"/>
        <v>12220.672174195364</v>
      </c>
      <c r="BA9" s="402">
        <f t="shared" si="2"/>
        <v>12342.878895937318</v>
      </c>
      <c r="BB9" s="402">
        <f t="shared" si="2"/>
        <v>12466.30768489669</v>
      </c>
      <c r="BC9" s="402">
        <f t="shared" si="2"/>
        <v>12590.970761745657</v>
      </c>
      <c r="BD9" s="402">
        <f t="shared" si="2"/>
        <v>12716.880469363114</v>
      </c>
      <c r="BE9" s="402">
        <f t="shared" si="2"/>
        <v>12844.049274056744</v>
      </c>
      <c r="BF9" s="402">
        <f t="shared" si="2"/>
        <v>12972.489766797311</v>
      </c>
      <c r="BG9" s="28"/>
    </row>
    <row r="10" spans="1:59" x14ac:dyDescent="0.3">
      <c r="A10" s="183"/>
      <c r="B10" s="183" t="s">
        <v>894</v>
      </c>
      <c r="C10" s="183" t="s">
        <v>884</v>
      </c>
      <c r="D10" s="183" t="s">
        <v>885</v>
      </c>
      <c r="E10" s="183"/>
      <c r="F10" s="183"/>
      <c r="G10" s="183"/>
      <c r="H10" s="183"/>
      <c r="I10" s="183"/>
      <c r="J10" s="183"/>
      <c r="K10" s="183"/>
      <c r="L10" s="1307"/>
      <c r="M10" s="467" t="s">
        <v>895</v>
      </c>
      <c r="N10" s="468" t="s">
        <v>77</v>
      </c>
      <c r="O10" s="323">
        <v>1104.5681608476946</v>
      </c>
      <c r="P10" s="145">
        <v>1260.672114848207</v>
      </c>
      <c r="Q10" s="145">
        <v>1278.8410312404692</v>
      </c>
      <c r="R10" s="145">
        <v>1273.0684427401611</v>
      </c>
      <c r="S10" s="145">
        <v>1516.2614444444446</v>
      </c>
      <c r="T10" s="145">
        <v>1532.7176786666089</v>
      </c>
      <c r="U10" s="145">
        <v>1508.8888888888889</v>
      </c>
      <c r="V10" s="145">
        <v>1532.4218379575354</v>
      </c>
      <c r="W10" s="145">
        <v>1444.1666666666667</v>
      </c>
      <c r="X10" s="145">
        <v>1317.8486796428397</v>
      </c>
      <c r="Y10" s="1301">
        <f>AC10-AB10</f>
        <v>-281.94444444444446</v>
      </c>
      <c r="Z10" s="2125"/>
      <c r="AA10" s="2126"/>
      <c r="AB10" s="402">
        <f t="shared" si="0"/>
        <v>1272.7777777777778</v>
      </c>
      <c r="AC10" s="402">
        <f t="shared" si="0"/>
        <v>990.83333333333337</v>
      </c>
      <c r="AD10" s="402">
        <f t="shared" si="0"/>
        <v>990.83333333333337</v>
      </c>
      <c r="AE10" s="402">
        <f t="shared" si="0"/>
        <v>990.83333333333337</v>
      </c>
      <c r="AF10" s="402">
        <f t="shared" si="0"/>
        <v>990.83333333333337</v>
      </c>
      <c r="AG10" s="402">
        <f t="shared" si="0"/>
        <v>990.83333333333337</v>
      </c>
      <c r="AH10" s="402">
        <f t="shared" si="0"/>
        <v>990.83333333333337</v>
      </c>
      <c r="AI10" s="402">
        <f t="shared" si="0"/>
        <v>990.83333333333337</v>
      </c>
      <c r="AJ10" s="402">
        <f t="shared" si="0"/>
        <v>990.83333333333337</v>
      </c>
      <c r="AK10" s="402">
        <f t="shared" si="0"/>
        <v>990.83333333333337</v>
      </c>
      <c r="AL10" s="402">
        <f t="shared" si="1"/>
        <v>990.83333333333337</v>
      </c>
      <c r="AM10" s="402">
        <f t="shared" si="1"/>
        <v>990.83333333333337</v>
      </c>
      <c r="AN10" s="402">
        <f t="shared" si="1"/>
        <v>990.83333333333337</v>
      </c>
      <c r="AO10" s="402">
        <f t="shared" si="1"/>
        <v>990.83333333333337</v>
      </c>
      <c r="AP10" s="402">
        <f t="shared" si="1"/>
        <v>990.83333333333337</v>
      </c>
      <c r="AQ10" s="402">
        <f t="shared" si="1"/>
        <v>990.83333333333337</v>
      </c>
      <c r="AR10" s="402">
        <f t="shared" si="1"/>
        <v>990.83333333333337</v>
      </c>
      <c r="AS10" s="402">
        <f t="shared" si="1"/>
        <v>990.83333333333337</v>
      </c>
      <c r="AT10" s="402">
        <f t="shared" si="1"/>
        <v>990.83333333333337</v>
      </c>
      <c r="AU10" s="402">
        <f t="shared" si="1"/>
        <v>990.83333333333337</v>
      </c>
      <c r="AV10" s="402">
        <f t="shared" si="2"/>
        <v>990.83333333333337</v>
      </c>
      <c r="AW10" s="402">
        <f t="shared" si="2"/>
        <v>990.83333333333337</v>
      </c>
      <c r="AX10" s="402">
        <f t="shared" si="2"/>
        <v>990.83333333333337</v>
      </c>
      <c r="AY10" s="402">
        <f t="shared" si="2"/>
        <v>990.83333333333337</v>
      </c>
      <c r="AZ10" s="402">
        <f t="shared" si="2"/>
        <v>990.83333333333337</v>
      </c>
      <c r="BA10" s="402">
        <f t="shared" si="2"/>
        <v>990.83333333333337</v>
      </c>
      <c r="BB10" s="402">
        <f t="shared" si="2"/>
        <v>990.83333333333337</v>
      </c>
      <c r="BC10" s="402">
        <f t="shared" si="2"/>
        <v>990.83333333333337</v>
      </c>
      <c r="BD10" s="402">
        <f t="shared" si="2"/>
        <v>990.83333333333337</v>
      </c>
      <c r="BE10" s="402">
        <f t="shared" si="2"/>
        <v>990.83333333333337</v>
      </c>
      <c r="BF10" s="402">
        <f t="shared" si="2"/>
        <v>990.83333333333337</v>
      </c>
      <c r="BG10" s="28"/>
    </row>
    <row r="11" spans="1:59" x14ac:dyDescent="0.3">
      <c r="A11" s="183"/>
      <c r="B11" s="183"/>
      <c r="C11" s="183"/>
      <c r="D11" s="183"/>
      <c r="E11" s="183"/>
      <c r="F11" s="183"/>
      <c r="G11" s="183"/>
      <c r="H11" s="183"/>
      <c r="I11" s="183"/>
      <c r="J11" s="183"/>
      <c r="K11" s="183"/>
      <c r="L11" s="1307"/>
      <c r="M11" s="77" t="s">
        <v>896</v>
      </c>
      <c r="N11" s="468" t="s">
        <v>77</v>
      </c>
      <c r="O11" s="113">
        <f t="shared" ref="O11:X11" si="3">SUM(O6:O10)</f>
        <v>33475.401494181031</v>
      </c>
      <c r="P11" s="113">
        <f t="shared" si="3"/>
        <v>32344.838781514871</v>
      </c>
      <c r="Q11" s="113">
        <f t="shared" si="3"/>
        <v>32868.841031240467</v>
      </c>
      <c r="R11" s="113">
        <f t="shared" si="3"/>
        <v>33027.820702666737</v>
      </c>
      <c r="S11" s="113">
        <f t="shared" si="3"/>
        <v>32256.203666666665</v>
      </c>
      <c r="T11" s="113">
        <f t="shared" si="3"/>
        <v>31973.330339110013</v>
      </c>
      <c r="U11" s="113">
        <f t="shared" si="3"/>
        <v>32485.277777777781</v>
      </c>
      <c r="V11" s="113">
        <f t="shared" si="3"/>
        <v>32711.5885046242</v>
      </c>
      <c r="W11" s="113">
        <f t="shared" si="3"/>
        <v>33442.470538539761</v>
      </c>
      <c r="X11" s="113">
        <f t="shared" si="3"/>
        <v>32865.916270280919</v>
      </c>
      <c r="Y11" s="394"/>
      <c r="Z11" s="74"/>
      <c r="AA11" s="74"/>
      <c r="AB11" s="113">
        <f>SUM(AB6:AB10)</f>
        <v>31150.220000000005</v>
      </c>
      <c r="AC11" s="113">
        <f>SUM(AC6:AC10)</f>
        <v>31031.234977777774</v>
      </c>
      <c r="AD11" s="113">
        <f t="shared" ref="AD11:BF11" si="4">SUM(AD6:AD10)</f>
        <v>31588.288618029652</v>
      </c>
      <c r="AE11" s="113">
        <f t="shared" si="4"/>
        <v>31807.950397501038</v>
      </c>
      <c r="AF11" s="113">
        <f t="shared" si="4"/>
        <v>32046.281334693067</v>
      </c>
      <c r="AG11" s="113">
        <f t="shared" si="4"/>
        <v>32289.162453489578</v>
      </c>
      <c r="AH11" s="113">
        <f t="shared" si="4"/>
        <v>32536.653962218275</v>
      </c>
      <c r="AI11" s="113">
        <f t="shared" si="4"/>
        <v>32793.690417888072</v>
      </c>
      <c r="AJ11" s="113">
        <f t="shared" si="4"/>
        <v>33054.833067545333</v>
      </c>
      <c r="AK11" s="113">
        <f t="shared" si="4"/>
        <v>33320.136484234717</v>
      </c>
      <c r="AL11" s="113">
        <f t="shared" si="4"/>
        <v>33589.656082742455</v>
      </c>
      <c r="AM11" s="113">
        <f t="shared" si="4"/>
        <v>33863.448132615697</v>
      </c>
      <c r="AN11" s="113">
        <f t="shared" si="4"/>
        <v>34141.56977139732</v>
      </c>
      <c r="AO11" s="113">
        <f t="shared" si="4"/>
        <v>34424.079018079712</v>
      </c>
      <c r="AP11" s="113">
        <f t="shared" si="4"/>
        <v>34711.034786781376</v>
      </c>
      <c r="AQ11" s="113">
        <f t="shared" si="4"/>
        <v>35002.496900650134</v>
      </c>
      <c r="AR11" s="113">
        <f t="shared" si="4"/>
        <v>35298.526105996709</v>
      </c>
      <c r="AS11" s="113">
        <f t="shared" si="4"/>
        <v>35599.184086662739</v>
      </c>
      <c r="AT11" s="113">
        <f t="shared" si="4"/>
        <v>35904.533478627156</v>
      </c>
      <c r="AU11" s="113">
        <f t="shared" si="4"/>
        <v>36214.637884854987</v>
      </c>
      <c r="AV11" s="113">
        <f t="shared" si="4"/>
        <v>36529.561890392783</v>
      </c>
      <c r="AW11" s="113">
        <f t="shared" si="4"/>
        <v>36849.371077714881</v>
      </c>
      <c r="AX11" s="113">
        <f t="shared" si="4"/>
        <v>37174.132042324731</v>
      </c>
      <c r="AY11" s="113">
        <f t="shared" si="4"/>
        <v>37503.912408615775</v>
      </c>
      <c r="AZ11" s="113">
        <f t="shared" si="4"/>
        <v>37838.780845996174</v>
      </c>
      <c r="BA11" s="113">
        <f t="shared" si="4"/>
        <v>38178.807085282104</v>
      </c>
      <c r="BB11" s="113">
        <f t="shared" si="4"/>
        <v>38510.590073427331</v>
      </c>
      <c r="BC11" s="113">
        <f t="shared" si="4"/>
        <v>38840.47286607229</v>
      </c>
      <c r="BD11" s="113">
        <f t="shared" si="4"/>
        <v>39168.268075015607</v>
      </c>
      <c r="BE11" s="113">
        <f t="shared" si="4"/>
        <v>39493.803779479807</v>
      </c>
      <c r="BF11" s="113">
        <f t="shared" si="4"/>
        <v>39823.975774213606</v>
      </c>
    </row>
    <row r="12" spans="1:59" x14ac:dyDescent="0.3">
      <c r="A12" s="183"/>
      <c r="B12" s="183"/>
      <c r="C12" s="183"/>
      <c r="D12" s="183"/>
      <c r="E12" s="183"/>
      <c r="F12" s="183"/>
      <c r="G12" s="183"/>
      <c r="H12" s="183"/>
      <c r="I12" s="183"/>
      <c r="J12" s="183"/>
      <c r="K12" s="183"/>
      <c r="L12" s="490"/>
      <c r="M12" s="77"/>
      <c r="N12" s="468"/>
      <c r="O12" s="113"/>
      <c r="P12" s="507">
        <f>(P11-O11)/O11</f>
        <v>-3.3772939597533545E-2</v>
      </c>
      <c r="Q12" s="507">
        <f t="shared" ref="Q12:X12" si="5">(Q11-P11)/P11</f>
        <v>1.620049038627653E-2</v>
      </c>
      <c r="R12" s="507">
        <f t="shared" si="5"/>
        <v>4.8367896901252662E-3</v>
      </c>
      <c r="S12" s="507">
        <f t="shared" si="5"/>
        <v>-2.3362638514559043E-2</v>
      </c>
      <c r="T12" s="507">
        <f t="shared" si="5"/>
        <v>-8.7695790391158542E-3</v>
      </c>
      <c r="U12" s="507">
        <f t="shared" si="5"/>
        <v>1.6011702041609052E-2</v>
      </c>
      <c r="V12" s="507">
        <f t="shared" si="5"/>
        <v>6.9665627732828439E-3</v>
      </c>
      <c r="W12" s="507">
        <f t="shared" si="5"/>
        <v>2.2343214356962255E-2</v>
      </c>
      <c r="X12" s="507">
        <f t="shared" si="5"/>
        <v>-1.7240181690357164E-2</v>
      </c>
      <c r="Y12" s="394"/>
      <c r="Z12" s="74"/>
      <c r="AA12" s="74"/>
      <c r="AB12" s="507">
        <f>(AB11-X11)/X11</f>
        <v>-5.2202903949838654E-2</v>
      </c>
      <c r="AC12" s="507">
        <f>(AC11-AB11)/AB11</f>
        <v>-3.8197169144304696E-3</v>
      </c>
      <c r="AD12" s="113"/>
      <c r="AE12" s="852">
        <f>2734995.7/1000000</f>
        <v>2.7349957000000003</v>
      </c>
      <c r="AF12" s="113"/>
      <c r="AG12" s="113"/>
      <c r="AH12" s="113"/>
      <c r="AI12" s="113"/>
      <c r="AJ12" s="113"/>
      <c r="AK12" s="113"/>
      <c r="AL12" s="113"/>
      <c r="AM12" s="113"/>
      <c r="AN12" s="113"/>
      <c r="AO12" s="113"/>
      <c r="AP12" s="113"/>
      <c r="AQ12" s="113"/>
      <c r="AR12" s="113"/>
      <c r="AS12" s="113"/>
      <c r="AT12" s="113"/>
      <c r="AU12" s="113"/>
      <c r="AV12" s="113"/>
      <c r="AW12" s="113"/>
      <c r="AX12" s="113"/>
      <c r="AY12" s="113"/>
      <c r="AZ12" s="113"/>
      <c r="BA12" s="113"/>
      <c r="BB12" s="113"/>
      <c r="BC12" s="113"/>
      <c r="BD12" s="113"/>
      <c r="BE12" s="113"/>
      <c r="BF12" s="113"/>
    </row>
    <row r="13" spans="1:59" x14ac:dyDescent="0.3">
      <c r="A13" s="183"/>
      <c r="B13" s="183"/>
      <c r="C13" s="183"/>
      <c r="D13" s="183"/>
      <c r="E13" s="183"/>
      <c r="F13" s="183"/>
      <c r="G13" s="183"/>
      <c r="H13" s="183"/>
      <c r="I13" s="183"/>
      <c r="J13" s="183"/>
      <c r="K13" s="183"/>
      <c r="L13" s="490"/>
      <c r="M13" s="77"/>
      <c r="N13" s="468"/>
      <c r="O13" s="113"/>
      <c r="P13" s="508"/>
      <c r="Q13" s="508"/>
      <c r="R13" s="508"/>
      <c r="S13" s="508"/>
      <c r="T13" s="508"/>
      <c r="U13" s="508"/>
      <c r="V13" s="508"/>
      <c r="W13" s="508"/>
      <c r="X13" s="508"/>
      <c r="Y13" s="394"/>
      <c r="Z13" s="2124" t="s">
        <v>897</v>
      </c>
      <c r="AA13" s="2124"/>
      <c r="AB13" s="508"/>
      <c r="AC13" s="841">
        <v>8.0000000000000002E-3</v>
      </c>
      <c r="AD13" s="841">
        <v>8.0000000000000002E-3</v>
      </c>
      <c r="AE13" s="841">
        <v>8.0000000000000002E-3</v>
      </c>
      <c r="AF13" s="841">
        <v>1.2999999999999999E-2</v>
      </c>
      <c r="AG13" s="841">
        <v>1.2999999999999999E-2</v>
      </c>
      <c r="AH13" s="841">
        <v>1.4999999999999999E-2</v>
      </c>
      <c r="AI13" s="841">
        <v>1.4999999999999999E-2</v>
      </c>
      <c r="AJ13" s="841">
        <v>1.9E-2</v>
      </c>
      <c r="AK13" s="841">
        <v>1.9E-2</v>
      </c>
      <c r="AL13" s="841">
        <v>1.9E-2</v>
      </c>
      <c r="AM13" s="840"/>
      <c r="AN13" s="113"/>
      <c r="AO13" s="113"/>
      <c r="AP13" s="113"/>
      <c r="AQ13" s="113"/>
      <c r="AR13" s="113"/>
      <c r="AS13" s="113"/>
      <c r="AT13" s="113"/>
      <c r="AU13" s="113"/>
      <c r="AV13" s="113"/>
      <c r="AW13" s="113"/>
      <c r="AX13" s="113"/>
      <c r="AY13" s="113"/>
      <c r="AZ13" s="113"/>
      <c r="BA13" s="113"/>
      <c r="BB13" s="113"/>
      <c r="BC13" s="113"/>
      <c r="BD13" s="113"/>
      <c r="BE13" s="113"/>
      <c r="BF13" s="113"/>
    </row>
    <row r="14" spans="1:59" x14ac:dyDescent="0.3">
      <c r="A14" s="183"/>
      <c r="B14" s="183"/>
      <c r="C14" s="183"/>
      <c r="D14" s="183"/>
      <c r="E14" s="183"/>
      <c r="F14" s="183"/>
      <c r="G14" s="183"/>
      <c r="H14" s="183"/>
      <c r="I14" s="183"/>
      <c r="J14" s="183"/>
      <c r="K14" s="183"/>
      <c r="L14" s="490"/>
      <c r="M14" s="648" t="s">
        <v>388</v>
      </c>
      <c r="N14" s="468"/>
      <c r="O14" s="113"/>
      <c r="P14" s="508"/>
      <c r="Q14" s="508"/>
      <c r="R14" s="508"/>
      <c r="S14" s="508"/>
      <c r="T14" s="508"/>
      <c r="U14" s="508"/>
      <c r="V14" s="508"/>
      <c r="W14" s="508"/>
      <c r="X14" s="508"/>
      <c r="Y14" s="394"/>
      <c r="Z14" s="839"/>
      <c r="AA14" s="74"/>
      <c r="AB14" s="500">
        <f t="shared" ref="AB14:BF14" si="6">AB611+AB1112+AB1113+AB1114+AB1296+AB1125+AB1126+AB1132+AB1133+AB1138+AB1139+AB1140+AB1141+AB1142</f>
        <v>10194.166666666664</v>
      </c>
      <c r="AC14" s="500">
        <f t="shared" si="6"/>
        <v>10049.722222222223</v>
      </c>
      <c r="AD14" s="500">
        <f t="shared" si="6"/>
        <v>10445.590222222223</v>
      </c>
      <c r="AE14" s="500">
        <f t="shared" si="6"/>
        <v>10508.010748344444</v>
      </c>
      <c r="AF14" s="500">
        <f t="shared" si="6"/>
        <v>10575.326125301934</v>
      </c>
      <c r="AG14" s="500">
        <f t="shared" si="6"/>
        <v>10645.246107139308</v>
      </c>
      <c r="AH14" s="500">
        <f t="shared" si="6"/>
        <v>10717.777341427935</v>
      </c>
      <c r="AI14" s="500">
        <f t="shared" si="6"/>
        <v>10792.927234040111</v>
      </c>
      <c r="AJ14" s="500">
        <f t="shared" si="6"/>
        <v>10870.703947171907</v>
      </c>
      <c r="AK14" s="500">
        <f t="shared" si="6"/>
        <v>10951.116397607773</v>
      </c>
      <c r="AL14" s="500">
        <f t="shared" si="6"/>
        <v>11034.174255225011</v>
      </c>
      <c r="AM14" s="500">
        <f t="shared" si="6"/>
        <v>11119.887941736351</v>
      </c>
      <c r="AN14" s="500">
        <f t="shared" si="6"/>
        <v>11208.268629668899</v>
      </c>
      <c r="AO14" s="500">
        <f t="shared" si="6"/>
        <v>11299.32824157783</v>
      </c>
      <c r="AP14" s="500">
        <f t="shared" si="6"/>
        <v>11393.079449493318</v>
      </c>
      <c r="AQ14" s="500">
        <f t="shared" si="6"/>
        <v>11489.535674599132</v>
      </c>
      <c r="AR14" s="500">
        <f t="shared" si="6"/>
        <v>11588.711087141652</v>
      </c>
      <c r="AS14" s="500">
        <f t="shared" si="6"/>
        <v>11690.620606567874</v>
      </c>
      <c r="AT14" s="500">
        <f t="shared" si="6"/>
        <v>11795.279901891236</v>
      </c>
      <c r="AU14" s="500">
        <f t="shared" si="6"/>
        <v>11902.705392284073</v>
      </c>
      <c r="AV14" s="500">
        <f t="shared" si="6"/>
        <v>12012.914247895635</v>
      </c>
      <c r="AW14" s="500">
        <f t="shared" si="6"/>
        <v>12125.924390894686</v>
      </c>
      <c r="AX14" s="500">
        <f t="shared" si="6"/>
        <v>12241.754496735683</v>
      </c>
      <c r="AY14" s="500">
        <f t="shared" si="6"/>
        <v>12360.423995647745</v>
      </c>
      <c r="AZ14" s="500">
        <f t="shared" si="6"/>
        <v>12481.953074345598</v>
      </c>
      <c r="BA14" s="500">
        <f t="shared" si="6"/>
        <v>12606.36267796177</v>
      </c>
      <c r="BB14" s="500">
        <f t="shared" si="6"/>
        <v>12731.492760783867</v>
      </c>
      <c r="BC14" s="500">
        <f t="shared" si="6"/>
        <v>12858.381396742458</v>
      </c>
      <c r="BD14" s="500">
        <f t="shared" si="6"/>
        <v>12987.009647856081</v>
      </c>
      <c r="BE14" s="500">
        <f t="shared" si="6"/>
        <v>13117.361666457824</v>
      </c>
      <c r="BF14" s="500">
        <f t="shared" si="6"/>
        <v>13250.566798219119</v>
      </c>
    </row>
    <row r="15" spans="1:59" x14ac:dyDescent="0.3">
      <c r="A15" s="183"/>
      <c r="B15" s="183"/>
      <c r="C15" s="183"/>
      <c r="D15" s="183"/>
      <c r="E15" s="183"/>
      <c r="F15" s="183"/>
      <c r="G15" s="183"/>
      <c r="H15" s="183"/>
      <c r="I15" s="183"/>
      <c r="J15" s="183"/>
      <c r="K15" s="183"/>
      <c r="L15" s="490"/>
      <c r="M15" s="648" t="s">
        <v>389</v>
      </c>
      <c r="N15" s="468"/>
      <c r="O15" s="113"/>
      <c r="P15" s="508"/>
      <c r="Q15" s="508"/>
      <c r="R15" s="508"/>
      <c r="S15" s="508"/>
      <c r="T15" s="508"/>
      <c r="U15" s="508"/>
      <c r="V15" s="508"/>
      <c r="W15" s="508"/>
      <c r="X15" s="508"/>
      <c r="Y15" s="394"/>
      <c r="Z15" s="839"/>
      <c r="AA15" s="74"/>
      <c r="AB15" s="500">
        <f t="shared" ref="AB15:BF15" si="7">AB612+AB1115+AB1300</f>
        <v>1323.8888888888889</v>
      </c>
      <c r="AC15" s="500">
        <f t="shared" si="7"/>
        <v>1381.3888888888887</v>
      </c>
      <c r="AD15" s="500">
        <f t="shared" si="7"/>
        <v>1330.8916666666664</v>
      </c>
      <c r="AE15" s="500">
        <f t="shared" si="7"/>
        <v>1346.0450333333331</v>
      </c>
      <c r="AF15" s="500">
        <f t="shared" si="7"/>
        <v>1364.6989421666663</v>
      </c>
      <c r="AG15" s="500">
        <f t="shared" si="7"/>
        <v>1383.6224586324993</v>
      </c>
      <c r="AH15" s="500">
        <f t="shared" si="7"/>
        <v>1402.8195248353206</v>
      </c>
      <c r="AI15" s="500">
        <f t="shared" si="7"/>
        <v>1422.2941409910832</v>
      </c>
      <c r="AJ15" s="500">
        <f t="shared" si="7"/>
        <v>1442.050366288682</v>
      </c>
      <c r="AK15" s="500">
        <f t="shared" si="7"/>
        <v>1462.092319764238</v>
      </c>
      <c r="AL15" s="500">
        <f t="shared" si="7"/>
        <v>1482.4241811884069</v>
      </c>
      <c r="AM15" s="500">
        <f t="shared" si="7"/>
        <v>1503.0501919668818</v>
      </c>
      <c r="AN15" s="500">
        <f t="shared" si="7"/>
        <v>1523.9746560543076</v>
      </c>
      <c r="AO15" s="500">
        <f t="shared" si="7"/>
        <v>1545.2019408817894</v>
      </c>
      <c r="AP15" s="500">
        <f t="shared" si="7"/>
        <v>1566.7364782982177</v>
      </c>
      <c r="AQ15" s="500">
        <f t="shared" si="7"/>
        <v>1588.5827655255905</v>
      </c>
      <c r="AR15" s="500">
        <f t="shared" si="7"/>
        <v>1610.7453661285699</v>
      </c>
      <c r="AS15" s="500">
        <f t="shared" si="7"/>
        <v>1633.228910998462</v>
      </c>
      <c r="AT15" s="500">
        <f t="shared" si="7"/>
        <v>1656.0380993518481</v>
      </c>
      <c r="AU15" s="500">
        <f t="shared" si="7"/>
        <v>1679.1776997440863</v>
      </c>
      <c r="AV15" s="500">
        <f t="shared" si="7"/>
        <v>1702.6525510978943</v>
      </c>
      <c r="AW15" s="500">
        <f t="shared" si="7"/>
        <v>1726.4675637472521</v>
      </c>
      <c r="AX15" s="500">
        <f t="shared" si="7"/>
        <v>1750.627720496846</v>
      </c>
      <c r="AY15" s="500">
        <f t="shared" si="7"/>
        <v>1775.1380776972849</v>
      </c>
      <c r="AZ15" s="500">
        <f t="shared" si="7"/>
        <v>1800.0037663363255</v>
      </c>
      <c r="BA15" s="500">
        <f t="shared" si="7"/>
        <v>1825.2299931463558</v>
      </c>
      <c r="BB15" s="500">
        <f t="shared" si="7"/>
        <v>1847.7483644903612</v>
      </c>
      <c r="BC15" s="500">
        <f t="shared" si="7"/>
        <v>1868.9950387329054</v>
      </c>
      <c r="BD15" s="500">
        <f t="shared" si="7"/>
        <v>1888.9160440070843</v>
      </c>
      <c r="BE15" s="500">
        <f t="shared" si="7"/>
        <v>1907.4607600027114</v>
      </c>
      <c r="BF15" s="500">
        <f t="shared" si="7"/>
        <v>1926.1909231582933</v>
      </c>
    </row>
    <row r="16" spans="1:59" x14ac:dyDescent="0.3">
      <c r="A16" s="183"/>
      <c r="B16" s="183"/>
      <c r="C16" s="183"/>
      <c r="D16" s="183"/>
      <c r="E16" s="183"/>
      <c r="F16" s="183"/>
      <c r="G16" s="183"/>
      <c r="H16" s="183"/>
      <c r="I16" s="183"/>
      <c r="J16" s="183"/>
      <c r="K16" s="183"/>
      <c r="L16" s="490"/>
      <c r="M16" s="648" t="s">
        <v>390</v>
      </c>
      <c r="N16" s="468"/>
      <c r="O16" s="113"/>
      <c r="P16" s="508"/>
      <c r="Q16" s="508"/>
      <c r="R16" s="508"/>
      <c r="S16" s="508"/>
      <c r="T16" s="508"/>
      <c r="U16" s="508"/>
      <c r="V16" s="508"/>
      <c r="W16" s="508"/>
      <c r="X16" s="508"/>
      <c r="Y16" s="394"/>
      <c r="Z16" s="839"/>
      <c r="AA16" s="74"/>
      <c r="AB16" s="500">
        <f t="shared" ref="AB16:BF16" si="8">AB613+AB1301</f>
        <v>119.72222222222223</v>
      </c>
      <c r="AC16" s="500">
        <f t="shared" si="8"/>
        <v>5.833333333333333</v>
      </c>
      <c r="AD16" s="500">
        <f t="shared" si="8"/>
        <v>124.81388888888888</v>
      </c>
      <c r="AE16" s="500">
        <f t="shared" si="8"/>
        <v>126.27165555555554</v>
      </c>
      <c r="AF16" s="500">
        <f t="shared" si="8"/>
        <v>128.11573038888886</v>
      </c>
      <c r="AG16" s="500">
        <f t="shared" si="8"/>
        <v>129.98746634472218</v>
      </c>
      <c r="AH16" s="500">
        <f t="shared" si="8"/>
        <v>131.88727833989302</v>
      </c>
      <c r="AI16" s="500">
        <f t="shared" si="8"/>
        <v>133.81558751499139</v>
      </c>
      <c r="AJ16" s="500">
        <f t="shared" si="8"/>
        <v>135.77282132771623</v>
      </c>
      <c r="AK16" s="500">
        <f t="shared" si="8"/>
        <v>137.75941364763196</v>
      </c>
      <c r="AL16" s="500">
        <f t="shared" si="8"/>
        <v>139.77580485234645</v>
      </c>
      <c r="AM16" s="500">
        <f t="shared" si="8"/>
        <v>141.82244192513164</v>
      </c>
      <c r="AN16" s="500">
        <f t="shared" si="8"/>
        <v>143.89977855400858</v>
      </c>
      <c r="AO16" s="500">
        <f t="shared" si="8"/>
        <v>146.00827523231871</v>
      </c>
      <c r="AP16" s="500">
        <f t="shared" si="8"/>
        <v>148.14839936080347</v>
      </c>
      <c r="AQ16" s="500">
        <f t="shared" si="8"/>
        <v>150.32062535121551</v>
      </c>
      <c r="AR16" s="500">
        <f t="shared" si="8"/>
        <v>152.52543473148373</v>
      </c>
      <c r="AS16" s="500">
        <f t="shared" si="8"/>
        <v>154.76331625245595</v>
      </c>
      <c r="AT16" s="500">
        <f t="shared" si="8"/>
        <v>157.03476599624284</v>
      </c>
      <c r="AU16" s="500">
        <f t="shared" si="8"/>
        <v>159.34028748618647</v>
      </c>
      <c r="AV16" s="500">
        <f t="shared" si="8"/>
        <v>161.68039179847923</v>
      </c>
      <c r="AW16" s="500">
        <f t="shared" si="8"/>
        <v>164.0555976754564</v>
      </c>
      <c r="AX16" s="500">
        <f t="shared" si="8"/>
        <v>166.46643164058824</v>
      </c>
      <c r="AY16" s="500">
        <f t="shared" si="8"/>
        <v>168.91342811519701</v>
      </c>
      <c r="AZ16" s="500">
        <f t="shared" si="8"/>
        <v>171.39712953692495</v>
      </c>
      <c r="BA16" s="500">
        <f t="shared" si="8"/>
        <v>173.9180864799788</v>
      </c>
      <c r="BB16" s="500">
        <f t="shared" si="8"/>
        <v>176.1356882708852</v>
      </c>
      <c r="BC16" s="500">
        <f t="shared" si="8"/>
        <v>178.20931653013582</v>
      </c>
      <c r="BD16" s="500">
        <f t="shared" si="8"/>
        <v>180.13295234530065</v>
      </c>
      <c r="BE16" s="500">
        <f t="shared" si="8"/>
        <v>181.90094853542035</v>
      </c>
      <c r="BF16" s="500">
        <f t="shared" si="8"/>
        <v>183.68662468744122</v>
      </c>
    </row>
    <row r="17" spans="1:58" x14ac:dyDescent="0.3">
      <c r="A17" s="183"/>
      <c r="B17" s="183"/>
      <c r="C17" s="183"/>
      <c r="D17" s="183"/>
      <c r="E17" s="183"/>
      <c r="F17" s="183"/>
      <c r="G17" s="183"/>
      <c r="H17" s="183"/>
      <c r="I17" s="183"/>
      <c r="J17" s="183"/>
      <c r="K17" s="183"/>
      <c r="L17" s="490"/>
      <c r="M17" s="648" t="s">
        <v>391</v>
      </c>
      <c r="N17" s="468"/>
      <c r="O17" s="113"/>
      <c r="P17" s="508"/>
      <c r="Q17" s="508"/>
      <c r="R17" s="508"/>
      <c r="S17" s="508"/>
      <c r="T17" s="508"/>
      <c r="U17" s="508"/>
      <c r="V17" s="508"/>
      <c r="W17" s="508"/>
      <c r="X17" s="508"/>
      <c r="Y17" s="394"/>
      <c r="Z17" s="839"/>
      <c r="AA17" s="74"/>
      <c r="AB17" s="500">
        <f t="shared" ref="AB17:BF17" si="9">AB614+AB1117+AB1307</f>
        <v>823.61111111111109</v>
      </c>
      <c r="AC17" s="500">
        <f t="shared" si="9"/>
        <v>781.3888888888888</v>
      </c>
      <c r="AD17" s="500">
        <f t="shared" si="9"/>
        <v>878.25683333333336</v>
      </c>
      <c r="AE17" s="500">
        <f t="shared" si="9"/>
        <v>889.37120410833325</v>
      </c>
      <c r="AF17" s="500">
        <f t="shared" si="9"/>
        <v>901.36054284668364</v>
      </c>
      <c r="AG17" s="500">
        <f t="shared" si="9"/>
        <v>913.57854237096421</v>
      </c>
      <c r="AH17" s="500">
        <f t="shared" si="9"/>
        <v>926.02824600445024</v>
      </c>
      <c r="AI17" s="500">
        <f t="shared" si="9"/>
        <v>938.71276265776567</v>
      </c>
      <c r="AJ17" s="500">
        <f t="shared" si="9"/>
        <v>951.63526765006043</v>
      </c>
      <c r="AK17" s="500">
        <f t="shared" si="9"/>
        <v>964.79900355066059</v>
      </c>
      <c r="AL17" s="500">
        <f t="shared" si="9"/>
        <v>978.20728104142847</v>
      </c>
      <c r="AM17" s="500">
        <f t="shared" si="9"/>
        <v>991.86347980008009</v>
      </c>
      <c r="AN17" s="500">
        <f t="shared" si="9"/>
        <v>1005.7710494047093</v>
      </c>
      <c r="AO17" s="500">
        <f t="shared" si="9"/>
        <v>1019.9335102597842</v>
      </c>
      <c r="AP17" s="500">
        <f t="shared" si="9"/>
        <v>1034.354454543877</v>
      </c>
      <c r="AQ17" s="500">
        <f t="shared" si="9"/>
        <v>1049.0375471794057</v>
      </c>
      <c r="AR17" s="500">
        <f t="shared" si="9"/>
        <v>1063.986526824667</v>
      </c>
      <c r="AS17" s="500">
        <f t="shared" si="9"/>
        <v>1079.20520688845</v>
      </c>
      <c r="AT17" s="500">
        <f t="shared" si="9"/>
        <v>1094.6974765675286</v>
      </c>
      <c r="AU17" s="500">
        <f t="shared" si="9"/>
        <v>1110.4673019073332</v>
      </c>
      <c r="AV17" s="500">
        <f t="shared" si="9"/>
        <v>1126.5187268861166</v>
      </c>
      <c r="AW17" s="500">
        <f t="shared" si="9"/>
        <v>1142.8558745229348</v>
      </c>
      <c r="AX17" s="500">
        <f t="shared" si="9"/>
        <v>1159.482948009764</v>
      </c>
      <c r="AY17" s="500">
        <f t="shared" si="9"/>
        <v>1176.404231868097</v>
      </c>
      <c r="AZ17" s="500">
        <f t="shared" si="9"/>
        <v>1193.6240931303571</v>
      </c>
      <c r="BA17" s="500">
        <f t="shared" si="9"/>
        <v>1211.1469825464833</v>
      </c>
      <c r="BB17" s="500">
        <f t="shared" si="9"/>
        <v>1228.3604941915028</v>
      </c>
      <c r="BC17" s="500">
        <f t="shared" si="9"/>
        <v>1245.5564362988614</v>
      </c>
      <c r="BD17" s="500">
        <f t="shared" si="9"/>
        <v>1262.7275930945893</v>
      </c>
      <c r="BE17" s="500">
        <f t="shared" si="9"/>
        <v>1279.8674941985344</v>
      </c>
      <c r="BF17" s="500">
        <f t="shared" si="9"/>
        <v>1297.2933716485206</v>
      </c>
    </row>
    <row r="18" spans="1:58" x14ac:dyDescent="0.3">
      <c r="A18" s="183"/>
      <c r="B18" s="183"/>
      <c r="C18" s="183"/>
      <c r="D18" s="183"/>
      <c r="E18" s="183"/>
      <c r="F18" s="183"/>
      <c r="G18" s="183"/>
      <c r="H18" s="183"/>
      <c r="I18" s="183"/>
      <c r="J18" s="183"/>
      <c r="K18" s="183"/>
      <c r="L18" s="490"/>
      <c r="M18" s="648" t="s">
        <v>392</v>
      </c>
      <c r="N18" s="468"/>
      <c r="O18" s="113"/>
      <c r="P18" s="508"/>
      <c r="Q18" s="508"/>
      <c r="R18" s="508"/>
      <c r="S18" s="508"/>
      <c r="T18" s="508"/>
      <c r="U18" s="508"/>
      <c r="V18" s="508"/>
      <c r="W18" s="508"/>
      <c r="X18" s="508"/>
      <c r="Y18" s="394"/>
      <c r="Z18" s="839"/>
      <c r="AA18" s="74"/>
      <c r="AB18" s="951">
        <f t="shared" ref="AB18:BF18" si="10">AB615+AB669+AB869+AB1306</f>
        <v>11759.367222222223</v>
      </c>
      <c r="AC18" s="951">
        <f t="shared" si="10"/>
        <v>11760.36413888889</v>
      </c>
      <c r="AD18" s="951">
        <f t="shared" si="10"/>
        <v>11775.381003582776</v>
      </c>
      <c r="AE18" s="951">
        <f t="shared" si="10"/>
        <v>11799.737793833589</v>
      </c>
      <c r="AF18" s="951">
        <f t="shared" si="10"/>
        <v>11827.019909230195</v>
      </c>
      <c r="AG18" s="951">
        <f t="shared" si="10"/>
        <v>11855.842970272412</v>
      </c>
      <c r="AH18" s="951">
        <f t="shared" si="10"/>
        <v>11886.226061283594</v>
      </c>
      <c r="AI18" s="951">
        <f t="shared" si="10"/>
        <v>11924.24277947966</v>
      </c>
      <c r="AJ18" s="951">
        <f t="shared" si="10"/>
        <v>11963.381171284229</v>
      </c>
      <c r="AK18" s="951">
        <f t="shared" si="10"/>
        <v>12003.655707826209</v>
      </c>
      <c r="AL18" s="951">
        <f t="shared" si="10"/>
        <v>12045.081106889727</v>
      </c>
      <c r="AM18" s="951">
        <f t="shared" si="10"/>
        <v>12087.672336805814</v>
      </c>
      <c r="AN18" s="951">
        <f t="shared" si="10"/>
        <v>12131.444620410319</v>
      </c>
      <c r="AO18" s="951">
        <f t="shared" si="10"/>
        <v>12176.413439069283</v>
      </c>
      <c r="AP18" s="951">
        <f t="shared" si="10"/>
        <v>12222.594536772849</v>
      </c>
      <c r="AQ18" s="951">
        <f t="shared" si="10"/>
        <v>12270.003924298955</v>
      </c>
      <c r="AR18" s="951">
        <f t="shared" si="10"/>
        <v>12318.657883447959</v>
      </c>
      <c r="AS18" s="951">
        <f t="shared" si="10"/>
        <v>12368.572971349442</v>
      </c>
      <c r="AT18" s="951">
        <f t="shared" si="10"/>
        <v>12419.766024842471</v>
      </c>
      <c r="AU18" s="951">
        <f t="shared" si="10"/>
        <v>12472.25416493046</v>
      </c>
      <c r="AV18" s="951">
        <f t="shared" si="10"/>
        <v>12526.05480131209</v>
      </c>
      <c r="AW18" s="951">
        <f t="shared" si="10"/>
        <v>12581.18563698947</v>
      </c>
      <c r="AX18" s="951">
        <f t="shared" si="10"/>
        <v>12637.664672954925</v>
      </c>
      <c r="AY18" s="951">
        <f t="shared" si="10"/>
        <v>12695.510212957755</v>
      </c>
      <c r="AZ18" s="951">
        <f t="shared" si="10"/>
        <v>12754.740868352377</v>
      </c>
      <c r="BA18" s="951">
        <f t="shared" si="10"/>
        <v>12815.375563029227</v>
      </c>
      <c r="BB18" s="951">
        <f t="shared" si="10"/>
        <v>12876.100377218178</v>
      </c>
      <c r="BC18" s="951">
        <f t="shared" si="10"/>
        <v>12937.555461556683</v>
      </c>
      <c r="BD18" s="951">
        <f t="shared" si="10"/>
        <v>12999.734938638314</v>
      </c>
      <c r="BE18" s="951">
        <f t="shared" si="10"/>
        <v>13062.634683013164</v>
      </c>
      <c r="BF18" s="951">
        <f t="shared" si="10"/>
        <v>13126.950207807437</v>
      </c>
    </row>
    <row r="19" spans="1:58" x14ac:dyDescent="0.3">
      <c r="A19" s="183"/>
      <c r="B19" s="183"/>
      <c r="C19" s="183"/>
      <c r="D19" s="183"/>
      <c r="E19" s="183"/>
      <c r="F19" s="183"/>
      <c r="G19" s="183"/>
      <c r="H19" s="183"/>
      <c r="I19" s="183"/>
      <c r="J19" s="183"/>
      <c r="K19" s="183"/>
      <c r="L19" s="490"/>
      <c r="M19" s="648" t="s">
        <v>393</v>
      </c>
      <c r="N19" s="468"/>
      <c r="O19" s="113"/>
      <c r="P19" s="508"/>
      <c r="Q19" s="508"/>
      <c r="R19" s="508"/>
      <c r="S19" s="508"/>
      <c r="T19" s="508"/>
      <c r="U19" s="508"/>
      <c r="V19" s="508"/>
      <c r="W19" s="508"/>
      <c r="X19" s="508"/>
      <c r="Y19" s="394"/>
      <c r="Z19" s="839"/>
      <c r="AA19" s="74"/>
      <c r="AB19" s="500">
        <f t="shared" ref="AB19:BF19" si="11">AB616+AB683+AB891+AB1116+AB1305+AB1127</f>
        <v>6928.0749999999998</v>
      </c>
      <c r="AC19" s="500">
        <f t="shared" si="11"/>
        <v>7052.537505555556</v>
      </c>
      <c r="AD19" s="500">
        <f t="shared" si="11"/>
        <v>7033.3550033357724</v>
      </c>
      <c r="AE19" s="500">
        <f t="shared" si="11"/>
        <v>7138.5139623257865</v>
      </c>
      <c r="AF19" s="500">
        <f t="shared" si="11"/>
        <v>7249.7600847587055</v>
      </c>
      <c r="AG19" s="500">
        <f t="shared" si="11"/>
        <v>7360.8849087296749</v>
      </c>
      <c r="AH19" s="500">
        <f t="shared" si="11"/>
        <v>7471.9155103270814</v>
      </c>
      <c r="AI19" s="500">
        <f t="shared" si="11"/>
        <v>7581.6979132044662</v>
      </c>
      <c r="AJ19" s="500">
        <f t="shared" si="11"/>
        <v>7691.2894938227355</v>
      </c>
      <c r="AK19" s="500">
        <f t="shared" si="11"/>
        <v>7800.7136418382033</v>
      </c>
      <c r="AL19" s="500">
        <f t="shared" si="11"/>
        <v>7909.9934535455332</v>
      </c>
      <c r="AM19" s="500">
        <f t="shared" si="11"/>
        <v>8019.1517403814414</v>
      </c>
      <c r="AN19" s="500">
        <f t="shared" si="11"/>
        <v>8128.21103730508</v>
      </c>
      <c r="AO19" s="500">
        <f t="shared" si="11"/>
        <v>8237.1936110587012</v>
      </c>
      <c r="AP19" s="500">
        <f t="shared" si="11"/>
        <v>8346.1214683123108</v>
      </c>
      <c r="AQ19" s="500">
        <f t="shared" si="11"/>
        <v>8455.0163636958368</v>
      </c>
      <c r="AR19" s="500">
        <f t="shared" si="11"/>
        <v>8563.8998077223805</v>
      </c>
      <c r="AS19" s="500">
        <f t="shared" si="11"/>
        <v>8672.7930746060538</v>
      </c>
      <c r="AT19" s="500">
        <f t="shared" si="11"/>
        <v>8781.7172099778309</v>
      </c>
      <c r="AU19" s="500">
        <f t="shared" si="11"/>
        <v>8890.6930385028481</v>
      </c>
      <c r="AV19" s="500">
        <f t="shared" si="11"/>
        <v>8999.7411714025675</v>
      </c>
      <c r="AW19" s="500">
        <f t="shared" si="11"/>
        <v>9108.8820138850806</v>
      </c>
      <c r="AX19" s="500">
        <f t="shared" si="11"/>
        <v>9218.1357724869322</v>
      </c>
      <c r="AY19" s="500">
        <f t="shared" si="11"/>
        <v>9327.5224623296945</v>
      </c>
      <c r="AZ19" s="500">
        <f t="shared" si="11"/>
        <v>9437.0619142945852</v>
      </c>
      <c r="BA19" s="500">
        <f t="shared" si="11"/>
        <v>9546.7737821182909</v>
      </c>
      <c r="BB19" s="500">
        <f t="shared" si="11"/>
        <v>9650.7523884725324</v>
      </c>
      <c r="BC19" s="500">
        <f t="shared" si="11"/>
        <v>9751.7752162112465</v>
      </c>
      <c r="BD19" s="500">
        <f t="shared" si="11"/>
        <v>9849.7468990742382</v>
      </c>
      <c r="BE19" s="500">
        <f t="shared" si="11"/>
        <v>9944.5782272721517</v>
      </c>
      <c r="BF19" s="500">
        <f t="shared" si="11"/>
        <v>10039.287848692791</v>
      </c>
    </row>
    <row r="20" spans="1:58" x14ac:dyDescent="0.3">
      <c r="A20" s="183"/>
      <c r="B20" s="183"/>
      <c r="C20" s="183"/>
      <c r="D20" s="183"/>
      <c r="E20" s="183"/>
      <c r="F20" s="183"/>
      <c r="G20" s="183"/>
      <c r="H20" s="183"/>
      <c r="I20" s="183"/>
      <c r="J20" s="183"/>
      <c r="K20" s="183"/>
      <c r="L20" s="490"/>
      <c r="M20" s="77"/>
      <c r="N20" s="468"/>
      <c r="O20" s="113"/>
      <c r="P20" s="508"/>
      <c r="Q20" s="508"/>
      <c r="R20" s="508"/>
      <c r="S20" s="508"/>
      <c r="T20" s="508"/>
      <c r="U20" s="508"/>
      <c r="V20" s="508"/>
      <c r="W20" s="508"/>
      <c r="X20" s="508"/>
      <c r="Y20" s="394"/>
      <c r="Z20" s="74"/>
      <c r="AA20" s="74"/>
      <c r="AB20" s="863">
        <f>SUM(AB14:AB19)</f>
        <v>31148.831111111111</v>
      </c>
      <c r="AC20" s="863">
        <f>SUM(AC14:AC19)</f>
        <v>31031.234977777778</v>
      </c>
      <c r="AD20" s="863">
        <f>SUM(AD14:AD19)</f>
        <v>31588.288618029659</v>
      </c>
      <c r="AE20" s="863">
        <f>SUM(AE14:AE19)</f>
        <v>31807.950397501041</v>
      </c>
      <c r="AF20" s="863">
        <f t="shared" ref="AF20:BF20" si="12">SUM(AF14:AF19)</f>
        <v>32046.281334693074</v>
      </c>
      <c r="AG20" s="863">
        <f t="shared" si="12"/>
        <v>32289.162453489582</v>
      </c>
      <c r="AH20" s="863">
        <f t="shared" si="12"/>
        <v>32536.653962218275</v>
      </c>
      <c r="AI20" s="863">
        <f t="shared" si="12"/>
        <v>32793.69041788808</v>
      </c>
      <c r="AJ20" s="863">
        <f t="shared" si="12"/>
        <v>33054.833067545333</v>
      </c>
      <c r="AK20" s="863">
        <f t="shared" si="12"/>
        <v>33320.136484234717</v>
      </c>
      <c r="AL20" s="863">
        <f t="shared" si="12"/>
        <v>33589.656082742455</v>
      </c>
      <c r="AM20" s="863">
        <f t="shared" si="12"/>
        <v>33863.448132615704</v>
      </c>
      <c r="AN20" s="863">
        <f t="shared" si="12"/>
        <v>34141.569771397328</v>
      </c>
      <c r="AO20" s="863">
        <f t="shared" si="12"/>
        <v>34424.079018079705</v>
      </c>
      <c r="AP20" s="863">
        <f t="shared" si="12"/>
        <v>34711.034786781376</v>
      </c>
      <c r="AQ20" s="863">
        <f t="shared" si="12"/>
        <v>35002.496900650134</v>
      </c>
      <c r="AR20" s="863">
        <f t="shared" si="12"/>
        <v>35298.526105996709</v>
      </c>
      <c r="AS20" s="863">
        <f t="shared" si="12"/>
        <v>35599.184086662739</v>
      </c>
      <c r="AT20" s="863">
        <f t="shared" si="12"/>
        <v>35904.533478627156</v>
      </c>
      <c r="AU20" s="863">
        <f t="shared" si="12"/>
        <v>36214.637884854987</v>
      </c>
      <c r="AV20" s="863">
        <f t="shared" si="12"/>
        <v>36529.561890392783</v>
      </c>
      <c r="AW20" s="863">
        <f t="shared" si="12"/>
        <v>36849.371077714881</v>
      </c>
      <c r="AX20" s="863">
        <f t="shared" si="12"/>
        <v>37174.132042324738</v>
      </c>
      <c r="AY20" s="863">
        <f t="shared" si="12"/>
        <v>37503.912408615775</v>
      </c>
      <c r="AZ20" s="863">
        <f t="shared" si="12"/>
        <v>37838.780845996167</v>
      </c>
      <c r="BA20" s="863">
        <f t="shared" si="12"/>
        <v>38178.807085282104</v>
      </c>
      <c r="BB20" s="863">
        <f t="shared" si="12"/>
        <v>38510.590073427324</v>
      </c>
      <c r="BC20" s="863">
        <f t="shared" si="12"/>
        <v>38840.47286607229</v>
      </c>
      <c r="BD20" s="863">
        <f t="shared" si="12"/>
        <v>39168.268075015607</v>
      </c>
      <c r="BE20" s="863">
        <f t="shared" si="12"/>
        <v>39493.8037794798</v>
      </c>
      <c r="BF20" s="863">
        <f t="shared" si="12"/>
        <v>39823.975774213599</v>
      </c>
    </row>
    <row r="21" spans="1:58" ht="29.45" customHeight="1" x14ac:dyDescent="0.3">
      <c r="A21" s="184"/>
      <c r="B21" s="184"/>
      <c r="C21" s="184"/>
      <c r="D21" s="184"/>
      <c r="E21" s="184"/>
      <c r="F21" s="184"/>
      <c r="G21" s="184"/>
      <c r="H21" s="184"/>
      <c r="I21" s="184"/>
      <c r="J21" s="184"/>
      <c r="K21" s="184"/>
      <c r="L21" s="1308" t="s">
        <v>557</v>
      </c>
      <c r="M21" s="79" t="s">
        <v>898</v>
      </c>
      <c r="N21" s="188"/>
      <c r="O21" s="189"/>
      <c r="P21" s="189"/>
      <c r="Q21" s="189"/>
      <c r="R21" s="189"/>
      <c r="S21" s="189"/>
      <c r="T21" s="189"/>
      <c r="U21" s="189"/>
      <c r="V21" s="189"/>
      <c r="W21" s="189"/>
      <c r="X21" s="189"/>
      <c r="Y21" s="394"/>
      <c r="Z21" s="191"/>
      <c r="AA21" s="191"/>
      <c r="AB21" s="189"/>
      <c r="AC21" s="189"/>
      <c r="AD21" s="1029"/>
      <c r="AE21" s="1029"/>
      <c r="AF21" s="1029"/>
      <c r="AG21" s="1029"/>
      <c r="AH21" s="1029"/>
      <c r="AI21" s="1029"/>
      <c r="AJ21" s="1029"/>
      <c r="AK21" s="1029"/>
      <c r="AL21" s="950">
        <v>1.49E-2</v>
      </c>
      <c r="AM21" s="190" t="s">
        <v>70</v>
      </c>
      <c r="AN21" s="190"/>
      <c r="AO21" s="190"/>
      <c r="AP21" s="190"/>
      <c r="AQ21" s="190"/>
      <c r="AR21" s="190"/>
      <c r="AS21" s="190"/>
      <c r="AT21" s="190"/>
      <c r="AU21" s="190"/>
      <c r="AV21" s="190"/>
      <c r="AW21" s="190"/>
      <c r="AX21" s="190"/>
      <c r="AY21" s="190"/>
      <c r="AZ21" s="190"/>
      <c r="BA21" s="190"/>
      <c r="BB21" s="190"/>
      <c r="BC21" s="190"/>
      <c r="BD21" s="190"/>
      <c r="BE21" s="190"/>
      <c r="BF21" s="190"/>
    </row>
    <row r="22" spans="1:58" x14ac:dyDescent="0.3">
      <c r="A22" s="184"/>
      <c r="B22" s="184" t="s">
        <v>883</v>
      </c>
      <c r="C22" s="184" t="s">
        <v>899</v>
      </c>
      <c r="D22" s="184" t="s">
        <v>900</v>
      </c>
      <c r="E22" s="184"/>
      <c r="F22" s="184"/>
      <c r="G22" s="184"/>
      <c r="H22" s="184"/>
      <c r="I22" s="184"/>
      <c r="J22" s="184"/>
      <c r="K22" s="184"/>
      <c r="L22" s="1308"/>
      <c r="M22" s="464" t="s">
        <v>901</v>
      </c>
      <c r="N22" s="463" t="s">
        <v>77</v>
      </c>
      <c r="O22" s="193"/>
      <c r="P22" s="193"/>
      <c r="Q22" s="193"/>
      <c r="R22" s="193"/>
      <c r="S22" s="193"/>
      <c r="T22" s="193"/>
      <c r="U22" s="193"/>
      <c r="V22" s="193"/>
      <c r="W22" s="193"/>
      <c r="X22" s="193"/>
      <c r="Y22" s="394"/>
      <c r="Z22" s="194"/>
      <c r="AA22" s="194"/>
      <c r="AB22" s="403"/>
      <c r="AC22" s="403">
        <f t="shared" ref="AC22:AL26" si="13">SUMIFS(AC$248:AC$1322,$B$248:$B$1322,$B22,$C$248:$C$1322,$C22,$D$248:$D$1322,$D22)</f>
        <v>-71.459249999999997</v>
      </c>
      <c r="AD22" s="403">
        <f t="shared" si="13"/>
        <v>-3.2802999999999969</v>
      </c>
      <c r="AE22" s="403">
        <f t="shared" si="13"/>
        <v>-3.2802999999999969</v>
      </c>
      <c r="AF22" s="403">
        <f t="shared" si="13"/>
        <v>-3.2802999999999969</v>
      </c>
      <c r="AG22" s="403">
        <f t="shared" si="13"/>
        <v>-52.763646847227356</v>
      </c>
      <c r="AH22" s="403">
        <f t="shared" si="13"/>
        <v>-102.24699369445472</v>
      </c>
      <c r="AI22" s="403">
        <f t="shared" si="13"/>
        <v>-144.66129099207816</v>
      </c>
      <c r="AJ22" s="403">
        <f t="shared" si="13"/>
        <v>-144.66129099207816</v>
      </c>
      <c r="AK22" s="403">
        <f t="shared" si="13"/>
        <v>-144.66129099207816</v>
      </c>
      <c r="AL22" s="403">
        <f t="shared" si="13"/>
        <v>-144.66129099207816</v>
      </c>
      <c r="AM22" s="532">
        <f>SUM(AD22:AL22)</f>
        <v>-743.49670450999474</v>
      </c>
      <c r="AN22" s="184"/>
      <c r="AO22" s="184"/>
      <c r="AP22" s="184"/>
      <c r="AQ22" s="184"/>
      <c r="AR22" s="184"/>
      <c r="AS22" s="184"/>
      <c r="AT22" s="184"/>
      <c r="AU22" s="184"/>
      <c r="AV22" s="184"/>
      <c r="AW22" s="184"/>
      <c r="AX22" s="184"/>
      <c r="AY22" s="184"/>
      <c r="AZ22" s="184"/>
      <c r="BA22" s="184"/>
      <c r="BB22" s="184"/>
      <c r="BC22" s="184"/>
      <c r="BD22" s="184"/>
      <c r="BE22" s="184"/>
      <c r="BF22" s="184"/>
    </row>
    <row r="23" spans="1:58" x14ac:dyDescent="0.3">
      <c r="A23" s="184"/>
      <c r="B23" s="184" t="s">
        <v>888</v>
      </c>
      <c r="C23" s="184" t="s">
        <v>899</v>
      </c>
      <c r="D23" s="184" t="s">
        <v>900</v>
      </c>
      <c r="E23" s="184"/>
      <c r="F23" s="184"/>
      <c r="G23" s="184"/>
      <c r="H23" s="184"/>
      <c r="I23" s="184"/>
      <c r="J23" s="184"/>
      <c r="K23" s="184"/>
      <c r="L23" s="1308"/>
      <c r="M23" s="464" t="s">
        <v>902</v>
      </c>
      <c r="N23" s="463" t="s">
        <v>77</v>
      </c>
      <c r="O23" s="193"/>
      <c r="P23" s="193"/>
      <c r="Q23" s="193"/>
      <c r="R23" s="193"/>
      <c r="S23" s="193"/>
      <c r="T23" s="193"/>
      <c r="U23" s="193"/>
      <c r="V23" s="193"/>
      <c r="W23" s="193"/>
      <c r="X23" s="193"/>
      <c r="Y23" s="394"/>
      <c r="Z23" s="194"/>
      <c r="AA23" s="194"/>
      <c r="AB23" s="403"/>
      <c r="AC23" s="403">
        <f t="shared" si="13"/>
        <v>-2.9497749683944372</v>
      </c>
      <c r="AD23" s="403">
        <f t="shared" si="13"/>
        <v>-3.5922486490719709</v>
      </c>
      <c r="AE23" s="403">
        <f t="shared" si="13"/>
        <v>-7.9201255416805818</v>
      </c>
      <c r="AF23" s="403">
        <f t="shared" si="13"/>
        <v>-8.0871255416805816</v>
      </c>
      <c r="AG23" s="403">
        <f t="shared" si="13"/>
        <v>-8.2541255416805832</v>
      </c>
      <c r="AH23" s="403">
        <f t="shared" si="13"/>
        <v>-8.421125541680583</v>
      </c>
      <c r="AI23" s="403">
        <f t="shared" si="13"/>
        <v>-8.5881255416805828</v>
      </c>
      <c r="AJ23" s="403">
        <f t="shared" si="13"/>
        <v>-8.5881255416805828</v>
      </c>
      <c r="AK23" s="403">
        <f t="shared" si="13"/>
        <v>-8.5881255416805828</v>
      </c>
      <c r="AL23" s="403">
        <f t="shared" si="13"/>
        <v>-8.5881255416805828</v>
      </c>
      <c r="AM23" s="532">
        <f t="shared" ref="AM23:AM26" si="14">SUM(AD23:AL23)</f>
        <v>-70.627252982516637</v>
      </c>
      <c r="AN23" s="184"/>
      <c r="AO23" s="184"/>
      <c r="AP23" s="184"/>
      <c r="AQ23" s="184"/>
      <c r="AR23" s="184"/>
      <c r="AS23" s="184"/>
      <c r="AT23" s="184"/>
      <c r="AU23" s="184"/>
      <c r="AV23" s="184"/>
      <c r="AW23" s="184"/>
      <c r="AX23" s="184"/>
      <c r="AY23" s="184"/>
      <c r="AZ23" s="184"/>
      <c r="BA23" s="184"/>
      <c r="BB23" s="184"/>
      <c r="BC23" s="184"/>
      <c r="BD23" s="184"/>
      <c r="BE23" s="184"/>
      <c r="BF23" s="184"/>
    </row>
    <row r="24" spans="1:58" x14ac:dyDescent="0.3">
      <c r="A24" s="184"/>
      <c r="B24" s="184" t="s">
        <v>890</v>
      </c>
      <c r="C24" s="184" t="s">
        <v>899</v>
      </c>
      <c r="D24" s="184" t="s">
        <v>900</v>
      </c>
      <c r="E24" s="184"/>
      <c r="F24" s="184"/>
      <c r="G24" s="184"/>
      <c r="H24" s="184"/>
      <c r="I24" s="184"/>
      <c r="J24" s="184"/>
      <c r="K24" s="184"/>
      <c r="L24" s="1308"/>
      <c r="M24" s="464" t="s">
        <v>903</v>
      </c>
      <c r="N24" s="463" t="s">
        <v>77</v>
      </c>
      <c r="O24" s="193"/>
      <c r="P24" s="193"/>
      <c r="Q24" s="193"/>
      <c r="R24" s="193"/>
      <c r="S24" s="193"/>
      <c r="T24" s="193"/>
      <c r="U24" s="193"/>
      <c r="V24" s="193"/>
      <c r="W24" s="193"/>
      <c r="X24" s="193"/>
      <c r="Y24" s="394"/>
      <c r="Z24" s="194"/>
      <c r="AA24" s="194"/>
      <c r="AB24" s="403"/>
      <c r="AC24" s="403">
        <f t="shared" si="13"/>
        <v>-8.2481988000000008</v>
      </c>
      <c r="AD24" s="403">
        <f t="shared" si="13"/>
        <v>-4.9282862999999999</v>
      </c>
      <c r="AE24" s="403">
        <f t="shared" si="13"/>
        <v>-5.4417418</v>
      </c>
      <c r="AF24" s="403">
        <f t="shared" si="13"/>
        <v>-5.5447698000000001</v>
      </c>
      <c r="AG24" s="403">
        <f t="shared" si="13"/>
        <v>-5.5447698000000001</v>
      </c>
      <c r="AH24" s="403">
        <f t="shared" si="13"/>
        <v>-5.5447698000000001</v>
      </c>
      <c r="AI24" s="403">
        <f t="shared" si="13"/>
        <v>-5.5447698000000001</v>
      </c>
      <c r="AJ24" s="403">
        <f t="shared" si="13"/>
        <v>-5.5447698000000001</v>
      </c>
      <c r="AK24" s="403">
        <f t="shared" si="13"/>
        <v>-5.5447698000000001</v>
      </c>
      <c r="AL24" s="403">
        <f t="shared" si="13"/>
        <v>-5.5447698000000001</v>
      </c>
      <c r="AM24" s="532">
        <f t="shared" si="14"/>
        <v>-49.183416699999995</v>
      </c>
      <c r="AN24" s="184"/>
      <c r="AO24" s="184"/>
      <c r="AP24" s="184"/>
      <c r="AQ24" s="184"/>
      <c r="AR24" s="184"/>
      <c r="AS24" s="184"/>
      <c r="AT24" s="184"/>
      <c r="AU24" s="184"/>
      <c r="AV24" s="184"/>
      <c r="AW24" s="184"/>
      <c r="AX24" s="184"/>
      <c r="AY24" s="184"/>
      <c r="AZ24" s="184"/>
      <c r="BA24" s="184"/>
      <c r="BB24" s="184"/>
      <c r="BC24" s="184"/>
      <c r="BD24" s="184"/>
      <c r="BE24" s="184"/>
      <c r="BF24" s="184"/>
    </row>
    <row r="25" spans="1:58" x14ac:dyDescent="0.3">
      <c r="A25" s="184"/>
      <c r="B25" s="184" t="s">
        <v>892</v>
      </c>
      <c r="C25" s="184" t="s">
        <v>899</v>
      </c>
      <c r="D25" s="184" t="s">
        <v>900</v>
      </c>
      <c r="E25" s="184"/>
      <c r="F25" s="184"/>
      <c r="G25" s="184"/>
      <c r="H25" s="184"/>
      <c r="I25" s="184"/>
      <c r="J25" s="184"/>
      <c r="K25" s="184"/>
      <c r="L25" s="1308"/>
      <c r="M25" s="464" t="s">
        <v>904</v>
      </c>
      <c r="N25" s="463" t="s">
        <v>77</v>
      </c>
      <c r="O25" s="193"/>
      <c r="P25" s="193"/>
      <c r="Q25" s="193"/>
      <c r="R25" s="193"/>
      <c r="S25" s="193"/>
      <c r="T25" s="193"/>
      <c r="U25" s="193"/>
      <c r="V25" s="193"/>
      <c r="W25" s="193"/>
      <c r="X25" s="193"/>
      <c r="Y25" s="394"/>
      <c r="Z25" s="194"/>
      <c r="AA25" s="194"/>
      <c r="AB25" s="403"/>
      <c r="AC25" s="403">
        <f t="shared" si="13"/>
        <v>-8.6137581513028518</v>
      </c>
      <c r="AD25" s="403">
        <f t="shared" si="13"/>
        <v>-8.6137581513028518</v>
      </c>
      <c r="AE25" s="403">
        <f t="shared" si="13"/>
        <v>-14.480558151302851</v>
      </c>
      <c r="AF25" s="403">
        <f t="shared" si="13"/>
        <v>-15.395254479302853</v>
      </c>
      <c r="AG25" s="403">
        <f t="shared" si="13"/>
        <v>-15.395254479302853</v>
      </c>
      <c r="AH25" s="403">
        <f t="shared" si="13"/>
        <v>-15.395254479302853</v>
      </c>
      <c r="AI25" s="403">
        <f t="shared" si="13"/>
        <v>-15.395254479302853</v>
      </c>
      <c r="AJ25" s="403">
        <f t="shared" si="13"/>
        <v>-15.395254479302853</v>
      </c>
      <c r="AK25" s="403">
        <f t="shared" si="13"/>
        <v>-15.395254479302853</v>
      </c>
      <c r="AL25" s="403">
        <f t="shared" si="13"/>
        <v>-15.395254479302853</v>
      </c>
      <c r="AM25" s="532">
        <f t="shared" si="14"/>
        <v>-130.86109765772565</v>
      </c>
      <c r="AN25" s="184"/>
      <c r="AO25" s="184"/>
      <c r="AP25" s="184"/>
      <c r="AQ25" s="184"/>
      <c r="AR25" s="184"/>
      <c r="AS25" s="184"/>
      <c r="AT25" s="184"/>
      <c r="AU25" s="184"/>
      <c r="AV25" s="184"/>
      <c r="AW25" s="184"/>
      <c r="AX25" s="184"/>
      <c r="AY25" s="184"/>
      <c r="AZ25" s="184"/>
      <c r="BA25" s="184"/>
      <c r="BB25" s="184"/>
      <c r="BC25" s="184"/>
      <c r="BD25" s="184"/>
      <c r="BE25" s="184"/>
      <c r="BF25" s="184"/>
    </row>
    <row r="26" spans="1:58" x14ac:dyDescent="0.3">
      <c r="A26" s="184"/>
      <c r="B26" s="184" t="s">
        <v>894</v>
      </c>
      <c r="C26" s="184" t="s">
        <v>899</v>
      </c>
      <c r="D26" s="184" t="s">
        <v>900</v>
      </c>
      <c r="E26" s="184"/>
      <c r="F26" s="184"/>
      <c r="G26" s="184"/>
      <c r="H26" s="184"/>
      <c r="I26" s="184"/>
      <c r="J26" s="184"/>
      <c r="K26" s="184"/>
      <c r="L26" s="1308"/>
      <c r="M26" s="464" t="s">
        <v>905</v>
      </c>
      <c r="N26" s="463" t="s">
        <v>77</v>
      </c>
      <c r="O26" s="193"/>
      <c r="P26" s="193"/>
      <c r="Q26" s="193"/>
      <c r="R26" s="193"/>
      <c r="S26" s="193"/>
      <c r="T26" s="193"/>
      <c r="U26" s="193"/>
      <c r="V26" s="193"/>
      <c r="W26" s="193"/>
      <c r="X26" s="193"/>
      <c r="Y26" s="394"/>
      <c r="Z26" s="194"/>
      <c r="AA26" s="194"/>
      <c r="AB26" s="403"/>
      <c r="AC26" s="403">
        <f t="shared" si="13"/>
        <v>-0.18819149999999973</v>
      </c>
      <c r="AD26" s="403">
        <f t="shared" si="13"/>
        <v>0</v>
      </c>
      <c r="AE26" s="403">
        <f t="shared" si="13"/>
        <v>0</v>
      </c>
      <c r="AF26" s="403">
        <f t="shared" si="13"/>
        <v>0</v>
      </c>
      <c r="AG26" s="403">
        <f t="shared" si="13"/>
        <v>0</v>
      </c>
      <c r="AH26" s="403">
        <f t="shared" si="13"/>
        <v>0</v>
      </c>
      <c r="AI26" s="403">
        <f t="shared" si="13"/>
        <v>0</v>
      </c>
      <c r="AJ26" s="403">
        <f t="shared" si="13"/>
        <v>0</v>
      </c>
      <c r="AK26" s="403">
        <f t="shared" si="13"/>
        <v>0</v>
      </c>
      <c r="AL26" s="403">
        <f t="shared" si="13"/>
        <v>0</v>
      </c>
      <c r="AM26" s="532">
        <f t="shared" si="14"/>
        <v>0</v>
      </c>
      <c r="AN26" s="184"/>
      <c r="AO26" s="184"/>
      <c r="AP26" s="184"/>
      <c r="AQ26" s="184"/>
      <c r="AR26" s="184"/>
      <c r="AS26" s="184"/>
      <c r="AT26" s="184"/>
      <c r="AU26" s="184"/>
      <c r="AV26" s="184"/>
      <c r="AW26" s="184"/>
      <c r="AX26" s="184"/>
      <c r="AY26" s="184"/>
      <c r="AZ26" s="184"/>
      <c r="BA26" s="184"/>
      <c r="BB26" s="184"/>
      <c r="BC26" s="184"/>
      <c r="BD26" s="184"/>
      <c r="BE26" s="184"/>
      <c r="BF26" s="184"/>
    </row>
    <row r="27" spans="1:58" x14ac:dyDescent="0.3">
      <c r="A27" s="184"/>
      <c r="B27" s="184"/>
      <c r="C27" s="184"/>
      <c r="D27" s="184"/>
      <c r="E27" s="184"/>
      <c r="F27" s="184"/>
      <c r="G27" s="184"/>
      <c r="H27" s="184"/>
      <c r="I27" s="184"/>
      <c r="J27" s="184"/>
      <c r="K27" s="184"/>
      <c r="L27" s="1308"/>
      <c r="M27" s="79" t="s">
        <v>906</v>
      </c>
      <c r="N27" s="188"/>
      <c r="O27" s="189"/>
      <c r="P27" s="189"/>
      <c r="Q27" s="189"/>
      <c r="R27" s="189"/>
      <c r="S27" s="189"/>
      <c r="T27" s="189"/>
      <c r="U27" s="189"/>
      <c r="V27" s="189"/>
      <c r="W27" s="189"/>
      <c r="X27" s="189"/>
      <c r="Y27" s="394"/>
      <c r="Z27" s="191"/>
      <c r="AA27" s="191"/>
      <c r="AB27" s="189"/>
      <c r="AC27" s="189"/>
      <c r="AD27" s="190"/>
      <c r="AE27" s="190"/>
      <c r="AF27" s="190"/>
      <c r="AG27" s="190"/>
      <c r="AH27" s="190"/>
      <c r="AI27" s="190"/>
      <c r="AJ27" s="190"/>
      <c r="AK27" s="190"/>
      <c r="AL27" s="190"/>
      <c r="AM27" s="190"/>
      <c r="AN27" s="190"/>
      <c r="AO27" s="190"/>
      <c r="AP27" s="190"/>
      <c r="AQ27" s="190"/>
      <c r="AR27" s="190"/>
      <c r="AS27" s="190"/>
      <c r="AT27" s="190"/>
      <c r="AU27" s="190"/>
      <c r="AV27" s="190"/>
      <c r="AW27" s="190"/>
      <c r="AX27" s="190"/>
      <c r="AY27" s="190"/>
      <c r="AZ27" s="190"/>
      <c r="BA27" s="190"/>
      <c r="BB27" s="190"/>
      <c r="BC27" s="190"/>
      <c r="BD27" s="190"/>
      <c r="BE27" s="190"/>
      <c r="BF27" s="190"/>
    </row>
    <row r="28" spans="1:58" x14ac:dyDescent="0.3">
      <c r="A28" s="184" t="str">
        <f>'EE Measures'!D28</f>
        <v>eC1</v>
      </c>
      <c r="B28" s="184"/>
      <c r="C28" s="184"/>
      <c r="D28" s="184"/>
      <c r="E28" s="511">
        <f>INDEX('EE Measures'!IF:IF,MATCH($A28,'EE Measures'!$D:$D,0))</f>
        <v>1</v>
      </c>
      <c r="F28" s="511">
        <f>INDEX('EE Measures'!IG:IG,MATCH($A28,'EE Measures'!$D:$D,0))</f>
        <v>1</v>
      </c>
      <c r="G28" s="511">
        <f>INDEX('EE Measures'!IH:IH,MATCH($A28,'EE Measures'!$D:$D,0))</f>
        <v>1</v>
      </c>
      <c r="H28" s="511">
        <f>INDEX('EE Measures'!II:II,MATCH($A28,'EE Measures'!$D:$D,0))</f>
        <v>1</v>
      </c>
      <c r="I28" s="511">
        <f>INDEX('EE Measures'!IJ:IJ,MATCH($A28,'EE Measures'!$D:$D,0))</f>
        <v>1</v>
      </c>
      <c r="J28" s="511">
        <f>INDEX('EE Measures'!IK:IK,MATCH($A28,'EE Measures'!$D:$D,0))</f>
        <v>1</v>
      </c>
      <c r="K28" s="511">
        <f>INDEX('EE Measures'!IL:IL,MATCH($A28,'EE Measures'!$D:$D,0))</f>
        <v>1</v>
      </c>
      <c r="L28" s="1308"/>
      <c r="M28" s="80" t="str">
        <f>INDEX('EE Measures'!$E$8:$E$40,MATCH(A28,'EE Measures'!$D$8:$D$40,0))</f>
        <v>Excise and value added tax of natural gas</v>
      </c>
      <c r="N28" s="463" t="s">
        <v>77</v>
      </c>
      <c r="O28" s="193"/>
      <c r="P28" s="193"/>
      <c r="Q28" s="193"/>
      <c r="R28" s="193"/>
      <c r="S28" s="193"/>
      <c r="T28" s="193"/>
      <c r="U28" s="193"/>
      <c r="V28" s="193"/>
      <c r="W28" s="193"/>
      <c r="X28" s="193"/>
      <c r="Y28" s="394"/>
      <c r="Z28" s="194"/>
      <c r="AA28" s="194"/>
      <c r="AB28" s="146"/>
      <c r="AC28" s="146">
        <f>-INDEX('EE Measures'!AN$8:AN$86,MATCH($A28,'EE Measures'!$D$8:$D$86,0))</f>
        <v>0</v>
      </c>
      <c r="AD28" s="146">
        <f>-INDEX('EE Measures'!AS$8:AS$86,MATCH($A28,'EE Measures'!$D$8:$D$86,0))</f>
        <v>-0.2341651620547876</v>
      </c>
      <c r="AE28" s="114">
        <f>AD28-INDEX('EE Measures'!AT$8:AT$86,MATCH($A28,'EE Measures'!$D$8:$D$86,0))</f>
        <v>-0.47258107730132237</v>
      </c>
      <c r="AF28" s="114">
        <f>AE28-INDEX('EE Measures'!AU$8:AU$86,MATCH($A28,'EE Measures'!$D$8:$D$86,0))</f>
        <v>-20.487798767310231</v>
      </c>
      <c r="AG28" s="114">
        <f>AF28-INDEX('EE Measures'!AV$8:AV$86,MATCH($A28,'EE Measures'!$D$8:$D$86,0))</f>
        <v>-30.4968888979109</v>
      </c>
      <c r="AH28" s="114">
        <f>AG28-INDEX('EE Measures'!AW$8:AW$86,MATCH($A28,'EE Measures'!$D$8:$D$86,0))</f>
        <v>-30.750154071135636</v>
      </c>
      <c r="AI28" s="114">
        <f>AH28-INDEX('EE Measures'!AX$8:AX$86,MATCH($A28,'EE Measures'!$D$8:$D$86,0))</f>
        <v>-31.008500596425485</v>
      </c>
      <c r="AJ28" s="114">
        <f>AI28-INDEX('EE Measures'!AY$8:AY$86,MATCH($A28,'EE Measures'!$D$8:$D$86,0))</f>
        <v>-31.271995200362984</v>
      </c>
      <c r="AK28" s="114">
        <f>AJ28-INDEX('EE Measures'!AZ$8:AZ$86,MATCH($A28,'EE Measures'!$D$8:$D$86,0))</f>
        <v>-31.540705196754349</v>
      </c>
      <c r="AL28" s="114">
        <f>AK28-INDEX('EE Measures'!BA$8:BA$86,MATCH($A28,'EE Measures'!$D$8:$D$86,0))</f>
        <v>-31.81469850803245</v>
      </c>
      <c r="AM28" s="532">
        <f>SUM(AD28:AL28)</f>
        <v>-208.07748747728814</v>
      </c>
      <c r="AN28" s="184"/>
      <c r="AO28" s="184"/>
      <c r="AP28" s="184"/>
      <c r="AQ28" s="184"/>
      <c r="AR28" s="184"/>
      <c r="AS28" s="184"/>
      <c r="AT28" s="184"/>
      <c r="AU28" s="184"/>
      <c r="AV28" s="184"/>
      <c r="AW28" s="184"/>
      <c r="AX28" s="184"/>
      <c r="AY28" s="184"/>
      <c r="AZ28" s="184"/>
      <c r="BA28" s="184"/>
      <c r="BB28" s="184"/>
      <c r="BC28" s="184"/>
      <c r="BD28" s="184"/>
      <c r="BE28" s="184"/>
      <c r="BF28" s="184"/>
    </row>
    <row r="29" spans="1:58" x14ac:dyDescent="0.3">
      <c r="A29" s="184" t="str">
        <f>'EE Measures'!D29</f>
        <v>eC2</v>
      </c>
      <c r="B29" s="184"/>
      <c r="C29" s="184"/>
      <c r="D29" s="184"/>
      <c r="E29" s="511">
        <f>INDEX('EE Measures'!IF:IF,MATCH($A29,'EE Measures'!$D:$D,0))</f>
        <v>1</v>
      </c>
      <c r="F29" s="511">
        <f>INDEX('EE Measures'!IG:IG,MATCH($A29,'EE Measures'!$D:$D,0))</f>
        <v>1</v>
      </c>
      <c r="G29" s="511">
        <f>INDEX('EE Measures'!IH:IH,MATCH($A29,'EE Measures'!$D:$D,0))</f>
        <v>1</v>
      </c>
      <c r="H29" s="511">
        <f>INDEX('EE Measures'!II:II,MATCH($A29,'EE Measures'!$D:$D,0))</f>
        <v>1</v>
      </c>
      <c r="I29" s="511">
        <f>INDEX('EE Measures'!IJ:IJ,MATCH($A29,'EE Measures'!$D:$D,0))</f>
        <v>1</v>
      </c>
      <c r="J29" s="511">
        <f>INDEX('EE Measures'!IK:IK,MATCH($A29,'EE Measures'!$D:$D,0))</f>
        <v>1</v>
      </c>
      <c r="K29" s="511">
        <f>INDEX('EE Measures'!IL:IL,MATCH($A29,'EE Measures'!$D:$D,0))</f>
        <v>1</v>
      </c>
      <c r="L29" s="1308"/>
      <c r="M29" s="80" t="str">
        <f>INDEX('EE Measures'!$E$8:$E$40,MATCH(A29,'EE Measures'!$D$8:$D$40,0))</f>
        <v>Excise and value added tax of electricity</v>
      </c>
      <c r="N29" s="463" t="s">
        <v>77</v>
      </c>
      <c r="O29" s="193"/>
      <c r="P29" s="193"/>
      <c r="Q29" s="193"/>
      <c r="R29" s="193"/>
      <c r="S29" s="193"/>
      <c r="T29" s="193"/>
      <c r="U29" s="193"/>
      <c r="V29" s="193"/>
      <c r="W29" s="193"/>
      <c r="X29" s="193"/>
      <c r="Y29" s="394"/>
      <c r="Z29" s="194"/>
      <c r="AA29" s="194"/>
      <c r="AB29" s="146"/>
      <c r="AC29" s="146">
        <f>-INDEX('EE Measures'!AN$8:AN$86,MATCH($A29,'EE Measures'!$D$8:$D$86,0))</f>
        <v>0</v>
      </c>
      <c r="AD29" s="146">
        <f>-INDEX('EE Measures'!AS$8:AS$86,MATCH($A29,'EE Measures'!$D$8:$D$86,0))</f>
        <v>-0.96872433605809716</v>
      </c>
      <c r="AE29" s="114">
        <f>AD29-INDEX('EE Measures'!AT$8:AT$86,MATCH($A29,'EE Measures'!$D$8:$D$86,0))</f>
        <v>-1.9568494283748712</v>
      </c>
      <c r="AF29" s="114">
        <f>AE29-INDEX('EE Measures'!AU$8:AU$86,MATCH($A29,'EE Measures'!$D$8:$D$86,0))</f>
        <v>-23.373816326689376</v>
      </c>
      <c r="AG29" s="114">
        <f>AF29-INDEX('EE Measures'!AV$8:AV$86,MATCH($A29,'EE Measures'!$D$8:$D$86,0))</f>
        <v>-34.474659951161783</v>
      </c>
      <c r="AH29" s="114">
        <f>AG29-INDEX('EE Measures'!AW$8:AW$86,MATCH($A29,'EE Measures'!$D$8:$D$86,0))</f>
        <v>-35.523775363273387</v>
      </c>
      <c r="AI29" s="114">
        <f>AH29-INDEX('EE Measures'!AX$8:AX$86,MATCH($A29,'EE Measures'!$D$8:$D$86,0))</f>
        <v>-36.593124611990987</v>
      </c>
      <c r="AJ29" s="114">
        <f>AI29-INDEX('EE Measures'!AY$8:AY$86,MATCH($A29,'EE Measures'!$D$8:$D$86,0))</f>
        <v>-37.682720372954719</v>
      </c>
      <c r="AK29" s="114">
        <f>AJ29-INDEX('EE Measures'!AZ$8:AZ$86,MATCH($A29,'EE Measures'!$D$8:$D$86,0))</f>
        <v>-38.792575038680589</v>
      </c>
      <c r="AL29" s="114">
        <f>AK29-INDEX('EE Measures'!BA$8:BA$86,MATCH($A29,'EE Measures'!$D$8:$D$86,0))</f>
        <v>-39.922700849147759</v>
      </c>
      <c r="AM29" s="532">
        <f>SUM(AD29:AL29)</f>
        <v>-249.28894627833157</v>
      </c>
      <c r="AN29" s="184"/>
      <c r="AO29" s="184"/>
      <c r="AP29" s="184"/>
      <c r="AQ29" s="184"/>
      <c r="AR29" s="184"/>
      <c r="AS29" s="184"/>
      <c r="AT29" s="184"/>
      <c r="AU29" s="184"/>
      <c r="AV29" s="184"/>
      <c r="AW29" s="184"/>
      <c r="AX29" s="184"/>
      <c r="AY29" s="184"/>
      <c r="AZ29" s="184"/>
      <c r="BA29" s="184"/>
      <c r="BB29" s="184"/>
      <c r="BC29" s="184"/>
      <c r="BD29" s="184"/>
      <c r="BE29" s="184"/>
      <c r="BF29" s="184"/>
    </row>
    <row r="30" spans="1:58" x14ac:dyDescent="0.3">
      <c r="A30" s="184" t="str">
        <f>'EE Measures'!D30</f>
        <v>eC3</v>
      </c>
      <c r="B30" s="184"/>
      <c r="C30" s="184"/>
      <c r="D30" s="184"/>
      <c r="E30" s="511">
        <f>INDEX('EE Measures'!IF:IF,MATCH($A30,'EE Measures'!$D:$D,0))</f>
        <v>1</v>
      </c>
      <c r="F30" s="511">
        <f>INDEX('EE Measures'!IG:IG,MATCH($A30,'EE Measures'!$D:$D,0))</f>
        <v>1</v>
      </c>
      <c r="G30" s="511">
        <f>INDEX('EE Measures'!IH:IH,MATCH($A30,'EE Measures'!$D:$D,0))</f>
        <v>1</v>
      </c>
      <c r="H30" s="511">
        <f>INDEX('EE Measures'!II:II,MATCH($A30,'EE Measures'!$D:$D,0))</f>
        <v>1</v>
      </c>
      <c r="I30" s="511">
        <f>INDEX('EE Measures'!IJ:IJ,MATCH($A30,'EE Measures'!$D:$D,0))</f>
        <v>1</v>
      </c>
      <c r="J30" s="511">
        <f>INDEX('EE Measures'!IK:IK,MATCH($A30,'EE Measures'!$D:$D,0))</f>
        <v>1</v>
      </c>
      <c r="K30" s="511">
        <f>INDEX('EE Measures'!IL:IL,MATCH($A30,'EE Measures'!$D:$D,0))</f>
        <v>1</v>
      </c>
      <c r="L30" s="1308"/>
      <c r="M30" s="80" t="str">
        <f>INDEX('EE Measures'!$E$8:$E$40,MATCH(A30,'EE Measures'!$D$8:$D$40,0))</f>
        <v>Excise and value added tax in heating sector</v>
      </c>
      <c r="N30" s="463" t="s">
        <v>77</v>
      </c>
      <c r="O30" s="193"/>
      <c r="P30" s="193"/>
      <c r="Q30" s="193"/>
      <c r="R30" s="193"/>
      <c r="S30" s="193"/>
      <c r="T30" s="193"/>
      <c r="U30" s="193"/>
      <c r="V30" s="193"/>
      <c r="W30" s="193"/>
      <c r="X30" s="193"/>
      <c r="Y30" s="394"/>
      <c r="Z30" s="194"/>
      <c r="AA30" s="194"/>
      <c r="AB30" s="146"/>
      <c r="AC30" s="146">
        <f>-INDEX('EE Measures'!AN$8:AN$86,MATCH($A30,'EE Measures'!$D$8:$D$86,0))</f>
        <v>0</v>
      </c>
      <c r="AD30" s="146">
        <f>-INDEX('EE Measures'!AS$8:AS$86,MATCH($A30,'EE Measures'!$D$8:$D$86,0))</f>
        <v>-11.605387795037222</v>
      </c>
      <c r="AE30" s="114">
        <f>AD30-INDEX('EE Measures'!AT$8:AT$86,MATCH($A30,'EE Measures'!$D$8:$D$86,0))</f>
        <v>-23.295998537792443</v>
      </c>
      <c r="AF30" s="114">
        <f>AE30-INDEX('EE Measures'!AU$8:AU$86,MATCH($A30,'EE Measures'!$D$8:$D$86,0))</f>
        <v>-62.883260650948522</v>
      </c>
      <c r="AG30" s="114">
        <f>AF30-INDEX('EE Measures'!AV$8:AV$86,MATCH($A30,'EE Measures'!$D$8:$D$86,0))</f>
        <v>-89.778966065121125</v>
      </c>
      <c r="AH30" s="114">
        <f>AG30-INDEX('EE Measures'!AW$8:AW$86,MATCH($A30,'EE Measures'!$D$8:$D$86,0))</f>
        <v>-101.7332643471464</v>
      </c>
      <c r="AI30" s="114">
        <f>AH30-INDEX('EE Measures'!AX$8:AX$86,MATCH($A30,'EE Measures'!$D$8:$D$86,0))</f>
        <v>-113.78300610450057</v>
      </c>
      <c r="AJ30" s="114">
        <f>AI30-INDEX('EE Measures'!AY$8:AY$86,MATCH($A30,'EE Measures'!$D$8:$D$86,0))</f>
        <v>-125.92854958747246</v>
      </c>
      <c r="AK30" s="114">
        <f>AJ30-INDEX('EE Measures'!AZ$8:AZ$86,MATCH($A30,'EE Measures'!$D$8:$D$86,0))</f>
        <v>-138.1702825243425</v>
      </c>
      <c r="AL30" s="114">
        <f>AK30-INDEX('EE Measures'!BA$8:BA$86,MATCH($A30,'EE Measures'!$D$8:$D$86,0))</f>
        <v>-150.50862270265304</v>
      </c>
      <c r="AM30" s="532">
        <f t="shared" ref="AM30:AM33" si="15">SUM(AD30:AL30)</f>
        <v>-817.68733831501436</v>
      </c>
      <c r="AN30" s="184"/>
      <c r="AO30" s="184"/>
      <c r="AP30" s="184"/>
      <c r="AQ30" s="184"/>
      <c r="AR30" s="184"/>
      <c r="AS30" s="184"/>
      <c r="AT30" s="184"/>
      <c r="AU30" s="184"/>
      <c r="AV30" s="184"/>
      <c r="AW30" s="184"/>
      <c r="AX30" s="184"/>
      <c r="AY30" s="184"/>
      <c r="AZ30" s="184"/>
      <c r="BA30" s="184"/>
      <c r="BB30" s="184"/>
      <c r="BC30" s="184"/>
      <c r="BD30" s="184"/>
      <c r="BE30" s="184"/>
      <c r="BF30" s="184"/>
    </row>
    <row r="31" spans="1:58" x14ac:dyDescent="0.3">
      <c r="A31" s="184" t="str">
        <f>'EE Measures'!D31</f>
        <v>eC4</v>
      </c>
      <c r="B31" s="184"/>
      <c r="C31" s="184"/>
      <c r="D31" s="184"/>
      <c r="E31" s="511">
        <f>INDEX('EE Measures'!IF:IF,MATCH($A31,'EE Measures'!$D:$D,0))</f>
        <v>1</v>
      </c>
      <c r="F31" s="511">
        <f>INDEX('EE Measures'!IG:IG,MATCH($A31,'EE Measures'!$D:$D,0))</f>
        <v>1</v>
      </c>
      <c r="G31" s="511">
        <f>INDEX('EE Measures'!IH:IH,MATCH($A31,'EE Measures'!$D:$D,0))</f>
        <v>1</v>
      </c>
      <c r="H31" s="511">
        <f>INDEX('EE Measures'!II:II,MATCH($A31,'EE Measures'!$D:$D,0))</f>
        <v>1</v>
      </c>
      <c r="I31" s="511">
        <f>INDEX('EE Measures'!IJ:IJ,MATCH($A31,'EE Measures'!$D:$D,0))</f>
        <v>1</v>
      </c>
      <c r="J31" s="511">
        <f>INDEX('EE Measures'!IK:IK,MATCH($A31,'EE Measures'!$D:$D,0))</f>
        <v>1</v>
      </c>
      <c r="K31" s="511">
        <f>INDEX('EE Measures'!IL:IL,MATCH($A31,'EE Measures'!$D:$D,0))</f>
        <v>1</v>
      </c>
      <c r="L31" s="1308"/>
      <c r="M31" s="80" t="str">
        <f>INDEX('EE Measures'!$E$8:$E$40,MATCH(A31,'EE Measures'!$D$8:$D$40,0))</f>
        <v>Excise and value added tax of gasoline</v>
      </c>
      <c r="N31" s="463" t="s">
        <v>77</v>
      </c>
      <c r="O31" s="193"/>
      <c r="P31" s="193"/>
      <c r="Q31" s="193"/>
      <c r="R31" s="193"/>
      <c r="S31" s="193"/>
      <c r="T31" s="193"/>
      <c r="U31" s="193"/>
      <c r="V31" s="193"/>
      <c r="W31" s="193"/>
      <c r="X31" s="193"/>
      <c r="Y31" s="394"/>
      <c r="Z31" s="194"/>
      <c r="AA31" s="194"/>
      <c r="AB31" s="146"/>
      <c r="AC31" s="146">
        <f>-INDEX('EE Measures'!AN$8:AN$86,MATCH($A31,'EE Measures'!$D$8:$D$86,0))</f>
        <v>0</v>
      </c>
      <c r="AD31" s="146">
        <f>-INDEX('EE Measures'!AS$8:AS$86,MATCH($A31,'EE Measures'!$D$8:$D$86,0))</f>
        <v>-0.93721152390332363</v>
      </c>
      <c r="AE31" s="114">
        <f>AD31-INDEX('EE Measures'!AT$8:AT$86,MATCH($A31,'EE Measures'!$D$8:$D$86,0))</f>
        <v>-1.8951946435088662</v>
      </c>
      <c r="AF31" s="114">
        <f>AE31-INDEX('EE Measures'!AU$8:AU$86,MATCH($A31,'EE Measures'!$D$8:$D$86,0))</f>
        <v>-2.8746157804948793</v>
      </c>
      <c r="AG31" s="114">
        <f>AF31-INDEX('EE Measures'!AV$8:AV$86,MATCH($A31,'EE Measures'!$D$8:$D$86,0))</f>
        <v>-3.8759411605328236</v>
      </c>
      <c r="AH31" s="114">
        <f>AG31-INDEX('EE Measures'!AW$8:AW$86,MATCH($A31,'EE Measures'!$D$8:$D$86,0))</f>
        <v>-4.8996427576913231</v>
      </c>
      <c r="AI31" s="114">
        <f>AH31-INDEX('EE Measures'!AX$8:AX$86,MATCH($A31,'EE Measures'!$D$8:$D$86,0))</f>
        <v>-5.9461982217457034</v>
      </c>
      <c r="AJ31" s="114">
        <f>AI31-INDEX('EE Measures'!AY$8:AY$86,MATCH($A31,'EE Measures'!$D$8:$D$86,0))</f>
        <v>-7.0160908051414701</v>
      </c>
      <c r="AK31" s="114">
        <f>AJ31-INDEX('EE Measures'!AZ$8:AZ$86,MATCH($A31,'EE Measures'!$D$8:$D$86,0))</f>
        <v>-8.109809290022751</v>
      </c>
      <c r="AL31" s="114">
        <f>AK31-INDEX('EE Measures'!BA$8:BA$86,MATCH($A31,'EE Measures'!$D$8:$D$86,0))</f>
        <v>-9.227847915741064</v>
      </c>
      <c r="AM31" s="532">
        <f t="shared" si="15"/>
        <v>-44.782552098782205</v>
      </c>
      <c r="AN31" s="184"/>
      <c r="AO31" s="184"/>
      <c r="AP31" s="184"/>
      <c r="AQ31" s="184"/>
      <c r="AR31" s="184"/>
      <c r="AS31" s="184"/>
      <c r="AT31" s="184"/>
      <c r="AU31" s="184"/>
      <c r="AV31" s="184"/>
      <c r="AW31" s="184"/>
      <c r="AX31" s="184"/>
      <c r="AY31" s="184"/>
      <c r="AZ31" s="184"/>
      <c r="BA31" s="184"/>
      <c r="BB31" s="184"/>
      <c r="BC31" s="184"/>
      <c r="BD31" s="184"/>
      <c r="BE31" s="184"/>
      <c r="BF31" s="184"/>
    </row>
    <row r="32" spans="1:58" x14ac:dyDescent="0.3">
      <c r="A32" s="184" t="str">
        <f>'EE Measures'!D32</f>
        <v>eC5</v>
      </c>
      <c r="B32" s="184"/>
      <c r="C32" s="184"/>
      <c r="D32" s="184"/>
      <c r="E32" s="511">
        <f>INDEX('EE Measures'!IF:IF,MATCH($A32,'EE Measures'!$D:$D,0))</f>
        <v>1</v>
      </c>
      <c r="F32" s="511">
        <f>INDEX('EE Measures'!IG:IG,MATCH($A32,'EE Measures'!$D:$D,0))</f>
        <v>1</v>
      </c>
      <c r="G32" s="511">
        <f>INDEX('EE Measures'!IH:IH,MATCH($A32,'EE Measures'!$D:$D,0))</f>
        <v>1</v>
      </c>
      <c r="H32" s="511">
        <f>INDEX('EE Measures'!II:II,MATCH($A32,'EE Measures'!$D:$D,0))</f>
        <v>1</v>
      </c>
      <c r="I32" s="511">
        <f>INDEX('EE Measures'!IJ:IJ,MATCH($A32,'EE Measures'!$D:$D,0))</f>
        <v>1</v>
      </c>
      <c r="J32" s="511">
        <f>INDEX('EE Measures'!IK:IK,MATCH($A32,'EE Measures'!$D:$D,0))</f>
        <v>1</v>
      </c>
      <c r="K32" s="511">
        <f>INDEX('EE Measures'!IL:IL,MATCH($A32,'EE Measures'!$D:$D,0))</f>
        <v>1</v>
      </c>
      <c r="L32" s="1308"/>
      <c r="M32" s="80" t="str">
        <f>INDEX('EE Measures'!$E$8:$E$40,MATCH(A32,'EE Measures'!$D$8:$D$40,0))</f>
        <v>Excise and value added tax of diesel fuel and light fuel oil</v>
      </c>
      <c r="N32" s="463" t="s">
        <v>77</v>
      </c>
      <c r="O32" s="193"/>
      <c r="P32" s="193"/>
      <c r="Q32" s="193"/>
      <c r="R32" s="193"/>
      <c r="S32" s="193"/>
      <c r="T32" s="193"/>
      <c r="U32" s="193"/>
      <c r="V32" s="193"/>
      <c r="W32" s="193"/>
      <c r="X32" s="193"/>
      <c r="Y32" s="394"/>
      <c r="Z32" s="194"/>
      <c r="AA32" s="194"/>
      <c r="AB32" s="146"/>
      <c r="AC32" s="146">
        <f>-INDEX('EE Measures'!AN$8:AN$86,MATCH($A32,'EE Measures'!$D$8:$D$86,0))</f>
        <v>0</v>
      </c>
      <c r="AD32" s="146">
        <f>-INDEX('EE Measures'!AS$8:AS$86,MATCH($A32,'EE Measures'!$D$8:$D$86,0))</f>
        <v>0</v>
      </c>
      <c r="AE32" s="114">
        <f>AD32-INDEX('EE Measures'!AT$8:AT$86,MATCH($A32,'EE Measures'!$D$8:$D$86,0))</f>
        <v>0</v>
      </c>
      <c r="AF32" s="114">
        <f>AE32-INDEX('EE Measures'!AU$8:AU$86,MATCH($A32,'EE Measures'!$D$8:$D$86,0))</f>
        <v>-95.76001967986457</v>
      </c>
      <c r="AG32" s="114">
        <f>AF32-INDEX('EE Measures'!AV$8:AV$86,MATCH($A32,'EE Measures'!$D$8:$D$86,0))</f>
        <v>-143.14576431473216</v>
      </c>
      <c r="AH32" s="114">
        <f>AG32-INDEX('EE Measures'!AW$8:AW$86,MATCH($A32,'EE Measures'!$D$8:$D$86,0))</f>
        <v>-143.14576431473216</v>
      </c>
      <c r="AI32" s="114">
        <f>AH32-INDEX('EE Measures'!AX$8:AX$86,MATCH($A32,'EE Measures'!$D$8:$D$86,0))</f>
        <v>-143.14576431473216</v>
      </c>
      <c r="AJ32" s="114">
        <f>AI32-INDEX('EE Measures'!AY$8:AY$86,MATCH($A32,'EE Measures'!$D$8:$D$86,0))</f>
        <v>-143.14576431473216</v>
      </c>
      <c r="AK32" s="114">
        <f>AJ32-INDEX('EE Measures'!AZ$8:AZ$86,MATCH($A32,'EE Measures'!$D$8:$D$86,0))</f>
        <v>-143.14576431473216</v>
      </c>
      <c r="AL32" s="114">
        <f>AK32-INDEX('EE Measures'!BA$8:BA$86,MATCH($A32,'EE Measures'!$D$8:$D$86,0))</f>
        <v>-143.14576431473216</v>
      </c>
      <c r="AM32" s="532">
        <f t="shared" si="15"/>
        <v>-954.63460556825748</v>
      </c>
      <c r="AN32" s="184"/>
      <c r="AO32" s="184"/>
      <c r="AP32" s="184"/>
      <c r="AQ32" s="184"/>
      <c r="AR32" s="184"/>
      <c r="AS32" s="184"/>
      <c r="AT32" s="184"/>
      <c r="AU32" s="184"/>
      <c r="AV32" s="184"/>
      <c r="AW32" s="184"/>
      <c r="AX32" s="184"/>
      <c r="AY32" s="184"/>
      <c r="AZ32" s="184"/>
      <c r="BA32" s="184"/>
      <c r="BB32" s="184"/>
      <c r="BC32" s="184"/>
      <c r="BD32" s="184"/>
      <c r="BE32" s="184"/>
      <c r="BF32" s="184"/>
    </row>
    <row r="33" spans="1:58" x14ac:dyDescent="0.3">
      <c r="A33" s="184" t="str">
        <f>'EE Measures'!D33</f>
        <v>eC6</v>
      </c>
      <c r="B33" s="184"/>
      <c r="C33" s="184"/>
      <c r="D33" s="184"/>
      <c r="E33" s="511">
        <f>INDEX('EE Measures'!IF:IF,MATCH($A33,'EE Measures'!$D:$D,0))</f>
        <v>1</v>
      </c>
      <c r="F33" s="511">
        <f>INDEX('EE Measures'!IG:IG,MATCH($A33,'EE Measures'!$D:$D,0))</f>
        <v>1</v>
      </c>
      <c r="G33" s="511">
        <f>INDEX('EE Measures'!IH:IH,MATCH($A33,'EE Measures'!$D:$D,0))</f>
        <v>1</v>
      </c>
      <c r="H33" s="511">
        <f>INDEX('EE Measures'!II:II,MATCH($A33,'EE Measures'!$D:$D,0))</f>
        <v>1</v>
      </c>
      <c r="I33" s="511">
        <f>INDEX('EE Measures'!IJ:IJ,MATCH($A33,'EE Measures'!$D:$D,0))</f>
        <v>1</v>
      </c>
      <c r="J33" s="511">
        <f>INDEX('EE Measures'!IK:IK,MATCH($A33,'EE Measures'!$D:$D,0))</f>
        <v>1</v>
      </c>
      <c r="K33" s="511">
        <f>INDEX('EE Measures'!IL:IL,MATCH($A33,'EE Measures'!$D:$D,0))</f>
        <v>1</v>
      </c>
      <c r="L33" s="1308"/>
      <c r="M33" s="80" t="str">
        <f>INDEX('EE Measures'!$E$8:$E$40,MATCH(A33,'EE Measures'!$D$8:$D$40,0))</f>
        <v>Value added tax of firewood</v>
      </c>
      <c r="N33" s="463" t="s">
        <v>77</v>
      </c>
      <c r="O33" s="193"/>
      <c r="P33" s="193"/>
      <c r="Q33" s="193"/>
      <c r="R33" s="193"/>
      <c r="S33" s="193"/>
      <c r="T33" s="193"/>
      <c r="U33" s="193"/>
      <c r="V33" s="193"/>
      <c r="W33" s="193"/>
      <c r="X33" s="193"/>
      <c r="Y33" s="394"/>
      <c r="Z33" s="194"/>
      <c r="AA33" s="194"/>
      <c r="AB33" s="146"/>
      <c r="AC33" s="146">
        <f>-INDEX('EE Measures'!AN$8:AN$86,MATCH($A33,'EE Measures'!$D$8:$D$86,0))</f>
        <v>0</v>
      </c>
      <c r="AD33" s="146">
        <f>-INDEX('EE Measures'!AS$8:AS$86,MATCH($A33,'EE Measures'!$D$8:$D$86,0))</f>
        <v>-3.9093383811130016</v>
      </c>
      <c r="AE33" s="114">
        <f>AD33-INDEX('EE Measures'!AT$8:AT$86,MATCH($A33,'EE Measures'!$D$8:$D$86,0))</f>
        <v>-7.8372793717006966</v>
      </c>
      <c r="AF33" s="114">
        <f>AE33-INDEX('EE Measures'!AU$8:AU$86,MATCH($A33,'EE Measures'!$D$8:$D$86,0))</f>
        <v>-11.783451315879976</v>
      </c>
      <c r="AG33" s="114">
        <f>AF33-INDEX('EE Measures'!AV$8:AV$86,MATCH($A33,'EE Measures'!$D$8:$D$86,0))</f>
        <v>-15.747485858547003</v>
      </c>
      <c r="AH33" s="114">
        <f>AG33-INDEX('EE Measures'!AW$8:AW$86,MATCH($A33,'EE Measures'!$D$8:$D$86,0))</f>
        <v>-19.729018128644967</v>
      </c>
      <c r="AI33" s="114">
        <f>AH33-INDEX('EE Measures'!AX$8:AX$86,MATCH($A33,'EE Measures'!$D$8:$D$86,0))</f>
        <v>-23.727686910536704</v>
      </c>
      <c r="AJ33" s="114">
        <f>AI33-INDEX('EE Measures'!AY$8:AY$86,MATCH($A33,'EE Measures'!$D$8:$D$86,0))</f>
        <v>-27.743134803699348</v>
      </c>
      <c r="AK33" s="114">
        <f>AJ33-INDEX('EE Measures'!AZ$8:AZ$86,MATCH($A33,'EE Measures'!$D$8:$D$86,0))</f>
        <v>-31.775008370977329</v>
      </c>
      <c r="AL33" s="114">
        <f>AK33-INDEX('EE Measures'!BA$8:BA$86,MATCH($A33,'EE Measures'!$D$8:$D$86,0))</f>
        <v>-35.822958275648602</v>
      </c>
      <c r="AM33" s="532">
        <f t="shared" si="15"/>
        <v>-178.07536141674763</v>
      </c>
      <c r="AN33" s="184"/>
      <c r="AO33" s="184"/>
      <c r="AP33" s="184"/>
      <c r="AQ33" s="184"/>
      <c r="AR33" s="184"/>
      <c r="AS33" s="184"/>
      <c r="AT33" s="184"/>
      <c r="AU33" s="184"/>
      <c r="AV33" s="184"/>
      <c r="AW33" s="184"/>
      <c r="AX33" s="184"/>
      <c r="AY33" s="184"/>
      <c r="AZ33" s="184"/>
      <c r="BA33" s="184"/>
      <c r="BB33" s="184"/>
      <c r="BC33" s="184"/>
      <c r="BD33" s="184"/>
      <c r="BE33" s="184"/>
      <c r="BF33" s="184"/>
    </row>
    <row r="34" spans="1:58" x14ac:dyDescent="0.3">
      <c r="A34" s="184" t="str">
        <f>'EE Measures'!D34</f>
        <v>eC7</v>
      </c>
      <c r="B34" s="184"/>
      <c r="C34" s="184"/>
      <c r="D34" s="184"/>
      <c r="E34" s="511">
        <f>INDEX('EE Measures'!IF:IF,MATCH($A34,'EE Measures'!$D:$D,0))</f>
        <v>1</v>
      </c>
      <c r="F34" s="511">
        <f>INDEX('EE Measures'!IG:IG,MATCH($A34,'EE Measures'!$D:$D,0))</f>
        <v>1</v>
      </c>
      <c r="G34" s="511">
        <f>INDEX('EE Measures'!IH:IH,MATCH($A34,'EE Measures'!$D:$D,0))</f>
        <v>1</v>
      </c>
      <c r="H34" s="511">
        <f>INDEX('EE Measures'!II:II,MATCH($A34,'EE Measures'!$D:$D,0))</f>
        <v>1</v>
      </c>
      <c r="I34" s="511">
        <f>INDEX('EE Measures'!IJ:IJ,MATCH($A34,'EE Measures'!$D:$D,0))</f>
        <v>1</v>
      </c>
      <c r="J34" s="511">
        <f>INDEX('EE Measures'!IK:IK,MATCH($A34,'EE Measures'!$D:$D,0))</f>
        <v>1</v>
      </c>
      <c r="K34" s="511">
        <f>INDEX('EE Measures'!IL:IL,MATCH($A34,'EE Measures'!$D:$D,0))</f>
        <v>1</v>
      </c>
      <c r="L34" s="1308"/>
      <c r="M34" s="80" t="str">
        <f>INDEX('EE Measures'!$E$8:$E$40,MATCH(A34,'EE Measures'!$D$8:$D$40,0))</f>
        <v>Renewable energy fee</v>
      </c>
      <c r="N34" s="463" t="s">
        <v>77</v>
      </c>
      <c r="O34" s="193"/>
      <c r="P34" s="193"/>
      <c r="Q34" s="193"/>
      <c r="R34" s="193"/>
      <c r="S34" s="193"/>
      <c r="T34" s="193"/>
      <c r="U34" s="193"/>
      <c r="V34" s="193"/>
      <c r="W34" s="193"/>
      <c r="X34" s="193"/>
      <c r="Y34" s="394"/>
      <c r="Z34" s="194"/>
      <c r="AA34" s="194"/>
      <c r="AB34" s="146"/>
      <c r="AC34" s="146">
        <f>-INDEX('EE Measures'!AN$8:AN$86,MATCH($A34,'EE Measures'!$D$8:$D$86,0))</f>
        <v>0</v>
      </c>
      <c r="AD34" s="146">
        <f>-INDEX('EE Measures'!AS$8:AS$86,MATCH($A34,'EE Measures'!$D$8:$D$86,0))</f>
        <v>0</v>
      </c>
      <c r="AE34" s="114">
        <f>AD34-INDEX('EE Measures'!AT$8:AT$86,MATCH($A34,'EE Measures'!$D$8:$D$86,0))</f>
        <v>0</v>
      </c>
      <c r="AF34" s="114">
        <f>AE34-INDEX('EE Measures'!AU$8:AU$86,MATCH($A34,'EE Measures'!$D$8:$D$86,0))</f>
        <v>0</v>
      </c>
      <c r="AG34" s="114">
        <f>AF34-INDEX('EE Measures'!AV$8:AV$86,MATCH($A34,'EE Measures'!$D$8:$D$86,0))</f>
        <v>0</v>
      </c>
      <c r="AH34" s="114">
        <f>AG34-INDEX('EE Measures'!AW$8:AW$86,MATCH($A34,'EE Measures'!$D$8:$D$86,0))</f>
        <v>0</v>
      </c>
      <c r="AI34" s="114">
        <f>AH34-INDEX('EE Measures'!AX$8:AX$86,MATCH($A34,'EE Measures'!$D$8:$D$86,0))</f>
        <v>0</v>
      </c>
      <c r="AJ34" s="114">
        <f>AI34-INDEX('EE Measures'!AY$8:AY$86,MATCH($A34,'EE Measures'!$D$8:$D$86,0))</f>
        <v>0</v>
      </c>
      <c r="AK34" s="114">
        <f>AJ34-INDEX('EE Measures'!AZ$8:AZ$86,MATCH($A34,'EE Measures'!$D$8:$D$86,0))</f>
        <v>0</v>
      </c>
      <c r="AL34" s="114">
        <f>AK34-INDEX('EE Measures'!BA$8:BA$86,MATCH($A34,'EE Measures'!$D$8:$D$86,0))</f>
        <v>0</v>
      </c>
      <c r="AM34" s="532">
        <f>SUM(AD34:AL34)</f>
        <v>0</v>
      </c>
      <c r="AN34" s="184"/>
      <c r="AO34" s="184"/>
      <c r="AP34" s="184"/>
      <c r="AQ34" s="184"/>
      <c r="AR34" s="184"/>
      <c r="AS34" s="184"/>
      <c r="AT34" s="184"/>
      <c r="AU34" s="184"/>
      <c r="AV34" s="184"/>
      <c r="AW34" s="184"/>
      <c r="AX34" s="184"/>
      <c r="AY34" s="184"/>
      <c r="AZ34" s="184"/>
      <c r="BA34" s="184"/>
      <c r="BB34" s="184"/>
      <c r="BC34" s="184"/>
      <c r="BD34" s="184"/>
      <c r="BE34" s="184"/>
      <c r="BF34" s="184"/>
    </row>
    <row r="35" spans="1:58" x14ac:dyDescent="0.3">
      <c r="A35" s="184" t="str">
        <f>'EE Measures'!D35</f>
        <v>eC8</v>
      </c>
      <c r="B35" s="184"/>
      <c r="C35" s="184"/>
      <c r="D35" s="184"/>
      <c r="E35" s="511">
        <f>INDEX('EE Measures'!IF:IF,MATCH($A35,'EE Measures'!$D:$D,0))</f>
        <v>1</v>
      </c>
      <c r="F35" s="511">
        <f>INDEX('EE Measures'!IG:IG,MATCH($A35,'EE Measures'!$D:$D,0))</f>
        <v>1</v>
      </c>
      <c r="G35" s="511">
        <f>INDEX('EE Measures'!IH:IH,MATCH($A35,'EE Measures'!$D:$D,0))</f>
        <v>1</v>
      </c>
      <c r="H35" s="511">
        <f>INDEX('EE Measures'!II:II,MATCH($A35,'EE Measures'!$D:$D,0))</f>
        <v>1</v>
      </c>
      <c r="I35" s="511">
        <f>INDEX('EE Measures'!IJ:IJ,MATCH($A35,'EE Measures'!$D:$D,0))</f>
        <v>1</v>
      </c>
      <c r="J35" s="511">
        <f>INDEX('EE Measures'!IK:IK,MATCH($A35,'EE Measures'!$D:$D,0))</f>
        <v>1</v>
      </c>
      <c r="K35" s="511">
        <f>INDEX('EE Measures'!IL:IL,MATCH($A35,'EE Measures'!$D:$D,0))</f>
        <v>1</v>
      </c>
      <c r="L35" s="1308"/>
      <c r="M35" s="80" t="str">
        <f>INDEX('EE Measures'!$E$8:$E$40,MATCH(A35,'EE Measures'!$D$8:$D$40,0))</f>
        <v>Wood chips and waste VAT</v>
      </c>
      <c r="N35" s="463" t="s">
        <v>77</v>
      </c>
      <c r="O35" s="193"/>
      <c r="P35" s="193"/>
      <c r="Q35" s="193"/>
      <c r="R35" s="193"/>
      <c r="S35" s="193"/>
      <c r="T35" s="193"/>
      <c r="U35" s="193"/>
      <c r="V35" s="193"/>
      <c r="W35" s="193"/>
      <c r="X35" s="193"/>
      <c r="Y35" s="394"/>
      <c r="Z35" s="194"/>
      <c r="AA35" s="194"/>
      <c r="AB35" s="146"/>
      <c r="AC35" s="146">
        <f>-INDEX('EE Measures'!AN$8:AN$86,MATCH($A35,'EE Measures'!$D$8:$D$86,0))</f>
        <v>0</v>
      </c>
      <c r="AD35" s="146">
        <f>-INDEX('EE Measures'!AS$8:AS$86,MATCH($A35,'EE Measures'!$D$8:$D$86,0))</f>
        <v>-0.30718465303273218</v>
      </c>
      <c r="AE35" s="114">
        <f>AD35-INDEX('EE Measures'!AT$8:AT$86,MATCH($A35,'EE Measures'!$D$8:$D$86,0))</f>
        <v>-0.61583104602755012</v>
      </c>
      <c r="AF35" s="114">
        <f>AE35-INDEX('EE Measures'!AU$8:AU$86,MATCH($A35,'EE Measures'!$D$8:$D$86,0))</f>
        <v>-0.92590997532583263</v>
      </c>
      <c r="AG35" s="114">
        <f>AF35-INDEX('EE Measures'!AV$8:AV$86,MATCH($A35,'EE Measures'!$D$8:$D$86,0))</f>
        <v>-1.2373924966347869</v>
      </c>
      <c r="AH35" s="114">
        <f>AG35-INDEX('EE Measures'!AW$8:AW$86,MATCH($A35,'EE Measures'!$D$8:$D$86,0))</f>
        <v>-1.5502499394280753</v>
      </c>
      <c r="AI35" s="114">
        <f>AH35-INDEX('EE Measures'!AX$8:AX$86,MATCH($A35,'EE Measures'!$D$8:$D$86,0))</f>
        <v>-1.8644539204118133</v>
      </c>
      <c r="AJ35" s="114">
        <f>AI35-INDEX('EE Measures'!AY$8:AY$86,MATCH($A35,'EE Measures'!$D$8:$D$86,0))</f>
        <v>-2.1799763560729102</v>
      </c>
      <c r="AK35" s="114">
        <f>AJ35-INDEX('EE Measures'!AZ$8:AZ$86,MATCH($A35,'EE Measures'!$D$8:$D$86,0))</f>
        <v>-2.4967894743283612</v>
      </c>
      <c r="AL35" s="114">
        <f>AK35-INDEX('EE Measures'!BA$8:BA$86,MATCH($A35,'EE Measures'!$D$8:$D$86,0))</f>
        <v>-2.8148658252955339</v>
      </c>
      <c r="AM35" s="532">
        <f t="shared" ref="AM35:AM36" si="16">SUM(AD35:AL35)</f>
        <v>-13.992653686557595</v>
      </c>
      <c r="AN35" s="184"/>
      <c r="AO35" s="184"/>
      <c r="AP35" s="184"/>
      <c r="AQ35" s="184"/>
      <c r="AR35" s="184"/>
      <c r="AS35" s="184"/>
      <c r="AT35" s="184"/>
      <c r="AU35" s="184"/>
      <c r="AV35" s="184"/>
      <c r="AW35" s="184"/>
      <c r="AX35" s="184"/>
      <c r="AY35" s="184"/>
      <c r="AZ35" s="184"/>
      <c r="BA35" s="184"/>
      <c r="BB35" s="184"/>
      <c r="BC35" s="184"/>
      <c r="BD35" s="184"/>
      <c r="BE35" s="184"/>
      <c r="BF35" s="184"/>
    </row>
    <row r="36" spans="1:58" x14ac:dyDescent="0.3">
      <c r="A36" s="184" t="str">
        <f>'EE Measures'!D36</f>
        <v>eC9</v>
      </c>
      <c r="B36" s="184"/>
      <c r="C36" s="184"/>
      <c r="D36" s="184"/>
      <c r="E36" s="511">
        <f>INDEX('EE Measures'!IF:IF,MATCH($A36,'EE Measures'!$D:$D,0))</f>
        <v>1</v>
      </c>
      <c r="F36" s="511">
        <f>INDEX('EE Measures'!IG:IG,MATCH($A36,'EE Measures'!$D:$D,0))</f>
        <v>1</v>
      </c>
      <c r="G36" s="511">
        <f>INDEX('EE Measures'!IH:IH,MATCH($A36,'EE Measures'!$D:$D,0))</f>
        <v>1</v>
      </c>
      <c r="H36" s="511">
        <f>INDEX('EE Measures'!II:II,MATCH($A36,'EE Measures'!$D:$D,0))</f>
        <v>1</v>
      </c>
      <c r="I36" s="511">
        <f>INDEX('EE Measures'!IJ:IJ,MATCH($A36,'EE Measures'!$D:$D,0))</f>
        <v>1</v>
      </c>
      <c r="J36" s="511">
        <f>INDEX('EE Measures'!IK:IK,MATCH($A36,'EE Measures'!$D:$D,0))</f>
        <v>1</v>
      </c>
      <c r="K36" s="511">
        <f>INDEX('EE Measures'!IL:IL,MATCH($A36,'EE Measures'!$D:$D,0))</f>
        <v>1</v>
      </c>
      <c r="L36" s="1308"/>
      <c r="M36" s="80" t="str">
        <f>INDEX('EE Measures'!$E$8:$E$40,MATCH(A36,'EE Measures'!$D$8:$D$40,0))</f>
        <v>Excise duty on specially marked diesel</v>
      </c>
      <c r="N36" s="463" t="s">
        <v>77</v>
      </c>
      <c r="O36" s="193"/>
      <c r="P36" s="193"/>
      <c r="Q36" s="193"/>
      <c r="R36" s="193"/>
      <c r="S36" s="193"/>
      <c r="T36" s="193"/>
      <c r="U36" s="193"/>
      <c r="V36" s="193"/>
      <c r="W36" s="193"/>
      <c r="X36" s="193"/>
      <c r="Y36" s="394"/>
      <c r="Z36" s="194"/>
      <c r="AA36" s="194"/>
      <c r="AB36" s="146"/>
      <c r="AC36" s="146">
        <f>-INDEX('EE Measures'!AN$8:AN$86,MATCH($A36,'EE Measures'!$D$8:$D$86,0))</f>
        <v>0</v>
      </c>
      <c r="AD36" s="146">
        <f>-INDEX('EE Measures'!AS$8:AS$86,MATCH($A36,'EE Measures'!$D$8:$D$86,0))</f>
        <v>0</v>
      </c>
      <c r="AE36" s="114">
        <f>AD36-INDEX('EE Measures'!AT$8:AT$86,MATCH($A36,'EE Measures'!$D$8:$D$86,0))</f>
        <v>0</v>
      </c>
      <c r="AF36" s="114">
        <f>AE36-INDEX('EE Measures'!AU$8:AU$86,MATCH($A36,'EE Measures'!$D$8:$D$86,0))</f>
        <v>-2.9925321438696018</v>
      </c>
      <c r="AG36" s="114">
        <f>AF36-INDEX('EE Measures'!AV$8:AV$86,MATCH($A36,'EE Measures'!$D$8:$D$86,0))</f>
        <v>-4.4508633225198952</v>
      </c>
      <c r="AH36" s="114">
        <f>AG36-INDEX('EE Measures'!AW$8:AW$86,MATCH($A36,'EE Measures'!$D$8:$D$86,0))</f>
        <v>-4.4508633225198952</v>
      </c>
      <c r="AI36" s="114">
        <f>AH36-INDEX('EE Measures'!AX$8:AX$86,MATCH($A36,'EE Measures'!$D$8:$D$86,0))</f>
        <v>-4.4508633225198952</v>
      </c>
      <c r="AJ36" s="114">
        <f>AI36-INDEX('EE Measures'!AY$8:AY$86,MATCH($A36,'EE Measures'!$D$8:$D$86,0))</f>
        <v>-4.4508633225198952</v>
      </c>
      <c r="AK36" s="114">
        <f>AJ36-INDEX('EE Measures'!AZ$8:AZ$86,MATCH($A36,'EE Measures'!$D$8:$D$86,0))</f>
        <v>-4.4508633225198952</v>
      </c>
      <c r="AL36" s="114">
        <f>AK36-INDEX('EE Measures'!BA$8:BA$86,MATCH($A36,'EE Measures'!$D$8:$D$86,0))</f>
        <v>-4.4508633225198952</v>
      </c>
      <c r="AM36" s="532">
        <f t="shared" si="16"/>
        <v>-29.697712078988971</v>
      </c>
      <c r="AN36" s="184"/>
      <c r="AO36" s="184"/>
      <c r="AP36" s="184"/>
      <c r="AQ36" s="184"/>
      <c r="AR36" s="184"/>
      <c r="AS36" s="184"/>
      <c r="AT36" s="184"/>
      <c r="AU36" s="184"/>
      <c r="AV36" s="184"/>
      <c r="AW36" s="184"/>
      <c r="AX36" s="184"/>
      <c r="AY36" s="184"/>
      <c r="AZ36" s="184"/>
      <c r="BA36" s="184"/>
      <c r="BB36" s="184"/>
      <c r="BC36" s="184"/>
      <c r="BD36" s="184"/>
      <c r="BE36" s="184"/>
      <c r="BF36" s="184"/>
    </row>
    <row r="37" spans="1:58" x14ac:dyDescent="0.3">
      <c r="A37" s="184" t="str">
        <f>'EE Measures'!D37</f>
        <v>eC10</v>
      </c>
      <c r="B37" s="184"/>
      <c r="C37" s="184"/>
      <c r="D37" s="184"/>
      <c r="E37" s="511">
        <f>INDEX('EE Measures'!IF:IF,MATCH($A37,'EE Measures'!$D:$D,0))</f>
        <v>1</v>
      </c>
      <c r="F37" s="511">
        <f>INDEX('EE Measures'!IG:IG,MATCH($A37,'EE Measures'!$D:$D,0))</f>
        <v>1</v>
      </c>
      <c r="G37" s="511">
        <f>INDEX('EE Measures'!IH:IH,MATCH($A37,'EE Measures'!$D:$D,0))</f>
        <v>1</v>
      </c>
      <c r="H37" s="511">
        <f>INDEX('EE Measures'!II:II,MATCH($A37,'EE Measures'!$D:$D,0))</f>
        <v>1</v>
      </c>
      <c r="I37" s="511">
        <f>INDEX('EE Measures'!IJ:IJ,MATCH($A37,'EE Measures'!$D:$D,0))</f>
        <v>1</v>
      </c>
      <c r="J37" s="511">
        <f>INDEX('EE Measures'!IK:IK,MATCH($A37,'EE Measures'!$D:$D,0))</f>
        <v>1</v>
      </c>
      <c r="K37" s="511">
        <f>INDEX('EE Measures'!IL:IL,MATCH($A37,'EE Measures'!$D:$D,0))</f>
        <v>1</v>
      </c>
      <c r="L37" s="1308"/>
      <c r="M37" s="80" t="str">
        <f>INDEX('EE Measures'!$E$8:$E$40,MATCH(A37,'EE Measures'!$D$8:$D$40,0))</f>
        <v>Electricity smart meters (2015-on-going)</v>
      </c>
      <c r="N37" s="463" t="s">
        <v>77</v>
      </c>
      <c r="O37" s="193"/>
      <c r="P37" s="193"/>
      <c r="Q37" s="193"/>
      <c r="R37" s="193"/>
      <c r="S37" s="193"/>
      <c r="T37" s="193"/>
      <c r="U37" s="193"/>
      <c r="V37" s="193"/>
      <c r="W37" s="193"/>
      <c r="X37" s="193"/>
      <c r="Y37" s="394"/>
      <c r="Z37" s="194"/>
      <c r="AA37" s="194"/>
      <c r="AB37" s="146"/>
      <c r="AC37" s="146">
        <f>-INDEX('EE Measures'!AN$8:AN$86,MATCH($A37,'EE Measures'!$D$8:$D$86,0))</f>
        <v>0</v>
      </c>
      <c r="AD37" s="146">
        <f>-INDEX('EE Measures'!AS$8:AS$86,MATCH($A37,'EE Measures'!$D$8:$D$86,0))</f>
        <v>0</v>
      </c>
      <c r="AE37" s="114">
        <f>AD37-INDEX('EE Measures'!AT$8:AT$86,MATCH($A37,'EE Measures'!$D$8:$D$86,0))</f>
        <v>0</v>
      </c>
      <c r="AF37" s="114">
        <f>AE37-INDEX('EE Measures'!AU$8:AU$86,MATCH($A37,'EE Measures'!$D$8:$D$86,0))</f>
        <v>0</v>
      </c>
      <c r="AG37" s="114">
        <f>AF37-INDEX('EE Measures'!AV$8:AV$86,MATCH($A37,'EE Measures'!$D$8:$D$86,0))</f>
        <v>0</v>
      </c>
      <c r="AH37" s="114">
        <f>AG37-INDEX('EE Measures'!AW$8:AW$86,MATCH($A37,'EE Measures'!$D$8:$D$86,0))</f>
        <v>0</v>
      </c>
      <c r="AI37" s="114">
        <f>AH37-INDEX('EE Measures'!AX$8:AX$86,MATCH($A37,'EE Measures'!$D$8:$D$86,0))</f>
        <v>0</v>
      </c>
      <c r="AJ37" s="114">
        <f>AI37-INDEX('EE Measures'!AY$8:AY$86,MATCH($A37,'EE Measures'!$D$8:$D$86,0))</f>
        <v>0</v>
      </c>
      <c r="AK37" s="114">
        <f>AJ37-INDEX('EE Measures'!AZ$8:AZ$86,MATCH($A37,'EE Measures'!$D$8:$D$86,0))</f>
        <v>0</v>
      </c>
      <c r="AL37" s="114">
        <f>AK37-INDEX('EE Measures'!BA$8:BA$86,MATCH($A37,'EE Measures'!$D$8:$D$86,0))</f>
        <v>0</v>
      </c>
      <c r="AM37" s="532">
        <f>SUM(AD37:AL37)</f>
        <v>0</v>
      </c>
      <c r="AN37" s="184"/>
      <c r="AO37" s="184"/>
      <c r="AP37" s="184"/>
      <c r="AQ37" s="184"/>
      <c r="AR37" s="184"/>
      <c r="AS37" s="184"/>
      <c r="AT37" s="184"/>
      <c r="AU37" s="184"/>
      <c r="AV37" s="184"/>
      <c r="AW37" s="184"/>
      <c r="AX37" s="184"/>
      <c r="AY37" s="184"/>
      <c r="AZ37" s="184"/>
      <c r="BA37" s="184"/>
      <c r="BB37" s="184"/>
      <c r="BC37" s="184"/>
      <c r="BD37" s="184"/>
      <c r="BE37" s="184"/>
      <c r="BF37" s="184"/>
    </row>
    <row r="38" spans="1:58" x14ac:dyDescent="0.3">
      <c r="A38" s="184" t="str">
        <f>'EE Measures'!D38</f>
        <v>eC11</v>
      </c>
      <c r="B38" s="184"/>
      <c r="C38" s="184"/>
      <c r="D38" s="184"/>
      <c r="E38" s="511">
        <f>INDEX('EE Measures'!IF:IF,MATCH($A38,'EE Measures'!$D:$D,0))</f>
        <v>1</v>
      </c>
      <c r="F38" s="511">
        <f>INDEX('EE Measures'!IG:IG,MATCH($A38,'EE Measures'!$D:$D,0))</f>
        <v>1</v>
      </c>
      <c r="G38" s="511">
        <f>INDEX('EE Measures'!IH:IH,MATCH($A38,'EE Measures'!$D:$D,0))</f>
        <v>1</v>
      </c>
      <c r="H38" s="511">
        <f>INDEX('EE Measures'!II:II,MATCH($A38,'EE Measures'!$D:$D,0))</f>
        <v>1</v>
      </c>
      <c r="I38" s="511">
        <f>INDEX('EE Measures'!IJ:IJ,MATCH($A38,'EE Measures'!$D:$D,0))</f>
        <v>1</v>
      </c>
      <c r="J38" s="511">
        <f>INDEX('EE Measures'!IK:IK,MATCH($A38,'EE Measures'!$D:$D,0))</f>
        <v>1</v>
      </c>
      <c r="K38" s="511">
        <f>INDEX('EE Measures'!IL:IL,MATCH($A38,'EE Measures'!$D:$D,0))</f>
        <v>1</v>
      </c>
      <c r="L38" s="1308"/>
      <c r="M38" s="80" t="str">
        <f>INDEX('EE Measures'!$E$8:$E$40,MATCH(A38,'EE Measures'!$D$8:$D$40,0))</f>
        <v>Energy efficiency investments by electricity distribution companies (2020-on-going)</v>
      </c>
      <c r="N38" s="463" t="s">
        <v>77</v>
      </c>
      <c r="O38" s="193"/>
      <c r="P38" s="193"/>
      <c r="Q38" s="193"/>
      <c r="R38" s="193"/>
      <c r="S38" s="193"/>
      <c r="T38" s="193"/>
      <c r="U38" s="193"/>
      <c r="V38" s="193"/>
      <c r="W38" s="193"/>
      <c r="X38" s="193"/>
      <c r="Y38" s="394"/>
      <c r="Z38" s="194"/>
      <c r="AA38" s="194"/>
      <c r="AB38" s="146"/>
      <c r="AC38" s="146">
        <f>-INDEX('EE Measures'!AN$8:AN$86,MATCH($A38,'EE Measures'!$D$8:$D$86,0))</f>
        <v>0</v>
      </c>
      <c r="AD38" s="146">
        <f>-INDEX('EE Measures'!AS$8:AS$86,MATCH($A38,'EE Measures'!$D$8:$D$86,0))</f>
        <v>0</v>
      </c>
      <c r="AE38" s="114">
        <f>AD38-INDEX('EE Measures'!AT$8:AT$86,MATCH($A38,'EE Measures'!$D$8:$D$86,0))</f>
        <v>0</v>
      </c>
      <c r="AF38" s="114">
        <f>AE38-INDEX('EE Measures'!AU$8:AU$86,MATCH($A38,'EE Measures'!$D$8:$D$86,0))</f>
        <v>0</v>
      </c>
      <c r="AG38" s="114">
        <f>AF38-INDEX('EE Measures'!AV$8:AV$86,MATCH($A38,'EE Measures'!$D$8:$D$86,0))</f>
        <v>0</v>
      </c>
      <c r="AH38" s="114">
        <f>AG38-INDEX('EE Measures'!AW$8:AW$86,MATCH($A38,'EE Measures'!$D$8:$D$86,0))</f>
        <v>0</v>
      </c>
      <c r="AI38" s="114">
        <f>AH38-INDEX('EE Measures'!AX$8:AX$86,MATCH($A38,'EE Measures'!$D$8:$D$86,0))</f>
        <v>0</v>
      </c>
      <c r="AJ38" s="114">
        <f>AI38-INDEX('EE Measures'!AY$8:AY$86,MATCH($A38,'EE Measures'!$D$8:$D$86,0))</f>
        <v>0</v>
      </c>
      <c r="AK38" s="114">
        <f>AJ38-INDEX('EE Measures'!AZ$8:AZ$86,MATCH($A38,'EE Measures'!$D$8:$D$86,0))</f>
        <v>0</v>
      </c>
      <c r="AL38" s="114">
        <f>AK38-INDEX('EE Measures'!BA$8:BA$86,MATCH($A38,'EE Measures'!$D$8:$D$86,0))</f>
        <v>0</v>
      </c>
      <c r="AM38" s="532">
        <f t="shared" ref="AM38:AM41" si="17">SUM(AD38:AL38)</f>
        <v>0</v>
      </c>
      <c r="AN38" s="184"/>
      <c r="AO38" s="184"/>
      <c r="AP38" s="184"/>
      <c r="AQ38" s="184"/>
      <c r="AR38" s="184"/>
      <c r="AS38" s="184"/>
      <c r="AT38" s="184"/>
      <c r="AU38" s="184"/>
      <c r="AV38" s="184"/>
      <c r="AW38" s="184"/>
      <c r="AX38" s="184"/>
      <c r="AY38" s="184"/>
      <c r="AZ38" s="184"/>
      <c r="BA38" s="184"/>
      <c r="BB38" s="184"/>
      <c r="BC38" s="184"/>
      <c r="BD38" s="184"/>
      <c r="BE38" s="184"/>
      <c r="BF38" s="184"/>
    </row>
    <row r="39" spans="1:58" x14ac:dyDescent="0.3">
      <c r="A39" s="184" t="str">
        <f>'EE Measures'!D39</f>
        <v>eC12</v>
      </c>
      <c r="B39" s="184"/>
      <c r="C39" s="184"/>
      <c r="D39" s="184"/>
      <c r="E39" s="511">
        <f>INDEX('EE Measures'!IF:IF,MATCH($A39,'EE Measures'!$D:$D,0))</f>
        <v>1</v>
      </c>
      <c r="F39" s="511">
        <f>INDEX('EE Measures'!IG:IG,MATCH($A39,'EE Measures'!$D:$D,0))</f>
        <v>1</v>
      </c>
      <c r="G39" s="511">
        <f>INDEX('EE Measures'!IH:IH,MATCH($A39,'EE Measures'!$D:$D,0))</f>
        <v>1</v>
      </c>
      <c r="H39" s="511">
        <f>INDEX('EE Measures'!II:II,MATCH($A39,'EE Measures'!$D:$D,0))</f>
        <v>1</v>
      </c>
      <c r="I39" s="511">
        <f>INDEX('EE Measures'!IJ:IJ,MATCH($A39,'EE Measures'!$D:$D,0))</f>
        <v>1</v>
      </c>
      <c r="J39" s="511">
        <f>INDEX('EE Measures'!IK:IK,MATCH($A39,'EE Measures'!$D:$D,0))</f>
        <v>1</v>
      </c>
      <c r="K39" s="511">
        <f>INDEX('EE Measures'!IL:IL,MATCH($A39,'EE Measures'!$D:$D,0))</f>
        <v>1</v>
      </c>
      <c r="L39" s="1308"/>
      <c r="M39" s="80" t="str">
        <f>INDEX('EE Measures'!$E$8:$E$40,MATCH(A39,'EE Measures'!$D$8:$D$40,0))</f>
        <v>Profit distribution based corporate income tax (1991-on-going)</v>
      </c>
      <c r="N39" s="463" t="s">
        <v>77</v>
      </c>
      <c r="O39" s="193"/>
      <c r="P39" s="193"/>
      <c r="Q39" s="193"/>
      <c r="R39" s="193"/>
      <c r="S39" s="193"/>
      <c r="T39" s="193"/>
      <c r="U39" s="193"/>
      <c r="V39" s="193"/>
      <c r="W39" s="193"/>
      <c r="X39" s="193"/>
      <c r="Y39" s="394"/>
      <c r="Z39" s="194"/>
      <c r="AA39" s="194"/>
      <c r="AB39" s="146"/>
      <c r="AC39" s="146">
        <f>-INDEX('EE Measures'!AN$8:AN$86,MATCH($A39,'EE Measures'!$D$8:$D$86,0))</f>
        <v>0</v>
      </c>
      <c r="AD39" s="146">
        <f>-INDEX('EE Measures'!AS$8:AS$86,MATCH($A39,'EE Measures'!$D$8:$D$86,0))</f>
        <v>0</v>
      </c>
      <c r="AE39" s="114">
        <f>AD39-INDEX('EE Measures'!AT$8:AT$86,MATCH($A39,'EE Measures'!$D$8:$D$86,0))</f>
        <v>0</v>
      </c>
      <c r="AF39" s="114">
        <f>AE39-INDEX('EE Measures'!AU$8:AU$86,MATCH($A39,'EE Measures'!$D$8:$D$86,0))</f>
        <v>0</v>
      </c>
      <c r="AG39" s="114">
        <f>AF39-INDEX('EE Measures'!AV$8:AV$86,MATCH($A39,'EE Measures'!$D$8:$D$86,0))</f>
        <v>0</v>
      </c>
      <c r="AH39" s="114">
        <f>AG39-INDEX('EE Measures'!AW$8:AW$86,MATCH($A39,'EE Measures'!$D$8:$D$86,0))</f>
        <v>0</v>
      </c>
      <c r="AI39" s="114">
        <f>AH39-INDEX('EE Measures'!AX$8:AX$86,MATCH($A39,'EE Measures'!$D$8:$D$86,0))</f>
        <v>0</v>
      </c>
      <c r="AJ39" s="114">
        <f>AI39-INDEX('EE Measures'!AY$8:AY$86,MATCH($A39,'EE Measures'!$D$8:$D$86,0))</f>
        <v>0</v>
      </c>
      <c r="AK39" s="114">
        <f>AJ39-INDEX('EE Measures'!AZ$8:AZ$86,MATCH($A39,'EE Measures'!$D$8:$D$86,0))</f>
        <v>0</v>
      </c>
      <c r="AL39" s="114">
        <f>AK39-INDEX('EE Measures'!BA$8:BA$86,MATCH($A39,'EE Measures'!$D$8:$D$86,0))</f>
        <v>0</v>
      </c>
      <c r="AM39" s="532">
        <f t="shared" si="17"/>
        <v>0</v>
      </c>
      <c r="AN39" s="184"/>
      <c r="AO39" s="184"/>
      <c r="AP39" s="184"/>
      <c r="AQ39" s="184"/>
      <c r="AR39" s="184"/>
      <c r="AS39" s="184"/>
      <c r="AT39" s="184"/>
      <c r="AU39" s="184"/>
      <c r="AV39" s="184"/>
      <c r="AW39" s="184"/>
      <c r="AX39" s="184"/>
      <c r="AY39" s="184"/>
      <c r="AZ39" s="184"/>
      <c r="BA39" s="184"/>
      <c r="BB39" s="184"/>
      <c r="BC39" s="184"/>
      <c r="BD39" s="184"/>
      <c r="BE39" s="184"/>
      <c r="BF39" s="184"/>
    </row>
    <row r="40" spans="1:58" x14ac:dyDescent="0.3">
      <c r="A40" s="184" t="str">
        <f>'EE Measures'!D40</f>
        <v>eC13</v>
      </c>
      <c r="B40" s="184"/>
      <c r="C40" s="184"/>
      <c r="D40" s="184"/>
      <c r="E40" s="511">
        <f>INDEX('EE Measures'!IF:IF,MATCH($A40,'EE Measures'!$D:$D,0))</f>
        <v>1</v>
      </c>
      <c r="F40" s="511">
        <f>INDEX('EE Measures'!IG:IG,MATCH($A40,'EE Measures'!$D:$D,0))</f>
        <v>1</v>
      </c>
      <c r="G40" s="511">
        <f>INDEX('EE Measures'!IH:IH,MATCH($A40,'EE Measures'!$D:$D,0))</f>
        <v>1</v>
      </c>
      <c r="H40" s="511">
        <f>INDEX('EE Measures'!II:II,MATCH($A40,'EE Measures'!$D:$D,0))</f>
        <v>1</v>
      </c>
      <c r="I40" s="511">
        <f>INDEX('EE Measures'!IJ:IJ,MATCH($A40,'EE Measures'!$D:$D,0))</f>
        <v>1</v>
      </c>
      <c r="J40" s="511">
        <f>INDEX('EE Measures'!IK:IK,MATCH($A40,'EE Measures'!$D:$D,0))</f>
        <v>1</v>
      </c>
      <c r="K40" s="511">
        <f>INDEX('EE Measures'!IL:IL,MATCH($A40,'EE Measures'!$D:$D,0))</f>
        <v>1</v>
      </c>
      <c r="L40" s="1308"/>
      <c r="M40" s="80" t="str">
        <f>INDEX('EE Measures'!$E$8:$E$40,MATCH(A40,'EE Measures'!$D$8:$D$40,0))</f>
        <v>Oil boiler replacement (2015-on-going)</v>
      </c>
      <c r="N40" s="463" t="s">
        <v>77</v>
      </c>
      <c r="O40" s="193"/>
      <c r="P40" s="193"/>
      <c r="Q40" s="193"/>
      <c r="R40" s="193"/>
      <c r="S40" s="193"/>
      <c r="T40" s="193"/>
      <c r="U40" s="193"/>
      <c r="V40" s="193"/>
      <c r="W40" s="193"/>
      <c r="X40" s="193"/>
      <c r="Y40" s="394"/>
      <c r="Z40" s="194"/>
      <c r="AA40" s="194"/>
      <c r="AB40" s="146"/>
      <c r="AC40" s="146">
        <f>-INDEX('EE Measures'!AN$8:AN$86,MATCH($A40,'EE Measures'!$D$8:$D$86,0))</f>
        <v>0</v>
      </c>
      <c r="AD40" s="146">
        <f>-INDEX('EE Measures'!AS$8:AS$86,MATCH($A40,'EE Measures'!$D$8:$D$86,0))</f>
        <v>0</v>
      </c>
      <c r="AE40" s="114">
        <f>AD40-INDEX('EE Measures'!AT$8:AT$86,MATCH($A40,'EE Measures'!$D$8:$D$86,0))</f>
        <v>0</v>
      </c>
      <c r="AF40" s="114">
        <f>AE40-INDEX('EE Measures'!AU$8:AU$86,MATCH($A40,'EE Measures'!$D$8:$D$86,0))</f>
        <v>0</v>
      </c>
      <c r="AG40" s="114">
        <f>AF40-INDEX('EE Measures'!AV$8:AV$86,MATCH($A40,'EE Measures'!$D$8:$D$86,0))</f>
        <v>0</v>
      </c>
      <c r="AH40" s="114">
        <f>AG40-INDEX('EE Measures'!AW$8:AW$86,MATCH($A40,'EE Measures'!$D$8:$D$86,0))</f>
        <v>0</v>
      </c>
      <c r="AI40" s="114">
        <f>AH40-INDEX('EE Measures'!AX$8:AX$86,MATCH($A40,'EE Measures'!$D$8:$D$86,0))</f>
        <v>0</v>
      </c>
      <c r="AJ40" s="114">
        <f>AI40-INDEX('EE Measures'!AY$8:AY$86,MATCH($A40,'EE Measures'!$D$8:$D$86,0))</f>
        <v>0</v>
      </c>
      <c r="AK40" s="114">
        <f>AJ40-INDEX('EE Measures'!AZ$8:AZ$86,MATCH($A40,'EE Measures'!$D$8:$D$86,0))</f>
        <v>0</v>
      </c>
      <c r="AL40" s="114">
        <f>AK40-INDEX('EE Measures'!BA$8:BA$86,MATCH($A40,'EE Measures'!$D$8:$D$86,0))</f>
        <v>0</v>
      </c>
      <c r="AM40" s="532">
        <f t="shared" si="17"/>
        <v>0</v>
      </c>
      <c r="AN40" s="184"/>
      <c r="AO40" s="184"/>
      <c r="AP40" s="184"/>
      <c r="AQ40" s="184"/>
      <c r="AR40" s="184"/>
      <c r="AS40" s="184"/>
      <c r="AT40" s="184"/>
      <c r="AU40" s="184"/>
      <c r="AV40" s="184"/>
      <c r="AW40" s="184"/>
      <c r="AX40" s="184"/>
      <c r="AY40" s="184"/>
      <c r="AZ40" s="184"/>
      <c r="BA40" s="184"/>
      <c r="BB40" s="184"/>
      <c r="BC40" s="184"/>
      <c r="BD40" s="184"/>
      <c r="BE40" s="184"/>
      <c r="BF40" s="184"/>
    </row>
    <row r="41" spans="1:58" x14ac:dyDescent="0.3">
      <c r="A41" s="184"/>
      <c r="B41" s="184"/>
      <c r="C41" s="184"/>
      <c r="D41" s="184"/>
      <c r="E41" s="184"/>
      <c r="F41" s="184"/>
      <c r="G41" s="184"/>
      <c r="H41" s="184"/>
      <c r="I41" s="184"/>
      <c r="J41" s="184"/>
      <c r="K41" s="184"/>
      <c r="L41" s="1308"/>
      <c r="M41" s="466" t="s">
        <v>55</v>
      </c>
      <c r="N41" s="192"/>
      <c r="O41" s="193"/>
      <c r="P41" s="193"/>
      <c r="Q41" s="193"/>
      <c r="R41" s="193"/>
      <c r="S41" s="193"/>
      <c r="T41" s="193"/>
      <c r="U41" s="193"/>
      <c r="V41" s="193"/>
      <c r="W41" s="193"/>
      <c r="X41" s="193"/>
      <c r="Y41" s="394"/>
      <c r="Z41" s="194"/>
      <c r="AA41" s="194"/>
      <c r="AB41" s="515"/>
      <c r="AC41" s="515">
        <f t="shared" ref="AC41" si="18">SUM(AC28:AC40)</f>
        <v>0</v>
      </c>
      <c r="AD41" s="515">
        <f t="shared" ref="AD41:AL41" si="19">SUM(AD28:AD40)</f>
        <v>-17.962011851199165</v>
      </c>
      <c r="AE41" s="515">
        <f t="shared" si="19"/>
        <v>-36.07373410470575</v>
      </c>
      <c r="AF41" s="515">
        <f t="shared" si="19"/>
        <v>-221.08140464038297</v>
      </c>
      <c r="AG41" s="515">
        <f t="shared" si="19"/>
        <v>-323.20796206716051</v>
      </c>
      <c r="AH41" s="515">
        <f t="shared" si="19"/>
        <v>-341.78273224457183</v>
      </c>
      <c r="AI41" s="515">
        <f t="shared" si="19"/>
        <v>-360.51959800286335</v>
      </c>
      <c r="AJ41" s="515">
        <f t="shared" si="19"/>
        <v>-379.41909476295604</v>
      </c>
      <c r="AK41" s="515">
        <f t="shared" si="19"/>
        <v>-398.48179753235792</v>
      </c>
      <c r="AL41" s="515">
        <f t="shared" si="19"/>
        <v>-417.70832171377054</v>
      </c>
      <c r="AM41" s="532">
        <f t="shared" si="17"/>
        <v>-2496.2366569199685</v>
      </c>
      <c r="AN41" s="184"/>
      <c r="AO41" s="184"/>
      <c r="AP41" s="184"/>
      <c r="AQ41" s="184"/>
      <c r="AR41" s="184"/>
      <c r="AS41" s="184"/>
      <c r="AT41" s="184"/>
      <c r="AU41" s="184"/>
      <c r="AV41" s="184"/>
      <c r="AW41" s="184"/>
      <c r="AX41" s="184"/>
      <c r="AY41" s="184"/>
      <c r="AZ41" s="184"/>
      <c r="BA41" s="184"/>
      <c r="BB41" s="184"/>
      <c r="BC41" s="184"/>
      <c r="BD41" s="184"/>
      <c r="BE41" s="184"/>
      <c r="BF41" s="184"/>
    </row>
    <row r="42" spans="1:58" x14ac:dyDescent="0.3">
      <c r="A42" s="184"/>
      <c r="B42" s="184"/>
      <c r="C42" s="184"/>
      <c r="D42" s="184"/>
      <c r="E42" s="184"/>
      <c r="F42" s="184"/>
      <c r="G42" s="184"/>
      <c r="H42" s="184"/>
      <c r="I42" s="184"/>
      <c r="J42" s="184"/>
      <c r="K42" s="184"/>
      <c r="L42" s="1308"/>
      <c r="M42" s="195"/>
      <c r="N42" s="463" t="s">
        <v>77</v>
      </c>
      <c r="O42" s="193"/>
      <c r="P42" s="193"/>
      <c r="Q42" s="193"/>
      <c r="R42" s="193"/>
      <c r="S42" s="193"/>
      <c r="T42" s="193"/>
      <c r="U42" s="193"/>
      <c r="V42" s="193"/>
      <c r="W42" s="193"/>
      <c r="X42" s="193"/>
      <c r="Y42" s="394"/>
      <c r="Z42" s="194"/>
      <c r="AA42" s="194"/>
      <c r="AB42" s="184"/>
      <c r="AC42" s="184"/>
      <c r="AD42" s="184"/>
      <c r="AE42" s="184"/>
      <c r="AF42" s="184"/>
      <c r="AG42" s="184"/>
      <c r="AH42" s="184"/>
      <c r="AI42" s="184"/>
      <c r="AJ42" s="184"/>
      <c r="AK42" s="184"/>
      <c r="AL42" s="184"/>
      <c r="AM42" s="184"/>
      <c r="AN42" s="184"/>
      <c r="AO42" s="184"/>
      <c r="AP42" s="184"/>
      <c r="AQ42" s="184"/>
      <c r="AR42" s="184"/>
      <c r="AS42" s="184"/>
      <c r="AT42" s="184"/>
      <c r="AU42" s="184"/>
      <c r="AV42" s="184"/>
      <c r="AW42" s="184"/>
      <c r="AX42" s="184"/>
      <c r="AY42" s="184"/>
      <c r="AZ42" s="184"/>
      <c r="BA42" s="184"/>
      <c r="BB42" s="184"/>
      <c r="BC42" s="184"/>
      <c r="BD42" s="184"/>
      <c r="BE42" s="184"/>
      <c r="BF42" s="184"/>
    </row>
    <row r="43" spans="1:58" x14ac:dyDescent="0.3">
      <c r="A43" s="184"/>
      <c r="B43" s="184" t="s">
        <v>883</v>
      </c>
      <c r="C43" s="184"/>
      <c r="D43" s="184" t="s">
        <v>900</v>
      </c>
      <c r="E43" s="184"/>
      <c r="F43" s="184"/>
      <c r="G43" s="184"/>
      <c r="H43" s="184"/>
      <c r="I43" s="184"/>
      <c r="J43" s="184"/>
      <c r="K43" s="184"/>
      <c r="L43" s="1308"/>
      <c r="M43" s="464" t="s">
        <v>907</v>
      </c>
      <c r="N43" s="463" t="s">
        <v>77</v>
      </c>
      <c r="O43" s="193"/>
      <c r="P43" s="193"/>
      <c r="Q43" s="193"/>
      <c r="R43" s="193"/>
      <c r="S43" s="193"/>
      <c r="T43" s="193"/>
      <c r="U43" s="193"/>
      <c r="V43" s="193"/>
      <c r="W43" s="193"/>
      <c r="X43" s="193"/>
      <c r="Y43" s="394"/>
      <c r="Z43" s="194"/>
      <c r="AA43" s="194"/>
      <c r="AB43" s="115"/>
      <c r="AC43" s="115">
        <f>AC$41*(AC6/AC$11)</f>
        <v>0</v>
      </c>
      <c r="AD43" s="115">
        <f t="shared" ref="AD43:AL43" si="20">AD$41*(AD6/AD$11)</f>
        <v>-2.727677786333802</v>
      </c>
      <c r="AE43" s="115">
        <f t="shared" si="20"/>
        <v>-5.5055424125658288</v>
      </c>
      <c r="AF43" s="115">
        <f t="shared" si="20"/>
        <v>-33.992672857533044</v>
      </c>
      <c r="AG43" s="115">
        <f t="shared" si="20"/>
        <v>-50.061291971446323</v>
      </c>
      <c r="AH43" s="115">
        <f t="shared" si="20"/>
        <v>-53.323672665530452</v>
      </c>
      <c r="AI43" s="115">
        <f t="shared" si="20"/>
        <v>-56.643157287247774</v>
      </c>
      <c r="AJ43" s="115">
        <f t="shared" si="20"/>
        <v>-60.028725787461767</v>
      </c>
      <c r="AK43" s="115">
        <f t="shared" si="20"/>
        <v>-63.480840444986065</v>
      </c>
      <c r="AL43" s="115">
        <f t="shared" si="20"/>
        <v>-66.999963219906462</v>
      </c>
      <c r="AM43" s="532">
        <f>SUM(AD43:AL43)</f>
        <v>-392.76354443301159</v>
      </c>
      <c r="AN43" s="184"/>
      <c r="AO43" s="184"/>
      <c r="AP43" s="184"/>
      <c r="AQ43" s="184"/>
      <c r="AR43" s="184"/>
      <c r="AS43" s="184"/>
      <c r="AT43" s="184"/>
      <c r="AU43" s="184"/>
      <c r="AV43" s="184"/>
      <c r="AW43" s="184"/>
      <c r="AX43" s="184"/>
      <c r="AY43" s="184"/>
      <c r="AZ43" s="184"/>
      <c r="BA43" s="184"/>
      <c r="BB43" s="184"/>
      <c r="BC43" s="184"/>
      <c r="BD43" s="184"/>
      <c r="BE43" s="184"/>
      <c r="BF43" s="184"/>
    </row>
    <row r="44" spans="1:58" x14ac:dyDescent="0.3">
      <c r="A44" s="184"/>
      <c r="B44" s="184" t="s">
        <v>888</v>
      </c>
      <c r="C44" s="184"/>
      <c r="D44" s="184" t="s">
        <v>900</v>
      </c>
      <c r="E44" s="184"/>
      <c r="F44" s="184"/>
      <c r="G44" s="184"/>
      <c r="H44" s="184"/>
      <c r="I44" s="184"/>
      <c r="J44" s="184"/>
      <c r="K44" s="184"/>
      <c r="L44" s="1308"/>
      <c r="M44" s="464" t="s">
        <v>908</v>
      </c>
      <c r="N44" s="463" t="s">
        <v>77</v>
      </c>
      <c r="O44" s="193"/>
      <c r="P44" s="193"/>
      <c r="Q44" s="193"/>
      <c r="R44" s="193"/>
      <c r="S44" s="193"/>
      <c r="T44" s="193"/>
      <c r="U44" s="193"/>
      <c r="V44" s="193"/>
      <c r="W44" s="193"/>
      <c r="X44" s="193"/>
      <c r="Y44" s="394"/>
      <c r="Z44" s="194"/>
      <c r="AA44" s="194"/>
      <c r="AB44" s="115"/>
      <c r="AC44" s="115">
        <f>AC$41*(AC7/AC$11)</f>
        <v>0</v>
      </c>
      <c r="AD44" s="115">
        <f t="shared" ref="AD44:AL44" si="21">AD$41*(AD7/AD$11)</f>
        <v>-6.0076958218968253</v>
      </c>
      <c r="AE44" s="115">
        <f t="shared" si="21"/>
        <v>-12.017063473036384</v>
      </c>
      <c r="AF44" s="115">
        <f t="shared" si="21"/>
        <v>-73.322518545654518</v>
      </c>
      <c r="AG44" s="115">
        <f t="shared" si="21"/>
        <v>-106.72450644328561</v>
      </c>
      <c r="AH44" s="115">
        <f t="shared" si="21"/>
        <v>-112.36955545665911</v>
      </c>
      <c r="AI44" s="115">
        <f t="shared" si="21"/>
        <v>-118.05386316349524</v>
      </c>
      <c r="AJ44" s="115">
        <f t="shared" si="21"/>
        <v>-123.74519101336342</v>
      </c>
      <c r="AK44" s="115">
        <f t="shared" si="21"/>
        <v>-129.44364440315547</v>
      </c>
      <c r="AL44" s="115">
        <f t="shared" si="21"/>
        <v>-135.14935414781374</v>
      </c>
      <c r="AM44" s="532">
        <f t="shared" ref="AM44:AM47" si="22">SUM(AD44:AL44)</f>
        <v>-816.83339246836022</v>
      </c>
      <c r="AN44" s="184"/>
      <c r="AO44" s="184"/>
      <c r="AP44" s="184"/>
      <c r="AQ44" s="184"/>
      <c r="AR44" s="184"/>
      <c r="AS44" s="184"/>
      <c r="AT44" s="184"/>
      <c r="AU44" s="184"/>
      <c r="AV44" s="184"/>
      <c r="AW44" s="184"/>
      <c r="AX44" s="184"/>
      <c r="AY44" s="184"/>
      <c r="AZ44" s="184"/>
      <c r="BA44" s="184"/>
      <c r="BB44" s="184"/>
      <c r="BC44" s="184"/>
      <c r="BD44" s="184"/>
      <c r="BE44" s="184"/>
      <c r="BF44" s="184"/>
    </row>
    <row r="45" spans="1:58" x14ac:dyDescent="0.3">
      <c r="A45" s="184"/>
      <c r="B45" s="184" t="s">
        <v>890</v>
      </c>
      <c r="C45" s="184"/>
      <c r="D45" s="184" t="s">
        <v>900</v>
      </c>
      <c r="E45" s="184"/>
      <c r="F45" s="184"/>
      <c r="G45" s="184"/>
      <c r="H45" s="184"/>
      <c r="I45" s="184"/>
      <c r="J45" s="184"/>
      <c r="K45" s="184"/>
      <c r="L45" s="1308"/>
      <c r="M45" s="464" t="s">
        <v>909</v>
      </c>
      <c r="N45" s="463" t="s">
        <v>77</v>
      </c>
      <c r="O45" s="193"/>
      <c r="P45" s="193"/>
      <c r="Q45" s="193"/>
      <c r="R45" s="193"/>
      <c r="S45" s="193"/>
      <c r="T45" s="193"/>
      <c r="U45" s="193"/>
      <c r="V45" s="193"/>
      <c r="W45" s="193"/>
      <c r="X45" s="193"/>
      <c r="Y45" s="394"/>
      <c r="Z45" s="194"/>
      <c r="AA45" s="194"/>
      <c r="AB45" s="115"/>
      <c r="AC45" s="115">
        <f>AC$41*(AC8/AC$11)</f>
        <v>0</v>
      </c>
      <c r="AD45" s="115">
        <f t="shared" ref="AD45:AL45" si="23">AD$41*(AD8/AD$11)</f>
        <v>-3.0804002116585463</v>
      </c>
      <c r="AE45" s="115">
        <f t="shared" si="23"/>
        <v>-6.1813209209559803</v>
      </c>
      <c r="AF45" s="115">
        <f t="shared" si="23"/>
        <v>-37.836340761102001</v>
      </c>
      <c r="AG45" s="115">
        <f t="shared" si="23"/>
        <v>-55.249639516586235</v>
      </c>
      <c r="AH45" s="115">
        <f t="shared" si="23"/>
        <v>-58.35953849495376</v>
      </c>
      <c r="AI45" s="115">
        <f t="shared" si="23"/>
        <v>-61.488713037921599</v>
      </c>
      <c r="AJ45" s="115">
        <f t="shared" si="23"/>
        <v>-64.642685808211098</v>
      </c>
      <c r="AK45" s="115">
        <f t="shared" si="23"/>
        <v>-67.822106671771579</v>
      </c>
      <c r="AL45" s="115">
        <f t="shared" si="23"/>
        <v>-71.027639921238887</v>
      </c>
      <c r="AM45" s="532">
        <f t="shared" si="22"/>
        <v>-425.68838534439965</v>
      </c>
      <c r="AN45" s="184"/>
      <c r="AO45" s="184"/>
      <c r="AP45" s="184"/>
      <c r="AQ45" s="184"/>
      <c r="AR45" s="184"/>
      <c r="AS45" s="184"/>
      <c r="AT45" s="184"/>
      <c r="AU45" s="184"/>
      <c r="AV45" s="184"/>
      <c r="AW45" s="184"/>
      <c r="AX45" s="184"/>
      <c r="AY45" s="184"/>
      <c r="AZ45" s="184"/>
      <c r="BA45" s="184"/>
      <c r="BB45" s="184"/>
      <c r="BC45" s="184"/>
      <c r="BD45" s="184"/>
      <c r="BE45" s="184"/>
      <c r="BF45" s="184"/>
    </row>
    <row r="46" spans="1:58" x14ac:dyDescent="0.3">
      <c r="A46" s="184"/>
      <c r="B46" s="184" t="s">
        <v>892</v>
      </c>
      <c r="C46" s="184"/>
      <c r="D46" s="184" t="s">
        <v>900</v>
      </c>
      <c r="E46" s="184"/>
      <c r="F46" s="184"/>
      <c r="G46" s="184"/>
      <c r="H46" s="184"/>
      <c r="I46" s="184"/>
      <c r="J46" s="184"/>
      <c r="K46" s="184"/>
      <c r="L46" s="1308"/>
      <c r="M46" s="464" t="s">
        <v>910</v>
      </c>
      <c r="N46" s="463" t="s">
        <v>77</v>
      </c>
      <c r="O46" s="193"/>
      <c r="P46" s="193"/>
      <c r="Q46" s="193"/>
      <c r="R46" s="193"/>
      <c r="S46" s="193"/>
      <c r="T46" s="193"/>
      <c r="U46" s="193"/>
      <c r="V46" s="193"/>
      <c r="W46" s="193"/>
      <c r="X46" s="193"/>
      <c r="Y46" s="394"/>
      <c r="Z46" s="194"/>
      <c r="AA46" s="194"/>
      <c r="AB46" s="115"/>
      <c r="AC46" s="115">
        <f>AC$41*(AC9/AC$11)</f>
        <v>0</v>
      </c>
      <c r="AD46" s="115">
        <f t="shared" ref="AD46:AL46" si="24">AD$41*(AD9/AD$11)</f>
        <v>-5.5828216243274911</v>
      </c>
      <c r="AE46" s="115">
        <f t="shared" si="24"/>
        <v>-11.246092699688113</v>
      </c>
      <c r="AF46" s="115">
        <f t="shared" si="24"/>
        <v>-69.094295430194535</v>
      </c>
      <c r="AG46" s="115">
        <f t="shared" si="24"/>
        <v>-101.25448358969408</v>
      </c>
      <c r="AH46" s="115">
        <f t="shared" si="24"/>
        <v>-107.32171269954891</v>
      </c>
      <c r="AI46" s="115">
        <f t="shared" si="24"/>
        <v>-113.44107292931756</v>
      </c>
      <c r="AJ46" s="115">
        <f t="shared" si="24"/>
        <v>-119.62923591553286</v>
      </c>
      <c r="AK46" s="115">
        <f t="shared" si="24"/>
        <v>-125.88564327405514</v>
      </c>
      <c r="AL46" s="115">
        <f t="shared" si="24"/>
        <v>-132.20973398759571</v>
      </c>
      <c r="AM46" s="532">
        <f t="shared" si="22"/>
        <v>-785.66509214995449</v>
      </c>
      <c r="AN46" s="184"/>
      <c r="AO46" s="184"/>
      <c r="AP46" s="184"/>
      <c r="AQ46" s="184"/>
      <c r="AR46" s="184"/>
      <c r="AS46" s="184"/>
      <c r="AT46" s="184"/>
      <c r="AU46" s="184"/>
      <c r="AV46" s="184"/>
      <c r="AW46" s="184"/>
      <c r="AX46" s="184"/>
      <c r="AY46" s="184"/>
      <c r="AZ46" s="184"/>
      <c r="BA46" s="184"/>
      <c r="BB46" s="184"/>
      <c r="BC46" s="184"/>
      <c r="BD46" s="184"/>
      <c r="BE46" s="184"/>
      <c r="BF46" s="184"/>
    </row>
    <row r="47" spans="1:58" x14ac:dyDescent="0.3">
      <c r="A47" s="184"/>
      <c r="B47" s="184" t="s">
        <v>894</v>
      </c>
      <c r="C47" s="184"/>
      <c r="D47" s="184" t="s">
        <v>900</v>
      </c>
      <c r="E47" s="184"/>
      <c r="F47" s="184"/>
      <c r="G47" s="184"/>
      <c r="H47" s="184"/>
      <c r="I47" s="184"/>
      <c r="J47" s="184"/>
      <c r="K47" s="184"/>
      <c r="L47" s="1308"/>
      <c r="M47" s="464" t="s">
        <v>911</v>
      </c>
      <c r="N47" s="463" t="s">
        <v>77</v>
      </c>
      <c r="O47" s="193"/>
      <c r="P47" s="193"/>
      <c r="Q47" s="193"/>
      <c r="R47" s="193"/>
      <c r="S47" s="193"/>
      <c r="T47" s="193"/>
      <c r="U47" s="193"/>
      <c r="V47" s="193"/>
      <c r="W47" s="193"/>
      <c r="X47" s="193"/>
      <c r="Y47" s="394"/>
      <c r="Z47" s="194"/>
      <c r="AA47" s="194"/>
      <c r="AB47" s="115"/>
      <c r="AC47" s="115">
        <f>AC$41*(AC10/AC$11)</f>
        <v>0</v>
      </c>
      <c r="AD47" s="115">
        <f t="shared" ref="AD47:AL47" si="25">AD$41*(AD10/AD$11)</f>
        <v>-0.56341640698250117</v>
      </c>
      <c r="AE47" s="115">
        <f t="shared" si="25"/>
        <v>-1.123714598459449</v>
      </c>
      <c r="AF47" s="115">
        <f t="shared" si="25"/>
        <v>-6.8355770458988951</v>
      </c>
      <c r="AG47" s="115">
        <f t="shared" si="25"/>
        <v>-9.9180405461482763</v>
      </c>
      <c r="AH47" s="115">
        <f t="shared" si="25"/>
        <v>-10.408252927879586</v>
      </c>
      <c r="AI47" s="115">
        <f t="shared" si="25"/>
        <v>-10.8927915848812</v>
      </c>
      <c r="AJ47" s="115">
        <f t="shared" si="25"/>
        <v>-11.373256238386841</v>
      </c>
      <c r="AK47" s="115">
        <f t="shared" si="25"/>
        <v>-11.849562738389633</v>
      </c>
      <c r="AL47" s="115">
        <f t="shared" si="25"/>
        <v>-12.321630437215722</v>
      </c>
      <c r="AM47" s="532">
        <f t="shared" si="22"/>
        <v>-75.286242524242098</v>
      </c>
      <c r="AN47" s="184"/>
      <c r="AO47" s="184"/>
      <c r="AP47" s="184"/>
      <c r="AQ47" s="184"/>
      <c r="AR47" s="184"/>
      <c r="AS47" s="184"/>
      <c r="AT47" s="184"/>
      <c r="AU47" s="184"/>
      <c r="AV47" s="184"/>
      <c r="AW47" s="184"/>
      <c r="AX47" s="184"/>
      <c r="AY47" s="184"/>
      <c r="AZ47" s="184"/>
      <c r="BA47" s="184"/>
      <c r="BB47" s="184"/>
      <c r="BC47" s="184"/>
      <c r="BD47" s="184"/>
      <c r="BE47" s="184"/>
      <c r="BF47" s="184"/>
    </row>
    <row r="48" spans="1:58" x14ac:dyDescent="0.3">
      <c r="A48" s="184"/>
      <c r="B48" s="184"/>
      <c r="C48" s="184"/>
      <c r="D48" s="184"/>
      <c r="E48" s="184"/>
      <c r="F48" s="184"/>
      <c r="G48" s="184"/>
      <c r="H48" s="184"/>
      <c r="I48" s="184"/>
      <c r="J48" s="184"/>
      <c r="K48" s="184"/>
      <c r="L48" s="1308"/>
      <c r="M48" s="192"/>
      <c r="N48" s="192"/>
      <c r="O48" s="193"/>
      <c r="P48" s="193"/>
      <c r="Q48" s="193"/>
      <c r="R48" s="193"/>
      <c r="S48" s="193"/>
      <c r="T48" s="193"/>
      <c r="U48" s="193"/>
      <c r="V48" s="193"/>
      <c r="W48" s="193"/>
      <c r="X48" s="193"/>
      <c r="Y48" s="394"/>
      <c r="Z48" s="194"/>
      <c r="AA48" s="194"/>
      <c r="AB48" s="193"/>
      <c r="AC48" s="193"/>
      <c r="AD48" s="184"/>
      <c r="AE48" s="184"/>
      <c r="AF48" s="184"/>
      <c r="AG48" s="184"/>
      <c r="AH48" s="184"/>
      <c r="AI48" s="184"/>
      <c r="AJ48" s="184"/>
      <c r="AK48" s="184"/>
      <c r="AL48" s="184"/>
      <c r="AM48" s="184"/>
      <c r="AN48" s="184"/>
      <c r="AO48" s="184"/>
      <c r="AP48" s="184"/>
      <c r="AQ48" s="184"/>
      <c r="AR48" s="184"/>
      <c r="AS48" s="184"/>
      <c r="AT48" s="184"/>
      <c r="AU48" s="184"/>
      <c r="AV48" s="184"/>
      <c r="AW48" s="184"/>
      <c r="AX48" s="184"/>
      <c r="AY48" s="184"/>
      <c r="AZ48" s="184"/>
      <c r="BA48" s="184"/>
      <c r="BB48" s="184"/>
      <c r="BC48" s="184"/>
      <c r="BD48" s="184"/>
      <c r="BE48" s="184"/>
      <c r="BF48" s="184"/>
    </row>
    <row r="49" spans="1:58" ht="12" customHeight="1" x14ac:dyDescent="0.3">
      <c r="A49" s="184"/>
      <c r="B49" s="184" t="s">
        <v>883</v>
      </c>
      <c r="C49" s="184"/>
      <c r="D49" s="184"/>
      <c r="E49" s="184"/>
      <c r="F49" s="184"/>
      <c r="G49" s="184"/>
      <c r="H49" s="184"/>
      <c r="I49" s="184"/>
      <c r="J49" s="184"/>
      <c r="K49" s="184"/>
      <c r="L49" s="1308"/>
      <c r="M49" s="465" t="s">
        <v>912</v>
      </c>
      <c r="N49" s="463" t="s">
        <v>77</v>
      </c>
      <c r="O49" s="184"/>
      <c r="P49" s="184"/>
      <c r="Q49" s="184"/>
      <c r="R49" s="184"/>
      <c r="S49" s="184"/>
      <c r="T49" s="184"/>
      <c r="U49" s="184"/>
      <c r="V49" s="184"/>
      <c r="W49" s="184"/>
      <c r="X49" s="184"/>
      <c r="Y49" s="394"/>
      <c r="Z49" s="2127" t="s">
        <v>913</v>
      </c>
      <c r="AA49" s="2128"/>
      <c r="AB49" s="116">
        <f t="shared" ref="AB49:AC49" si="26">AB6+AB22+AB43</f>
        <v>4749.4444444444443</v>
      </c>
      <c r="AC49" s="116">
        <f t="shared" si="26"/>
        <v>4327.1518611111105</v>
      </c>
      <c r="AD49" s="116">
        <f t="shared" ref="AD49:AL49" si="27">AD6+AD22+AD43</f>
        <v>4790.9309111025541</v>
      </c>
      <c r="AE49" s="116">
        <f t="shared" si="27"/>
        <v>4845.7163131429907</v>
      </c>
      <c r="AF49" s="116">
        <f t="shared" si="27"/>
        <v>4890.0467150313552</v>
      </c>
      <c r="AG49" s="116">
        <f t="shared" si="27"/>
        <v>4898.4045443885461</v>
      </c>
      <c r="AH49" s="116">
        <f t="shared" si="27"/>
        <v>4920.6772590953433</v>
      </c>
      <c r="AI49" s="116">
        <f t="shared" si="27"/>
        <v>4951.0871960578324</v>
      </c>
      <c r="AJ49" s="116">
        <f t="shared" si="27"/>
        <v>5024.9875022226761</v>
      </c>
      <c r="AK49" s="116">
        <f t="shared" si="27"/>
        <v>5099.9805503501848</v>
      </c>
      <c r="AL49" s="116">
        <f t="shared" si="27"/>
        <v>5176.0832678020715</v>
      </c>
      <c r="AM49" s="184"/>
      <c r="AN49" s="184"/>
      <c r="AO49" s="184"/>
      <c r="AP49" s="184"/>
      <c r="AQ49" s="184"/>
      <c r="AR49" s="184"/>
      <c r="AS49" s="184"/>
      <c r="AT49" s="184"/>
      <c r="AU49" s="184"/>
      <c r="AV49" s="184"/>
      <c r="AW49" s="184"/>
      <c r="AX49" s="184"/>
      <c r="AY49" s="184"/>
      <c r="AZ49" s="184"/>
      <c r="BA49" s="184"/>
      <c r="BB49" s="184"/>
      <c r="BC49" s="184"/>
      <c r="BD49" s="184"/>
      <c r="BE49" s="184"/>
      <c r="BF49" s="184"/>
    </row>
    <row r="50" spans="1:58" x14ac:dyDescent="0.3">
      <c r="A50" s="184"/>
      <c r="B50" s="184" t="s">
        <v>888</v>
      </c>
      <c r="C50" s="184"/>
      <c r="D50" s="184"/>
      <c r="E50" s="184"/>
      <c r="F50" s="184"/>
      <c r="G50" s="184"/>
      <c r="H50" s="184"/>
      <c r="I50" s="184"/>
      <c r="J50" s="184"/>
      <c r="K50" s="184"/>
      <c r="L50" s="1308"/>
      <c r="M50" s="465" t="s">
        <v>889</v>
      </c>
      <c r="N50" s="463" t="s">
        <v>77</v>
      </c>
      <c r="O50" s="184"/>
      <c r="P50" s="184"/>
      <c r="Q50" s="184"/>
      <c r="R50" s="184"/>
      <c r="S50" s="184"/>
      <c r="T50" s="184"/>
      <c r="U50" s="184"/>
      <c r="V50" s="184"/>
      <c r="W50" s="184"/>
      <c r="X50" s="184"/>
      <c r="Y50" s="394"/>
      <c r="Z50" s="2127"/>
      <c r="AA50" s="2128"/>
      <c r="AB50" s="116">
        <f t="shared" ref="AB50:AC50" si="28">AB7+AB23+AB44</f>
        <v>10567.960000000001</v>
      </c>
      <c r="AC50" s="116">
        <f t="shared" si="28"/>
        <v>10532.931725031605</v>
      </c>
      <c r="AD50" s="116">
        <f t="shared" ref="AD50:AL50" si="29">AD7+AD23+AD44</f>
        <v>10555.632453966533</v>
      </c>
      <c r="AE50" s="116">
        <f t="shared" si="29"/>
        <v>10576.086992027871</v>
      </c>
      <c r="AF50" s="116">
        <f t="shared" si="29"/>
        <v>10546.865770140304</v>
      </c>
      <c r="AG50" s="116">
        <f t="shared" si="29"/>
        <v>10547.026425921616</v>
      </c>
      <c r="AH50" s="116">
        <f t="shared" si="29"/>
        <v>10576.441791136538</v>
      </c>
      <c r="AI50" s="116">
        <f t="shared" si="29"/>
        <v>10611.808466320117</v>
      </c>
      <c r="AJ50" s="116">
        <f t="shared" si="29"/>
        <v>10648.296041104781</v>
      </c>
      <c r="AK50" s="116">
        <f t="shared" si="29"/>
        <v>10685.7497057439</v>
      </c>
      <c r="AL50" s="116">
        <f t="shared" si="29"/>
        <v>10724.181806679295</v>
      </c>
      <c r="AM50" s="184"/>
      <c r="AN50" s="184"/>
      <c r="AO50" s="184"/>
      <c r="AP50" s="184"/>
      <c r="AQ50" s="184"/>
      <c r="AR50" s="184"/>
      <c r="AS50" s="184"/>
      <c r="AT50" s="184"/>
      <c r="AU50" s="184"/>
      <c r="AV50" s="184"/>
      <c r="AW50" s="184"/>
      <c r="AX50" s="184"/>
      <c r="AY50" s="184"/>
      <c r="AZ50" s="184"/>
      <c r="BA50" s="184"/>
      <c r="BB50" s="184"/>
      <c r="BC50" s="184"/>
      <c r="BD50" s="184"/>
      <c r="BE50" s="184"/>
      <c r="BF50" s="184"/>
    </row>
    <row r="51" spans="1:58" x14ac:dyDescent="0.3">
      <c r="A51" s="184"/>
      <c r="B51" s="184" t="s">
        <v>890</v>
      </c>
      <c r="C51" s="184"/>
      <c r="D51" s="184"/>
      <c r="E51" s="184"/>
      <c r="F51" s="184"/>
      <c r="G51" s="184"/>
      <c r="H51" s="184"/>
      <c r="I51" s="184"/>
      <c r="J51" s="184"/>
      <c r="K51" s="184"/>
      <c r="L51" s="1308"/>
      <c r="M51" s="465" t="s">
        <v>891</v>
      </c>
      <c r="N51" s="463" t="s">
        <v>77</v>
      </c>
      <c r="O51" s="184"/>
      <c r="P51" s="184"/>
      <c r="Q51" s="184"/>
      <c r="R51" s="184"/>
      <c r="S51" s="184"/>
      <c r="T51" s="184"/>
      <c r="U51" s="184"/>
      <c r="V51" s="184"/>
      <c r="W51" s="184"/>
      <c r="X51" s="184"/>
      <c r="Y51" s="394"/>
      <c r="Z51" s="2127"/>
      <c r="AA51" s="2128"/>
      <c r="AB51" s="116">
        <f t="shared" ref="AB51:AC51" si="30">AB8+AB24+AB45</f>
        <v>5382.26</v>
      </c>
      <c r="AC51" s="116">
        <f t="shared" si="30"/>
        <v>5376.8275011999995</v>
      </c>
      <c r="AD51" s="116">
        <f t="shared" ref="AD51:AL51" si="31">AD8+AD24+AD45</f>
        <v>5409.2336441916041</v>
      </c>
      <c r="AE51" s="116">
        <f t="shared" si="31"/>
        <v>5438.7455815152716</v>
      </c>
      <c r="AF51" s="116">
        <f t="shared" si="31"/>
        <v>5441.0874845154394</v>
      </c>
      <c r="AG51" s="116">
        <f t="shared" si="31"/>
        <v>5458.7620225175224</v>
      </c>
      <c r="AH51" s="116">
        <f t="shared" si="31"/>
        <v>5491.7423943193626</v>
      </c>
      <c r="AI51" s="116">
        <f t="shared" si="31"/>
        <v>5526.1210383871457</v>
      </c>
      <c r="AJ51" s="116">
        <f t="shared" si="31"/>
        <v>5561.4563333348488</v>
      </c>
      <c r="AK51" s="116">
        <f t="shared" si="31"/>
        <v>5597.7625576606597</v>
      </c>
      <c r="AL51" s="116">
        <f t="shared" si="31"/>
        <v>5635.0542764191396</v>
      </c>
      <c r="AM51" s="184"/>
      <c r="AN51" s="184"/>
      <c r="AO51" s="184"/>
      <c r="AP51" s="184"/>
      <c r="AQ51" s="184"/>
      <c r="AR51" s="184"/>
      <c r="AS51" s="184"/>
      <c r="AT51" s="184"/>
      <c r="AU51" s="184"/>
      <c r="AV51" s="184"/>
      <c r="AW51" s="184"/>
      <c r="AX51" s="184"/>
      <c r="AY51" s="184"/>
      <c r="AZ51" s="184"/>
      <c r="BA51" s="184"/>
      <c r="BB51" s="184"/>
      <c r="BC51" s="184"/>
      <c r="BD51" s="184"/>
      <c r="BE51" s="184"/>
      <c r="BF51" s="184"/>
    </row>
    <row r="52" spans="1:58" x14ac:dyDescent="0.3">
      <c r="A52" s="184"/>
      <c r="B52" s="184" t="s">
        <v>892</v>
      </c>
      <c r="C52" s="184"/>
      <c r="D52" s="184"/>
      <c r="E52" s="184"/>
      <c r="F52" s="184"/>
      <c r="G52" s="184"/>
      <c r="H52" s="184"/>
      <c r="I52" s="184"/>
      <c r="J52" s="184"/>
      <c r="K52" s="184"/>
      <c r="L52" s="1308"/>
      <c r="M52" s="465" t="s">
        <v>893</v>
      </c>
      <c r="N52" s="463" t="s">
        <v>77</v>
      </c>
      <c r="O52" s="184"/>
      <c r="P52" s="184"/>
      <c r="Q52" s="184"/>
      <c r="R52" s="184"/>
      <c r="S52" s="184"/>
      <c r="T52" s="184"/>
      <c r="U52" s="184"/>
      <c r="V52" s="184"/>
      <c r="W52" s="184"/>
      <c r="X52" s="184"/>
      <c r="Y52" s="394"/>
      <c r="Z52" s="2127"/>
      <c r="AA52" s="2128"/>
      <c r="AB52" s="116">
        <f t="shared" ref="AB52:AC52" si="32">AB9+AB25+AB46</f>
        <v>9177.7777777777792</v>
      </c>
      <c r="AC52" s="116">
        <f t="shared" si="32"/>
        <v>9712.2195751820309</v>
      </c>
      <c r="AD52" s="116">
        <f t="shared" ref="AD52:AL52" si="33">AD9+AD25+AD46</f>
        <v>9803.8450868910368</v>
      </c>
      <c r="AE52" s="116">
        <f t="shared" si="33"/>
        <v>9890.4954324823429</v>
      </c>
      <c r="AF52" s="116">
        <f t="shared" si="33"/>
        <v>9930.8947542571696</v>
      </c>
      <c r="AG52" s="116">
        <f t="shared" si="33"/>
        <v>9998.8884091393393</v>
      </c>
      <c r="AH52" s="116">
        <f t="shared" si="33"/>
        <v>10093.976561501566</v>
      </c>
      <c r="AI52" s="116">
        <f t="shared" si="33"/>
        <v>10190.024136558603</v>
      </c>
      <c r="AJ52" s="116">
        <f t="shared" si="33"/>
        <v>10287.02457821206</v>
      </c>
      <c r="AK52" s="116">
        <f t="shared" si="33"/>
        <v>10384.988661539606</v>
      </c>
      <c r="AL52" s="116">
        <f t="shared" si="33"/>
        <v>10483.927266418996</v>
      </c>
      <c r="AM52" s="184"/>
      <c r="AN52" s="184"/>
      <c r="AO52" s="184"/>
      <c r="AP52" s="184"/>
      <c r="AQ52" s="184"/>
      <c r="AR52" s="184"/>
      <c r="AS52" s="184"/>
      <c r="AT52" s="184"/>
      <c r="AU52" s="184"/>
      <c r="AV52" s="184"/>
      <c r="AW52" s="184"/>
      <c r="AX52" s="184"/>
      <c r="AY52" s="184"/>
      <c r="AZ52" s="184"/>
      <c r="BA52" s="184"/>
      <c r="BB52" s="184"/>
      <c r="BC52" s="184"/>
      <c r="BD52" s="184"/>
      <c r="BE52" s="184"/>
      <c r="BF52" s="184"/>
    </row>
    <row r="53" spans="1:58" x14ac:dyDescent="0.3">
      <c r="A53" s="184"/>
      <c r="B53" s="184" t="s">
        <v>894</v>
      </c>
      <c r="C53" s="184"/>
      <c r="D53" s="184"/>
      <c r="E53" s="184"/>
      <c r="F53" s="184"/>
      <c r="G53" s="184"/>
      <c r="H53" s="184"/>
      <c r="I53" s="184"/>
      <c r="J53" s="184"/>
      <c r="K53" s="184"/>
      <c r="L53" s="1308"/>
      <c r="M53" s="465" t="s">
        <v>895</v>
      </c>
      <c r="N53" s="463" t="s">
        <v>77</v>
      </c>
      <c r="O53" s="184"/>
      <c r="P53" s="184"/>
      <c r="Q53" s="184"/>
      <c r="R53" s="184"/>
      <c r="S53" s="184"/>
      <c r="T53" s="184"/>
      <c r="U53" s="184"/>
      <c r="V53" s="184"/>
      <c r="W53" s="184"/>
      <c r="X53" s="184"/>
      <c r="Y53" s="394"/>
      <c r="Z53" s="2127"/>
      <c r="AA53" s="2128"/>
      <c r="AB53" s="116">
        <f t="shared" ref="AB53:AC53" si="34">AB10+AB26+AB40</f>
        <v>1272.7777777777778</v>
      </c>
      <c r="AC53" s="116">
        <f t="shared" si="34"/>
        <v>990.64514183333335</v>
      </c>
      <c r="AD53" s="116">
        <f t="shared" ref="AD53:AL53" si="35">AD10+AD26+AD40</f>
        <v>990.83333333333337</v>
      </c>
      <c r="AE53" s="116">
        <f t="shared" si="35"/>
        <v>990.83333333333337</v>
      </c>
      <c r="AF53" s="116">
        <f t="shared" si="35"/>
        <v>990.83333333333337</v>
      </c>
      <c r="AG53" s="116">
        <f t="shared" si="35"/>
        <v>990.83333333333337</v>
      </c>
      <c r="AH53" s="116">
        <f t="shared" si="35"/>
        <v>990.83333333333337</v>
      </c>
      <c r="AI53" s="116">
        <f t="shared" si="35"/>
        <v>990.83333333333337</v>
      </c>
      <c r="AJ53" s="116">
        <f t="shared" si="35"/>
        <v>990.83333333333337</v>
      </c>
      <c r="AK53" s="116">
        <f t="shared" si="35"/>
        <v>990.83333333333337</v>
      </c>
      <c r="AL53" s="116">
        <f t="shared" si="35"/>
        <v>990.83333333333337</v>
      </c>
      <c r="AM53" s="184"/>
      <c r="AN53" s="184"/>
      <c r="AO53" s="184"/>
      <c r="AP53" s="184"/>
      <c r="AQ53" s="184"/>
      <c r="AR53" s="184"/>
      <c r="AS53" s="184"/>
      <c r="AT53" s="184"/>
      <c r="AU53" s="184"/>
      <c r="AV53" s="184"/>
      <c r="AW53" s="184"/>
      <c r="AX53" s="184"/>
      <c r="AY53" s="184"/>
      <c r="AZ53" s="184"/>
      <c r="BA53" s="184"/>
      <c r="BB53" s="184"/>
      <c r="BC53" s="184"/>
      <c r="BD53" s="184"/>
      <c r="BE53" s="184"/>
      <c r="BF53" s="184"/>
    </row>
    <row r="54" spans="1:58" x14ac:dyDescent="0.3">
      <c r="A54" s="184"/>
      <c r="B54" s="184"/>
      <c r="C54" s="184"/>
      <c r="D54" s="184"/>
      <c r="E54" s="184"/>
      <c r="F54" s="184"/>
      <c r="G54" s="184"/>
      <c r="H54" s="184"/>
      <c r="I54" s="184"/>
      <c r="J54" s="184"/>
      <c r="K54" s="184"/>
      <c r="L54" s="1308"/>
      <c r="M54" s="184"/>
      <c r="N54" s="184"/>
      <c r="O54" s="184"/>
      <c r="P54" s="184"/>
      <c r="Q54" s="184"/>
      <c r="R54" s="184"/>
      <c r="S54" s="184"/>
      <c r="T54" s="184"/>
      <c r="U54" s="184"/>
      <c r="V54" s="184"/>
      <c r="W54" s="184"/>
      <c r="X54" s="184"/>
      <c r="Y54" s="39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84"/>
      <c r="BE54" s="184"/>
      <c r="BF54" s="184"/>
    </row>
    <row r="55" spans="1:58" x14ac:dyDescent="0.3">
      <c r="A55" s="184"/>
      <c r="B55" s="184"/>
      <c r="C55" s="184"/>
      <c r="D55" s="184"/>
      <c r="E55" s="184"/>
      <c r="F55" s="184"/>
      <c r="G55" s="184"/>
      <c r="H55" s="184"/>
      <c r="I55" s="184"/>
      <c r="J55" s="184"/>
      <c r="K55" s="184"/>
      <c r="L55" s="1308"/>
      <c r="M55" s="77" t="s">
        <v>914</v>
      </c>
      <c r="N55" s="463" t="s">
        <v>77</v>
      </c>
      <c r="O55" s="193"/>
      <c r="P55" s="193"/>
      <c r="Q55" s="193"/>
      <c r="R55" s="193"/>
      <c r="S55" s="193"/>
      <c r="T55" s="193"/>
      <c r="U55" s="193"/>
      <c r="V55" s="193"/>
      <c r="W55" s="193"/>
      <c r="X55" s="193"/>
      <c r="Y55" s="394"/>
      <c r="Z55" s="184"/>
      <c r="AA55" s="184"/>
      <c r="AB55" s="404"/>
      <c r="AC55" s="404">
        <f>SUM(AC49:AC53)</f>
        <v>30939.77580435808</v>
      </c>
      <c r="AD55" s="404">
        <f>SUM(AD49:AD53)</f>
        <v>31550.475429485061</v>
      </c>
      <c r="AE55" s="404">
        <f t="shared" ref="AE55:AL55" si="36">SUM(AE49:AE53)</f>
        <v>31741.877652501807</v>
      </c>
      <c r="AF55" s="404">
        <f t="shared" si="36"/>
        <v>31799.7280572776</v>
      </c>
      <c r="AG55" s="404">
        <f t="shared" si="36"/>
        <v>31893.914735300354</v>
      </c>
      <c r="AH55" s="404">
        <f t="shared" si="36"/>
        <v>32073.671339386139</v>
      </c>
      <c r="AI55" s="404">
        <f t="shared" si="36"/>
        <v>32269.874170657033</v>
      </c>
      <c r="AJ55" s="404">
        <f t="shared" si="36"/>
        <v>32512.597788207695</v>
      </c>
      <c r="AK55" s="404">
        <f t="shared" si="36"/>
        <v>32759.314808627681</v>
      </c>
      <c r="AL55" s="404">
        <f t="shared" si="36"/>
        <v>33010.079950652835</v>
      </c>
      <c r="AM55" s="184"/>
      <c r="AN55" s="184"/>
      <c r="AO55" s="184"/>
      <c r="AP55" s="184"/>
      <c r="AQ55" s="184"/>
      <c r="AR55" s="184"/>
      <c r="AS55" s="184"/>
      <c r="AT55" s="184"/>
      <c r="AU55" s="184"/>
      <c r="AV55" s="184"/>
      <c r="AW55" s="184"/>
      <c r="AX55" s="184"/>
      <c r="AY55" s="184"/>
      <c r="AZ55" s="184"/>
      <c r="BA55" s="184"/>
      <c r="BB55" s="184"/>
      <c r="BC55" s="184"/>
      <c r="BD55" s="184"/>
      <c r="BE55" s="184"/>
      <c r="BF55" s="184"/>
    </row>
    <row r="56" spans="1:58" ht="14.25" thickBot="1" x14ac:dyDescent="0.35">
      <c r="A56" s="184"/>
      <c r="B56" s="184"/>
      <c r="C56" s="184"/>
      <c r="D56" s="184"/>
      <c r="E56" s="184"/>
      <c r="F56" s="184"/>
      <c r="G56" s="184"/>
      <c r="H56" s="184"/>
      <c r="I56" s="184"/>
      <c r="J56" s="184"/>
      <c r="K56" s="184"/>
      <c r="L56" s="1308"/>
      <c r="M56" s="72" t="s">
        <v>915</v>
      </c>
      <c r="N56" s="469" t="s">
        <v>68</v>
      </c>
      <c r="O56" s="193"/>
      <c r="P56" s="193"/>
      <c r="Q56" s="193"/>
      <c r="R56" s="193"/>
      <c r="S56" s="193"/>
      <c r="T56" s="193"/>
      <c r="U56" s="193"/>
      <c r="V56" s="193"/>
      <c r="W56" s="193"/>
      <c r="X56" s="193"/>
      <c r="Y56" s="394"/>
      <c r="Z56" s="184"/>
      <c r="AA56" s="184"/>
      <c r="AB56" s="405"/>
      <c r="AC56" s="405">
        <f>-(AC55-AC$11)/AC$11</f>
        <v>2.947326249992656E-3</v>
      </c>
      <c r="AD56" s="405">
        <f>-(AD55-AD$11)/AD$11</f>
        <v>1.1970635383839162E-3</v>
      </c>
      <c r="AE56" s="405">
        <f>-((AD$11-AD55)-(AE$11-AE55))/AE$11</f>
        <v>8.8844317541627205E-4</v>
      </c>
      <c r="AF56" s="405">
        <f t="shared" ref="AF56:AL56" si="37">-((AE$11-AE55)-(AF$11-AF55))/AF$11</f>
        <v>5.6318713092258299E-3</v>
      </c>
      <c r="AG56" s="405">
        <f t="shared" si="37"/>
        <v>4.6050881929174219E-3</v>
      </c>
      <c r="AH56" s="405">
        <f t="shared" si="37"/>
        <v>2.0818030250303494E-3</v>
      </c>
      <c r="AI56" s="405">
        <f t="shared" si="37"/>
        <v>1.8550405161390511E-3</v>
      </c>
      <c r="AJ56" s="405">
        <f t="shared" si="37"/>
        <v>5.5722659584938662E-4</v>
      </c>
      <c r="AK56" s="405">
        <f t="shared" si="37"/>
        <v>5.5781272919432567E-4</v>
      </c>
      <c r="AL56" s="405">
        <f t="shared" si="37"/>
        <v>5.5834023535059356E-4</v>
      </c>
      <c r="AM56" s="184"/>
      <c r="AN56" s="184"/>
      <c r="AO56" s="184"/>
      <c r="AP56" s="184"/>
      <c r="AQ56" s="184"/>
      <c r="AR56" s="184"/>
      <c r="AS56" s="184"/>
      <c r="AT56" s="184"/>
      <c r="AU56" s="184"/>
      <c r="AV56" s="184"/>
      <c r="AW56" s="184"/>
      <c r="AX56" s="184"/>
      <c r="AY56" s="184"/>
      <c r="AZ56" s="184"/>
      <c r="BA56" s="184"/>
      <c r="BB56" s="184"/>
      <c r="BC56" s="184"/>
      <c r="BD56" s="184"/>
      <c r="BE56" s="184"/>
      <c r="BF56" s="184"/>
    </row>
    <row r="57" spans="1:58" ht="14.25" thickBot="1" x14ac:dyDescent="0.35">
      <c r="A57" s="184"/>
      <c r="B57" s="184"/>
      <c r="C57" s="184"/>
      <c r="D57" s="184"/>
      <c r="E57" s="184"/>
      <c r="F57" s="184"/>
      <c r="G57" s="184"/>
      <c r="H57" s="184"/>
      <c r="I57" s="184"/>
      <c r="J57" s="184"/>
      <c r="K57" s="184"/>
      <c r="L57" s="1308"/>
      <c r="M57" s="72" t="s">
        <v>916</v>
      </c>
      <c r="N57" s="469" t="s">
        <v>68</v>
      </c>
      <c r="O57" s="193"/>
      <c r="P57" s="193"/>
      <c r="Q57" s="193"/>
      <c r="R57" s="193"/>
      <c r="S57" s="193"/>
      <c r="T57" s="193"/>
      <c r="U57" s="193"/>
      <c r="V57" s="193"/>
      <c r="W57" s="193"/>
      <c r="X57" s="193"/>
      <c r="Y57" s="394"/>
      <c r="Z57" s="184"/>
      <c r="AA57" s="184"/>
      <c r="AB57" s="193"/>
      <c r="AC57" s="193"/>
      <c r="AD57" s="196"/>
      <c r="AE57" s="196"/>
      <c r="AF57" s="1311">
        <f>((AL$11-AL55)-(AF$11-AF55))/AL$11/7</f>
        <v>1.4163495275952432E-3</v>
      </c>
      <c r="AG57" s="1312"/>
      <c r="AH57" s="1312"/>
      <c r="AI57" s="1312"/>
      <c r="AJ57" s="1312"/>
      <c r="AK57" s="1312"/>
      <c r="AL57" s="1313"/>
      <c r="AM57" s="184"/>
      <c r="AN57" s="184"/>
      <c r="AO57" s="184"/>
      <c r="AP57" s="184"/>
      <c r="AQ57" s="184"/>
      <c r="AR57" s="184"/>
      <c r="AS57" s="184"/>
      <c r="AT57" s="184"/>
      <c r="AU57" s="184"/>
      <c r="AV57" s="184"/>
      <c r="AW57" s="184"/>
      <c r="AX57" s="184"/>
      <c r="AY57" s="184"/>
      <c r="AZ57" s="184"/>
      <c r="BA57" s="184"/>
      <c r="BB57" s="184"/>
      <c r="BC57" s="184"/>
      <c r="BD57" s="184"/>
      <c r="BE57" s="184"/>
      <c r="BF57" s="184"/>
    </row>
    <row r="58" spans="1:58" x14ac:dyDescent="0.3">
      <c r="A58" s="184"/>
      <c r="B58" s="184"/>
      <c r="C58" s="184"/>
      <c r="D58" s="184"/>
      <c r="E58" s="184"/>
      <c r="F58" s="184"/>
      <c r="G58" s="184"/>
      <c r="H58" s="184"/>
      <c r="I58" s="184"/>
      <c r="J58" s="184"/>
      <c r="K58" s="184"/>
      <c r="L58" s="78"/>
      <c r="M58" s="195"/>
      <c r="N58" s="192"/>
      <c r="O58" s="193"/>
      <c r="P58" s="193"/>
      <c r="Q58" s="193"/>
      <c r="R58" s="193"/>
      <c r="S58" s="193"/>
      <c r="T58" s="193"/>
      <c r="U58" s="193"/>
      <c r="V58" s="193"/>
      <c r="W58" s="193"/>
      <c r="X58" s="193"/>
      <c r="Y58" s="394"/>
      <c r="Z58" s="196"/>
      <c r="AA58" s="196"/>
      <c r="AB58" s="193"/>
      <c r="AC58" s="193"/>
      <c r="AD58" s="196"/>
      <c r="AE58" s="196"/>
      <c r="AF58" s="196"/>
      <c r="AG58" s="196"/>
      <c r="AH58" s="196"/>
      <c r="AI58" s="196"/>
      <c r="AJ58" s="196"/>
      <c r="AK58" s="196"/>
      <c r="AL58" s="197"/>
      <c r="AM58" s="184"/>
      <c r="AN58" s="184"/>
      <c r="AO58" s="184"/>
      <c r="AP58" s="184"/>
      <c r="AQ58" s="184"/>
      <c r="AR58" s="184"/>
      <c r="AS58" s="184"/>
      <c r="AT58" s="184"/>
      <c r="AU58" s="184"/>
      <c r="AV58" s="184"/>
      <c r="AW58" s="184"/>
      <c r="AX58" s="184"/>
      <c r="AY58" s="184"/>
      <c r="AZ58" s="184"/>
      <c r="BA58" s="184"/>
      <c r="BB58" s="184"/>
      <c r="BC58" s="184"/>
      <c r="BD58" s="184"/>
      <c r="BE58" s="184"/>
      <c r="BF58" s="184"/>
    </row>
    <row r="59" spans="1:58" ht="12" customHeight="1" x14ac:dyDescent="0.3">
      <c r="A59" s="198"/>
      <c r="B59" s="198"/>
      <c r="C59" s="198"/>
      <c r="D59" s="198"/>
      <c r="E59" s="198"/>
      <c r="F59" s="198"/>
      <c r="G59" s="198"/>
      <c r="H59" s="198"/>
      <c r="I59" s="198"/>
      <c r="J59" s="198"/>
      <c r="K59" s="198"/>
      <c r="L59" s="1306" t="s">
        <v>716</v>
      </c>
      <c r="M59" s="82" t="s">
        <v>898</v>
      </c>
      <c r="N59" s="203"/>
      <c r="O59" s="204"/>
      <c r="P59" s="204"/>
      <c r="Q59" s="204"/>
      <c r="R59" s="204"/>
      <c r="S59" s="204"/>
      <c r="T59" s="204"/>
      <c r="U59" s="204"/>
      <c r="V59" s="204"/>
      <c r="W59" s="204"/>
      <c r="X59" s="204"/>
      <c r="Y59" s="394"/>
      <c r="Z59" s="206"/>
      <c r="AA59" s="206"/>
      <c r="AB59" s="204"/>
      <c r="AC59" s="204"/>
      <c r="AD59" s="205"/>
      <c r="AE59" s="205"/>
      <c r="AF59" s="205"/>
      <c r="AG59" s="205"/>
      <c r="AH59" s="205"/>
      <c r="AI59" s="205"/>
      <c r="AJ59" s="205"/>
      <c r="AK59" s="205"/>
      <c r="AL59" s="205"/>
      <c r="AM59" s="205"/>
      <c r="AN59" s="205"/>
      <c r="AO59" s="205"/>
      <c r="AP59" s="205"/>
      <c r="AQ59" s="205"/>
      <c r="AR59" s="205"/>
      <c r="AS59" s="205"/>
      <c r="AT59" s="205"/>
      <c r="AU59" s="205"/>
      <c r="AV59" s="205"/>
      <c r="AW59" s="205"/>
      <c r="AX59" s="205"/>
      <c r="AY59" s="205"/>
      <c r="AZ59" s="205"/>
      <c r="BA59" s="205"/>
      <c r="BB59" s="205"/>
      <c r="BC59" s="205"/>
      <c r="BD59" s="205"/>
      <c r="BE59" s="205"/>
      <c r="BF59" s="205"/>
    </row>
    <row r="60" spans="1:58" x14ac:dyDescent="0.3">
      <c r="A60" s="198"/>
      <c r="B60" s="198" t="s">
        <v>883</v>
      </c>
      <c r="C60" s="198" t="s">
        <v>917</v>
      </c>
      <c r="D60" s="198" t="s">
        <v>900</v>
      </c>
      <c r="E60" s="198"/>
      <c r="F60" s="198"/>
      <c r="G60" s="198"/>
      <c r="H60" s="198"/>
      <c r="I60" s="198"/>
      <c r="J60" s="198"/>
      <c r="K60" s="198"/>
      <c r="L60" s="1306"/>
      <c r="M60" s="201" t="s">
        <v>901</v>
      </c>
      <c r="N60" s="207" t="s">
        <v>77</v>
      </c>
      <c r="O60" s="200"/>
      <c r="P60" s="200"/>
      <c r="Q60" s="200"/>
      <c r="R60" s="200"/>
      <c r="S60" s="200"/>
      <c r="T60" s="200"/>
      <c r="U60" s="200"/>
      <c r="V60" s="200"/>
      <c r="W60" s="200"/>
      <c r="X60" s="200"/>
      <c r="Y60" s="394"/>
      <c r="Z60" s="208"/>
      <c r="AA60" s="208"/>
      <c r="AB60" s="403"/>
      <c r="AC60" s="403">
        <f t="shared" ref="AC60:AL64" si="38">SUMIFS(AC$248:AC$1322,$B$248:$B$1322,$B60,$C$248:$C$1322,$C60,$D$248:$D$1322,$D60)</f>
        <v>0</v>
      </c>
      <c r="AD60" s="403">
        <f t="shared" si="38"/>
        <v>0</v>
      </c>
      <c r="AE60" s="403">
        <f t="shared" si="38"/>
        <v>0</v>
      </c>
      <c r="AF60" s="403">
        <f t="shared" si="38"/>
        <v>-34.423197806766865</v>
      </c>
      <c r="AG60" s="403">
        <f t="shared" si="38"/>
        <v>-95.867025636400555</v>
      </c>
      <c r="AH60" s="403">
        <f t="shared" si="38"/>
        <v>-144.25019633005169</v>
      </c>
      <c r="AI60" s="403">
        <f t="shared" si="38"/>
        <v>-188.87487279601032</v>
      </c>
      <c r="AJ60" s="403">
        <f t="shared" si="38"/>
        <v>-251.34691867878846</v>
      </c>
      <c r="AK60" s="403">
        <f t="shared" si="38"/>
        <v>-336.0178996942272</v>
      </c>
      <c r="AL60" s="403">
        <f t="shared" si="38"/>
        <v>-437.18652600466066</v>
      </c>
      <c r="AM60" s="532">
        <f>SUM(AD60:AL60)</f>
        <v>-1487.9666369469057</v>
      </c>
      <c r="AN60" s="198"/>
      <c r="AO60" s="198"/>
      <c r="AP60" s="198"/>
      <c r="AQ60" s="198"/>
      <c r="AR60" s="198"/>
      <c r="AS60" s="198"/>
      <c r="AT60" s="198"/>
      <c r="AU60" s="198"/>
      <c r="AV60" s="198"/>
      <c r="AW60" s="198"/>
      <c r="AX60" s="198"/>
      <c r="AY60" s="198"/>
      <c r="AZ60" s="198"/>
      <c r="BA60" s="198"/>
      <c r="BB60" s="198"/>
      <c r="BC60" s="198"/>
      <c r="BD60" s="198"/>
      <c r="BE60" s="198"/>
      <c r="BF60" s="198"/>
    </row>
    <row r="61" spans="1:58" x14ac:dyDescent="0.3">
      <c r="A61" s="198"/>
      <c r="B61" s="198" t="s">
        <v>888</v>
      </c>
      <c r="C61" s="198" t="s">
        <v>917</v>
      </c>
      <c r="D61" s="198" t="s">
        <v>900</v>
      </c>
      <c r="E61" s="198"/>
      <c r="F61" s="198"/>
      <c r="G61" s="198"/>
      <c r="H61" s="198"/>
      <c r="I61" s="198"/>
      <c r="J61" s="198"/>
      <c r="K61" s="198"/>
      <c r="L61" s="1306"/>
      <c r="M61" s="201" t="s">
        <v>902</v>
      </c>
      <c r="N61" s="207" t="s">
        <v>77</v>
      </c>
      <c r="O61" s="200"/>
      <c r="P61" s="200"/>
      <c r="Q61" s="200"/>
      <c r="R61" s="200"/>
      <c r="S61" s="200"/>
      <c r="T61" s="200"/>
      <c r="U61" s="200"/>
      <c r="V61" s="200"/>
      <c r="W61" s="200"/>
      <c r="X61" s="200"/>
      <c r="Y61" s="394"/>
      <c r="Z61" s="208"/>
      <c r="AA61" s="208"/>
      <c r="AB61" s="403"/>
      <c r="AC61" s="403">
        <f t="shared" si="38"/>
        <v>0</v>
      </c>
      <c r="AD61" s="403">
        <f t="shared" si="38"/>
        <v>0</v>
      </c>
      <c r="AE61" s="403">
        <f t="shared" si="38"/>
        <v>0</v>
      </c>
      <c r="AF61" s="403">
        <f t="shared" si="38"/>
        <v>0</v>
      </c>
      <c r="AG61" s="403">
        <f t="shared" si="38"/>
        <v>-561.12187500000005</v>
      </c>
      <c r="AH61" s="403">
        <f t="shared" si="38"/>
        <v>-1118.0241421568628</v>
      </c>
      <c r="AI61" s="403">
        <f t="shared" si="38"/>
        <v>-1670.7895388792772</v>
      </c>
      <c r="AJ61" s="403">
        <f t="shared" si="38"/>
        <v>-2219.4991802738014</v>
      </c>
      <c r="AK61" s="403">
        <f t="shared" si="38"/>
        <v>-2764.2325909547071</v>
      </c>
      <c r="AL61" s="403">
        <f t="shared" si="38"/>
        <v>-3305.0677362301053</v>
      </c>
      <c r="AM61" s="532">
        <f t="shared" ref="AM61:AM64" si="39">SUM(AD61:AL61)</f>
        <v>-11638.735063494752</v>
      </c>
      <c r="AN61" s="198"/>
      <c r="AO61" s="198"/>
      <c r="AP61" s="198"/>
      <c r="AQ61" s="198"/>
      <c r="AR61" s="198"/>
      <c r="AS61" s="198"/>
      <c r="AT61" s="198"/>
      <c r="AU61" s="198"/>
      <c r="AV61" s="198"/>
      <c r="AW61" s="198"/>
      <c r="AX61" s="198"/>
      <c r="AY61" s="198"/>
      <c r="AZ61" s="198"/>
      <c r="BA61" s="198"/>
      <c r="BB61" s="198"/>
      <c r="BC61" s="198"/>
      <c r="BD61" s="198"/>
      <c r="BE61" s="198"/>
      <c r="BF61" s="198"/>
    </row>
    <row r="62" spans="1:58" x14ac:dyDescent="0.3">
      <c r="A62" s="198"/>
      <c r="B62" s="198" t="s">
        <v>890</v>
      </c>
      <c r="C62" s="198" t="s">
        <v>917</v>
      </c>
      <c r="D62" s="198" t="s">
        <v>900</v>
      </c>
      <c r="E62" s="198"/>
      <c r="F62" s="198"/>
      <c r="G62" s="198"/>
      <c r="H62" s="198"/>
      <c r="I62" s="198"/>
      <c r="J62" s="198"/>
      <c r="K62" s="198"/>
      <c r="L62" s="1306"/>
      <c r="M62" s="201" t="s">
        <v>903</v>
      </c>
      <c r="N62" s="207" t="s">
        <v>77</v>
      </c>
      <c r="O62" s="200"/>
      <c r="P62" s="200"/>
      <c r="Q62" s="200"/>
      <c r="R62" s="200"/>
      <c r="S62" s="200"/>
      <c r="T62" s="200"/>
      <c r="U62" s="200"/>
      <c r="V62" s="200"/>
      <c r="W62" s="200"/>
      <c r="X62" s="200"/>
      <c r="Y62" s="394"/>
      <c r="Z62" s="208"/>
      <c r="AA62" s="208"/>
      <c r="AB62" s="403"/>
      <c r="AC62" s="403">
        <f t="shared" si="38"/>
        <v>0</v>
      </c>
      <c r="AD62" s="403">
        <f t="shared" si="38"/>
        <v>0</v>
      </c>
      <c r="AE62" s="403">
        <f t="shared" si="38"/>
        <v>0</v>
      </c>
      <c r="AF62" s="403">
        <f t="shared" si="38"/>
        <v>0</v>
      </c>
      <c r="AG62" s="403">
        <f t="shared" si="38"/>
        <v>-165.03999999999996</v>
      </c>
      <c r="AH62" s="403">
        <f t="shared" si="38"/>
        <v>-328.72470588235296</v>
      </c>
      <c r="AI62" s="403">
        <f t="shared" si="38"/>
        <v>-491.08069204152241</v>
      </c>
      <c r="AJ62" s="403">
        <f t="shared" si="38"/>
        <v>-652.13401180541405</v>
      </c>
      <c r="AK62" s="403">
        <f t="shared" si="38"/>
        <v>-811.91020765236681</v>
      </c>
      <c r="AL62" s="403">
        <f t="shared" si="38"/>
        <v>-970.43432122781064</v>
      </c>
      <c r="AM62" s="532">
        <f t="shared" si="39"/>
        <v>-3419.3239386094665</v>
      </c>
      <c r="AN62" s="198"/>
      <c r="AO62" s="198"/>
      <c r="AP62" s="198"/>
      <c r="AQ62" s="198"/>
      <c r="AR62" s="198"/>
      <c r="AS62" s="198"/>
      <c r="AT62" s="198"/>
      <c r="AU62" s="198"/>
      <c r="AV62" s="198"/>
      <c r="AW62" s="198"/>
      <c r="AX62" s="198"/>
      <c r="AY62" s="198"/>
      <c r="AZ62" s="198"/>
      <c r="BA62" s="198"/>
      <c r="BB62" s="198"/>
      <c r="BC62" s="198"/>
      <c r="BD62" s="198"/>
      <c r="BE62" s="198"/>
      <c r="BF62" s="198"/>
    </row>
    <row r="63" spans="1:58" x14ac:dyDescent="0.3">
      <c r="A63" s="198"/>
      <c r="B63" s="198" t="s">
        <v>892</v>
      </c>
      <c r="C63" s="198" t="s">
        <v>917</v>
      </c>
      <c r="D63" s="198" t="s">
        <v>900</v>
      </c>
      <c r="E63" s="198"/>
      <c r="F63" s="198"/>
      <c r="G63" s="198"/>
      <c r="H63" s="198"/>
      <c r="I63" s="198"/>
      <c r="J63" s="198"/>
      <c r="K63" s="198"/>
      <c r="L63" s="1306"/>
      <c r="M63" s="201" t="s">
        <v>904</v>
      </c>
      <c r="N63" s="207" t="s">
        <v>77</v>
      </c>
      <c r="O63" s="200"/>
      <c r="P63" s="200"/>
      <c r="Q63" s="200"/>
      <c r="R63" s="200"/>
      <c r="S63" s="200"/>
      <c r="T63" s="200"/>
      <c r="U63" s="200"/>
      <c r="V63" s="200"/>
      <c r="W63" s="200"/>
      <c r="X63" s="200"/>
      <c r="Y63" s="394"/>
      <c r="Z63" s="208"/>
      <c r="AA63" s="208"/>
      <c r="AB63" s="403"/>
      <c r="AC63" s="403">
        <f t="shared" si="38"/>
        <v>-46.688742801652673</v>
      </c>
      <c r="AD63" s="403">
        <f t="shared" si="38"/>
        <v>-13.45326395036596</v>
      </c>
      <c r="AE63" s="403">
        <f t="shared" si="38"/>
        <v>-27.639816109375754</v>
      </c>
      <c r="AF63" s="403">
        <f t="shared" si="38"/>
        <v>-39.555938324445108</v>
      </c>
      <c r="AG63" s="403">
        <f t="shared" si="38"/>
        <v>-239.66545152298804</v>
      </c>
      <c r="AH63" s="403">
        <f t="shared" si="38"/>
        <v>-344.77454556664441</v>
      </c>
      <c r="AI63" s="403">
        <f t="shared" si="38"/>
        <v>-793.91895006605455</v>
      </c>
      <c r="AJ63" s="403">
        <f t="shared" si="38"/>
        <v>-896.76404296999738</v>
      </c>
      <c r="AK63" s="403">
        <f t="shared" si="38"/>
        <v>-999.94060044470461</v>
      </c>
      <c r="AL63" s="403">
        <f t="shared" si="38"/>
        <v>-1101.0470091780685</v>
      </c>
      <c r="AM63" s="532">
        <f t="shared" si="39"/>
        <v>-4456.7596181326444</v>
      </c>
      <c r="AN63" s="198"/>
      <c r="AO63" s="198"/>
      <c r="AP63" s="198"/>
      <c r="AQ63" s="198"/>
      <c r="AR63" s="198"/>
      <c r="AS63" s="198"/>
      <c r="AT63" s="198"/>
      <c r="AU63" s="198"/>
      <c r="AV63" s="198"/>
      <c r="AW63" s="198"/>
      <c r="AX63" s="198"/>
      <c r="AY63" s="198"/>
      <c r="AZ63" s="198"/>
      <c r="BA63" s="198"/>
      <c r="BB63" s="198"/>
      <c r="BC63" s="198"/>
      <c r="BD63" s="198"/>
      <c r="BE63" s="198"/>
      <c r="BF63" s="198"/>
    </row>
    <row r="64" spans="1:58" x14ac:dyDescent="0.3">
      <c r="A64" s="198"/>
      <c r="B64" s="198" t="s">
        <v>894</v>
      </c>
      <c r="C64" s="198" t="s">
        <v>917</v>
      </c>
      <c r="D64" s="198" t="s">
        <v>900</v>
      </c>
      <c r="E64" s="198"/>
      <c r="F64" s="198"/>
      <c r="G64" s="198"/>
      <c r="H64" s="198"/>
      <c r="I64" s="198"/>
      <c r="J64" s="198"/>
      <c r="K64" s="198"/>
      <c r="L64" s="1306"/>
      <c r="M64" s="201" t="s">
        <v>905</v>
      </c>
      <c r="N64" s="207" t="s">
        <v>77</v>
      </c>
      <c r="O64" s="200"/>
      <c r="P64" s="200"/>
      <c r="Q64" s="200"/>
      <c r="R64" s="200"/>
      <c r="S64" s="200"/>
      <c r="T64" s="200"/>
      <c r="U64" s="200"/>
      <c r="V64" s="200"/>
      <c r="W64" s="200"/>
      <c r="X64" s="200"/>
      <c r="Y64" s="394"/>
      <c r="Z64" s="208"/>
      <c r="AA64" s="208"/>
      <c r="AB64" s="403"/>
      <c r="AC64" s="403">
        <f t="shared" si="38"/>
        <v>0</v>
      </c>
      <c r="AD64" s="403">
        <f t="shared" si="38"/>
        <v>0</v>
      </c>
      <c r="AE64" s="403">
        <f t="shared" si="38"/>
        <v>0</v>
      </c>
      <c r="AF64" s="403">
        <f t="shared" si="38"/>
        <v>0</v>
      </c>
      <c r="AG64" s="403">
        <f t="shared" si="38"/>
        <v>0</v>
      </c>
      <c r="AH64" s="403">
        <f t="shared" si="38"/>
        <v>0</v>
      </c>
      <c r="AI64" s="403">
        <f t="shared" si="38"/>
        <v>-6.8000000000000007</v>
      </c>
      <c r="AJ64" s="403">
        <f t="shared" si="38"/>
        <v>-13.600000000000001</v>
      </c>
      <c r="AK64" s="403">
        <f t="shared" si="38"/>
        <v>-20.400000000000002</v>
      </c>
      <c r="AL64" s="403">
        <f t="shared" si="38"/>
        <v>-27.200000000000003</v>
      </c>
      <c r="AM64" s="532">
        <f t="shared" si="39"/>
        <v>-68</v>
      </c>
      <c r="AN64" s="198"/>
      <c r="AO64" s="198"/>
      <c r="AP64" s="198"/>
      <c r="AQ64" s="198"/>
      <c r="AR64" s="198"/>
      <c r="AS64" s="198"/>
      <c r="AT64" s="198"/>
      <c r="AU64" s="198"/>
      <c r="AV64" s="198"/>
      <c r="AW64" s="198"/>
      <c r="AX64" s="198"/>
      <c r="AY64" s="198"/>
      <c r="AZ64" s="198"/>
      <c r="BA64" s="198"/>
      <c r="BB64" s="198"/>
      <c r="BC64" s="198"/>
      <c r="BD64" s="198"/>
      <c r="BE64" s="198"/>
      <c r="BF64" s="198"/>
    </row>
    <row r="65" spans="1:58" x14ac:dyDescent="0.3">
      <c r="A65" s="198"/>
      <c r="B65" s="198"/>
      <c r="C65" s="198"/>
      <c r="D65" s="198"/>
      <c r="E65" s="198"/>
      <c r="F65" s="198"/>
      <c r="G65" s="198"/>
      <c r="H65" s="198"/>
      <c r="I65" s="198"/>
      <c r="J65" s="198"/>
      <c r="K65" s="198"/>
      <c r="L65" s="1306"/>
      <c r="M65" s="199"/>
      <c r="N65" s="199"/>
      <c r="O65" s="200"/>
      <c r="P65" s="200"/>
      <c r="Q65" s="200"/>
      <c r="R65" s="200"/>
      <c r="S65" s="200"/>
      <c r="T65" s="200"/>
      <c r="U65" s="200"/>
      <c r="V65" s="200"/>
      <c r="W65" s="200"/>
      <c r="X65" s="200"/>
      <c r="Y65" s="394"/>
      <c r="Z65" s="208"/>
      <c r="AA65" s="208"/>
      <c r="AB65" s="198"/>
      <c r="AC65" s="198"/>
      <c r="AD65" s="198"/>
      <c r="AE65" s="198"/>
      <c r="AF65" s="198"/>
      <c r="AG65" s="198"/>
      <c r="AH65" s="198"/>
      <c r="AI65" s="198"/>
      <c r="AJ65" s="198"/>
      <c r="AK65" s="198"/>
      <c r="AL65" s="198"/>
      <c r="AM65" s="198"/>
      <c r="AN65" s="198"/>
      <c r="AO65" s="198"/>
      <c r="AP65" s="198"/>
      <c r="AQ65" s="198"/>
      <c r="AR65" s="198"/>
      <c r="AS65" s="198"/>
      <c r="AT65" s="198"/>
      <c r="AU65" s="198"/>
      <c r="AV65" s="198"/>
      <c r="AW65" s="198"/>
      <c r="AX65" s="198"/>
      <c r="AY65" s="198"/>
      <c r="AZ65" s="198"/>
      <c r="BA65" s="198"/>
      <c r="BB65" s="198"/>
      <c r="BC65" s="198"/>
      <c r="BD65" s="198"/>
      <c r="BE65" s="198"/>
      <c r="BF65" s="198"/>
    </row>
    <row r="66" spans="1:58" x14ac:dyDescent="0.3">
      <c r="A66" s="198"/>
      <c r="B66" s="198"/>
      <c r="C66" s="198"/>
      <c r="D66" s="198"/>
      <c r="E66" s="198"/>
      <c r="F66" s="198"/>
      <c r="G66" s="198"/>
      <c r="H66" s="198"/>
      <c r="I66" s="198"/>
      <c r="J66" s="198"/>
      <c r="K66" s="198"/>
      <c r="L66" s="1306"/>
      <c r="M66" s="82" t="s">
        <v>906</v>
      </c>
      <c r="N66" s="203"/>
      <c r="O66" s="204"/>
      <c r="P66" s="204"/>
      <c r="Q66" s="204"/>
      <c r="R66" s="204"/>
      <c r="S66" s="204"/>
      <c r="T66" s="204"/>
      <c r="U66" s="204"/>
      <c r="V66" s="204"/>
      <c r="W66" s="204"/>
      <c r="X66" s="204"/>
      <c r="Y66" s="394"/>
      <c r="Z66" s="206"/>
      <c r="AA66" s="206"/>
      <c r="AB66" s="204"/>
      <c r="AC66" s="204"/>
      <c r="AD66" s="205"/>
      <c r="AE66" s="205"/>
      <c r="AF66" s="205"/>
      <c r="AG66" s="205"/>
      <c r="AH66" s="205"/>
      <c r="AI66" s="205"/>
      <c r="AJ66" s="205"/>
      <c r="AK66" s="205"/>
      <c r="AL66" s="205"/>
      <c r="AM66" s="205"/>
      <c r="AN66" s="205"/>
      <c r="AO66" s="205"/>
      <c r="AP66" s="205"/>
      <c r="AQ66" s="205"/>
      <c r="AR66" s="205"/>
      <c r="AS66" s="205"/>
      <c r="AT66" s="205"/>
      <c r="AU66" s="205"/>
      <c r="AV66" s="205"/>
      <c r="AW66" s="205"/>
      <c r="AX66" s="205"/>
      <c r="AY66" s="205"/>
      <c r="AZ66" s="205"/>
      <c r="BA66" s="205"/>
      <c r="BB66" s="205"/>
      <c r="BC66" s="205"/>
      <c r="BD66" s="205"/>
      <c r="BE66" s="205"/>
      <c r="BF66" s="205"/>
    </row>
    <row r="67" spans="1:58" x14ac:dyDescent="0.3">
      <c r="A67" s="198" t="str">
        <f>'EE Measures'!D86</f>
        <v>nC1</v>
      </c>
      <c r="B67" s="198"/>
      <c r="C67" s="198"/>
      <c r="D67" s="198"/>
      <c r="E67" s="511">
        <f>INDEX('EE Measures'!IF:IF,MATCH($A67,'EE Measures'!$D:$D,0))</f>
        <v>0</v>
      </c>
      <c r="F67" s="511">
        <f>INDEX('EE Measures'!IG:IG,MATCH($A67,'EE Measures'!$D:$D,0))</f>
        <v>1</v>
      </c>
      <c r="G67" s="511">
        <f>INDEX('EE Measures'!IH:IH,MATCH($A67,'EE Measures'!$D:$D,0))</f>
        <v>1</v>
      </c>
      <c r="H67" s="511">
        <f>INDEX('EE Measures'!II:II,MATCH($A67,'EE Measures'!$D:$D,0))</f>
        <v>1</v>
      </c>
      <c r="I67" s="511">
        <f>INDEX('EE Measures'!IJ:IJ,MATCH($A67,'EE Measures'!$D:$D,0))</f>
        <v>1</v>
      </c>
      <c r="J67" s="511">
        <f>INDEX('EE Measures'!IK:IK,MATCH($A67,'EE Measures'!$D:$D,0))</f>
        <v>1</v>
      </c>
      <c r="K67" s="511">
        <f>INDEX('EE Measures'!IL:IL,MATCH($A67,'EE Measures'!$D:$D,0))</f>
        <v>1</v>
      </c>
      <c r="L67" s="1306"/>
      <c r="M67" s="178" t="str">
        <f>INDEX('EE Measures'!$E$42:$E$86,MATCH($A67,'EE Measures'!$D$42:$D$86,0))</f>
        <v>Green procurement</v>
      </c>
      <c r="N67" s="207" t="s">
        <v>77</v>
      </c>
      <c r="O67" s="200"/>
      <c r="P67" s="200"/>
      <c r="Q67" s="200"/>
      <c r="R67" s="200"/>
      <c r="S67" s="200"/>
      <c r="T67" s="200"/>
      <c r="U67" s="200"/>
      <c r="V67" s="200"/>
      <c r="W67" s="200"/>
      <c r="X67" s="200"/>
      <c r="Y67" s="394"/>
      <c r="Z67" s="198"/>
      <c r="AA67" s="198"/>
      <c r="AB67" s="146">
        <f>-INDEX('EE Measures'!AM$8:AM$86,MATCH($A67,'EE Measures'!$D$8:$D$86,0))</f>
        <v>0</v>
      </c>
      <c r="AC67" s="146">
        <f>-INDEX('EE Measures'!AN$8:AN$86,MATCH($A67,'EE Measures'!$D$8:$D$86,0))</f>
        <v>0</v>
      </c>
      <c r="AD67" s="146">
        <f>-INDEX('EE Measures'!AS$8:AS$86,MATCH($A67,'EE Measures'!$D$8:$D$86,0))</f>
        <v>0</v>
      </c>
      <c r="AE67" s="114">
        <f>AD67-INDEX('EE Measures'!AT$8:AT$86,MATCH($A67,'EE Measures'!$D$8:$D$86,0))</f>
        <v>0</v>
      </c>
      <c r="AF67" s="114">
        <f>AE67-INDEX('EE Measures'!AU$8:AU$86,MATCH($A67,'EE Measures'!$D$8:$D$86,0))</f>
        <v>0</v>
      </c>
      <c r="AG67" s="114">
        <f>AF67-INDEX('EE Measures'!AV$8:AV$86,MATCH($A67,'EE Measures'!$D$8:$D$86,0))</f>
        <v>0</v>
      </c>
      <c r="AH67" s="114">
        <f>AG67-INDEX('EE Measures'!AW$8:AW$86,MATCH($A67,'EE Measures'!$D$8:$D$86,0))</f>
        <v>0</v>
      </c>
      <c r="AI67" s="114">
        <f>AH67-INDEX('EE Measures'!AX$8:AX$86,MATCH($A67,'EE Measures'!$D$8:$D$86,0))</f>
        <v>0</v>
      </c>
      <c r="AJ67" s="114">
        <f>AI67-INDEX('EE Measures'!AY$8:AY$86,MATCH($A67,'EE Measures'!$D$8:$D$86,0))</f>
        <v>0</v>
      </c>
      <c r="AK67" s="114">
        <f>AJ67-INDEX('EE Measures'!AZ$8:AZ$86,MATCH($A67,'EE Measures'!$D$8:$D$86,0))</f>
        <v>0</v>
      </c>
      <c r="AL67" s="114">
        <f>AK67-INDEX('EE Measures'!BA$8:BA$86,MATCH($A67,'EE Measures'!$D$8:$D$86,0))</f>
        <v>0</v>
      </c>
      <c r="AM67" s="198"/>
      <c r="AN67" s="198"/>
      <c r="AO67" s="198"/>
      <c r="AP67" s="198"/>
      <c r="AQ67" s="198"/>
      <c r="AR67" s="198"/>
      <c r="AS67" s="198"/>
      <c r="AT67" s="198"/>
      <c r="AU67" s="198"/>
      <c r="AV67" s="198"/>
      <c r="AW67" s="198"/>
      <c r="AX67" s="198"/>
      <c r="AY67" s="198"/>
      <c r="AZ67" s="198"/>
      <c r="BA67" s="198"/>
      <c r="BB67" s="198"/>
      <c r="BC67" s="198"/>
      <c r="BD67" s="198"/>
      <c r="BE67" s="198"/>
      <c r="BF67" s="198"/>
    </row>
    <row r="68" spans="1:58" x14ac:dyDescent="0.3">
      <c r="A68" s="198"/>
      <c r="B68" s="198"/>
      <c r="C68" s="198"/>
      <c r="D68" s="198"/>
      <c r="E68" s="198"/>
      <c r="F68" s="198"/>
      <c r="G68" s="198"/>
      <c r="H68" s="198"/>
      <c r="I68" s="198"/>
      <c r="J68" s="198"/>
      <c r="K68" s="198"/>
      <c r="L68" s="1306"/>
      <c r="M68" s="526" t="s">
        <v>55</v>
      </c>
      <c r="N68" s="207" t="s">
        <v>77</v>
      </c>
      <c r="O68" s="200"/>
      <c r="P68" s="200"/>
      <c r="Q68" s="200"/>
      <c r="R68" s="200"/>
      <c r="S68" s="200"/>
      <c r="T68" s="200"/>
      <c r="U68" s="200"/>
      <c r="V68" s="200"/>
      <c r="W68" s="200"/>
      <c r="X68" s="200"/>
      <c r="Y68" s="394"/>
      <c r="Z68" s="198"/>
      <c r="AA68" s="198"/>
      <c r="AB68" s="516">
        <f t="shared" ref="AB68:AC68" si="40">SUM(AB67:AB67)</f>
        <v>0</v>
      </c>
      <c r="AC68" s="516">
        <f t="shared" si="40"/>
        <v>0</v>
      </c>
      <c r="AD68" s="516">
        <f t="shared" ref="AD68:AL68" si="41">SUM(AD67:AD67)</f>
        <v>0</v>
      </c>
      <c r="AE68" s="517">
        <f t="shared" si="41"/>
        <v>0</v>
      </c>
      <c r="AF68" s="517">
        <f t="shared" si="41"/>
        <v>0</v>
      </c>
      <c r="AG68" s="517">
        <f t="shared" si="41"/>
        <v>0</v>
      </c>
      <c r="AH68" s="517">
        <f t="shared" si="41"/>
        <v>0</v>
      </c>
      <c r="AI68" s="517">
        <f t="shared" si="41"/>
        <v>0</v>
      </c>
      <c r="AJ68" s="517">
        <f t="shared" si="41"/>
        <v>0</v>
      </c>
      <c r="AK68" s="517">
        <f t="shared" si="41"/>
        <v>0</v>
      </c>
      <c r="AL68" s="517">
        <f t="shared" si="41"/>
        <v>0</v>
      </c>
      <c r="AM68" s="198"/>
      <c r="AN68" s="198"/>
      <c r="AO68" s="198"/>
      <c r="AP68" s="198"/>
      <c r="AQ68" s="198"/>
      <c r="AR68" s="198"/>
      <c r="AS68" s="198"/>
      <c r="AT68" s="198"/>
      <c r="AU68" s="198"/>
      <c r="AV68" s="198"/>
      <c r="AW68" s="198"/>
      <c r="AX68" s="198"/>
      <c r="AY68" s="198"/>
      <c r="AZ68" s="198"/>
      <c r="BA68" s="198"/>
      <c r="BB68" s="198"/>
      <c r="BC68" s="198"/>
      <c r="BD68" s="198"/>
      <c r="BE68" s="198"/>
      <c r="BF68" s="198"/>
    </row>
    <row r="69" spans="1:58" x14ac:dyDescent="0.3">
      <c r="A69" s="198"/>
      <c r="B69" s="198"/>
      <c r="C69" s="198"/>
      <c r="D69" s="198"/>
      <c r="E69" s="198"/>
      <c r="F69" s="198"/>
      <c r="G69" s="198"/>
      <c r="H69" s="198"/>
      <c r="I69" s="198"/>
      <c r="J69" s="198"/>
      <c r="K69" s="198"/>
      <c r="L69" s="1306"/>
      <c r="M69" s="202"/>
      <c r="N69" s="199"/>
      <c r="O69" s="200"/>
      <c r="P69" s="200"/>
      <c r="Q69" s="200"/>
      <c r="R69" s="200"/>
      <c r="S69" s="200"/>
      <c r="T69" s="200"/>
      <c r="U69" s="200"/>
      <c r="V69" s="200"/>
      <c r="W69" s="200"/>
      <c r="X69" s="200"/>
      <c r="Y69" s="394"/>
      <c r="Z69" s="208"/>
      <c r="AA69" s="208"/>
      <c r="AB69" s="209"/>
      <c r="AC69" s="209"/>
      <c r="AD69" s="209"/>
      <c r="AE69" s="209"/>
      <c r="AF69" s="209"/>
      <c r="AG69" s="209"/>
      <c r="AH69" s="209"/>
      <c r="AI69" s="209"/>
      <c r="AJ69" s="209"/>
      <c r="AK69" s="209"/>
      <c r="AL69" s="209"/>
      <c r="AM69" s="198"/>
      <c r="AN69" s="198"/>
      <c r="AO69" s="198"/>
      <c r="AP69" s="198"/>
      <c r="AQ69" s="198"/>
      <c r="AR69" s="198"/>
      <c r="AS69" s="198"/>
      <c r="AT69" s="198"/>
      <c r="AU69" s="198"/>
      <c r="AV69" s="198"/>
      <c r="AW69" s="198"/>
      <c r="AX69" s="198"/>
      <c r="AY69" s="198"/>
      <c r="AZ69" s="198"/>
      <c r="BA69" s="198"/>
      <c r="BB69" s="198"/>
      <c r="BC69" s="198"/>
      <c r="BD69" s="198"/>
      <c r="BE69" s="198"/>
      <c r="BF69" s="198"/>
    </row>
    <row r="70" spans="1:58" x14ac:dyDescent="0.3">
      <c r="A70" s="198"/>
      <c r="B70" s="198" t="s">
        <v>883</v>
      </c>
      <c r="C70" s="198"/>
      <c r="D70" s="198" t="s">
        <v>900</v>
      </c>
      <c r="E70" s="198"/>
      <c r="F70" s="198"/>
      <c r="G70" s="198"/>
      <c r="H70" s="198"/>
      <c r="I70" s="198"/>
      <c r="J70" s="198"/>
      <c r="K70" s="198"/>
      <c r="L70" s="1306"/>
      <c r="M70" s="201" t="s">
        <v>907</v>
      </c>
      <c r="N70" s="207" t="s">
        <v>77</v>
      </c>
      <c r="O70" s="200"/>
      <c r="P70" s="200"/>
      <c r="Q70" s="200"/>
      <c r="R70" s="200"/>
      <c r="S70" s="200"/>
      <c r="T70" s="200"/>
      <c r="U70" s="200"/>
      <c r="V70" s="200"/>
      <c r="W70" s="200"/>
      <c r="X70" s="200"/>
      <c r="Y70" s="394"/>
      <c r="Z70" s="208"/>
      <c r="AA70" s="208"/>
      <c r="AB70" s="406"/>
      <c r="AC70" s="406">
        <f>AC49/AC$55*AC$68</f>
        <v>0</v>
      </c>
      <c r="AD70" s="406">
        <f t="shared" ref="AD70:AL70" si="42">AD49/AD$55*AD$68</f>
        <v>0</v>
      </c>
      <c r="AE70" s="406">
        <f t="shared" si="42"/>
        <v>0</v>
      </c>
      <c r="AF70" s="406">
        <f t="shared" si="42"/>
        <v>0</v>
      </c>
      <c r="AG70" s="406">
        <f t="shared" si="42"/>
        <v>0</v>
      </c>
      <c r="AH70" s="406">
        <f t="shared" si="42"/>
        <v>0</v>
      </c>
      <c r="AI70" s="406">
        <f t="shared" si="42"/>
        <v>0</v>
      </c>
      <c r="AJ70" s="406">
        <f t="shared" si="42"/>
        <v>0</v>
      </c>
      <c r="AK70" s="406">
        <f t="shared" si="42"/>
        <v>0</v>
      </c>
      <c r="AL70" s="406">
        <f t="shared" si="42"/>
        <v>0</v>
      </c>
      <c r="AM70" s="532">
        <f>SUM(AD70:AL70)</f>
        <v>0</v>
      </c>
      <c r="AN70" s="198"/>
      <c r="AO70" s="198"/>
      <c r="AP70" s="198"/>
      <c r="AQ70" s="198"/>
      <c r="AR70" s="198"/>
      <c r="AS70" s="198"/>
      <c r="AT70" s="198"/>
      <c r="AU70" s="198"/>
      <c r="AV70" s="198"/>
      <c r="AW70" s="198"/>
      <c r="AX70" s="198"/>
      <c r="AY70" s="198"/>
      <c r="AZ70" s="198"/>
      <c r="BA70" s="198"/>
      <c r="BB70" s="198"/>
      <c r="BC70" s="198"/>
      <c r="BD70" s="198"/>
      <c r="BE70" s="198"/>
      <c r="BF70" s="198"/>
    </row>
    <row r="71" spans="1:58" x14ac:dyDescent="0.3">
      <c r="A71" s="198"/>
      <c r="B71" s="198" t="s">
        <v>888</v>
      </c>
      <c r="C71" s="198"/>
      <c r="D71" s="198" t="s">
        <v>900</v>
      </c>
      <c r="E71" s="198"/>
      <c r="F71" s="198"/>
      <c r="G71" s="198"/>
      <c r="H71" s="198"/>
      <c r="I71" s="198"/>
      <c r="J71" s="198"/>
      <c r="K71" s="198"/>
      <c r="L71" s="1306"/>
      <c r="M71" s="201" t="s">
        <v>908</v>
      </c>
      <c r="N71" s="207" t="s">
        <v>77</v>
      </c>
      <c r="O71" s="200"/>
      <c r="P71" s="200"/>
      <c r="Q71" s="200"/>
      <c r="R71" s="200"/>
      <c r="S71" s="200"/>
      <c r="T71" s="200"/>
      <c r="U71" s="200"/>
      <c r="V71" s="200"/>
      <c r="W71" s="200"/>
      <c r="X71" s="200"/>
      <c r="Y71" s="394"/>
      <c r="Z71" s="208"/>
      <c r="AA71" s="208"/>
      <c r="AB71" s="406"/>
      <c r="AC71" s="406">
        <f>AC50/AC$55*AC$68</f>
        <v>0</v>
      </c>
      <c r="AD71" s="406">
        <f t="shared" ref="AD71:AL71" si="43">AD50/AD$55*AD$68</f>
        <v>0</v>
      </c>
      <c r="AE71" s="406">
        <f t="shared" si="43"/>
        <v>0</v>
      </c>
      <c r="AF71" s="406">
        <f t="shared" si="43"/>
        <v>0</v>
      </c>
      <c r="AG71" s="406">
        <f t="shared" si="43"/>
        <v>0</v>
      </c>
      <c r="AH71" s="406">
        <f t="shared" si="43"/>
        <v>0</v>
      </c>
      <c r="AI71" s="406">
        <f t="shared" si="43"/>
        <v>0</v>
      </c>
      <c r="AJ71" s="406">
        <f t="shared" si="43"/>
        <v>0</v>
      </c>
      <c r="AK71" s="406">
        <f t="shared" si="43"/>
        <v>0</v>
      </c>
      <c r="AL71" s="406">
        <f t="shared" si="43"/>
        <v>0</v>
      </c>
      <c r="AM71" s="532">
        <f t="shared" ref="AM71:AM74" si="44">SUM(AD71:AL71)</f>
        <v>0</v>
      </c>
      <c r="AN71" s="198"/>
      <c r="AO71" s="198"/>
      <c r="AP71" s="198"/>
      <c r="AQ71" s="198"/>
      <c r="AR71" s="198"/>
      <c r="AS71" s="198"/>
      <c r="AT71" s="198"/>
      <c r="AU71" s="198"/>
      <c r="AV71" s="198"/>
      <c r="AW71" s="198"/>
      <c r="AX71" s="198"/>
      <c r="AY71" s="198"/>
      <c r="AZ71" s="198"/>
      <c r="BA71" s="198"/>
      <c r="BB71" s="198"/>
      <c r="BC71" s="198"/>
      <c r="BD71" s="198"/>
      <c r="BE71" s="198"/>
      <c r="BF71" s="198"/>
    </row>
    <row r="72" spans="1:58" x14ac:dyDescent="0.3">
      <c r="A72" s="198"/>
      <c r="B72" s="198" t="s">
        <v>890</v>
      </c>
      <c r="C72" s="198"/>
      <c r="D72" s="198" t="s">
        <v>900</v>
      </c>
      <c r="E72" s="198"/>
      <c r="F72" s="198"/>
      <c r="G72" s="198"/>
      <c r="H72" s="198"/>
      <c r="I72" s="198"/>
      <c r="J72" s="198"/>
      <c r="K72" s="198"/>
      <c r="L72" s="1306"/>
      <c r="M72" s="201" t="s">
        <v>909</v>
      </c>
      <c r="N72" s="207" t="s">
        <v>77</v>
      </c>
      <c r="O72" s="200"/>
      <c r="P72" s="200"/>
      <c r="Q72" s="200"/>
      <c r="R72" s="200"/>
      <c r="S72" s="200"/>
      <c r="T72" s="200"/>
      <c r="U72" s="200"/>
      <c r="V72" s="200"/>
      <c r="W72" s="200"/>
      <c r="X72" s="200"/>
      <c r="Y72" s="394"/>
      <c r="Z72" s="208"/>
      <c r="AA72" s="208"/>
      <c r="AB72" s="406"/>
      <c r="AC72" s="406">
        <f>AC51/AC$55*AC$68</f>
        <v>0</v>
      </c>
      <c r="AD72" s="406">
        <f t="shared" ref="AD72:AL72" si="45">AD51/AD$55*AD$68</f>
        <v>0</v>
      </c>
      <c r="AE72" s="406">
        <f t="shared" si="45"/>
        <v>0</v>
      </c>
      <c r="AF72" s="406">
        <f t="shared" si="45"/>
        <v>0</v>
      </c>
      <c r="AG72" s="406">
        <f t="shared" si="45"/>
        <v>0</v>
      </c>
      <c r="AH72" s="406">
        <f t="shared" si="45"/>
        <v>0</v>
      </c>
      <c r="AI72" s="406">
        <f t="shared" si="45"/>
        <v>0</v>
      </c>
      <c r="AJ72" s="406">
        <f t="shared" si="45"/>
        <v>0</v>
      </c>
      <c r="AK72" s="406">
        <f t="shared" si="45"/>
        <v>0</v>
      </c>
      <c r="AL72" s="406">
        <f t="shared" si="45"/>
        <v>0</v>
      </c>
      <c r="AM72" s="532">
        <f t="shared" si="44"/>
        <v>0</v>
      </c>
      <c r="AN72" s="198"/>
      <c r="AO72" s="198"/>
      <c r="AP72" s="198"/>
      <c r="AQ72" s="198"/>
      <c r="AR72" s="198"/>
      <c r="AS72" s="198"/>
      <c r="AT72" s="198"/>
      <c r="AU72" s="198"/>
      <c r="AV72" s="198"/>
      <c r="AW72" s="198"/>
      <c r="AX72" s="198"/>
      <c r="AY72" s="198"/>
      <c r="AZ72" s="198"/>
      <c r="BA72" s="198"/>
      <c r="BB72" s="198"/>
      <c r="BC72" s="198"/>
      <c r="BD72" s="198"/>
      <c r="BE72" s="198"/>
      <c r="BF72" s="198"/>
    </row>
    <row r="73" spans="1:58" x14ac:dyDescent="0.3">
      <c r="A73" s="198"/>
      <c r="B73" s="198" t="s">
        <v>892</v>
      </c>
      <c r="C73" s="198"/>
      <c r="D73" s="198" t="s">
        <v>900</v>
      </c>
      <c r="E73" s="198"/>
      <c r="F73" s="198"/>
      <c r="G73" s="198"/>
      <c r="H73" s="198"/>
      <c r="I73" s="198"/>
      <c r="J73" s="198"/>
      <c r="K73" s="198"/>
      <c r="L73" s="1306"/>
      <c r="M73" s="201" t="s">
        <v>910</v>
      </c>
      <c r="N73" s="207" t="s">
        <v>77</v>
      </c>
      <c r="O73" s="200"/>
      <c r="P73" s="200"/>
      <c r="Q73" s="200"/>
      <c r="R73" s="200"/>
      <c r="S73" s="200"/>
      <c r="T73" s="200"/>
      <c r="U73" s="200"/>
      <c r="V73" s="200"/>
      <c r="W73" s="200"/>
      <c r="X73" s="200"/>
      <c r="Y73" s="394"/>
      <c r="Z73" s="208"/>
      <c r="AA73" s="208"/>
      <c r="AB73" s="406"/>
      <c r="AC73" s="406">
        <f>AC52/AC$55*AC$68</f>
        <v>0</v>
      </c>
      <c r="AD73" s="406">
        <f t="shared" ref="AD73:AL73" si="46">AD52/AD$55*AD$68</f>
        <v>0</v>
      </c>
      <c r="AE73" s="406">
        <f t="shared" si="46"/>
        <v>0</v>
      </c>
      <c r="AF73" s="406">
        <f t="shared" si="46"/>
        <v>0</v>
      </c>
      <c r="AG73" s="406">
        <f t="shared" si="46"/>
        <v>0</v>
      </c>
      <c r="AH73" s="406">
        <f t="shared" si="46"/>
        <v>0</v>
      </c>
      <c r="AI73" s="406">
        <f t="shared" si="46"/>
        <v>0</v>
      </c>
      <c r="AJ73" s="406">
        <f t="shared" si="46"/>
        <v>0</v>
      </c>
      <c r="AK73" s="406">
        <f t="shared" si="46"/>
        <v>0</v>
      </c>
      <c r="AL73" s="406">
        <f t="shared" si="46"/>
        <v>0</v>
      </c>
      <c r="AM73" s="532">
        <f t="shared" si="44"/>
        <v>0</v>
      </c>
      <c r="AN73" s="198"/>
      <c r="AO73" s="198"/>
      <c r="AP73" s="198"/>
      <c r="AQ73" s="198"/>
      <c r="AR73" s="198"/>
      <c r="AS73" s="198"/>
      <c r="AT73" s="198"/>
      <c r="AU73" s="198"/>
      <c r="AV73" s="198"/>
      <c r="AW73" s="198"/>
      <c r="AX73" s="198"/>
      <c r="AY73" s="198"/>
      <c r="AZ73" s="198"/>
      <c r="BA73" s="198"/>
      <c r="BB73" s="198"/>
      <c r="BC73" s="198"/>
      <c r="BD73" s="198"/>
      <c r="BE73" s="198"/>
      <c r="BF73" s="198"/>
    </row>
    <row r="74" spans="1:58" x14ac:dyDescent="0.3">
      <c r="A74" s="198"/>
      <c r="B74" s="198" t="s">
        <v>894</v>
      </c>
      <c r="C74" s="198"/>
      <c r="D74" s="198" t="s">
        <v>900</v>
      </c>
      <c r="E74" s="198"/>
      <c r="F74" s="198"/>
      <c r="G74" s="198"/>
      <c r="H74" s="198"/>
      <c r="I74" s="198"/>
      <c r="J74" s="198"/>
      <c r="K74" s="198"/>
      <c r="L74" s="1306"/>
      <c r="M74" s="201" t="s">
        <v>911</v>
      </c>
      <c r="N74" s="207" t="s">
        <v>77</v>
      </c>
      <c r="O74" s="200"/>
      <c r="P74" s="200"/>
      <c r="Q74" s="200"/>
      <c r="R74" s="200"/>
      <c r="S74" s="200"/>
      <c r="T74" s="200"/>
      <c r="U74" s="200"/>
      <c r="V74" s="200"/>
      <c r="W74" s="200"/>
      <c r="X74" s="200"/>
      <c r="Y74" s="394"/>
      <c r="Z74" s="208"/>
      <c r="AA74" s="208"/>
      <c r="AB74" s="406"/>
      <c r="AC74" s="406">
        <f>AC53/AC$55*AC$68</f>
        <v>0</v>
      </c>
      <c r="AD74" s="406">
        <f t="shared" ref="AD74:AL74" si="47">AD53/AD$55*AD$68</f>
        <v>0</v>
      </c>
      <c r="AE74" s="406">
        <f t="shared" si="47"/>
        <v>0</v>
      </c>
      <c r="AF74" s="406">
        <f t="shared" si="47"/>
        <v>0</v>
      </c>
      <c r="AG74" s="406">
        <f t="shared" si="47"/>
        <v>0</v>
      </c>
      <c r="AH74" s="406">
        <f t="shared" si="47"/>
        <v>0</v>
      </c>
      <c r="AI74" s="406">
        <f t="shared" si="47"/>
        <v>0</v>
      </c>
      <c r="AJ74" s="406">
        <f t="shared" si="47"/>
        <v>0</v>
      </c>
      <c r="AK74" s="406">
        <f t="shared" si="47"/>
        <v>0</v>
      </c>
      <c r="AL74" s="406">
        <f t="shared" si="47"/>
        <v>0</v>
      </c>
      <c r="AM74" s="532">
        <f t="shared" si="44"/>
        <v>0</v>
      </c>
      <c r="AN74" s="198"/>
      <c r="AO74" s="198"/>
      <c r="AP74" s="198"/>
      <c r="AQ74" s="198"/>
      <c r="AR74" s="198"/>
      <c r="AS74" s="198"/>
      <c r="AT74" s="198"/>
      <c r="AU74" s="198"/>
      <c r="AV74" s="198"/>
      <c r="AW74" s="198"/>
      <c r="AX74" s="198"/>
      <c r="AY74" s="198"/>
      <c r="AZ74" s="198"/>
      <c r="BA74" s="198"/>
      <c r="BB74" s="198"/>
      <c r="BC74" s="198"/>
      <c r="BD74" s="198"/>
      <c r="BE74" s="198"/>
      <c r="BF74" s="198"/>
    </row>
    <row r="75" spans="1:58" x14ac:dyDescent="0.3">
      <c r="A75" s="198"/>
      <c r="B75" s="198"/>
      <c r="C75" s="198"/>
      <c r="D75" s="198"/>
      <c r="E75" s="198"/>
      <c r="F75" s="198"/>
      <c r="G75" s="198"/>
      <c r="H75" s="198"/>
      <c r="I75" s="198"/>
      <c r="J75" s="198"/>
      <c r="K75" s="198"/>
      <c r="L75" s="1306"/>
      <c r="M75" s="202"/>
      <c r="N75" s="199"/>
      <c r="O75" s="200"/>
      <c r="P75" s="200"/>
      <c r="Q75" s="200"/>
      <c r="R75" s="200"/>
      <c r="S75" s="200"/>
      <c r="T75" s="200"/>
      <c r="U75" s="200"/>
      <c r="V75" s="200"/>
      <c r="W75" s="200"/>
      <c r="X75" s="200"/>
      <c r="Y75" s="394"/>
      <c r="Z75" s="208"/>
      <c r="AA75" s="208"/>
      <c r="AB75" s="198"/>
      <c r="AC75" s="198"/>
      <c r="AD75" s="198"/>
      <c r="AE75" s="198"/>
      <c r="AF75" s="198"/>
      <c r="AG75" s="198"/>
      <c r="AH75" s="198"/>
      <c r="AI75" s="198"/>
      <c r="AJ75" s="198"/>
      <c r="AK75" s="198"/>
      <c r="AL75" s="198"/>
      <c r="AM75" s="198"/>
      <c r="AN75" s="198"/>
      <c r="AO75" s="198"/>
      <c r="AP75" s="198"/>
      <c r="AQ75" s="198"/>
      <c r="AR75" s="198"/>
      <c r="AS75" s="198"/>
      <c r="AT75" s="198"/>
      <c r="AU75" s="198"/>
      <c r="AV75" s="198"/>
      <c r="AW75" s="198"/>
      <c r="AX75" s="198"/>
      <c r="AY75" s="198"/>
      <c r="AZ75" s="198"/>
      <c r="BA75" s="198"/>
      <c r="BB75" s="198"/>
      <c r="BC75" s="198"/>
      <c r="BD75" s="198"/>
      <c r="BE75" s="198"/>
      <c r="BF75" s="198"/>
    </row>
    <row r="76" spans="1:58" x14ac:dyDescent="0.3">
      <c r="A76" s="198"/>
      <c r="B76" s="198"/>
      <c r="C76" s="198"/>
      <c r="D76" s="198"/>
      <c r="E76" s="198"/>
      <c r="F76" s="198"/>
      <c r="G76" s="198"/>
      <c r="H76" s="198"/>
      <c r="I76" s="198"/>
      <c r="J76" s="198"/>
      <c r="K76" s="198"/>
      <c r="L76" s="1306"/>
      <c r="M76" s="201" t="s">
        <v>912</v>
      </c>
      <c r="N76" s="207" t="s">
        <v>77</v>
      </c>
      <c r="O76" s="200"/>
      <c r="P76" s="200"/>
      <c r="Q76" s="200"/>
      <c r="R76" s="200"/>
      <c r="S76" s="200"/>
      <c r="T76" s="200"/>
      <c r="U76" s="200"/>
      <c r="V76" s="200"/>
      <c r="W76" s="200"/>
      <c r="X76" s="200"/>
      <c r="Y76" s="394"/>
      <c r="Z76" s="2129" t="s">
        <v>918</v>
      </c>
      <c r="AA76" s="2130"/>
      <c r="AB76" s="113">
        <f t="shared" ref="AB76:AC76" si="48">AB49+AB60+AB70</f>
        <v>4749.4444444444443</v>
      </c>
      <c r="AC76" s="113">
        <f t="shared" si="48"/>
        <v>4327.1518611111105</v>
      </c>
      <c r="AD76" s="113">
        <f t="shared" ref="AD76:AL76" si="49">AD49+AD60+AD70</f>
        <v>4790.9309111025541</v>
      </c>
      <c r="AE76" s="113">
        <f t="shared" si="49"/>
        <v>4845.7163131429907</v>
      </c>
      <c r="AF76" s="113">
        <f t="shared" si="49"/>
        <v>4855.6235172245888</v>
      </c>
      <c r="AG76" s="113">
        <f t="shared" si="49"/>
        <v>4802.5375187521458</v>
      </c>
      <c r="AH76" s="113">
        <f t="shared" si="49"/>
        <v>4776.4270627652913</v>
      </c>
      <c r="AI76" s="113">
        <f t="shared" si="49"/>
        <v>4762.2123232618223</v>
      </c>
      <c r="AJ76" s="113">
        <f t="shared" si="49"/>
        <v>4773.6405835438873</v>
      </c>
      <c r="AK76" s="113">
        <f t="shared" si="49"/>
        <v>4763.962650655958</v>
      </c>
      <c r="AL76" s="113">
        <f t="shared" si="49"/>
        <v>4738.8967417974109</v>
      </c>
      <c r="AM76" s="198"/>
      <c r="AN76" s="198"/>
      <c r="AO76" s="198"/>
      <c r="AP76" s="198"/>
      <c r="AQ76" s="198"/>
      <c r="AR76" s="198"/>
      <c r="AS76" s="198"/>
      <c r="AT76" s="198"/>
      <c r="AU76" s="198"/>
      <c r="AV76" s="198"/>
      <c r="AW76" s="198"/>
      <c r="AX76" s="198"/>
      <c r="AY76" s="198"/>
      <c r="AZ76" s="198"/>
      <c r="BA76" s="198"/>
      <c r="BB76" s="198"/>
      <c r="BC76" s="198"/>
      <c r="BD76" s="198"/>
      <c r="BE76" s="198"/>
      <c r="BF76" s="198"/>
    </row>
    <row r="77" spans="1:58" x14ac:dyDescent="0.3">
      <c r="A77" s="198"/>
      <c r="B77" s="198"/>
      <c r="C77" s="198"/>
      <c r="D77" s="198"/>
      <c r="E77" s="198"/>
      <c r="F77" s="198"/>
      <c r="G77" s="198"/>
      <c r="H77" s="198"/>
      <c r="I77" s="198"/>
      <c r="J77" s="198"/>
      <c r="K77" s="198"/>
      <c r="L77" s="1306"/>
      <c r="M77" s="201" t="s">
        <v>889</v>
      </c>
      <c r="N77" s="207" t="s">
        <v>77</v>
      </c>
      <c r="O77" s="200"/>
      <c r="P77" s="200"/>
      <c r="Q77" s="200"/>
      <c r="R77" s="200"/>
      <c r="S77" s="200"/>
      <c r="T77" s="200"/>
      <c r="U77" s="200"/>
      <c r="V77" s="200"/>
      <c r="W77" s="200"/>
      <c r="X77" s="200"/>
      <c r="Y77" s="394"/>
      <c r="Z77" s="2129"/>
      <c r="AA77" s="2130"/>
      <c r="AB77" s="113">
        <f t="shared" ref="AB77:AC77" si="50">AB50+AB61+AB71</f>
        <v>10567.960000000001</v>
      </c>
      <c r="AC77" s="113">
        <f t="shared" si="50"/>
        <v>10532.931725031605</v>
      </c>
      <c r="AD77" s="113">
        <f t="shared" ref="AD77:AL77" si="51">AD50+AD61+AD71</f>
        <v>10555.632453966533</v>
      </c>
      <c r="AE77" s="113">
        <f t="shared" si="51"/>
        <v>10576.086992027871</v>
      </c>
      <c r="AF77" s="113">
        <f t="shared" si="51"/>
        <v>10546.865770140304</v>
      </c>
      <c r="AG77" s="113">
        <f t="shared" si="51"/>
        <v>9985.9045509216157</v>
      </c>
      <c r="AH77" s="113">
        <f t="shared" si="51"/>
        <v>9458.4176489796755</v>
      </c>
      <c r="AI77" s="113">
        <f t="shared" si="51"/>
        <v>8941.0189274408403</v>
      </c>
      <c r="AJ77" s="113">
        <f t="shared" si="51"/>
        <v>8428.7968608309784</v>
      </c>
      <c r="AK77" s="113">
        <f t="shared" si="51"/>
        <v>7921.5171147891924</v>
      </c>
      <c r="AL77" s="113">
        <f t="shared" si="51"/>
        <v>7419.11407044919</v>
      </c>
      <c r="AM77" s="198"/>
      <c r="AN77" s="198"/>
      <c r="AO77" s="198"/>
      <c r="AP77" s="198"/>
      <c r="AQ77" s="198"/>
      <c r="AR77" s="198"/>
      <c r="AS77" s="198"/>
      <c r="AT77" s="198"/>
      <c r="AU77" s="198"/>
      <c r="AV77" s="198"/>
      <c r="AW77" s="198"/>
      <c r="AX77" s="198"/>
      <c r="AY77" s="198"/>
      <c r="AZ77" s="198"/>
      <c r="BA77" s="198"/>
      <c r="BB77" s="198"/>
      <c r="BC77" s="198"/>
      <c r="BD77" s="198"/>
      <c r="BE77" s="198"/>
      <c r="BF77" s="198"/>
    </row>
    <row r="78" spans="1:58" x14ac:dyDescent="0.3">
      <c r="A78" s="198"/>
      <c r="B78" s="198"/>
      <c r="C78" s="198"/>
      <c r="D78" s="198"/>
      <c r="E78" s="198"/>
      <c r="F78" s="198"/>
      <c r="G78" s="198"/>
      <c r="H78" s="198"/>
      <c r="I78" s="198"/>
      <c r="J78" s="198"/>
      <c r="K78" s="198"/>
      <c r="L78" s="1306"/>
      <c r="M78" s="201" t="s">
        <v>891</v>
      </c>
      <c r="N78" s="207" t="s">
        <v>77</v>
      </c>
      <c r="O78" s="200"/>
      <c r="P78" s="200"/>
      <c r="Q78" s="200"/>
      <c r="R78" s="200"/>
      <c r="S78" s="200"/>
      <c r="T78" s="200"/>
      <c r="U78" s="200"/>
      <c r="V78" s="200"/>
      <c r="W78" s="200"/>
      <c r="X78" s="200"/>
      <c r="Y78" s="394"/>
      <c r="Z78" s="2129"/>
      <c r="AA78" s="2130"/>
      <c r="AB78" s="113">
        <f t="shared" ref="AB78:AC78" si="52">AB51+AB62+AB72</f>
        <v>5382.26</v>
      </c>
      <c r="AC78" s="113">
        <f t="shared" si="52"/>
        <v>5376.8275011999995</v>
      </c>
      <c r="AD78" s="113">
        <f t="shared" ref="AD78:AL78" si="53">AD51+AD62+AD72</f>
        <v>5409.2336441916041</v>
      </c>
      <c r="AE78" s="113">
        <f t="shared" si="53"/>
        <v>5438.7455815152716</v>
      </c>
      <c r="AF78" s="113">
        <f t="shared" si="53"/>
        <v>5441.0874845154394</v>
      </c>
      <c r="AG78" s="113">
        <f t="shared" si="53"/>
        <v>5293.7220225175224</v>
      </c>
      <c r="AH78" s="113">
        <f t="shared" si="53"/>
        <v>5163.0176884370094</v>
      </c>
      <c r="AI78" s="113">
        <f t="shared" si="53"/>
        <v>5035.0403463456232</v>
      </c>
      <c r="AJ78" s="113">
        <f t="shared" si="53"/>
        <v>4909.3223215294347</v>
      </c>
      <c r="AK78" s="113">
        <f t="shared" si="53"/>
        <v>4785.8523500082929</v>
      </c>
      <c r="AL78" s="113">
        <f t="shared" si="53"/>
        <v>4664.6199551913287</v>
      </c>
      <c r="AM78" s="198"/>
      <c r="AN78" s="198"/>
      <c r="AO78" s="198"/>
      <c r="AP78" s="198"/>
      <c r="AQ78" s="198"/>
      <c r="AR78" s="198"/>
      <c r="AS78" s="198"/>
      <c r="AT78" s="198"/>
      <c r="AU78" s="198"/>
      <c r="AV78" s="198"/>
      <c r="AW78" s="198"/>
      <c r="AX78" s="198"/>
      <c r="AY78" s="198"/>
      <c r="AZ78" s="198"/>
      <c r="BA78" s="198"/>
      <c r="BB78" s="198"/>
      <c r="BC78" s="198"/>
      <c r="BD78" s="198"/>
      <c r="BE78" s="198"/>
      <c r="BF78" s="198"/>
    </row>
    <row r="79" spans="1:58" x14ac:dyDescent="0.3">
      <c r="A79" s="198"/>
      <c r="B79" s="198"/>
      <c r="C79" s="198"/>
      <c r="D79" s="198"/>
      <c r="E79" s="198"/>
      <c r="F79" s="198"/>
      <c r="G79" s="198"/>
      <c r="H79" s="198"/>
      <c r="I79" s="198"/>
      <c r="J79" s="198"/>
      <c r="K79" s="198"/>
      <c r="L79" s="1306"/>
      <c r="M79" s="201" t="s">
        <v>893</v>
      </c>
      <c r="N79" s="207" t="s">
        <v>77</v>
      </c>
      <c r="O79" s="200"/>
      <c r="P79" s="200"/>
      <c r="Q79" s="200"/>
      <c r="R79" s="200"/>
      <c r="S79" s="200"/>
      <c r="T79" s="200"/>
      <c r="U79" s="200"/>
      <c r="V79" s="200"/>
      <c r="W79" s="200"/>
      <c r="X79" s="200"/>
      <c r="Y79" s="394"/>
      <c r="Z79" s="2129"/>
      <c r="AA79" s="2130"/>
      <c r="AB79" s="113">
        <f t="shared" ref="AB79:AC79" si="54">AB52+AB63+AB73</f>
        <v>9177.7777777777792</v>
      </c>
      <c r="AC79" s="113">
        <f t="shared" si="54"/>
        <v>9665.5308323803783</v>
      </c>
      <c r="AD79" s="113">
        <f t="shared" ref="AD79:AL79" si="55">AD52+AD63+AD73</f>
        <v>9790.39182294067</v>
      </c>
      <c r="AE79" s="113">
        <f t="shared" si="55"/>
        <v>9862.8556163729663</v>
      </c>
      <c r="AF79" s="113">
        <f t="shared" si="55"/>
        <v>9891.3388159327242</v>
      </c>
      <c r="AG79" s="113">
        <f t="shared" si="55"/>
        <v>9759.2229576163518</v>
      </c>
      <c r="AH79" s="113">
        <f t="shared" si="55"/>
        <v>9749.2020159349213</v>
      </c>
      <c r="AI79" s="113">
        <f t="shared" si="55"/>
        <v>9396.1051864925485</v>
      </c>
      <c r="AJ79" s="113">
        <f t="shared" si="55"/>
        <v>9390.2605352420633</v>
      </c>
      <c r="AK79" s="113">
        <f t="shared" si="55"/>
        <v>9385.0480610949016</v>
      </c>
      <c r="AL79" s="113">
        <f t="shared" si="55"/>
        <v>9382.8802572409277</v>
      </c>
      <c r="AM79" s="198"/>
      <c r="AN79" s="198"/>
      <c r="AO79" s="198"/>
      <c r="AP79" s="198"/>
      <c r="AQ79" s="198"/>
      <c r="AR79" s="198"/>
      <c r="AS79" s="198"/>
      <c r="AT79" s="198"/>
      <c r="AU79" s="198"/>
      <c r="AV79" s="198"/>
      <c r="AW79" s="198"/>
      <c r="AX79" s="198"/>
      <c r="AY79" s="198"/>
      <c r="AZ79" s="198"/>
      <c r="BA79" s="198"/>
      <c r="BB79" s="198"/>
      <c r="BC79" s="198"/>
      <c r="BD79" s="198"/>
      <c r="BE79" s="198"/>
      <c r="BF79" s="198"/>
    </row>
    <row r="80" spans="1:58" x14ac:dyDescent="0.3">
      <c r="A80" s="198"/>
      <c r="B80" s="198"/>
      <c r="C80" s="198"/>
      <c r="D80" s="198"/>
      <c r="E80" s="198"/>
      <c r="F80" s="198"/>
      <c r="G80" s="198"/>
      <c r="H80" s="198"/>
      <c r="I80" s="198"/>
      <c r="J80" s="198"/>
      <c r="K80" s="198"/>
      <c r="L80" s="1306"/>
      <c r="M80" s="201" t="s">
        <v>895</v>
      </c>
      <c r="N80" s="207" t="s">
        <v>77</v>
      </c>
      <c r="O80" s="200"/>
      <c r="P80" s="200"/>
      <c r="Q80" s="200"/>
      <c r="R80" s="200"/>
      <c r="S80" s="200"/>
      <c r="T80" s="200"/>
      <c r="U80" s="200"/>
      <c r="V80" s="200"/>
      <c r="W80" s="200"/>
      <c r="X80" s="200"/>
      <c r="Y80" s="394"/>
      <c r="Z80" s="2129"/>
      <c r="AA80" s="2130"/>
      <c r="AB80" s="113">
        <f t="shared" ref="AB80:AC80" si="56">AB53+AB64+AB74</f>
        <v>1272.7777777777778</v>
      </c>
      <c r="AC80" s="113">
        <f t="shared" si="56"/>
        <v>990.64514183333335</v>
      </c>
      <c r="AD80" s="113">
        <f t="shared" ref="AD80:AL80" si="57">AD53+AD64+AD74</f>
        <v>990.83333333333337</v>
      </c>
      <c r="AE80" s="113">
        <f t="shared" si="57"/>
        <v>990.83333333333337</v>
      </c>
      <c r="AF80" s="113">
        <f t="shared" si="57"/>
        <v>990.83333333333337</v>
      </c>
      <c r="AG80" s="113">
        <f t="shared" si="57"/>
        <v>990.83333333333337</v>
      </c>
      <c r="AH80" s="113">
        <f t="shared" si="57"/>
        <v>990.83333333333337</v>
      </c>
      <c r="AI80" s="113">
        <f t="shared" si="57"/>
        <v>984.03333333333342</v>
      </c>
      <c r="AJ80" s="113">
        <f t="shared" si="57"/>
        <v>977.23333333333335</v>
      </c>
      <c r="AK80" s="113">
        <f t="shared" si="57"/>
        <v>970.43333333333339</v>
      </c>
      <c r="AL80" s="113">
        <f t="shared" si="57"/>
        <v>963.63333333333333</v>
      </c>
      <c r="AM80" s="198"/>
      <c r="AN80" s="198"/>
      <c r="AO80" s="198"/>
      <c r="AP80" s="198"/>
      <c r="AQ80" s="198"/>
      <c r="AR80" s="198"/>
      <c r="AS80" s="198"/>
      <c r="AT80" s="198"/>
      <c r="AU80" s="198"/>
      <c r="AV80" s="198"/>
      <c r="AW80" s="198"/>
      <c r="AX80" s="198"/>
      <c r="AY80" s="198"/>
      <c r="AZ80" s="198"/>
      <c r="BA80" s="198"/>
      <c r="BB80" s="198"/>
      <c r="BC80" s="198"/>
      <c r="BD80" s="198"/>
      <c r="BE80" s="198"/>
      <c r="BF80" s="198"/>
    </row>
    <row r="81" spans="1:58" x14ac:dyDescent="0.3">
      <c r="A81" s="198"/>
      <c r="B81" s="198"/>
      <c r="C81" s="198"/>
      <c r="D81" s="198"/>
      <c r="E81" s="198"/>
      <c r="F81" s="198"/>
      <c r="G81" s="198"/>
      <c r="H81" s="198"/>
      <c r="I81" s="198"/>
      <c r="J81" s="198"/>
      <c r="K81" s="198"/>
      <c r="L81" s="1306"/>
      <c r="M81" s="202"/>
      <c r="N81" s="199"/>
      <c r="O81" s="200"/>
      <c r="P81" s="200"/>
      <c r="Q81" s="200"/>
      <c r="R81" s="200"/>
      <c r="S81" s="200"/>
      <c r="T81" s="200"/>
      <c r="U81" s="200"/>
      <c r="V81" s="200"/>
      <c r="W81" s="200"/>
      <c r="X81" s="200"/>
      <c r="Y81" s="394"/>
      <c r="Z81" s="208"/>
      <c r="AA81" s="208"/>
      <c r="AB81" s="198"/>
      <c r="AC81" s="198"/>
      <c r="AD81" s="198"/>
      <c r="AE81" s="198"/>
      <c r="AF81" s="198"/>
      <c r="AG81" s="198"/>
      <c r="AH81" s="198"/>
      <c r="AI81" s="198"/>
      <c r="AJ81" s="198"/>
      <c r="AK81" s="198"/>
      <c r="AL81" s="198"/>
      <c r="AM81" s="198"/>
      <c r="AN81" s="198"/>
      <c r="AO81" s="198"/>
      <c r="AP81" s="198"/>
      <c r="AQ81" s="198"/>
      <c r="AR81" s="198"/>
      <c r="AS81" s="198"/>
      <c r="AT81" s="198"/>
      <c r="AU81" s="198"/>
      <c r="AV81" s="198"/>
      <c r="AW81" s="198"/>
      <c r="AX81" s="198"/>
      <c r="AY81" s="198"/>
      <c r="AZ81" s="198"/>
      <c r="BA81" s="198"/>
      <c r="BB81" s="198"/>
      <c r="BC81" s="198"/>
      <c r="BD81" s="198"/>
      <c r="BE81" s="198"/>
      <c r="BF81" s="198"/>
    </row>
    <row r="82" spans="1:58" x14ac:dyDescent="0.3">
      <c r="A82" s="198"/>
      <c r="B82" s="198"/>
      <c r="C82" s="198"/>
      <c r="D82" s="198"/>
      <c r="E82" s="198"/>
      <c r="F82" s="198"/>
      <c r="G82" s="198"/>
      <c r="H82" s="198"/>
      <c r="I82" s="198"/>
      <c r="J82" s="198"/>
      <c r="K82" s="198"/>
      <c r="L82" s="1306"/>
      <c r="M82" s="77" t="s">
        <v>914</v>
      </c>
      <c r="N82" s="207" t="s">
        <v>77</v>
      </c>
      <c r="O82" s="200"/>
      <c r="P82" s="200"/>
      <c r="Q82" s="200"/>
      <c r="R82" s="200"/>
      <c r="S82" s="200"/>
      <c r="T82" s="200"/>
      <c r="U82" s="200"/>
      <c r="V82" s="200"/>
      <c r="W82" s="200"/>
      <c r="X82" s="200"/>
      <c r="Y82" s="394"/>
      <c r="Z82" s="208"/>
      <c r="AA82" s="208"/>
      <c r="AB82" s="404">
        <f t="shared" ref="AB82:AC82" si="58">AB76+AB77+AB78+AB79+AB80</f>
        <v>31150.220000000005</v>
      </c>
      <c r="AC82" s="404">
        <f t="shared" si="58"/>
        <v>30893.087061556424</v>
      </c>
      <c r="AD82" s="404">
        <f t="shared" ref="AD82:AL82" si="59">AD76+AD77+AD78+AD79+AD80</f>
        <v>31537.022165534694</v>
      </c>
      <c r="AE82" s="404">
        <f t="shared" si="59"/>
        <v>31714.237836392433</v>
      </c>
      <c r="AF82" s="404">
        <f t="shared" si="59"/>
        <v>31725.748921146387</v>
      </c>
      <c r="AG82" s="404">
        <f t="shared" si="59"/>
        <v>30832.220383140968</v>
      </c>
      <c r="AH82" s="404">
        <f t="shared" si="59"/>
        <v>30137.897749450229</v>
      </c>
      <c r="AI82" s="404">
        <f t="shared" si="59"/>
        <v>29118.410116874169</v>
      </c>
      <c r="AJ82" s="404">
        <f t="shared" si="59"/>
        <v>28479.253634479701</v>
      </c>
      <c r="AK82" s="404">
        <f t="shared" si="59"/>
        <v>27826.813509881678</v>
      </c>
      <c r="AL82" s="404">
        <f t="shared" si="59"/>
        <v>27169.144358012189</v>
      </c>
      <c r="AM82" s="198"/>
      <c r="AN82" s="198"/>
      <c r="AO82" s="198"/>
      <c r="AP82" s="198"/>
      <c r="AQ82" s="198"/>
      <c r="AR82" s="198"/>
      <c r="AS82" s="198"/>
      <c r="AT82" s="198"/>
      <c r="AU82" s="198"/>
      <c r="AV82" s="198"/>
      <c r="AW82" s="198"/>
      <c r="AX82" s="198"/>
      <c r="AY82" s="198"/>
      <c r="AZ82" s="198"/>
      <c r="BA82" s="198"/>
      <c r="BB82" s="198"/>
      <c r="BC82" s="198"/>
      <c r="BD82" s="198"/>
      <c r="BE82" s="198"/>
      <c r="BF82" s="198"/>
    </row>
    <row r="83" spans="1:58" ht="14.25" thickBot="1" x14ac:dyDescent="0.35">
      <c r="A83" s="198"/>
      <c r="B83" s="198"/>
      <c r="C83" s="198"/>
      <c r="D83" s="198"/>
      <c r="E83" s="198"/>
      <c r="F83" s="198"/>
      <c r="G83" s="198"/>
      <c r="H83" s="198"/>
      <c r="I83" s="198"/>
      <c r="J83" s="198"/>
      <c r="K83" s="198"/>
      <c r="L83" s="1306"/>
      <c r="M83" s="72" t="s">
        <v>915</v>
      </c>
      <c r="N83" s="207" t="s">
        <v>68</v>
      </c>
      <c r="O83" s="200"/>
      <c r="P83" s="200"/>
      <c r="Q83" s="200"/>
      <c r="R83" s="200"/>
      <c r="S83" s="200"/>
      <c r="T83" s="200"/>
      <c r="U83" s="200"/>
      <c r="V83" s="200"/>
      <c r="W83" s="200"/>
      <c r="X83" s="200"/>
      <c r="Y83" s="394"/>
      <c r="Z83" s="208"/>
      <c r="AA83" s="208"/>
      <c r="AB83" s="405">
        <f>-(AB82-AB$11)/AB$11</f>
        <v>0</v>
      </c>
      <c r="AC83" s="405">
        <f>-(AC82-AC$11)/AC$11</f>
        <v>4.4518987504133176E-3</v>
      </c>
      <c r="AD83" s="405">
        <f>-(AD82-AD$11)/AD$11</f>
        <v>1.6229575813643926E-3</v>
      </c>
      <c r="AE83" s="405">
        <f>-((AD$11-AD82)-(AE$11-AE82))/AE$11</f>
        <v>1.334449660641505E-3</v>
      </c>
      <c r="AF83" s="405">
        <f t="shared" ref="AF83" si="60">-((AE$11-AE82)-(AF$11-AF82))/AF$11</f>
        <v>7.0778837041701164E-3</v>
      </c>
      <c r="AG83" s="405">
        <f t="shared" ref="AG83" si="61">-((AF$11-AF82)-(AG$11-AG82))/AG$11</f>
        <v>3.5194770333199385E-2</v>
      </c>
      <c r="AH83" s="405">
        <f t="shared" ref="AH83" si="62">-((AG$11-AG82)-(AH$11-AH82))/AH$11</f>
        <v>2.8946250696616674E-2</v>
      </c>
      <c r="AI83" s="405">
        <f t="shared" ref="AI83" si="63">-((AH$11-AH82)-(AI$11-AI82))/AI$11</f>
        <v>3.8925905318345846E-2</v>
      </c>
      <c r="AJ83" s="405">
        <f t="shared" ref="AJ83" si="64">-((AI$11-AI82)-(AJ$11-AJ82))/AJ$11</f>
        <v>2.7236535432262739E-2</v>
      </c>
      <c r="AK83" s="405">
        <f t="shared" ref="AK83" si="65">-((AJ$11-AJ82)-(AK$11-AK82))/AK$11</f>
        <v>2.7543210746499611E-2</v>
      </c>
      <c r="AL83" s="405">
        <f t="shared" ref="AL83" si="66">-((AK$11-AK82)-(AL$11-AL82))/AL$11</f>
        <v>2.7603401121263454E-2</v>
      </c>
      <c r="AM83" s="198"/>
      <c r="AN83" s="198"/>
      <c r="AO83" s="198"/>
      <c r="AP83" s="198"/>
      <c r="AQ83" s="198"/>
      <c r="AR83" s="198"/>
      <c r="AS83" s="198"/>
      <c r="AT83" s="198"/>
      <c r="AU83" s="198"/>
      <c r="AV83" s="198"/>
      <c r="AW83" s="198"/>
      <c r="AX83" s="198"/>
      <c r="AY83" s="198"/>
      <c r="AZ83" s="198"/>
      <c r="BA83" s="198"/>
      <c r="BB83" s="198"/>
      <c r="BC83" s="198"/>
      <c r="BD83" s="198"/>
      <c r="BE83" s="198"/>
      <c r="BF83" s="198"/>
    </row>
    <row r="84" spans="1:58" ht="14.25" thickBot="1" x14ac:dyDescent="0.35">
      <c r="A84" s="198"/>
      <c r="B84" s="198"/>
      <c r="C84" s="198"/>
      <c r="D84" s="198"/>
      <c r="E84" s="198"/>
      <c r="F84" s="198"/>
      <c r="G84" s="198"/>
      <c r="H84" s="198"/>
      <c r="I84" s="198"/>
      <c r="J84" s="198"/>
      <c r="K84" s="198"/>
      <c r="L84" s="1306"/>
      <c r="M84" s="72" t="s">
        <v>916</v>
      </c>
      <c r="N84" s="207" t="s">
        <v>68</v>
      </c>
      <c r="O84" s="200"/>
      <c r="P84" s="200"/>
      <c r="Q84" s="200"/>
      <c r="R84" s="200"/>
      <c r="S84" s="200"/>
      <c r="T84" s="200"/>
      <c r="U84" s="200"/>
      <c r="V84" s="200"/>
      <c r="W84" s="200"/>
      <c r="X84" s="200"/>
      <c r="Y84" s="394"/>
      <c r="Z84" s="208"/>
      <c r="AA84" s="208"/>
      <c r="AB84" s="200"/>
      <c r="AC84" s="200"/>
      <c r="AD84" s="518"/>
      <c r="AE84" s="518"/>
      <c r="AF84" s="1314">
        <f>((AL$11-AL82)-(AF$11-AF82))/AL$11/7</f>
        <v>2.5943272945003048E-2</v>
      </c>
      <c r="AG84" s="1315"/>
      <c r="AH84" s="1315"/>
      <c r="AI84" s="1315"/>
      <c r="AJ84" s="1315"/>
      <c r="AK84" s="1315"/>
      <c r="AL84" s="1316"/>
      <c r="AM84" s="198"/>
      <c r="AN84" s="198"/>
      <c r="AO84" s="198"/>
      <c r="AP84" s="198"/>
      <c r="AQ84" s="198"/>
      <c r="AR84" s="198"/>
      <c r="AS84" s="198"/>
      <c r="AT84" s="198"/>
      <c r="AU84" s="198"/>
      <c r="AV84" s="198"/>
      <c r="AW84" s="198"/>
      <c r="AX84" s="198"/>
      <c r="AY84" s="198"/>
      <c r="AZ84" s="198"/>
      <c r="BA84" s="198"/>
      <c r="BB84" s="198"/>
      <c r="BC84" s="198"/>
      <c r="BD84" s="198"/>
      <c r="BE84" s="198"/>
      <c r="BF84" s="198"/>
    </row>
    <row r="85" spans="1:58" x14ac:dyDescent="0.3">
      <c r="A85" s="198"/>
      <c r="B85" s="198"/>
      <c r="C85" s="198"/>
      <c r="D85" s="198"/>
      <c r="E85" s="198"/>
      <c r="F85" s="198"/>
      <c r="G85" s="198"/>
      <c r="H85" s="198"/>
      <c r="I85" s="198"/>
      <c r="J85" s="198"/>
      <c r="K85" s="198"/>
      <c r="L85" s="1306"/>
      <c r="M85" s="202"/>
      <c r="N85" s="199"/>
      <c r="O85" s="200"/>
      <c r="P85" s="200"/>
      <c r="Q85" s="200"/>
      <c r="R85" s="200"/>
      <c r="S85" s="200"/>
      <c r="T85" s="200"/>
      <c r="U85" s="200"/>
      <c r="V85" s="200"/>
      <c r="W85" s="200"/>
      <c r="X85" s="200"/>
      <c r="Y85" s="394"/>
      <c r="Z85" s="208"/>
      <c r="AA85" s="208"/>
      <c r="AB85" s="200"/>
      <c r="AC85" s="200"/>
      <c r="AD85" s="198"/>
      <c r="AE85" s="198"/>
      <c r="AF85" s="198"/>
      <c r="AG85" s="198"/>
      <c r="AH85" s="198"/>
      <c r="AI85" s="198"/>
      <c r="AJ85" s="198"/>
      <c r="AK85" s="198"/>
      <c r="AL85" s="198"/>
      <c r="AM85" s="198"/>
      <c r="AN85" s="198"/>
      <c r="AO85" s="198"/>
      <c r="AP85" s="198"/>
      <c r="AQ85" s="198"/>
      <c r="AR85" s="198"/>
      <c r="AS85" s="198"/>
      <c r="AT85" s="198"/>
      <c r="AU85" s="198"/>
      <c r="AV85" s="198"/>
      <c r="AW85" s="198"/>
      <c r="AX85" s="198"/>
      <c r="AY85" s="198"/>
      <c r="AZ85" s="198"/>
      <c r="BA85" s="198"/>
      <c r="BB85" s="198"/>
      <c r="BC85" s="198"/>
      <c r="BD85" s="198"/>
      <c r="BE85" s="198"/>
      <c r="BF85" s="198"/>
    </row>
    <row r="86" spans="1:58" x14ac:dyDescent="0.3">
      <c r="A86" s="198"/>
      <c r="B86" s="198"/>
      <c r="C86" s="198"/>
      <c r="D86" s="198"/>
      <c r="E86" s="198"/>
      <c r="F86" s="198"/>
      <c r="G86" s="198"/>
      <c r="H86" s="198"/>
      <c r="I86" s="198"/>
      <c r="J86" s="198"/>
      <c r="K86" s="198"/>
      <c r="L86" s="1306"/>
      <c r="M86" s="202"/>
      <c r="N86" s="199"/>
      <c r="O86" s="200"/>
      <c r="P86" s="200"/>
      <c r="Q86" s="200"/>
      <c r="R86" s="200"/>
      <c r="S86" s="200"/>
      <c r="T86" s="200"/>
      <c r="U86" s="200"/>
      <c r="V86" s="200"/>
      <c r="W86" s="200"/>
      <c r="X86" s="200"/>
      <c r="Y86" s="394"/>
      <c r="Z86" s="208"/>
      <c r="AA86" s="208"/>
      <c r="AB86" s="200"/>
      <c r="AC86" s="200"/>
      <c r="AD86" s="198"/>
      <c r="AE86" s="198"/>
      <c r="AF86" s="198"/>
      <c r="AG86" s="198"/>
      <c r="AH86" s="198"/>
      <c r="AI86" s="198"/>
      <c r="AJ86" s="198"/>
      <c r="AK86" s="198"/>
      <c r="AL86" s="198"/>
      <c r="AM86" s="198"/>
      <c r="AN86" s="198"/>
      <c r="AO86" s="198"/>
      <c r="AP86" s="198"/>
      <c r="AQ86" s="198"/>
      <c r="AR86" s="198"/>
      <c r="AS86" s="198"/>
      <c r="AT86" s="198"/>
      <c r="AU86" s="198"/>
      <c r="AV86" s="198"/>
      <c r="AW86" s="198"/>
      <c r="AX86" s="198"/>
      <c r="AY86" s="198"/>
      <c r="AZ86" s="198"/>
      <c r="BA86" s="198"/>
      <c r="BB86" s="198"/>
      <c r="BC86" s="198"/>
      <c r="BD86" s="198"/>
      <c r="BE86" s="198"/>
      <c r="BF86" s="198"/>
    </row>
    <row r="87" spans="1:58" ht="12" customHeight="1" x14ac:dyDescent="0.3">
      <c r="A87" s="198"/>
      <c r="B87" s="198"/>
      <c r="C87" s="198"/>
      <c r="D87" s="198"/>
      <c r="E87" s="198"/>
      <c r="F87" s="198"/>
      <c r="G87" s="198"/>
      <c r="H87" s="198"/>
      <c r="I87" s="198"/>
      <c r="J87" s="198"/>
      <c r="K87" s="198"/>
      <c r="L87" s="1304" t="str">
        <f>'EE Measures'!IF6</f>
        <v>Baseline</v>
      </c>
      <c r="M87" s="1305" t="str">
        <f>L87</f>
        <v>Baseline</v>
      </c>
      <c r="N87" s="1305"/>
      <c r="O87" s="1305"/>
      <c r="P87" s="1305"/>
      <c r="Q87" s="1305"/>
      <c r="R87" s="1305"/>
      <c r="S87" s="1305"/>
      <c r="T87" s="1305"/>
      <c r="U87" s="1305"/>
      <c r="V87" s="1305"/>
      <c r="W87" s="1305"/>
      <c r="X87" s="1305"/>
      <c r="Y87" s="394"/>
      <c r="Z87" s="531"/>
      <c r="AA87" s="531"/>
      <c r="AB87" s="1305"/>
      <c r="AC87" s="1305"/>
      <c r="AD87" s="265"/>
      <c r="AE87" s="265"/>
      <c r="AF87" s="265"/>
      <c r="AG87" s="1236"/>
      <c r="AH87" s="265"/>
      <c r="AI87" s="265"/>
      <c r="AJ87" s="265"/>
      <c r="AK87" s="265"/>
      <c r="AL87" s="265"/>
      <c r="AM87" s="265"/>
      <c r="AN87" s="265"/>
      <c r="AO87" s="265"/>
      <c r="AP87" s="265"/>
      <c r="AQ87" s="265"/>
      <c r="AR87" s="265"/>
      <c r="AS87" s="265"/>
      <c r="AT87" s="265"/>
      <c r="AU87" s="265"/>
      <c r="AV87" s="265"/>
      <c r="AW87" s="265"/>
      <c r="AX87" s="265"/>
      <c r="AY87" s="265"/>
      <c r="AZ87" s="265"/>
      <c r="BA87" s="265"/>
      <c r="BB87" s="265"/>
      <c r="BC87" s="265"/>
      <c r="BD87" s="265"/>
      <c r="BE87" s="265"/>
      <c r="BF87" s="265"/>
    </row>
    <row r="88" spans="1:58" outlineLevel="1" x14ac:dyDescent="0.3">
      <c r="A88" s="198"/>
      <c r="B88" s="198"/>
      <c r="C88" s="198"/>
      <c r="D88" s="198"/>
      <c r="E88" s="198"/>
      <c r="F88" s="198"/>
      <c r="G88" s="198"/>
      <c r="H88" s="198"/>
      <c r="I88" s="198"/>
      <c r="J88" s="198"/>
      <c r="K88" s="198"/>
      <c r="L88" s="1304"/>
      <c r="M88" s="201" t="s">
        <v>901</v>
      </c>
      <c r="N88" s="207" t="s">
        <v>77</v>
      </c>
      <c r="O88" s="200"/>
      <c r="P88" s="200"/>
      <c r="Q88" s="200"/>
      <c r="R88" s="200"/>
      <c r="S88" s="200"/>
      <c r="T88" s="200"/>
      <c r="U88" s="200"/>
      <c r="V88" s="200"/>
      <c r="W88" s="200"/>
      <c r="X88" s="200"/>
      <c r="Y88" s="394"/>
      <c r="Z88" s="208"/>
      <c r="AA88" s="208"/>
      <c r="AB88" s="533"/>
      <c r="AC88" s="533">
        <f>SUMPRODUCT($E$621:$E$622,AC$621:AC$622)+SUMPRODUCT($E$627:$E$632,AC$627:AC$632)</f>
        <v>-71.459249999999997</v>
      </c>
      <c r="AD88" s="533">
        <f t="shared" ref="AD88:AL88" si="67">SUMPRODUCT($E$621:$E$622,AD$621:AD$622)+SUMPRODUCT($E$627:$E$632,AD$627:AD$632)</f>
        <v>-3.2802999999999969</v>
      </c>
      <c r="AE88" s="533">
        <f t="shared" si="67"/>
        <v>-3.2802999999999969</v>
      </c>
      <c r="AF88" s="533">
        <f t="shared" si="67"/>
        <v>-3.2802999999999969</v>
      </c>
      <c r="AG88" s="533">
        <f t="shared" si="67"/>
        <v>-52.763646847227356</v>
      </c>
      <c r="AH88" s="533">
        <f t="shared" si="67"/>
        <v>-102.24699369445472</v>
      </c>
      <c r="AI88" s="533">
        <f t="shared" si="67"/>
        <v>-144.66129099207816</v>
      </c>
      <c r="AJ88" s="533">
        <f t="shared" si="67"/>
        <v>-144.66129099207816</v>
      </c>
      <c r="AK88" s="533">
        <f t="shared" si="67"/>
        <v>-144.66129099207816</v>
      </c>
      <c r="AL88" s="533">
        <f t="shared" si="67"/>
        <v>-144.66129099207816</v>
      </c>
      <c r="AM88" s="532">
        <f>SUM(AD88:AL88)</f>
        <v>-743.49670450999474</v>
      </c>
      <c r="AN88" s="198"/>
      <c r="AO88" s="198"/>
      <c r="AP88" s="198"/>
      <c r="AQ88" s="198"/>
      <c r="AR88" s="198"/>
      <c r="AS88" s="198"/>
      <c r="AT88" s="198"/>
      <c r="AU88" s="198"/>
      <c r="AV88" s="198"/>
      <c r="AW88" s="198"/>
      <c r="AX88" s="198"/>
      <c r="AY88" s="198"/>
      <c r="AZ88" s="198"/>
      <c r="BA88" s="198"/>
      <c r="BB88" s="198"/>
      <c r="BC88" s="198"/>
      <c r="BD88" s="198"/>
      <c r="BE88" s="198"/>
      <c r="BF88" s="198"/>
    </row>
    <row r="89" spans="1:58" outlineLevel="1" x14ac:dyDescent="0.3">
      <c r="A89" s="198"/>
      <c r="B89" s="198"/>
      <c r="C89" s="198"/>
      <c r="D89" s="198"/>
      <c r="E89" s="198"/>
      <c r="F89" s="198"/>
      <c r="G89" s="198"/>
      <c r="H89" s="198"/>
      <c r="I89" s="198"/>
      <c r="J89" s="198"/>
      <c r="K89" s="198"/>
      <c r="L89" s="1304"/>
      <c r="M89" s="201" t="s">
        <v>902</v>
      </c>
      <c r="N89" s="207" t="s">
        <v>77</v>
      </c>
      <c r="O89" s="200"/>
      <c r="P89" s="200"/>
      <c r="Q89" s="200"/>
      <c r="R89" s="200"/>
      <c r="S89" s="200"/>
      <c r="T89" s="200"/>
      <c r="U89" s="200"/>
      <c r="V89" s="200"/>
      <c r="W89" s="200"/>
      <c r="X89" s="200"/>
      <c r="Y89" s="394"/>
      <c r="Z89" s="208"/>
      <c r="AA89" s="208"/>
      <c r="AB89" s="532"/>
      <c r="AC89" s="532">
        <f>SUMPRODUCT($E$699:$E$702,AC$699:AC$702)+SUMPRODUCT($E$707:$E$714,AC$707:AC$714)</f>
        <v>-2.9497749683944372</v>
      </c>
      <c r="AD89" s="532">
        <f t="shared" ref="AD89:AL89" si="68">SUMPRODUCT($E$699:$E$702,AD$699:AD$702)+SUMPRODUCT($E$707:$E$714,AD$707:AD$714)</f>
        <v>-3.5922486490719709</v>
      </c>
      <c r="AE89" s="532">
        <f t="shared" si="68"/>
        <v>-7.9201255416805818</v>
      </c>
      <c r="AF89" s="532">
        <f t="shared" si="68"/>
        <v>-8.0871255416805816</v>
      </c>
      <c r="AG89" s="532">
        <f t="shared" si="68"/>
        <v>-8.2541255416805832</v>
      </c>
      <c r="AH89" s="532">
        <f t="shared" si="68"/>
        <v>-8.421125541680583</v>
      </c>
      <c r="AI89" s="532">
        <f t="shared" si="68"/>
        <v>-8.5881255416805828</v>
      </c>
      <c r="AJ89" s="532">
        <f t="shared" si="68"/>
        <v>-8.5881255416805828</v>
      </c>
      <c r="AK89" s="532">
        <f t="shared" si="68"/>
        <v>-8.5881255416805828</v>
      </c>
      <c r="AL89" s="532">
        <f t="shared" si="68"/>
        <v>-8.5881255416805828</v>
      </c>
      <c r="AM89" s="532">
        <f t="shared" ref="AM89:AM92" si="69">SUM(AD89:AL89)</f>
        <v>-70.627252982516637</v>
      </c>
      <c r="AN89" s="198"/>
      <c r="AO89" s="198"/>
      <c r="AP89" s="198"/>
      <c r="AQ89" s="198"/>
      <c r="AR89" s="198"/>
      <c r="AS89" s="198"/>
      <c r="AT89" s="198"/>
      <c r="AU89" s="198"/>
      <c r="AV89" s="198"/>
      <c r="AW89" s="198"/>
      <c r="AX89" s="198"/>
      <c r="AY89" s="198"/>
      <c r="AZ89" s="198"/>
      <c r="BA89" s="198"/>
      <c r="BB89" s="198"/>
      <c r="BC89" s="198"/>
      <c r="BD89" s="198"/>
      <c r="BE89" s="198"/>
      <c r="BF89" s="198"/>
    </row>
    <row r="90" spans="1:58" outlineLevel="1" x14ac:dyDescent="0.3">
      <c r="A90" s="198"/>
      <c r="B90" s="198"/>
      <c r="C90" s="198"/>
      <c r="D90" s="198"/>
      <c r="E90" s="198"/>
      <c r="F90" s="198"/>
      <c r="G90" s="198"/>
      <c r="H90" s="198"/>
      <c r="I90" s="198"/>
      <c r="J90" s="198"/>
      <c r="K90" s="198"/>
      <c r="L90" s="1304"/>
      <c r="M90" s="201" t="s">
        <v>903</v>
      </c>
      <c r="N90" s="207" t="s">
        <v>77</v>
      </c>
      <c r="O90" s="200"/>
      <c r="P90" s="200"/>
      <c r="Q90" s="200"/>
      <c r="R90" s="200"/>
      <c r="S90" s="200"/>
      <c r="T90" s="200"/>
      <c r="U90" s="200"/>
      <c r="V90" s="200"/>
      <c r="W90" s="200"/>
      <c r="X90" s="200"/>
      <c r="Y90" s="394"/>
      <c r="Z90" s="208"/>
      <c r="AA90" s="208"/>
      <c r="AB90" s="533"/>
      <c r="AC90" s="533">
        <f>SUMPRODUCT($E$919:$E$925,AC$919:AC$925)+SUMPRODUCT($E$931:$E$938,AC$931:AC$938)</f>
        <v>-8.2481988000000008</v>
      </c>
      <c r="AD90" s="533">
        <f>SUMPRODUCT($E$919:$E$925,AD$919:AD$925)+SUMPRODUCT($E$931:$E$938,AD$931:AD$938)</f>
        <v>-4.9282862999999999</v>
      </c>
      <c r="AE90" s="533">
        <f t="shared" ref="AE90:AL90" si="70">SUMPRODUCT($E$919:$E$925,AE$919:AE$925)+SUMPRODUCT($E$931:$E$938,AE$931:AE$938)</f>
        <v>-5.4417418</v>
      </c>
      <c r="AF90" s="533">
        <f t="shared" si="70"/>
        <v>-5.5447698000000001</v>
      </c>
      <c r="AG90" s="533">
        <f t="shared" si="70"/>
        <v>-5.5447698000000001</v>
      </c>
      <c r="AH90" s="533">
        <f t="shared" si="70"/>
        <v>-5.5447698000000001</v>
      </c>
      <c r="AI90" s="533">
        <f t="shared" si="70"/>
        <v>-5.5447698000000001</v>
      </c>
      <c r="AJ90" s="533">
        <f t="shared" si="70"/>
        <v>-5.5447698000000001</v>
      </c>
      <c r="AK90" s="533">
        <f t="shared" si="70"/>
        <v>-5.5447698000000001</v>
      </c>
      <c r="AL90" s="533">
        <f t="shared" si="70"/>
        <v>-5.5447698000000001</v>
      </c>
      <c r="AM90" s="532">
        <f t="shared" si="69"/>
        <v>-49.183416699999995</v>
      </c>
      <c r="AN90" s="198"/>
      <c r="AO90" s="198"/>
      <c r="AP90" s="198"/>
      <c r="AQ90" s="198"/>
      <c r="AR90" s="198"/>
      <c r="AS90" s="198"/>
      <c r="AT90" s="198"/>
      <c r="AU90" s="198"/>
      <c r="AV90" s="198"/>
      <c r="AW90" s="198"/>
      <c r="AX90" s="198"/>
      <c r="AY90" s="198"/>
      <c r="AZ90" s="198"/>
      <c r="BA90" s="198"/>
      <c r="BB90" s="198"/>
      <c r="BC90" s="198"/>
      <c r="BD90" s="198"/>
      <c r="BE90" s="198"/>
      <c r="BF90" s="198"/>
    </row>
    <row r="91" spans="1:58" outlineLevel="1" x14ac:dyDescent="0.3">
      <c r="A91" s="198"/>
      <c r="B91" s="198"/>
      <c r="C91" s="198"/>
      <c r="D91" s="198"/>
      <c r="E91" s="198"/>
      <c r="F91" s="198"/>
      <c r="G91" s="198"/>
      <c r="H91" s="198"/>
      <c r="I91" s="198"/>
      <c r="J91" s="198"/>
      <c r="K91" s="198"/>
      <c r="L91" s="1304"/>
      <c r="M91" s="201" t="s">
        <v>904</v>
      </c>
      <c r="N91" s="207" t="s">
        <v>77</v>
      </c>
      <c r="O91" s="200"/>
      <c r="P91" s="200"/>
      <c r="Q91" s="200"/>
      <c r="R91" s="200"/>
      <c r="S91" s="200"/>
      <c r="T91" s="200"/>
      <c r="U91" s="200"/>
      <c r="V91" s="200"/>
      <c r="W91" s="200"/>
      <c r="X91" s="200"/>
      <c r="Y91" s="394"/>
      <c r="Z91" s="208"/>
      <c r="AA91" s="208"/>
      <c r="AB91" s="532"/>
      <c r="AC91" s="532">
        <f>SUMPRODUCT($E$1263:$E$1267,AC$1263:AC$1267)+SUMPRODUCT($E$1272:$E$1289,AC$1272:AC$1289)</f>
        <v>-8.6137581513028518</v>
      </c>
      <c r="AD91" s="532">
        <f t="shared" ref="AD91:AL91" si="71">SUMPRODUCT($E$1263:$E$1267,AD$1263:AD$1267)+SUMPRODUCT($E$1272:$E$1289,AD$1272:AD$1289)</f>
        <v>-8.6137581513028518</v>
      </c>
      <c r="AE91" s="532">
        <f t="shared" si="71"/>
        <v>-14.480558151302851</v>
      </c>
      <c r="AF91" s="532">
        <f t="shared" si="71"/>
        <v>-15.395254479302853</v>
      </c>
      <c r="AG91" s="532">
        <f t="shared" si="71"/>
        <v>-15.395254479302853</v>
      </c>
      <c r="AH91" s="532">
        <f t="shared" si="71"/>
        <v>-15.395254479302853</v>
      </c>
      <c r="AI91" s="532">
        <f t="shared" si="71"/>
        <v>-15.395254479302853</v>
      </c>
      <c r="AJ91" s="532">
        <f t="shared" si="71"/>
        <v>-15.395254479302853</v>
      </c>
      <c r="AK91" s="532">
        <f t="shared" si="71"/>
        <v>-15.395254479302853</v>
      </c>
      <c r="AL91" s="532">
        <f t="shared" si="71"/>
        <v>-15.395254479302853</v>
      </c>
      <c r="AM91" s="532">
        <f t="shared" si="69"/>
        <v>-130.86109765772565</v>
      </c>
      <c r="AN91" s="198"/>
      <c r="AO91" s="198"/>
      <c r="AP91" s="198"/>
      <c r="AQ91" s="198"/>
      <c r="AR91" s="198"/>
      <c r="AS91" s="198"/>
      <c r="AT91" s="198"/>
      <c r="AU91" s="198"/>
      <c r="AV91" s="198"/>
      <c r="AW91" s="198"/>
      <c r="AX91" s="198"/>
      <c r="AY91" s="198"/>
      <c r="AZ91" s="198"/>
      <c r="BA91" s="198"/>
      <c r="BB91" s="198"/>
      <c r="BC91" s="198"/>
      <c r="BD91" s="198"/>
      <c r="BE91" s="198"/>
      <c r="BF91" s="198"/>
    </row>
    <row r="92" spans="1:58" outlineLevel="1" x14ac:dyDescent="0.3">
      <c r="A92" s="198"/>
      <c r="B92" s="198"/>
      <c r="C92" s="198"/>
      <c r="D92" s="198"/>
      <c r="E92" s="198"/>
      <c r="F92" s="198"/>
      <c r="G92" s="198"/>
      <c r="H92" s="198"/>
      <c r="I92" s="198"/>
      <c r="J92" s="198"/>
      <c r="K92" s="198"/>
      <c r="L92" s="1304"/>
      <c r="M92" s="201" t="s">
        <v>905</v>
      </c>
      <c r="N92" s="207" t="s">
        <v>77</v>
      </c>
      <c r="O92" s="200"/>
      <c r="P92" s="200"/>
      <c r="Q92" s="200"/>
      <c r="R92" s="200"/>
      <c r="S92" s="200"/>
      <c r="T92" s="200"/>
      <c r="U92" s="200"/>
      <c r="V92" s="200"/>
      <c r="W92" s="200"/>
      <c r="X92" s="200"/>
      <c r="Y92" s="394"/>
      <c r="Z92" s="208"/>
      <c r="AA92" s="208"/>
      <c r="AB92" s="533"/>
      <c r="AC92" s="533">
        <f>SUMPRODUCT($E$1312:$E$1313,AC$1312:AC$1313)+SUMPRODUCT($E$1318:$E$1319,AC$1318:AC$1319)</f>
        <v>-0.18819149999999973</v>
      </c>
      <c r="AD92" s="533">
        <f t="shared" ref="AD92:AL92" si="72">SUMPRODUCT($E$1312:$E$1313,AD$1312:AD$1313)+SUMPRODUCT($E$1318:$E$1319,AD$1318:AD$1319)</f>
        <v>0</v>
      </c>
      <c r="AE92" s="533">
        <f t="shared" si="72"/>
        <v>0</v>
      </c>
      <c r="AF92" s="533">
        <f t="shared" si="72"/>
        <v>0</v>
      </c>
      <c r="AG92" s="533">
        <f t="shared" si="72"/>
        <v>0</v>
      </c>
      <c r="AH92" s="533">
        <f t="shared" si="72"/>
        <v>0</v>
      </c>
      <c r="AI92" s="533">
        <f t="shared" si="72"/>
        <v>0</v>
      </c>
      <c r="AJ92" s="533">
        <f t="shared" si="72"/>
        <v>0</v>
      </c>
      <c r="AK92" s="533">
        <f t="shared" si="72"/>
        <v>0</v>
      </c>
      <c r="AL92" s="533">
        <f t="shared" si="72"/>
        <v>0</v>
      </c>
      <c r="AM92" s="532">
        <f t="shared" si="69"/>
        <v>0</v>
      </c>
      <c r="AN92" s="198"/>
      <c r="AO92" s="198"/>
      <c r="AP92" s="198"/>
      <c r="AQ92" s="198"/>
      <c r="AR92" s="198"/>
      <c r="AS92" s="198"/>
      <c r="AT92" s="198"/>
      <c r="AU92" s="198"/>
      <c r="AV92" s="198"/>
      <c r="AW92" s="198"/>
      <c r="AX92" s="198"/>
      <c r="AY92" s="198"/>
      <c r="AZ92" s="198"/>
      <c r="BA92" s="198"/>
      <c r="BB92" s="198"/>
      <c r="BC92" s="198"/>
      <c r="BD92" s="198"/>
      <c r="BE92" s="198"/>
      <c r="BF92" s="198"/>
    </row>
    <row r="93" spans="1:58" outlineLevel="1" x14ac:dyDescent="0.3">
      <c r="A93" s="198"/>
      <c r="B93" s="198"/>
      <c r="C93" s="198"/>
      <c r="D93" s="198"/>
      <c r="E93" s="198"/>
      <c r="F93" s="198"/>
      <c r="G93" s="198"/>
      <c r="H93" s="198"/>
      <c r="I93" s="198"/>
      <c r="J93" s="198"/>
      <c r="K93" s="198"/>
      <c r="L93" s="1304"/>
      <c r="M93" s="202"/>
      <c r="N93" s="199"/>
      <c r="O93" s="200"/>
      <c r="P93" s="200"/>
      <c r="Q93" s="200"/>
      <c r="R93" s="200"/>
      <c r="S93" s="200"/>
      <c r="T93" s="200"/>
      <c r="U93" s="200"/>
      <c r="V93" s="200"/>
      <c r="W93" s="200"/>
      <c r="X93" s="200"/>
      <c r="Y93" s="394"/>
      <c r="Z93" s="208"/>
      <c r="AA93" s="208"/>
      <c r="AB93" s="198"/>
      <c r="AC93" s="198"/>
      <c r="AD93" s="198"/>
      <c r="AE93" s="198"/>
      <c r="AF93" s="198"/>
      <c r="AG93" s="198"/>
      <c r="AH93" s="198"/>
      <c r="AI93" s="198"/>
      <c r="AJ93" s="198"/>
      <c r="AK93" s="198"/>
      <c r="AL93" s="198"/>
      <c r="AM93" s="198"/>
      <c r="AN93" s="198"/>
      <c r="AO93" s="198"/>
      <c r="AP93" s="198"/>
      <c r="AQ93" s="198"/>
      <c r="AR93" s="198"/>
      <c r="AS93" s="198"/>
      <c r="AT93" s="198"/>
      <c r="AU93" s="198"/>
      <c r="AV93" s="198"/>
      <c r="AW93" s="198"/>
      <c r="AX93" s="198"/>
      <c r="AY93" s="198"/>
      <c r="AZ93" s="198"/>
      <c r="BA93" s="198"/>
      <c r="BB93" s="198"/>
      <c r="BC93" s="198"/>
      <c r="BD93" s="198"/>
      <c r="BE93" s="198"/>
      <c r="BF93" s="198"/>
    </row>
    <row r="94" spans="1:58" outlineLevel="1" x14ac:dyDescent="0.3">
      <c r="A94" s="198"/>
      <c r="B94" s="198"/>
      <c r="C94" s="198"/>
      <c r="D94" s="198"/>
      <c r="E94" s="198"/>
      <c r="F94" s="198"/>
      <c r="G94" s="198"/>
      <c r="H94" s="198"/>
      <c r="I94" s="198"/>
      <c r="J94" s="198"/>
      <c r="K94" s="198"/>
      <c r="L94" s="1304"/>
      <c r="M94" s="201" t="s">
        <v>907</v>
      </c>
      <c r="N94" s="207" t="s">
        <v>77</v>
      </c>
      <c r="O94" s="200"/>
      <c r="P94" s="200"/>
      <c r="Q94" s="200"/>
      <c r="R94" s="200"/>
      <c r="S94" s="200"/>
      <c r="T94" s="200"/>
      <c r="U94" s="200"/>
      <c r="V94" s="200"/>
      <c r="W94" s="200"/>
      <c r="X94" s="200"/>
      <c r="Y94" s="394"/>
      <c r="Z94" s="208"/>
      <c r="AA94" s="208"/>
      <c r="AB94" s="406"/>
      <c r="AC94" s="406">
        <f t="shared" ref="AC94:AD98" si="73">(AC$67*$E$67+SUMPRODUCT($E$28:$E$40,AC$28:AC$40))*AC6/AC$11</f>
        <v>0</v>
      </c>
      <c r="AD94" s="406">
        <f t="shared" si="73"/>
        <v>-2.727677786333802</v>
      </c>
      <c r="AE94" s="406">
        <f t="shared" ref="AE94:AL98" si="74">(SUMPRODUCT(AE$67:AE$67,$E$67:$E$67)+SUMPRODUCT($E$28:$E$40,AE$28:AE$40))*AE6/AE$11</f>
        <v>-5.5055424125658288</v>
      </c>
      <c r="AF94" s="406">
        <f t="shared" si="74"/>
        <v>-33.992672857533051</v>
      </c>
      <c r="AG94" s="406">
        <f t="shared" si="74"/>
        <v>-50.06129197144633</v>
      </c>
      <c r="AH94" s="406">
        <f t="shared" si="74"/>
        <v>-53.323672665530452</v>
      </c>
      <c r="AI94" s="406">
        <f t="shared" si="74"/>
        <v>-56.643157287247774</v>
      </c>
      <c r="AJ94" s="406">
        <f t="shared" si="74"/>
        <v>-60.028725787461767</v>
      </c>
      <c r="AK94" s="406">
        <f t="shared" si="74"/>
        <v>-63.480840444986065</v>
      </c>
      <c r="AL94" s="406">
        <f t="shared" si="74"/>
        <v>-66.999963219906462</v>
      </c>
      <c r="AM94" s="532">
        <f>SUM(AD94:AL94)</f>
        <v>-392.76354443301159</v>
      </c>
      <c r="AN94" s="1257">
        <f>(AM88+AM94)/8</f>
        <v>-142.03253111787581</v>
      </c>
      <c r="AO94" s="198"/>
      <c r="AP94" s="198"/>
      <c r="AQ94" s="198"/>
      <c r="AR94" s="198"/>
      <c r="AS94" s="198"/>
      <c r="AT94" s="198"/>
      <c r="AU94" s="198"/>
      <c r="AV94" s="198"/>
      <c r="AW94" s="198"/>
      <c r="AX94" s="198"/>
      <c r="AY94" s="198"/>
      <c r="AZ94" s="198"/>
      <c r="BA94" s="198"/>
      <c r="BB94" s="198"/>
      <c r="BC94" s="198"/>
      <c r="BD94" s="198"/>
      <c r="BE94" s="198"/>
      <c r="BF94" s="198"/>
    </row>
    <row r="95" spans="1:58" outlineLevel="1" x14ac:dyDescent="0.3">
      <c r="A95" s="198"/>
      <c r="B95" s="198"/>
      <c r="C95" s="198"/>
      <c r="D95" s="198"/>
      <c r="E95" s="198"/>
      <c r="F95" s="198"/>
      <c r="G95" s="198"/>
      <c r="H95" s="198"/>
      <c r="I95" s="198"/>
      <c r="J95" s="198"/>
      <c r="K95" s="198"/>
      <c r="L95" s="1304"/>
      <c r="M95" s="201" t="s">
        <v>908</v>
      </c>
      <c r="N95" s="207" t="s">
        <v>77</v>
      </c>
      <c r="O95" s="200"/>
      <c r="P95" s="200"/>
      <c r="Q95" s="200"/>
      <c r="R95" s="200"/>
      <c r="S95" s="200"/>
      <c r="T95" s="200"/>
      <c r="U95" s="200"/>
      <c r="V95" s="200"/>
      <c r="W95" s="200"/>
      <c r="X95" s="200"/>
      <c r="Y95" s="394"/>
      <c r="Z95" s="208"/>
      <c r="AA95" s="208"/>
      <c r="AB95" s="406"/>
      <c r="AC95" s="406">
        <f t="shared" si="73"/>
        <v>0</v>
      </c>
      <c r="AD95" s="406">
        <f t="shared" si="73"/>
        <v>-6.0076958218968253</v>
      </c>
      <c r="AE95" s="406">
        <f t="shared" si="74"/>
        <v>-12.017063473036384</v>
      </c>
      <c r="AF95" s="406">
        <f t="shared" si="74"/>
        <v>-73.322518545654518</v>
      </c>
      <c r="AG95" s="406">
        <f t="shared" si="74"/>
        <v>-106.72450644328562</v>
      </c>
      <c r="AH95" s="406">
        <f t="shared" si="74"/>
        <v>-112.36955545665913</v>
      </c>
      <c r="AI95" s="406">
        <f t="shared" si="74"/>
        <v>-118.05386316349525</v>
      </c>
      <c r="AJ95" s="406">
        <f t="shared" si="74"/>
        <v>-123.74519101336342</v>
      </c>
      <c r="AK95" s="406">
        <f t="shared" si="74"/>
        <v>-129.44364440315545</v>
      </c>
      <c r="AL95" s="406">
        <f t="shared" si="74"/>
        <v>-135.14935414781374</v>
      </c>
      <c r="AM95" s="532">
        <f t="shared" ref="AM95:AM98" si="75">SUM(AD95:AL95)</f>
        <v>-816.83339246836033</v>
      </c>
      <c r="AN95" s="198"/>
      <c r="AO95" s="198"/>
      <c r="AP95" s="198"/>
      <c r="AQ95" s="198"/>
      <c r="AR95" s="198"/>
      <c r="AS95" s="198"/>
      <c r="AT95" s="198"/>
      <c r="AU95" s="198"/>
      <c r="AV95" s="198"/>
      <c r="AW95" s="198"/>
      <c r="AX95" s="198"/>
      <c r="AY95" s="198"/>
      <c r="AZ95" s="198"/>
      <c r="BA95" s="198"/>
      <c r="BB95" s="198"/>
      <c r="BC95" s="198"/>
      <c r="BD95" s="198"/>
      <c r="BE95" s="198"/>
      <c r="BF95" s="198"/>
    </row>
    <row r="96" spans="1:58" outlineLevel="1" x14ac:dyDescent="0.3">
      <c r="A96" s="198"/>
      <c r="B96" s="198"/>
      <c r="C96" s="198"/>
      <c r="D96" s="198"/>
      <c r="E96" s="198"/>
      <c r="F96" s="198"/>
      <c r="G96" s="198"/>
      <c r="H96" s="198"/>
      <c r="I96" s="198"/>
      <c r="J96" s="198"/>
      <c r="K96" s="198"/>
      <c r="L96" s="1304"/>
      <c r="M96" s="201" t="s">
        <v>909</v>
      </c>
      <c r="N96" s="207" t="s">
        <v>77</v>
      </c>
      <c r="O96" s="200"/>
      <c r="P96" s="200"/>
      <c r="Q96" s="200"/>
      <c r="R96" s="200"/>
      <c r="S96" s="200"/>
      <c r="T96" s="200"/>
      <c r="U96" s="200"/>
      <c r="V96" s="200"/>
      <c r="W96" s="200"/>
      <c r="X96" s="200"/>
      <c r="Y96" s="394"/>
      <c r="Z96" s="208"/>
      <c r="AA96" s="208"/>
      <c r="AB96" s="406"/>
      <c r="AC96" s="406">
        <f t="shared" si="73"/>
        <v>0</v>
      </c>
      <c r="AD96" s="406">
        <f t="shared" si="73"/>
        <v>-3.0804002116585458</v>
      </c>
      <c r="AE96" s="406">
        <f t="shared" si="74"/>
        <v>-6.1813209209559794</v>
      </c>
      <c r="AF96" s="406">
        <f t="shared" si="74"/>
        <v>-37.836340761102001</v>
      </c>
      <c r="AG96" s="406">
        <f t="shared" si="74"/>
        <v>-55.249639516586235</v>
      </c>
      <c r="AH96" s="406">
        <f t="shared" si="74"/>
        <v>-58.35953849495376</v>
      </c>
      <c r="AI96" s="406">
        <f t="shared" si="74"/>
        <v>-61.488713037921599</v>
      </c>
      <c r="AJ96" s="406">
        <f t="shared" si="74"/>
        <v>-64.642685808211112</v>
      </c>
      <c r="AK96" s="406">
        <f t="shared" si="74"/>
        <v>-67.822106671771579</v>
      </c>
      <c r="AL96" s="406">
        <f t="shared" si="74"/>
        <v>-71.027639921238872</v>
      </c>
      <c r="AM96" s="532">
        <f t="shared" si="75"/>
        <v>-425.68838534439965</v>
      </c>
      <c r="AN96" s="198"/>
      <c r="AO96" s="198"/>
      <c r="AP96" s="198"/>
      <c r="AQ96" s="198"/>
      <c r="AR96" s="198"/>
      <c r="AS96" s="198"/>
      <c r="AT96" s="198"/>
      <c r="AU96" s="198"/>
      <c r="AV96" s="198"/>
      <c r="AW96" s="198"/>
      <c r="AX96" s="198"/>
      <c r="AY96" s="198"/>
      <c r="AZ96" s="198"/>
      <c r="BA96" s="198"/>
      <c r="BB96" s="198"/>
      <c r="BC96" s="198"/>
      <c r="BD96" s="198"/>
      <c r="BE96" s="198"/>
      <c r="BF96" s="198"/>
    </row>
    <row r="97" spans="1:58" outlineLevel="1" x14ac:dyDescent="0.3">
      <c r="A97" s="198"/>
      <c r="B97" s="198"/>
      <c r="C97" s="198"/>
      <c r="D97" s="198"/>
      <c r="E97" s="198"/>
      <c r="F97" s="198"/>
      <c r="G97" s="198"/>
      <c r="H97" s="198"/>
      <c r="I97" s="198"/>
      <c r="J97" s="198"/>
      <c r="K97" s="198"/>
      <c r="L97" s="1304"/>
      <c r="M97" s="201" t="s">
        <v>910</v>
      </c>
      <c r="N97" s="207" t="s">
        <v>77</v>
      </c>
      <c r="O97" s="200"/>
      <c r="P97" s="200"/>
      <c r="Q97" s="200"/>
      <c r="R97" s="200"/>
      <c r="S97" s="200"/>
      <c r="T97" s="200"/>
      <c r="U97" s="200"/>
      <c r="V97" s="200"/>
      <c r="W97" s="200"/>
      <c r="X97" s="200"/>
      <c r="Y97" s="394"/>
      <c r="Z97" s="208"/>
      <c r="AA97" s="208"/>
      <c r="AB97" s="406"/>
      <c r="AC97" s="406">
        <f t="shared" si="73"/>
        <v>0</v>
      </c>
      <c r="AD97" s="406">
        <f t="shared" si="73"/>
        <v>-5.5828216243274902</v>
      </c>
      <c r="AE97" s="406">
        <f t="shared" si="74"/>
        <v>-11.246092699688113</v>
      </c>
      <c r="AF97" s="406">
        <f t="shared" si="74"/>
        <v>-69.094295430194535</v>
      </c>
      <c r="AG97" s="406">
        <f t="shared" si="74"/>
        <v>-101.25448358969408</v>
      </c>
      <c r="AH97" s="406">
        <f t="shared" si="74"/>
        <v>-107.3217126995489</v>
      </c>
      <c r="AI97" s="406">
        <f t="shared" si="74"/>
        <v>-113.44107292931756</v>
      </c>
      <c r="AJ97" s="406">
        <f t="shared" si="74"/>
        <v>-119.62923591553286</v>
      </c>
      <c r="AK97" s="406">
        <f t="shared" si="74"/>
        <v>-125.88564327405514</v>
      </c>
      <c r="AL97" s="406">
        <f t="shared" si="74"/>
        <v>-132.20973398759571</v>
      </c>
      <c r="AM97" s="532">
        <f t="shared" si="75"/>
        <v>-785.66509214995426</v>
      </c>
      <c r="AN97" s="198"/>
      <c r="AO97" s="198"/>
      <c r="AP97" s="198"/>
      <c r="AQ97" s="198"/>
      <c r="AR97" s="198"/>
      <c r="AS97" s="198"/>
      <c r="AT97" s="198"/>
      <c r="AU97" s="198"/>
      <c r="AV97" s="198"/>
      <c r="AW97" s="198"/>
      <c r="AX97" s="198"/>
      <c r="AY97" s="198"/>
      <c r="AZ97" s="198"/>
      <c r="BA97" s="198"/>
      <c r="BB97" s="198"/>
      <c r="BC97" s="198"/>
      <c r="BD97" s="198"/>
      <c r="BE97" s="198"/>
      <c r="BF97" s="198"/>
    </row>
    <row r="98" spans="1:58" outlineLevel="1" x14ac:dyDescent="0.3">
      <c r="A98" s="198"/>
      <c r="B98" s="198"/>
      <c r="C98" s="198"/>
      <c r="D98" s="198"/>
      <c r="E98" s="198"/>
      <c r="F98" s="198"/>
      <c r="G98" s="198"/>
      <c r="H98" s="198"/>
      <c r="I98" s="198"/>
      <c r="J98" s="198"/>
      <c r="K98" s="198"/>
      <c r="L98" s="1304"/>
      <c r="M98" s="201" t="s">
        <v>911</v>
      </c>
      <c r="N98" s="207" t="s">
        <v>77</v>
      </c>
      <c r="O98" s="200"/>
      <c r="P98" s="200"/>
      <c r="Q98" s="200"/>
      <c r="R98" s="200"/>
      <c r="S98" s="200"/>
      <c r="T98" s="200"/>
      <c r="U98" s="200"/>
      <c r="V98" s="200"/>
      <c r="W98" s="200"/>
      <c r="X98" s="200"/>
      <c r="Y98" s="394"/>
      <c r="Z98" s="208"/>
      <c r="AA98" s="208"/>
      <c r="AB98" s="406"/>
      <c r="AC98" s="406">
        <f t="shared" si="73"/>
        <v>0</v>
      </c>
      <c r="AD98" s="406">
        <f t="shared" si="73"/>
        <v>-0.56341640698250128</v>
      </c>
      <c r="AE98" s="406">
        <f t="shared" si="74"/>
        <v>-1.123714598459449</v>
      </c>
      <c r="AF98" s="406">
        <f t="shared" si="74"/>
        <v>-6.8355770458988951</v>
      </c>
      <c r="AG98" s="406">
        <f t="shared" si="74"/>
        <v>-9.9180405461482763</v>
      </c>
      <c r="AH98" s="406">
        <f t="shared" si="74"/>
        <v>-10.408252927879586</v>
      </c>
      <c r="AI98" s="406">
        <f t="shared" si="74"/>
        <v>-10.8927915848812</v>
      </c>
      <c r="AJ98" s="406">
        <f t="shared" si="74"/>
        <v>-11.373256238386842</v>
      </c>
      <c r="AK98" s="406">
        <f t="shared" si="74"/>
        <v>-11.849562738389633</v>
      </c>
      <c r="AL98" s="406">
        <f t="shared" si="74"/>
        <v>-12.321630437215724</v>
      </c>
      <c r="AM98" s="532">
        <f t="shared" si="75"/>
        <v>-75.286242524242112</v>
      </c>
      <c r="AN98" s="198"/>
      <c r="AO98" s="198"/>
      <c r="AP98" s="198"/>
      <c r="AQ98" s="198"/>
      <c r="AR98" s="198"/>
      <c r="AS98" s="198"/>
      <c r="AT98" s="198"/>
      <c r="AU98" s="198"/>
      <c r="AV98" s="198"/>
      <c r="AW98" s="198"/>
      <c r="AX98" s="198"/>
      <c r="AY98" s="198"/>
      <c r="AZ98" s="198"/>
      <c r="BA98" s="198"/>
      <c r="BB98" s="198"/>
      <c r="BC98" s="198"/>
      <c r="BD98" s="198"/>
      <c r="BE98" s="198"/>
      <c r="BF98" s="198"/>
    </row>
    <row r="99" spans="1:58" outlineLevel="1" x14ac:dyDescent="0.3">
      <c r="A99" s="198"/>
      <c r="B99" s="198"/>
      <c r="C99" s="198"/>
      <c r="D99" s="198"/>
      <c r="E99" s="198"/>
      <c r="F99" s="198"/>
      <c r="G99" s="198"/>
      <c r="H99" s="198"/>
      <c r="I99" s="198"/>
      <c r="J99" s="198"/>
      <c r="K99" s="198"/>
      <c r="L99" s="1304"/>
      <c r="M99" s="202"/>
      <c r="N99" s="199"/>
      <c r="O99" s="200"/>
      <c r="P99" s="200"/>
      <c r="Q99" s="200"/>
      <c r="R99" s="200"/>
      <c r="S99" s="200"/>
      <c r="T99" s="200"/>
      <c r="U99" s="200"/>
      <c r="V99" s="200"/>
      <c r="W99" s="200"/>
      <c r="X99" s="200"/>
      <c r="Y99" s="394"/>
      <c r="Z99" s="208"/>
      <c r="AA99" s="208"/>
      <c r="AB99" s="198"/>
      <c r="AC99" s="198"/>
      <c r="AD99" s="198"/>
      <c r="AE99" s="198"/>
      <c r="AF99" s="198"/>
      <c r="AG99" s="198"/>
      <c r="AH99" s="198"/>
      <c r="AI99" s="198"/>
      <c r="AJ99" s="198"/>
      <c r="AK99" s="198"/>
      <c r="AL99" s="198"/>
      <c r="AM99" s="198"/>
      <c r="AN99" s="198"/>
      <c r="AO99" s="198"/>
      <c r="AP99" s="198"/>
      <c r="AQ99" s="198"/>
      <c r="AR99" s="198"/>
      <c r="AS99" s="198"/>
      <c r="AT99" s="198"/>
      <c r="AU99" s="198"/>
      <c r="AV99" s="198"/>
      <c r="AW99" s="198"/>
      <c r="AX99" s="198"/>
      <c r="AY99" s="198"/>
      <c r="AZ99" s="198"/>
      <c r="BA99" s="198"/>
      <c r="BB99" s="198"/>
      <c r="BC99" s="198"/>
      <c r="BD99" s="198"/>
      <c r="BE99" s="198"/>
      <c r="BF99" s="198"/>
    </row>
    <row r="100" spans="1:58" outlineLevel="1" x14ac:dyDescent="0.3">
      <c r="A100" s="198"/>
      <c r="B100" s="198" t="s">
        <v>883</v>
      </c>
      <c r="C100" s="198"/>
      <c r="D100" s="198"/>
      <c r="E100" s="198"/>
      <c r="F100" s="198"/>
      <c r="G100" s="198"/>
      <c r="H100" s="198"/>
      <c r="I100" s="198"/>
      <c r="J100" s="198"/>
      <c r="K100" s="198"/>
      <c r="L100" s="1304"/>
      <c r="M100" s="201" t="s">
        <v>912</v>
      </c>
      <c r="N100" s="207" t="s">
        <v>77</v>
      </c>
      <c r="O100" s="200"/>
      <c r="P100" s="200"/>
      <c r="Q100" s="200"/>
      <c r="R100" s="200"/>
      <c r="S100" s="200"/>
      <c r="T100" s="200"/>
      <c r="U100" s="200"/>
      <c r="V100" s="200"/>
      <c r="W100" s="200"/>
      <c r="X100" s="200"/>
      <c r="Y100" s="394"/>
      <c r="Z100" s="208"/>
      <c r="AA100" s="208"/>
      <c r="AB100" s="113">
        <f t="shared" ref="AB100:AC100" si="76">AB6+AB88+AB94</f>
        <v>4749.4444444444443</v>
      </c>
      <c r="AC100" s="113">
        <f t="shared" si="76"/>
        <v>4327.1518611111105</v>
      </c>
      <c r="AD100" s="113">
        <f t="shared" ref="AD100:AL100" si="77">AD6+AD88+AD94</f>
        <v>4790.9309111025541</v>
      </c>
      <c r="AE100" s="113">
        <f t="shared" si="77"/>
        <v>4845.7163131429907</v>
      </c>
      <c r="AF100" s="113">
        <f t="shared" si="77"/>
        <v>4890.0467150313552</v>
      </c>
      <c r="AG100" s="113">
        <f t="shared" si="77"/>
        <v>4898.4045443885461</v>
      </c>
      <c r="AH100" s="113">
        <f t="shared" si="77"/>
        <v>4920.6772590953433</v>
      </c>
      <c r="AI100" s="113">
        <f t="shared" si="77"/>
        <v>4951.0871960578324</v>
      </c>
      <c r="AJ100" s="113">
        <f t="shared" si="77"/>
        <v>5024.9875022226761</v>
      </c>
      <c r="AK100" s="113">
        <f t="shared" si="77"/>
        <v>5099.9805503501848</v>
      </c>
      <c r="AL100" s="113">
        <f t="shared" si="77"/>
        <v>5176.0832678020715</v>
      </c>
      <c r="AM100" s="198"/>
      <c r="AN100" s="198"/>
      <c r="AO100" s="198"/>
      <c r="AP100" s="198"/>
      <c r="AQ100" s="198"/>
      <c r="AR100" s="198"/>
      <c r="AS100" s="198"/>
      <c r="AT100" s="198"/>
      <c r="AU100" s="198"/>
      <c r="AV100" s="198"/>
      <c r="AW100" s="198"/>
      <c r="AX100" s="198"/>
      <c r="AY100" s="198"/>
      <c r="AZ100" s="198"/>
      <c r="BA100" s="198"/>
      <c r="BB100" s="198"/>
      <c r="BC100" s="198"/>
      <c r="BD100" s="198"/>
      <c r="BE100" s="198"/>
      <c r="BF100" s="198"/>
    </row>
    <row r="101" spans="1:58" outlineLevel="1" x14ac:dyDescent="0.3">
      <c r="A101" s="198"/>
      <c r="B101" s="198" t="s">
        <v>888</v>
      </c>
      <c r="C101" s="198"/>
      <c r="D101" s="198"/>
      <c r="E101" s="198"/>
      <c r="F101" s="198"/>
      <c r="G101" s="198"/>
      <c r="H101" s="198"/>
      <c r="I101" s="198"/>
      <c r="J101" s="198"/>
      <c r="K101" s="198"/>
      <c r="L101" s="1304"/>
      <c r="M101" s="201" t="s">
        <v>889</v>
      </c>
      <c r="N101" s="207" t="s">
        <v>77</v>
      </c>
      <c r="O101" s="200"/>
      <c r="P101" s="200"/>
      <c r="Q101" s="200"/>
      <c r="R101" s="200"/>
      <c r="S101" s="200"/>
      <c r="T101" s="200"/>
      <c r="U101" s="200"/>
      <c r="V101" s="200"/>
      <c r="W101" s="200"/>
      <c r="X101" s="200"/>
      <c r="Y101" s="394"/>
      <c r="Z101" s="208"/>
      <c r="AA101" s="208"/>
      <c r="AB101" s="113">
        <f t="shared" ref="AB101:AC101" si="78">AB7+AB89+AB95</f>
        <v>10567.960000000001</v>
      </c>
      <c r="AC101" s="113">
        <f t="shared" si="78"/>
        <v>10532.931725031605</v>
      </c>
      <c r="AD101" s="113">
        <f t="shared" ref="AD101:AL101" si="79">AD7+AD89+AD95</f>
        <v>10555.632453966533</v>
      </c>
      <c r="AE101" s="113">
        <f t="shared" si="79"/>
        <v>10576.086992027871</v>
      </c>
      <c r="AF101" s="113">
        <f t="shared" si="79"/>
        <v>10546.865770140304</v>
      </c>
      <c r="AG101" s="113">
        <f t="shared" si="79"/>
        <v>10547.026425921616</v>
      </c>
      <c r="AH101" s="113">
        <f t="shared" si="79"/>
        <v>10576.441791136538</v>
      </c>
      <c r="AI101" s="113">
        <f t="shared" si="79"/>
        <v>10611.808466320117</v>
      </c>
      <c r="AJ101" s="113">
        <f t="shared" si="79"/>
        <v>10648.296041104781</v>
      </c>
      <c r="AK101" s="113">
        <f t="shared" si="79"/>
        <v>10685.7497057439</v>
      </c>
      <c r="AL101" s="113">
        <f t="shared" si="79"/>
        <v>10724.181806679295</v>
      </c>
      <c r="AM101" s="198"/>
      <c r="AN101" s="198"/>
      <c r="AO101" s="198"/>
      <c r="AP101" s="198"/>
      <c r="AQ101" s="198"/>
      <c r="AR101" s="198"/>
      <c r="AS101" s="198"/>
      <c r="AT101" s="198"/>
      <c r="AU101" s="198"/>
      <c r="AV101" s="198"/>
      <c r="AW101" s="198"/>
      <c r="AX101" s="198"/>
      <c r="AY101" s="198"/>
      <c r="AZ101" s="198"/>
      <c r="BA101" s="198"/>
      <c r="BB101" s="198"/>
      <c r="BC101" s="198"/>
      <c r="BD101" s="198"/>
      <c r="BE101" s="198"/>
      <c r="BF101" s="198"/>
    </row>
    <row r="102" spans="1:58" outlineLevel="1" x14ac:dyDescent="0.3">
      <c r="A102" s="198"/>
      <c r="B102" s="198" t="s">
        <v>890</v>
      </c>
      <c r="C102" s="198"/>
      <c r="D102" s="198"/>
      <c r="E102" s="198"/>
      <c r="F102" s="198"/>
      <c r="G102" s="198"/>
      <c r="H102" s="198"/>
      <c r="I102" s="198"/>
      <c r="J102" s="198"/>
      <c r="K102" s="198"/>
      <c r="L102" s="1304"/>
      <c r="M102" s="201" t="s">
        <v>891</v>
      </c>
      <c r="N102" s="207" t="s">
        <v>77</v>
      </c>
      <c r="O102" s="200"/>
      <c r="P102" s="200"/>
      <c r="Q102" s="200"/>
      <c r="R102" s="200"/>
      <c r="S102" s="200"/>
      <c r="T102" s="200"/>
      <c r="U102" s="200"/>
      <c r="V102" s="200"/>
      <c r="W102" s="200"/>
      <c r="X102" s="200"/>
      <c r="Y102" s="394"/>
      <c r="Z102" s="208"/>
      <c r="AA102" s="208"/>
      <c r="AB102" s="113">
        <f t="shared" ref="AB102:AC102" si="80">AB8+AB90+AB96</f>
        <v>5382.26</v>
      </c>
      <c r="AC102" s="113">
        <f t="shared" si="80"/>
        <v>5376.8275011999995</v>
      </c>
      <c r="AD102" s="113">
        <f t="shared" ref="AD102:AL102" si="81">AD8+AD90+AD96</f>
        <v>5409.2336441916041</v>
      </c>
      <c r="AE102" s="113">
        <f t="shared" si="81"/>
        <v>5438.7455815152716</v>
      </c>
      <c r="AF102" s="113">
        <f t="shared" si="81"/>
        <v>5441.0874845154394</v>
      </c>
      <c r="AG102" s="113">
        <f t="shared" si="81"/>
        <v>5458.7620225175224</v>
      </c>
      <c r="AH102" s="113">
        <f t="shared" si="81"/>
        <v>5491.7423943193626</v>
      </c>
      <c r="AI102" s="113">
        <f t="shared" si="81"/>
        <v>5526.1210383871457</v>
      </c>
      <c r="AJ102" s="113">
        <f t="shared" si="81"/>
        <v>5561.4563333348488</v>
      </c>
      <c r="AK102" s="113">
        <f t="shared" si="81"/>
        <v>5597.7625576606597</v>
      </c>
      <c r="AL102" s="113">
        <f t="shared" si="81"/>
        <v>5635.0542764191396</v>
      </c>
      <c r="AM102" s="198"/>
      <c r="AN102" s="198"/>
      <c r="AO102" s="198"/>
      <c r="AP102" s="198"/>
      <c r="AQ102" s="198"/>
      <c r="AR102" s="198"/>
      <c r="AS102" s="198"/>
      <c r="AT102" s="198"/>
      <c r="AU102" s="198"/>
      <c r="AV102" s="198"/>
      <c r="AW102" s="198"/>
      <c r="AX102" s="198"/>
      <c r="AY102" s="198"/>
      <c r="AZ102" s="198"/>
      <c r="BA102" s="198"/>
      <c r="BB102" s="198"/>
      <c r="BC102" s="198"/>
      <c r="BD102" s="198"/>
      <c r="BE102" s="198"/>
      <c r="BF102" s="198"/>
    </row>
    <row r="103" spans="1:58" outlineLevel="1" x14ac:dyDescent="0.3">
      <c r="A103" s="198"/>
      <c r="B103" s="198" t="s">
        <v>892</v>
      </c>
      <c r="C103" s="198"/>
      <c r="D103" s="198"/>
      <c r="E103" s="198"/>
      <c r="F103" s="198"/>
      <c r="G103" s="198"/>
      <c r="H103" s="198"/>
      <c r="I103" s="198"/>
      <c r="J103" s="198"/>
      <c r="K103" s="198"/>
      <c r="L103" s="1304"/>
      <c r="M103" s="201" t="s">
        <v>893</v>
      </c>
      <c r="N103" s="207" t="s">
        <v>77</v>
      </c>
      <c r="O103" s="200"/>
      <c r="P103" s="200"/>
      <c r="Q103" s="200"/>
      <c r="R103" s="200"/>
      <c r="S103" s="200"/>
      <c r="T103" s="200"/>
      <c r="U103" s="200"/>
      <c r="V103" s="200"/>
      <c r="W103" s="200"/>
      <c r="X103" s="200"/>
      <c r="Y103" s="394"/>
      <c r="Z103" s="208"/>
      <c r="AA103" s="208"/>
      <c r="AB103" s="113">
        <f t="shared" ref="AB103:AC103" si="82">AB9+AB91+AB97</f>
        <v>9177.7777777777792</v>
      </c>
      <c r="AC103" s="113">
        <f t="shared" si="82"/>
        <v>9712.2195751820309</v>
      </c>
      <c r="AD103" s="113">
        <f t="shared" ref="AD103:AL103" si="83">AD9+AD91+AD97</f>
        <v>9803.8450868910368</v>
      </c>
      <c r="AE103" s="113">
        <f t="shared" si="83"/>
        <v>9890.4954324823429</v>
      </c>
      <c r="AF103" s="113">
        <f t="shared" si="83"/>
        <v>9930.8947542571696</v>
      </c>
      <c r="AG103" s="113">
        <f t="shared" si="83"/>
        <v>9998.8884091393393</v>
      </c>
      <c r="AH103" s="113">
        <f t="shared" si="83"/>
        <v>10093.976561501566</v>
      </c>
      <c r="AI103" s="113">
        <f t="shared" si="83"/>
        <v>10190.024136558603</v>
      </c>
      <c r="AJ103" s="113">
        <f t="shared" si="83"/>
        <v>10287.02457821206</v>
      </c>
      <c r="AK103" s="113">
        <f t="shared" si="83"/>
        <v>10384.988661539606</v>
      </c>
      <c r="AL103" s="113">
        <f t="shared" si="83"/>
        <v>10483.927266418996</v>
      </c>
      <c r="AM103" s="198"/>
      <c r="AN103" s="198"/>
      <c r="AO103" s="198"/>
      <c r="AP103" s="198"/>
      <c r="AQ103" s="198"/>
      <c r="AR103" s="198"/>
      <c r="AS103" s="198"/>
      <c r="AT103" s="198"/>
      <c r="AU103" s="198"/>
      <c r="AV103" s="198"/>
      <c r="AW103" s="198"/>
      <c r="AX103" s="198"/>
      <c r="AY103" s="198"/>
      <c r="AZ103" s="198"/>
      <c r="BA103" s="198"/>
      <c r="BB103" s="198"/>
      <c r="BC103" s="198"/>
      <c r="BD103" s="198"/>
      <c r="BE103" s="198"/>
      <c r="BF103" s="198"/>
    </row>
    <row r="104" spans="1:58" outlineLevel="1" x14ac:dyDescent="0.3">
      <c r="A104" s="198"/>
      <c r="B104" s="198" t="s">
        <v>894</v>
      </c>
      <c r="C104" s="198"/>
      <c r="D104" s="198"/>
      <c r="E104" s="198"/>
      <c r="F104" s="198"/>
      <c r="G104" s="198"/>
      <c r="H104" s="198"/>
      <c r="I104" s="198"/>
      <c r="J104" s="198"/>
      <c r="K104" s="198"/>
      <c r="L104" s="1304"/>
      <c r="M104" s="201" t="s">
        <v>895</v>
      </c>
      <c r="N104" s="207" t="s">
        <v>77</v>
      </c>
      <c r="O104" s="200"/>
      <c r="P104" s="200"/>
      <c r="Q104" s="200"/>
      <c r="R104" s="200"/>
      <c r="S104" s="200"/>
      <c r="T104" s="200"/>
      <c r="U104" s="200"/>
      <c r="V104" s="200"/>
      <c r="W104" s="200"/>
      <c r="X104" s="200"/>
      <c r="Y104" s="394"/>
      <c r="Z104" s="208"/>
      <c r="AA104" s="208"/>
      <c r="AB104" s="113">
        <f t="shared" ref="AB104:AC104" si="84">AB10+AB92+AB98</f>
        <v>1272.7777777777778</v>
      </c>
      <c r="AC104" s="113">
        <f t="shared" si="84"/>
        <v>990.64514183333335</v>
      </c>
      <c r="AD104" s="113">
        <f t="shared" ref="AD104:AL104" si="85">AD10+AD92+AD98</f>
        <v>990.2699169263509</v>
      </c>
      <c r="AE104" s="113">
        <f t="shared" si="85"/>
        <v>989.70961873487397</v>
      </c>
      <c r="AF104" s="113">
        <f t="shared" si="85"/>
        <v>983.99775628743453</v>
      </c>
      <c r="AG104" s="113">
        <f t="shared" si="85"/>
        <v>980.91529278718508</v>
      </c>
      <c r="AH104" s="113">
        <f t="shared" si="85"/>
        <v>980.42508040545374</v>
      </c>
      <c r="AI104" s="113">
        <f t="shared" si="85"/>
        <v>979.94054174845212</v>
      </c>
      <c r="AJ104" s="113">
        <f t="shared" si="85"/>
        <v>979.46007709494654</v>
      </c>
      <c r="AK104" s="113">
        <f t="shared" si="85"/>
        <v>978.98377059494373</v>
      </c>
      <c r="AL104" s="113">
        <f t="shared" si="85"/>
        <v>978.51170289611764</v>
      </c>
      <c r="AM104" s="198"/>
      <c r="AN104" s="198"/>
      <c r="AO104" s="198"/>
      <c r="AP104" s="198"/>
      <c r="AQ104" s="198"/>
      <c r="AR104" s="198"/>
      <c r="AS104" s="198"/>
      <c r="AT104" s="198"/>
      <c r="AU104" s="198"/>
      <c r="AV104" s="198"/>
      <c r="AW104" s="198"/>
      <c r="AX104" s="198"/>
      <c r="AY104" s="198"/>
      <c r="AZ104" s="198"/>
      <c r="BA104" s="198"/>
      <c r="BB104" s="198"/>
      <c r="BC104" s="198"/>
      <c r="BD104" s="198"/>
      <c r="BE104" s="198"/>
      <c r="BF104" s="198"/>
    </row>
    <row r="105" spans="1:58" outlineLevel="1" x14ac:dyDescent="0.3">
      <c r="A105" s="198"/>
      <c r="B105" s="198"/>
      <c r="C105" s="198"/>
      <c r="D105" s="198"/>
      <c r="E105" s="198"/>
      <c r="F105" s="198"/>
      <c r="G105" s="198"/>
      <c r="H105" s="198"/>
      <c r="I105" s="198"/>
      <c r="J105" s="198"/>
      <c r="K105" s="198"/>
      <c r="L105" s="1304"/>
      <c r="M105" s="202"/>
      <c r="N105" s="199"/>
      <c r="O105" s="200"/>
      <c r="P105" s="200"/>
      <c r="Q105" s="200"/>
      <c r="R105" s="200"/>
      <c r="S105" s="200"/>
      <c r="T105" s="200"/>
      <c r="U105" s="200"/>
      <c r="V105" s="200"/>
      <c r="W105" s="200"/>
      <c r="X105" s="200"/>
      <c r="Y105" s="394"/>
      <c r="Z105" s="208"/>
      <c r="AA105" s="208"/>
      <c r="AB105" s="198"/>
      <c r="AC105" s="198"/>
      <c r="AD105" s="198"/>
      <c r="AE105" s="198"/>
      <c r="AF105" s="198"/>
      <c r="AG105" s="198"/>
      <c r="AH105" s="198"/>
      <c r="AI105" s="198"/>
      <c r="AJ105" s="198"/>
      <c r="AK105" s="198"/>
      <c r="AL105" s="198"/>
      <c r="AM105" s="198"/>
      <c r="AN105" s="198"/>
      <c r="AO105" s="198"/>
      <c r="AP105" s="198"/>
      <c r="AQ105" s="198"/>
      <c r="AR105" s="198"/>
      <c r="AS105" s="198"/>
      <c r="AT105" s="198"/>
      <c r="AU105" s="198"/>
      <c r="AV105" s="198"/>
      <c r="AW105" s="198"/>
      <c r="AX105" s="198"/>
      <c r="AY105" s="198"/>
      <c r="AZ105" s="198"/>
      <c r="BA105" s="198"/>
      <c r="BB105" s="198"/>
      <c r="BC105" s="198"/>
      <c r="BD105" s="198"/>
      <c r="BE105" s="198"/>
      <c r="BF105" s="198"/>
    </row>
    <row r="106" spans="1:58" outlineLevel="1" x14ac:dyDescent="0.3">
      <c r="A106" s="198"/>
      <c r="B106" s="198"/>
      <c r="C106" s="198"/>
      <c r="D106" s="198"/>
      <c r="E106" s="198"/>
      <c r="F106" s="198"/>
      <c r="G106" s="198"/>
      <c r="H106" s="198"/>
      <c r="I106" s="198"/>
      <c r="J106" s="198"/>
      <c r="K106" s="198"/>
      <c r="L106" s="1304"/>
      <c r="M106" s="77" t="s">
        <v>914</v>
      </c>
      <c r="N106" s="207" t="s">
        <v>77</v>
      </c>
      <c r="O106" s="200"/>
      <c r="P106" s="200"/>
      <c r="Q106" s="200"/>
      <c r="R106" s="200"/>
      <c r="S106" s="200"/>
      <c r="T106" s="200"/>
      <c r="U106" s="200"/>
      <c r="V106" s="200"/>
      <c r="W106" s="200"/>
      <c r="X106" s="200"/>
      <c r="Y106" s="394"/>
      <c r="Z106" s="208"/>
      <c r="AA106" s="208"/>
      <c r="AB106" s="404">
        <f>AB100+AB101+AB102+AB103+AB104</f>
        <v>31150.220000000005</v>
      </c>
      <c r="AC106" s="404">
        <f>AC100+AC101+AC102+AC103+AC104</f>
        <v>30939.77580435808</v>
      </c>
      <c r="AD106" s="404">
        <f>AD100+AD101+AD102+AD103+AD104</f>
        <v>31549.912013078079</v>
      </c>
      <c r="AE106" s="404">
        <f t="shared" ref="AE106:AL106" si="86">AE100+AE101+AE102+AE103+AE104</f>
        <v>31740.753937903348</v>
      </c>
      <c r="AF106" s="404">
        <f t="shared" si="86"/>
        <v>31792.892480231701</v>
      </c>
      <c r="AG106" s="404">
        <f t="shared" si="86"/>
        <v>31883.996694754205</v>
      </c>
      <c r="AH106" s="404">
        <f t="shared" si="86"/>
        <v>32063.263086458261</v>
      </c>
      <c r="AI106" s="404">
        <f t="shared" si="86"/>
        <v>32258.981379072153</v>
      </c>
      <c r="AJ106" s="404">
        <f t="shared" si="86"/>
        <v>32501.22453196931</v>
      </c>
      <c r="AK106" s="404">
        <f t="shared" si="86"/>
        <v>32747.465245889292</v>
      </c>
      <c r="AL106" s="404">
        <f t="shared" si="86"/>
        <v>32997.758320215624</v>
      </c>
      <c r="AM106" s="198"/>
      <c r="AN106" s="198"/>
      <c r="AO106" s="198"/>
      <c r="AP106" s="198"/>
      <c r="AQ106" s="198"/>
      <c r="AR106" s="198"/>
      <c r="AS106" s="198"/>
      <c r="AT106" s="198"/>
      <c r="AU106" s="198"/>
      <c r="AV106" s="198"/>
      <c r="AW106" s="198"/>
      <c r="AX106" s="198"/>
      <c r="AY106" s="198"/>
      <c r="AZ106" s="198"/>
      <c r="BA106" s="198"/>
      <c r="BB106" s="198"/>
      <c r="BC106" s="198"/>
      <c r="BD106" s="198"/>
      <c r="BE106" s="198"/>
      <c r="BF106" s="198"/>
    </row>
    <row r="107" spans="1:58" ht="14.25" thickBot="1" x14ac:dyDescent="0.35">
      <c r="A107" s="198"/>
      <c r="B107" s="198"/>
      <c r="C107" s="198"/>
      <c r="D107" s="198"/>
      <c r="E107" s="198"/>
      <c r="F107" s="198"/>
      <c r="G107" s="198"/>
      <c r="H107" s="198"/>
      <c r="I107" s="198"/>
      <c r="J107" s="198"/>
      <c r="K107" s="198"/>
      <c r="L107" s="1304"/>
      <c r="M107" s="72" t="s">
        <v>915</v>
      </c>
      <c r="N107" s="207" t="s">
        <v>68</v>
      </c>
      <c r="O107" s="200"/>
      <c r="P107" s="200"/>
      <c r="Q107" s="200"/>
      <c r="R107" s="200"/>
      <c r="S107" s="200"/>
      <c r="T107" s="200"/>
      <c r="U107" s="200"/>
      <c r="V107" s="200"/>
      <c r="W107" s="200"/>
      <c r="X107" s="200"/>
      <c r="Y107" s="394"/>
      <c r="Z107" s="208"/>
      <c r="AA107" s="208"/>
      <c r="AB107" s="405">
        <f>-(AB106-AB$11)/AB$11</f>
        <v>0</v>
      </c>
      <c r="AC107" s="405">
        <f>-(AC106-AC$11)/AC$11</f>
        <v>2.947326249992656E-3</v>
      </c>
      <c r="AD107" s="405">
        <f>-(AD106-AD$11)/AD$11</f>
        <v>1.2148997818662547E-3</v>
      </c>
      <c r="AE107" s="405">
        <f>-((AD$11-AD106)-(AE$11-AE106))/AE$11</f>
        <v>9.0605821142066955E-4</v>
      </c>
      <c r="AF107" s="405">
        <f t="shared" ref="AF107" si="87">-((AE$11-AE106)-(AF$11-AF106))/AF$11</f>
        <v>5.810109226686011E-3</v>
      </c>
      <c r="AG107" s="405">
        <f t="shared" ref="AG107" si="88">-((AF$11-AF106)-(AG$11-AG106))/AG$11</f>
        <v>4.7005525303616055E-3</v>
      </c>
      <c r="AH107" s="405">
        <f t="shared" ref="AH107" si="89">-((AG$11-AG106)-(AH$11-AH106))/AH$11</f>
        <v>2.0968694907554154E-3</v>
      </c>
      <c r="AI107" s="405">
        <f t="shared" ref="AI107" si="90">-((AH$11-AH106)-(AI$11-AI106))/AI$11</f>
        <v>1.8698158784367048E-3</v>
      </c>
      <c r="AJ107" s="405">
        <f t="shared" ref="AJ107" si="91">-((AI$11-AI106)-(AJ$11-AJ106))/AJ$11</f>
        <v>5.7176197869410097E-4</v>
      </c>
      <c r="AK107" s="405">
        <f t="shared" ref="AK107" si="92">-((AJ$11-AJ106)-(AK$11-AK106))/AK$11</f>
        <v>5.721075836055508E-4</v>
      </c>
      <c r="AL107" s="405">
        <f t="shared" ref="AL107" si="93">-((AK$11-AK106)-(AL$11-AL106))/AL$11</f>
        <v>5.7239419582160627E-4</v>
      </c>
      <c r="AM107" s="198"/>
      <c r="AN107" s="198"/>
      <c r="AO107" s="198"/>
      <c r="AP107" s="198"/>
      <c r="AQ107" s="198"/>
      <c r="AR107" s="198"/>
      <c r="AS107" s="198"/>
      <c r="AT107" s="198"/>
      <c r="AU107" s="198"/>
      <c r="AV107" s="198"/>
      <c r="AW107" s="198"/>
      <c r="AX107" s="198"/>
      <c r="AY107" s="198"/>
      <c r="AZ107" s="198"/>
      <c r="BA107" s="198"/>
      <c r="BB107" s="198"/>
      <c r="BC107" s="198"/>
      <c r="BD107" s="198"/>
      <c r="BE107" s="198"/>
      <c r="BF107" s="198"/>
    </row>
    <row r="108" spans="1:58" ht="14.25" thickBot="1" x14ac:dyDescent="0.35">
      <c r="A108" s="198"/>
      <c r="B108" s="198"/>
      <c r="C108" s="198"/>
      <c r="D108" s="198"/>
      <c r="E108" s="198"/>
      <c r="F108" s="198"/>
      <c r="G108" s="198"/>
      <c r="H108" s="198"/>
      <c r="I108" s="198"/>
      <c r="J108" s="198"/>
      <c r="K108" s="198"/>
      <c r="L108" s="1304"/>
      <c r="M108" s="72" t="s">
        <v>916</v>
      </c>
      <c r="N108" s="207" t="s">
        <v>68</v>
      </c>
      <c r="O108" s="200"/>
      <c r="P108" s="200"/>
      <c r="Q108" s="200"/>
      <c r="R108" s="200"/>
      <c r="S108" s="200"/>
      <c r="T108" s="200"/>
      <c r="U108" s="200"/>
      <c r="V108" s="200"/>
      <c r="W108" s="200"/>
      <c r="X108" s="200"/>
      <c r="Y108" s="394"/>
      <c r="Z108" s="208"/>
      <c r="AA108" s="208"/>
      <c r="AB108" s="200"/>
      <c r="AC108" s="200"/>
      <c r="AD108" s="518"/>
      <c r="AE108" s="518"/>
      <c r="AF108" s="1311">
        <f>((AL$11-AL106)-(AF$11-AF106))/AL$11/7</f>
        <v>1.4396817674703426E-3</v>
      </c>
      <c r="AG108" s="1312"/>
      <c r="AH108" s="1312"/>
      <c r="AI108" s="1312"/>
      <c r="AJ108" s="1312"/>
      <c r="AK108" s="1312"/>
      <c r="AL108" s="1313"/>
      <c r="AM108" s="198"/>
      <c r="AN108" s="198"/>
      <c r="AO108" s="198"/>
      <c r="AP108" s="198"/>
      <c r="AQ108" s="198"/>
      <c r="AR108" s="198"/>
      <c r="AS108" s="198"/>
      <c r="AT108" s="198"/>
      <c r="AU108" s="198"/>
      <c r="AV108" s="198"/>
      <c r="AW108" s="198"/>
      <c r="AX108" s="198"/>
      <c r="AY108" s="198"/>
      <c r="AZ108" s="198"/>
      <c r="BA108" s="198"/>
      <c r="BB108" s="198"/>
      <c r="BC108" s="198"/>
      <c r="BD108" s="198"/>
      <c r="BE108" s="198"/>
      <c r="BF108" s="198"/>
    </row>
    <row r="109" spans="1:58" x14ac:dyDescent="0.3">
      <c r="A109" s="198"/>
      <c r="B109" s="198"/>
      <c r="C109" s="198"/>
      <c r="D109" s="198"/>
      <c r="E109" s="198"/>
      <c r="F109" s="198"/>
      <c r="G109" s="198"/>
      <c r="H109" s="198"/>
      <c r="I109" s="198"/>
      <c r="J109" s="198"/>
      <c r="K109" s="198"/>
      <c r="L109" s="1304"/>
      <c r="M109" s="202"/>
      <c r="N109" s="199"/>
      <c r="O109" s="200"/>
      <c r="P109" s="200"/>
      <c r="Q109" s="200"/>
      <c r="R109" s="200"/>
      <c r="S109" s="200"/>
      <c r="T109" s="200"/>
      <c r="U109" s="200"/>
      <c r="V109" s="200"/>
      <c r="W109" s="200"/>
      <c r="X109" s="200"/>
      <c r="Y109" s="394"/>
      <c r="Z109" s="208"/>
      <c r="AA109" s="208"/>
      <c r="AB109" s="200"/>
      <c r="AC109" s="200"/>
      <c r="AD109" s="198"/>
      <c r="AE109" s="198"/>
      <c r="AF109" s="198"/>
      <c r="AG109" s="198"/>
      <c r="AH109" s="198"/>
      <c r="AI109" s="198"/>
      <c r="AJ109" s="198"/>
      <c r="AK109" s="198"/>
      <c r="AL109" s="198"/>
      <c r="AM109" s="198"/>
      <c r="AN109" s="198"/>
      <c r="AO109" s="198"/>
      <c r="AP109" s="198"/>
      <c r="AQ109" s="198"/>
      <c r="AR109" s="198"/>
      <c r="AS109" s="198"/>
      <c r="AT109" s="198"/>
      <c r="AU109" s="198"/>
      <c r="AV109" s="198"/>
      <c r="AW109" s="198"/>
      <c r="AX109" s="198"/>
      <c r="AY109" s="198"/>
      <c r="AZ109" s="198"/>
      <c r="BA109" s="198"/>
      <c r="BB109" s="198"/>
      <c r="BC109" s="198"/>
      <c r="BD109" s="198"/>
      <c r="BE109" s="198"/>
      <c r="BF109" s="198"/>
    </row>
    <row r="110" spans="1:58" ht="12" customHeight="1" x14ac:dyDescent="0.3">
      <c r="A110" s="198"/>
      <c r="B110" s="198"/>
      <c r="C110" s="198"/>
      <c r="D110" s="198"/>
      <c r="E110" s="198"/>
      <c r="F110" s="198"/>
      <c r="G110" s="198"/>
      <c r="H110" s="198"/>
      <c r="I110" s="198"/>
      <c r="J110" s="198"/>
      <c r="K110" s="198"/>
      <c r="L110" s="1309" t="str">
        <f>'EE Measures'!IG6</f>
        <v>EEO</v>
      </c>
      <c r="M110" s="1310" t="str">
        <f>L110</f>
        <v>EEO</v>
      </c>
      <c r="N110" s="1310"/>
      <c r="O110" s="1310"/>
      <c r="P110" s="1310"/>
      <c r="Q110" s="1310"/>
      <c r="R110" s="1310"/>
      <c r="S110" s="1310"/>
      <c r="T110" s="1310"/>
      <c r="U110" s="1310"/>
      <c r="V110" s="1310"/>
      <c r="W110" s="1310"/>
      <c r="X110" s="1310"/>
      <c r="Y110" s="394"/>
      <c r="Z110" s="535"/>
      <c r="AA110" s="535"/>
      <c r="AB110" s="1310"/>
      <c r="AC110" s="1310"/>
      <c r="AD110" s="536"/>
      <c r="AE110" s="536"/>
      <c r="AF110" s="536"/>
      <c r="AG110" s="536"/>
      <c r="AH110" s="536"/>
      <c r="AI110" s="536"/>
      <c r="AJ110" s="536"/>
      <c r="AK110" s="536"/>
      <c r="AL110" s="536"/>
      <c r="AM110" s="198"/>
      <c r="AN110" s="198"/>
      <c r="AO110" s="198"/>
      <c r="AP110" s="198"/>
      <c r="AQ110" s="198"/>
      <c r="AR110" s="198"/>
      <c r="AS110" s="198"/>
      <c r="AT110" s="198"/>
      <c r="AU110" s="198"/>
      <c r="AV110" s="198"/>
      <c r="AW110" s="198"/>
      <c r="AX110" s="198"/>
      <c r="AY110" s="198"/>
      <c r="AZ110" s="198"/>
      <c r="BA110" s="198"/>
      <c r="BB110" s="198"/>
      <c r="BC110" s="198"/>
      <c r="BD110" s="198"/>
      <c r="BE110" s="198"/>
      <c r="BF110" s="198"/>
    </row>
    <row r="111" spans="1:58" outlineLevel="1" x14ac:dyDescent="0.3">
      <c r="A111" s="198"/>
      <c r="B111" s="198"/>
      <c r="C111" s="198"/>
      <c r="D111" s="198"/>
      <c r="E111" s="198"/>
      <c r="F111" s="198"/>
      <c r="G111" s="198"/>
      <c r="H111" s="198"/>
      <c r="I111" s="198"/>
      <c r="J111" s="198"/>
      <c r="K111" s="198"/>
      <c r="L111" s="1309"/>
      <c r="M111" s="201" t="s">
        <v>901</v>
      </c>
      <c r="N111" s="207" t="s">
        <v>77</v>
      </c>
      <c r="O111" s="200"/>
      <c r="P111" s="200"/>
      <c r="Q111" s="200"/>
      <c r="R111" s="200"/>
      <c r="S111" s="200"/>
      <c r="T111" s="200"/>
      <c r="U111" s="200"/>
      <c r="V111" s="200"/>
      <c r="W111" s="200"/>
      <c r="X111" s="200"/>
      <c r="Y111" s="394"/>
      <c r="Z111" s="208"/>
      <c r="AA111" s="208"/>
      <c r="AB111" s="533"/>
      <c r="AC111" s="533">
        <f>SUMPRODUCT($F$621:$F$622,AC$621:AC$622)+SUMPRODUCT($F$627:$F$632,AC$627:AC$632)</f>
        <v>-71.459249999999997</v>
      </c>
      <c r="AD111" s="533">
        <f t="shared" ref="AD111:AL111" si="94">SUMPRODUCT($F$621:$F$622,AD$621:AD$622)+SUMPRODUCT($F$627:$F$632,AD$627:AD$632)</f>
        <v>-3.2802999999999969</v>
      </c>
      <c r="AE111" s="533">
        <f t="shared" si="94"/>
        <v>-3.2802999999999969</v>
      </c>
      <c r="AF111" s="533">
        <f t="shared" si="94"/>
        <v>-37.703497806766862</v>
      </c>
      <c r="AG111" s="533">
        <f t="shared" si="94"/>
        <v>-154.19935318826964</v>
      </c>
      <c r="AH111" s="533">
        <f t="shared" si="94"/>
        <v>-247.45955005020483</v>
      </c>
      <c r="AI111" s="533">
        <f t="shared" si="94"/>
        <v>-316.21780647325198</v>
      </c>
      <c r="AJ111" s="533">
        <f t="shared" si="94"/>
        <v>-342.56176559867572</v>
      </c>
      <c r="AK111" s="533">
        <f t="shared" si="94"/>
        <v>-368.90572472409946</v>
      </c>
      <c r="AL111" s="533">
        <f t="shared" si="94"/>
        <v>-395.24968384952314</v>
      </c>
      <c r="AM111" s="532">
        <f>SUM(AD111:AL111)</f>
        <v>-1868.8579816907916</v>
      </c>
      <c r="AN111" s="198"/>
      <c r="AO111" s="198"/>
      <c r="AP111" s="198"/>
      <c r="AQ111" s="198"/>
      <c r="AR111" s="198"/>
      <c r="AS111" s="198"/>
      <c r="AT111" s="198"/>
      <c r="AU111" s="198"/>
      <c r="AV111" s="198"/>
      <c r="AW111" s="198"/>
      <c r="AX111" s="198"/>
      <c r="AY111" s="198"/>
      <c r="AZ111" s="198"/>
      <c r="BA111" s="198"/>
      <c r="BB111" s="198"/>
      <c r="BC111" s="198"/>
      <c r="BD111" s="198"/>
      <c r="BE111" s="198"/>
      <c r="BF111" s="198"/>
    </row>
    <row r="112" spans="1:58" outlineLevel="1" x14ac:dyDescent="0.3">
      <c r="A112" s="198"/>
      <c r="B112" s="198"/>
      <c r="C112" s="198"/>
      <c r="D112" s="198"/>
      <c r="E112" s="198"/>
      <c r="F112" s="198"/>
      <c r="G112" s="198"/>
      <c r="H112" s="198"/>
      <c r="I112" s="198"/>
      <c r="J112" s="198"/>
      <c r="K112" s="198"/>
      <c r="L112" s="1309"/>
      <c r="M112" s="201" t="s">
        <v>902</v>
      </c>
      <c r="N112" s="207" t="s">
        <v>77</v>
      </c>
      <c r="O112" s="200"/>
      <c r="P112" s="200"/>
      <c r="Q112" s="200"/>
      <c r="R112" s="200"/>
      <c r="S112" s="200"/>
      <c r="T112" s="200"/>
      <c r="U112" s="200"/>
      <c r="V112" s="200"/>
      <c r="W112" s="200"/>
      <c r="X112" s="200"/>
      <c r="Y112" s="394"/>
      <c r="Z112" s="208"/>
      <c r="AA112" s="208"/>
      <c r="AB112" s="532"/>
      <c r="AC112" s="532">
        <f>SUMPRODUCT($F$699:$F$702,AC$699:AC$702)+SUMPRODUCT($F$707:$F$714,AC$707:AC$714)</f>
        <v>-2.9497749683944372</v>
      </c>
      <c r="AD112" s="532">
        <f t="shared" ref="AD112:AL112" si="95">SUMPRODUCT($F$699:$F$702,AD$699:AD$702)+SUMPRODUCT($F$707:$F$714,AD$707:AD$714)</f>
        <v>-3.5922486490719709</v>
      </c>
      <c r="AE112" s="532">
        <f t="shared" si="95"/>
        <v>-7.9201255416805818</v>
      </c>
      <c r="AF112" s="532">
        <f t="shared" si="95"/>
        <v>-8.0871255416805816</v>
      </c>
      <c r="AG112" s="532">
        <f t="shared" si="95"/>
        <v>-180.56662554168059</v>
      </c>
      <c r="AH112" s="532">
        <f t="shared" si="95"/>
        <v>-352.88926279658256</v>
      </c>
      <c r="AI112" s="532">
        <f t="shared" si="95"/>
        <v>-525.05811304648648</v>
      </c>
      <c r="AJ112" s="532">
        <f t="shared" si="95"/>
        <v>-696.90919172286283</v>
      </c>
      <c r="AK112" s="532">
        <f t="shared" si="95"/>
        <v>-868.61245513107485</v>
      </c>
      <c r="AL112" s="532">
        <f t="shared" si="95"/>
        <v>-1040.1708016097141</v>
      </c>
      <c r="AM112" s="532">
        <f t="shared" ref="AM112:AM115" si="96">SUM(AD112:AL112)</f>
        <v>-3683.8059495808347</v>
      </c>
      <c r="AN112" s="198"/>
      <c r="AO112" s="198"/>
      <c r="AP112" s="198"/>
      <c r="AQ112" s="198"/>
      <c r="AR112" s="198"/>
      <c r="AS112" s="198"/>
      <c r="AT112" s="198"/>
      <c r="AU112" s="198"/>
      <c r="AV112" s="198"/>
      <c r="AW112" s="198"/>
      <c r="AX112" s="198"/>
      <c r="AY112" s="198"/>
      <c r="AZ112" s="198"/>
      <c r="BA112" s="198"/>
      <c r="BB112" s="198"/>
      <c r="BC112" s="198"/>
      <c r="BD112" s="198"/>
      <c r="BE112" s="198"/>
      <c r="BF112" s="198"/>
    </row>
    <row r="113" spans="1:58" outlineLevel="1" x14ac:dyDescent="0.3">
      <c r="A113" s="198"/>
      <c r="B113" s="198"/>
      <c r="C113" s="198"/>
      <c r="D113" s="198"/>
      <c r="E113" s="198"/>
      <c r="F113" s="198"/>
      <c r="G113" s="198"/>
      <c r="H113" s="198"/>
      <c r="I113" s="198"/>
      <c r="J113" s="198"/>
      <c r="K113" s="198"/>
      <c r="L113" s="1309"/>
      <c r="M113" s="201" t="s">
        <v>903</v>
      </c>
      <c r="N113" s="207" t="s">
        <v>77</v>
      </c>
      <c r="O113" s="200"/>
      <c r="P113" s="200"/>
      <c r="Q113" s="200"/>
      <c r="R113" s="200"/>
      <c r="S113" s="200"/>
      <c r="T113" s="200"/>
      <c r="U113" s="200"/>
      <c r="V113" s="200"/>
      <c r="W113" s="200"/>
      <c r="X113" s="200"/>
      <c r="Y113" s="394"/>
      <c r="Z113" s="208"/>
      <c r="AA113" s="208"/>
      <c r="AB113" s="533"/>
      <c r="AC113" s="533">
        <f>SUMPRODUCT($F$919:$F$925,AC$919:AC$925)+SUMPRODUCT($F$931:$F$938,AC$931:AC$938)</f>
        <v>-8.2481988000000008</v>
      </c>
      <c r="AD113" s="533">
        <f>SUMPRODUCT($F$919:$F$925,AD$919:AD$925)+SUMPRODUCT($F$931:$F$938,AD$931:AD$938)</f>
        <v>-4.9282862999999999</v>
      </c>
      <c r="AE113" s="533">
        <f t="shared" ref="AE113:AL113" si="97">SUMPRODUCT($F$919:$F$925,AE$919:AE$925)+SUMPRODUCT($F$931:$F$938,AE$931:AE$938)</f>
        <v>-5.4417418</v>
      </c>
      <c r="AF113" s="533">
        <f t="shared" si="97"/>
        <v>-5.5447698000000001</v>
      </c>
      <c r="AG113" s="533">
        <f t="shared" si="97"/>
        <v>-116.24476979999999</v>
      </c>
      <c r="AH113" s="533">
        <f t="shared" si="97"/>
        <v>-226.43653450588235</v>
      </c>
      <c r="AI113" s="533">
        <f t="shared" si="97"/>
        <v>-336.13002931557094</v>
      </c>
      <c r="AJ113" s="533">
        <f t="shared" si="97"/>
        <v>-445.33502422703026</v>
      </c>
      <c r="AK113" s="533">
        <f t="shared" si="97"/>
        <v>-554.06109766963755</v>
      </c>
      <c r="AL113" s="533">
        <f t="shared" si="97"/>
        <v>-662.31764026042913</v>
      </c>
      <c r="AM113" s="532">
        <f t="shared" si="96"/>
        <v>-2356.4398936785501</v>
      </c>
      <c r="AN113" s="198"/>
      <c r="AO113" s="198"/>
      <c r="AP113" s="198"/>
      <c r="AQ113" s="198"/>
      <c r="AR113" s="198"/>
      <c r="AS113" s="198"/>
      <c r="AT113" s="198"/>
      <c r="AU113" s="198"/>
      <c r="AV113" s="198"/>
      <c r="AW113" s="198"/>
      <c r="AX113" s="198"/>
      <c r="AY113" s="198"/>
      <c r="AZ113" s="198"/>
      <c r="BA113" s="198"/>
      <c r="BB113" s="198"/>
      <c r="BC113" s="198"/>
      <c r="BD113" s="198"/>
      <c r="BE113" s="198"/>
      <c r="BF113" s="198"/>
    </row>
    <row r="114" spans="1:58" outlineLevel="1" x14ac:dyDescent="0.3">
      <c r="A114" s="198"/>
      <c r="B114" s="198"/>
      <c r="C114" s="198"/>
      <c r="D114" s="198"/>
      <c r="E114" s="198"/>
      <c r="F114" s="198"/>
      <c r="G114" s="198"/>
      <c r="H114" s="198"/>
      <c r="I114" s="198"/>
      <c r="J114" s="198"/>
      <c r="K114" s="198"/>
      <c r="L114" s="1309"/>
      <c r="M114" s="201" t="s">
        <v>904</v>
      </c>
      <c r="N114" s="207" t="s">
        <v>77</v>
      </c>
      <c r="O114" s="200"/>
      <c r="P114" s="200"/>
      <c r="Q114" s="200"/>
      <c r="R114" s="200"/>
      <c r="S114" s="200"/>
      <c r="T114" s="200"/>
      <c r="U114" s="200"/>
      <c r="V114" s="200"/>
      <c r="W114" s="200"/>
      <c r="X114" s="200"/>
      <c r="Y114" s="394"/>
      <c r="Z114" s="208"/>
      <c r="AA114" s="208"/>
      <c r="AB114" s="532"/>
      <c r="AC114" s="532">
        <f>SUMPRODUCT($F$1263:$F$1267,AC$1263:AC$1267)+SUMPRODUCT($F$1272:$F$1289,AC$1272:AC$1289)</f>
        <v>-27.289255271963924</v>
      </c>
      <c r="AD114" s="532">
        <f t="shared" ref="AD114:AL114" si="98">SUMPRODUCT($F$1263:$F$1267,AD$1263:AD$1267)+SUMPRODUCT($F$1272:$F$1289,AD$1272:AD$1289)</f>
        <v>-13.995063731449235</v>
      </c>
      <c r="AE114" s="532">
        <f t="shared" si="98"/>
        <v>-25.351341737910296</v>
      </c>
      <c r="AF114" s="532">
        <f t="shared" si="98"/>
        <v>-31.03248695193804</v>
      </c>
      <c r="AG114" s="532">
        <f t="shared" si="98"/>
        <v>-110.31379161129327</v>
      </c>
      <c r="AH114" s="532">
        <f t="shared" si="98"/>
        <v>-151.59492860869386</v>
      </c>
      <c r="AI114" s="532">
        <f t="shared" si="98"/>
        <v>-330.49018978839598</v>
      </c>
      <c r="AJ114" s="532">
        <f t="shared" si="98"/>
        <v>-370.86572632991118</v>
      </c>
      <c r="AK114" s="532">
        <f t="shared" si="98"/>
        <v>-411.37384869973215</v>
      </c>
      <c r="AL114" s="532">
        <f t="shared" si="98"/>
        <v>-451.05391157301585</v>
      </c>
      <c r="AM114" s="532">
        <f t="shared" si="96"/>
        <v>-1896.0712890323398</v>
      </c>
      <c r="AN114" s="198"/>
      <c r="AO114" s="198"/>
      <c r="AP114" s="198"/>
      <c r="AQ114" s="198"/>
      <c r="AR114" s="198"/>
      <c r="AS114" s="198"/>
      <c r="AT114" s="198"/>
      <c r="AU114" s="198"/>
      <c r="AV114" s="198"/>
      <c r="AW114" s="198"/>
      <c r="AX114" s="198"/>
      <c r="AY114" s="198"/>
      <c r="AZ114" s="198"/>
      <c r="BA114" s="198"/>
      <c r="BB114" s="198"/>
      <c r="BC114" s="198"/>
      <c r="BD114" s="198"/>
      <c r="BE114" s="198"/>
      <c r="BF114" s="198"/>
    </row>
    <row r="115" spans="1:58" outlineLevel="1" x14ac:dyDescent="0.3">
      <c r="A115" s="198"/>
      <c r="B115" s="198"/>
      <c r="C115" s="198"/>
      <c r="D115" s="198"/>
      <c r="E115" s="198"/>
      <c r="F115" s="198"/>
      <c r="G115" s="198"/>
      <c r="H115" s="198"/>
      <c r="I115" s="198"/>
      <c r="J115" s="198"/>
      <c r="K115" s="198"/>
      <c r="L115" s="1309"/>
      <c r="M115" s="201" t="s">
        <v>905</v>
      </c>
      <c r="N115" s="207" t="s">
        <v>77</v>
      </c>
      <c r="O115" s="200"/>
      <c r="P115" s="200"/>
      <c r="Q115" s="200"/>
      <c r="R115" s="200"/>
      <c r="S115" s="200"/>
      <c r="T115" s="200"/>
      <c r="U115" s="200"/>
      <c r="V115" s="200"/>
      <c r="W115" s="200"/>
      <c r="X115" s="200"/>
      <c r="Y115" s="394"/>
      <c r="Z115" s="208"/>
      <c r="AA115" s="208"/>
      <c r="AB115" s="533"/>
      <c r="AC115" s="533">
        <f>SUMPRODUCT($F$1312:$F$1313,AC$1312:AC$1313)+SUMPRODUCT($F$1318:$F$1319,AC$1318:AC$1319)</f>
        <v>-0.18819149999999973</v>
      </c>
      <c r="AD115" s="533">
        <f t="shared" ref="AD115:AL115" si="99">SUMPRODUCT($F$1312:$F$1313,AD$1312:AD$1313)+SUMPRODUCT($F$1318:$F$1319,AD$1318:AD$1319)</f>
        <v>0</v>
      </c>
      <c r="AE115" s="533">
        <f t="shared" si="99"/>
        <v>0</v>
      </c>
      <c r="AF115" s="533">
        <f t="shared" si="99"/>
        <v>0</v>
      </c>
      <c r="AG115" s="533">
        <f t="shared" si="99"/>
        <v>0</v>
      </c>
      <c r="AH115" s="533">
        <f t="shared" si="99"/>
        <v>0</v>
      </c>
      <c r="AI115" s="533">
        <f t="shared" si="99"/>
        <v>-6.8000000000000007</v>
      </c>
      <c r="AJ115" s="533">
        <f t="shared" si="99"/>
        <v>-13.600000000000001</v>
      </c>
      <c r="AK115" s="533">
        <f t="shared" si="99"/>
        <v>-20.400000000000002</v>
      </c>
      <c r="AL115" s="533">
        <f t="shared" si="99"/>
        <v>-27.200000000000003</v>
      </c>
      <c r="AM115" s="532">
        <f t="shared" si="96"/>
        <v>-68</v>
      </c>
      <c r="AN115" s="198"/>
      <c r="AO115" s="198"/>
      <c r="AP115" s="198"/>
      <c r="AQ115" s="198"/>
      <c r="AR115" s="198"/>
      <c r="AS115" s="198"/>
      <c r="AT115" s="198"/>
      <c r="AU115" s="198"/>
      <c r="AV115" s="198"/>
      <c r="AW115" s="198"/>
      <c r="AX115" s="198"/>
      <c r="AY115" s="198"/>
      <c r="AZ115" s="198"/>
      <c r="BA115" s="198"/>
      <c r="BB115" s="198"/>
      <c r="BC115" s="198"/>
      <c r="BD115" s="198"/>
      <c r="BE115" s="198"/>
      <c r="BF115" s="198"/>
    </row>
    <row r="116" spans="1:58" outlineLevel="1" x14ac:dyDescent="0.3">
      <c r="A116" s="198"/>
      <c r="B116" s="198"/>
      <c r="C116" s="198"/>
      <c r="D116" s="198"/>
      <c r="E116" s="198"/>
      <c r="F116" s="198"/>
      <c r="G116" s="198"/>
      <c r="H116" s="198"/>
      <c r="I116" s="198"/>
      <c r="J116" s="198"/>
      <c r="K116" s="198"/>
      <c r="L116" s="1309"/>
      <c r="M116" s="202"/>
      <c r="N116" s="199"/>
      <c r="O116" s="200"/>
      <c r="P116" s="200"/>
      <c r="Q116" s="200"/>
      <c r="R116" s="200"/>
      <c r="S116" s="200"/>
      <c r="T116" s="200"/>
      <c r="U116" s="200"/>
      <c r="V116" s="200"/>
      <c r="W116" s="200"/>
      <c r="X116" s="200"/>
      <c r="Y116" s="394"/>
      <c r="Z116" s="208"/>
      <c r="AA116" s="208"/>
      <c r="AB116" s="198"/>
      <c r="AC116" s="198"/>
      <c r="AD116" s="198"/>
      <c r="AE116" s="198"/>
      <c r="AF116" s="198"/>
      <c r="AG116" s="198"/>
      <c r="AH116" s="198"/>
      <c r="AI116" s="198"/>
      <c r="AJ116" s="198"/>
      <c r="AK116" s="198"/>
      <c r="AL116" s="198"/>
      <c r="AM116" s="198"/>
      <c r="AN116" s="198"/>
      <c r="AO116" s="198"/>
      <c r="AP116" s="198"/>
      <c r="AQ116" s="198"/>
      <c r="AR116" s="198"/>
      <c r="AS116" s="198"/>
      <c r="AT116" s="198"/>
      <c r="AU116" s="198"/>
      <c r="AV116" s="198"/>
      <c r="AW116" s="198"/>
      <c r="AX116" s="198"/>
      <c r="AY116" s="198"/>
      <c r="AZ116" s="198"/>
      <c r="BA116" s="198"/>
      <c r="BB116" s="198"/>
      <c r="BC116" s="198"/>
      <c r="BD116" s="198"/>
      <c r="BE116" s="198"/>
      <c r="BF116" s="198"/>
    </row>
    <row r="117" spans="1:58" outlineLevel="1" x14ac:dyDescent="0.3">
      <c r="A117" s="198"/>
      <c r="B117" s="198"/>
      <c r="C117" s="198"/>
      <c r="D117" s="198"/>
      <c r="E117" s="198"/>
      <c r="F117" s="198"/>
      <c r="G117" s="198"/>
      <c r="H117" s="198"/>
      <c r="I117" s="198"/>
      <c r="J117" s="198"/>
      <c r="K117" s="198"/>
      <c r="L117" s="1309"/>
      <c r="M117" s="201" t="s">
        <v>907</v>
      </c>
      <c r="N117" s="207" t="s">
        <v>77</v>
      </c>
      <c r="O117" s="200"/>
      <c r="P117" s="200"/>
      <c r="Q117" s="200"/>
      <c r="R117" s="200"/>
      <c r="S117" s="200"/>
      <c r="T117" s="200"/>
      <c r="U117" s="200"/>
      <c r="V117" s="200"/>
      <c r="W117" s="200"/>
      <c r="X117" s="200"/>
      <c r="Y117" s="394"/>
      <c r="Z117" s="208"/>
      <c r="AA117" s="208"/>
      <c r="AB117" s="406"/>
      <c r="AC117" s="406">
        <f t="shared" ref="AC117:AD121" si="100">((AC$67*$F$67)+SUMPRODUCT($F$28:$F$40,AC$28:AC$40))*AC6/AC$11</f>
        <v>0</v>
      </c>
      <c r="AD117" s="406">
        <f t="shared" si="100"/>
        <v>-2.727677786333802</v>
      </c>
      <c r="AE117" s="406">
        <f t="shared" ref="AE117:AL121" si="101">(SUMPRODUCT(AE$67:AE$67,$F$67:$F$67)+SUMPRODUCT($F$28:$F$40,AE$28:AE$40))*AE6/AE$11</f>
        <v>-5.5055424125658288</v>
      </c>
      <c r="AF117" s="406">
        <f t="shared" si="101"/>
        <v>-33.992672857533051</v>
      </c>
      <c r="AG117" s="406">
        <f t="shared" si="101"/>
        <v>-50.06129197144633</v>
      </c>
      <c r="AH117" s="406">
        <f t="shared" si="101"/>
        <v>-53.323672665530452</v>
      </c>
      <c r="AI117" s="406">
        <f t="shared" si="101"/>
        <v>-56.643157287247774</v>
      </c>
      <c r="AJ117" s="406">
        <f t="shared" si="101"/>
        <v>-60.028725787461767</v>
      </c>
      <c r="AK117" s="406">
        <f t="shared" si="101"/>
        <v>-63.480840444986065</v>
      </c>
      <c r="AL117" s="406">
        <f t="shared" si="101"/>
        <v>-66.999963219906462</v>
      </c>
      <c r="AM117" s="532">
        <f>SUM(AD117:AL117)</f>
        <v>-392.76354443301159</v>
      </c>
      <c r="AN117" s="1257">
        <f>(AM111+AM117)/8</f>
        <v>-282.70269076547538</v>
      </c>
      <c r="AO117" s="198"/>
      <c r="AP117" s="198"/>
      <c r="AQ117" s="198"/>
      <c r="AR117" s="198"/>
      <c r="AS117" s="198"/>
      <c r="AT117" s="198"/>
      <c r="AU117" s="198"/>
      <c r="AV117" s="198"/>
      <c r="AW117" s="198"/>
      <c r="AX117" s="198"/>
      <c r="AY117" s="198"/>
      <c r="AZ117" s="198"/>
      <c r="BA117" s="198"/>
      <c r="BB117" s="198"/>
      <c r="BC117" s="198"/>
      <c r="BD117" s="198"/>
      <c r="BE117" s="198"/>
      <c r="BF117" s="198"/>
    </row>
    <row r="118" spans="1:58" outlineLevel="1" x14ac:dyDescent="0.3">
      <c r="A118" s="198"/>
      <c r="B118" s="198"/>
      <c r="C118" s="198"/>
      <c r="D118" s="198"/>
      <c r="E118" s="198"/>
      <c r="F118" s="198"/>
      <c r="G118" s="198"/>
      <c r="H118" s="198"/>
      <c r="I118" s="198"/>
      <c r="J118" s="198"/>
      <c r="K118" s="198"/>
      <c r="L118" s="1309"/>
      <c r="M118" s="201" t="s">
        <v>908</v>
      </c>
      <c r="N118" s="207" t="s">
        <v>77</v>
      </c>
      <c r="O118" s="200"/>
      <c r="P118" s="200"/>
      <c r="Q118" s="200"/>
      <c r="R118" s="200"/>
      <c r="S118" s="200"/>
      <c r="T118" s="200"/>
      <c r="U118" s="200"/>
      <c r="V118" s="200"/>
      <c r="W118" s="200"/>
      <c r="X118" s="200"/>
      <c r="Y118" s="394"/>
      <c r="Z118" s="208"/>
      <c r="AA118" s="208"/>
      <c r="AB118" s="406"/>
      <c r="AC118" s="406">
        <f t="shared" si="100"/>
        <v>0</v>
      </c>
      <c r="AD118" s="406">
        <f t="shared" si="100"/>
        <v>-6.0076958218968253</v>
      </c>
      <c r="AE118" s="406">
        <f t="shared" si="101"/>
        <v>-12.017063473036384</v>
      </c>
      <c r="AF118" s="406">
        <f t="shared" si="101"/>
        <v>-73.322518545654518</v>
      </c>
      <c r="AG118" s="406">
        <f t="shared" si="101"/>
        <v>-106.72450644328562</v>
      </c>
      <c r="AH118" s="406">
        <f t="shared" si="101"/>
        <v>-112.36955545665913</v>
      </c>
      <c r="AI118" s="406">
        <f t="shared" si="101"/>
        <v>-118.05386316349525</v>
      </c>
      <c r="AJ118" s="406">
        <f t="shared" si="101"/>
        <v>-123.74519101336342</v>
      </c>
      <c r="AK118" s="406">
        <f t="shared" si="101"/>
        <v>-129.44364440315545</v>
      </c>
      <c r="AL118" s="406">
        <f t="shared" si="101"/>
        <v>-135.14935414781374</v>
      </c>
      <c r="AM118" s="532">
        <f t="shared" ref="AM118:AM121" si="102">SUM(AD118:AL118)</f>
        <v>-816.83339246836033</v>
      </c>
      <c r="AN118" s="198"/>
      <c r="AO118" s="198"/>
      <c r="AP118" s="198"/>
      <c r="AQ118" s="198"/>
      <c r="AR118" s="198"/>
      <c r="AS118" s="198"/>
      <c r="AT118" s="198"/>
      <c r="AU118" s="198"/>
      <c r="AV118" s="198"/>
      <c r="AW118" s="198"/>
      <c r="AX118" s="198"/>
      <c r="AY118" s="198"/>
      <c r="AZ118" s="198"/>
      <c r="BA118" s="198"/>
      <c r="BB118" s="198"/>
      <c r="BC118" s="198"/>
      <c r="BD118" s="198"/>
      <c r="BE118" s="198"/>
      <c r="BF118" s="198"/>
    </row>
    <row r="119" spans="1:58" outlineLevel="1" x14ac:dyDescent="0.3">
      <c r="A119" s="198"/>
      <c r="B119" s="198"/>
      <c r="C119" s="198"/>
      <c r="D119" s="198"/>
      <c r="E119" s="198"/>
      <c r="F119" s="198"/>
      <c r="G119" s="198"/>
      <c r="H119" s="198"/>
      <c r="I119" s="198"/>
      <c r="J119" s="198"/>
      <c r="K119" s="198"/>
      <c r="L119" s="1309"/>
      <c r="M119" s="201" t="s">
        <v>909</v>
      </c>
      <c r="N119" s="207" t="s">
        <v>77</v>
      </c>
      <c r="O119" s="200"/>
      <c r="P119" s="200"/>
      <c r="Q119" s="200"/>
      <c r="R119" s="200"/>
      <c r="S119" s="200"/>
      <c r="T119" s="200"/>
      <c r="U119" s="200"/>
      <c r="V119" s="200"/>
      <c r="W119" s="200"/>
      <c r="X119" s="200"/>
      <c r="Y119" s="394"/>
      <c r="Z119" s="208"/>
      <c r="AA119" s="208"/>
      <c r="AB119" s="406"/>
      <c r="AC119" s="406">
        <f t="shared" si="100"/>
        <v>0</v>
      </c>
      <c r="AD119" s="406">
        <f t="shared" si="100"/>
        <v>-3.0804002116585458</v>
      </c>
      <c r="AE119" s="406">
        <f t="shared" si="101"/>
        <v>-6.1813209209559794</v>
      </c>
      <c r="AF119" s="406">
        <f t="shared" si="101"/>
        <v>-37.836340761102001</v>
      </c>
      <c r="AG119" s="406">
        <f t="shared" si="101"/>
        <v>-55.249639516586235</v>
      </c>
      <c r="AH119" s="406">
        <f t="shared" si="101"/>
        <v>-58.35953849495376</v>
      </c>
      <c r="AI119" s="406">
        <f t="shared" si="101"/>
        <v>-61.488713037921599</v>
      </c>
      <c r="AJ119" s="406">
        <f t="shared" si="101"/>
        <v>-64.642685808211112</v>
      </c>
      <c r="AK119" s="406">
        <f t="shared" si="101"/>
        <v>-67.822106671771579</v>
      </c>
      <c r="AL119" s="406">
        <f t="shared" si="101"/>
        <v>-71.027639921238872</v>
      </c>
      <c r="AM119" s="532">
        <f t="shared" si="102"/>
        <v>-425.68838534439965</v>
      </c>
      <c r="AN119" s="198"/>
      <c r="AO119" s="198"/>
      <c r="AP119" s="198"/>
      <c r="AQ119" s="198"/>
      <c r="AR119" s="198"/>
      <c r="AS119" s="198"/>
      <c r="AT119" s="198"/>
      <c r="AU119" s="198"/>
      <c r="AV119" s="198"/>
      <c r="AW119" s="198"/>
      <c r="AX119" s="198"/>
      <c r="AY119" s="198"/>
      <c r="AZ119" s="198"/>
      <c r="BA119" s="198"/>
      <c r="BB119" s="198"/>
      <c r="BC119" s="198"/>
      <c r="BD119" s="198"/>
      <c r="BE119" s="198"/>
      <c r="BF119" s="198"/>
    </row>
    <row r="120" spans="1:58" outlineLevel="1" x14ac:dyDescent="0.3">
      <c r="A120" s="198"/>
      <c r="B120" s="198"/>
      <c r="C120" s="198"/>
      <c r="D120" s="198"/>
      <c r="E120" s="198"/>
      <c r="F120" s="198"/>
      <c r="G120" s="198"/>
      <c r="H120" s="198"/>
      <c r="I120" s="198"/>
      <c r="J120" s="198"/>
      <c r="K120" s="198"/>
      <c r="L120" s="1309"/>
      <c r="M120" s="201" t="s">
        <v>910</v>
      </c>
      <c r="N120" s="207" t="s">
        <v>77</v>
      </c>
      <c r="O120" s="200"/>
      <c r="P120" s="200"/>
      <c r="Q120" s="200"/>
      <c r="R120" s="200"/>
      <c r="S120" s="200"/>
      <c r="T120" s="200"/>
      <c r="U120" s="200"/>
      <c r="V120" s="200"/>
      <c r="W120" s="200"/>
      <c r="X120" s="200"/>
      <c r="Y120" s="394"/>
      <c r="Z120" s="208"/>
      <c r="AA120" s="208"/>
      <c r="AB120" s="406"/>
      <c r="AC120" s="406">
        <f t="shared" si="100"/>
        <v>0</v>
      </c>
      <c r="AD120" s="406">
        <f t="shared" si="100"/>
        <v>-5.5828216243274902</v>
      </c>
      <c r="AE120" s="406">
        <f t="shared" si="101"/>
        <v>-11.246092699688113</v>
      </c>
      <c r="AF120" s="406">
        <f t="shared" si="101"/>
        <v>-69.094295430194535</v>
      </c>
      <c r="AG120" s="406">
        <f t="shared" si="101"/>
        <v>-101.25448358969408</v>
      </c>
      <c r="AH120" s="406">
        <f t="shared" si="101"/>
        <v>-107.3217126995489</v>
      </c>
      <c r="AI120" s="406">
        <f t="shared" si="101"/>
        <v>-113.44107292931756</v>
      </c>
      <c r="AJ120" s="406">
        <f t="shared" si="101"/>
        <v>-119.62923591553286</v>
      </c>
      <c r="AK120" s="406">
        <f t="shared" si="101"/>
        <v>-125.88564327405514</v>
      </c>
      <c r="AL120" s="406">
        <f t="shared" si="101"/>
        <v>-132.20973398759571</v>
      </c>
      <c r="AM120" s="532">
        <f t="shared" si="102"/>
        <v>-785.66509214995426</v>
      </c>
      <c r="AN120" s="198"/>
      <c r="AO120" s="198"/>
      <c r="AP120" s="198"/>
      <c r="AQ120" s="198"/>
      <c r="AR120" s="198"/>
      <c r="AS120" s="198"/>
      <c r="AT120" s="198"/>
      <c r="AU120" s="198"/>
      <c r="AV120" s="198"/>
      <c r="AW120" s="198"/>
      <c r="AX120" s="198"/>
      <c r="AY120" s="198"/>
      <c r="AZ120" s="198"/>
      <c r="BA120" s="198"/>
      <c r="BB120" s="198"/>
      <c r="BC120" s="198"/>
      <c r="BD120" s="198"/>
      <c r="BE120" s="198"/>
      <c r="BF120" s="198"/>
    </row>
    <row r="121" spans="1:58" outlineLevel="1" x14ac:dyDescent="0.3">
      <c r="A121" s="198"/>
      <c r="B121" s="198"/>
      <c r="C121" s="198"/>
      <c r="D121" s="198"/>
      <c r="E121" s="198"/>
      <c r="F121" s="198"/>
      <c r="G121" s="198"/>
      <c r="H121" s="198"/>
      <c r="I121" s="198"/>
      <c r="J121" s="198"/>
      <c r="K121" s="198"/>
      <c r="L121" s="1309"/>
      <c r="M121" s="201" t="s">
        <v>911</v>
      </c>
      <c r="N121" s="207" t="s">
        <v>77</v>
      </c>
      <c r="O121" s="200"/>
      <c r="P121" s="200"/>
      <c r="Q121" s="200"/>
      <c r="R121" s="200"/>
      <c r="S121" s="200"/>
      <c r="T121" s="200"/>
      <c r="U121" s="200"/>
      <c r="V121" s="200"/>
      <c r="W121" s="200"/>
      <c r="X121" s="200"/>
      <c r="Y121" s="394"/>
      <c r="Z121" s="208"/>
      <c r="AA121" s="208"/>
      <c r="AB121" s="406"/>
      <c r="AC121" s="406">
        <f t="shared" si="100"/>
        <v>0</v>
      </c>
      <c r="AD121" s="406">
        <f t="shared" si="100"/>
        <v>-0.56341640698250128</v>
      </c>
      <c r="AE121" s="406">
        <f t="shared" si="101"/>
        <v>-1.123714598459449</v>
      </c>
      <c r="AF121" s="406">
        <f t="shared" si="101"/>
        <v>-6.8355770458988951</v>
      </c>
      <c r="AG121" s="406">
        <f t="shared" si="101"/>
        <v>-9.9180405461482763</v>
      </c>
      <c r="AH121" s="406">
        <f t="shared" si="101"/>
        <v>-10.408252927879586</v>
      </c>
      <c r="AI121" s="406">
        <f t="shared" si="101"/>
        <v>-10.8927915848812</v>
      </c>
      <c r="AJ121" s="406">
        <f t="shared" si="101"/>
        <v>-11.373256238386842</v>
      </c>
      <c r="AK121" s="406">
        <f t="shared" si="101"/>
        <v>-11.849562738389633</v>
      </c>
      <c r="AL121" s="406">
        <f t="shared" si="101"/>
        <v>-12.321630437215724</v>
      </c>
      <c r="AM121" s="532">
        <f t="shared" si="102"/>
        <v>-75.286242524242112</v>
      </c>
      <c r="AN121" s="198"/>
      <c r="AO121" s="198"/>
      <c r="AP121" s="198"/>
      <c r="AQ121" s="198"/>
      <c r="AR121" s="198"/>
      <c r="AS121" s="198"/>
      <c r="AT121" s="198"/>
      <c r="AU121" s="198"/>
      <c r="AV121" s="198"/>
      <c r="AW121" s="198"/>
      <c r="AX121" s="198"/>
      <c r="AY121" s="198"/>
      <c r="AZ121" s="198"/>
      <c r="BA121" s="198"/>
      <c r="BB121" s="198"/>
      <c r="BC121" s="198"/>
      <c r="BD121" s="198"/>
      <c r="BE121" s="198"/>
      <c r="BF121" s="198"/>
    </row>
    <row r="122" spans="1:58" outlineLevel="1" x14ac:dyDescent="0.3">
      <c r="A122" s="198"/>
      <c r="B122" s="198"/>
      <c r="C122" s="198"/>
      <c r="D122" s="198"/>
      <c r="E122" s="198"/>
      <c r="F122" s="198"/>
      <c r="G122" s="198"/>
      <c r="H122" s="198"/>
      <c r="I122" s="198"/>
      <c r="J122" s="198"/>
      <c r="K122" s="198"/>
      <c r="L122" s="1309"/>
      <c r="M122" s="202"/>
      <c r="N122" s="199"/>
      <c r="O122" s="200"/>
      <c r="P122" s="200"/>
      <c r="Q122" s="200"/>
      <c r="R122" s="200"/>
      <c r="S122" s="200"/>
      <c r="T122" s="200"/>
      <c r="U122" s="200"/>
      <c r="V122" s="200"/>
      <c r="W122" s="200"/>
      <c r="X122" s="200"/>
      <c r="Y122" s="394"/>
      <c r="Z122" s="208"/>
      <c r="AA122" s="208"/>
      <c r="AB122" s="198"/>
      <c r="AC122" s="198"/>
      <c r="AD122" s="198"/>
      <c r="AE122" s="198"/>
      <c r="AF122" s="198"/>
      <c r="AG122" s="198"/>
      <c r="AH122" s="198"/>
      <c r="AI122" s="198"/>
      <c r="AJ122" s="198"/>
      <c r="AK122" s="198"/>
      <c r="AL122" s="198"/>
      <c r="AM122" s="198"/>
      <c r="AN122" s="198"/>
      <c r="AO122" s="198"/>
      <c r="AP122" s="198"/>
      <c r="AQ122" s="198"/>
      <c r="AR122" s="198"/>
      <c r="AS122" s="198"/>
      <c r="AT122" s="198"/>
      <c r="AU122" s="198"/>
      <c r="AV122" s="198"/>
      <c r="AW122" s="198"/>
      <c r="AX122" s="198"/>
      <c r="AY122" s="198"/>
      <c r="AZ122" s="198"/>
      <c r="BA122" s="198"/>
      <c r="BB122" s="198"/>
      <c r="BC122" s="198"/>
      <c r="BD122" s="198"/>
      <c r="BE122" s="198"/>
      <c r="BF122" s="198"/>
    </row>
    <row r="123" spans="1:58" outlineLevel="1" x14ac:dyDescent="0.3">
      <c r="A123" s="198"/>
      <c r="B123" s="198" t="s">
        <v>883</v>
      </c>
      <c r="C123" s="198"/>
      <c r="D123" s="198"/>
      <c r="E123" s="198"/>
      <c r="F123" s="198"/>
      <c r="G123" s="198"/>
      <c r="H123" s="198"/>
      <c r="I123" s="198"/>
      <c r="J123" s="198"/>
      <c r="K123" s="198"/>
      <c r="L123" s="1309"/>
      <c r="M123" s="201" t="s">
        <v>912</v>
      </c>
      <c r="N123" s="207" t="s">
        <v>77</v>
      </c>
      <c r="O123" s="200"/>
      <c r="P123" s="200"/>
      <c r="Q123" s="200"/>
      <c r="R123" s="200"/>
      <c r="S123" s="200"/>
      <c r="T123" s="200"/>
      <c r="U123" s="200"/>
      <c r="V123" s="200"/>
      <c r="W123" s="200"/>
      <c r="X123" s="200"/>
      <c r="Y123" s="394"/>
      <c r="Z123" s="208"/>
      <c r="AA123" s="208"/>
      <c r="AB123" s="113">
        <f t="shared" ref="AB123:AC123" si="103">AB6+AB111+AB117</f>
        <v>4749.4444444444443</v>
      </c>
      <c r="AC123" s="113">
        <f t="shared" si="103"/>
        <v>4327.1518611111105</v>
      </c>
      <c r="AD123" s="113">
        <f t="shared" ref="AD123:AL123" si="104">AD6+AD111+AD117</f>
        <v>4790.9309111025541</v>
      </c>
      <c r="AE123" s="113">
        <f t="shared" si="104"/>
        <v>4845.7163131429907</v>
      </c>
      <c r="AF123" s="113">
        <f t="shared" si="104"/>
        <v>4855.6235172245888</v>
      </c>
      <c r="AG123" s="113">
        <f t="shared" si="104"/>
        <v>4796.9688380475036</v>
      </c>
      <c r="AH123" s="113">
        <f t="shared" si="104"/>
        <v>4775.4647027395931</v>
      </c>
      <c r="AI123" s="113">
        <f t="shared" si="104"/>
        <v>4779.5306805766586</v>
      </c>
      <c r="AJ123" s="113">
        <f t="shared" si="104"/>
        <v>4827.0870276160776</v>
      </c>
      <c r="AK123" s="113">
        <f t="shared" si="104"/>
        <v>4875.7361166181627</v>
      </c>
      <c r="AL123" s="113">
        <f t="shared" si="104"/>
        <v>4925.4948749446257</v>
      </c>
      <c r="AM123" s="198"/>
      <c r="AN123" s="198"/>
      <c r="AO123" s="198"/>
      <c r="AP123" s="198"/>
      <c r="AQ123" s="198"/>
      <c r="AR123" s="198"/>
      <c r="AS123" s="198"/>
      <c r="AT123" s="198"/>
      <c r="AU123" s="198"/>
      <c r="AV123" s="198"/>
      <c r="AW123" s="198"/>
      <c r="AX123" s="198"/>
      <c r="AY123" s="198"/>
      <c r="AZ123" s="198"/>
      <c r="BA123" s="198"/>
      <c r="BB123" s="198"/>
      <c r="BC123" s="198"/>
      <c r="BD123" s="198"/>
      <c r="BE123" s="198"/>
      <c r="BF123" s="198"/>
    </row>
    <row r="124" spans="1:58" outlineLevel="1" x14ac:dyDescent="0.3">
      <c r="A124" s="198"/>
      <c r="B124" s="198" t="s">
        <v>888</v>
      </c>
      <c r="C124" s="198"/>
      <c r="D124" s="198"/>
      <c r="E124" s="198"/>
      <c r="F124" s="198"/>
      <c r="G124" s="198"/>
      <c r="H124" s="198"/>
      <c r="I124" s="198"/>
      <c r="J124" s="198"/>
      <c r="K124" s="198"/>
      <c r="L124" s="1309"/>
      <c r="M124" s="201" t="s">
        <v>889</v>
      </c>
      <c r="N124" s="207" t="s">
        <v>77</v>
      </c>
      <c r="O124" s="200"/>
      <c r="P124" s="200"/>
      <c r="Q124" s="200"/>
      <c r="R124" s="200"/>
      <c r="S124" s="200"/>
      <c r="T124" s="200"/>
      <c r="U124" s="200"/>
      <c r="V124" s="200"/>
      <c r="W124" s="200"/>
      <c r="X124" s="200"/>
      <c r="Y124" s="394"/>
      <c r="Z124" s="208"/>
      <c r="AA124" s="208"/>
      <c r="AB124" s="113">
        <f t="shared" ref="AB124:AC124" si="105">AB7+AB112+AB118</f>
        <v>10567.960000000001</v>
      </c>
      <c r="AC124" s="113">
        <f t="shared" si="105"/>
        <v>10532.931725031605</v>
      </c>
      <c r="AD124" s="113">
        <f t="shared" ref="AD124:AL124" si="106">AD7+AD112+AD118</f>
        <v>10555.632453966533</v>
      </c>
      <c r="AE124" s="113">
        <f t="shared" si="106"/>
        <v>10576.086992027871</v>
      </c>
      <c r="AF124" s="113">
        <f t="shared" si="106"/>
        <v>10546.865770140304</v>
      </c>
      <c r="AG124" s="113">
        <f t="shared" si="106"/>
        <v>10374.713925921616</v>
      </c>
      <c r="AH124" s="113">
        <f t="shared" si="106"/>
        <v>10231.973653881636</v>
      </c>
      <c r="AI124" s="113">
        <f t="shared" si="106"/>
        <v>10095.338478815311</v>
      </c>
      <c r="AJ124" s="113">
        <f t="shared" si="106"/>
        <v>9959.974974923598</v>
      </c>
      <c r="AK124" s="113">
        <f t="shared" si="106"/>
        <v>9825.7253761545053</v>
      </c>
      <c r="AL124" s="113">
        <f t="shared" si="106"/>
        <v>9692.599130611261</v>
      </c>
      <c r="AM124" s="198"/>
      <c r="AN124" s="198"/>
      <c r="AO124" s="198"/>
      <c r="AP124" s="198"/>
      <c r="AQ124" s="198"/>
      <c r="AR124" s="198"/>
      <c r="AS124" s="198"/>
      <c r="AT124" s="198"/>
      <c r="AU124" s="198"/>
      <c r="AV124" s="198"/>
      <c r="AW124" s="198"/>
      <c r="AX124" s="198"/>
      <c r="AY124" s="198"/>
      <c r="AZ124" s="198"/>
      <c r="BA124" s="198"/>
      <c r="BB124" s="198"/>
      <c r="BC124" s="198"/>
      <c r="BD124" s="198"/>
      <c r="BE124" s="198"/>
      <c r="BF124" s="198"/>
    </row>
    <row r="125" spans="1:58" outlineLevel="1" x14ac:dyDescent="0.3">
      <c r="A125" s="198"/>
      <c r="B125" s="198" t="s">
        <v>890</v>
      </c>
      <c r="C125" s="198"/>
      <c r="D125" s="198"/>
      <c r="E125" s="198"/>
      <c r="F125" s="198"/>
      <c r="G125" s="198"/>
      <c r="H125" s="198"/>
      <c r="I125" s="198"/>
      <c r="J125" s="198"/>
      <c r="K125" s="198"/>
      <c r="L125" s="1309"/>
      <c r="M125" s="201" t="s">
        <v>891</v>
      </c>
      <c r="N125" s="207" t="s">
        <v>77</v>
      </c>
      <c r="O125" s="200"/>
      <c r="P125" s="200"/>
      <c r="Q125" s="200"/>
      <c r="R125" s="200"/>
      <c r="S125" s="200"/>
      <c r="T125" s="200"/>
      <c r="U125" s="200"/>
      <c r="V125" s="200"/>
      <c r="W125" s="200"/>
      <c r="X125" s="200"/>
      <c r="Y125" s="394"/>
      <c r="Z125" s="208"/>
      <c r="AA125" s="208"/>
      <c r="AB125" s="113">
        <f t="shared" ref="AB125:AC125" si="107">AB8+AB113+AB119</f>
        <v>5382.26</v>
      </c>
      <c r="AC125" s="113">
        <f t="shared" si="107"/>
        <v>5376.8275011999995</v>
      </c>
      <c r="AD125" s="113">
        <f t="shared" ref="AD125:AL125" si="108">AD8+AD113+AD119</f>
        <v>5409.2336441916041</v>
      </c>
      <c r="AE125" s="113">
        <f t="shared" si="108"/>
        <v>5438.7455815152716</v>
      </c>
      <c r="AF125" s="113">
        <f t="shared" si="108"/>
        <v>5441.0874845154394</v>
      </c>
      <c r="AG125" s="113">
        <f t="shared" si="108"/>
        <v>5348.0620225175226</v>
      </c>
      <c r="AH125" s="113">
        <f t="shared" si="108"/>
        <v>5270.8506296134801</v>
      </c>
      <c r="AI125" s="113">
        <f t="shared" si="108"/>
        <v>5195.5357788715746</v>
      </c>
      <c r="AJ125" s="113">
        <f t="shared" si="108"/>
        <v>5121.6660789078187</v>
      </c>
      <c r="AK125" s="113">
        <f t="shared" si="108"/>
        <v>5049.2462297910215</v>
      </c>
      <c r="AL125" s="113">
        <f t="shared" si="108"/>
        <v>4978.2814059587099</v>
      </c>
      <c r="AM125" s="198"/>
      <c r="AN125" s="198"/>
      <c r="AO125" s="198"/>
      <c r="AP125" s="198"/>
      <c r="AQ125" s="198"/>
      <c r="AR125" s="198"/>
      <c r="AS125" s="198"/>
      <c r="AT125" s="198"/>
      <c r="AU125" s="198"/>
      <c r="AV125" s="198"/>
      <c r="AW125" s="198"/>
      <c r="AX125" s="198"/>
      <c r="AY125" s="198"/>
      <c r="AZ125" s="198"/>
      <c r="BA125" s="198"/>
      <c r="BB125" s="198"/>
      <c r="BC125" s="198"/>
      <c r="BD125" s="198"/>
      <c r="BE125" s="198"/>
      <c r="BF125" s="198"/>
    </row>
    <row r="126" spans="1:58" outlineLevel="1" x14ac:dyDescent="0.3">
      <c r="A126" s="198"/>
      <c r="B126" s="198" t="s">
        <v>892</v>
      </c>
      <c r="C126" s="198"/>
      <c r="D126" s="198"/>
      <c r="E126" s="198"/>
      <c r="F126" s="198"/>
      <c r="G126" s="198"/>
      <c r="H126" s="198"/>
      <c r="I126" s="198"/>
      <c r="J126" s="198"/>
      <c r="K126" s="198"/>
      <c r="L126" s="1309"/>
      <c r="M126" s="201" t="s">
        <v>893</v>
      </c>
      <c r="N126" s="207" t="s">
        <v>77</v>
      </c>
      <c r="O126" s="200"/>
      <c r="P126" s="200"/>
      <c r="Q126" s="200"/>
      <c r="R126" s="200"/>
      <c r="S126" s="200"/>
      <c r="T126" s="200"/>
      <c r="U126" s="200"/>
      <c r="V126" s="200"/>
      <c r="W126" s="200"/>
      <c r="X126" s="200"/>
      <c r="Y126" s="394"/>
      <c r="Z126" s="208"/>
      <c r="AA126" s="208"/>
      <c r="AB126" s="113">
        <f t="shared" ref="AB126:AC126" si="109">AB9+AB114+AB120</f>
        <v>9177.7777777777792</v>
      </c>
      <c r="AC126" s="113">
        <f t="shared" si="109"/>
        <v>9693.5440780613699</v>
      </c>
      <c r="AD126" s="113">
        <f t="shared" ref="AD126:AL126" si="110">AD9+AD114+AD120</f>
        <v>9798.4637813108911</v>
      </c>
      <c r="AE126" s="113">
        <f t="shared" si="110"/>
        <v>9879.6246488957349</v>
      </c>
      <c r="AF126" s="113">
        <f t="shared" si="110"/>
        <v>9915.2575217845351</v>
      </c>
      <c r="AG126" s="113">
        <f t="shared" si="110"/>
        <v>9903.9698720073484</v>
      </c>
      <c r="AH126" s="113">
        <f t="shared" si="110"/>
        <v>9957.7768873721743</v>
      </c>
      <c r="AI126" s="113">
        <f t="shared" si="110"/>
        <v>9874.9292012495098</v>
      </c>
      <c r="AJ126" s="113">
        <f t="shared" si="110"/>
        <v>9931.554106361451</v>
      </c>
      <c r="AK126" s="113">
        <f t="shared" si="110"/>
        <v>9989.0100673191773</v>
      </c>
      <c r="AL126" s="113">
        <f t="shared" si="110"/>
        <v>10048.268609325283</v>
      </c>
      <c r="AM126" s="198"/>
      <c r="AN126" s="198"/>
      <c r="AO126" s="198"/>
      <c r="AP126" s="198"/>
      <c r="AQ126" s="198"/>
      <c r="AR126" s="198"/>
      <c r="AS126" s="198"/>
      <c r="AT126" s="198"/>
      <c r="AU126" s="198"/>
      <c r="AV126" s="198"/>
      <c r="AW126" s="198"/>
      <c r="AX126" s="198"/>
      <c r="AY126" s="198"/>
      <c r="AZ126" s="198"/>
      <c r="BA126" s="198"/>
      <c r="BB126" s="198"/>
      <c r="BC126" s="198"/>
      <c r="BD126" s="198"/>
      <c r="BE126" s="198"/>
      <c r="BF126" s="198"/>
    </row>
    <row r="127" spans="1:58" outlineLevel="1" x14ac:dyDescent="0.3">
      <c r="A127" s="198"/>
      <c r="B127" s="198" t="s">
        <v>894</v>
      </c>
      <c r="C127" s="198"/>
      <c r="D127" s="198"/>
      <c r="E127" s="198"/>
      <c r="F127" s="198"/>
      <c r="G127" s="198"/>
      <c r="H127" s="198"/>
      <c r="I127" s="198"/>
      <c r="J127" s="198"/>
      <c r="K127" s="198"/>
      <c r="L127" s="1309"/>
      <c r="M127" s="201" t="s">
        <v>895</v>
      </c>
      <c r="N127" s="207" t="s">
        <v>77</v>
      </c>
      <c r="O127" s="200"/>
      <c r="P127" s="200"/>
      <c r="Q127" s="200"/>
      <c r="R127" s="200"/>
      <c r="S127" s="200"/>
      <c r="T127" s="200"/>
      <c r="U127" s="200"/>
      <c r="V127" s="200"/>
      <c r="W127" s="200"/>
      <c r="X127" s="200"/>
      <c r="Y127" s="394"/>
      <c r="Z127" s="208"/>
      <c r="AA127" s="208"/>
      <c r="AB127" s="113">
        <f t="shared" ref="AB127:AC127" si="111">AB10+AB115+AB121</f>
        <v>1272.7777777777778</v>
      </c>
      <c r="AC127" s="113">
        <f t="shared" si="111"/>
        <v>990.64514183333335</v>
      </c>
      <c r="AD127" s="113">
        <f t="shared" ref="AD127:AL127" si="112">AD10+AD115+AD121</f>
        <v>990.2699169263509</v>
      </c>
      <c r="AE127" s="113">
        <f t="shared" si="112"/>
        <v>989.70961873487397</v>
      </c>
      <c r="AF127" s="113">
        <f t="shared" si="112"/>
        <v>983.99775628743453</v>
      </c>
      <c r="AG127" s="113">
        <f t="shared" si="112"/>
        <v>980.91529278718508</v>
      </c>
      <c r="AH127" s="113">
        <f t="shared" si="112"/>
        <v>980.42508040545374</v>
      </c>
      <c r="AI127" s="113">
        <f t="shared" si="112"/>
        <v>973.14054174845216</v>
      </c>
      <c r="AJ127" s="113">
        <f t="shared" si="112"/>
        <v>965.86007709494652</v>
      </c>
      <c r="AK127" s="113">
        <f t="shared" si="112"/>
        <v>958.58377059494376</v>
      </c>
      <c r="AL127" s="113">
        <f t="shared" si="112"/>
        <v>951.31170289611759</v>
      </c>
      <c r="AM127" s="198"/>
      <c r="AN127" s="198"/>
      <c r="AO127" s="198"/>
      <c r="AP127" s="198"/>
      <c r="AQ127" s="198"/>
      <c r="AR127" s="198"/>
      <c r="AS127" s="198"/>
      <c r="AT127" s="198"/>
      <c r="AU127" s="198"/>
      <c r="AV127" s="198"/>
      <c r="AW127" s="198"/>
      <c r="AX127" s="198"/>
      <c r="AY127" s="198"/>
      <c r="AZ127" s="198"/>
      <c r="BA127" s="198"/>
      <c r="BB127" s="198"/>
      <c r="BC127" s="198"/>
      <c r="BD127" s="198"/>
      <c r="BE127" s="198"/>
      <c r="BF127" s="198"/>
    </row>
    <row r="128" spans="1:58" outlineLevel="1" x14ac:dyDescent="0.3">
      <c r="A128" s="198"/>
      <c r="B128" s="198"/>
      <c r="C128" s="198"/>
      <c r="D128" s="198"/>
      <c r="E128" s="198"/>
      <c r="F128" s="198"/>
      <c r="G128" s="198"/>
      <c r="H128" s="198"/>
      <c r="I128" s="198"/>
      <c r="J128" s="198"/>
      <c r="K128" s="198"/>
      <c r="L128" s="1309"/>
      <c r="M128" s="202"/>
      <c r="N128" s="199"/>
      <c r="O128" s="200"/>
      <c r="P128" s="200"/>
      <c r="Q128" s="200"/>
      <c r="R128" s="200"/>
      <c r="S128" s="200"/>
      <c r="T128" s="200"/>
      <c r="U128" s="200"/>
      <c r="V128" s="200"/>
      <c r="W128" s="200"/>
      <c r="X128" s="200"/>
      <c r="Y128" s="394"/>
      <c r="Z128" s="208"/>
      <c r="AA128" s="208"/>
      <c r="AB128" s="198"/>
      <c r="AC128" s="198"/>
      <c r="AD128" s="198"/>
      <c r="AE128" s="198"/>
      <c r="AF128" s="198"/>
      <c r="AG128" s="198"/>
      <c r="AH128" s="198"/>
      <c r="AI128" s="198"/>
      <c r="AJ128" s="198"/>
      <c r="AK128" s="198"/>
      <c r="AL128" s="198"/>
      <c r="AM128" s="198"/>
      <c r="AN128" s="198"/>
      <c r="AO128" s="198"/>
      <c r="AP128" s="198"/>
      <c r="AQ128" s="198"/>
      <c r="AR128" s="198"/>
      <c r="AS128" s="198"/>
      <c r="AT128" s="198"/>
      <c r="AU128" s="198"/>
      <c r="AV128" s="198"/>
      <c r="AW128" s="198"/>
      <c r="AX128" s="198"/>
      <c r="AY128" s="198"/>
      <c r="AZ128" s="198"/>
      <c r="BA128" s="198"/>
      <c r="BB128" s="198"/>
      <c r="BC128" s="198"/>
      <c r="BD128" s="198"/>
      <c r="BE128" s="198"/>
      <c r="BF128" s="198"/>
    </row>
    <row r="129" spans="1:58" x14ac:dyDescent="0.3">
      <c r="A129" s="198"/>
      <c r="B129" s="198"/>
      <c r="C129" s="198"/>
      <c r="D129" s="198"/>
      <c r="E129" s="198"/>
      <c r="F129" s="198"/>
      <c r="G129" s="198"/>
      <c r="H129" s="198"/>
      <c r="I129" s="198"/>
      <c r="J129" s="198"/>
      <c r="K129" s="198"/>
      <c r="L129" s="1309"/>
      <c r="M129" s="77" t="s">
        <v>914</v>
      </c>
      <c r="N129" s="207" t="s">
        <v>77</v>
      </c>
      <c r="O129" s="200"/>
      <c r="P129" s="200"/>
      <c r="Q129" s="200"/>
      <c r="R129" s="200"/>
      <c r="S129" s="200"/>
      <c r="T129" s="200"/>
      <c r="U129" s="200"/>
      <c r="V129" s="200"/>
      <c r="W129" s="200"/>
      <c r="X129" s="200"/>
      <c r="Y129" s="394"/>
      <c r="Z129" s="208"/>
      <c r="AA129" s="208"/>
      <c r="AB129" s="404">
        <f>AB123+AB124+AB125+AB126+AB127</f>
        <v>31150.220000000005</v>
      </c>
      <c r="AC129" s="404">
        <f>AC123+AC124+AC125+AC126+AC127</f>
        <v>30921.100307237419</v>
      </c>
      <c r="AD129" s="404">
        <f>AD123+AD124+AD125+AD126+AD127</f>
        <v>31544.530707497936</v>
      </c>
      <c r="AE129" s="404">
        <f t="shared" ref="AE129:AL129" si="113">AE123+AE124+AE125+AE126+AE127</f>
        <v>31729.88315431674</v>
      </c>
      <c r="AF129" s="404">
        <f t="shared" si="113"/>
        <v>31742.832049952303</v>
      </c>
      <c r="AG129" s="404">
        <f t="shared" si="113"/>
        <v>31404.629951281175</v>
      </c>
      <c r="AH129" s="404">
        <f t="shared" si="113"/>
        <v>31216.490954012334</v>
      </c>
      <c r="AI129" s="404">
        <f t="shared" si="113"/>
        <v>30918.474681261505</v>
      </c>
      <c r="AJ129" s="404">
        <f t="shared" si="113"/>
        <v>30806.14226490389</v>
      </c>
      <c r="AK129" s="404">
        <f t="shared" si="113"/>
        <v>30698.301560477812</v>
      </c>
      <c r="AL129" s="404">
        <f t="shared" si="113"/>
        <v>30595.955723735995</v>
      </c>
      <c r="AM129" s="198"/>
      <c r="AN129" s="198"/>
      <c r="AO129" s="198"/>
      <c r="AP129" s="198"/>
      <c r="AQ129" s="198"/>
      <c r="AR129" s="198"/>
      <c r="AS129" s="198"/>
      <c r="AT129" s="198"/>
      <c r="AU129" s="198"/>
      <c r="AV129" s="198"/>
      <c r="AW129" s="198"/>
      <c r="AX129" s="198"/>
      <c r="AY129" s="198"/>
      <c r="AZ129" s="198"/>
      <c r="BA129" s="198"/>
      <c r="BB129" s="198"/>
      <c r="BC129" s="198"/>
      <c r="BD129" s="198"/>
      <c r="BE129" s="198"/>
      <c r="BF129" s="198"/>
    </row>
    <row r="130" spans="1:58" ht="14.25" thickBot="1" x14ac:dyDescent="0.35">
      <c r="A130" s="198"/>
      <c r="B130" s="198"/>
      <c r="C130" s="198"/>
      <c r="D130" s="198"/>
      <c r="E130" s="198"/>
      <c r="F130" s="198"/>
      <c r="G130" s="198"/>
      <c r="H130" s="198"/>
      <c r="I130" s="198"/>
      <c r="J130" s="198"/>
      <c r="K130" s="198"/>
      <c r="L130" s="1309"/>
      <c r="M130" s="72" t="s">
        <v>915</v>
      </c>
      <c r="N130" s="207" t="s">
        <v>68</v>
      </c>
      <c r="O130" s="200"/>
      <c r="P130" s="200"/>
      <c r="Q130" s="200"/>
      <c r="R130" s="200"/>
      <c r="S130" s="200"/>
      <c r="T130" s="200"/>
      <c r="U130" s="200"/>
      <c r="V130" s="200"/>
      <c r="W130" s="200"/>
      <c r="X130" s="200"/>
      <c r="Y130" s="394"/>
      <c r="Z130" s="208"/>
      <c r="AA130" s="208"/>
      <c r="AB130" s="405">
        <f>-(AB129-AB$11)/AB$11</f>
        <v>0</v>
      </c>
      <c r="AC130" s="405">
        <f>-(AC129-AC$11)/AC$11</f>
        <v>3.5491552501608738E-3</v>
      </c>
      <c r="AD130" s="405">
        <f>-(AD129-AD$11)/AD$11</f>
        <v>1.3852573990583532E-3</v>
      </c>
      <c r="AE130" s="405">
        <f>-((AD$11-AD129)-(AE$11-AE129))/AE$11</f>
        <v>1.0786401583195641E-3</v>
      </c>
      <c r="AF130" s="405">
        <f t="shared" ref="AF130" si="114">-((AE$11-AE129)-(AF$11-AF129))/AF$11</f>
        <v>7.0330170044556484E-3</v>
      </c>
      <c r="AG130" s="405">
        <f t="shared" ref="AG130" si="115">-((AF$11-AF129)-(AG$11-AG129))/AG$11</f>
        <v>1.7996230726165539E-2</v>
      </c>
      <c r="AH130" s="405">
        <f t="shared" ref="AH130" si="116">-((AG$11-AG129)-(AH$11-AH129))/AH$11</f>
        <v>1.3388915359993524E-2</v>
      </c>
      <c r="AI130" s="405">
        <f t="shared" ref="AI130" si="117">-((AH$11-AH129)-(AI$11-AI129))/AI$11</f>
        <v>1.6925595178451134E-2</v>
      </c>
      <c r="AJ130" s="405">
        <f t="shared" ref="AJ130" si="118">-((AI$11-AI129)-(AJ$11-AJ129))/AJ$11</f>
        <v>1.1298652310592631E-2</v>
      </c>
      <c r="AK130" s="405">
        <f t="shared" ref="AK130" si="119">-((AJ$11-AJ129)-(AK$11-AK129))/AK$11</f>
        <v>1.119875728276248E-2</v>
      </c>
      <c r="AL130" s="405">
        <f t="shared" ref="AL130" si="120">-((AK$11-AK129)-(AL$11-AL129))/AL$11</f>
        <v>1.1070831875549018E-2</v>
      </c>
      <c r="AM130" s="198"/>
      <c r="AN130" s="198"/>
      <c r="AO130" s="198"/>
      <c r="AP130" s="198"/>
      <c r="AQ130" s="198"/>
      <c r="AR130" s="198"/>
      <c r="AS130" s="198"/>
      <c r="AT130" s="198"/>
      <c r="AU130" s="198"/>
      <c r="AV130" s="198"/>
      <c r="AW130" s="198"/>
      <c r="AX130" s="198"/>
      <c r="AY130" s="198"/>
      <c r="AZ130" s="198"/>
      <c r="BA130" s="198"/>
      <c r="BB130" s="198"/>
      <c r="BC130" s="198"/>
      <c r="BD130" s="198"/>
      <c r="BE130" s="198"/>
      <c r="BF130" s="198"/>
    </row>
    <row r="131" spans="1:58" ht="14.25" thickBot="1" x14ac:dyDescent="0.35">
      <c r="A131" s="198"/>
      <c r="B131" s="198"/>
      <c r="C131" s="198"/>
      <c r="D131" s="198"/>
      <c r="E131" s="198"/>
      <c r="F131" s="198"/>
      <c r="G131" s="198"/>
      <c r="H131" s="198"/>
      <c r="I131" s="198"/>
      <c r="J131" s="198"/>
      <c r="K131" s="198"/>
      <c r="L131" s="1309"/>
      <c r="M131" s="72" t="s">
        <v>916</v>
      </c>
      <c r="N131" s="207" t="s">
        <v>68</v>
      </c>
      <c r="O131" s="200"/>
      <c r="P131" s="200"/>
      <c r="Q131" s="200"/>
      <c r="R131" s="200"/>
      <c r="S131" s="200"/>
      <c r="T131" s="200"/>
      <c r="U131" s="200"/>
      <c r="V131" s="200"/>
      <c r="W131" s="200"/>
      <c r="X131" s="200"/>
      <c r="Y131" s="394"/>
      <c r="Z131" s="208"/>
      <c r="AA131" s="208"/>
      <c r="AB131" s="200"/>
      <c r="AC131" s="200"/>
      <c r="AD131" s="518"/>
      <c r="AE131" s="518"/>
      <c r="AF131" s="1311">
        <f>((AL$11-AL129)-(AF$11-AF129))/AL$11/7</f>
        <v>1.1441664692584083E-2</v>
      </c>
      <c r="AG131" s="1312"/>
      <c r="AH131" s="1312"/>
      <c r="AI131" s="1312"/>
      <c r="AJ131" s="1312"/>
      <c r="AK131" s="1312"/>
      <c r="AL131" s="1313"/>
      <c r="AM131" s="198"/>
      <c r="AN131" s="198"/>
      <c r="AO131" s="198"/>
      <c r="AP131" s="198"/>
      <c r="AQ131" s="198"/>
      <c r="AR131" s="198"/>
      <c r="AS131" s="198"/>
      <c r="AT131" s="198"/>
      <c r="AU131" s="198"/>
      <c r="AV131" s="198"/>
      <c r="AW131" s="198"/>
      <c r="AX131" s="198"/>
      <c r="AY131" s="198"/>
      <c r="AZ131" s="198"/>
      <c r="BA131" s="198"/>
      <c r="BB131" s="198"/>
      <c r="BC131" s="198"/>
      <c r="BD131" s="198"/>
      <c r="BE131" s="198"/>
      <c r="BF131" s="198"/>
    </row>
    <row r="132" spans="1:58" x14ac:dyDescent="0.3">
      <c r="A132" s="198"/>
      <c r="B132" s="198"/>
      <c r="C132" s="198"/>
      <c r="D132" s="198"/>
      <c r="E132" s="198"/>
      <c r="F132" s="198"/>
      <c r="G132" s="198"/>
      <c r="H132" s="198"/>
      <c r="I132" s="198"/>
      <c r="J132" s="198"/>
      <c r="K132" s="198"/>
      <c r="L132" s="1309"/>
      <c r="M132" s="202"/>
      <c r="N132" s="199"/>
      <c r="O132" s="200"/>
      <c r="P132" s="200"/>
      <c r="Q132" s="200"/>
      <c r="R132" s="200"/>
      <c r="S132" s="200"/>
      <c r="T132" s="200"/>
      <c r="U132" s="200"/>
      <c r="V132" s="200"/>
      <c r="W132" s="200"/>
      <c r="X132" s="200"/>
      <c r="Y132" s="394"/>
      <c r="Z132" s="208"/>
      <c r="AA132" s="208"/>
      <c r="AB132" s="200"/>
      <c r="AC132" s="200"/>
      <c r="AD132" s="198"/>
      <c r="AE132" s="198"/>
      <c r="AF132" s="198"/>
      <c r="AG132" s="198"/>
      <c r="AH132" s="198"/>
      <c r="AI132" s="198"/>
      <c r="AJ132" s="198"/>
      <c r="AK132" s="198"/>
      <c r="AL132" s="198"/>
      <c r="AM132" s="198"/>
      <c r="AN132" s="198"/>
      <c r="AO132" s="198"/>
      <c r="AP132" s="198"/>
      <c r="AQ132" s="198"/>
      <c r="AR132" s="198"/>
      <c r="AS132" s="198"/>
      <c r="AT132" s="198"/>
      <c r="AU132" s="198"/>
      <c r="AV132" s="198"/>
      <c r="AW132" s="198"/>
      <c r="AX132" s="198"/>
      <c r="AY132" s="198"/>
      <c r="AZ132" s="198"/>
      <c r="BA132" s="198"/>
      <c r="BB132" s="198"/>
      <c r="BC132" s="198"/>
      <c r="BD132" s="198"/>
      <c r="BE132" s="198"/>
      <c r="BF132" s="198"/>
    </row>
    <row r="133" spans="1:58" x14ac:dyDescent="0.3">
      <c r="A133" s="198"/>
      <c r="B133" s="198"/>
      <c r="C133" s="198"/>
      <c r="D133" s="198"/>
      <c r="E133" s="198"/>
      <c r="F133" s="198"/>
      <c r="G133" s="198"/>
      <c r="H133" s="198"/>
      <c r="I133" s="198"/>
      <c r="J133" s="198"/>
      <c r="K133" s="198"/>
      <c r="L133" s="1304" t="str">
        <f>'EE Measures'!IH6</f>
        <v>VA</v>
      </c>
      <c r="M133" s="1305" t="str">
        <f>L133</f>
        <v>VA</v>
      </c>
      <c r="N133" s="1305"/>
      <c r="O133" s="1305"/>
      <c r="P133" s="1305"/>
      <c r="Q133" s="1305"/>
      <c r="R133" s="1305"/>
      <c r="S133" s="1305"/>
      <c r="T133" s="1305"/>
      <c r="U133" s="1305"/>
      <c r="V133" s="1305"/>
      <c r="W133" s="1305"/>
      <c r="X133" s="1305"/>
      <c r="Y133" s="394"/>
      <c r="Z133" s="531"/>
      <c r="AA133" s="531"/>
      <c r="AB133" s="1305"/>
      <c r="AC133" s="1305"/>
      <c r="AD133" s="265"/>
      <c r="AE133" s="265"/>
      <c r="AF133" s="265"/>
      <c r="AG133" s="265"/>
      <c r="AH133" s="265"/>
      <c r="AI133" s="265"/>
      <c r="AJ133" s="265"/>
      <c r="AK133" s="265"/>
      <c r="AL133" s="265"/>
      <c r="AM133" s="198"/>
      <c r="AN133" s="198"/>
      <c r="AO133" s="198"/>
      <c r="AP133" s="198"/>
      <c r="AQ133" s="198"/>
      <c r="AR133" s="198"/>
      <c r="AS133" s="198"/>
      <c r="AT133" s="198"/>
      <c r="AU133" s="198"/>
      <c r="AV133" s="198"/>
      <c r="AW133" s="198"/>
      <c r="AX133" s="198"/>
      <c r="AY133" s="198"/>
      <c r="AZ133" s="198"/>
      <c r="BA133" s="198"/>
      <c r="BB133" s="198"/>
      <c r="BC133" s="198"/>
      <c r="BD133" s="198"/>
      <c r="BE133" s="198"/>
      <c r="BF133" s="198"/>
    </row>
    <row r="134" spans="1:58" outlineLevel="1" x14ac:dyDescent="0.3">
      <c r="A134" s="198"/>
      <c r="B134" s="198"/>
      <c r="C134" s="198"/>
      <c r="D134" s="198"/>
      <c r="E134" s="198"/>
      <c r="F134" s="198"/>
      <c r="G134" s="198"/>
      <c r="H134" s="198"/>
      <c r="I134" s="198"/>
      <c r="J134" s="198"/>
      <c r="K134" s="198"/>
      <c r="L134" s="1304"/>
      <c r="M134" s="201" t="s">
        <v>901</v>
      </c>
      <c r="N134" s="207" t="s">
        <v>77</v>
      </c>
      <c r="O134" s="200"/>
      <c r="P134" s="200"/>
      <c r="Q134" s="200"/>
      <c r="R134" s="200"/>
      <c r="S134" s="200"/>
      <c r="T134" s="200"/>
      <c r="U134" s="200"/>
      <c r="V134" s="200"/>
      <c r="W134" s="200"/>
      <c r="X134" s="200"/>
      <c r="Y134" s="394"/>
      <c r="Z134" s="208"/>
      <c r="AA134" s="208"/>
      <c r="AB134" s="533"/>
      <c r="AC134" s="533">
        <f t="shared" ref="AC134:AL134" si="121">SUMPRODUCT($G$621:$G$622,AC$621:AC$622)+SUMPRODUCT($G$627:$G$632,AC$627:AC$632)</f>
        <v>-71.459249999999997</v>
      </c>
      <c r="AD134" s="533">
        <f t="shared" si="121"/>
        <v>-3.2802999999999969</v>
      </c>
      <c r="AE134" s="533">
        <f t="shared" si="121"/>
        <v>-3.2802999999999969</v>
      </c>
      <c r="AF134" s="533">
        <f t="shared" si="121"/>
        <v>-37.703497806766862</v>
      </c>
      <c r="AG134" s="533">
        <f t="shared" si="121"/>
        <v>-149.38085690610899</v>
      </c>
      <c r="AH134" s="533">
        <f t="shared" si="121"/>
        <v>-253.08505956126112</v>
      </c>
      <c r="AI134" s="533">
        <f t="shared" si="121"/>
        <v>-352.79891676991258</v>
      </c>
      <c r="AJ134" s="533">
        <f t="shared" si="121"/>
        <v>-436.86953080616991</v>
      </c>
      <c r="AK134" s="533">
        <f t="shared" si="121"/>
        <v>-554.23854754141803</v>
      </c>
      <c r="AL134" s="533">
        <f t="shared" si="121"/>
        <v>-696.3540322191584</v>
      </c>
      <c r="AM134" s="532">
        <f>SUM(AD134:AL134)</f>
        <v>-2486.9910416107959</v>
      </c>
      <c r="AN134" s="198"/>
      <c r="AO134" s="198"/>
      <c r="AP134" s="198"/>
      <c r="AQ134" s="198"/>
      <c r="AR134" s="198"/>
      <c r="AS134" s="198"/>
      <c r="AT134" s="198"/>
      <c r="AU134" s="198"/>
      <c r="AV134" s="198"/>
      <c r="AW134" s="198"/>
      <c r="AX134" s="198"/>
      <c r="AY134" s="198"/>
      <c r="AZ134" s="198"/>
      <c r="BA134" s="198"/>
      <c r="BB134" s="198"/>
      <c r="BC134" s="198"/>
      <c r="BD134" s="198"/>
      <c r="BE134" s="198"/>
      <c r="BF134" s="198"/>
    </row>
    <row r="135" spans="1:58" outlineLevel="1" x14ac:dyDescent="0.3">
      <c r="A135" s="198"/>
      <c r="B135" s="198"/>
      <c r="C135" s="198"/>
      <c r="D135" s="198"/>
      <c r="E135" s="198"/>
      <c r="F135" s="198"/>
      <c r="G135" s="198"/>
      <c r="H135" s="198"/>
      <c r="I135" s="198"/>
      <c r="J135" s="198"/>
      <c r="K135" s="198"/>
      <c r="L135" s="1304"/>
      <c r="M135" s="201" t="s">
        <v>902</v>
      </c>
      <c r="N135" s="207" t="s">
        <v>77</v>
      </c>
      <c r="O135" s="200"/>
      <c r="P135" s="200"/>
      <c r="Q135" s="200"/>
      <c r="R135" s="200"/>
      <c r="S135" s="200"/>
      <c r="T135" s="200"/>
      <c r="U135" s="200"/>
      <c r="V135" s="200"/>
      <c r="W135" s="200"/>
      <c r="X135" s="200"/>
      <c r="Y135" s="394"/>
      <c r="Z135" s="208"/>
      <c r="AA135" s="208"/>
      <c r="AB135" s="532"/>
      <c r="AC135" s="532">
        <f t="shared" ref="AC135:AL135" si="122">SUMPRODUCT($G$699:$G$702,AC$699:AC$702)+SUMPRODUCT($G$707:$G$714,AC$707:AC$714)</f>
        <v>-2.9497749683944372</v>
      </c>
      <c r="AD135" s="532">
        <f t="shared" si="122"/>
        <v>-3.5922486490719709</v>
      </c>
      <c r="AE135" s="532">
        <f t="shared" si="122"/>
        <v>-7.9201255416805818</v>
      </c>
      <c r="AF135" s="532">
        <f t="shared" si="122"/>
        <v>-8.0871255416805816</v>
      </c>
      <c r="AG135" s="532">
        <f t="shared" si="122"/>
        <v>-171.16662554168062</v>
      </c>
      <c r="AH135" s="532">
        <f t="shared" si="122"/>
        <v>-332.13632162011197</v>
      </c>
      <c r="AI135" s="532">
        <f t="shared" si="122"/>
        <v>-491.03758248131919</v>
      </c>
      <c r="AJ135" s="532">
        <f t="shared" si="122"/>
        <v>-647.74396567858128</v>
      </c>
      <c r="AK135" s="532">
        <f t="shared" si="122"/>
        <v>-802.46223351903416</v>
      </c>
      <c r="AL135" s="532">
        <f t="shared" si="122"/>
        <v>-955.23136865673314</v>
      </c>
      <c r="AM135" s="532">
        <f t="shared" ref="AM135:AM138" si="123">SUM(AD135:AL135)</f>
        <v>-3419.3775972298936</v>
      </c>
      <c r="AN135" s="198"/>
      <c r="AO135" s="198"/>
      <c r="AP135" s="198"/>
      <c r="AQ135" s="198"/>
      <c r="AR135" s="198"/>
      <c r="AS135" s="198"/>
      <c r="AT135" s="198"/>
      <c r="AU135" s="198"/>
      <c r="AV135" s="198"/>
      <c r="AW135" s="198"/>
      <c r="AX135" s="198"/>
      <c r="AY135" s="198"/>
      <c r="AZ135" s="198"/>
      <c r="BA135" s="198"/>
      <c r="BB135" s="198"/>
      <c r="BC135" s="198"/>
      <c r="BD135" s="198"/>
      <c r="BE135" s="198"/>
      <c r="BF135" s="198"/>
    </row>
    <row r="136" spans="1:58" outlineLevel="1" x14ac:dyDescent="0.3">
      <c r="A136" s="198"/>
      <c r="B136" s="198"/>
      <c r="C136" s="198"/>
      <c r="D136" s="198"/>
      <c r="E136" s="198"/>
      <c r="F136" s="198"/>
      <c r="G136" s="198"/>
      <c r="H136" s="198"/>
      <c r="I136" s="198"/>
      <c r="J136" s="198"/>
      <c r="K136" s="198"/>
      <c r="L136" s="1304"/>
      <c r="M136" s="201" t="s">
        <v>903</v>
      </c>
      <c r="N136" s="207" t="s">
        <v>77</v>
      </c>
      <c r="O136" s="200"/>
      <c r="P136" s="200"/>
      <c r="Q136" s="200"/>
      <c r="R136" s="200"/>
      <c r="S136" s="200"/>
      <c r="T136" s="200"/>
      <c r="U136" s="200"/>
      <c r="V136" s="200"/>
      <c r="W136" s="200"/>
      <c r="X136" s="200"/>
      <c r="Y136" s="394"/>
      <c r="Z136" s="208"/>
      <c r="AA136" s="208"/>
      <c r="AB136" s="533"/>
      <c r="AC136" s="533">
        <f t="shared" ref="AC136:AL136" si="124">SUMPRODUCT($G$919:$G$925,AC$919:AC$925)+SUMPRODUCT($G$931:$G$938,AC$931:AC$938)</f>
        <v>-8.2481988000000008</v>
      </c>
      <c r="AD136" s="533">
        <f t="shared" si="124"/>
        <v>-4.9282862999999999</v>
      </c>
      <c r="AE136" s="533">
        <f t="shared" si="124"/>
        <v>-5.4417418</v>
      </c>
      <c r="AF136" s="533">
        <f t="shared" si="124"/>
        <v>-5.5447698000000001</v>
      </c>
      <c r="AG136" s="533">
        <f t="shared" si="124"/>
        <v>-59.524769800000001</v>
      </c>
      <c r="AH136" s="533">
        <f t="shared" si="124"/>
        <v>-112.93300509411765</v>
      </c>
      <c r="AI136" s="533">
        <f t="shared" si="124"/>
        <v>-165.78068675501731</v>
      </c>
      <c r="AJ136" s="533">
        <f t="shared" si="124"/>
        <v>-218.07880603040914</v>
      </c>
      <c r="AK136" s="533">
        <f t="shared" si="124"/>
        <v>-269.83813865334224</v>
      </c>
      <c r="AL136" s="533">
        <f t="shared" si="124"/>
        <v>-321.06924906798264</v>
      </c>
      <c r="AM136" s="532">
        <f t="shared" si="123"/>
        <v>-1163.139453300869</v>
      </c>
      <c r="AN136" s="198"/>
      <c r="AO136" s="198"/>
      <c r="AP136" s="198"/>
      <c r="AQ136" s="198"/>
      <c r="AR136" s="198"/>
      <c r="AS136" s="198"/>
      <c r="AT136" s="198"/>
      <c r="AU136" s="198"/>
      <c r="AV136" s="198"/>
      <c r="AW136" s="198"/>
      <c r="AX136" s="198"/>
      <c r="AY136" s="198"/>
      <c r="AZ136" s="198"/>
      <c r="BA136" s="198"/>
      <c r="BB136" s="198"/>
      <c r="BC136" s="198"/>
      <c r="BD136" s="198"/>
      <c r="BE136" s="198"/>
      <c r="BF136" s="198"/>
    </row>
    <row r="137" spans="1:58" outlineLevel="1" x14ac:dyDescent="0.3">
      <c r="A137" s="198"/>
      <c r="B137" s="198"/>
      <c r="C137" s="198"/>
      <c r="D137" s="198"/>
      <c r="E137" s="198"/>
      <c r="F137" s="198"/>
      <c r="G137" s="198"/>
      <c r="H137" s="198"/>
      <c r="I137" s="198"/>
      <c r="J137" s="198"/>
      <c r="K137" s="198"/>
      <c r="L137" s="1304"/>
      <c r="M137" s="201" t="s">
        <v>904</v>
      </c>
      <c r="N137" s="207" t="s">
        <v>77</v>
      </c>
      <c r="O137" s="200"/>
      <c r="P137" s="200"/>
      <c r="Q137" s="200"/>
      <c r="R137" s="200"/>
      <c r="S137" s="200"/>
      <c r="T137" s="200"/>
      <c r="U137" s="200"/>
      <c r="V137" s="200"/>
      <c r="W137" s="200"/>
      <c r="X137" s="200"/>
      <c r="Y137" s="394"/>
      <c r="Z137" s="208"/>
      <c r="AA137" s="208"/>
      <c r="AB137" s="532"/>
      <c r="AC137" s="532">
        <f t="shared" ref="AC137:AL137" si="125">SUMPRODUCT($G$1263:$G$1267,AC$1263:AC$1267)+SUMPRODUCT($G$1272:$G$1289,AC$1272:AC$1289)</f>
        <v>-27.289255271963924</v>
      </c>
      <c r="AD137" s="532">
        <f t="shared" si="125"/>
        <v>-13.995063731449235</v>
      </c>
      <c r="AE137" s="532">
        <f t="shared" si="125"/>
        <v>-25.351341737910296</v>
      </c>
      <c r="AF137" s="532">
        <f t="shared" si="125"/>
        <v>-31.03248695193804</v>
      </c>
      <c r="AG137" s="532">
        <f t="shared" si="125"/>
        <v>-110.31379161129327</v>
      </c>
      <c r="AH137" s="532">
        <f t="shared" si="125"/>
        <v>-151.59492860869386</v>
      </c>
      <c r="AI137" s="532">
        <f t="shared" si="125"/>
        <v>-330.49018978839598</v>
      </c>
      <c r="AJ137" s="532">
        <f t="shared" si="125"/>
        <v>-370.86572632991118</v>
      </c>
      <c r="AK137" s="532">
        <f t="shared" si="125"/>
        <v>-411.37384869973215</v>
      </c>
      <c r="AL137" s="532">
        <f t="shared" si="125"/>
        <v>-451.05391157301585</v>
      </c>
      <c r="AM137" s="532">
        <f t="shared" si="123"/>
        <v>-1896.0712890323398</v>
      </c>
      <c r="AN137" s="198"/>
      <c r="AO137" s="198"/>
      <c r="AP137" s="198"/>
      <c r="AQ137" s="198"/>
      <c r="AR137" s="198"/>
      <c r="AS137" s="198"/>
      <c r="AT137" s="198"/>
      <c r="AU137" s="198"/>
      <c r="AV137" s="198"/>
      <c r="AW137" s="198"/>
      <c r="AX137" s="198"/>
      <c r="AY137" s="198"/>
      <c r="AZ137" s="198"/>
      <c r="BA137" s="198"/>
      <c r="BB137" s="198"/>
      <c r="BC137" s="198"/>
      <c r="BD137" s="198"/>
      <c r="BE137" s="198"/>
      <c r="BF137" s="198"/>
    </row>
    <row r="138" spans="1:58" outlineLevel="1" x14ac:dyDescent="0.3">
      <c r="A138" s="198"/>
      <c r="B138" s="198"/>
      <c r="C138" s="198"/>
      <c r="D138" s="198"/>
      <c r="E138" s="198"/>
      <c r="F138" s="198"/>
      <c r="G138" s="198"/>
      <c r="H138" s="198"/>
      <c r="I138" s="198"/>
      <c r="J138" s="198"/>
      <c r="K138" s="198"/>
      <c r="L138" s="1304"/>
      <c r="M138" s="201" t="s">
        <v>905</v>
      </c>
      <c r="N138" s="207" t="s">
        <v>77</v>
      </c>
      <c r="O138" s="200"/>
      <c r="P138" s="200"/>
      <c r="Q138" s="200"/>
      <c r="R138" s="200"/>
      <c r="S138" s="200"/>
      <c r="T138" s="200"/>
      <c r="U138" s="200"/>
      <c r="V138" s="200"/>
      <c r="W138" s="200"/>
      <c r="X138" s="200"/>
      <c r="Y138" s="394"/>
      <c r="Z138" s="208"/>
      <c r="AA138" s="208"/>
      <c r="AB138" s="533"/>
      <c r="AC138" s="533">
        <f t="shared" ref="AC138:AL138" si="126">SUMPRODUCT($G$1312:$G$1313,AC$1312:AC$1313)+SUMPRODUCT($G$1318:$G$1319,AC$1318:AC$1319)</f>
        <v>-0.18819149999999973</v>
      </c>
      <c r="AD138" s="533">
        <f t="shared" si="126"/>
        <v>0</v>
      </c>
      <c r="AE138" s="533">
        <f t="shared" si="126"/>
        <v>0</v>
      </c>
      <c r="AF138" s="533">
        <f t="shared" si="126"/>
        <v>0</v>
      </c>
      <c r="AG138" s="533">
        <f t="shared" si="126"/>
        <v>0</v>
      </c>
      <c r="AH138" s="533">
        <f t="shared" si="126"/>
        <v>0</v>
      </c>
      <c r="AI138" s="533">
        <f t="shared" si="126"/>
        <v>-6.8000000000000007</v>
      </c>
      <c r="AJ138" s="533">
        <f t="shared" si="126"/>
        <v>-13.600000000000001</v>
      </c>
      <c r="AK138" s="533">
        <f t="shared" si="126"/>
        <v>-20.400000000000002</v>
      </c>
      <c r="AL138" s="533">
        <f t="shared" si="126"/>
        <v>-27.200000000000003</v>
      </c>
      <c r="AM138" s="532">
        <f t="shared" si="123"/>
        <v>-68</v>
      </c>
      <c r="AN138" s="198"/>
      <c r="AO138" s="198"/>
      <c r="AP138" s="198"/>
      <c r="AQ138" s="198"/>
      <c r="AR138" s="198"/>
      <c r="AS138" s="198"/>
      <c r="AT138" s="198"/>
      <c r="AU138" s="198"/>
      <c r="AV138" s="198"/>
      <c r="AW138" s="198"/>
      <c r="AX138" s="198"/>
      <c r="AY138" s="198"/>
      <c r="AZ138" s="198"/>
      <c r="BA138" s="198"/>
      <c r="BB138" s="198"/>
      <c r="BC138" s="198"/>
      <c r="BD138" s="198"/>
      <c r="BE138" s="198"/>
      <c r="BF138" s="198"/>
    </row>
    <row r="139" spans="1:58" outlineLevel="1" x14ac:dyDescent="0.3">
      <c r="A139" s="198"/>
      <c r="B139" s="198"/>
      <c r="C139" s="198"/>
      <c r="D139" s="198"/>
      <c r="E139" s="198"/>
      <c r="F139" s="198"/>
      <c r="G139" s="198"/>
      <c r="H139" s="198"/>
      <c r="I139" s="198"/>
      <c r="J139" s="198"/>
      <c r="K139" s="198"/>
      <c r="L139" s="1304"/>
      <c r="M139" s="202"/>
      <c r="N139" s="199"/>
      <c r="O139" s="200"/>
      <c r="P139" s="200"/>
      <c r="Q139" s="200"/>
      <c r="R139" s="200"/>
      <c r="S139" s="200"/>
      <c r="T139" s="200"/>
      <c r="U139" s="200"/>
      <c r="V139" s="200"/>
      <c r="W139" s="200"/>
      <c r="X139" s="200"/>
      <c r="Y139" s="394"/>
      <c r="Z139" s="208"/>
      <c r="AA139" s="208"/>
      <c r="AB139" s="198"/>
      <c r="AC139" s="198"/>
      <c r="AD139" s="198"/>
      <c r="AE139" s="198"/>
      <c r="AF139" s="198"/>
      <c r="AG139" s="198"/>
      <c r="AH139" s="198"/>
      <c r="AI139" s="198"/>
      <c r="AJ139" s="198"/>
      <c r="AK139" s="198"/>
      <c r="AL139" s="198"/>
      <c r="AM139" s="198"/>
      <c r="AN139" s="198"/>
      <c r="AO139" s="198"/>
      <c r="AP139" s="198"/>
      <c r="AQ139" s="198"/>
      <c r="AR139" s="198"/>
      <c r="AS139" s="198"/>
      <c r="AT139" s="198"/>
      <c r="AU139" s="198"/>
      <c r="AV139" s="198"/>
      <c r="AW139" s="198"/>
      <c r="AX139" s="198"/>
      <c r="AY139" s="198"/>
      <c r="AZ139" s="198"/>
      <c r="BA139" s="198"/>
      <c r="BB139" s="198"/>
      <c r="BC139" s="198"/>
      <c r="BD139" s="198"/>
      <c r="BE139" s="198"/>
      <c r="BF139" s="198"/>
    </row>
    <row r="140" spans="1:58" outlineLevel="1" x14ac:dyDescent="0.3">
      <c r="A140" s="198"/>
      <c r="B140" s="198"/>
      <c r="C140" s="198"/>
      <c r="D140" s="198"/>
      <c r="E140" s="198"/>
      <c r="F140" s="198"/>
      <c r="G140" s="198"/>
      <c r="H140" s="198"/>
      <c r="I140" s="198"/>
      <c r="J140" s="198"/>
      <c r="K140" s="198"/>
      <c r="L140" s="1304"/>
      <c r="M140" s="201" t="s">
        <v>907</v>
      </c>
      <c r="N140" s="207" t="s">
        <v>77</v>
      </c>
      <c r="O140" s="200"/>
      <c r="P140" s="200"/>
      <c r="Q140" s="200"/>
      <c r="R140" s="200"/>
      <c r="S140" s="200"/>
      <c r="T140" s="200"/>
      <c r="U140" s="200"/>
      <c r="V140" s="200"/>
      <c r="W140" s="200"/>
      <c r="X140" s="200"/>
      <c r="Y140" s="394"/>
      <c r="Z140" s="208"/>
      <c r="AA140" s="208"/>
      <c r="AB140" s="406"/>
      <c r="AC140" s="406">
        <f t="shared" ref="AC140" si="127">((AC$67*$G$67)+SUMPRODUCT($G$28:$G$40,AC$28:AC$40))*AC6/AC$11</f>
        <v>0</v>
      </c>
      <c r="AD140" s="406">
        <f>((AD$67*$G$67)+SUMPRODUCT($G$28:$G$40,AD$28:AD$40))*AD6/AD$11</f>
        <v>-2.727677786333802</v>
      </c>
      <c r="AE140" s="406">
        <f t="shared" ref="AE140:AL144" si="128">(SUMPRODUCT(AE$67:AE$67,$G$67:$G$67)+SUMPRODUCT($G$28:$G$40,AE$28:AE$40))*AE6/AE$11</f>
        <v>-5.5055424125658288</v>
      </c>
      <c r="AF140" s="406">
        <f t="shared" si="128"/>
        <v>-33.992672857533051</v>
      </c>
      <c r="AG140" s="406">
        <f t="shared" si="128"/>
        <v>-50.06129197144633</v>
      </c>
      <c r="AH140" s="406">
        <f t="shared" si="128"/>
        <v>-53.323672665530452</v>
      </c>
      <c r="AI140" s="406">
        <f t="shared" si="128"/>
        <v>-56.643157287247774</v>
      </c>
      <c r="AJ140" s="406">
        <f t="shared" si="128"/>
        <v>-60.028725787461767</v>
      </c>
      <c r="AK140" s="406">
        <f t="shared" si="128"/>
        <v>-63.480840444986065</v>
      </c>
      <c r="AL140" s="406">
        <f t="shared" si="128"/>
        <v>-66.999963219906462</v>
      </c>
      <c r="AM140" s="532">
        <f>SUM(AD140:AL140)</f>
        <v>-392.76354443301159</v>
      </c>
      <c r="AN140" s="1257">
        <f>(AM134+AM140)/8</f>
        <v>-359.96932325547596</v>
      </c>
      <c r="AO140" s="198"/>
      <c r="AP140" s="198"/>
      <c r="AQ140" s="198"/>
      <c r="AR140" s="198"/>
      <c r="AS140" s="198"/>
      <c r="AT140" s="198"/>
      <c r="AU140" s="198"/>
      <c r="AV140" s="198"/>
      <c r="AW140" s="198"/>
      <c r="AX140" s="198"/>
      <c r="AY140" s="198"/>
      <c r="AZ140" s="198"/>
      <c r="BA140" s="198"/>
      <c r="BB140" s="198"/>
      <c r="BC140" s="198"/>
      <c r="BD140" s="198"/>
      <c r="BE140" s="198"/>
      <c r="BF140" s="198"/>
    </row>
    <row r="141" spans="1:58" outlineLevel="1" x14ac:dyDescent="0.3">
      <c r="A141" s="198"/>
      <c r="B141" s="198"/>
      <c r="C141" s="198"/>
      <c r="D141" s="198"/>
      <c r="E141" s="198"/>
      <c r="F141" s="198"/>
      <c r="G141" s="198"/>
      <c r="H141" s="198"/>
      <c r="I141" s="198"/>
      <c r="J141" s="198"/>
      <c r="K141" s="198"/>
      <c r="L141" s="1304"/>
      <c r="M141" s="201" t="s">
        <v>908</v>
      </c>
      <c r="N141" s="207" t="s">
        <v>77</v>
      </c>
      <c r="O141" s="200"/>
      <c r="P141" s="200"/>
      <c r="Q141" s="200"/>
      <c r="R141" s="200"/>
      <c r="S141" s="200"/>
      <c r="T141" s="200"/>
      <c r="U141" s="200"/>
      <c r="V141" s="200"/>
      <c r="W141" s="200"/>
      <c r="X141" s="200"/>
      <c r="Y141" s="394"/>
      <c r="Z141" s="208"/>
      <c r="AA141" s="208"/>
      <c r="AB141" s="406"/>
      <c r="AC141" s="406">
        <f t="shared" ref="AC141" si="129">((AC$67*$G$67)+SUMPRODUCT($G$28:$G$40,AC$28:AC$40))*AC7/AC$11</f>
        <v>0</v>
      </c>
      <c r="AD141" s="406">
        <f>((AD$67*$G$67)+SUMPRODUCT($G$28:$G$40,AD$28:AD$40))*AD7/AD$11</f>
        <v>-6.0076958218968253</v>
      </c>
      <c r="AE141" s="406">
        <f t="shared" si="128"/>
        <v>-12.017063473036384</v>
      </c>
      <c r="AF141" s="406">
        <f t="shared" si="128"/>
        <v>-73.322518545654518</v>
      </c>
      <c r="AG141" s="406">
        <f t="shared" si="128"/>
        <v>-106.72450644328562</v>
      </c>
      <c r="AH141" s="406">
        <f t="shared" si="128"/>
        <v>-112.36955545665913</v>
      </c>
      <c r="AI141" s="406">
        <f t="shared" si="128"/>
        <v>-118.05386316349525</v>
      </c>
      <c r="AJ141" s="406">
        <f t="shared" si="128"/>
        <v>-123.74519101336342</v>
      </c>
      <c r="AK141" s="406">
        <f t="shared" si="128"/>
        <v>-129.44364440315545</v>
      </c>
      <c r="AL141" s="406">
        <f t="shared" si="128"/>
        <v>-135.14935414781374</v>
      </c>
      <c r="AM141" s="532">
        <f t="shared" ref="AM141:AM144" si="130">SUM(AD141:AL141)</f>
        <v>-816.83339246836033</v>
      </c>
      <c r="AN141" s="198"/>
      <c r="AO141" s="198"/>
      <c r="AP141" s="198"/>
      <c r="AQ141" s="198"/>
      <c r="AR141" s="198"/>
      <c r="AS141" s="198"/>
      <c r="AT141" s="198"/>
      <c r="AU141" s="198"/>
      <c r="AV141" s="198"/>
      <c r="AW141" s="198"/>
      <c r="AX141" s="198"/>
      <c r="AY141" s="198"/>
      <c r="AZ141" s="198"/>
      <c r="BA141" s="198"/>
      <c r="BB141" s="198"/>
      <c r="BC141" s="198"/>
      <c r="BD141" s="198"/>
      <c r="BE141" s="198"/>
      <c r="BF141" s="198"/>
    </row>
    <row r="142" spans="1:58" outlineLevel="1" x14ac:dyDescent="0.3">
      <c r="A142" s="198"/>
      <c r="B142" s="198"/>
      <c r="C142" s="198"/>
      <c r="D142" s="198"/>
      <c r="E142" s="198"/>
      <c r="F142" s="198"/>
      <c r="G142" s="198"/>
      <c r="H142" s="198"/>
      <c r="I142" s="198"/>
      <c r="J142" s="198"/>
      <c r="K142" s="198"/>
      <c r="L142" s="1304"/>
      <c r="M142" s="201" t="s">
        <v>909</v>
      </c>
      <c r="N142" s="207" t="s">
        <v>77</v>
      </c>
      <c r="O142" s="200"/>
      <c r="P142" s="200"/>
      <c r="Q142" s="200"/>
      <c r="R142" s="200"/>
      <c r="S142" s="200"/>
      <c r="T142" s="200"/>
      <c r="U142" s="200"/>
      <c r="V142" s="200"/>
      <c r="W142" s="200"/>
      <c r="X142" s="200"/>
      <c r="Y142" s="394"/>
      <c r="Z142" s="208"/>
      <c r="AA142" s="208"/>
      <c r="AB142" s="406"/>
      <c r="AC142" s="406">
        <f t="shared" ref="AC142" si="131">((AC$67*$G$67)+SUMPRODUCT($G$28:$G$40,AC$28:AC$40))*AC8/AC$11</f>
        <v>0</v>
      </c>
      <c r="AD142" s="406">
        <f>((AD$67*$G$67)+SUMPRODUCT($G$28:$G$40,AD$28:AD$40))*AD8/AD$11</f>
        <v>-3.0804002116585458</v>
      </c>
      <c r="AE142" s="406">
        <f t="shared" si="128"/>
        <v>-6.1813209209559794</v>
      </c>
      <c r="AF142" s="406">
        <f t="shared" si="128"/>
        <v>-37.836340761102001</v>
      </c>
      <c r="AG142" s="406">
        <f t="shared" si="128"/>
        <v>-55.249639516586235</v>
      </c>
      <c r="AH142" s="406">
        <f t="shared" si="128"/>
        <v>-58.35953849495376</v>
      </c>
      <c r="AI142" s="406">
        <f t="shared" si="128"/>
        <v>-61.488713037921599</v>
      </c>
      <c r="AJ142" s="406">
        <f t="shared" si="128"/>
        <v>-64.642685808211112</v>
      </c>
      <c r="AK142" s="406">
        <f t="shared" si="128"/>
        <v>-67.822106671771579</v>
      </c>
      <c r="AL142" s="406">
        <f t="shared" si="128"/>
        <v>-71.027639921238872</v>
      </c>
      <c r="AM142" s="532">
        <f t="shared" si="130"/>
        <v>-425.68838534439965</v>
      </c>
      <c r="AN142" s="198"/>
      <c r="AO142" s="198"/>
      <c r="AP142" s="198"/>
      <c r="AQ142" s="198"/>
      <c r="AR142" s="198"/>
      <c r="AS142" s="198"/>
      <c r="AT142" s="198"/>
      <c r="AU142" s="198"/>
      <c r="AV142" s="198"/>
      <c r="AW142" s="198"/>
      <c r="AX142" s="198"/>
      <c r="AY142" s="198"/>
      <c r="AZ142" s="198"/>
      <c r="BA142" s="198"/>
      <c r="BB142" s="198"/>
      <c r="BC142" s="198"/>
      <c r="BD142" s="198"/>
      <c r="BE142" s="198"/>
      <c r="BF142" s="198"/>
    </row>
    <row r="143" spans="1:58" outlineLevel="1" x14ac:dyDescent="0.3">
      <c r="A143" s="198"/>
      <c r="B143" s="198"/>
      <c r="C143" s="198"/>
      <c r="D143" s="198"/>
      <c r="E143" s="198"/>
      <c r="F143" s="198"/>
      <c r="G143" s="198"/>
      <c r="H143" s="198"/>
      <c r="I143" s="198"/>
      <c r="J143" s="198"/>
      <c r="K143" s="198"/>
      <c r="L143" s="1304"/>
      <c r="M143" s="201" t="s">
        <v>910</v>
      </c>
      <c r="N143" s="207" t="s">
        <v>77</v>
      </c>
      <c r="O143" s="200"/>
      <c r="P143" s="200"/>
      <c r="Q143" s="200"/>
      <c r="R143" s="200"/>
      <c r="S143" s="200"/>
      <c r="T143" s="200"/>
      <c r="U143" s="200"/>
      <c r="V143" s="200"/>
      <c r="W143" s="200"/>
      <c r="X143" s="200"/>
      <c r="Y143" s="394"/>
      <c r="Z143" s="208"/>
      <c r="AA143" s="208"/>
      <c r="AB143" s="406"/>
      <c r="AC143" s="406">
        <f t="shared" ref="AC143" si="132">((AC$67*$G$67)+SUMPRODUCT($G$28:$G$40,AC$28:AC$40))*AC9/AC$11</f>
        <v>0</v>
      </c>
      <c r="AD143" s="406">
        <f>((AD$67*$G$67)+SUMPRODUCT($G$28:$G$40,AD$28:AD$40))*AD9/AD$11</f>
        <v>-5.5828216243274902</v>
      </c>
      <c r="AE143" s="406">
        <f t="shared" si="128"/>
        <v>-11.246092699688113</v>
      </c>
      <c r="AF143" s="406">
        <f t="shared" si="128"/>
        <v>-69.094295430194535</v>
      </c>
      <c r="AG143" s="406">
        <f t="shared" si="128"/>
        <v>-101.25448358969408</v>
      </c>
      <c r="AH143" s="406">
        <f t="shared" si="128"/>
        <v>-107.3217126995489</v>
      </c>
      <c r="AI143" s="406">
        <f t="shared" si="128"/>
        <v>-113.44107292931756</v>
      </c>
      <c r="AJ143" s="406">
        <f t="shared" si="128"/>
        <v>-119.62923591553286</v>
      </c>
      <c r="AK143" s="406">
        <f t="shared" si="128"/>
        <v>-125.88564327405514</v>
      </c>
      <c r="AL143" s="406">
        <f t="shared" si="128"/>
        <v>-132.20973398759571</v>
      </c>
      <c r="AM143" s="532">
        <f t="shared" si="130"/>
        <v>-785.66509214995426</v>
      </c>
      <c r="AN143" s="198"/>
      <c r="AO143" s="198"/>
      <c r="AP143" s="198"/>
      <c r="AQ143" s="198"/>
      <c r="AR143" s="198"/>
      <c r="AS143" s="198"/>
      <c r="AT143" s="198"/>
      <c r="AU143" s="198"/>
      <c r="AV143" s="198"/>
      <c r="AW143" s="198"/>
      <c r="AX143" s="198"/>
      <c r="AY143" s="198"/>
      <c r="AZ143" s="198"/>
      <c r="BA143" s="198"/>
      <c r="BB143" s="198"/>
      <c r="BC143" s="198"/>
      <c r="BD143" s="198"/>
      <c r="BE143" s="198"/>
      <c r="BF143" s="198"/>
    </row>
    <row r="144" spans="1:58" outlineLevel="1" x14ac:dyDescent="0.3">
      <c r="A144" s="198"/>
      <c r="B144" s="198"/>
      <c r="C144" s="198"/>
      <c r="D144" s="198"/>
      <c r="E144" s="198"/>
      <c r="F144" s="198"/>
      <c r="G144" s="198"/>
      <c r="H144" s="198"/>
      <c r="I144" s="198"/>
      <c r="J144" s="198"/>
      <c r="K144" s="198"/>
      <c r="L144" s="1304"/>
      <c r="M144" s="201" t="s">
        <v>911</v>
      </c>
      <c r="N144" s="207" t="s">
        <v>77</v>
      </c>
      <c r="O144" s="200"/>
      <c r="P144" s="200"/>
      <c r="Q144" s="200"/>
      <c r="R144" s="200"/>
      <c r="S144" s="200"/>
      <c r="T144" s="200"/>
      <c r="U144" s="200"/>
      <c r="V144" s="200"/>
      <c r="W144" s="200"/>
      <c r="X144" s="200"/>
      <c r="Y144" s="394"/>
      <c r="Z144" s="208"/>
      <c r="AA144" s="208"/>
      <c r="AB144" s="406"/>
      <c r="AC144" s="406">
        <f t="shared" ref="AC144" si="133">((AC$67*$G$67)+SUMPRODUCT($G$28:$G$40,AC$28:AC$40))*AC10/AC$11</f>
        <v>0</v>
      </c>
      <c r="AD144" s="406">
        <f>((AD$67*$G$67)+SUMPRODUCT($G$28:$G$40,AD$28:AD$40))*AD10/AD$11</f>
        <v>-0.56341640698250128</v>
      </c>
      <c r="AE144" s="406">
        <f t="shared" si="128"/>
        <v>-1.123714598459449</v>
      </c>
      <c r="AF144" s="406">
        <f t="shared" si="128"/>
        <v>-6.8355770458988951</v>
      </c>
      <c r="AG144" s="406">
        <f t="shared" si="128"/>
        <v>-9.9180405461482763</v>
      </c>
      <c r="AH144" s="406">
        <f t="shared" si="128"/>
        <v>-10.408252927879586</v>
      </c>
      <c r="AI144" s="406">
        <f t="shared" si="128"/>
        <v>-10.8927915848812</v>
      </c>
      <c r="AJ144" s="406">
        <f t="shared" si="128"/>
        <v>-11.373256238386842</v>
      </c>
      <c r="AK144" s="406">
        <f t="shared" si="128"/>
        <v>-11.849562738389633</v>
      </c>
      <c r="AL144" s="406">
        <f t="shared" si="128"/>
        <v>-12.321630437215724</v>
      </c>
      <c r="AM144" s="532">
        <f t="shared" si="130"/>
        <v>-75.286242524242112</v>
      </c>
      <c r="AN144" s="198"/>
      <c r="AO144" s="198"/>
      <c r="AP144" s="198"/>
      <c r="AQ144" s="198"/>
      <c r="AR144" s="198"/>
      <c r="AS144" s="198"/>
      <c r="AT144" s="198"/>
      <c r="AU144" s="198"/>
      <c r="AV144" s="198"/>
      <c r="AW144" s="198"/>
      <c r="AX144" s="198"/>
      <c r="AY144" s="198"/>
      <c r="AZ144" s="198"/>
      <c r="BA144" s="198"/>
      <c r="BB144" s="198"/>
      <c r="BC144" s="198"/>
      <c r="BD144" s="198"/>
      <c r="BE144" s="198"/>
      <c r="BF144" s="198"/>
    </row>
    <row r="145" spans="1:58" outlineLevel="1" x14ac:dyDescent="0.3">
      <c r="A145" s="198"/>
      <c r="B145" s="198"/>
      <c r="C145" s="198"/>
      <c r="D145" s="198"/>
      <c r="E145" s="198"/>
      <c r="F145" s="198"/>
      <c r="G145" s="198"/>
      <c r="H145" s="198"/>
      <c r="I145" s="198"/>
      <c r="J145" s="198"/>
      <c r="K145" s="198"/>
      <c r="L145" s="1304"/>
      <c r="M145" s="202"/>
      <c r="N145" s="199"/>
      <c r="O145" s="200"/>
      <c r="P145" s="200"/>
      <c r="Q145" s="200"/>
      <c r="R145" s="200"/>
      <c r="S145" s="200"/>
      <c r="T145" s="200"/>
      <c r="U145" s="200"/>
      <c r="V145" s="200"/>
      <c r="W145" s="200"/>
      <c r="X145" s="200"/>
      <c r="Y145" s="394"/>
      <c r="Z145" s="208"/>
      <c r="AA145" s="208"/>
      <c r="AB145" s="198"/>
      <c r="AC145" s="198"/>
      <c r="AD145" s="198"/>
      <c r="AE145" s="198"/>
      <c r="AF145" s="198"/>
      <c r="AG145" s="198"/>
      <c r="AH145" s="198"/>
      <c r="AI145" s="198"/>
      <c r="AJ145" s="198"/>
      <c r="AK145" s="198"/>
      <c r="AL145" s="198"/>
      <c r="AM145" s="198"/>
      <c r="AN145" s="198"/>
      <c r="AO145" s="198"/>
      <c r="AP145" s="198"/>
      <c r="AQ145" s="198"/>
      <c r="AR145" s="198"/>
      <c r="AS145" s="198"/>
      <c r="AT145" s="198"/>
      <c r="AU145" s="198"/>
      <c r="AV145" s="198"/>
      <c r="AW145" s="198"/>
      <c r="AX145" s="198"/>
      <c r="AY145" s="198"/>
      <c r="AZ145" s="198"/>
      <c r="BA145" s="198"/>
      <c r="BB145" s="198"/>
      <c r="BC145" s="198"/>
      <c r="BD145" s="198"/>
      <c r="BE145" s="198"/>
      <c r="BF145" s="198"/>
    </row>
    <row r="146" spans="1:58" outlineLevel="1" x14ac:dyDescent="0.3">
      <c r="A146" s="198"/>
      <c r="B146" s="198" t="s">
        <v>883</v>
      </c>
      <c r="C146" s="198"/>
      <c r="D146" s="198"/>
      <c r="E146" s="198"/>
      <c r="F146" s="198"/>
      <c r="G146" s="198"/>
      <c r="H146" s="198"/>
      <c r="I146" s="198"/>
      <c r="J146" s="198"/>
      <c r="K146" s="198"/>
      <c r="L146" s="1304"/>
      <c r="M146" s="201" t="s">
        <v>912</v>
      </c>
      <c r="N146" s="207" t="s">
        <v>77</v>
      </c>
      <c r="O146" s="200"/>
      <c r="P146" s="200"/>
      <c r="Q146" s="200"/>
      <c r="R146" s="200"/>
      <c r="S146" s="200"/>
      <c r="T146" s="200"/>
      <c r="U146" s="200"/>
      <c r="V146" s="200"/>
      <c r="W146" s="200"/>
      <c r="X146" s="200"/>
      <c r="Y146" s="394"/>
      <c r="Z146" s="208"/>
      <c r="AA146" s="208"/>
      <c r="AB146" s="113">
        <f t="shared" ref="AB146:AC146" si="134">AB6+AB134+AB140</f>
        <v>4749.4444444444443</v>
      </c>
      <c r="AC146" s="113">
        <f t="shared" si="134"/>
        <v>4327.1518611111105</v>
      </c>
      <c r="AD146" s="113">
        <f t="shared" ref="AD146:AL146" si="135">AD6+AD134+AD140</f>
        <v>4790.9309111025541</v>
      </c>
      <c r="AE146" s="113">
        <f t="shared" si="135"/>
        <v>4845.7163131429907</v>
      </c>
      <c r="AF146" s="113">
        <f t="shared" si="135"/>
        <v>4855.6235172245888</v>
      </c>
      <c r="AG146" s="113">
        <f t="shared" si="135"/>
        <v>4801.7873343296642</v>
      </c>
      <c r="AH146" s="113">
        <f t="shared" si="135"/>
        <v>4769.8391932285367</v>
      </c>
      <c r="AI146" s="113">
        <f t="shared" si="135"/>
        <v>4742.9495702799977</v>
      </c>
      <c r="AJ146" s="113">
        <f t="shared" si="135"/>
        <v>4732.7792624085841</v>
      </c>
      <c r="AK146" s="113">
        <f t="shared" si="135"/>
        <v>4690.4032938008449</v>
      </c>
      <c r="AL146" s="113">
        <f t="shared" si="135"/>
        <v>4624.3905265749909</v>
      </c>
      <c r="AM146" s="198"/>
      <c r="AN146" s="198"/>
      <c r="AO146" s="198"/>
      <c r="AP146" s="198"/>
      <c r="AQ146" s="198"/>
      <c r="AR146" s="198"/>
      <c r="AS146" s="198"/>
      <c r="AT146" s="198"/>
      <c r="AU146" s="198"/>
      <c r="AV146" s="198"/>
      <c r="AW146" s="198"/>
      <c r="AX146" s="198"/>
      <c r="AY146" s="198"/>
      <c r="AZ146" s="198"/>
      <c r="BA146" s="198"/>
      <c r="BB146" s="198"/>
      <c r="BC146" s="198"/>
      <c r="BD146" s="198"/>
      <c r="BE146" s="198"/>
      <c r="BF146" s="198"/>
    </row>
    <row r="147" spans="1:58" outlineLevel="1" x14ac:dyDescent="0.3">
      <c r="A147" s="198"/>
      <c r="B147" s="198" t="s">
        <v>888</v>
      </c>
      <c r="C147" s="198"/>
      <c r="D147" s="198"/>
      <c r="E147" s="198"/>
      <c r="F147" s="198"/>
      <c r="G147" s="198"/>
      <c r="H147" s="198"/>
      <c r="I147" s="198"/>
      <c r="J147" s="198"/>
      <c r="K147" s="198"/>
      <c r="L147" s="1304"/>
      <c r="M147" s="201" t="s">
        <v>889</v>
      </c>
      <c r="N147" s="207" t="s">
        <v>77</v>
      </c>
      <c r="O147" s="200"/>
      <c r="P147" s="200"/>
      <c r="Q147" s="200"/>
      <c r="R147" s="200"/>
      <c r="S147" s="200"/>
      <c r="T147" s="200"/>
      <c r="U147" s="200"/>
      <c r="V147" s="200"/>
      <c r="W147" s="200"/>
      <c r="X147" s="200"/>
      <c r="Y147" s="394"/>
      <c r="Z147" s="208"/>
      <c r="AA147" s="208"/>
      <c r="AB147" s="113">
        <f t="shared" ref="AB147:AC147" si="136">AB7+AB135+AB141</f>
        <v>10567.960000000001</v>
      </c>
      <c r="AC147" s="113">
        <f t="shared" si="136"/>
        <v>10532.931725031605</v>
      </c>
      <c r="AD147" s="113">
        <f t="shared" ref="AD147:AL147" si="137">AD7+AD135+AD141</f>
        <v>10555.632453966533</v>
      </c>
      <c r="AE147" s="113">
        <f t="shared" si="137"/>
        <v>10576.086992027871</v>
      </c>
      <c r="AF147" s="113">
        <f t="shared" si="137"/>
        <v>10546.865770140304</v>
      </c>
      <c r="AG147" s="113">
        <f t="shared" si="137"/>
        <v>10384.113925921616</v>
      </c>
      <c r="AH147" s="113">
        <f t="shared" si="137"/>
        <v>10252.726595058108</v>
      </c>
      <c r="AI147" s="113">
        <f t="shared" si="137"/>
        <v>10129.359009380478</v>
      </c>
      <c r="AJ147" s="113">
        <f t="shared" si="137"/>
        <v>10009.14020096788</v>
      </c>
      <c r="AK147" s="113">
        <f t="shared" si="137"/>
        <v>9891.875597766546</v>
      </c>
      <c r="AL147" s="113">
        <f t="shared" si="137"/>
        <v>9777.5385635642433</v>
      </c>
      <c r="AM147" s="198"/>
      <c r="AN147" s="198"/>
      <c r="AO147" s="198"/>
      <c r="AP147" s="198"/>
      <c r="AQ147" s="198"/>
      <c r="AR147" s="198"/>
      <c r="AS147" s="198"/>
      <c r="AT147" s="198"/>
      <c r="AU147" s="198"/>
      <c r="AV147" s="198"/>
      <c r="AW147" s="198"/>
      <c r="AX147" s="198"/>
      <c r="AY147" s="198"/>
      <c r="AZ147" s="198"/>
      <c r="BA147" s="198"/>
      <c r="BB147" s="198"/>
      <c r="BC147" s="198"/>
      <c r="BD147" s="198"/>
      <c r="BE147" s="198"/>
      <c r="BF147" s="198"/>
    </row>
    <row r="148" spans="1:58" outlineLevel="1" x14ac:dyDescent="0.3">
      <c r="A148" s="198"/>
      <c r="B148" s="198" t="s">
        <v>890</v>
      </c>
      <c r="C148" s="198"/>
      <c r="D148" s="198"/>
      <c r="E148" s="198"/>
      <c r="F148" s="198"/>
      <c r="G148" s="198"/>
      <c r="H148" s="198"/>
      <c r="I148" s="198"/>
      <c r="J148" s="198"/>
      <c r="K148" s="198"/>
      <c r="L148" s="1304"/>
      <c r="M148" s="201" t="s">
        <v>891</v>
      </c>
      <c r="N148" s="207" t="s">
        <v>77</v>
      </c>
      <c r="O148" s="200"/>
      <c r="P148" s="200"/>
      <c r="Q148" s="200"/>
      <c r="R148" s="200"/>
      <c r="S148" s="200"/>
      <c r="T148" s="200"/>
      <c r="U148" s="200"/>
      <c r="V148" s="200"/>
      <c r="W148" s="200"/>
      <c r="X148" s="200"/>
      <c r="Y148" s="394"/>
      <c r="Z148" s="208"/>
      <c r="AA148" s="208"/>
      <c r="AB148" s="113">
        <f t="shared" ref="AB148:AC148" si="138">AB8+AB136+AB142</f>
        <v>5382.26</v>
      </c>
      <c r="AC148" s="113">
        <f t="shared" si="138"/>
        <v>5376.8275011999995</v>
      </c>
      <c r="AD148" s="113">
        <f t="shared" ref="AD148:AL148" si="139">AD8+AD136+AD142</f>
        <v>5409.2336441916041</v>
      </c>
      <c r="AE148" s="113">
        <f t="shared" si="139"/>
        <v>5438.7455815152716</v>
      </c>
      <c r="AF148" s="113">
        <f t="shared" si="139"/>
        <v>5441.0874845154394</v>
      </c>
      <c r="AG148" s="113">
        <f t="shared" si="139"/>
        <v>5404.7820225175219</v>
      </c>
      <c r="AH148" s="113">
        <f t="shared" si="139"/>
        <v>5384.3541590252444</v>
      </c>
      <c r="AI148" s="113">
        <f t="shared" si="139"/>
        <v>5365.8851214321285</v>
      </c>
      <c r="AJ148" s="113">
        <f t="shared" si="139"/>
        <v>5348.9222971044392</v>
      </c>
      <c r="AK148" s="113">
        <f t="shared" si="139"/>
        <v>5333.4691888073176</v>
      </c>
      <c r="AL148" s="113">
        <f t="shared" si="139"/>
        <v>5319.5297971511563</v>
      </c>
      <c r="AM148" s="198"/>
      <c r="AN148" s="198"/>
      <c r="AO148" s="198"/>
      <c r="AP148" s="198"/>
      <c r="AQ148" s="198"/>
      <c r="AR148" s="198"/>
      <c r="AS148" s="198"/>
      <c r="AT148" s="198"/>
      <c r="AU148" s="198"/>
      <c r="AV148" s="198"/>
      <c r="AW148" s="198"/>
      <c r="AX148" s="198"/>
      <c r="AY148" s="198"/>
      <c r="AZ148" s="198"/>
      <c r="BA148" s="198"/>
      <c r="BB148" s="198"/>
      <c r="BC148" s="198"/>
      <c r="BD148" s="198"/>
      <c r="BE148" s="198"/>
      <c r="BF148" s="198"/>
    </row>
    <row r="149" spans="1:58" outlineLevel="1" x14ac:dyDescent="0.3">
      <c r="A149" s="198"/>
      <c r="B149" s="198" t="s">
        <v>892</v>
      </c>
      <c r="C149" s="198"/>
      <c r="D149" s="198"/>
      <c r="E149" s="198"/>
      <c r="F149" s="198"/>
      <c r="G149" s="198"/>
      <c r="H149" s="198"/>
      <c r="I149" s="198"/>
      <c r="J149" s="198"/>
      <c r="K149" s="198"/>
      <c r="L149" s="1304"/>
      <c r="M149" s="201" t="s">
        <v>893</v>
      </c>
      <c r="N149" s="207" t="s">
        <v>77</v>
      </c>
      <c r="O149" s="200"/>
      <c r="P149" s="200"/>
      <c r="Q149" s="200"/>
      <c r="R149" s="200"/>
      <c r="S149" s="200"/>
      <c r="T149" s="200"/>
      <c r="U149" s="200"/>
      <c r="V149" s="200"/>
      <c r="W149" s="200"/>
      <c r="X149" s="200"/>
      <c r="Y149" s="394"/>
      <c r="Z149" s="208"/>
      <c r="AA149" s="208"/>
      <c r="AB149" s="113">
        <f t="shared" ref="AB149:AC149" si="140">AB9+AB137+AB143</f>
        <v>9177.7777777777792</v>
      </c>
      <c r="AC149" s="113">
        <f t="shared" si="140"/>
        <v>9693.5440780613699</v>
      </c>
      <c r="AD149" s="113">
        <f t="shared" ref="AD149:AL149" si="141">AD9+AD137+AD143</f>
        <v>9798.4637813108911</v>
      </c>
      <c r="AE149" s="113">
        <f t="shared" si="141"/>
        <v>9879.6246488957349</v>
      </c>
      <c r="AF149" s="113">
        <f t="shared" si="141"/>
        <v>9915.2575217845351</v>
      </c>
      <c r="AG149" s="113">
        <f t="shared" si="141"/>
        <v>9903.9698720073484</v>
      </c>
      <c r="AH149" s="113">
        <f t="shared" si="141"/>
        <v>9957.7768873721743</v>
      </c>
      <c r="AI149" s="113">
        <f t="shared" si="141"/>
        <v>9874.9292012495098</v>
      </c>
      <c r="AJ149" s="113">
        <f t="shared" si="141"/>
        <v>9931.554106361451</v>
      </c>
      <c r="AK149" s="113">
        <f t="shared" si="141"/>
        <v>9989.0100673191773</v>
      </c>
      <c r="AL149" s="113">
        <f t="shared" si="141"/>
        <v>10048.268609325283</v>
      </c>
      <c r="AM149" s="198"/>
      <c r="AN149" s="198"/>
      <c r="AO149" s="198"/>
      <c r="AP149" s="198"/>
      <c r="AQ149" s="198"/>
      <c r="AR149" s="198"/>
      <c r="AS149" s="198"/>
      <c r="AT149" s="198"/>
      <c r="AU149" s="198"/>
      <c r="AV149" s="198"/>
      <c r="AW149" s="198"/>
      <c r="AX149" s="198"/>
      <c r="AY149" s="198"/>
      <c r="AZ149" s="198"/>
      <c r="BA149" s="198"/>
      <c r="BB149" s="198"/>
      <c r="BC149" s="198"/>
      <c r="BD149" s="198"/>
      <c r="BE149" s="198"/>
      <c r="BF149" s="198"/>
    </row>
    <row r="150" spans="1:58" outlineLevel="1" x14ac:dyDescent="0.3">
      <c r="A150" s="198"/>
      <c r="B150" s="198" t="s">
        <v>894</v>
      </c>
      <c r="C150" s="198"/>
      <c r="D150" s="198"/>
      <c r="E150" s="198"/>
      <c r="F150" s="198"/>
      <c r="G150" s="198"/>
      <c r="H150" s="198"/>
      <c r="I150" s="198"/>
      <c r="J150" s="198"/>
      <c r="K150" s="198"/>
      <c r="L150" s="1304"/>
      <c r="M150" s="201" t="s">
        <v>895</v>
      </c>
      <c r="N150" s="207" t="s">
        <v>77</v>
      </c>
      <c r="O150" s="200"/>
      <c r="P150" s="200"/>
      <c r="Q150" s="200"/>
      <c r="R150" s="200"/>
      <c r="S150" s="200"/>
      <c r="T150" s="200"/>
      <c r="U150" s="200"/>
      <c r="V150" s="200"/>
      <c r="W150" s="200"/>
      <c r="X150" s="200"/>
      <c r="Y150" s="394"/>
      <c r="Z150" s="208"/>
      <c r="AA150" s="208"/>
      <c r="AB150" s="113">
        <f t="shared" ref="AB150:AC150" si="142">AB10+AB138+AB144</f>
        <v>1272.7777777777778</v>
      </c>
      <c r="AC150" s="113">
        <f t="shared" si="142"/>
        <v>990.64514183333335</v>
      </c>
      <c r="AD150" s="113">
        <f t="shared" ref="AD150:AL150" si="143">AD10+AD138+AD144</f>
        <v>990.2699169263509</v>
      </c>
      <c r="AE150" s="113">
        <f t="shared" si="143"/>
        <v>989.70961873487397</v>
      </c>
      <c r="AF150" s="113">
        <f t="shared" si="143"/>
        <v>983.99775628743453</v>
      </c>
      <c r="AG150" s="113">
        <f t="shared" si="143"/>
        <v>980.91529278718508</v>
      </c>
      <c r="AH150" s="113">
        <f t="shared" si="143"/>
        <v>980.42508040545374</v>
      </c>
      <c r="AI150" s="113">
        <f t="shared" si="143"/>
        <v>973.14054174845216</v>
      </c>
      <c r="AJ150" s="113">
        <f t="shared" si="143"/>
        <v>965.86007709494652</v>
      </c>
      <c r="AK150" s="113">
        <f t="shared" si="143"/>
        <v>958.58377059494376</v>
      </c>
      <c r="AL150" s="113">
        <f t="shared" si="143"/>
        <v>951.31170289611759</v>
      </c>
      <c r="AM150" s="198"/>
      <c r="AN150" s="198"/>
      <c r="AO150" s="198"/>
      <c r="AP150" s="198"/>
      <c r="AQ150" s="198"/>
      <c r="AR150" s="198"/>
      <c r="AS150" s="198"/>
      <c r="AT150" s="198"/>
      <c r="AU150" s="198"/>
      <c r="AV150" s="198"/>
      <c r="AW150" s="198"/>
      <c r="AX150" s="198"/>
      <c r="AY150" s="198"/>
      <c r="AZ150" s="198"/>
      <c r="BA150" s="198"/>
      <c r="BB150" s="198"/>
      <c r="BC150" s="198"/>
      <c r="BD150" s="198"/>
      <c r="BE150" s="198"/>
      <c r="BF150" s="198"/>
    </row>
    <row r="151" spans="1:58" outlineLevel="1" x14ac:dyDescent="0.3">
      <c r="A151" s="198"/>
      <c r="B151" s="198"/>
      <c r="C151" s="198"/>
      <c r="D151" s="198"/>
      <c r="E151" s="198"/>
      <c r="F151" s="198"/>
      <c r="G151" s="198"/>
      <c r="H151" s="198"/>
      <c r="I151" s="198"/>
      <c r="J151" s="198"/>
      <c r="K151" s="198"/>
      <c r="L151" s="1304"/>
      <c r="M151" s="202"/>
      <c r="N151" s="199"/>
      <c r="O151" s="200"/>
      <c r="P151" s="200"/>
      <c r="Q151" s="200"/>
      <c r="R151" s="200"/>
      <c r="S151" s="200"/>
      <c r="T151" s="200"/>
      <c r="U151" s="200"/>
      <c r="V151" s="200"/>
      <c r="W151" s="200"/>
      <c r="X151" s="200"/>
      <c r="Y151" s="394"/>
      <c r="Z151" s="208"/>
      <c r="AA151" s="208"/>
      <c r="AB151" s="198"/>
      <c r="AC151" s="198"/>
      <c r="AD151" s="198"/>
      <c r="AE151" s="198"/>
      <c r="AF151" s="198"/>
      <c r="AG151" s="198"/>
      <c r="AH151" s="198"/>
      <c r="AI151" s="198"/>
      <c r="AJ151" s="198"/>
      <c r="AK151" s="198"/>
      <c r="AL151" s="198"/>
      <c r="AM151" s="198"/>
      <c r="AN151" s="198"/>
      <c r="AO151" s="198"/>
      <c r="AP151" s="198"/>
      <c r="AQ151" s="198"/>
      <c r="AR151" s="198"/>
      <c r="AS151" s="198"/>
      <c r="AT151" s="198"/>
      <c r="AU151" s="198"/>
      <c r="AV151" s="198"/>
      <c r="AW151" s="198"/>
      <c r="AX151" s="198"/>
      <c r="AY151" s="198"/>
      <c r="AZ151" s="198"/>
      <c r="BA151" s="198"/>
      <c r="BB151" s="198"/>
      <c r="BC151" s="198"/>
      <c r="BD151" s="198"/>
      <c r="BE151" s="198"/>
      <c r="BF151" s="198"/>
    </row>
    <row r="152" spans="1:58" x14ac:dyDescent="0.3">
      <c r="A152" s="198"/>
      <c r="B152" s="198"/>
      <c r="C152" s="198"/>
      <c r="D152" s="198"/>
      <c r="E152" s="198"/>
      <c r="F152" s="198"/>
      <c r="G152" s="198"/>
      <c r="H152" s="198"/>
      <c r="I152" s="198"/>
      <c r="J152" s="198"/>
      <c r="K152" s="198"/>
      <c r="L152" s="1304"/>
      <c r="M152" s="77" t="s">
        <v>914</v>
      </c>
      <c r="N152" s="207" t="s">
        <v>77</v>
      </c>
      <c r="O152" s="200"/>
      <c r="P152" s="200"/>
      <c r="Q152" s="200"/>
      <c r="R152" s="200"/>
      <c r="S152" s="200"/>
      <c r="T152" s="200"/>
      <c r="U152" s="200"/>
      <c r="V152" s="200"/>
      <c r="W152" s="200"/>
      <c r="X152" s="200"/>
      <c r="Y152" s="394"/>
      <c r="Z152" s="208"/>
      <c r="AA152" s="208"/>
      <c r="AB152" s="404">
        <f t="shared" ref="AB152:AC152" si="144">AB146+AB147+AB148+AB149+AB150</f>
        <v>31150.220000000005</v>
      </c>
      <c r="AC152" s="404">
        <f t="shared" si="144"/>
        <v>30921.100307237419</v>
      </c>
      <c r="AD152" s="404">
        <f t="shared" ref="AD152:AL152" si="145">AD146+AD147+AD148+AD149+AD150</f>
        <v>31544.530707497936</v>
      </c>
      <c r="AE152" s="404">
        <f t="shared" si="145"/>
        <v>31729.88315431674</v>
      </c>
      <c r="AF152" s="404">
        <f t="shared" si="145"/>
        <v>31742.832049952303</v>
      </c>
      <c r="AG152" s="404">
        <f t="shared" si="145"/>
        <v>31475.568447563339</v>
      </c>
      <c r="AH152" s="404">
        <f t="shared" si="145"/>
        <v>31345.121915089512</v>
      </c>
      <c r="AI152" s="404">
        <f t="shared" si="145"/>
        <v>31086.263444090568</v>
      </c>
      <c r="AJ152" s="404">
        <f t="shared" si="145"/>
        <v>30988.2559439373</v>
      </c>
      <c r="AK152" s="404">
        <f t="shared" si="145"/>
        <v>30863.341918288832</v>
      </c>
      <c r="AL152" s="404">
        <f t="shared" si="145"/>
        <v>30721.039199511793</v>
      </c>
      <c r="AM152" s="198"/>
      <c r="AN152" s="198"/>
      <c r="AO152" s="198"/>
      <c r="AP152" s="198"/>
      <c r="AQ152" s="198"/>
      <c r="AR152" s="198"/>
      <c r="AS152" s="198"/>
      <c r="AT152" s="198"/>
      <c r="AU152" s="198"/>
      <c r="AV152" s="198"/>
      <c r="AW152" s="198"/>
      <c r="AX152" s="198"/>
      <c r="AY152" s="198"/>
      <c r="AZ152" s="198"/>
      <c r="BA152" s="198"/>
      <c r="BB152" s="198"/>
      <c r="BC152" s="198"/>
      <c r="BD152" s="198"/>
      <c r="BE152" s="198"/>
      <c r="BF152" s="198"/>
    </row>
    <row r="153" spans="1:58" ht="14.25" thickBot="1" x14ac:dyDescent="0.35">
      <c r="A153" s="198"/>
      <c r="B153" s="198"/>
      <c r="C153" s="198"/>
      <c r="D153" s="198"/>
      <c r="E153" s="198"/>
      <c r="F153" s="198"/>
      <c r="G153" s="198"/>
      <c r="H153" s="198"/>
      <c r="I153" s="198"/>
      <c r="J153" s="198"/>
      <c r="K153" s="198"/>
      <c r="L153" s="1304"/>
      <c r="M153" s="72" t="s">
        <v>915</v>
      </c>
      <c r="N153" s="207" t="s">
        <v>68</v>
      </c>
      <c r="O153" s="200"/>
      <c r="P153" s="200"/>
      <c r="Q153" s="200"/>
      <c r="R153" s="200"/>
      <c r="S153" s="200"/>
      <c r="T153" s="200"/>
      <c r="U153" s="200"/>
      <c r="V153" s="200"/>
      <c r="W153" s="200"/>
      <c r="X153" s="200"/>
      <c r="Y153" s="394"/>
      <c r="Z153" s="208"/>
      <c r="AA153" s="208"/>
      <c r="AB153" s="405">
        <f t="shared" ref="AB153:AC153" si="146">-(AB152-AB$11)/AB$11</f>
        <v>0</v>
      </c>
      <c r="AC153" s="405">
        <f t="shared" si="146"/>
        <v>3.5491552501608738E-3</v>
      </c>
      <c r="AD153" s="405">
        <f>-(AD152-AD$11)/AD$11</f>
        <v>1.3852573990583532E-3</v>
      </c>
      <c r="AE153" s="405">
        <f>-((AD$11-AD152)-(AE$11-AE152))/AE$11</f>
        <v>1.0786401583195641E-3</v>
      </c>
      <c r="AF153" s="405">
        <f t="shared" ref="AF153" si="147">-((AE$11-AE152)-(AF$11-AF152))/AF$11</f>
        <v>7.0330170044556484E-3</v>
      </c>
      <c r="AG153" s="405">
        <f t="shared" ref="AG153" si="148">-((AF$11-AF152)-(AG$11-AG152))/AG$11</f>
        <v>1.5799255304943437E-2</v>
      </c>
      <c r="AH153" s="405">
        <f t="shared" ref="AH153" si="149">-((AG$11-AG152)-(AH$11-AH152))/AH$11</f>
        <v>1.1615762384214044E-2</v>
      </c>
      <c r="AI153" s="405">
        <f t="shared" ref="AI153" si="150">-((AH$11-AH152)-(AI$11-AI152))/AI$11</f>
        <v>1.5731530062482221E-2</v>
      </c>
      <c r="AJ153" s="405">
        <f t="shared" ref="AJ153" si="151">-((AI$11-AI152)-(AJ$11-AJ152))/AJ$11</f>
        <v>1.0865284029014119E-2</v>
      </c>
      <c r="AK153" s="405">
        <f t="shared" ref="AK153" si="152">-((AJ$11-AJ152)-(AK$11-AK152))/AK$11</f>
        <v>1.1711159782388124E-2</v>
      </c>
      <c r="AL153" s="405">
        <f t="shared" ref="AL153" si="153">-((AK$11-AK152)-(AL$11-AL152))/AL$11</f>
        <v>1.22603910046093E-2</v>
      </c>
      <c r="AM153" s="198"/>
      <c r="AN153" s="198"/>
      <c r="AO153" s="198"/>
      <c r="AP153" s="198"/>
      <c r="AQ153" s="198"/>
      <c r="AR153" s="198"/>
      <c r="AS153" s="198"/>
      <c r="AT153" s="198"/>
      <c r="AU153" s="198"/>
      <c r="AV153" s="198"/>
      <c r="AW153" s="198"/>
      <c r="AX153" s="198"/>
      <c r="AY153" s="198"/>
      <c r="AZ153" s="198"/>
      <c r="BA153" s="198"/>
      <c r="BB153" s="198"/>
      <c r="BC153" s="198"/>
      <c r="BD153" s="198"/>
      <c r="BE153" s="198"/>
      <c r="BF153" s="198"/>
    </row>
    <row r="154" spans="1:58" ht="14.25" thickBot="1" x14ac:dyDescent="0.35">
      <c r="A154" s="198"/>
      <c r="B154" s="198"/>
      <c r="C154" s="198"/>
      <c r="D154" s="198"/>
      <c r="E154" s="198"/>
      <c r="F154" s="198"/>
      <c r="G154" s="198"/>
      <c r="H154" s="198"/>
      <c r="I154" s="198"/>
      <c r="J154" s="198"/>
      <c r="K154" s="198"/>
      <c r="L154" s="1304"/>
      <c r="M154" s="72" t="s">
        <v>916</v>
      </c>
      <c r="N154" s="207" t="s">
        <v>68</v>
      </c>
      <c r="O154" s="200"/>
      <c r="P154" s="200"/>
      <c r="Q154" s="200"/>
      <c r="R154" s="200"/>
      <c r="S154" s="200"/>
      <c r="T154" s="200"/>
      <c r="U154" s="200"/>
      <c r="V154" s="200"/>
      <c r="W154" s="200"/>
      <c r="X154" s="200"/>
      <c r="Y154" s="394"/>
      <c r="Z154" s="208"/>
      <c r="AA154" s="208"/>
      <c r="AB154" s="200"/>
      <c r="AC154" s="200"/>
      <c r="AD154" s="518"/>
      <c r="AE154" s="518"/>
      <c r="AF154" s="1311">
        <f>((AL$11-AL152)-(AF$11-AF152))/AL$11/7</f>
        <v>1.0909683420612923E-2</v>
      </c>
      <c r="AG154" s="1312"/>
      <c r="AH154" s="1312"/>
      <c r="AI154" s="1312"/>
      <c r="AJ154" s="1312"/>
      <c r="AK154" s="1312"/>
      <c r="AL154" s="1313"/>
      <c r="AM154" s="198"/>
      <c r="AN154" s="198"/>
      <c r="AO154" s="198"/>
      <c r="AP154" s="198"/>
      <c r="AQ154" s="198"/>
      <c r="AR154" s="198"/>
      <c r="AS154" s="198"/>
      <c r="AT154" s="198"/>
      <c r="AU154" s="198"/>
      <c r="AV154" s="198"/>
      <c r="AW154" s="198"/>
      <c r="AX154" s="198"/>
      <c r="AY154" s="198"/>
      <c r="AZ154" s="198"/>
      <c r="BA154" s="198"/>
      <c r="BB154" s="198"/>
      <c r="BC154" s="198"/>
      <c r="BD154" s="198"/>
      <c r="BE154" s="198"/>
      <c r="BF154" s="198"/>
    </row>
    <row r="155" spans="1:58" x14ac:dyDescent="0.3">
      <c r="A155" s="198"/>
      <c r="B155" s="198"/>
      <c r="C155" s="198"/>
      <c r="D155" s="198"/>
      <c r="E155" s="198"/>
      <c r="F155" s="198"/>
      <c r="G155" s="198"/>
      <c r="H155" s="198"/>
      <c r="I155" s="198"/>
      <c r="J155" s="198"/>
      <c r="K155" s="198"/>
      <c r="L155" s="1304"/>
      <c r="M155" s="202"/>
      <c r="N155" s="199"/>
      <c r="O155" s="200"/>
      <c r="P155" s="200"/>
      <c r="Q155" s="200"/>
      <c r="R155" s="200"/>
      <c r="S155" s="200"/>
      <c r="T155" s="200"/>
      <c r="U155" s="200"/>
      <c r="V155" s="200"/>
      <c r="W155" s="200"/>
      <c r="X155" s="200"/>
      <c r="Y155" s="394"/>
      <c r="Z155" s="208"/>
      <c r="AA155" s="208"/>
      <c r="AB155" s="200"/>
      <c r="AC155" s="200"/>
      <c r="AD155" s="198"/>
      <c r="AE155" s="198"/>
      <c r="AF155" s="198"/>
      <c r="AG155" s="198"/>
      <c r="AH155" s="198"/>
      <c r="AI155" s="198"/>
      <c r="AJ155" s="198"/>
      <c r="AK155" s="198"/>
      <c r="AL155" s="198"/>
      <c r="AM155" s="198"/>
      <c r="AN155" s="198"/>
      <c r="AO155" s="198"/>
      <c r="AP155" s="198"/>
      <c r="AQ155" s="198"/>
      <c r="AR155" s="198"/>
      <c r="AS155" s="198"/>
      <c r="AT155" s="198"/>
      <c r="AU155" s="198"/>
      <c r="AV155" s="198"/>
      <c r="AW155" s="198"/>
      <c r="AX155" s="198"/>
      <c r="AY155" s="198"/>
      <c r="AZ155" s="198"/>
      <c r="BA155" s="198"/>
      <c r="BB155" s="198"/>
      <c r="BC155" s="198"/>
      <c r="BD155" s="198"/>
      <c r="BE155" s="198"/>
      <c r="BF155" s="198"/>
    </row>
    <row r="156" spans="1:58" ht="12" customHeight="1" x14ac:dyDescent="0.3">
      <c r="A156" s="198"/>
      <c r="B156" s="198"/>
      <c r="C156" s="198"/>
      <c r="D156" s="198"/>
      <c r="E156" s="198"/>
      <c r="F156" s="198"/>
      <c r="G156" s="198"/>
      <c r="H156" s="198"/>
      <c r="I156" s="198"/>
      <c r="J156" s="198"/>
      <c r="K156" s="198"/>
      <c r="L156" s="1309" t="str">
        <f>'EE Measures'!II6</f>
        <v>Renowave</v>
      </c>
      <c r="M156" s="1310" t="str">
        <f>L156</f>
        <v>Renowave</v>
      </c>
      <c r="N156" s="1310"/>
      <c r="O156" s="1310"/>
      <c r="P156" s="1310"/>
      <c r="Q156" s="1310"/>
      <c r="R156" s="1310"/>
      <c r="S156" s="1310"/>
      <c r="T156" s="1310"/>
      <c r="U156" s="1310"/>
      <c r="V156" s="1310"/>
      <c r="W156" s="1310"/>
      <c r="X156" s="1310"/>
      <c r="Y156" s="394"/>
      <c r="Z156" s="535"/>
      <c r="AA156" s="535"/>
      <c r="AB156" s="1310"/>
      <c r="AC156" s="1310"/>
      <c r="AD156" s="536"/>
      <c r="AE156" s="536"/>
      <c r="AF156" s="536"/>
      <c r="AG156" s="536"/>
      <c r="AH156" s="536"/>
      <c r="AI156" s="536"/>
      <c r="AJ156" s="536"/>
      <c r="AK156" s="536"/>
      <c r="AL156" s="536"/>
      <c r="AM156" s="198"/>
      <c r="AN156" s="198"/>
      <c r="AO156" s="198"/>
      <c r="AP156" s="198"/>
      <c r="AQ156" s="198"/>
      <c r="AR156" s="198"/>
      <c r="AS156" s="198"/>
      <c r="AT156" s="198"/>
      <c r="AU156" s="198"/>
      <c r="AV156" s="198"/>
      <c r="AW156" s="198"/>
      <c r="AX156" s="198"/>
      <c r="AY156" s="198"/>
      <c r="AZ156" s="198"/>
      <c r="BA156" s="198"/>
      <c r="BB156" s="198"/>
      <c r="BC156" s="198"/>
      <c r="BD156" s="198"/>
      <c r="BE156" s="198"/>
      <c r="BF156" s="198"/>
    </row>
    <row r="157" spans="1:58" outlineLevel="1" x14ac:dyDescent="0.3">
      <c r="A157" s="198"/>
      <c r="B157" s="198"/>
      <c r="C157" s="198"/>
      <c r="D157" s="198"/>
      <c r="E157" s="198"/>
      <c r="F157" s="198"/>
      <c r="G157" s="198"/>
      <c r="H157" s="198"/>
      <c r="I157" s="198"/>
      <c r="J157" s="198"/>
      <c r="K157" s="198"/>
      <c r="L157" s="1309"/>
      <c r="M157" s="201" t="s">
        <v>901</v>
      </c>
      <c r="N157" s="207" t="s">
        <v>77</v>
      </c>
      <c r="O157" s="200"/>
      <c r="P157" s="200"/>
      <c r="Q157" s="200"/>
      <c r="R157" s="200"/>
      <c r="S157" s="200"/>
      <c r="T157" s="200"/>
      <c r="U157" s="200"/>
      <c r="V157" s="200"/>
      <c r="W157" s="200"/>
      <c r="X157" s="200"/>
      <c r="Y157" s="394"/>
      <c r="Z157" s="208"/>
      <c r="AA157" s="208"/>
      <c r="AB157" s="533"/>
      <c r="AC157" s="533">
        <f t="shared" ref="AC157:AL157" si="154">SUMPRODUCT($H$621:$H$622,AC$621:AC$622)+SUMPRODUCT($H$627:$H$632,AC$627:AC$632)</f>
        <v>-71.459249999999997</v>
      </c>
      <c r="AD157" s="533">
        <f t="shared" si="154"/>
        <v>-3.2802999999999969</v>
      </c>
      <c r="AE157" s="533">
        <f t="shared" si="154"/>
        <v>-3.2802999999999969</v>
      </c>
      <c r="AF157" s="533">
        <f t="shared" si="154"/>
        <v>-20.491898903383429</v>
      </c>
      <c r="AG157" s="533">
        <f t="shared" si="154"/>
        <v>-99.94697524294655</v>
      </c>
      <c r="AH157" s="533">
        <f t="shared" si="154"/>
        <v>-167.78422232272584</v>
      </c>
      <c r="AI157" s="533">
        <f t="shared" si="154"/>
        <v>-219.83597440825923</v>
      </c>
      <c r="AJ157" s="533">
        <f t="shared" si="154"/>
        <v>-229.47342919616912</v>
      </c>
      <c r="AK157" s="533">
        <f t="shared" si="154"/>
        <v>-239.11088398407901</v>
      </c>
      <c r="AL157" s="533">
        <f t="shared" si="154"/>
        <v>-248.74833877198893</v>
      </c>
      <c r="AM157" s="532">
        <f>SUM(AD157:AL157)</f>
        <v>-1231.952322829552</v>
      </c>
      <c r="AN157" s="198"/>
      <c r="AO157" s="198"/>
      <c r="AP157" s="198"/>
      <c r="AQ157" s="198"/>
      <c r="AR157" s="198"/>
      <c r="AS157" s="198"/>
      <c r="AT157" s="198"/>
      <c r="AU157" s="198"/>
      <c r="AV157" s="198"/>
      <c r="AW157" s="198"/>
      <c r="AX157" s="198"/>
      <c r="AY157" s="198"/>
      <c r="AZ157" s="198"/>
      <c r="BA157" s="198"/>
      <c r="BB157" s="198"/>
      <c r="BC157" s="198"/>
      <c r="BD157" s="198"/>
      <c r="BE157" s="198"/>
      <c r="BF157" s="198"/>
    </row>
    <row r="158" spans="1:58" outlineLevel="1" x14ac:dyDescent="0.3">
      <c r="A158" s="198"/>
      <c r="B158" s="198"/>
      <c r="C158" s="198"/>
      <c r="D158" s="198"/>
      <c r="E158" s="198"/>
      <c r="F158" s="198"/>
      <c r="G158" s="198"/>
      <c r="H158" s="198"/>
      <c r="I158" s="198"/>
      <c r="J158" s="198"/>
      <c r="K158" s="198"/>
      <c r="L158" s="1309"/>
      <c r="M158" s="201" t="s">
        <v>902</v>
      </c>
      <c r="N158" s="207" t="s">
        <v>77</v>
      </c>
      <c r="O158" s="200"/>
      <c r="P158" s="200"/>
      <c r="Q158" s="200"/>
      <c r="R158" s="200"/>
      <c r="S158" s="200"/>
      <c r="T158" s="200"/>
      <c r="U158" s="200"/>
      <c r="V158" s="200"/>
      <c r="W158" s="200"/>
      <c r="X158" s="200"/>
      <c r="Y158" s="394"/>
      <c r="Z158" s="208"/>
      <c r="AA158" s="208"/>
      <c r="AB158" s="532"/>
      <c r="AC158" s="532">
        <f t="shared" ref="AC158:AL158" si="155">SUMPRODUCT($H$699:$H$702,AC$699:AC$702)+SUMPRODUCT($H$707:$H$714,AC$707:AC$714)</f>
        <v>-2.9497749683944372</v>
      </c>
      <c r="AD158" s="532">
        <f t="shared" si="155"/>
        <v>-3.5922486490719709</v>
      </c>
      <c r="AE158" s="532">
        <f t="shared" si="155"/>
        <v>-7.9201255416805818</v>
      </c>
      <c r="AF158" s="532">
        <f t="shared" si="155"/>
        <v>-8.0871255416805816</v>
      </c>
      <c r="AG158" s="532">
        <f t="shared" si="155"/>
        <v>-378.66350054168061</v>
      </c>
      <c r="AH158" s="532">
        <f t="shared" si="155"/>
        <v>-745.53791475736693</v>
      </c>
      <c r="AI158" s="532">
        <f t="shared" si="155"/>
        <v>-1108.7829556550987</v>
      </c>
      <c r="AJ158" s="532">
        <f t="shared" si="155"/>
        <v>-1468.3027874175807</v>
      </c>
      <c r="AK158" s="532">
        <f t="shared" si="155"/>
        <v>-1824.3341788513865</v>
      </c>
      <c r="AL158" s="532">
        <f t="shared" si="155"/>
        <v>-2176.9455307472745</v>
      </c>
      <c r="AM158" s="532">
        <f t="shared" ref="AM158:AM161" si="156">SUM(AD158:AL158)</f>
        <v>-7722.1663677028209</v>
      </c>
      <c r="AN158" s="198"/>
      <c r="AO158" s="198"/>
      <c r="AP158" s="198"/>
      <c r="AQ158" s="198"/>
      <c r="AR158" s="198"/>
      <c r="AS158" s="198"/>
      <c r="AT158" s="198"/>
      <c r="AU158" s="198"/>
      <c r="AV158" s="198"/>
      <c r="AW158" s="198"/>
      <c r="AX158" s="198"/>
      <c r="AY158" s="198"/>
      <c r="AZ158" s="198"/>
      <c r="BA158" s="198"/>
      <c r="BB158" s="198"/>
      <c r="BC158" s="198"/>
      <c r="BD158" s="198"/>
      <c r="BE158" s="198"/>
      <c r="BF158" s="198"/>
    </row>
    <row r="159" spans="1:58" outlineLevel="1" x14ac:dyDescent="0.3">
      <c r="A159" s="198"/>
      <c r="B159" s="198"/>
      <c r="C159" s="198"/>
      <c r="D159" s="198"/>
      <c r="E159" s="198"/>
      <c r="F159" s="198"/>
      <c r="G159" s="198"/>
      <c r="H159" s="198"/>
      <c r="I159" s="198"/>
      <c r="J159" s="198"/>
      <c r="K159" s="198"/>
      <c r="L159" s="1309"/>
      <c r="M159" s="201" t="s">
        <v>903</v>
      </c>
      <c r="N159" s="207" t="s">
        <v>77</v>
      </c>
      <c r="O159" s="200"/>
      <c r="P159" s="200"/>
      <c r="Q159" s="200"/>
      <c r="R159" s="200"/>
      <c r="S159" s="200"/>
      <c r="T159" s="200"/>
      <c r="U159" s="200"/>
      <c r="V159" s="200"/>
      <c r="W159" s="200"/>
      <c r="X159" s="200"/>
      <c r="Y159" s="394"/>
      <c r="Z159" s="208"/>
      <c r="AA159" s="208"/>
      <c r="AB159" s="533"/>
      <c r="AC159" s="533">
        <f t="shared" ref="AC159:AL159" si="157">SUMPRODUCT($H$919:$H$925,AC$919:AC$925)+SUMPRODUCT($H$931:$H$938,AC$931:AC$938)</f>
        <v>-8.2481988000000008</v>
      </c>
      <c r="AD159" s="533">
        <f t="shared" si="157"/>
        <v>-4.9282862999999999</v>
      </c>
      <c r="AE159" s="533">
        <f t="shared" si="157"/>
        <v>-5.4417418</v>
      </c>
      <c r="AF159" s="533">
        <f t="shared" si="157"/>
        <v>-5.5447698000000001</v>
      </c>
      <c r="AG159" s="533">
        <f t="shared" si="157"/>
        <v>-90.248769800000005</v>
      </c>
      <c r="AH159" s="533">
        <f t="shared" si="157"/>
        <v>-174.10571097647062</v>
      </c>
      <c r="AI159" s="533">
        <f t="shared" si="157"/>
        <v>-257.13220232595154</v>
      </c>
      <c r="AJ159" s="533">
        <f t="shared" si="157"/>
        <v>-339.34452717838388</v>
      </c>
      <c r="AK159" s="533">
        <f t="shared" si="157"/>
        <v>-420.75864958272928</v>
      </c>
      <c r="AL159" s="533">
        <f t="shared" si="157"/>
        <v>-501.39022056738168</v>
      </c>
      <c r="AM159" s="532">
        <f t="shared" si="156"/>
        <v>-1798.894878330917</v>
      </c>
      <c r="AN159" s="198"/>
      <c r="AO159" s="198"/>
      <c r="AP159" s="198"/>
      <c r="AQ159" s="198"/>
      <c r="AR159" s="198"/>
      <c r="AS159" s="198"/>
      <c r="AT159" s="198"/>
      <c r="AU159" s="198"/>
      <c r="AV159" s="198"/>
      <c r="AW159" s="198"/>
      <c r="AX159" s="198"/>
      <c r="AY159" s="198"/>
      <c r="AZ159" s="198"/>
      <c r="BA159" s="198"/>
      <c r="BB159" s="198"/>
      <c r="BC159" s="198"/>
      <c r="BD159" s="198"/>
      <c r="BE159" s="198"/>
      <c r="BF159" s="198"/>
    </row>
    <row r="160" spans="1:58" outlineLevel="1" x14ac:dyDescent="0.3">
      <c r="A160" s="198"/>
      <c r="B160" s="198"/>
      <c r="C160" s="198"/>
      <c r="D160" s="198"/>
      <c r="E160" s="198"/>
      <c r="F160" s="198"/>
      <c r="G160" s="198"/>
      <c r="H160" s="198"/>
      <c r="I160" s="198"/>
      <c r="J160" s="198"/>
      <c r="K160" s="198"/>
      <c r="L160" s="1309"/>
      <c r="M160" s="201" t="s">
        <v>904</v>
      </c>
      <c r="N160" s="207" t="s">
        <v>77</v>
      </c>
      <c r="O160" s="200"/>
      <c r="P160" s="200"/>
      <c r="Q160" s="200"/>
      <c r="R160" s="200"/>
      <c r="S160" s="200"/>
      <c r="T160" s="200"/>
      <c r="U160" s="200"/>
      <c r="V160" s="200"/>
      <c r="W160" s="200"/>
      <c r="X160" s="200"/>
      <c r="Y160" s="394"/>
      <c r="Z160" s="208"/>
      <c r="AA160" s="208"/>
      <c r="AB160" s="532"/>
      <c r="AC160" s="532">
        <f t="shared" ref="AC160:AL160" si="158">SUMPRODUCT($H$1263:$H$1267,AC$1263:AC$1267)+SUMPRODUCT($H$1272:$H$1289,AC$1272:AC$1289)</f>
        <v>-27.289255271963924</v>
      </c>
      <c r="AD160" s="532">
        <f t="shared" si="158"/>
        <v>-13.995063731449235</v>
      </c>
      <c r="AE160" s="532">
        <f t="shared" si="158"/>
        <v>-25.351341737910296</v>
      </c>
      <c r="AF160" s="532">
        <f t="shared" si="158"/>
        <v>-31.03248695193804</v>
      </c>
      <c r="AG160" s="532">
        <f t="shared" si="158"/>
        <v>-110.31379161129327</v>
      </c>
      <c r="AH160" s="532">
        <f t="shared" si="158"/>
        <v>-151.59492860869386</v>
      </c>
      <c r="AI160" s="532">
        <f t="shared" si="158"/>
        <v>-330.49018978839598</v>
      </c>
      <c r="AJ160" s="532">
        <f t="shared" si="158"/>
        <v>-370.86572632991118</v>
      </c>
      <c r="AK160" s="532">
        <f t="shared" si="158"/>
        <v>-411.37384869973215</v>
      </c>
      <c r="AL160" s="532">
        <f t="shared" si="158"/>
        <v>-451.05391157301585</v>
      </c>
      <c r="AM160" s="532">
        <f t="shared" si="156"/>
        <v>-1896.0712890323398</v>
      </c>
      <c r="AN160" s="198"/>
      <c r="AO160" s="198"/>
      <c r="AP160" s="198"/>
      <c r="AQ160" s="198"/>
      <c r="AR160" s="198"/>
      <c r="AS160" s="198"/>
      <c r="AT160" s="198"/>
      <c r="AU160" s="198"/>
      <c r="AV160" s="198"/>
      <c r="AW160" s="198"/>
      <c r="AX160" s="198"/>
      <c r="AY160" s="198"/>
      <c r="AZ160" s="198"/>
      <c r="BA160" s="198"/>
      <c r="BB160" s="198"/>
      <c r="BC160" s="198"/>
      <c r="BD160" s="198"/>
      <c r="BE160" s="198"/>
      <c r="BF160" s="198"/>
    </row>
    <row r="161" spans="1:58" outlineLevel="1" x14ac:dyDescent="0.3">
      <c r="A161" s="198"/>
      <c r="B161" s="198"/>
      <c r="C161" s="198"/>
      <c r="D161" s="198"/>
      <c r="E161" s="198"/>
      <c r="F161" s="198"/>
      <c r="G161" s="198"/>
      <c r="H161" s="198"/>
      <c r="I161" s="198"/>
      <c r="J161" s="198"/>
      <c r="K161" s="198"/>
      <c r="L161" s="1309"/>
      <c r="M161" s="201" t="s">
        <v>905</v>
      </c>
      <c r="N161" s="207" t="s">
        <v>77</v>
      </c>
      <c r="O161" s="200"/>
      <c r="P161" s="200"/>
      <c r="Q161" s="200"/>
      <c r="R161" s="200"/>
      <c r="S161" s="200"/>
      <c r="T161" s="200"/>
      <c r="U161" s="200"/>
      <c r="V161" s="200"/>
      <c r="W161" s="200"/>
      <c r="X161" s="200"/>
      <c r="Y161" s="394"/>
      <c r="Z161" s="208"/>
      <c r="AA161" s="208"/>
      <c r="AB161" s="533"/>
      <c r="AC161" s="533">
        <f t="shared" ref="AC161:AL161" si="159">SUMPRODUCT($H$1312:$H$1313,AC$1312:AC$1313)+SUMPRODUCT($H$1318:$H$1319,AC$1318:AC$1319)</f>
        <v>-0.18819149999999973</v>
      </c>
      <c r="AD161" s="533">
        <f t="shared" si="159"/>
        <v>0</v>
      </c>
      <c r="AE161" s="533">
        <f t="shared" si="159"/>
        <v>0</v>
      </c>
      <c r="AF161" s="533">
        <f t="shared" si="159"/>
        <v>0</v>
      </c>
      <c r="AG161" s="533">
        <f t="shared" si="159"/>
        <v>0</v>
      </c>
      <c r="AH161" s="533">
        <f t="shared" si="159"/>
        <v>0</v>
      </c>
      <c r="AI161" s="533">
        <f t="shared" si="159"/>
        <v>-6.8000000000000007</v>
      </c>
      <c r="AJ161" s="533">
        <f t="shared" si="159"/>
        <v>-13.600000000000001</v>
      </c>
      <c r="AK161" s="533">
        <f t="shared" si="159"/>
        <v>-20.400000000000002</v>
      </c>
      <c r="AL161" s="533">
        <f t="shared" si="159"/>
        <v>-27.200000000000003</v>
      </c>
      <c r="AM161" s="532">
        <f t="shared" si="156"/>
        <v>-68</v>
      </c>
      <c r="AN161" s="198"/>
      <c r="AO161" s="198"/>
      <c r="AP161" s="198"/>
      <c r="AQ161" s="198"/>
      <c r="AR161" s="198"/>
      <c r="AS161" s="198"/>
      <c r="AT161" s="198"/>
      <c r="AU161" s="198"/>
      <c r="AV161" s="198"/>
      <c r="AW161" s="198"/>
      <c r="AX161" s="198"/>
      <c r="AY161" s="198"/>
      <c r="AZ161" s="198"/>
      <c r="BA161" s="198"/>
      <c r="BB161" s="198"/>
      <c r="BC161" s="198"/>
      <c r="BD161" s="198"/>
      <c r="BE161" s="198"/>
      <c r="BF161" s="198"/>
    </row>
    <row r="162" spans="1:58" outlineLevel="1" x14ac:dyDescent="0.3">
      <c r="A162" s="198"/>
      <c r="B162" s="198"/>
      <c r="C162" s="198"/>
      <c r="D162" s="198"/>
      <c r="E162" s="198"/>
      <c r="F162" s="198"/>
      <c r="G162" s="198"/>
      <c r="H162" s="198"/>
      <c r="I162" s="198"/>
      <c r="J162" s="198"/>
      <c r="K162" s="198"/>
      <c r="L162" s="1309"/>
      <c r="M162" s="202"/>
      <c r="N162" s="199"/>
      <c r="O162" s="200"/>
      <c r="P162" s="200"/>
      <c r="Q162" s="200"/>
      <c r="R162" s="200"/>
      <c r="S162" s="200"/>
      <c r="T162" s="200"/>
      <c r="U162" s="200"/>
      <c r="V162" s="200"/>
      <c r="W162" s="200"/>
      <c r="X162" s="200"/>
      <c r="Y162" s="394"/>
      <c r="Z162" s="208"/>
      <c r="AA162" s="208"/>
      <c r="AB162" s="198"/>
      <c r="AC162" s="198"/>
      <c r="AD162" s="198"/>
      <c r="AE162" s="198"/>
      <c r="AF162" s="198"/>
      <c r="AG162" s="198"/>
      <c r="AH162" s="198"/>
      <c r="AI162" s="198"/>
      <c r="AJ162" s="198"/>
      <c r="AK162" s="198"/>
      <c r="AL162" s="198"/>
      <c r="AM162" s="198"/>
      <c r="AN162" s="198"/>
      <c r="AO162" s="198"/>
      <c r="AP162" s="198"/>
      <c r="AQ162" s="198"/>
      <c r="AR162" s="198"/>
      <c r="AS162" s="198"/>
      <c r="AT162" s="198"/>
      <c r="AU162" s="198"/>
      <c r="AV162" s="198"/>
      <c r="AW162" s="198"/>
      <c r="AX162" s="198"/>
      <c r="AY162" s="198"/>
      <c r="AZ162" s="198"/>
      <c r="BA162" s="198"/>
      <c r="BB162" s="198"/>
      <c r="BC162" s="198"/>
      <c r="BD162" s="198"/>
      <c r="BE162" s="198"/>
      <c r="BF162" s="198"/>
    </row>
    <row r="163" spans="1:58" outlineLevel="1" x14ac:dyDescent="0.3">
      <c r="A163" s="198"/>
      <c r="B163" s="198"/>
      <c r="C163" s="198"/>
      <c r="D163" s="198"/>
      <c r="E163" s="198"/>
      <c r="F163" s="198"/>
      <c r="G163" s="198"/>
      <c r="H163" s="198"/>
      <c r="I163" s="198"/>
      <c r="J163" s="198"/>
      <c r="K163" s="198"/>
      <c r="L163" s="1309"/>
      <c r="M163" s="201" t="s">
        <v>907</v>
      </c>
      <c r="N163" s="207" t="s">
        <v>77</v>
      </c>
      <c r="O163" s="200"/>
      <c r="P163" s="200"/>
      <c r="Q163" s="200"/>
      <c r="R163" s="200"/>
      <c r="S163" s="200"/>
      <c r="T163" s="200"/>
      <c r="U163" s="200"/>
      <c r="V163" s="200"/>
      <c r="W163" s="200"/>
      <c r="X163" s="200"/>
      <c r="Y163" s="394"/>
      <c r="Z163" s="208"/>
      <c r="AA163" s="208"/>
      <c r="AB163" s="406"/>
      <c r="AC163" s="406">
        <f t="shared" ref="AC163" si="160">((AC$67*$H$67)+SUMPRODUCT($H$28:$H$40,AC$28:AC$40))*AC6/AC$11</f>
        <v>0</v>
      </c>
      <c r="AD163" s="406">
        <f>((AD$67*$H$67)+SUMPRODUCT($H$28:$H$40,AD$28:AD$40))*AD6/AD$11</f>
        <v>-2.727677786333802</v>
      </c>
      <c r="AE163" s="406">
        <f t="shared" ref="AE163:AL167" si="161">(SUMPRODUCT(AE$67:AE$67,$H$67:$H$67)+SUMPRODUCT($H$28:$H$40,AE$28:AE$40))*AE6/AE$11</f>
        <v>-5.5055424125658288</v>
      </c>
      <c r="AF163" s="406">
        <f t="shared" si="161"/>
        <v>-33.992672857533051</v>
      </c>
      <c r="AG163" s="406">
        <f t="shared" si="161"/>
        <v>-50.06129197144633</v>
      </c>
      <c r="AH163" s="406">
        <f t="shared" si="161"/>
        <v>-53.323672665530452</v>
      </c>
      <c r="AI163" s="406">
        <f t="shared" si="161"/>
        <v>-56.643157287247774</v>
      </c>
      <c r="AJ163" s="406">
        <f t="shared" si="161"/>
        <v>-60.028725787461767</v>
      </c>
      <c r="AK163" s="406">
        <f t="shared" si="161"/>
        <v>-63.480840444986065</v>
      </c>
      <c r="AL163" s="406">
        <f t="shared" si="161"/>
        <v>-66.999963219906462</v>
      </c>
      <c r="AM163" s="532">
        <f>SUM(AD163:AL163)</f>
        <v>-392.76354443301159</v>
      </c>
      <c r="AN163" s="1257">
        <f>(AM157+AM163)/8</f>
        <v>-203.08948340782047</v>
      </c>
      <c r="AO163" s="198"/>
      <c r="AP163" s="198"/>
      <c r="AQ163" s="198"/>
      <c r="AR163" s="198"/>
      <c r="AS163" s="198"/>
      <c r="AT163" s="198"/>
      <c r="AU163" s="198"/>
      <c r="AV163" s="198"/>
      <c r="AW163" s="198"/>
      <c r="AX163" s="198"/>
      <c r="AY163" s="198"/>
      <c r="AZ163" s="198"/>
      <c r="BA163" s="198"/>
      <c r="BB163" s="198"/>
      <c r="BC163" s="198"/>
      <c r="BD163" s="198"/>
      <c r="BE163" s="198"/>
      <c r="BF163" s="198"/>
    </row>
    <row r="164" spans="1:58" outlineLevel="1" x14ac:dyDescent="0.3">
      <c r="A164" s="198"/>
      <c r="B164" s="198"/>
      <c r="C164" s="198"/>
      <c r="D164" s="198"/>
      <c r="E164" s="198"/>
      <c r="F164" s="198"/>
      <c r="G164" s="198"/>
      <c r="H164" s="198"/>
      <c r="I164" s="198"/>
      <c r="J164" s="198"/>
      <c r="K164" s="198"/>
      <c r="L164" s="1309"/>
      <c r="M164" s="201" t="s">
        <v>908</v>
      </c>
      <c r="N164" s="207" t="s">
        <v>77</v>
      </c>
      <c r="O164" s="200"/>
      <c r="P164" s="200"/>
      <c r="Q164" s="200"/>
      <c r="R164" s="200"/>
      <c r="S164" s="200"/>
      <c r="T164" s="200"/>
      <c r="U164" s="200"/>
      <c r="V164" s="200"/>
      <c r="W164" s="200"/>
      <c r="X164" s="200"/>
      <c r="Y164" s="394"/>
      <c r="Z164" s="208"/>
      <c r="AA164" s="208"/>
      <c r="AB164" s="406"/>
      <c r="AC164" s="406">
        <f t="shared" ref="AC164" si="162">((AC$67*$H$67)+SUMPRODUCT($H$28:$H$40,AC$28:AC$40))*AC7/AC$11</f>
        <v>0</v>
      </c>
      <c r="AD164" s="406">
        <f>((AD$67*$H$67)+SUMPRODUCT($H$28:$H$40,AD$28:AD$40))*AD7/AD$11</f>
        <v>-6.0076958218968253</v>
      </c>
      <c r="AE164" s="406">
        <f t="shared" si="161"/>
        <v>-12.017063473036384</v>
      </c>
      <c r="AF164" s="406">
        <f t="shared" si="161"/>
        <v>-73.322518545654518</v>
      </c>
      <c r="AG164" s="406">
        <f t="shared" si="161"/>
        <v>-106.72450644328562</v>
      </c>
      <c r="AH164" s="406">
        <f t="shared" si="161"/>
        <v>-112.36955545665913</v>
      </c>
      <c r="AI164" s="406">
        <f t="shared" si="161"/>
        <v>-118.05386316349525</v>
      </c>
      <c r="AJ164" s="406">
        <f t="shared" si="161"/>
        <v>-123.74519101336342</v>
      </c>
      <c r="AK164" s="406">
        <f t="shared" si="161"/>
        <v>-129.44364440315545</v>
      </c>
      <c r="AL164" s="406">
        <f t="shared" si="161"/>
        <v>-135.14935414781374</v>
      </c>
      <c r="AM164" s="532">
        <f t="shared" ref="AM164:AM167" si="163">SUM(AD164:AL164)</f>
        <v>-816.83339246836033</v>
      </c>
      <c r="AN164" s="198"/>
      <c r="AO164" s="198"/>
      <c r="AP164" s="198"/>
      <c r="AQ164" s="198"/>
      <c r="AR164" s="198"/>
      <c r="AS164" s="198"/>
      <c r="AT164" s="198"/>
      <c r="AU164" s="198"/>
      <c r="AV164" s="198"/>
      <c r="AW164" s="198"/>
      <c r="AX164" s="198"/>
      <c r="AY164" s="198"/>
      <c r="AZ164" s="198"/>
      <c r="BA164" s="198"/>
      <c r="BB164" s="198"/>
      <c r="BC164" s="198"/>
      <c r="BD164" s="198"/>
      <c r="BE164" s="198"/>
      <c r="BF164" s="198"/>
    </row>
    <row r="165" spans="1:58" outlineLevel="1" x14ac:dyDescent="0.3">
      <c r="A165" s="198"/>
      <c r="B165" s="198"/>
      <c r="C165" s="198"/>
      <c r="D165" s="198"/>
      <c r="E165" s="198"/>
      <c r="F165" s="198"/>
      <c r="G165" s="198"/>
      <c r="H165" s="198"/>
      <c r="I165" s="198"/>
      <c r="J165" s="198"/>
      <c r="K165" s="198"/>
      <c r="L165" s="1309"/>
      <c r="M165" s="201" t="s">
        <v>909</v>
      </c>
      <c r="N165" s="207" t="s">
        <v>77</v>
      </c>
      <c r="O165" s="200"/>
      <c r="P165" s="200"/>
      <c r="Q165" s="200"/>
      <c r="R165" s="200"/>
      <c r="S165" s="200"/>
      <c r="T165" s="200"/>
      <c r="U165" s="200"/>
      <c r="V165" s="200"/>
      <c r="W165" s="200"/>
      <c r="X165" s="200"/>
      <c r="Y165" s="394"/>
      <c r="Z165" s="208"/>
      <c r="AA165" s="208"/>
      <c r="AB165" s="406"/>
      <c r="AC165" s="406">
        <f t="shared" ref="AC165" si="164">((AC$67*$H$67)+SUMPRODUCT($H$28:$H$40,AC$28:AC$40))*AC8/AC$11</f>
        <v>0</v>
      </c>
      <c r="AD165" s="406">
        <f>((AD$67*$H$67)+SUMPRODUCT($H$28:$H$40,AD$28:AD$40))*AD8/AD$11</f>
        <v>-3.0804002116585458</v>
      </c>
      <c r="AE165" s="406">
        <f t="shared" si="161"/>
        <v>-6.1813209209559794</v>
      </c>
      <c r="AF165" s="406">
        <f t="shared" si="161"/>
        <v>-37.836340761102001</v>
      </c>
      <c r="AG165" s="406">
        <f t="shared" si="161"/>
        <v>-55.249639516586235</v>
      </c>
      <c r="AH165" s="406">
        <f t="shared" si="161"/>
        <v>-58.35953849495376</v>
      </c>
      <c r="AI165" s="406">
        <f t="shared" si="161"/>
        <v>-61.488713037921599</v>
      </c>
      <c r="AJ165" s="406">
        <f t="shared" si="161"/>
        <v>-64.642685808211112</v>
      </c>
      <c r="AK165" s="406">
        <f t="shared" si="161"/>
        <v>-67.822106671771579</v>
      </c>
      <c r="AL165" s="406">
        <f t="shared" si="161"/>
        <v>-71.027639921238872</v>
      </c>
      <c r="AM165" s="532">
        <f t="shared" si="163"/>
        <v>-425.68838534439965</v>
      </c>
      <c r="AN165" s="198"/>
      <c r="AO165" s="198"/>
      <c r="AP165" s="198"/>
      <c r="AQ165" s="198"/>
      <c r="AR165" s="198"/>
      <c r="AS165" s="198"/>
      <c r="AT165" s="198"/>
      <c r="AU165" s="198"/>
      <c r="AV165" s="198"/>
      <c r="AW165" s="198"/>
      <c r="AX165" s="198"/>
      <c r="AY165" s="198"/>
      <c r="AZ165" s="198"/>
      <c r="BA165" s="198"/>
      <c r="BB165" s="198"/>
      <c r="BC165" s="198"/>
      <c r="BD165" s="198"/>
      <c r="BE165" s="198"/>
      <c r="BF165" s="198"/>
    </row>
    <row r="166" spans="1:58" outlineLevel="1" x14ac:dyDescent="0.3">
      <c r="A166" s="198"/>
      <c r="B166" s="198"/>
      <c r="C166" s="198"/>
      <c r="D166" s="198"/>
      <c r="E166" s="198"/>
      <c r="F166" s="198"/>
      <c r="G166" s="198"/>
      <c r="H166" s="198"/>
      <c r="I166" s="198"/>
      <c r="J166" s="198"/>
      <c r="K166" s="198"/>
      <c r="L166" s="1309"/>
      <c r="M166" s="201" t="s">
        <v>910</v>
      </c>
      <c r="N166" s="207" t="s">
        <v>77</v>
      </c>
      <c r="O166" s="200"/>
      <c r="P166" s="200"/>
      <c r="Q166" s="200"/>
      <c r="R166" s="200"/>
      <c r="S166" s="200"/>
      <c r="T166" s="200"/>
      <c r="U166" s="200"/>
      <c r="V166" s="200"/>
      <c r="W166" s="200"/>
      <c r="X166" s="200"/>
      <c r="Y166" s="394"/>
      <c r="Z166" s="208"/>
      <c r="AA166" s="208"/>
      <c r="AB166" s="406"/>
      <c r="AC166" s="406">
        <f t="shared" ref="AC166" si="165">((AC$67*$H$67)+SUMPRODUCT($H$28:$H$40,AC$28:AC$40))*AC9/AC$11</f>
        <v>0</v>
      </c>
      <c r="AD166" s="406">
        <f>((AD$67*$H$67)+SUMPRODUCT($H$28:$H$40,AD$28:AD$40))*AD9/AD$11</f>
        <v>-5.5828216243274902</v>
      </c>
      <c r="AE166" s="406">
        <f t="shared" si="161"/>
        <v>-11.246092699688113</v>
      </c>
      <c r="AF166" s="406">
        <f t="shared" si="161"/>
        <v>-69.094295430194535</v>
      </c>
      <c r="AG166" s="406">
        <f t="shared" si="161"/>
        <v>-101.25448358969408</v>
      </c>
      <c r="AH166" s="406">
        <f t="shared" si="161"/>
        <v>-107.3217126995489</v>
      </c>
      <c r="AI166" s="406">
        <f t="shared" si="161"/>
        <v>-113.44107292931756</v>
      </c>
      <c r="AJ166" s="406">
        <f t="shared" si="161"/>
        <v>-119.62923591553286</v>
      </c>
      <c r="AK166" s="406">
        <f t="shared" si="161"/>
        <v>-125.88564327405514</v>
      </c>
      <c r="AL166" s="406">
        <f t="shared" si="161"/>
        <v>-132.20973398759571</v>
      </c>
      <c r="AM166" s="532">
        <f t="shared" si="163"/>
        <v>-785.66509214995426</v>
      </c>
      <c r="AN166" s="198"/>
      <c r="AO166" s="198"/>
      <c r="AP166" s="198"/>
      <c r="AQ166" s="198"/>
      <c r="AR166" s="198"/>
      <c r="AS166" s="198"/>
      <c r="AT166" s="198"/>
      <c r="AU166" s="198"/>
      <c r="AV166" s="198"/>
      <c r="AW166" s="198"/>
      <c r="AX166" s="198"/>
      <c r="AY166" s="198"/>
      <c r="AZ166" s="198"/>
      <c r="BA166" s="198"/>
      <c r="BB166" s="198"/>
      <c r="BC166" s="198"/>
      <c r="BD166" s="198"/>
      <c r="BE166" s="198"/>
      <c r="BF166" s="198"/>
    </row>
    <row r="167" spans="1:58" outlineLevel="1" x14ac:dyDescent="0.3">
      <c r="A167" s="198"/>
      <c r="B167" s="198"/>
      <c r="C167" s="198"/>
      <c r="D167" s="198"/>
      <c r="E167" s="198"/>
      <c r="F167" s="198"/>
      <c r="G167" s="198"/>
      <c r="H167" s="198"/>
      <c r="I167" s="198"/>
      <c r="J167" s="198"/>
      <c r="K167" s="198"/>
      <c r="L167" s="1309"/>
      <c r="M167" s="201" t="s">
        <v>911</v>
      </c>
      <c r="N167" s="207" t="s">
        <v>77</v>
      </c>
      <c r="O167" s="200"/>
      <c r="P167" s="200"/>
      <c r="Q167" s="200"/>
      <c r="R167" s="200"/>
      <c r="S167" s="200"/>
      <c r="T167" s="200"/>
      <c r="U167" s="200"/>
      <c r="V167" s="200"/>
      <c r="W167" s="200"/>
      <c r="X167" s="200"/>
      <c r="Y167" s="394"/>
      <c r="Z167" s="208"/>
      <c r="AA167" s="208"/>
      <c r="AB167" s="406"/>
      <c r="AC167" s="406">
        <f t="shared" ref="AC167" si="166">((AC$67*$H$67)+SUMPRODUCT($H$28:$H$40,AC$28:AC$40))*AC10/AC$11</f>
        <v>0</v>
      </c>
      <c r="AD167" s="406">
        <f>((AD$67*$H$67)+SUMPRODUCT($H$28:$H$40,AD$28:AD$40))*AD10/AD$11</f>
        <v>-0.56341640698250128</v>
      </c>
      <c r="AE167" s="406">
        <f t="shared" si="161"/>
        <v>-1.123714598459449</v>
      </c>
      <c r="AF167" s="406">
        <f t="shared" si="161"/>
        <v>-6.8355770458988951</v>
      </c>
      <c r="AG167" s="406">
        <f t="shared" si="161"/>
        <v>-9.9180405461482763</v>
      </c>
      <c r="AH167" s="406">
        <f t="shared" si="161"/>
        <v>-10.408252927879586</v>
      </c>
      <c r="AI167" s="406">
        <f t="shared" si="161"/>
        <v>-10.8927915848812</v>
      </c>
      <c r="AJ167" s="406">
        <f t="shared" si="161"/>
        <v>-11.373256238386842</v>
      </c>
      <c r="AK167" s="406">
        <f t="shared" si="161"/>
        <v>-11.849562738389633</v>
      </c>
      <c r="AL167" s="406">
        <f t="shared" si="161"/>
        <v>-12.321630437215724</v>
      </c>
      <c r="AM167" s="532">
        <f t="shared" si="163"/>
        <v>-75.286242524242112</v>
      </c>
      <c r="AN167" s="198"/>
      <c r="AO167" s="198"/>
      <c r="AP167" s="198"/>
      <c r="AQ167" s="198"/>
      <c r="AR167" s="198"/>
      <c r="AS167" s="198"/>
      <c r="AT167" s="198"/>
      <c r="AU167" s="198"/>
      <c r="AV167" s="198"/>
      <c r="AW167" s="198"/>
      <c r="AX167" s="198"/>
      <c r="AY167" s="198"/>
      <c r="AZ167" s="198"/>
      <c r="BA167" s="198"/>
      <c r="BB167" s="198"/>
      <c r="BC167" s="198"/>
      <c r="BD167" s="198"/>
      <c r="BE167" s="198"/>
      <c r="BF167" s="198"/>
    </row>
    <row r="168" spans="1:58" outlineLevel="1" x14ac:dyDescent="0.3">
      <c r="A168" s="198"/>
      <c r="B168" s="198"/>
      <c r="C168" s="198"/>
      <c r="D168" s="198"/>
      <c r="E168" s="198"/>
      <c r="F168" s="198"/>
      <c r="G168" s="198"/>
      <c r="H168" s="198"/>
      <c r="I168" s="198"/>
      <c r="J168" s="198"/>
      <c r="K168" s="198"/>
      <c r="L168" s="1309"/>
      <c r="M168" s="202"/>
      <c r="N168" s="199"/>
      <c r="O168" s="200"/>
      <c r="P168" s="200"/>
      <c r="Q168" s="200"/>
      <c r="R168" s="200"/>
      <c r="S168" s="200"/>
      <c r="T168" s="200"/>
      <c r="U168" s="200"/>
      <c r="V168" s="200"/>
      <c r="W168" s="200"/>
      <c r="X168" s="200"/>
      <c r="Y168" s="394"/>
      <c r="Z168" s="208"/>
      <c r="AA168" s="208"/>
      <c r="AB168" s="198"/>
      <c r="AC168" s="198"/>
      <c r="AD168" s="198"/>
      <c r="AE168" s="198"/>
      <c r="AF168" s="198"/>
      <c r="AG168" s="198"/>
      <c r="AH168" s="198"/>
      <c r="AI168" s="198"/>
      <c r="AJ168" s="198"/>
      <c r="AK168" s="198"/>
      <c r="AL168" s="198"/>
      <c r="AM168" s="198"/>
      <c r="AN168" s="198"/>
      <c r="AO168" s="198"/>
      <c r="AP168" s="198"/>
      <c r="AQ168" s="198"/>
      <c r="AR168" s="198"/>
      <c r="AS168" s="198"/>
      <c r="AT168" s="198"/>
      <c r="AU168" s="198"/>
      <c r="AV168" s="198"/>
      <c r="AW168" s="198"/>
      <c r="AX168" s="198"/>
      <c r="AY168" s="198"/>
      <c r="AZ168" s="198"/>
      <c r="BA168" s="198"/>
      <c r="BB168" s="198"/>
      <c r="BC168" s="198"/>
      <c r="BD168" s="198"/>
      <c r="BE168" s="198"/>
      <c r="BF168" s="198"/>
    </row>
    <row r="169" spans="1:58" outlineLevel="1" x14ac:dyDescent="0.3">
      <c r="A169" s="198"/>
      <c r="B169" s="198" t="s">
        <v>883</v>
      </c>
      <c r="C169" s="198"/>
      <c r="D169" s="198"/>
      <c r="E169" s="198"/>
      <c r="F169" s="198"/>
      <c r="G169" s="198"/>
      <c r="H169" s="198"/>
      <c r="I169" s="198"/>
      <c r="J169" s="198"/>
      <c r="K169" s="198"/>
      <c r="L169" s="1309"/>
      <c r="M169" s="201" t="s">
        <v>912</v>
      </c>
      <c r="N169" s="207" t="s">
        <v>77</v>
      </c>
      <c r="O169" s="200"/>
      <c r="P169" s="200"/>
      <c r="Q169" s="200"/>
      <c r="R169" s="200"/>
      <c r="S169" s="200"/>
      <c r="T169" s="200"/>
      <c r="U169" s="200"/>
      <c r="V169" s="200"/>
      <c r="W169" s="200"/>
      <c r="X169" s="200"/>
      <c r="Y169" s="394"/>
      <c r="Z169" s="208"/>
      <c r="AA169" s="208"/>
      <c r="AB169" s="113">
        <f t="shared" ref="AB169:AC169" si="167">AB6+AB157+AB163</f>
        <v>4749.4444444444443</v>
      </c>
      <c r="AC169" s="113">
        <f t="shared" si="167"/>
        <v>4327.1518611111105</v>
      </c>
      <c r="AD169" s="113">
        <f t="shared" ref="AD169:AL169" si="168">AD6+AD157+AD163</f>
        <v>4790.9309111025541</v>
      </c>
      <c r="AE169" s="113">
        <f t="shared" si="168"/>
        <v>4845.7163131429907</v>
      </c>
      <c r="AF169" s="113">
        <f t="shared" si="168"/>
        <v>4872.8351161279725</v>
      </c>
      <c r="AG169" s="113">
        <f t="shared" si="168"/>
        <v>4851.2212159928267</v>
      </c>
      <c r="AH169" s="113">
        <f t="shared" si="168"/>
        <v>4855.1400304670715</v>
      </c>
      <c r="AI169" s="113">
        <f t="shared" si="168"/>
        <v>4875.9125126416511</v>
      </c>
      <c r="AJ169" s="113">
        <f t="shared" si="168"/>
        <v>4940.1753640185843</v>
      </c>
      <c r="AK169" s="113">
        <f t="shared" si="168"/>
        <v>5005.5309573581835</v>
      </c>
      <c r="AL169" s="113">
        <f t="shared" si="168"/>
        <v>5071.9962200221607</v>
      </c>
      <c r="AM169" s="198"/>
      <c r="AN169" s="198"/>
      <c r="AO169" s="198"/>
      <c r="AP169" s="198"/>
      <c r="AQ169" s="198"/>
      <c r="AR169" s="198"/>
      <c r="AS169" s="198"/>
      <c r="AT169" s="198"/>
      <c r="AU169" s="198"/>
      <c r="AV169" s="198"/>
      <c r="AW169" s="198"/>
      <c r="AX169" s="198"/>
      <c r="AY169" s="198"/>
      <c r="AZ169" s="198"/>
      <c r="BA169" s="198"/>
      <c r="BB169" s="198"/>
      <c r="BC169" s="198"/>
      <c r="BD169" s="198"/>
      <c r="BE169" s="198"/>
      <c r="BF169" s="198"/>
    </row>
    <row r="170" spans="1:58" outlineLevel="1" x14ac:dyDescent="0.3">
      <c r="A170" s="198"/>
      <c r="B170" s="198" t="s">
        <v>888</v>
      </c>
      <c r="C170" s="198"/>
      <c r="D170" s="198"/>
      <c r="E170" s="198"/>
      <c r="F170" s="198"/>
      <c r="G170" s="198"/>
      <c r="H170" s="198"/>
      <c r="I170" s="198"/>
      <c r="J170" s="198"/>
      <c r="K170" s="198"/>
      <c r="L170" s="1309"/>
      <c r="M170" s="201" t="s">
        <v>889</v>
      </c>
      <c r="N170" s="207" t="s">
        <v>77</v>
      </c>
      <c r="O170" s="200"/>
      <c r="P170" s="200"/>
      <c r="Q170" s="200"/>
      <c r="R170" s="200"/>
      <c r="S170" s="200"/>
      <c r="T170" s="200"/>
      <c r="U170" s="200"/>
      <c r="V170" s="200"/>
      <c r="W170" s="200"/>
      <c r="X170" s="200"/>
      <c r="Y170" s="394"/>
      <c r="Z170" s="208"/>
      <c r="AA170" s="208"/>
      <c r="AB170" s="113">
        <f t="shared" ref="AB170:AC170" si="169">AB7+AB158+AB164</f>
        <v>10567.960000000001</v>
      </c>
      <c r="AC170" s="113">
        <f t="shared" si="169"/>
        <v>10532.931725031605</v>
      </c>
      <c r="AD170" s="113">
        <f t="shared" ref="AD170:AL170" si="170">AD7+AD158+AD164</f>
        <v>10555.632453966533</v>
      </c>
      <c r="AE170" s="113">
        <f t="shared" si="170"/>
        <v>10576.086992027871</v>
      </c>
      <c r="AF170" s="113">
        <f t="shared" si="170"/>
        <v>10546.865770140304</v>
      </c>
      <c r="AG170" s="113">
        <f t="shared" si="170"/>
        <v>10176.617050921615</v>
      </c>
      <c r="AH170" s="113">
        <f t="shared" si="170"/>
        <v>9839.3250019208517</v>
      </c>
      <c r="AI170" s="113">
        <f t="shared" si="170"/>
        <v>9511.6136362066991</v>
      </c>
      <c r="AJ170" s="113">
        <f t="shared" si="170"/>
        <v>9188.5813792288809</v>
      </c>
      <c r="AK170" s="113">
        <f t="shared" si="170"/>
        <v>8870.003652434194</v>
      </c>
      <c r="AL170" s="113">
        <f t="shared" si="170"/>
        <v>8555.8244014737011</v>
      </c>
      <c r="AM170" s="198"/>
      <c r="AN170" s="198"/>
      <c r="AO170" s="198"/>
      <c r="AP170" s="198"/>
      <c r="AQ170" s="198"/>
      <c r="AR170" s="198"/>
      <c r="AS170" s="198"/>
      <c r="AT170" s="198"/>
      <c r="AU170" s="198"/>
      <c r="AV170" s="198"/>
      <c r="AW170" s="198"/>
      <c r="AX170" s="198"/>
      <c r="AY170" s="198"/>
      <c r="AZ170" s="198"/>
      <c r="BA170" s="198"/>
      <c r="BB170" s="198"/>
      <c r="BC170" s="198"/>
      <c r="BD170" s="198"/>
      <c r="BE170" s="198"/>
      <c r="BF170" s="198"/>
    </row>
    <row r="171" spans="1:58" outlineLevel="1" x14ac:dyDescent="0.3">
      <c r="A171" s="198"/>
      <c r="B171" s="198" t="s">
        <v>890</v>
      </c>
      <c r="C171" s="198"/>
      <c r="D171" s="198"/>
      <c r="E171" s="198"/>
      <c r="F171" s="198"/>
      <c r="G171" s="198"/>
      <c r="H171" s="198"/>
      <c r="I171" s="198"/>
      <c r="J171" s="198"/>
      <c r="K171" s="198"/>
      <c r="L171" s="1309"/>
      <c r="M171" s="201" t="s">
        <v>891</v>
      </c>
      <c r="N171" s="207" t="s">
        <v>77</v>
      </c>
      <c r="O171" s="200"/>
      <c r="P171" s="200"/>
      <c r="Q171" s="200"/>
      <c r="R171" s="200"/>
      <c r="S171" s="200"/>
      <c r="T171" s="200"/>
      <c r="U171" s="200"/>
      <c r="V171" s="200"/>
      <c r="W171" s="200"/>
      <c r="X171" s="200"/>
      <c r="Y171" s="394"/>
      <c r="Z171" s="208"/>
      <c r="AA171" s="208"/>
      <c r="AB171" s="113">
        <f t="shared" ref="AB171:AC171" si="171">AB8+AB159+AB165</f>
        <v>5382.26</v>
      </c>
      <c r="AC171" s="113">
        <f t="shared" si="171"/>
        <v>5376.8275011999995</v>
      </c>
      <c r="AD171" s="113">
        <f t="shared" ref="AD171:AL171" si="172">AD8+AD159+AD165</f>
        <v>5409.2336441916041</v>
      </c>
      <c r="AE171" s="113">
        <f t="shared" si="172"/>
        <v>5438.7455815152716</v>
      </c>
      <c r="AF171" s="113">
        <f t="shared" si="172"/>
        <v>5441.0874845154394</v>
      </c>
      <c r="AG171" s="113">
        <f t="shared" si="172"/>
        <v>5374.0580225175217</v>
      </c>
      <c r="AH171" s="113">
        <f t="shared" si="172"/>
        <v>5323.1814531428918</v>
      </c>
      <c r="AI171" s="113">
        <f t="shared" si="172"/>
        <v>5274.5336058611938</v>
      </c>
      <c r="AJ171" s="113">
        <f t="shared" si="172"/>
        <v>5227.6565759564646</v>
      </c>
      <c r="AK171" s="113">
        <f t="shared" si="172"/>
        <v>5182.5486778779305</v>
      </c>
      <c r="AL171" s="113">
        <f t="shared" si="172"/>
        <v>5139.2088256517573</v>
      </c>
      <c r="AM171" s="198"/>
      <c r="AN171" s="198"/>
      <c r="AO171" s="198"/>
      <c r="AP171" s="198"/>
      <c r="AQ171" s="198"/>
      <c r="AR171" s="198"/>
      <c r="AS171" s="198"/>
      <c r="AT171" s="198"/>
      <c r="AU171" s="198"/>
      <c r="AV171" s="198"/>
      <c r="AW171" s="198"/>
      <c r="AX171" s="198"/>
      <c r="AY171" s="198"/>
      <c r="AZ171" s="198"/>
      <c r="BA171" s="198"/>
      <c r="BB171" s="198"/>
      <c r="BC171" s="198"/>
      <c r="BD171" s="198"/>
      <c r="BE171" s="198"/>
      <c r="BF171" s="198"/>
    </row>
    <row r="172" spans="1:58" outlineLevel="1" x14ac:dyDescent="0.3">
      <c r="A172" s="198"/>
      <c r="B172" s="198" t="s">
        <v>892</v>
      </c>
      <c r="C172" s="198"/>
      <c r="D172" s="198"/>
      <c r="E172" s="198"/>
      <c r="F172" s="198"/>
      <c r="G172" s="198"/>
      <c r="H172" s="198"/>
      <c r="I172" s="198"/>
      <c r="J172" s="198"/>
      <c r="K172" s="198"/>
      <c r="L172" s="1309"/>
      <c r="M172" s="201" t="s">
        <v>893</v>
      </c>
      <c r="N172" s="207" t="s">
        <v>77</v>
      </c>
      <c r="O172" s="200"/>
      <c r="P172" s="200"/>
      <c r="Q172" s="200"/>
      <c r="R172" s="200"/>
      <c r="S172" s="200"/>
      <c r="T172" s="200"/>
      <c r="U172" s="200"/>
      <c r="V172" s="200"/>
      <c r="W172" s="200"/>
      <c r="X172" s="200"/>
      <c r="Y172" s="394"/>
      <c r="Z172" s="208"/>
      <c r="AA172" s="208"/>
      <c r="AB172" s="113">
        <f t="shared" ref="AB172:AC172" si="173">AB9+AB160+AB166</f>
        <v>9177.7777777777792</v>
      </c>
      <c r="AC172" s="113">
        <f t="shared" si="173"/>
        <v>9693.5440780613699</v>
      </c>
      <c r="AD172" s="113">
        <f t="shared" ref="AD172:AL172" si="174">AD9+AD160+AD166</f>
        <v>9798.4637813108911</v>
      </c>
      <c r="AE172" s="113">
        <f t="shared" si="174"/>
        <v>9879.6246488957349</v>
      </c>
      <c r="AF172" s="113">
        <f t="shared" si="174"/>
        <v>9915.2575217845351</v>
      </c>
      <c r="AG172" s="113">
        <f t="shared" si="174"/>
        <v>9903.9698720073484</v>
      </c>
      <c r="AH172" s="113">
        <f t="shared" si="174"/>
        <v>9957.7768873721743</v>
      </c>
      <c r="AI172" s="113">
        <f t="shared" si="174"/>
        <v>9874.9292012495098</v>
      </c>
      <c r="AJ172" s="113">
        <f t="shared" si="174"/>
        <v>9931.554106361451</v>
      </c>
      <c r="AK172" s="113">
        <f t="shared" si="174"/>
        <v>9989.0100673191773</v>
      </c>
      <c r="AL172" s="113">
        <f t="shared" si="174"/>
        <v>10048.268609325283</v>
      </c>
      <c r="AM172" s="198"/>
      <c r="AN172" s="198"/>
      <c r="AO172" s="198"/>
      <c r="AP172" s="198"/>
      <c r="AQ172" s="198"/>
      <c r="AR172" s="198"/>
      <c r="AS172" s="198"/>
      <c r="AT172" s="198"/>
      <c r="AU172" s="198"/>
      <c r="AV172" s="198"/>
      <c r="AW172" s="198"/>
      <c r="AX172" s="198"/>
      <c r="AY172" s="198"/>
      <c r="AZ172" s="198"/>
      <c r="BA172" s="198"/>
      <c r="BB172" s="198"/>
      <c r="BC172" s="198"/>
      <c r="BD172" s="198"/>
      <c r="BE172" s="198"/>
      <c r="BF172" s="198"/>
    </row>
    <row r="173" spans="1:58" outlineLevel="1" x14ac:dyDescent="0.3">
      <c r="A173" s="198"/>
      <c r="B173" s="198" t="s">
        <v>894</v>
      </c>
      <c r="C173" s="198"/>
      <c r="D173" s="198"/>
      <c r="E173" s="198"/>
      <c r="F173" s="198"/>
      <c r="G173" s="198"/>
      <c r="H173" s="198"/>
      <c r="I173" s="198"/>
      <c r="J173" s="198"/>
      <c r="K173" s="198"/>
      <c r="L173" s="1309"/>
      <c r="M173" s="201" t="s">
        <v>895</v>
      </c>
      <c r="N173" s="207" t="s">
        <v>77</v>
      </c>
      <c r="O173" s="200"/>
      <c r="P173" s="200"/>
      <c r="Q173" s="200"/>
      <c r="R173" s="200"/>
      <c r="S173" s="200"/>
      <c r="T173" s="200"/>
      <c r="U173" s="200"/>
      <c r="V173" s="200"/>
      <c r="W173" s="200"/>
      <c r="X173" s="200"/>
      <c r="Y173" s="394"/>
      <c r="Z173" s="208"/>
      <c r="AA173" s="208"/>
      <c r="AB173" s="113">
        <f t="shared" ref="AB173:AC173" si="175">AB10+AB161+AB167</f>
        <v>1272.7777777777778</v>
      </c>
      <c r="AC173" s="113">
        <f t="shared" si="175"/>
        <v>990.64514183333335</v>
      </c>
      <c r="AD173" s="113">
        <f t="shared" ref="AD173:AL173" si="176">AD10+AD161+AD167</f>
        <v>990.2699169263509</v>
      </c>
      <c r="AE173" s="113">
        <f t="shared" si="176"/>
        <v>989.70961873487397</v>
      </c>
      <c r="AF173" s="113">
        <f t="shared" si="176"/>
        <v>983.99775628743453</v>
      </c>
      <c r="AG173" s="113">
        <f t="shared" si="176"/>
        <v>980.91529278718508</v>
      </c>
      <c r="AH173" s="113">
        <f t="shared" si="176"/>
        <v>980.42508040545374</v>
      </c>
      <c r="AI173" s="113">
        <f t="shared" si="176"/>
        <v>973.14054174845216</v>
      </c>
      <c r="AJ173" s="113">
        <f t="shared" si="176"/>
        <v>965.86007709494652</v>
      </c>
      <c r="AK173" s="113">
        <f t="shared" si="176"/>
        <v>958.58377059494376</v>
      </c>
      <c r="AL173" s="113">
        <f t="shared" si="176"/>
        <v>951.31170289611759</v>
      </c>
      <c r="AM173" s="198"/>
      <c r="AN173" s="198"/>
      <c r="AO173" s="198"/>
      <c r="AP173" s="198"/>
      <c r="AQ173" s="198"/>
      <c r="AR173" s="198"/>
      <c r="AS173" s="198"/>
      <c r="AT173" s="198"/>
      <c r="AU173" s="198"/>
      <c r="AV173" s="198"/>
      <c r="AW173" s="198"/>
      <c r="AX173" s="198"/>
      <c r="AY173" s="198"/>
      <c r="AZ173" s="198"/>
      <c r="BA173" s="198"/>
      <c r="BB173" s="198"/>
      <c r="BC173" s="198"/>
      <c r="BD173" s="198"/>
      <c r="BE173" s="198"/>
      <c r="BF173" s="198"/>
    </row>
    <row r="174" spans="1:58" ht="9" customHeight="1" outlineLevel="1" x14ac:dyDescent="0.3">
      <c r="A174" s="198"/>
      <c r="B174" s="198"/>
      <c r="C174" s="198"/>
      <c r="D174" s="198"/>
      <c r="E174" s="198"/>
      <c r="F174" s="198"/>
      <c r="G174" s="198"/>
      <c r="H174" s="198"/>
      <c r="I174" s="198"/>
      <c r="J174" s="198"/>
      <c r="K174" s="198"/>
      <c r="L174" s="1309"/>
      <c r="M174" s="202"/>
      <c r="N174" s="199"/>
      <c r="O174" s="200"/>
      <c r="P174" s="200"/>
      <c r="Q174" s="200"/>
      <c r="R174" s="200"/>
      <c r="S174" s="200"/>
      <c r="T174" s="200"/>
      <c r="U174" s="200"/>
      <c r="V174" s="200"/>
      <c r="W174" s="200"/>
      <c r="X174" s="200"/>
      <c r="Y174" s="394"/>
      <c r="Z174" s="208"/>
      <c r="AA174" s="208"/>
      <c r="AB174" s="198"/>
      <c r="AC174" s="198"/>
      <c r="AD174" s="198"/>
      <c r="AE174" s="198"/>
      <c r="AF174" s="198"/>
      <c r="AG174" s="198"/>
      <c r="AH174" s="198"/>
      <c r="AI174" s="198"/>
      <c r="AJ174" s="198"/>
      <c r="AK174" s="198"/>
      <c r="AL174" s="198"/>
      <c r="AM174" s="198"/>
      <c r="AN174" s="198"/>
      <c r="AO174" s="198"/>
      <c r="AP174" s="198"/>
      <c r="AQ174" s="198"/>
      <c r="AR174" s="198"/>
      <c r="AS174" s="198"/>
      <c r="AT174" s="198"/>
      <c r="AU174" s="198"/>
      <c r="AV174" s="198"/>
      <c r="AW174" s="198"/>
      <c r="AX174" s="198"/>
      <c r="AY174" s="198"/>
      <c r="AZ174" s="198"/>
      <c r="BA174" s="198"/>
      <c r="BB174" s="198"/>
      <c r="BC174" s="198"/>
      <c r="BD174" s="198"/>
      <c r="BE174" s="198"/>
      <c r="BF174" s="198"/>
    </row>
    <row r="175" spans="1:58" x14ac:dyDescent="0.3">
      <c r="A175" s="198"/>
      <c r="B175" s="198"/>
      <c r="C175" s="198"/>
      <c r="D175" s="198"/>
      <c r="E175" s="198"/>
      <c r="F175" s="198"/>
      <c r="G175" s="198"/>
      <c r="H175" s="198"/>
      <c r="I175" s="198"/>
      <c r="J175" s="198"/>
      <c r="K175" s="198"/>
      <c r="L175" s="1309"/>
      <c r="M175" s="77" t="s">
        <v>914</v>
      </c>
      <c r="N175" s="207" t="s">
        <v>77</v>
      </c>
      <c r="O175" s="200"/>
      <c r="P175" s="200"/>
      <c r="Q175" s="200"/>
      <c r="R175" s="200"/>
      <c r="S175" s="200"/>
      <c r="T175" s="200"/>
      <c r="U175" s="200"/>
      <c r="V175" s="200"/>
      <c r="W175" s="200"/>
      <c r="X175" s="200"/>
      <c r="Y175" s="394"/>
      <c r="Z175" s="208"/>
      <c r="AA175" s="208"/>
      <c r="AB175" s="404">
        <f t="shared" ref="AB175:AC175" si="177">AB169+AB170+AB171+AB172+AB173</f>
        <v>31150.220000000005</v>
      </c>
      <c r="AC175" s="404">
        <f t="shared" si="177"/>
        <v>30921.100307237419</v>
      </c>
      <c r="AD175" s="404">
        <f t="shared" ref="AD175:AL175" si="178">AD169+AD170+AD171+AD172+AD173</f>
        <v>31544.530707497936</v>
      </c>
      <c r="AE175" s="404">
        <f t="shared" si="178"/>
        <v>31729.88315431674</v>
      </c>
      <c r="AF175" s="404">
        <f t="shared" si="178"/>
        <v>31760.043648855688</v>
      </c>
      <c r="AG175" s="404">
        <f t="shared" si="178"/>
        <v>31286.781454226497</v>
      </c>
      <c r="AH175" s="404">
        <f t="shared" si="178"/>
        <v>30955.848453308441</v>
      </c>
      <c r="AI175" s="404">
        <f t="shared" si="178"/>
        <v>30510.129497707509</v>
      </c>
      <c r="AJ175" s="404">
        <f t="shared" si="178"/>
        <v>30253.827502660326</v>
      </c>
      <c r="AK175" s="404">
        <f t="shared" si="178"/>
        <v>30005.677125584429</v>
      </c>
      <c r="AL175" s="404">
        <f t="shared" si="178"/>
        <v>29766.609759369017</v>
      </c>
      <c r="AM175" s="198"/>
      <c r="AN175" s="198"/>
      <c r="AO175" s="198"/>
      <c r="AP175" s="198"/>
      <c r="AQ175" s="198"/>
      <c r="AR175" s="198"/>
      <c r="AS175" s="198"/>
      <c r="AT175" s="198"/>
      <c r="AU175" s="198"/>
      <c r="AV175" s="198"/>
      <c r="AW175" s="198"/>
      <c r="AX175" s="198"/>
      <c r="AY175" s="198"/>
      <c r="AZ175" s="198"/>
      <c r="BA175" s="198"/>
      <c r="BB175" s="198"/>
      <c r="BC175" s="198"/>
      <c r="BD175" s="198"/>
      <c r="BE175" s="198"/>
      <c r="BF175" s="198"/>
    </row>
    <row r="176" spans="1:58" ht="14.25" thickBot="1" x14ac:dyDescent="0.35">
      <c r="A176" s="198"/>
      <c r="B176" s="198"/>
      <c r="C176" s="198"/>
      <c r="D176" s="198"/>
      <c r="E176" s="198"/>
      <c r="F176" s="198"/>
      <c r="G176" s="198"/>
      <c r="H176" s="198"/>
      <c r="I176" s="198"/>
      <c r="J176" s="198"/>
      <c r="K176" s="198"/>
      <c r="L176" s="1309"/>
      <c r="M176" s="72" t="s">
        <v>915</v>
      </c>
      <c r="N176" s="207" t="s">
        <v>68</v>
      </c>
      <c r="O176" s="200"/>
      <c r="P176" s="200"/>
      <c r="Q176" s="200"/>
      <c r="R176" s="200"/>
      <c r="S176" s="200"/>
      <c r="T176" s="200"/>
      <c r="U176" s="200"/>
      <c r="V176" s="200"/>
      <c r="W176" s="200"/>
      <c r="X176" s="200"/>
      <c r="Y176" s="394"/>
      <c r="Z176" s="208"/>
      <c r="AA176" s="208"/>
      <c r="AB176" s="405">
        <f t="shared" ref="AB176:AC176" si="179">-(AB175-AB$11)/AB$11</f>
        <v>0</v>
      </c>
      <c r="AC176" s="405">
        <f t="shared" si="179"/>
        <v>3.5491552501608738E-3</v>
      </c>
      <c r="AD176" s="405">
        <f>-(AD175-AD$11)/AD$11</f>
        <v>1.3852573990583532E-3</v>
      </c>
      <c r="AE176" s="405">
        <f>-((AD$11-AD175)-(AE$11-AE175))/AE$11</f>
        <v>1.0786401583195641E-3</v>
      </c>
      <c r="AF176" s="405">
        <f t="shared" ref="AF176" si="180">-((AE$11-AE175)-(AF$11-AF175))/AF$11</f>
        <v>6.4959313212955422E-3</v>
      </c>
      <c r="AG176" s="405">
        <f t="shared" ref="AG176" si="181">-((AF$11-AF175)-(AG$11-AG175))/AG$11</f>
        <v>2.2179061301365734E-2</v>
      </c>
      <c r="AH176" s="405">
        <f t="shared" ref="AH176" si="182">-((AG$11-AG175)-(AH$11-AH175))/AH$11</f>
        <v>1.7777627358929484E-2</v>
      </c>
      <c r="AI176" s="405">
        <f t="shared" ref="AI176" si="183">-((AH$11-AH175)-(AI$11-AI175))/AI$11</f>
        <v>2.1429592165918457E-2</v>
      </c>
      <c r="AJ176" s="405">
        <f t="shared" ref="AJ176" si="184">-((AI$11-AI175)-(AJ$11-AJ175))/AJ$11</f>
        <v>1.5654129719762298E-2</v>
      </c>
      <c r="AK176" s="405">
        <f t="shared" ref="AK176" si="185">-((AJ$11-AJ175)-(AK$11-AK175))/AK$11</f>
        <v>1.5409714603306642E-2</v>
      </c>
      <c r="AL176" s="405">
        <f t="shared" ref="AL176" si="186">-((AK$11-AK175)-(AL$11-AL175))/AL$11</f>
        <v>1.5141178089776513E-2</v>
      </c>
      <c r="AM176" s="198"/>
      <c r="AN176" s="198"/>
      <c r="AO176" s="198"/>
      <c r="AP176" s="198"/>
      <c r="AQ176" s="198"/>
      <c r="AR176" s="198"/>
      <c r="AS176" s="198"/>
      <c r="AT176" s="198"/>
      <c r="AU176" s="198"/>
      <c r="AV176" s="198"/>
      <c r="AW176" s="198"/>
      <c r="AX176" s="198"/>
      <c r="AY176" s="198"/>
      <c r="AZ176" s="198"/>
      <c r="BA176" s="198"/>
      <c r="BB176" s="198"/>
      <c r="BC176" s="198"/>
      <c r="BD176" s="198"/>
      <c r="BE176" s="198"/>
      <c r="BF176" s="198"/>
    </row>
    <row r="177" spans="1:58" ht="14.25" thickBot="1" x14ac:dyDescent="0.35">
      <c r="A177" s="198"/>
      <c r="B177" s="198"/>
      <c r="C177" s="198"/>
      <c r="D177" s="198"/>
      <c r="E177" s="198"/>
      <c r="F177" s="198"/>
      <c r="G177" s="198"/>
      <c r="H177" s="198"/>
      <c r="I177" s="198"/>
      <c r="J177" s="198"/>
      <c r="K177" s="198"/>
      <c r="L177" s="1309"/>
      <c r="M177" s="72" t="s">
        <v>916</v>
      </c>
      <c r="N177" s="207" t="s">
        <v>68</v>
      </c>
      <c r="O177" s="200"/>
      <c r="P177" s="200"/>
      <c r="Q177" s="200"/>
      <c r="R177" s="200"/>
      <c r="S177" s="200"/>
      <c r="T177" s="200"/>
      <c r="U177" s="200"/>
      <c r="V177" s="200"/>
      <c r="W177" s="200"/>
      <c r="X177" s="200"/>
      <c r="Y177" s="394"/>
      <c r="Z177" s="208"/>
      <c r="AA177" s="208"/>
      <c r="AB177" s="200"/>
      <c r="AC177" s="200"/>
      <c r="AD177" s="518"/>
      <c r="AE177" s="518"/>
      <c r="AF177" s="1311">
        <f>((AL$11-AL175)-(AF$11-AF175))/AL$11/7</f>
        <v>1.5042082465692611E-2</v>
      </c>
      <c r="AG177" s="1312"/>
      <c r="AH177" s="1312"/>
      <c r="AI177" s="1312"/>
      <c r="AJ177" s="1312"/>
      <c r="AK177" s="1312"/>
      <c r="AL177" s="1313"/>
      <c r="AM177" s="198"/>
      <c r="AN177" s="198"/>
      <c r="AO177" s="198"/>
      <c r="AP177" s="198"/>
      <c r="AQ177" s="198"/>
      <c r="AR177" s="198"/>
      <c r="AS177" s="198"/>
      <c r="AT177" s="198"/>
      <c r="AU177" s="198"/>
      <c r="AV177" s="198"/>
      <c r="AW177" s="198"/>
      <c r="AX177" s="198"/>
      <c r="AY177" s="198"/>
      <c r="AZ177" s="198"/>
      <c r="BA177" s="198"/>
      <c r="BB177" s="198"/>
      <c r="BC177" s="198"/>
      <c r="BD177" s="198"/>
      <c r="BE177" s="198"/>
      <c r="BF177" s="198"/>
    </row>
    <row r="178" spans="1:58" x14ac:dyDescent="0.3">
      <c r="A178" s="198"/>
      <c r="B178" s="198"/>
      <c r="C178" s="198"/>
      <c r="D178" s="198"/>
      <c r="E178" s="198"/>
      <c r="F178" s="198"/>
      <c r="G178" s="198"/>
      <c r="H178" s="198"/>
      <c r="I178" s="198"/>
      <c r="J178" s="198"/>
      <c r="K178" s="198"/>
      <c r="L178" s="1309"/>
      <c r="M178" s="202"/>
      <c r="N178" s="199"/>
      <c r="O178" s="200"/>
      <c r="P178" s="200"/>
      <c r="Q178" s="200"/>
      <c r="R178" s="200"/>
      <c r="S178" s="200"/>
      <c r="T178" s="200"/>
      <c r="U178" s="200"/>
      <c r="V178" s="200"/>
      <c r="W178" s="200"/>
      <c r="X178" s="200"/>
      <c r="Y178" s="394"/>
      <c r="Z178" s="208"/>
      <c r="AA178" s="208"/>
      <c r="AB178" s="200"/>
      <c r="AC178" s="200"/>
      <c r="AD178" s="198"/>
      <c r="AE178" s="198"/>
      <c r="AF178" s="198"/>
      <c r="AG178" s="198"/>
      <c r="AH178" s="198"/>
      <c r="AI178" s="198"/>
      <c r="AJ178" s="198"/>
      <c r="AK178" s="198"/>
      <c r="AL178" s="198"/>
      <c r="AM178" s="198"/>
      <c r="AN178" s="198"/>
      <c r="AO178" s="198"/>
      <c r="AP178" s="198"/>
      <c r="AQ178" s="198"/>
      <c r="AR178" s="198"/>
      <c r="AS178" s="198"/>
      <c r="AT178" s="198"/>
      <c r="AU178" s="198"/>
      <c r="AV178" s="198"/>
      <c r="AW178" s="198"/>
      <c r="AX178" s="198"/>
      <c r="AY178" s="198"/>
      <c r="AZ178" s="198"/>
      <c r="BA178" s="198"/>
      <c r="BB178" s="198"/>
      <c r="BC178" s="198"/>
      <c r="BD178" s="198"/>
      <c r="BE178" s="198"/>
      <c r="BF178" s="198"/>
    </row>
    <row r="179" spans="1:58" ht="12" customHeight="1" x14ac:dyDescent="0.3">
      <c r="A179" s="198"/>
      <c r="B179" s="198"/>
      <c r="C179" s="198"/>
      <c r="D179" s="198"/>
      <c r="E179" s="198"/>
      <c r="F179" s="198"/>
      <c r="G179" s="198"/>
      <c r="H179" s="198"/>
      <c r="I179" s="198"/>
      <c r="J179" s="198"/>
      <c r="K179" s="198"/>
      <c r="L179" s="1304" t="str">
        <f>'EE Measures'!IJ6</f>
        <v>EET</v>
      </c>
      <c r="M179" s="1305" t="str">
        <f>L179</f>
        <v>EET</v>
      </c>
      <c r="N179" s="1305"/>
      <c r="O179" s="1305"/>
      <c r="P179" s="1305"/>
      <c r="Q179" s="1305"/>
      <c r="R179" s="1305"/>
      <c r="S179" s="1305"/>
      <c r="T179" s="1305"/>
      <c r="U179" s="1305"/>
      <c r="V179" s="1305"/>
      <c r="W179" s="1305"/>
      <c r="X179" s="1305"/>
      <c r="Y179" s="394"/>
      <c r="Z179" s="531"/>
      <c r="AA179" s="531"/>
      <c r="AB179" s="1305"/>
      <c r="AC179" s="1305"/>
      <c r="AD179" s="265"/>
      <c r="AE179" s="265"/>
      <c r="AF179" s="265"/>
      <c r="AG179" s="265"/>
      <c r="AH179" s="265"/>
      <c r="AI179" s="265"/>
      <c r="AJ179" s="265"/>
      <c r="AK179" s="265"/>
      <c r="AL179" s="265"/>
      <c r="AM179" s="198"/>
      <c r="AN179" s="198"/>
      <c r="AO179" s="198"/>
      <c r="AP179" s="198"/>
      <c r="AQ179" s="198"/>
      <c r="AR179" s="198"/>
      <c r="AS179" s="198"/>
      <c r="AT179" s="198"/>
      <c r="AU179" s="198"/>
      <c r="AV179" s="198"/>
      <c r="AW179" s="198"/>
      <c r="AX179" s="198"/>
      <c r="AY179" s="198"/>
      <c r="AZ179" s="198"/>
      <c r="BA179" s="198"/>
      <c r="BB179" s="198"/>
      <c r="BC179" s="198"/>
      <c r="BD179" s="198"/>
      <c r="BE179" s="198"/>
      <c r="BF179" s="198"/>
    </row>
    <row r="180" spans="1:58" outlineLevel="1" x14ac:dyDescent="0.3">
      <c r="A180" s="198"/>
      <c r="B180" s="198"/>
      <c r="C180" s="198"/>
      <c r="D180" s="198"/>
      <c r="E180" s="198"/>
      <c r="F180" s="198"/>
      <c r="G180" s="198"/>
      <c r="H180" s="198"/>
      <c r="I180" s="198"/>
      <c r="J180" s="198"/>
      <c r="K180" s="198"/>
      <c r="L180" s="1304"/>
      <c r="M180" s="201" t="s">
        <v>901</v>
      </c>
      <c r="N180" s="207" t="s">
        <v>77</v>
      </c>
      <c r="O180" s="200"/>
      <c r="P180" s="200"/>
      <c r="Q180" s="200"/>
      <c r="R180" s="200"/>
      <c r="S180" s="200"/>
      <c r="T180" s="200"/>
      <c r="U180" s="200"/>
      <c r="V180" s="200"/>
      <c r="W180" s="200"/>
      <c r="X180" s="200"/>
      <c r="Y180" s="394"/>
      <c r="Z180" s="208"/>
      <c r="AA180" s="208"/>
      <c r="AB180" s="533"/>
      <c r="AC180" s="533">
        <f t="shared" ref="AC180:AL180" si="187">SUMPRODUCT($I$621:$I$622,AC$621:AC$622)+SUMPRODUCT($I$627:$I$632,AC$627:AC$632)</f>
        <v>-71.459249999999997</v>
      </c>
      <c r="AD180" s="533">
        <f t="shared" si="187"/>
        <v>-3.2802999999999969</v>
      </c>
      <c r="AE180" s="533">
        <f t="shared" si="187"/>
        <v>-3.2802999999999969</v>
      </c>
      <c r="AF180" s="533">
        <f t="shared" si="187"/>
        <v>-20.491898903383429</v>
      </c>
      <c r="AG180" s="533">
        <f t="shared" si="187"/>
        <v>-99.94697524294655</v>
      </c>
      <c r="AH180" s="533">
        <f t="shared" si="187"/>
        <v>-167.78422232272584</v>
      </c>
      <c r="AI180" s="533">
        <f t="shared" si="187"/>
        <v>-219.83597440825923</v>
      </c>
      <c r="AJ180" s="533">
        <f t="shared" si="187"/>
        <v>-229.47342919616912</v>
      </c>
      <c r="AK180" s="533">
        <f t="shared" si="187"/>
        <v>-239.11088398407901</v>
      </c>
      <c r="AL180" s="533">
        <f t="shared" si="187"/>
        <v>-248.74833877198893</v>
      </c>
      <c r="AM180" s="532">
        <f>SUM(AD180:AL180)</f>
        <v>-1231.952322829552</v>
      </c>
      <c r="AN180" s="198"/>
      <c r="AO180" s="198"/>
      <c r="AP180" s="198"/>
      <c r="AQ180" s="198"/>
      <c r="AR180" s="198"/>
      <c r="AS180" s="198"/>
      <c r="AT180" s="198"/>
      <c r="AU180" s="198"/>
      <c r="AV180" s="198"/>
      <c r="AW180" s="198"/>
      <c r="AX180" s="198"/>
      <c r="AY180" s="198"/>
      <c r="AZ180" s="198"/>
      <c r="BA180" s="198"/>
      <c r="BB180" s="198"/>
      <c r="BC180" s="198"/>
      <c r="BD180" s="198"/>
      <c r="BE180" s="198"/>
      <c r="BF180" s="198"/>
    </row>
    <row r="181" spans="1:58" outlineLevel="1" x14ac:dyDescent="0.3">
      <c r="A181" s="198"/>
      <c r="B181" s="198"/>
      <c r="C181" s="198"/>
      <c r="D181" s="198"/>
      <c r="E181" s="198"/>
      <c r="F181" s="198"/>
      <c r="G181" s="198"/>
      <c r="H181" s="198"/>
      <c r="I181" s="198"/>
      <c r="J181" s="198"/>
      <c r="K181" s="198"/>
      <c r="L181" s="1304"/>
      <c r="M181" s="201" t="s">
        <v>902</v>
      </c>
      <c r="N181" s="207" t="s">
        <v>77</v>
      </c>
      <c r="O181" s="200"/>
      <c r="P181" s="200"/>
      <c r="Q181" s="200"/>
      <c r="R181" s="200"/>
      <c r="S181" s="200"/>
      <c r="T181" s="200"/>
      <c r="U181" s="200"/>
      <c r="V181" s="200"/>
      <c r="W181" s="200"/>
      <c r="X181" s="200"/>
      <c r="Y181" s="394"/>
      <c r="Z181" s="208"/>
      <c r="AA181" s="208"/>
      <c r="AB181" s="532"/>
      <c r="AC181" s="532">
        <f t="shared" ref="AC181:AL181" si="188">SUMPRODUCT($I$699:$I$702,AC$699:AC$702)+SUMPRODUCT($I$707:$I$714,AC$707:AC$714)</f>
        <v>-2.9497749683944372</v>
      </c>
      <c r="AD181" s="532">
        <f t="shared" si="188"/>
        <v>-3.5922486490719709</v>
      </c>
      <c r="AE181" s="532">
        <f t="shared" si="188"/>
        <v>-7.9201255416805818</v>
      </c>
      <c r="AF181" s="532">
        <f t="shared" si="188"/>
        <v>-8.0871255416805816</v>
      </c>
      <c r="AG181" s="532">
        <f t="shared" si="188"/>
        <v>-151.16662554168062</v>
      </c>
      <c r="AH181" s="532">
        <f t="shared" si="188"/>
        <v>-292.52847848285705</v>
      </c>
      <c r="AI181" s="532">
        <f t="shared" si="188"/>
        <v>-432.20636371930459</v>
      </c>
      <c r="AJ181" s="532">
        <f t="shared" si="188"/>
        <v>-570.0663002256257</v>
      </c>
      <c r="AK181" s="532">
        <f t="shared" si="188"/>
        <v>-706.30765954554829</v>
      </c>
      <c r="AL181" s="532">
        <f t="shared" si="188"/>
        <v>-840.96217848664901</v>
      </c>
      <c r="AM181" s="532">
        <f t="shared" ref="AM181:AM184" si="189">SUM(AD181:AL181)</f>
        <v>-3012.8371057340983</v>
      </c>
      <c r="AN181" s="198"/>
      <c r="AO181" s="198"/>
      <c r="AP181" s="198"/>
      <c r="AQ181" s="198"/>
      <c r="AR181" s="198"/>
      <c r="AS181" s="198"/>
      <c r="AT181" s="198"/>
      <c r="AU181" s="198"/>
      <c r="AV181" s="198"/>
      <c r="AW181" s="198"/>
      <c r="AX181" s="198"/>
      <c r="AY181" s="198"/>
      <c r="AZ181" s="198"/>
      <c r="BA181" s="198"/>
      <c r="BB181" s="198"/>
      <c r="BC181" s="198"/>
      <c r="BD181" s="198"/>
      <c r="BE181" s="198"/>
      <c r="BF181" s="198"/>
    </row>
    <row r="182" spans="1:58" outlineLevel="1" x14ac:dyDescent="0.3">
      <c r="A182" s="198"/>
      <c r="B182" s="198"/>
      <c r="C182" s="198"/>
      <c r="D182" s="198"/>
      <c r="E182" s="198"/>
      <c r="F182" s="198"/>
      <c r="G182" s="198"/>
      <c r="H182" s="198"/>
      <c r="I182" s="198"/>
      <c r="J182" s="198"/>
      <c r="K182" s="198"/>
      <c r="L182" s="1304"/>
      <c r="M182" s="201" t="s">
        <v>903</v>
      </c>
      <c r="N182" s="207" t="s">
        <v>77</v>
      </c>
      <c r="O182" s="200"/>
      <c r="P182" s="200"/>
      <c r="Q182" s="200"/>
      <c r="R182" s="200"/>
      <c r="S182" s="200"/>
      <c r="T182" s="200"/>
      <c r="U182" s="200"/>
      <c r="V182" s="200"/>
      <c r="W182" s="200"/>
      <c r="X182" s="200"/>
      <c r="Y182" s="394"/>
      <c r="Z182" s="208"/>
      <c r="AA182" s="208"/>
      <c r="AB182" s="533"/>
      <c r="AC182" s="533">
        <f t="shared" ref="AC182:AL182" si="190">SUMPRODUCT($I$919:$I$925,AC$919:AC$925)+SUMPRODUCT($I$931:$I$938,AC$931:AC$938)</f>
        <v>-8.2481988000000008</v>
      </c>
      <c r="AD182" s="533">
        <f t="shared" si="190"/>
        <v>-4.9282862999999999</v>
      </c>
      <c r="AE182" s="533">
        <f t="shared" si="190"/>
        <v>-5.4417418</v>
      </c>
      <c r="AF182" s="533">
        <f t="shared" si="190"/>
        <v>-5.5447698000000001</v>
      </c>
      <c r="AG182" s="533">
        <f t="shared" si="190"/>
        <v>-59.524769800000001</v>
      </c>
      <c r="AH182" s="533">
        <f t="shared" si="190"/>
        <v>-112.93300509411765</v>
      </c>
      <c r="AI182" s="533">
        <f t="shared" si="190"/>
        <v>-165.78068675501731</v>
      </c>
      <c r="AJ182" s="533">
        <f t="shared" si="190"/>
        <v>-218.07880603040914</v>
      </c>
      <c r="AK182" s="533">
        <f t="shared" si="190"/>
        <v>-269.83813865334224</v>
      </c>
      <c r="AL182" s="533">
        <f t="shared" si="190"/>
        <v>-321.06924906798264</v>
      </c>
      <c r="AM182" s="532">
        <f t="shared" si="189"/>
        <v>-1163.139453300869</v>
      </c>
      <c r="AN182" s="198"/>
      <c r="AO182" s="198"/>
      <c r="AP182" s="198"/>
      <c r="AQ182" s="198"/>
      <c r="AR182" s="198"/>
      <c r="AS182" s="198"/>
      <c r="AT182" s="198"/>
      <c r="AU182" s="198"/>
      <c r="AV182" s="198"/>
      <c r="AW182" s="198"/>
      <c r="AX182" s="198"/>
      <c r="AY182" s="198"/>
      <c r="AZ182" s="198"/>
      <c r="BA182" s="198"/>
      <c r="BB182" s="198"/>
      <c r="BC182" s="198"/>
      <c r="BD182" s="198"/>
      <c r="BE182" s="198"/>
      <c r="BF182" s="198"/>
    </row>
    <row r="183" spans="1:58" outlineLevel="1" x14ac:dyDescent="0.3">
      <c r="A183" s="198"/>
      <c r="B183" s="198"/>
      <c r="C183" s="198"/>
      <c r="D183" s="198"/>
      <c r="E183" s="198"/>
      <c r="F183" s="198"/>
      <c r="G183" s="198"/>
      <c r="H183" s="198"/>
      <c r="I183" s="198"/>
      <c r="J183" s="198"/>
      <c r="K183" s="198"/>
      <c r="L183" s="1304"/>
      <c r="M183" s="201" t="s">
        <v>904</v>
      </c>
      <c r="N183" s="207" t="s">
        <v>77</v>
      </c>
      <c r="O183" s="200"/>
      <c r="P183" s="200"/>
      <c r="Q183" s="200"/>
      <c r="R183" s="200"/>
      <c r="S183" s="200"/>
      <c r="T183" s="200"/>
      <c r="U183" s="200"/>
      <c r="V183" s="200"/>
      <c r="W183" s="200"/>
      <c r="X183" s="200"/>
      <c r="Y183" s="394"/>
      <c r="Z183" s="208"/>
      <c r="AA183" s="208"/>
      <c r="AB183" s="532"/>
      <c r="AC183" s="532">
        <f t="shared" ref="AC183:AL183" si="191">SUMPRODUCT($I$1263:$I$1267,AC$1263:AC$1267)+SUMPRODUCT($I$1272:$I$1289,AC$1272:AC$1289)</f>
        <v>-55.302500952955526</v>
      </c>
      <c r="AD183" s="532">
        <f t="shared" si="191"/>
        <v>-22.067022101668812</v>
      </c>
      <c r="AE183" s="532">
        <f t="shared" si="191"/>
        <v>-41.657517117821463</v>
      </c>
      <c r="AF183" s="532">
        <f t="shared" si="191"/>
        <v>-54.488335660890812</v>
      </c>
      <c r="AG183" s="532">
        <f t="shared" si="191"/>
        <v>-319.63216766534248</v>
      </c>
      <c r="AH183" s="532">
        <f t="shared" si="191"/>
        <v>-468.77906719445036</v>
      </c>
      <c r="AI183" s="532">
        <f t="shared" si="191"/>
        <v>-1301.4057216237563</v>
      </c>
      <c r="AJ183" s="532">
        <f t="shared" si="191"/>
        <v>-1448.2886200131504</v>
      </c>
      <c r="AK183" s="532">
        <f t="shared" si="191"/>
        <v>-1595.5029829733094</v>
      </c>
      <c r="AL183" s="532">
        <f t="shared" si="191"/>
        <v>-1740.6471971921248</v>
      </c>
      <c r="AM183" s="532">
        <f t="shared" si="189"/>
        <v>-6992.4686315425151</v>
      </c>
      <c r="AN183" s="198"/>
      <c r="AO183" s="198"/>
      <c r="AP183" s="198"/>
      <c r="AQ183" s="198"/>
      <c r="AR183" s="198"/>
      <c r="AS183" s="198"/>
      <c r="AT183" s="198"/>
      <c r="AU183" s="198"/>
      <c r="AV183" s="198"/>
      <c r="AW183" s="198"/>
      <c r="AX183" s="198"/>
      <c r="AY183" s="198"/>
      <c r="AZ183" s="198"/>
      <c r="BA183" s="198"/>
      <c r="BB183" s="198"/>
      <c r="BC183" s="198"/>
      <c r="BD183" s="198"/>
      <c r="BE183" s="198"/>
      <c r="BF183" s="198"/>
    </row>
    <row r="184" spans="1:58" outlineLevel="1" x14ac:dyDescent="0.3">
      <c r="A184" s="198"/>
      <c r="B184" s="198"/>
      <c r="C184" s="198"/>
      <c r="D184" s="198"/>
      <c r="E184" s="198"/>
      <c r="F184" s="198"/>
      <c r="G184" s="198"/>
      <c r="H184" s="198"/>
      <c r="I184" s="198"/>
      <c r="J184" s="198"/>
      <c r="K184" s="198"/>
      <c r="L184" s="1304"/>
      <c r="M184" s="201" t="s">
        <v>905</v>
      </c>
      <c r="N184" s="207" t="s">
        <v>77</v>
      </c>
      <c r="O184" s="200"/>
      <c r="P184" s="200"/>
      <c r="Q184" s="200"/>
      <c r="R184" s="200"/>
      <c r="S184" s="200"/>
      <c r="T184" s="200"/>
      <c r="U184" s="200"/>
      <c r="V184" s="200"/>
      <c r="W184" s="200"/>
      <c r="X184" s="200"/>
      <c r="Y184" s="394"/>
      <c r="Z184" s="208"/>
      <c r="AA184" s="208"/>
      <c r="AB184" s="533"/>
      <c r="AC184" s="533">
        <f t="shared" ref="AC184:AL184" si="192">SUMPRODUCT($I$1312:$I$1313,AC$1312:AC$1313)+SUMPRODUCT($I$1318:$I$1319,AC$1318:AC$1319)</f>
        <v>-0.18819149999999973</v>
      </c>
      <c r="AD184" s="533">
        <f t="shared" si="192"/>
        <v>0</v>
      </c>
      <c r="AE184" s="533">
        <f t="shared" si="192"/>
        <v>0</v>
      </c>
      <c r="AF184" s="533">
        <f t="shared" si="192"/>
        <v>0</v>
      </c>
      <c r="AG184" s="533">
        <f t="shared" si="192"/>
        <v>0</v>
      </c>
      <c r="AH184" s="533">
        <f t="shared" si="192"/>
        <v>0</v>
      </c>
      <c r="AI184" s="533">
        <f t="shared" si="192"/>
        <v>-6.8000000000000007</v>
      </c>
      <c r="AJ184" s="533">
        <f t="shared" si="192"/>
        <v>-13.600000000000001</v>
      </c>
      <c r="AK184" s="533">
        <f t="shared" si="192"/>
        <v>-20.400000000000002</v>
      </c>
      <c r="AL184" s="533">
        <f t="shared" si="192"/>
        <v>-27.200000000000003</v>
      </c>
      <c r="AM184" s="532">
        <f t="shared" si="189"/>
        <v>-68</v>
      </c>
      <c r="AN184" s="198"/>
      <c r="AO184" s="198"/>
      <c r="AP184" s="198"/>
      <c r="AQ184" s="198"/>
      <c r="AR184" s="198"/>
      <c r="AS184" s="198"/>
      <c r="AT184" s="198"/>
      <c r="AU184" s="198"/>
      <c r="AV184" s="198"/>
      <c r="AW184" s="198"/>
      <c r="AX184" s="198"/>
      <c r="AY184" s="198"/>
      <c r="AZ184" s="198"/>
      <c r="BA184" s="198"/>
      <c r="BB184" s="198"/>
      <c r="BC184" s="198"/>
      <c r="BD184" s="198"/>
      <c r="BE184" s="198"/>
      <c r="BF184" s="198"/>
    </row>
    <row r="185" spans="1:58" outlineLevel="1" x14ac:dyDescent="0.3">
      <c r="A185" s="198"/>
      <c r="B185" s="198"/>
      <c r="C185" s="198"/>
      <c r="D185" s="198"/>
      <c r="E185" s="198"/>
      <c r="F185" s="198"/>
      <c r="G185" s="198"/>
      <c r="H185" s="198"/>
      <c r="I185" s="198"/>
      <c r="J185" s="198"/>
      <c r="K185" s="198"/>
      <c r="L185" s="1304"/>
      <c r="M185" s="202"/>
      <c r="N185" s="199"/>
      <c r="O185" s="200"/>
      <c r="P185" s="200"/>
      <c r="Q185" s="200"/>
      <c r="R185" s="200"/>
      <c r="S185" s="200"/>
      <c r="T185" s="200"/>
      <c r="U185" s="200"/>
      <c r="V185" s="200"/>
      <c r="W185" s="200"/>
      <c r="X185" s="200"/>
      <c r="Y185" s="394"/>
      <c r="Z185" s="208"/>
      <c r="AA185" s="208"/>
      <c r="AB185" s="198"/>
      <c r="AC185" s="198"/>
      <c r="AD185" s="198"/>
      <c r="AE185" s="198"/>
      <c r="AF185" s="198"/>
      <c r="AG185" s="198"/>
      <c r="AH185" s="198"/>
      <c r="AI185" s="198"/>
      <c r="AJ185" s="198"/>
      <c r="AK185" s="198"/>
      <c r="AL185" s="198"/>
      <c r="AM185" s="198"/>
      <c r="AN185" s="198"/>
      <c r="AO185" s="198"/>
      <c r="AP185" s="198"/>
      <c r="AQ185" s="198"/>
      <c r="AR185" s="198"/>
      <c r="AS185" s="198"/>
      <c r="AT185" s="198"/>
      <c r="AU185" s="198"/>
      <c r="AV185" s="198"/>
      <c r="AW185" s="198"/>
      <c r="AX185" s="198"/>
      <c r="AY185" s="198"/>
      <c r="AZ185" s="198"/>
      <c r="BA185" s="198"/>
      <c r="BB185" s="198"/>
      <c r="BC185" s="198"/>
      <c r="BD185" s="198"/>
      <c r="BE185" s="198"/>
      <c r="BF185" s="198"/>
    </row>
    <row r="186" spans="1:58" outlineLevel="1" x14ac:dyDescent="0.3">
      <c r="A186" s="198"/>
      <c r="B186" s="198"/>
      <c r="C186" s="198"/>
      <c r="D186" s="198"/>
      <c r="E186" s="198"/>
      <c r="F186" s="198"/>
      <c r="G186" s="198"/>
      <c r="H186" s="198"/>
      <c r="I186" s="198"/>
      <c r="J186" s="198"/>
      <c r="K186" s="198"/>
      <c r="L186" s="1304"/>
      <c r="M186" s="201" t="s">
        <v>907</v>
      </c>
      <c r="N186" s="207" t="s">
        <v>77</v>
      </c>
      <c r="O186" s="200"/>
      <c r="P186" s="200"/>
      <c r="Q186" s="200"/>
      <c r="R186" s="200"/>
      <c r="S186" s="200"/>
      <c r="T186" s="200"/>
      <c r="U186" s="200"/>
      <c r="V186" s="200"/>
      <c r="W186" s="200"/>
      <c r="X186" s="200"/>
      <c r="Y186" s="394"/>
      <c r="Z186" s="208"/>
      <c r="AA186" s="208"/>
      <c r="AB186" s="406"/>
      <c r="AC186" s="406">
        <f t="shared" ref="AC186" si="193">((AC$67*$I$67)+SUMPRODUCT($I$28:$I$40,AC$28:AC$40))*AC6/AC$11</f>
        <v>0</v>
      </c>
      <c r="AD186" s="406">
        <f>((AD$67*$I$67)+SUMPRODUCT($I$28:$I$40,AD$28:AD$40))*AD6/AD$11</f>
        <v>-2.727677786333802</v>
      </c>
      <c r="AE186" s="406">
        <f t="shared" ref="AE186:AL190" si="194">(SUMPRODUCT(AE$67:AE$67,$I$67:$I$67)+SUMPRODUCT($I$28:$I$40,AE$28:AE$40))*AE6/AE$11</f>
        <v>-5.5055424125658288</v>
      </c>
      <c r="AF186" s="406">
        <f t="shared" si="194"/>
        <v>-33.992672857533051</v>
      </c>
      <c r="AG186" s="406">
        <f t="shared" si="194"/>
        <v>-50.06129197144633</v>
      </c>
      <c r="AH186" s="406">
        <f t="shared" si="194"/>
        <v>-53.323672665530452</v>
      </c>
      <c r="AI186" s="406">
        <f t="shared" si="194"/>
        <v>-56.643157287247774</v>
      </c>
      <c r="AJ186" s="406">
        <f t="shared" si="194"/>
        <v>-60.028725787461767</v>
      </c>
      <c r="AK186" s="406">
        <f t="shared" si="194"/>
        <v>-63.480840444986065</v>
      </c>
      <c r="AL186" s="406">
        <f t="shared" si="194"/>
        <v>-66.999963219906462</v>
      </c>
      <c r="AM186" s="532">
        <f>SUM(AD186:AL186)</f>
        <v>-392.76354443301159</v>
      </c>
      <c r="AN186" s="1257">
        <f>(AM180+AM186)/8</f>
        <v>-203.08948340782047</v>
      </c>
      <c r="AO186" s="198"/>
      <c r="AP186" s="198"/>
      <c r="AQ186" s="198"/>
      <c r="AR186" s="198"/>
      <c r="AS186" s="198"/>
      <c r="AT186" s="198"/>
      <c r="AU186" s="198"/>
      <c r="AV186" s="198"/>
      <c r="AW186" s="198"/>
      <c r="AX186" s="198"/>
      <c r="AY186" s="198"/>
      <c r="AZ186" s="198"/>
      <c r="BA186" s="198"/>
      <c r="BB186" s="198"/>
      <c r="BC186" s="198"/>
      <c r="BD186" s="198"/>
      <c r="BE186" s="198"/>
      <c r="BF186" s="198"/>
    </row>
    <row r="187" spans="1:58" outlineLevel="1" x14ac:dyDescent="0.3">
      <c r="A187" s="198"/>
      <c r="B187" s="198"/>
      <c r="C187" s="198"/>
      <c r="D187" s="198"/>
      <c r="E187" s="198"/>
      <c r="F187" s="198"/>
      <c r="G187" s="198"/>
      <c r="H187" s="198"/>
      <c r="I187" s="198"/>
      <c r="J187" s="198"/>
      <c r="K187" s="198"/>
      <c r="L187" s="1304"/>
      <c r="M187" s="201" t="s">
        <v>908</v>
      </c>
      <c r="N187" s="207" t="s">
        <v>77</v>
      </c>
      <c r="O187" s="200"/>
      <c r="P187" s="200"/>
      <c r="Q187" s="200"/>
      <c r="R187" s="200"/>
      <c r="S187" s="200"/>
      <c r="T187" s="200"/>
      <c r="U187" s="200"/>
      <c r="V187" s="200"/>
      <c r="W187" s="200"/>
      <c r="X187" s="200"/>
      <c r="Y187" s="394"/>
      <c r="Z187" s="208"/>
      <c r="AA187" s="208"/>
      <c r="AB187" s="406"/>
      <c r="AC187" s="406">
        <f t="shared" ref="AC187" si="195">((AC$67*$I$67)+SUMPRODUCT($I$28:$I$40,AC$28:AC$40))*AC7/AC$11</f>
        <v>0</v>
      </c>
      <c r="AD187" s="406">
        <f>((AD$67*$I$67)+SUMPRODUCT($I$28:$I$40,AD$28:AD$40))*AD7/AD$11</f>
        <v>-6.0076958218968253</v>
      </c>
      <c r="AE187" s="406">
        <f t="shared" si="194"/>
        <v>-12.017063473036384</v>
      </c>
      <c r="AF187" s="406">
        <f t="shared" si="194"/>
        <v>-73.322518545654518</v>
      </c>
      <c r="AG187" s="406">
        <f t="shared" si="194"/>
        <v>-106.72450644328562</v>
      </c>
      <c r="AH187" s="406">
        <f t="shared" si="194"/>
        <v>-112.36955545665913</v>
      </c>
      <c r="AI187" s="406">
        <f t="shared" si="194"/>
        <v>-118.05386316349525</v>
      </c>
      <c r="AJ187" s="406">
        <f t="shared" si="194"/>
        <v>-123.74519101336342</v>
      </c>
      <c r="AK187" s="406">
        <f t="shared" si="194"/>
        <v>-129.44364440315545</v>
      </c>
      <c r="AL187" s="406">
        <f t="shared" si="194"/>
        <v>-135.14935414781374</v>
      </c>
      <c r="AM187" s="532">
        <f t="shared" ref="AM187:AM190" si="196">SUM(AD187:AL187)</f>
        <v>-816.83339246836033</v>
      </c>
      <c r="AN187" s="198"/>
      <c r="AO187" s="198"/>
      <c r="AP187" s="198"/>
      <c r="AQ187" s="198"/>
      <c r="AR187" s="198"/>
      <c r="AS187" s="198"/>
      <c r="AT187" s="198"/>
      <c r="AU187" s="198"/>
      <c r="AV187" s="198"/>
      <c r="AW187" s="198"/>
      <c r="AX187" s="198"/>
      <c r="AY187" s="198"/>
      <c r="AZ187" s="198"/>
      <c r="BA187" s="198"/>
      <c r="BB187" s="198"/>
      <c r="BC187" s="198"/>
      <c r="BD187" s="198"/>
      <c r="BE187" s="198"/>
      <c r="BF187" s="198"/>
    </row>
    <row r="188" spans="1:58" outlineLevel="1" x14ac:dyDescent="0.3">
      <c r="A188" s="198"/>
      <c r="B188" s="198"/>
      <c r="C188" s="198"/>
      <c r="D188" s="198"/>
      <c r="E188" s="198"/>
      <c r="F188" s="198"/>
      <c r="G188" s="198"/>
      <c r="H188" s="198"/>
      <c r="I188" s="198"/>
      <c r="J188" s="198"/>
      <c r="K188" s="198"/>
      <c r="L188" s="1304"/>
      <c r="M188" s="201" t="s">
        <v>909</v>
      </c>
      <c r="N188" s="207" t="s">
        <v>77</v>
      </c>
      <c r="O188" s="200"/>
      <c r="P188" s="200"/>
      <c r="Q188" s="200"/>
      <c r="R188" s="200"/>
      <c r="S188" s="200"/>
      <c r="T188" s="200"/>
      <c r="U188" s="200"/>
      <c r="V188" s="200"/>
      <c r="W188" s="200"/>
      <c r="X188" s="200"/>
      <c r="Y188" s="394"/>
      <c r="Z188" s="208"/>
      <c r="AA188" s="208"/>
      <c r="AB188" s="406"/>
      <c r="AC188" s="406">
        <f t="shared" ref="AC188" si="197">((AC$67*$I$67)+SUMPRODUCT($I$28:$I$40,AC$28:AC$40))*AC8/AC$11</f>
        <v>0</v>
      </c>
      <c r="AD188" s="406">
        <f>((AD$67*$I$67)+SUMPRODUCT($I$28:$I$40,AD$28:AD$40))*AD8/AD$11</f>
        <v>-3.0804002116585458</v>
      </c>
      <c r="AE188" s="406">
        <f t="shared" si="194"/>
        <v>-6.1813209209559794</v>
      </c>
      <c r="AF188" s="406">
        <f t="shared" si="194"/>
        <v>-37.836340761102001</v>
      </c>
      <c r="AG188" s="406">
        <f t="shared" si="194"/>
        <v>-55.249639516586235</v>
      </c>
      <c r="AH188" s="406">
        <f t="shared" si="194"/>
        <v>-58.35953849495376</v>
      </c>
      <c r="AI188" s="406">
        <f t="shared" si="194"/>
        <v>-61.488713037921599</v>
      </c>
      <c r="AJ188" s="406">
        <f t="shared" si="194"/>
        <v>-64.642685808211112</v>
      </c>
      <c r="AK188" s="406">
        <f t="shared" si="194"/>
        <v>-67.822106671771579</v>
      </c>
      <c r="AL188" s="406">
        <f t="shared" si="194"/>
        <v>-71.027639921238872</v>
      </c>
      <c r="AM188" s="532">
        <f t="shared" si="196"/>
        <v>-425.68838534439965</v>
      </c>
      <c r="AN188" s="198"/>
      <c r="AO188" s="198"/>
      <c r="AP188" s="198"/>
      <c r="AQ188" s="198"/>
      <c r="AR188" s="198"/>
      <c r="AS188" s="198"/>
      <c r="AT188" s="198"/>
      <c r="AU188" s="198"/>
      <c r="AV188" s="198"/>
      <c r="AW188" s="198"/>
      <c r="AX188" s="198"/>
      <c r="AY188" s="198"/>
      <c r="AZ188" s="198"/>
      <c r="BA188" s="198"/>
      <c r="BB188" s="198"/>
      <c r="BC188" s="198"/>
      <c r="BD188" s="198"/>
      <c r="BE188" s="198"/>
      <c r="BF188" s="198"/>
    </row>
    <row r="189" spans="1:58" outlineLevel="1" x14ac:dyDescent="0.3">
      <c r="A189" s="198"/>
      <c r="B189" s="198"/>
      <c r="C189" s="198"/>
      <c r="D189" s="198"/>
      <c r="E189" s="198"/>
      <c r="F189" s="198"/>
      <c r="G189" s="198"/>
      <c r="H189" s="198"/>
      <c r="I189" s="198"/>
      <c r="J189" s="198"/>
      <c r="K189" s="198"/>
      <c r="L189" s="1304"/>
      <c r="M189" s="201" t="s">
        <v>910</v>
      </c>
      <c r="N189" s="207" t="s">
        <v>77</v>
      </c>
      <c r="O189" s="200"/>
      <c r="P189" s="200"/>
      <c r="Q189" s="200"/>
      <c r="R189" s="200"/>
      <c r="S189" s="200"/>
      <c r="T189" s="200"/>
      <c r="U189" s="200"/>
      <c r="V189" s="200"/>
      <c r="W189" s="200"/>
      <c r="X189" s="200"/>
      <c r="Y189" s="394"/>
      <c r="Z189" s="208"/>
      <c r="AA189" s="208"/>
      <c r="AB189" s="406"/>
      <c r="AC189" s="406">
        <f t="shared" ref="AC189" si="198">((AC$67*$I$67)+SUMPRODUCT($I$28:$I$40,AC$28:AC$40))*AC9/AC$11</f>
        <v>0</v>
      </c>
      <c r="AD189" s="406">
        <f>((AD$67*$I$67)+SUMPRODUCT($I$28:$I$40,AD$28:AD$40))*AD9/AD$11</f>
        <v>-5.5828216243274902</v>
      </c>
      <c r="AE189" s="406">
        <f t="shared" si="194"/>
        <v>-11.246092699688113</v>
      </c>
      <c r="AF189" s="406">
        <f t="shared" si="194"/>
        <v>-69.094295430194535</v>
      </c>
      <c r="AG189" s="406">
        <f t="shared" si="194"/>
        <v>-101.25448358969408</v>
      </c>
      <c r="AH189" s="406">
        <f t="shared" si="194"/>
        <v>-107.3217126995489</v>
      </c>
      <c r="AI189" s="406">
        <f t="shared" si="194"/>
        <v>-113.44107292931756</v>
      </c>
      <c r="AJ189" s="406">
        <f t="shared" si="194"/>
        <v>-119.62923591553286</v>
      </c>
      <c r="AK189" s="406">
        <f t="shared" si="194"/>
        <v>-125.88564327405514</v>
      </c>
      <c r="AL189" s="406">
        <f t="shared" si="194"/>
        <v>-132.20973398759571</v>
      </c>
      <c r="AM189" s="532">
        <f t="shared" si="196"/>
        <v>-785.66509214995426</v>
      </c>
      <c r="AN189" s="198"/>
      <c r="AO189" s="198"/>
      <c r="AP189" s="198"/>
      <c r="AQ189" s="198"/>
      <c r="AR189" s="198"/>
      <c r="AS189" s="198"/>
      <c r="AT189" s="198"/>
      <c r="AU189" s="198"/>
      <c r="AV189" s="198"/>
      <c r="AW189" s="198"/>
      <c r="AX189" s="198"/>
      <c r="AY189" s="198"/>
      <c r="AZ189" s="198"/>
      <c r="BA189" s="198"/>
      <c r="BB189" s="198"/>
      <c r="BC189" s="198"/>
      <c r="BD189" s="198"/>
      <c r="BE189" s="198"/>
      <c r="BF189" s="198"/>
    </row>
    <row r="190" spans="1:58" outlineLevel="1" x14ac:dyDescent="0.3">
      <c r="A190" s="198"/>
      <c r="B190" s="198"/>
      <c r="C190" s="198"/>
      <c r="D190" s="198"/>
      <c r="E190" s="198"/>
      <c r="F190" s="198"/>
      <c r="G190" s="198"/>
      <c r="H190" s="198"/>
      <c r="I190" s="198"/>
      <c r="J190" s="198"/>
      <c r="K190" s="198"/>
      <c r="L190" s="1304"/>
      <c r="M190" s="201" t="s">
        <v>911</v>
      </c>
      <c r="N190" s="207" t="s">
        <v>77</v>
      </c>
      <c r="O190" s="200"/>
      <c r="P190" s="200"/>
      <c r="Q190" s="200"/>
      <c r="R190" s="200"/>
      <c r="S190" s="200"/>
      <c r="T190" s="200"/>
      <c r="U190" s="200"/>
      <c r="V190" s="200"/>
      <c r="W190" s="200"/>
      <c r="X190" s="200"/>
      <c r="Y190" s="394"/>
      <c r="Z190" s="208"/>
      <c r="AA190" s="208"/>
      <c r="AB190" s="406"/>
      <c r="AC190" s="406">
        <f t="shared" ref="AC190" si="199">((AC$67*$I$67)+SUMPRODUCT($I$28:$I$40,AC$28:AC$40))*AC10/AC$11</f>
        <v>0</v>
      </c>
      <c r="AD190" s="406">
        <f>((AD$67*$I$67)+SUMPRODUCT($I$28:$I$40,AD$28:AD$40))*AD10/AD$11</f>
        <v>-0.56341640698250128</v>
      </c>
      <c r="AE190" s="406">
        <f t="shared" si="194"/>
        <v>-1.123714598459449</v>
      </c>
      <c r="AF190" s="406">
        <f t="shared" si="194"/>
        <v>-6.8355770458988951</v>
      </c>
      <c r="AG190" s="406">
        <f t="shared" si="194"/>
        <v>-9.9180405461482763</v>
      </c>
      <c r="AH190" s="406">
        <f t="shared" si="194"/>
        <v>-10.408252927879586</v>
      </c>
      <c r="AI190" s="406">
        <f t="shared" si="194"/>
        <v>-10.8927915848812</v>
      </c>
      <c r="AJ190" s="406">
        <f t="shared" si="194"/>
        <v>-11.373256238386842</v>
      </c>
      <c r="AK190" s="406">
        <f t="shared" si="194"/>
        <v>-11.849562738389633</v>
      </c>
      <c r="AL190" s="406">
        <f t="shared" si="194"/>
        <v>-12.321630437215724</v>
      </c>
      <c r="AM190" s="532">
        <f t="shared" si="196"/>
        <v>-75.286242524242112</v>
      </c>
      <c r="AN190" s="198"/>
      <c r="AO190" s="198"/>
      <c r="AP190" s="198"/>
      <c r="AQ190" s="198"/>
      <c r="AR190" s="198"/>
      <c r="AS190" s="198"/>
      <c r="AT190" s="198"/>
      <c r="AU190" s="198"/>
      <c r="AV190" s="198"/>
      <c r="AW190" s="198"/>
      <c r="AX190" s="198"/>
      <c r="AY190" s="198"/>
      <c r="AZ190" s="198"/>
      <c r="BA190" s="198"/>
      <c r="BB190" s="198"/>
      <c r="BC190" s="198"/>
      <c r="BD190" s="198"/>
      <c r="BE190" s="198"/>
      <c r="BF190" s="198"/>
    </row>
    <row r="191" spans="1:58" outlineLevel="1" x14ac:dyDescent="0.3">
      <c r="A191" s="198"/>
      <c r="B191" s="198"/>
      <c r="C191" s="198"/>
      <c r="D191" s="198"/>
      <c r="E191" s="198"/>
      <c r="F191" s="198"/>
      <c r="G191" s="198"/>
      <c r="H191" s="198"/>
      <c r="I191" s="198"/>
      <c r="J191" s="198"/>
      <c r="K191" s="198"/>
      <c r="L191" s="1304"/>
      <c r="M191" s="202"/>
      <c r="N191" s="199"/>
      <c r="O191" s="200"/>
      <c r="P191" s="200"/>
      <c r="Q191" s="200"/>
      <c r="R191" s="200"/>
      <c r="S191" s="200"/>
      <c r="T191" s="200"/>
      <c r="U191" s="200"/>
      <c r="V191" s="200"/>
      <c r="W191" s="200"/>
      <c r="X191" s="200"/>
      <c r="Y191" s="394"/>
      <c r="Z191" s="208"/>
      <c r="AA191" s="208"/>
      <c r="AB191" s="198"/>
      <c r="AC191" s="198"/>
      <c r="AD191" s="198"/>
      <c r="AE191" s="198"/>
      <c r="AF191" s="198"/>
      <c r="AG191" s="198"/>
      <c r="AH191" s="198"/>
      <c r="AI191" s="198"/>
      <c r="AJ191" s="198"/>
      <c r="AK191" s="198"/>
      <c r="AL191" s="198"/>
      <c r="AM191" s="198"/>
      <c r="AN191" s="198"/>
      <c r="AO191" s="198"/>
      <c r="AP191" s="198"/>
      <c r="AQ191" s="198"/>
      <c r="AR191" s="198"/>
      <c r="AS191" s="198"/>
      <c r="AT191" s="198"/>
      <c r="AU191" s="198"/>
      <c r="AV191" s="198"/>
      <c r="AW191" s="198"/>
      <c r="AX191" s="198"/>
      <c r="AY191" s="198"/>
      <c r="AZ191" s="198"/>
      <c r="BA191" s="198"/>
      <c r="BB191" s="198"/>
      <c r="BC191" s="198"/>
      <c r="BD191" s="198"/>
      <c r="BE191" s="198"/>
      <c r="BF191" s="198"/>
    </row>
    <row r="192" spans="1:58" outlineLevel="1" x14ac:dyDescent="0.3">
      <c r="A192" s="198"/>
      <c r="B192" s="198" t="s">
        <v>883</v>
      </c>
      <c r="C192" s="198"/>
      <c r="D192" s="198"/>
      <c r="E192" s="198"/>
      <c r="F192" s="198"/>
      <c r="G192" s="198"/>
      <c r="H192" s="198"/>
      <c r="I192" s="198"/>
      <c r="J192" s="198"/>
      <c r="K192" s="198"/>
      <c r="L192" s="1304"/>
      <c r="M192" s="201" t="s">
        <v>912</v>
      </c>
      <c r="N192" s="207" t="s">
        <v>77</v>
      </c>
      <c r="O192" s="200"/>
      <c r="P192" s="200"/>
      <c r="Q192" s="200"/>
      <c r="R192" s="200"/>
      <c r="S192" s="200"/>
      <c r="T192" s="200"/>
      <c r="U192" s="200"/>
      <c r="V192" s="200"/>
      <c r="W192" s="200"/>
      <c r="X192" s="200"/>
      <c r="Y192" s="394"/>
      <c r="Z192" s="208"/>
      <c r="AA192" s="208"/>
      <c r="AB192" s="113">
        <f t="shared" ref="AB192:AC192" si="200">AB6+AB180+AB186</f>
        <v>4749.4444444444443</v>
      </c>
      <c r="AC192" s="113">
        <f t="shared" si="200"/>
        <v>4327.1518611111105</v>
      </c>
      <c r="AD192" s="113">
        <f t="shared" ref="AD192:AL192" si="201">AD6+AD180+AD186</f>
        <v>4790.9309111025541</v>
      </c>
      <c r="AE192" s="113">
        <f t="shared" si="201"/>
        <v>4845.7163131429907</v>
      </c>
      <c r="AF192" s="113">
        <f t="shared" si="201"/>
        <v>4872.8351161279725</v>
      </c>
      <c r="AG192" s="113">
        <f t="shared" si="201"/>
        <v>4851.2212159928267</v>
      </c>
      <c r="AH192" s="113">
        <f t="shared" si="201"/>
        <v>4855.1400304670715</v>
      </c>
      <c r="AI192" s="113">
        <f t="shared" si="201"/>
        <v>4875.9125126416511</v>
      </c>
      <c r="AJ192" s="113">
        <f t="shared" si="201"/>
        <v>4940.1753640185843</v>
      </c>
      <c r="AK192" s="113">
        <f t="shared" si="201"/>
        <v>5005.5309573581835</v>
      </c>
      <c r="AL192" s="113">
        <f t="shared" si="201"/>
        <v>5071.9962200221607</v>
      </c>
      <c r="AM192" s="198"/>
      <c r="AN192" s="198"/>
      <c r="AO192" s="198"/>
      <c r="AP192" s="198"/>
      <c r="AQ192" s="198"/>
      <c r="AR192" s="198"/>
      <c r="AS192" s="198"/>
      <c r="AT192" s="198"/>
      <c r="AU192" s="198"/>
      <c r="AV192" s="198"/>
      <c r="AW192" s="198"/>
      <c r="AX192" s="198"/>
      <c r="AY192" s="198"/>
      <c r="AZ192" s="198"/>
      <c r="BA192" s="198"/>
      <c r="BB192" s="198"/>
      <c r="BC192" s="198"/>
      <c r="BD192" s="198"/>
      <c r="BE192" s="198"/>
      <c r="BF192" s="198"/>
    </row>
    <row r="193" spans="1:58" outlineLevel="1" x14ac:dyDescent="0.3">
      <c r="A193" s="198"/>
      <c r="B193" s="198" t="s">
        <v>888</v>
      </c>
      <c r="C193" s="198"/>
      <c r="D193" s="198"/>
      <c r="E193" s="198"/>
      <c r="F193" s="198"/>
      <c r="G193" s="198"/>
      <c r="H193" s="198"/>
      <c r="I193" s="198"/>
      <c r="J193" s="198"/>
      <c r="K193" s="198"/>
      <c r="L193" s="1304"/>
      <c r="M193" s="201" t="s">
        <v>889</v>
      </c>
      <c r="N193" s="207" t="s">
        <v>77</v>
      </c>
      <c r="O193" s="200"/>
      <c r="P193" s="200"/>
      <c r="Q193" s="200"/>
      <c r="R193" s="200"/>
      <c r="S193" s="200"/>
      <c r="T193" s="200"/>
      <c r="U193" s="200"/>
      <c r="V193" s="200"/>
      <c r="W193" s="200"/>
      <c r="X193" s="200"/>
      <c r="Y193" s="394"/>
      <c r="Z193" s="208"/>
      <c r="AA193" s="208"/>
      <c r="AB193" s="113">
        <f t="shared" ref="AB193:AC193" si="202">AB7+AB181+AB187</f>
        <v>10567.960000000001</v>
      </c>
      <c r="AC193" s="113">
        <f t="shared" si="202"/>
        <v>10532.931725031605</v>
      </c>
      <c r="AD193" s="113">
        <f t="shared" ref="AD193:AL193" si="203">AD7+AD181+AD187</f>
        <v>10555.632453966533</v>
      </c>
      <c r="AE193" s="113">
        <f t="shared" si="203"/>
        <v>10576.086992027871</v>
      </c>
      <c r="AF193" s="113">
        <f t="shared" si="203"/>
        <v>10546.865770140304</v>
      </c>
      <c r="AG193" s="113">
        <f t="shared" si="203"/>
        <v>10404.113925921616</v>
      </c>
      <c r="AH193" s="113">
        <f t="shared" si="203"/>
        <v>10292.334438195363</v>
      </c>
      <c r="AI193" s="113">
        <f t="shared" si="203"/>
        <v>10188.190228142494</v>
      </c>
      <c r="AJ193" s="113">
        <f t="shared" si="203"/>
        <v>10086.817866420835</v>
      </c>
      <c r="AK193" s="113">
        <f t="shared" si="203"/>
        <v>9988.0301717400325</v>
      </c>
      <c r="AL193" s="113">
        <f t="shared" si="203"/>
        <v>9891.807753734327</v>
      </c>
      <c r="AM193" s="198"/>
      <c r="AN193" s="198"/>
      <c r="AO193" s="198"/>
      <c r="AP193" s="198"/>
      <c r="AQ193" s="198"/>
      <c r="AR193" s="198"/>
      <c r="AS193" s="198"/>
      <c r="AT193" s="198"/>
      <c r="AU193" s="198"/>
      <c r="AV193" s="198"/>
      <c r="AW193" s="198"/>
      <c r="AX193" s="198"/>
      <c r="AY193" s="198"/>
      <c r="AZ193" s="198"/>
      <c r="BA193" s="198"/>
      <c r="BB193" s="198"/>
      <c r="BC193" s="198"/>
      <c r="BD193" s="198"/>
      <c r="BE193" s="198"/>
      <c r="BF193" s="198"/>
    </row>
    <row r="194" spans="1:58" outlineLevel="1" x14ac:dyDescent="0.3">
      <c r="A194" s="198"/>
      <c r="B194" s="198" t="s">
        <v>890</v>
      </c>
      <c r="C194" s="198"/>
      <c r="D194" s="198"/>
      <c r="E194" s="198"/>
      <c r="F194" s="198"/>
      <c r="G194" s="198"/>
      <c r="H194" s="198"/>
      <c r="I194" s="198"/>
      <c r="J194" s="198"/>
      <c r="K194" s="198"/>
      <c r="L194" s="1304"/>
      <c r="M194" s="201" t="s">
        <v>891</v>
      </c>
      <c r="N194" s="207" t="s">
        <v>77</v>
      </c>
      <c r="O194" s="200"/>
      <c r="P194" s="200"/>
      <c r="Q194" s="200"/>
      <c r="R194" s="200"/>
      <c r="S194" s="200"/>
      <c r="T194" s="200"/>
      <c r="U194" s="200"/>
      <c r="V194" s="200"/>
      <c r="W194" s="200"/>
      <c r="X194" s="200"/>
      <c r="Y194" s="394"/>
      <c r="Z194" s="208"/>
      <c r="AA194" s="208"/>
      <c r="AB194" s="113">
        <f t="shared" ref="AB194:AC194" si="204">AB8+AB182+AB188</f>
        <v>5382.26</v>
      </c>
      <c r="AC194" s="113">
        <f t="shared" si="204"/>
        <v>5376.8275011999995</v>
      </c>
      <c r="AD194" s="113">
        <f t="shared" ref="AD194:AL194" si="205">AD8+AD182+AD188</f>
        <v>5409.2336441916041</v>
      </c>
      <c r="AE194" s="113">
        <f t="shared" si="205"/>
        <v>5438.7455815152716</v>
      </c>
      <c r="AF194" s="113">
        <f t="shared" si="205"/>
        <v>5441.0874845154394</v>
      </c>
      <c r="AG194" s="113">
        <f t="shared" si="205"/>
        <v>5404.7820225175219</v>
      </c>
      <c r="AH194" s="113">
        <f t="shared" si="205"/>
        <v>5384.3541590252444</v>
      </c>
      <c r="AI194" s="113">
        <f t="shared" si="205"/>
        <v>5365.8851214321285</v>
      </c>
      <c r="AJ194" s="113">
        <f t="shared" si="205"/>
        <v>5348.9222971044392</v>
      </c>
      <c r="AK194" s="113">
        <f t="shared" si="205"/>
        <v>5333.4691888073176</v>
      </c>
      <c r="AL194" s="113">
        <f t="shared" si="205"/>
        <v>5319.5297971511563</v>
      </c>
      <c r="AM194" s="198"/>
      <c r="AN194" s="198"/>
      <c r="AO194" s="198"/>
      <c r="AP194" s="198"/>
      <c r="AQ194" s="198"/>
      <c r="AR194" s="198"/>
      <c r="AS194" s="198"/>
      <c r="AT194" s="198"/>
      <c r="AU194" s="198"/>
      <c r="AV194" s="198"/>
      <c r="AW194" s="198"/>
      <c r="AX194" s="198"/>
      <c r="AY194" s="198"/>
      <c r="AZ194" s="198"/>
      <c r="BA194" s="198"/>
      <c r="BB194" s="198"/>
      <c r="BC194" s="198"/>
      <c r="BD194" s="198"/>
      <c r="BE194" s="198"/>
      <c r="BF194" s="198"/>
    </row>
    <row r="195" spans="1:58" outlineLevel="1" x14ac:dyDescent="0.3">
      <c r="A195" s="198"/>
      <c r="B195" s="198" t="s">
        <v>892</v>
      </c>
      <c r="C195" s="198"/>
      <c r="D195" s="198"/>
      <c r="E195" s="198"/>
      <c r="F195" s="198"/>
      <c r="G195" s="198"/>
      <c r="H195" s="198"/>
      <c r="I195" s="198"/>
      <c r="J195" s="198"/>
      <c r="K195" s="198"/>
      <c r="L195" s="1304"/>
      <c r="M195" s="201" t="s">
        <v>893</v>
      </c>
      <c r="N195" s="207" t="s">
        <v>77</v>
      </c>
      <c r="O195" s="200"/>
      <c r="P195" s="200"/>
      <c r="Q195" s="200"/>
      <c r="R195" s="200"/>
      <c r="S195" s="200"/>
      <c r="T195" s="200"/>
      <c r="U195" s="200"/>
      <c r="V195" s="200"/>
      <c r="W195" s="200"/>
      <c r="X195" s="200"/>
      <c r="Y195" s="394"/>
      <c r="Z195" s="208"/>
      <c r="AA195" s="208"/>
      <c r="AB195" s="113">
        <f t="shared" ref="AB195:AC195" si="206">AB9+AB183+AB189</f>
        <v>9177.7777777777792</v>
      </c>
      <c r="AC195" s="113">
        <f t="shared" si="206"/>
        <v>9665.5308323803783</v>
      </c>
      <c r="AD195" s="113">
        <f t="shared" ref="AD195:AL195" si="207">AD9+AD183+AD189</f>
        <v>9790.3918229406718</v>
      </c>
      <c r="AE195" s="113">
        <f t="shared" si="207"/>
        <v>9863.3184735158247</v>
      </c>
      <c r="AF195" s="113">
        <f t="shared" si="207"/>
        <v>9891.8016730755808</v>
      </c>
      <c r="AG195" s="113">
        <f t="shared" si="207"/>
        <v>9694.6514959532997</v>
      </c>
      <c r="AH195" s="113">
        <f t="shared" si="207"/>
        <v>9640.5927487864192</v>
      </c>
      <c r="AI195" s="113">
        <f t="shared" si="207"/>
        <v>8904.0136694141493</v>
      </c>
      <c r="AJ195" s="113">
        <f t="shared" si="207"/>
        <v>8854.1312126782123</v>
      </c>
      <c r="AK195" s="113">
        <f t="shared" si="207"/>
        <v>8804.8809330456006</v>
      </c>
      <c r="AL195" s="113">
        <f t="shared" si="207"/>
        <v>8758.675323706173</v>
      </c>
      <c r="AM195" s="198"/>
      <c r="AN195" s="198"/>
      <c r="AO195" s="198"/>
      <c r="AP195" s="198"/>
      <c r="AQ195" s="198"/>
      <c r="AR195" s="198"/>
      <c r="AS195" s="198"/>
      <c r="AT195" s="198"/>
      <c r="AU195" s="198"/>
      <c r="AV195" s="198"/>
      <c r="AW195" s="198"/>
      <c r="AX195" s="198"/>
      <c r="AY195" s="198"/>
      <c r="AZ195" s="198"/>
      <c r="BA195" s="198"/>
      <c r="BB195" s="198"/>
      <c r="BC195" s="198"/>
      <c r="BD195" s="198"/>
      <c r="BE195" s="198"/>
      <c r="BF195" s="198"/>
    </row>
    <row r="196" spans="1:58" outlineLevel="1" x14ac:dyDescent="0.3">
      <c r="A196" s="198"/>
      <c r="B196" s="198" t="s">
        <v>894</v>
      </c>
      <c r="C196" s="198"/>
      <c r="D196" s="198"/>
      <c r="E196" s="198"/>
      <c r="F196" s="198"/>
      <c r="G196" s="198"/>
      <c r="H196" s="198"/>
      <c r="I196" s="198"/>
      <c r="J196" s="198"/>
      <c r="K196" s="198"/>
      <c r="L196" s="1304"/>
      <c r="M196" s="201" t="s">
        <v>895</v>
      </c>
      <c r="N196" s="207" t="s">
        <v>77</v>
      </c>
      <c r="O196" s="200"/>
      <c r="P196" s="200"/>
      <c r="Q196" s="200"/>
      <c r="R196" s="200"/>
      <c r="S196" s="200"/>
      <c r="T196" s="200"/>
      <c r="U196" s="200"/>
      <c r="V196" s="200"/>
      <c r="W196" s="200"/>
      <c r="X196" s="200"/>
      <c r="Y196" s="394"/>
      <c r="Z196" s="208"/>
      <c r="AA196" s="208"/>
      <c r="AB196" s="113">
        <f t="shared" ref="AB196:AC196" si="208">AB10+AB184+AB190</f>
        <v>1272.7777777777778</v>
      </c>
      <c r="AC196" s="113">
        <f t="shared" si="208"/>
        <v>990.64514183333335</v>
      </c>
      <c r="AD196" s="113">
        <f t="shared" ref="AD196:AL196" si="209">AD10+AD184+AD190</f>
        <v>990.2699169263509</v>
      </c>
      <c r="AE196" s="113">
        <f t="shared" si="209"/>
        <v>989.70961873487397</v>
      </c>
      <c r="AF196" s="113">
        <f t="shared" si="209"/>
        <v>983.99775628743453</v>
      </c>
      <c r="AG196" s="113">
        <f t="shared" si="209"/>
        <v>980.91529278718508</v>
      </c>
      <c r="AH196" s="113">
        <f t="shared" si="209"/>
        <v>980.42508040545374</v>
      </c>
      <c r="AI196" s="113">
        <f t="shared" si="209"/>
        <v>973.14054174845216</v>
      </c>
      <c r="AJ196" s="113">
        <f t="shared" si="209"/>
        <v>965.86007709494652</v>
      </c>
      <c r="AK196" s="113">
        <f t="shared" si="209"/>
        <v>958.58377059494376</v>
      </c>
      <c r="AL196" s="113">
        <f t="shared" si="209"/>
        <v>951.31170289611759</v>
      </c>
      <c r="AM196" s="198"/>
      <c r="AN196" s="198"/>
      <c r="AO196" s="198"/>
      <c r="AP196" s="198"/>
      <c r="AQ196" s="198"/>
      <c r="AR196" s="198"/>
      <c r="AS196" s="198"/>
      <c r="AT196" s="198"/>
      <c r="AU196" s="198"/>
      <c r="AV196" s="198"/>
      <c r="AW196" s="198"/>
      <c r="AX196" s="198"/>
      <c r="AY196" s="198"/>
      <c r="AZ196" s="198"/>
      <c r="BA196" s="198"/>
      <c r="BB196" s="198"/>
      <c r="BC196" s="198"/>
      <c r="BD196" s="198"/>
      <c r="BE196" s="198"/>
      <c r="BF196" s="198"/>
    </row>
    <row r="197" spans="1:58" outlineLevel="1" x14ac:dyDescent="0.3">
      <c r="A197" s="198"/>
      <c r="B197" s="198"/>
      <c r="C197" s="198"/>
      <c r="D197" s="198"/>
      <c r="E197" s="198"/>
      <c r="F197" s="198"/>
      <c r="G197" s="198"/>
      <c r="H197" s="198"/>
      <c r="I197" s="198"/>
      <c r="J197" s="198"/>
      <c r="K197" s="198"/>
      <c r="L197" s="1304"/>
      <c r="M197" s="202"/>
      <c r="N197" s="199"/>
      <c r="O197" s="200"/>
      <c r="P197" s="200"/>
      <c r="Q197" s="200"/>
      <c r="R197" s="200"/>
      <c r="S197" s="200"/>
      <c r="T197" s="200"/>
      <c r="U197" s="200"/>
      <c r="V197" s="200"/>
      <c r="W197" s="200"/>
      <c r="X197" s="200"/>
      <c r="Y197" s="394"/>
      <c r="Z197" s="208"/>
      <c r="AA197" s="208"/>
      <c r="AB197" s="198"/>
      <c r="AC197" s="198"/>
      <c r="AD197" s="198"/>
      <c r="AE197" s="198"/>
      <c r="AF197" s="198"/>
      <c r="AG197" s="198"/>
      <c r="AH197" s="198"/>
      <c r="AI197" s="198"/>
      <c r="AJ197" s="198"/>
      <c r="AK197" s="198"/>
      <c r="AL197" s="198"/>
      <c r="AM197" s="198"/>
      <c r="AN197" s="198"/>
      <c r="AO197" s="198"/>
      <c r="AP197" s="198"/>
      <c r="AQ197" s="198"/>
      <c r="AR197" s="198"/>
      <c r="AS197" s="198"/>
      <c r="AT197" s="198"/>
      <c r="AU197" s="198"/>
      <c r="AV197" s="198"/>
      <c r="AW197" s="198"/>
      <c r="AX197" s="198"/>
      <c r="AY197" s="198"/>
      <c r="AZ197" s="198"/>
      <c r="BA197" s="198"/>
      <c r="BB197" s="198"/>
      <c r="BC197" s="198"/>
      <c r="BD197" s="198"/>
      <c r="BE197" s="198"/>
      <c r="BF197" s="198"/>
    </row>
    <row r="198" spans="1:58" x14ac:dyDescent="0.3">
      <c r="A198" s="198"/>
      <c r="B198" s="198"/>
      <c r="C198" s="198"/>
      <c r="D198" s="198"/>
      <c r="E198" s="198"/>
      <c r="F198" s="198"/>
      <c r="G198" s="198"/>
      <c r="H198" s="198"/>
      <c r="I198" s="198"/>
      <c r="J198" s="198"/>
      <c r="K198" s="198"/>
      <c r="L198" s="1304"/>
      <c r="M198" s="77" t="s">
        <v>914</v>
      </c>
      <c r="N198" s="207" t="s">
        <v>77</v>
      </c>
      <c r="O198" s="200"/>
      <c r="P198" s="200"/>
      <c r="Q198" s="200"/>
      <c r="R198" s="200"/>
      <c r="S198" s="200"/>
      <c r="T198" s="200"/>
      <c r="U198" s="200"/>
      <c r="V198" s="200"/>
      <c r="W198" s="200"/>
      <c r="X198" s="200"/>
      <c r="Y198" s="394"/>
      <c r="Z198" s="208"/>
      <c r="AA198" s="208"/>
      <c r="AB198" s="404">
        <f t="shared" ref="AB198:AC198" si="210">AB192+AB193+AB194+AB195+AB196</f>
        <v>31150.220000000005</v>
      </c>
      <c r="AC198" s="404">
        <f t="shared" si="210"/>
        <v>30893.087061556424</v>
      </c>
      <c r="AD198" s="404">
        <f t="shared" ref="AD198:AL198" si="211">AD192+AD193+AD194+AD195+AD196</f>
        <v>31536.458749127713</v>
      </c>
      <c r="AE198" s="404">
        <f t="shared" si="211"/>
        <v>31713.576978936831</v>
      </c>
      <c r="AF198" s="404">
        <f t="shared" si="211"/>
        <v>31736.587800146732</v>
      </c>
      <c r="AG198" s="404">
        <f t="shared" si="211"/>
        <v>31335.683953172447</v>
      </c>
      <c r="AH198" s="404">
        <f t="shared" si="211"/>
        <v>31152.846456879553</v>
      </c>
      <c r="AI198" s="404">
        <f t="shared" si="211"/>
        <v>30307.142073378873</v>
      </c>
      <c r="AJ198" s="404">
        <f t="shared" si="211"/>
        <v>30195.90681731702</v>
      </c>
      <c r="AK198" s="404">
        <f t="shared" si="211"/>
        <v>30090.495021546078</v>
      </c>
      <c r="AL198" s="404">
        <f t="shared" si="211"/>
        <v>29993.320797509932</v>
      </c>
      <c r="AM198" s="198"/>
      <c r="AN198" s="198"/>
      <c r="AO198" s="198"/>
      <c r="AP198" s="198"/>
      <c r="AQ198" s="198"/>
      <c r="AR198" s="198"/>
      <c r="AS198" s="198"/>
      <c r="AT198" s="198"/>
      <c r="AU198" s="198"/>
      <c r="AV198" s="198"/>
      <c r="AW198" s="198"/>
      <c r="AX198" s="198"/>
      <c r="AY198" s="198"/>
      <c r="AZ198" s="198"/>
      <c r="BA198" s="198"/>
      <c r="BB198" s="198"/>
      <c r="BC198" s="198"/>
      <c r="BD198" s="198"/>
      <c r="BE198" s="198"/>
      <c r="BF198" s="198"/>
    </row>
    <row r="199" spans="1:58" ht="14.25" thickBot="1" x14ac:dyDescent="0.35">
      <c r="A199" s="198"/>
      <c r="B199" s="198"/>
      <c r="C199" s="198"/>
      <c r="D199" s="198"/>
      <c r="E199" s="198"/>
      <c r="F199" s="198"/>
      <c r="G199" s="198"/>
      <c r="H199" s="198"/>
      <c r="I199" s="198"/>
      <c r="J199" s="198"/>
      <c r="K199" s="198"/>
      <c r="L199" s="1304"/>
      <c r="M199" s="72" t="s">
        <v>915</v>
      </c>
      <c r="N199" s="207" t="s">
        <v>68</v>
      </c>
      <c r="O199" s="200"/>
      <c r="P199" s="200"/>
      <c r="Q199" s="200"/>
      <c r="R199" s="200"/>
      <c r="S199" s="200"/>
      <c r="T199" s="200"/>
      <c r="U199" s="200"/>
      <c r="V199" s="200"/>
      <c r="W199" s="200"/>
      <c r="X199" s="200"/>
      <c r="Y199" s="394"/>
      <c r="Z199" s="208"/>
      <c r="AA199" s="208"/>
      <c r="AB199" s="405">
        <f t="shared" ref="AB199:AC199" si="212">-(AB198-AB$11)/AB$11</f>
        <v>0</v>
      </c>
      <c r="AC199" s="438">
        <f t="shared" si="212"/>
        <v>4.4518987504133176E-3</v>
      </c>
      <c r="AD199" s="438">
        <f>-(AD198-AD$11)/AD$11</f>
        <v>1.640793824846731E-3</v>
      </c>
      <c r="AE199" s="438">
        <f>-((AD$11-AD198)-(AE$11-AE198))/AE$11</f>
        <v>1.3375130786675627E-3</v>
      </c>
      <c r="AF199" s="438">
        <f t="shared" ref="AF199" si="213">-((AE$11-AE198)-(AF$11-AF198))/AF$11</f>
        <v>6.7190359384701913E-3</v>
      </c>
      <c r="AG199" s="438">
        <f t="shared" ref="AG199" si="214">-((AF$11-AF198)-(AG$11-AG198))/AG$11</f>
        <v>1.9938112879147166E-2</v>
      </c>
      <c r="AH199" s="438">
        <f t="shared" ref="AH199" si="215">-((AG$11-AG198)-(AH$11-AH198))/AH$11</f>
        <v>1.3225976018348143E-2</v>
      </c>
      <c r="AI199" s="438">
        <f t="shared" ref="AI199" si="216">-((AH$11-AH198)-(AI$11-AI198))/AI$11</f>
        <v>3.3626616130063916E-2</v>
      </c>
      <c r="AJ199" s="438">
        <f t="shared" ref="AJ199" si="217">-((AI$11-AI198)-(AJ$11-AJ198))/AJ$11</f>
        <v>1.1265460181214165E-2</v>
      </c>
      <c r="AK199" s="438">
        <f t="shared" ref="AK199" si="218">-((AJ$11-AJ198)-(AK$11-AK198))/AK$11</f>
        <v>1.1125861163135676E-2</v>
      </c>
      <c r="AL199" s="438">
        <f t="shared" ref="AL199" si="219">-((AK$11-AK198)-(AL$11-AL198))/AL$11</f>
        <v>1.0916867432062839E-2</v>
      </c>
      <c r="AM199" s="198"/>
      <c r="AN199" s="198"/>
      <c r="AO199" s="198"/>
      <c r="AP199" s="198"/>
      <c r="AQ199" s="198"/>
      <c r="AR199" s="198"/>
      <c r="AS199" s="198"/>
      <c r="AT199" s="198"/>
      <c r="AU199" s="198"/>
      <c r="AV199" s="198"/>
      <c r="AW199" s="198"/>
      <c r="AX199" s="198"/>
      <c r="AY199" s="198"/>
      <c r="AZ199" s="198"/>
      <c r="BA199" s="198"/>
      <c r="BB199" s="198"/>
      <c r="BC199" s="198"/>
      <c r="BD199" s="198"/>
      <c r="BE199" s="198"/>
      <c r="BF199" s="198"/>
    </row>
    <row r="200" spans="1:58" ht="14.25" thickBot="1" x14ac:dyDescent="0.35">
      <c r="A200" s="198"/>
      <c r="B200" s="198"/>
      <c r="C200" s="198"/>
      <c r="D200" s="198"/>
      <c r="E200" s="198"/>
      <c r="F200" s="198"/>
      <c r="G200" s="198"/>
      <c r="H200" s="198"/>
      <c r="I200" s="198"/>
      <c r="J200" s="198"/>
      <c r="K200" s="198"/>
      <c r="L200" s="1304"/>
      <c r="M200" s="72" t="s">
        <v>916</v>
      </c>
      <c r="N200" s="207" t="s">
        <v>68</v>
      </c>
      <c r="O200" s="200"/>
      <c r="P200" s="200"/>
      <c r="Q200" s="200"/>
      <c r="R200" s="200"/>
      <c r="S200" s="200"/>
      <c r="T200" s="200"/>
      <c r="U200" s="200"/>
      <c r="V200" s="200"/>
      <c r="W200" s="200"/>
      <c r="X200" s="200"/>
      <c r="Y200" s="394"/>
      <c r="Z200" s="208"/>
      <c r="AA200" s="208"/>
      <c r="AB200" s="200"/>
      <c r="AC200" s="200"/>
      <c r="AD200" s="518"/>
      <c r="AE200" s="518"/>
      <c r="AF200" s="1311">
        <f>((AL$11-AL198)-(AF$11-AF198))/AL$11/7</f>
        <v>1.3978120196927374E-2</v>
      </c>
      <c r="AG200" s="1312"/>
      <c r="AH200" s="1312"/>
      <c r="AI200" s="1312"/>
      <c r="AJ200" s="1312"/>
      <c r="AK200" s="1312"/>
      <c r="AL200" s="1313"/>
      <c r="AM200" s="198"/>
      <c r="AN200" s="198"/>
      <c r="AO200" s="198"/>
      <c r="AP200" s="198"/>
      <c r="AQ200" s="198"/>
      <c r="AR200" s="198"/>
      <c r="AS200" s="198"/>
      <c r="AT200" s="198"/>
      <c r="AU200" s="198"/>
      <c r="AV200" s="198"/>
      <c r="AW200" s="198"/>
      <c r="AX200" s="198"/>
      <c r="AY200" s="198"/>
      <c r="AZ200" s="198"/>
      <c r="BA200" s="198"/>
      <c r="BB200" s="198"/>
      <c r="BC200" s="198"/>
      <c r="BD200" s="198"/>
      <c r="BE200" s="198"/>
      <c r="BF200" s="198"/>
    </row>
    <row r="201" spans="1:58" x14ac:dyDescent="0.3">
      <c r="A201" s="198"/>
      <c r="B201" s="198"/>
      <c r="C201" s="198"/>
      <c r="D201" s="198"/>
      <c r="E201" s="198"/>
      <c r="F201" s="198"/>
      <c r="G201" s="198"/>
      <c r="H201" s="198"/>
      <c r="I201" s="198"/>
      <c r="J201" s="198"/>
      <c r="K201" s="198"/>
      <c r="L201" s="1304"/>
      <c r="M201" s="202"/>
      <c r="N201" s="199"/>
      <c r="O201" s="200"/>
      <c r="P201" s="200"/>
      <c r="Q201" s="200"/>
      <c r="R201" s="200"/>
      <c r="S201" s="200"/>
      <c r="T201" s="200"/>
      <c r="U201" s="200"/>
      <c r="V201" s="200"/>
      <c r="W201" s="200"/>
      <c r="X201" s="200"/>
      <c r="Y201" s="394"/>
      <c r="Z201" s="208"/>
      <c r="AA201" s="208"/>
      <c r="AB201" s="200"/>
      <c r="AC201" s="200"/>
      <c r="AD201" s="198"/>
      <c r="AE201" s="198"/>
      <c r="AF201" s="198"/>
      <c r="AG201" s="198"/>
      <c r="AH201" s="198"/>
      <c r="AI201" s="198"/>
      <c r="AJ201" s="198"/>
      <c r="AK201" s="198"/>
      <c r="AL201" s="198"/>
      <c r="AM201" s="198"/>
      <c r="AN201" s="198"/>
      <c r="AO201" s="198"/>
      <c r="AP201" s="198"/>
      <c r="AQ201" s="198"/>
      <c r="AR201" s="198"/>
      <c r="AS201" s="198"/>
      <c r="AT201" s="198"/>
      <c r="AU201" s="198"/>
      <c r="AV201" s="198"/>
      <c r="AW201" s="198"/>
      <c r="AX201" s="198"/>
      <c r="AY201" s="198"/>
      <c r="AZ201" s="198"/>
      <c r="BA201" s="198"/>
      <c r="BB201" s="198"/>
      <c r="BC201" s="198"/>
      <c r="BD201" s="198"/>
      <c r="BE201" s="198"/>
      <c r="BF201" s="198"/>
    </row>
    <row r="202" spans="1:58" ht="12" customHeight="1" x14ac:dyDescent="0.3">
      <c r="A202" s="198"/>
      <c r="B202" s="198"/>
      <c r="C202" s="198"/>
      <c r="D202" s="198"/>
      <c r="E202" s="198"/>
      <c r="F202" s="198"/>
      <c r="G202" s="198"/>
      <c r="H202" s="198"/>
      <c r="I202" s="198"/>
      <c r="J202" s="198"/>
      <c r="K202" s="198"/>
      <c r="L202" s="1309" t="str">
        <f>'EE Measures'!IK6</f>
        <v>CEER1</v>
      </c>
      <c r="M202" s="1310" t="str">
        <f>L202</f>
        <v>CEER1</v>
      </c>
      <c r="N202" s="1310"/>
      <c r="O202" s="1310"/>
      <c r="P202" s="1310"/>
      <c r="Q202" s="1310"/>
      <c r="R202" s="1310"/>
      <c r="S202" s="1310"/>
      <c r="T202" s="1310"/>
      <c r="U202" s="1310"/>
      <c r="V202" s="1310"/>
      <c r="W202" s="1310"/>
      <c r="X202" s="1310"/>
      <c r="Y202" s="394"/>
      <c r="Z202" s="535"/>
      <c r="AA202" s="535"/>
      <c r="AB202" s="1310"/>
      <c r="AC202" s="1310"/>
      <c r="AD202" s="536"/>
      <c r="AE202" s="536"/>
      <c r="AF202" s="536"/>
      <c r="AG202" s="536"/>
      <c r="AH202" s="536"/>
      <c r="AI202" s="536"/>
      <c r="AJ202" s="536"/>
      <c r="AK202" s="536"/>
      <c r="AL202" s="536"/>
      <c r="AM202" s="198"/>
      <c r="AN202" s="198"/>
      <c r="AO202" s="198"/>
      <c r="AP202" s="198"/>
      <c r="AQ202" s="198"/>
      <c r="AR202" s="198"/>
      <c r="AS202" s="198"/>
      <c r="AT202" s="198"/>
      <c r="AU202" s="198"/>
      <c r="AV202" s="198"/>
      <c r="AW202" s="198"/>
      <c r="AX202" s="198"/>
      <c r="AY202" s="198"/>
      <c r="AZ202" s="198"/>
      <c r="BA202" s="198"/>
      <c r="BB202" s="198"/>
      <c r="BC202" s="198"/>
      <c r="BD202" s="198"/>
      <c r="BE202" s="198"/>
      <c r="BF202" s="198"/>
    </row>
    <row r="203" spans="1:58" outlineLevel="1" x14ac:dyDescent="0.3">
      <c r="A203" s="198"/>
      <c r="B203" s="198"/>
      <c r="C203" s="198"/>
      <c r="D203" s="198"/>
      <c r="E203" s="198"/>
      <c r="F203" s="198"/>
      <c r="G203" s="198"/>
      <c r="H203" s="198"/>
      <c r="I203" s="198"/>
      <c r="J203" s="198"/>
      <c r="K203" s="198"/>
      <c r="L203" s="1309"/>
      <c r="M203" s="201" t="s">
        <v>901</v>
      </c>
      <c r="N203" s="207" t="s">
        <v>77</v>
      </c>
      <c r="O203" s="200"/>
      <c r="P203" s="200"/>
      <c r="Q203" s="200"/>
      <c r="R203" s="200"/>
      <c r="S203" s="200"/>
      <c r="T203" s="200"/>
      <c r="U203" s="200"/>
      <c r="V203" s="200"/>
      <c r="W203" s="200"/>
      <c r="X203" s="200"/>
      <c r="Y203" s="394"/>
      <c r="Z203" s="208"/>
      <c r="AA203" s="208"/>
      <c r="AB203" s="533"/>
      <c r="AC203" s="533">
        <f t="shared" ref="AC203:AL203" si="220">SUMPRODUCT($J$621:$J$622,AC$621:AC$622)+SUMPRODUCT($J$627:$J$632,AC$627:AC$632)</f>
        <v>-71.459249999999997</v>
      </c>
      <c r="AD203" s="533">
        <f t="shared" si="220"/>
        <v>-3.2802999999999969</v>
      </c>
      <c r="AE203" s="533">
        <f t="shared" si="220"/>
        <v>-3.2802999999999969</v>
      </c>
      <c r="AF203" s="533">
        <f t="shared" si="220"/>
        <v>-20.491898903383429</v>
      </c>
      <c r="AG203" s="533">
        <f t="shared" si="220"/>
        <v>-101.44734408790872</v>
      </c>
      <c r="AH203" s="533">
        <f t="shared" si="220"/>
        <v>-180.95996139623526</v>
      </c>
      <c r="AI203" s="533">
        <f t="shared" si="220"/>
        <v>-258.36148037190742</v>
      </c>
      <c r="AJ203" s="533">
        <f t="shared" si="220"/>
        <v>-311.19607146677566</v>
      </c>
      <c r="AK203" s="533">
        <f t="shared" si="220"/>
        <v>-386.22959769430446</v>
      </c>
      <c r="AL203" s="533">
        <f t="shared" si="220"/>
        <v>-477.76076921682807</v>
      </c>
      <c r="AM203" s="532">
        <f>SUM(AD203:AL203)</f>
        <v>-1743.007723137343</v>
      </c>
      <c r="AN203" s="198"/>
      <c r="AO203" s="198"/>
      <c r="AP203" s="198"/>
      <c r="AQ203" s="198"/>
      <c r="AR203" s="198"/>
      <c r="AS203" s="198"/>
      <c r="AT203" s="198"/>
      <c r="AU203" s="198"/>
      <c r="AV203" s="198"/>
      <c r="AW203" s="198"/>
      <c r="AX203" s="198"/>
      <c r="AY203" s="198"/>
      <c r="AZ203" s="198"/>
      <c r="BA203" s="198"/>
      <c r="BB203" s="198"/>
      <c r="BC203" s="198"/>
      <c r="BD203" s="198"/>
      <c r="BE203" s="198"/>
      <c r="BF203" s="198"/>
    </row>
    <row r="204" spans="1:58" outlineLevel="1" x14ac:dyDescent="0.3">
      <c r="A204" s="198"/>
      <c r="B204" s="198"/>
      <c r="C204" s="198"/>
      <c r="D204" s="198"/>
      <c r="E204" s="198"/>
      <c r="F204" s="198"/>
      <c r="G204" s="198"/>
      <c r="H204" s="198"/>
      <c r="I204" s="198"/>
      <c r="J204" s="198"/>
      <c r="K204" s="198"/>
      <c r="L204" s="1309"/>
      <c r="M204" s="201" t="s">
        <v>902</v>
      </c>
      <c r="N204" s="207" t="s">
        <v>77</v>
      </c>
      <c r="O204" s="200"/>
      <c r="P204" s="200"/>
      <c r="Q204" s="200"/>
      <c r="R204" s="200"/>
      <c r="S204" s="200"/>
      <c r="T204" s="200"/>
      <c r="U204" s="200"/>
      <c r="V204" s="200"/>
      <c r="W204" s="200"/>
      <c r="X204" s="200"/>
      <c r="Y204" s="394"/>
      <c r="Z204" s="208"/>
      <c r="AA204" s="208"/>
      <c r="AB204" s="532"/>
      <c r="AC204" s="532">
        <f t="shared" ref="AC204:AL204" si="221">SUMPRODUCT($J$699:$J$702,AC$699:AC$702)+SUMPRODUCT($J$707:$J$714,AC$707:AC$714)</f>
        <v>-2.9497749683944372</v>
      </c>
      <c r="AD204" s="532">
        <f t="shared" si="221"/>
        <v>-3.5922486490719709</v>
      </c>
      <c r="AE204" s="532">
        <f t="shared" si="221"/>
        <v>-7.9201255416805818</v>
      </c>
      <c r="AF204" s="532">
        <f t="shared" si="221"/>
        <v>-8.0871255416805816</v>
      </c>
      <c r="AG204" s="532">
        <f t="shared" si="221"/>
        <v>-196.76662554168061</v>
      </c>
      <c r="AH204" s="532">
        <f t="shared" si="221"/>
        <v>-382.83436083579829</v>
      </c>
      <c r="AI204" s="532">
        <f t="shared" si="221"/>
        <v>-566.34154249669791</v>
      </c>
      <c r="AJ204" s="532">
        <f t="shared" si="221"/>
        <v>-747.1713774583643</v>
      </c>
      <c r="AK204" s="532">
        <f t="shared" si="221"/>
        <v>-925.54008820509603</v>
      </c>
      <c r="AL204" s="532">
        <f t="shared" si="221"/>
        <v>-1101.4959320744406</v>
      </c>
      <c r="AM204" s="532">
        <f t="shared" ref="AM204:AM207" si="222">SUM(AD204:AL204)</f>
        <v>-3939.749426344511</v>
      </c>
      <c r="AN204" s="198"/>
      <c r="AO204" s="198"/>
      <c r="AP204" s="198"/>
      <c r="AQ204" s="198"/>
      <c r="AR204" s="198"/>
      <c r="AS204" s="198"/>
      <c r="AT204" s="198"/>
      <c r="AU204" s="198"/>
      <c r="AV204" s="198"/>
      <c r="AW204" s="198"/>
      <c r="AX204" s="198"/>
      <c r="AY204" s="198"/>
      <c r="AZ204" s="198"/>
      <c r="BA204" s="198"/>
      <c r="BB204" s="198"/>
      <c r="BC204" s="198"/>
      <c r="BD204" s="198"/>
      <c r="BE204" s="198"/>
      <c r="BF204" s="198"/>
    </row>
    <row r="205" spans="1:58" outlineLevel="1" x14ac:dyDescent="0.3">
      <c r="A205" s="198"/>
      <c r="B205" s="198"/>
      <c r="C205" s="198"/>
      <c r="D205" s="198"/>
      <c r="E205" s="198"/>
      <c r="F205" s="198"/>
      <c r="G205" s="198"/>
      <c r="H205" s="198"/>
      <c r="I205" s="198"/>
      <c r="J205" s="198"/>
      <c r="K205" s="198"/>
      <c r="L205" s="1309"/>
      <c r="M205" s="201" t="s">
        <v>903</v>
      </c>
      <c r="N205" s="207" t="s">
        <v>77</v>
      </c>
      <c r="O205" s="200"/>
      <c r="P205" s="200"/>
      <c r="Q205" s="200"/>
      <c r="R205" s="200"/>
      <c r="S205" s="200"/>
      <c r="T205" s="200"/>
      <c r="U205" s="200"/>
      <c r="V205" s="200"/>
      <c r="W205" s="200"/>
      <c r="X205" s="200"/>
      <c r="Y205" s="394"/>
      <c r="Z205" s="208"/>
      <c r="AA205" s="208"/>
      <c r="AB205" s="533"/>
      <c r="AC205" s="533">
        <f t="shared" ref="AC205:AL205" si="223">SUMPRODUCT($J$919:$J$925,AC$919:AC$925)+SUMPRODUCT($J$931:$J$938,AC$931:AC$938)</f>
        <v>-8.2481988000000008</v>
      </c>
      <c r="AD205" s="533">
        <f t="shared" si="223"/>
        <v>-4.9282862999999999</v>
      </c>
      <c r="AE205" s="533">
        <f t="shared" si="223"/>
        <v>-5.4417418</v>
      </c>
      <c r="AF205" s="533">
        <f t="shared" si="223"/>
        <v>-5.5447698000000001</v>
      </c>
      <c r="AG205" s="533">
        <f t="shared" si="223"/>
        <v>-67.064769799999993</v>
      </c>
      <c r="AH205" s="533">
        <f t="shared" si="223"/>
        <v>-128.16124038823531</v>
      </c>
      <c r="AI205" s="533">
        <f t="shared" si="223"/>
        <v>-188.84248606297578</v>
      </c>
      <c r="AJ205" s="533">
        <f t="shared" si="223"/>
        <v>-249.11664848919193</v>
      </c>
      <c r="AK205" s="533">
        <f t="shared" si="223"/>
        <v>-308.99170969136463</v>
      </c>
      <c r="AL205" s="533">
        <f t="shared" si="223"/>
        <v>-368.47549518369084</v>
      </c>
      <c r="AM205" s="532">
        <f t="shared" si="222"/>
        <v>-1326.5671475154584</v>
      </c>
      <c r="AN205" s="198"/>
      <c r="AO205" s="198"/>
      <c r="AP205" s="198"/>
      <c r="AQ205" s="198"/>
      <c r="AR205" s="198"/>
      <c r="AS205" s="198"/>
      <c r="AT205" s="198"/>
      <c r="AU205" s="198"/>
      <c r="AV205" s="198"/>
      <c r="AW205" s="198"/>
      <c r="AX205" s="198"/>
      <c r="AY205" s="198"/>
      <c r="AZ205" s="198"/>
      <c r="BA205" s="198"/>
      <c r="BB205" s="198"/>
      <c r="BC205" s="198"/>
      <c r="BD205" s="198"/>
      <c r="BE205" s="198"/>
      <c r="BF205" s="198"/>
    </row>
    <row r="206" spans="1:58" outlineLevel="1" x14ac:dyDescent="0.3">
      <c r="A206" s="198"/>
      <c r="B206" s="198"/>
      <c r="C206" s="198"/>
      <c r="D206" s="198"/>
      <c r="E206" s="198"/>
      <c r="F206" s="198"/>
      <c r="G206" s="198"/>
      <c r="H206" s="198"/>
      <c r="I206" s="198"/>
      <c r="J206" s="198"/>
      <c r="K206" s="198"/>
      <c r="L206" s="1309"/>
      <c r="M206" s="201" t="s">
        <v>904</v>
      </c>
      <c r="N206" s="207" t="s">
        <v>77</v>
      </c>
      <c r="O206" s="200"/>
      <c r="P206" s="200"/>
      <c r="Q206" s="200"/>
      <c r="R206" s="200"/>
      <c r="S206" s="200"/>
      <c r="T206" s="200"/>
      <c r="U206" s="200"/>
      <c r="V206" s="200"/>
      <c r="W206" s="200"/>
      <c r="X206" s="200"/>
      <c r="Y206" s="394"/>
      <c r="Z206" s="208"/>
      <c r="AA206" s="208"/>
      <c r="AB206" s="532"/>
      <c r="AC206" s="532">
        <f t="shared" ref="AC206:AL206" si="224">SUMPRODUCT($J$1263:$J$1267,AC$1263:AC$1267)+SUMPRODUCT($J$1272:$J$1289,AC$1272:AC$1289)</f>
        <v>-55.302500952955526</v>
      </c>
      <c r="AD206" s="532">
        <f t="shared" si="224"/>
        <v>-22.067022101668812</v>
      </c>
      <c r="AE206" s="532">
        <f t="shared" si="224"/>
        <v>-41.657517117821463</v>
      </c>
      <c r="AF206" s="532">
        <f t="shared" si="224"/>
        <v>-54.488335660890812</v>
      </c>
      <c r="AG206" s="532">
        <f t="shared" si="224"/>
        <v>-244.3851063393376</v>
      </c>
      <c r="AH206" s="532">
        <f t="shared" si="224"/>
        <v>-339.28145786289787</v>
      </c>
      <c r="AI206" s="532">
        <f t="shared" si="224"/>
        <v>-778.21311984221165</v>
      </c>
      <c r="AJ206" s="532">
        <f t="shared" si="224"/>
        <v>-870.84547022605864</v>
      </c>
      <c r="AK206" s="532">
        <f t="shared" si="224"/>
        <v>-963.80928518066969</v>
      </c>
      <c r="AL206" s="532">
        <f t="shared" si="224"/>
        <v>-1054.7029513939374</v>
      </c>
      <c r="AM206" s="532">
        <f t="shared" si="222"/>
        <v>-4369.4502657254943</v>
      </c>
      <c r="AN206" s="198"/>
      <c r="AO206" s="198"/>
      <c r="AP206" s="198"/>
      <c r="AQ206" s="198"/>
      <c r="AR206" s="198"/>
      <c r="AS206" s="198"/>
      <c r="AT206" s="198"/>
      <c r="AU206" s="198"/>
      <c r="AV206" s="198"/>
      <c r="AW206" s="198"/>
      <c r="AX206" s="198"/>
      <c r="AY206" s="198"/>
      <c r="AZ206" s="198"/>
      <c r="BA206" s="198"/>
      <c r="BB206" s="198"/>
      <c r="BC206" s="198"/>
      <c r="BD206" s="198"/>
      <c r="BE206" s="198"/>
      <c r="BF206" s="198"/>
    </row>
    <row r="207" spans="1:58" outlineLevel="1" x14ac:dyDescent="0.3">
      <c r="A207" s="198"/>
      <c r="B207" s="198"/>
      <c r="C207" s="198"/>
      <c r="D207" s="198"/>
      <c r="E207" s="198"/>
      <c r="F207" s="198"/>
      <c r="G207" s="198"/>
      <c r="H207" s="198"/>
      <c r="I207" s="198"/>
      <c r="J207" s="198"/>
      <c r="K207" s="198"/>
      <c r="L207" s="1309"/>
      <c r="M207" s="201" t="s">
        <v>905</v>
      </c>
      <c r="N207" s="207" t="s">
        <v>77</v>
      </c>
      <c r="O207" s="200"/>
      <c r="P207" s="200"/>
      <c r="Q207" s="200"/>
      <c r="R207" s="200"/>
      <c r="S207" s="200"/>
      <c r="T207" s="200"/>
      <c r="U207" s="200"/>
      <c r="V207" s="200"/>
      <c r="W207" s="200"/>
      <c r="X207" s="200"/>
      <c r="Y207" s="394"/>
      <c r="Z207" s="208"/>
      <c r="AA207" s="208"/>
      <c r="AB207" s="533"/>
      <c r="AC207" s="533">
        <f t="shared" ref="AC207:AL207" si="225">SUMPRODUCT($J$1312:$J$1313,AC$1312:AC$1313)+SUMPRODUCT($J$1318:$J$1319,AC$1318:AC$1319)</f>
        <v>-0.18819149999999973</v>
      </c>
      <c r="AD207" s="533">
        <f t="shared" si="225"/>
        <v>0</v>
      </c>
      <c r="AE207" s="533">
        <f t="shared" si="225"/>
        <v>0</v>
      </c>
      <c r="AF207" s="533">
        <f t="shared" si="225"/>
        <v>0</v>
      </c>
      <c r="AG207" s="533">
        <f t="shared" si="225"/>
        <v>0</v>
      </c>
      <c r="AH207" s="533">
        <f t="shared" si="225"/>
        <v>0</v>
      </c>
      <c r="AI207" s="533">
        <f t="shared" si="225"/>
        <v>-6.8000000000000007</v>
      </c>
      <c r="AJ207" s="533">
        <f t="shared" si="225"/>
        <v>-13.600000000000001</v>
      </c>
      <c r="AK207" s="533">
        <f t="shared" si="225"/>
        <v>-20.400000000000002</v>
      </c>
      <c r="AL207" s="533">
        <f t="shared" si="225"/>
        <v>-27.200000000000003</v>
      </c>
      <c r="AM207" s="532">
        <f t="shared" si="222"/>
        <v>-68</v>
      </c>
      <c r="AN207" s="198"/>
      <c r="AO207" s="198"/>
      <c r="AP207" s="198"/>
      <c r="AQ207" s="198"/>
      <c r="AR207" s="198"/>
      <c r="AS207" s="198"/>
      <c r="AT207" s="198"/>
      <c r="AU207" s="198"/>
      <c r="AV207" s="198"/>
      <c r="AW207" s="198"/>
      <c r="AX207" s="198"/>
      <c r="AY207" s="198"/>
      <c r="AZ207" s="198"/>
      <c r="BA207" s="198"/>
      <c r="BB207" s="198"/>
      <c r="BC207" s="198"/>
      <c r="BD207" s="198"/>
      <c r="BE207" s="198"/>
      <c r="BF207" s="198"/>
    </row>
    <row r="208" spans="1:58" outlineLevel="1" x14ac:dyDescent="0.3">
      <c r="A208" s="198"/>
      <c r="B208" s="198"/>
      <c r="C208" s="198"/>
      <c r="D208" s="198"/>
      <c r="E208" s="198"/>
      <c r="F208" s="198"/>
      <c r="G208" s="198"/>
      <c r="H208" s="198"/>
      <c r="I208" s="198"/>
      <c r="J208" s="198"/>
      <c r="K208" s="198"/>
      <c r="L208" s="1309"/>
      <c r="M208" s="202"/>
      <c r="N208" s="199"/>
      <c r="O208" s="200"/>
      <c r="P208" s="200"/>
      <c r="Q208" s="200"/>
      <c r="R208" s="200"/>
      <c r="S208" s="200"/>
      <c r="T208" s="200"/>
      <c r="U208" s="200"/>
      <c r="V208" s="200"/>
      <c r="W208" s="200"/>
      <c r="X208" s="200"/>
      <c r="Y208" s="394"/>
      <c r="Z208" s="208"/>
      <c r="AA208" s="208"/>
      <c r="AB208" s="198"/>
      <c r="AC208" s="198"/>
      <c r="AD208" s="198"/>
      <c r="AE208" s="198"/>
      <c r="AF208" s="198"/>
      <c r="AG208" s="198"/>
      <c r="AH208" s="198"/>
      <c r="AI208" s="198"/>
      <c r="AJ208" s="198"/>
      <c r="AK208" s="198"/>
      <c r="AL208" s="198"/>
      <c r="AM208" s="198"/>
      <c r="AN208" s="198"/>
      <c r="AO208" s="198"/>
      <c r="AP208" s="198"/>
      <c r="AQ208" s="198"/>
      <c r="AR208" s="198"/>
      <c r="AS208" s="198"/>
      <c r="AT208" s="198"/>
      <c r="AU208" s="198"/>
      <c r="AV208" s="198"/>
      <c r="AW208" s="198"/>
      <c r="AX208" s="198"/>
      <c r="AY208" s="198"/>
      <c r="AZ208" s="198"/>
      <c r="BA208" s="198"/>
      <c r="BB208" s="198"/>
      <c r="BC208" s="198"/>
      <c r="BD208" s="198"/>
      <c r="BE208" s="198"/>
      <c r="BF208" s="198"/>
    </row>
    <row r="209" spans="1:58" outlineLevel="1" x14ac:dyDescent="0.3">
      <c r="A209" s="198"/>
      <c r="B209" s="198"/>
      <c r="C209" s="198"/>
      <c r="D209" s="198"/>
      <c r="E209" s="198"/>
      <c r="F209" s="198"/>
      <c r="G209" s="198"/>
      <c r="H209" s="198"/>
      <c r="I209" s="198"/>
      <c r="J209" s="198"/>
      <c r="K209" s="198"/>
      <c r="L209" s="1309"/>
      <c r="M209" s="201" t="s">
        <v>907</v>
      </c>
      <c r="N209" s="207" t="s">
        <v>77</v>
      </c>
      <c r="O209" s="200"/>
      <c r="P209" s="200"/>
      <c r="Q209" s="200"/>
      <c r="R209" s="200"/>
      <c r="S209" s="200"/>
      <c r="T209" s="200"/>
      <c r="U209" s="200"/>
      <c r="V209" s="200"/>
      <c r="W209" s="200"/>
      <c r="X209" s="200"/>
      <c r="Y209" s="394"/>
      <c r="Z209" s="208"/>
      <c r="AA209" s="208"/>
      <c r="AB209" s="406"/>
      <c r="AC209" s="406">
        <f t="shared" ref="AC209" si="226">(AC$67*$J$67+SUMPRODUCT($J$28:$J$40,AC$28:AC$40))*AC6/AC$11</f>
        <v>0</v>
      </c>
      <c r="AD209" s="406">
        <f t="shared" ref="AD209:AL209" si="227">(AD$67*$J$67+SUMPRODUCT($J$28:$J$40,AD$28:AD$40))*AD6/AD$11</f>
        <v>-2.727677786333802</v>
      </c>
      <c r="AE209" s="406">
        <f t="shared" si="227"/>
        <v>-5.5055424125658288</v>
      </c>
      <c r="AF209" s="406">
        <f t="shared" si="227"/>
        <v>-33.992672857533051</v>
      </c>
      <c r="AG209" s="406">
        <f t="shared" si="227"/>
        <v>-50.06129197144633</v>
      </c>
      <c r="AH209" s="406">
        <f t="shared" si="227"/>
        <v>-53.323672665530452</v>
      </c>
      <c r="AI209" s="406">
        <f t="shared" si="227"/>
        <v>-56.643157287247774</v>
      </c>
      <c r="AJ209" s="406">
        <f t="shared" si="227"/>
        <v>-60.028725787461767</v>
      </c>
      <c r="AK209" s="406">
        <f t="shared" si="227"/>
        <v>-63.480840444986065</v>
      </c>
      <c r="AL209" s="406">
        <f t="shared" si="227"/>
        <v>-66.999963219906462</v>
      </c>
      <c r="AM209" s="532">
        <f>SUM(AD209:AL209)</f>
        <v>-392.76354443301159</v>
      </c>
      <c r="AN209" s="1257">
        <f>(AM203+AM209)/8</f>
        <v>-266.97140844629433</v>
      </c>
      <c r="AO209" s="198"/>
      <c r="AP209" s="198"/>
      <c r="AQ209" s="198"/>
      <c r="AR209" s="198"/>
      <c r="AS209" s="198"/>
      <c r="AT209" s="198"/>
      <c r="AU209" s="198"/>
      <c r="AV209" s="198"/>
      <c r="AW209" s="198"/>
      <c r="AX209" s="198"/>
      <c r="AY209" s="198"/>
      <c r="AZ209" s="198"/>
      <c r="BA209" s="198"/>
      <c r="BB209" s="198"/>
      <c r="BC209" s="198"/>
      <c r="BD209" s="198"/>
      <c r="BE209" s="198"/>
      <c r="BF209" s="198"/>
    </row>
    <row r="210" spans="1:58" outlineLevel="1" x14ac:dyDescent="0.3">
      <c r="A210" s="198"/>
      <c r="B210" s="198"/>
      <c r="C210" s="198"/>
      <c r="D210" s="198"/>
      <c r="E210" s="198"/>
      <c r="F210" s="198"/>
      <c r="G210" s="198"/>
      <c r="H210" s="198"/>
      <c r="I210" s="198"/>
      <c r="J210" s="198"/>
      <c r="K210" s="198"/>
      <c r="L210" s="1309"/>
      <c r="M210" s="201" t="s">
        <v>908</v>
      </c>
      <c r="N210" s="207" t="s">
        <v>77</v>
      </c>
      <c r="O210" s="200"/>
      <c r="P210" s="200"/>
      <c r="Q210" s="200"/>
      <c r="R210" s="200"/>
      <c r="S210" s="200"/>
      <c r="T210" s="200"/>
      <c r="U210" s="200"/>
      <c r="V210" s="200"/>
      <c r="W210" s="200"/>
      <c r="X210" s="200"/>
      <c r="Y210" s="394"/>
      <c r="Z210" s="208"/>
      <c r="AA210" s="208"/>
      <c r="AB210" s="406"/>
      <c r="AC210" s="406">
        <f t="shared" ref="AC210" si="228">(AC$67*$J$67+SUMPRODUCT($J$28:$J$40,AC$28:AC$40))*AC7/AC$11</f>
        <v>0</v>
      </c>
      <c r="AD210" s="406">
        <f t="shared" ref="AD210:AL210" si="229">(AD$67*$J$67+SUMPRODUCT($J$28:$J$40,AD$28:AD$40))*AD7/AD$11</f>
        <v>-6.0076958218968253</v>
      </c>
      <c r="AE210" s="406">
        <f t="shared" si="229"/>
        <v>-12.017063473036384</v>
      </c>
      <c r="AF210" s="406">
        <f t="shared" si="229"/>
        <v>-73.322518545654518</v>
      </c>
      <c r="AG210" s="406">
        <f t="shared" si="229"/>
        <v>-106.72450644328562</v>
      </c>
      <c r="AH210" s="406">
        <f t="shared" si="229"/>
        <v>-112.36955545665913</v>
      </c>
      <c r="AI210" s="406">
        <f t="shared" si="229"/>
        <v>-118.05386316349525</v>
      </c>
      <c r="AJ210" s="406">
        <f t="shared" si="229"/>
        <v>-123.74519101336342</v>
      </c>
      <c r="AK210" s="406">
        <f t="shared" si="229"/>
        <v>-129.44364440315545</v>
      </c>
      <c r="AL210" s="406">
        <f t="shared" si="229"/>
        <v>-135.14935414781374</v>
      </c>
      <c r="AM210" s="532">
        <f t="shared" ref="AM210:AM213" si="230">SUM(AD210:AL210)</f>
        <v>-816.83339246836033</v>
      </c>
      <c r="AN210" s="198"/>
      <c r="AO210" s="198"/>
      <c r="AP210" s="198"/>
      <c r="AQ210" s="198"/>
      <c r="AR210" s="198"/>
      <c r="AS210" s="198"/>
      <c r="AT210" s="198"/>
      <c r="AU210" s="198"/>
      <c r="AV210" s="198"/>
      <c r="AW210" s="198"/>
      <c r="AX210" s="198"/>
      <c r="AY210" s="198"/>
      <c r="AZ210" s="198"/>
      <c r="BA210" s="198"/>
      <c r="BB210" s="198"/>
      <c r="BC210" s="198"/>
      <c r="BD210" s="198"/>
      <c r="BE210" s="198"/>
      <c r="BF210" s="198"/>
    </row>
    <row r="211" spans="1:58" outlineLevel="1" x14ac:dyDescent="0.3">
      <c r="A211" s="198"/>
      <c r="B211" s="198"/>
      <c r="C211" s="198"/>
      <c r="D211" s="198"/>
      <c r="E211" s="198"/>
      <c r="F211" s="198"/>
      <c r="G211" s="198"/>
      <c r="H211" s="198"/>
      <c r="I211" s="198"/>
      <c r="J211" s="198"/>
      <c r="K211" s="198"/>
      <c r="L211" s="1309"/>
      <c r="M211" s="201" t="s">
        <v>909</v>
      </c>
      <c r="N211" s="207" t="s">
        <v>77</v>
      </c>
      <c r="O211" s="200"/>
      <c r="P211" s="200"/>
      <c r="Q211" s="200"/>
      <c r="R211" s="200"/>
      <c r="S211" s="200"/>
      <c r="T211" s="200"/>
      <c r="U211" s="200"/>
      <c r="V211" s="200"/>
      <c r="W211" s="200"/>
      <c r="X211" s="200"/>
      <c r="Y211" s="394"/>
      <c r="Z211" s="208"/>
      <c r="AA211" s="208"/>
      <c r="AB211" s="406"/>
      <c r="AC211" s="406">
        <f t="shared" ref="AC211" si="231">(AC$67*$J$67+SUMPRODUCT($J$28:$J$40,AC$28:AC$40))*AC8/AC$11</f>
        <v>0</v>
      </c>
      <c r="AD211" s="406">
        <f t="shared" ref="AD211:AL211" si="232">(AD$67*$J$67+SUMPRODUCT($J$28:$J$40,AD$28:AD$40))*AD8/AD$11</f>
        <v>-3.0804002116585458</v>
      </c>
      <c r="AE211" s="406">
        <f t="shared" si="232"/>
        <v>-6.1813209209559794</v>
      </c>
      <c r="AF211" s="406">
        <f t="shared" si="232"/>
        <v>-37.836340761102001</v>
      </c>
      <c r="AG211" s="406">
        <f t="shared" si="232"/>
        <v>-55.249639516586235</v>
      </c>
      <c r="AH211" s="406">
        <f t="shared" si="232"/>
        <v>-58.35953849495376</v>
      </c>
      <c r="AI211" s="406">
        <f t="shared" si="232"/>
        <v>-61.488713037921599</v>
      </c>
      <c r="AJ211" s="406">
        <f t="shared" si="232"/>
        <v>-64.642685808211112</v>
      </c>
      <c r="AK211" s="406">
        <f t="shared" si="232"/>
        <v>-67.822106671771579</v>
      </c>
      <c r="AL211" s="406">
        <f t="shared" si="232"/>
        <v>-71.027639921238872</v>
      </c>
      <c r="AM211" s="532">
        <f t="shared" si="230"/>
        <v>-425.68838534439965</v>
      </c>
      <c r="AN211" s="198"/>
      <c r="AO211" s="198"/>
      <c r="AP211" s="198"/>
      <c r="AQ211" s="198"/>
      <c r="AR211" s="198"/>
      <c r="AS211" s="198"/>
      <c r="AT211" s="198"/>
      <c r="AU211" s="198"/>
      <c r="AV211" s="198"/>
      <c r="AW211" s="198"/>
      <c r="AX211" s="198"/>
      <c r="AY211" s="198"/>
      <c r="AZ211" s="198"/>
      <c r="BA211" s="198"/>
      <c r="BB211" s="198"/>
      <c r="BC211" s="198"/>
      <c r="BD211" s="198"/>
      <c r="BE211" s="198"/>
      <c r="BF211" s="198"/>
    </row>
    <row r="212" spans="1:58" outlineLevel="1" x14ac:dyDescent="0.3">
      <c r="A212" s="198"/>
      <c r="B212" s="198"/>
      <c r="C212" s="198"/>
      <c r="D212" s="198"/>
      <c r="E212" s="198"/>
      <c r="F212" s="198"/>
      <c r="G212" s="198"/>
      <c r="H212" s="198"/>
      <c r="I212" s="198"/>
      <c r="J212" s="198"/>
      <c r="K212" s="198"/>
      <c r="L212" s="1309"/>
      <c r="M212" s="201" t="s">
        <v>910</v>
      </c>
      <c r="N212" s="207" t="s">
        <v>77</v>
      </c>
      <c r="O212" s="200"/>
      <c r="P212" s="200"/>
      <c r="Q212" s="200"/>
      <c r="R212" s="200"/>
      <c r="S212" s="200"/>
      <c r="T212" s="200"/>
      <c r="U212" s="200"/>
      <c r="V212" s="200"/>
      <c r="W212" s="200"/>
      <c r="X212" s="200"/>
      <c r="Y212" s="394"/>
      <c r="Z212" s="208"/>
      <c r="AA212" s="208"/>
      <c r="AB212" s="406"/>
      <c r="AC212" s="406">
        <f t="shared" ref="AC212" si="233">(AC$67*$J$67+SUMPRODUCT($J$28:$J$40,AC$28:AC$40))*AC9/AC$11</f>
        <v>0</v>
      </c>
      <c r="AD212" s="406">
        <f t="shared" ref="AD212:AL212" si="234">(AD$67*$J$67+SUMPRODUCT($J$28:$J$40,AD$28:AD$40))*AD9/AD$11</f>
        <v>-5.5828216243274902</v>
      </c>
      <c r="AE212" s="406">
        <f t="shared" si="234"/>
        <v>-11.246092699688113</v>
      </c>
      <c r="AF212" s="406">
        <f t="shared" si="234"/>
        <v>-69.094295430194535</v>
      </c>
      <c r="AG212" s="406">
        <f t="shared" si="234"/>
        <v>-101.25448358969408</v>
      </c>
      <c r="AH212" s="406">
        <f t="shared" si="234"/>
        <v>-107.3217126995489</v>
      </c>
      <c r="AI212" s="406">
        <f t="shared" si="234"/>
        <v>-113.44107292931756</v>
      </c>
      <c r="AJ212" s="406">
        <f t="shared" si="234"/>
        <v>-119.62923591553286</v>
      </c>
      <c r="AK212" s="406">
        <f t="shared" si="234"/>
        <v>-125.88564327405514</v>
      </c>
      <c r="AL212" s="406">
        <f t="shared" si="234"/>
        <v>-132.20973398759571</v>
      </c>
      <c r="AM212" s="532">
        <f t="shared" si="230"/>
        <v>-785.66509214995426</v>
      </c>
      <c r="AN212" s="198"/>
      <c r="AO212" s="198"/>
      <c r="AP212" s="198"/>
      <c r="AQ212" s="198"/>
      <c r="AR212" s="198"/>
      <c r="AS212" s="198"/>
      <c r="AT212" s="198"/>
      <c r="AU212" s="198"/>
      <c r="AV212" s="198"/>
      <c r="AW212" s="198"/>
      <c r="AX212" s="198"/>
      <c r="AY212" s="198"/>
      <c r="AZ212" s="198"/>
      <c r="BA212" s="198"/>
      <c r="BB212" s="198"/>
      <c r="BC212" s="198"/>
      <c r="BD212" s="198"/>
      <c r="BE212" s="198"/>
      <c r="BF212" s="198"/>
    </row>
    <row r="213" spans="1:58" outlineLevel="1" x14ac:dyDescent="0.3">
      <c r="A213" s="198"/>
      <c r="B213" s="198"/>
      <c r="C213" s="198"/>
      <c r="D213" s="198"/>
      <c r="E213" s="198"/>
      <c r="F213" s="198"/>
      <c r="G213" s="198"/>
      <c r="H213" s="198"/>
      <c r="I213" s="198"/>
      <c r="J213" s="198"/>
      <c r="K213" s="198"/>
      <c r="L213" s="1309"/>
      <c r="M213" s="201" t="s">
        <v>911</v>
      </c>
      <c r="N213" s="207" t="s">
        <v>77</v>
      </c>
      <c r="O213" s="200"/>
      <c r="P213" s="200"/>
      <c r="Q213" s="200"/>
      <c r="R213" s="200"/>
      <c r="S213" s="200"/>
      <c r="T213" s="200"/>
      <c r="U213" s="200"/>
      <c r="V213" s="200"/>
      <c r="W213" s="200"/>
      <c r="X213" s="200"/>
      <c r="Y213" s="394"/>
      <c r="Z213" s="208"/>
      <c r="AA213" s="208"/>
      <c r="AB213" s="406"/>
      <c r="AC213" s="406">
        <f t="shared" ref="AC213" si="235">(AC$67*$J$67+SUMPRODUCT($J$28:$J$40,AC$28:AC$40))*AC10/AC$11</f>
        <v>0</v>
      </c>
      <c r="AD213" s="406">
        <f t="shared" ref="AD213:AL213" si="236">(AD$67*$J$67+SUMPRODUCT($J$28:$J$40,AD$28:AD$40))*AD10/AD$11</f>
        <v>-0.56341640698250128</v>
      </c>
      <c r="AE213" s="406">
        <f t="shared" si="236"/>
        <v>-1.123714598459449</v>
      </c>
      <c r="AF213" s="406">
        <f t="shared" si="236"/>
        <v>-6.8355770458988951</v>
      </c>
      <c r="AG213" s="406">
        <f t="shared" si="236"/>
        <v>-9.9180405461482763</v>
      </c>
      <c r="AH213" s="406">
        <f t="shared" si="236"/>
        <v>-10.408252927879586</v>
      </c>
      <c r="AI213" s="406">
        <f t="shared" si="236"/>
        <v>-10.8927915848812</v>
      </c>
      <c r="AJ213" s="406">
        <f t="shared" si="236"/>
        <v>-11.373256238386842</v>
      </c>
      <c r="AK213" s="406">
        <f t="shared" si="236"/>
        <v>-11.849562738389633</v>
      </c>
      <c r="AL213" s="406">
        <f t="shared" si="236"/>
        <v>-12.321630437215724</v>
      </c>
      <c r="AM213" s="532">
        <f t="shared" si="230"/>
        <v>-75.286242524242112</v>
      </c>
      <c r="AN213" s="198"/>
      <c r="AO213" s="198"/>
      <c r="AP213" s="198"/>
      <c r="AQ213" s="198"/>
      <c r="AR213" s="198"/>
      <c r="AS213" s="198"/>
      <c r="AT213" s="198"/>
      <c r="AU213" s="198"/>
      <c r="AV213" s="198"/>
      <c r="AW213" s="198"/>
      <c r="AX213" s="198"/>
      <c r="AY213" s="198"/>
      <c r="AZ213" s="198"/>
      <c r="BA213" s="198"/>
      <c r="BB213" s="198"/>
      <c r="BC213" s="198"/>
      <c r="BD213" s="198"/>
      <c r="BE213" s="198"/>
      <c r="BF213" s="198"/>
    </row>
    <row r="214" spans="1:58" outlineLevel="1" x14ac:dyDescent="0.3">
      <c r="A214" s="198"/>
      <c r="B214" s="198"/>
      <c r="C214" s="198"/>
      <c r="D214" s="198"/>
      <c r="E214" s="198"/>
      <c r="F214" s="198"/>
      <c r="G214" s="198"/>
      <c r="H214" s="198"/>
      <c r="I214" s="198"/>
      <c r="J214" s="198"/>
      <c r="K214" s="198"/>
      <c r="L214" s="1309"/>
      <c r="M214" s="202"/>
      <c r="N214" s="199"/>
      <c r="O214" s="200"/>
      <c r="P214" s="200"/>
      <c r="Q214" s="200"/>
      <c r="R214" s="200"/>
      <c r="S214" s="200"/>
      <c r="T214" s="200"/>
      <c r="U214" s="200"/>
      <c r="V214" s="200"/>
      <c r="W214" s="200"/>
      <c r="X214" s="200"/>
      <c r="Y214" s="394"/>
      <c r="Z214" s="208"/>
      <c r="AA214" s="208"/>
      <c r="AB214" s="198"/>
      <c r="AC214" s="198"/>
      <c r="AD214" s="198"/>
      <c r="AE214" s="198"/>
      <c r="AF214" s="198"/>
      <c r="AG214" s="198"/>
      <c r="AH214" s="198"/>
      <c r="AI214" s="198"/>
      <c r="AJ214" s="198"/>
      <c r="AK214" s="198"/>
      <c r="AL214" s="198"/>
      <c r="AM214" s="198"/>
      <c r="AN214" s="198"/>
      <c r="AO214" s="198"/>
      <c r="AP214" s="198"/>
      <c r="AQ214" s="198"/>
      <c r="AR214" s="198"/>
      <c r="AS214" s="198"/>
      <c r="AT214" s="198"/>
      <c r="AU214" s="198"/>
      <c r="AV214" s="198"/>
      <c r="AW214" s="198"/>
      <c r="AX214" s="198"/>
      <c r="AY214" s="198"/>
      <c r="AZ214" s="198"/>
      <c r="BA214" s="198"/>
      <c r="BB214" s="198"/>
      <c r="BC214" s="198"/>
      <c r="BD214" s="198"/>
      <c r="BE214" s="198"/>
      <c r="BF214" s="198"/>
    </row>
    <row r="215" spans="1:58" outlineLevel="1" x14ac:dyDescent="0.3">
      <c r="A215" s="198"/>
      <c r="B215" s="198" t="s">
        <v>883</v>
      </c>
      <c r="C215" s="198"/>
      <c r="D215" s="198"/>
      <c r="E215" s="198"/>
      <c r="F215" s="198"/>
      <c r="G215" s="198"/>
      <c r="H215" s="198"/>
      <c r="I215" s="198"/>
      <c r="J215" s="198"/>
      <c r="K215" s="198"/>
      <c r="L215" s="1309"/>
      <c r="M215" s="201" t="s">
        <v>912</v>
      </c>
      <c r="N215" s="207" t="s">
        <v>77</v>
      </c>
      <c r="O215" s="200"/>
      <c r="P215" s="200"/>
      <c r="Q215" s="200"/>
      <c r="R215" s="200"/>
      <c r="S215" s="200"/>
      <c r="T215" s="200"/>
      <c r="U215" s="200"/>
      <c r="V215" s="200"/>
      <c r="W215" s="200"/>
      <c r="X215" s="200"/>
      <c r="Y215" s="394"/>
      <c r="Z215" s="208"/>
      <c r="AA215" s="208"/>
      <c r="AB215" s="113">
        <f t="shared" ref="AB215:AC215" si="237">AB6+AB203+AB209</f>
        <v>4749.4444444444443</v>
      </c>
      <c r="AC215" s="113">
        <f t="shared" si="237"/>
        <v>4327.1518611111105</v>
      </c>
      <c r="AD215" s="113">
        <f t="shared" ref="AD215:AL215" si="238">AD6+AD203+AD209</f>
        <v>4790.9309111025541</v>
      </c>
      <c r="AE215" s="113">
        <f t="shared" si="238"/>
        <v>4845.7163131429907</v>
      </c>
      <c r="AF215" s="113">
        <f t="shared" si="238"/>
        <v>4872.8351161279725</v>
      </c>
      <c r="AG215" s="113">
        <f t="shared" si="238"/>
        <v>4849.7208471478652</v>
      </c>
      <c r="AH215" s="113">
        <f t="shared" si="238"/>
        <v>4841.9642913935622</v>
      </c>
      <c r="AI215" s="113">
        <f t="shared" si="238"/>
        <v>4837.3870066780028</v>
      </c>
      <c r="AJ215" s="113">
        <f t="shared" si="238"/>
        <v>4858.4527217479781</v>
      </c>
      <c r="AK215" s="113">
        <f t="shared" si="238"/>
        <v>4858.4122436479583</v>
      </c>
      <c r="AL215" s="113">
        <f t="shared" si="238"/>
        <v>4842.9837895773207</v>
      </c>
      <c r="AM215" s="198"/>
      <c r="AN215" s="198"/>
      <c r="AO215" s="198"/>
      <c r="AP215" s="198"/>
      <c r="AQ215" s="198"/>
      <c r="AR215" s="198"/>
      <c r="AS215" s="198"/>
      <c r="AT215" s="198"/>
      <c r="AU215" s="198"/>
      <c r="AV215" s="198"/>
      <c r="AW215" s="198"/>
      <c r="AX215" s="198"/>
      <c r="AY215" s="198"/>
      <c r="AZ215" s="198"/>
      <c r="BA215" s="198"/>
      <c r="BB215" s="198"/>
      <c r="BC215" s="198"/>
      <c r="BD215" s="198"/>
      <c r="BE215" s="198"/>
      <c r="BF215" s="198"/>
    </row>
    <row r="216" spans="1:58" outlineLevel="1" x14ac:dyDescent="0.3">
      <c r="A216" s="198"/>
      <c r="B216" s="198" t="s">
        <v>888</v>
      </c>
      <c r="C216" s="198"/>
      <c r="D216" s="198"/>
      <c r="E216" s="198"/>
      <c r="F216" s="198"/>
      <c r="G216" s="198"/>
      <c r="H216" s="198"/>
      <c r="I216" s="198"/>
      <c r="J216" s="198"/>
      <c r="K216" s="198"/>
      <c r="L216" s="1309"/>
      <c r="M216" s="201" t="s">
        <v>889</v>
      </c>
      <c r="N216" s="207" t="s">
        <v>77</v>
      </c>
      <c r="O216" s="200"/>
      <c r="P216" s="200"/>
      <c r="Q216" s="200"/>
      <c r="R216" s="200"/>
      <c r="S216" s="200"/>
      <c r="T216" s="200"/>
      <c r="U216" s="200"/>
      <c r="V216" s="200"/>
      <c r="W216" s="200"/>
      <c r="X216" s="200"/>
      <c r="Y216" s="394"/>
      <c r="Z216" s="208"/>
      <c r="AA216" s="208"/>
      <c r="AB216" s="113">
        <f t="shared" ref="AB216:AC216" si="239">AB7+AB204+AB210</f>
        <v>10567.960000000001</v>
      </c>
      <c r="AC216" s="113">
        <f t="shared" si="239"/>
        <v>10532.931725031605</v>
      </c>
      <c r="AD216" s="113">
        <f t="shared" ref="AD216:AL216" si="240">AD7+AD204+AD210</f>
        <v>10555.632453966533</v>
      </c>
      <c r="AE216" s="113">
        <f t="shared" si="240"/>
        <v>10576.086992027871</v>
      </c>
      <c r="AF216" s="113">
        <f t="shared" si="240"/>
        <v>10546.865770140304</v>
      </c>
      <c r="AG216" s="113">
        <f t="shared" si="240"/>
        <v>10358.513925921616</v>
      </c>
      <c r="AH216" s="113">
        <f t="shared" si="240"/>
        <v>10202.02855584242</v>
      </c>
      <c r="AI216" s="113">
        <f t="shared" si="240"/>
        <v>10054.055049365099</v>
      </c>
      <c r="AJ216" s="113">
        <f t="shared" si="240"/>
        <v>9909.7127891880973</v>
      </c>
      <c r="AK216" s="113">
        <f t="shared" si="240"/>
        <v>9768.797743080484</v>
      </c>
      <c r="AL216" s="113">
        <f t="shared" si="240"/>
        <v>9631.2740001465354</v>
      </c>
      <c r="AM216" s="198"/>
      <c r="AN216" s="198"/>
      <c r="AO216" s="198"/>
      <c r="AP216" s="198"/>
      <c r="AQ216" s="198"/>
      <c r="AR216" s="198"/>
      <c r="AS216" s="198"/>
      <c r="AT216" s="198"/>
      <c r="AU216" s="198"/>
      <c r="AV216" s="198"/>
      <c r="AW216" s="198"/>
      <c r="AX216" s="198"/>
      <c r="AY216" s="198"/>
      <c r="AZ216" s="198"/>
      <c r="BA216" s="198"/>
      <c r="BB216" s="198"/>
      <c r="BC216" s="198"/>
      <c r="BD216" s="198"/>
      <c r="BE216" s="198"/>
      <c r="BF216" s="198"/>
    </row>
    <row r="217" spans="1:58" outlineLevel="1" x14ac:dyDescent="0.3">
      <c r="A217" s="198"/>
      <c r="B217" s="198" t="s">
        <v>890</v>
      </c>
      <c r="C217" s="198"/>
      <c r="D217" s="198"/>
      <c r="E217" s="198"/>
      <c r="F217" s="198"/>
      <c r="G217" s="198"/>
      <c r="H217" s="198"/>
      <c r="I217" s="198"/>
      <c r="J217" s="198"/>
      <c r="K217" s="198"/>
      <c r="L217" s="1309"/>
      <c r="M217" s="201" t="s">
        <v>891</v>
      </c>
      <c r="N217" s="207" t="s">
        <v>77</v>
      </c>
      <c r="O217" s="200"/>
      <c r="P217" s="200"/>
      <c r="Q217" s="200"/>
      <c r="R217" s="200"/>
      <c r="S217" s="200"/>
      <c r="T217" s="200"/>
      <c r="U217" s="200"/>
      <c r="V217" s="200"/>
      <c r="W217" s="200"/>
      <c r="X217" s="200"/>
      <c r="Y217" s="394"/>
      <c r="Z217" s="208"/>
      <c r="AA217" s="208"/>
      <c r="AB217" s="113">
        <f t="shared" ref="AB217:AC217" si="241">AB8+AB205+AB211</f>
        <v>5382.26</v>
      </c>
      <c r="AC217" s="113">
        <f t="shared" si="241"/>
        <v>5376.8275011999995</v>
      </c>
      <c r="AD217" s="113">
        <f t="shared" ref="AD217:AL217" si="242">AD8+AD205+AD211</f>
        <v>5409.2336441916041</v>
      </c>
      <c r="AE217" s="113">
        <f t="shared" si="242"/>
        <v>5438.7455815152716</v>
      </c>
      <c r="AF217" s="113">
        <f t="shared" si="242"/>
        <v>5441.0874845154394</v>
      </c>
      <c r="AG217" s="113">
        <f t="shared" si="242"/>
        <v>5397.2420225175219</v>
      </c>
      <c r="AH217" s="113">
        <f t="shared" si="242"/>
        <v>5369.1259237311269</v>
      </c>
      <c r="AI217" s="113">
        <f t="shared" si="242"/>
        <v>5342.8233221241699</v>
      </c>
      <c r="AJ217" s="113">
        <f t="shared" si="242"/>
        <v>5317.8844546456567</v>
      </c>
      <c r="AK217" s="113">
        <f t="shared" si="242"/>
        <v>5294.3156177692945</v>
      </c>
      <c r="AL217" s="113">
        <f t="shared" si="242"/>
        <v>5272.1235510354481</v>
      </c>
      <c r="AM217" s="198"/>
      <c r="AN217" s="198"/>
      <c r="AO217" s="198"/>
      <c r="AP217" s="198"/>
      <c r="AQ217" s="198"/>
      <c r="AR217" s="198"/>
      <c r="AS217" s="198"/>
      <c r="AT217" s="198"/>
      <c r="AU217" s="198"/>
      <c r="AV217" s="198"/>
      <c r="AW217" s="198"/>
      <c r="AX217" s="198"/>
      <c r="AY217" s="198"/>
      <c r="AZ217" s="198"/>
      <c r="BA217" s="198"/>
      <c r="BB217" s="198"/>
      <c r="BC217" s="198"/>
      <c r="BD217" s="198"/>
      <c r="BE217" s="198"/>
      <c r="BF217" s="198"/>
    </row>
    <row r="218" spans="1:58" outlineLevel="1" x14ac:dyDescent="0.3">
      <c r="A218" s="198"/>
      <c r="B218" s="198" t="s">
        <v>892</v>
      </c>
      <c r="C218" s="198"/>
      <c r="D218" s="198"/>
      <c r="E218" s="198"/>
      <c r="F218" s="198"/>
      <c r="G218" s="198"/>
      <c r="H218" s="198"/>
      <c r="I218" s="198"/>
      <c r="J218" s="198"/>
      <c r="K218" s="198"/>
      <c r="L218" s="1309"/>
      <c r="M218" s="201" t="s">
        <v>893</v>
      </c>
      <c r="N218" s="207" t="s">
        <v>77</v>
      </c>
      <c r="O218" s="200"/>
      <c r="P218" s="200"/>
      <c r="Q218" s="200"/>
      <c r="R218" s="200"/>
      <c r="S218" s="200"/>
      <c r="T218" s="200"/>
      <c r="U218" s="200"/>
      <c r="V218" s="200"/>
      <c r="W218" s="200"/>
      <c r="X218" s="200"/>
      <c r="Y218" s="394"/>
      <c r="Z218" s="208"/>
      <c r="AA218" s="208"/>
      <c r="AB218" s="113">
        <f t="shared" ref="AB218:AC218" si="243">AB9+AB206+AB212</f>
        <v>9177.7777777777792</v>
      </c>
      <c r="AC218" s="113">
        <f t="shared" si="243"/>
        <v>9665.5308323803783</v>
      </c>
      <c r="AD218" s="113">
        <f t="shared" ref="AD218:AL218" si="244">AD9+AD206+AD212</f>
        <v>9790.3918229406718</v>
      </c>
      <c r="AE218" s="113">
        <f t="shared" si="244"/>
        <v>9863.3184735158247</v>
      </c>
      <c r="AF218" s="113">
        <f t="shared" si="244"/>
        <v>9891.8016730755808</v>
      </c>
      <c r="AG218" s="113">
        <f t="shared" si="244"/>
        <v>9769.8985572793044</v>
      </c>
      <c r="AH218" s="113">
        <f t="shared" si="244"/>
        <v>9770.09035811797</v>
      </c>
      <c r="AI218" s="113">
        <f t="shared" si="244"/>
        <v>9427.2062711956933</v>
      </c>
      <c r="AJ218" s="113">
        <f t="shared" si="244"/>
        <v>9431.5743624653041</v>
      </c>
      <c r="AK218" s="113">
        <f t="shared" si="244"/>
        <v>9436.5746308382386</v>
      </c>
      <c r="AL218" s="113">
        <f t="shared" si="244"/>
        <v>9444.6195695043607</v>
      </c>
      <c r="AM218" s="198"/>
      <c r="AN218" s="198"/>
      <c r="AO218" s="198"/>
      <c r="AP218" s="198"/>
      <c r="AQ218" s="198"/>
      <c r="AR218" s="198"/>
      <c r="AS218" s="198"/>
      <c r="AT218" s="198"/>
      <c r="AU218" s="198"/>
      <c r="AV218" s="198"/>
      <c r="AW218" s="198"/>
      <c r="AX218" s="198"/>
      <c r="AY218" s="198"/>
      <c r="AZ218" s="198"/>
      <c r="BA218" s="198"/>
      <c r="BB218" s="198"/>
      <c r="BC218" s="198"/>
      <c r="BD218" s="198"/>
      <c r="BE218" s="198"/>
      <c r="BF218" s="198"/>
    </row>
    <row r="219" spans="1:58" ht="9.6" customHeight="1" outlineLevel="1" x14ac:dyDescent="0.3">
      <c r="A219" s="198"/>
      <c r="B219" s="198" t="s">
        <v>894</v>
      </c>
      <c r="C219" s="198"/>
      <c r="D219" s="198"/>
      <c r="E219" s="198"/>
      <c r="F219" s="198"/>
      <c r="G219" s="198"/>
      <c r="H219" s="198"/>
      <c r="I219" s="198"/>
      <c r="J219" s="198"/>
      <c r="K219" s="198"/>
      <c r="L219" s="1309"/>
      <c r="M219" s="201" t="s">
        <v>895</v>
      </c>
      <c r="N219" s="207" t="s">
        <v>77</v>
      </c>
      <c r="O219" s="200"/>
      <c r="P219" s="200"/>
      <c r="Q219" s="200"/>
      <c r="R219" s="200"/>
      <c r="S219" s="200"/>
      <c r="T219" s="200"/>
      <c r="U219" s="200"/>
      <c r="V219" s="200"/>
      <c r="W219" s="200"/>
      <c r="X219" s="200"/>
      <c r="Y219" s="394"/>
      <c r="Z219" s="208"/>
      <c r="AA219" s="208"/>
      <c r="AB219" s="113">
        <f t="shared" ref="AB219:AC219" si="245">AB10+AB207+AB213</f>
        <v>1272.7777777777778</v>
      </c>
      <c r="AC219" s="113">
        <f t="shared" si="245"/>
        <v>990.64514183333335</v>
      </c>
      <c r="AD219" s="113">
        <f t="shared" ref="AD219:AL219" si="246">AD10+AD207+AD213</f>
        <v>990.2699169263509</v>
      </c>
      <c r="AE219" s="113">
        <f t="shared" si="246"/>
        <v>989.70961873487397</v>
      </c>
      <c r="AF219" s="113">
        <f t="shared" si="246"/>
        <v>983.99775628743453</v>
      </c>
      <c r="AG219" s="113">
        <f t="shared" si="246"/>
        <v>980.91529278718508</v>
      </c>
      <c r="AH219" s="113">
        <f t="shared" si="246"/>
        <v>980.42508040545374</v>
      </c>
      <c r="AI219" s="113">
        <f t="shared" si="246"/>
        <v>973.14054174845216</v>
      </c>
      <c r="AJ219" s="113">
        <f t="shared" si="246"/>
        <v>965.86007709494652</v>
      </c>
      <c r="AK219" s="113">
        <f t="shared" si="246"/>
        <v>958.58377059494376</v>
      </c>
      <c r="AL219" s="113">
        <f t="shared" si="246"/>
        <v>951.31170289611759</v>
      </c>
      <c r="AM219" s="198"/>
      <c r="AN219" s="198"/>
      <c r="AO219" s="198"/>
      <c r="AP219" s="198"/>
      <c r="AQ219" s="198"/>
      <c r="AR219" s="198"/>
      <c r="AS219" s="198"/>
      <c r="AT219" s="198"/>
      <c r="AU219" s="198"/>
      <c r="AV219" s="198"/>
      <c r="AW219" s="198"/>
      <c r="AX219" s="198"/>
      <c r="AY219" s="198"/>
      <c r="AZ219" s="198"/>
      <c r="BA219" s="198"/>
      <c r="BB219" s="198"/>
      <c r="BC219" s="198"/>
      <c r="BD219" s="198"/>
      <c r="BE219" s="198"/>
      <c r="BF219" s="198"/>
    </row>
    <row r="220" spans="1:58" outlineLevel="1" x14ac:dyDescent="0.3">
      <c r="A220" s="198"/>
      <c r="B220" s="198"/>
      <c r="C220" s="198"/>
      <c r="D220" s="198"/>
      <c r="E220" s="198"/>
      <c r="F220" s="198"/>
      <c r="G220" s="198"/>
      <c r="H220" s="198"/>
      <c r="I220" s="198"/>
      <c r="J220" s="198"/>
      <c r="K220" s="198"/>
      <c r="L220" s="1309"/>
      <c r="M220" s="202"/>
      <c r="N220" s="199"/>
      <c r="O220" s="200"/>
      <c r="P220" s="200"/>
      <c r="Q220" s="200"/>
      <c r="R220" s="200"/>
      <c r="S220" s="200"/>
      <c r="T220" s="200"/>
      <c r="U220" s="200"/>
      <c r="V220" s="200"/>
      <c r="W220" s="200"/>
      <c r="X220" s="200"/>
      <c r="Y220" s="394"/>
      <c r="Z220" s="208"/>
      <c r="AA220" s="208"/>
      <c r="AB220" s="198"/>
      <c r="AC220" s="198"/>
      <c r="AD220" s="198"/>
      <c r="AE220" s="198"/>
      <c r="AF220" s="198"/>
      <c r="AG220" s="198"/>
      <c r="AH220" s="198"/>
      <c r="AI220" s="198"/>
      <c r="AJ220" s="198"/>
      <c r="AK220" s="198"/>
      <c r="AL220" s="198"/>
      <c r="AM220" s="198"/>
      <c r="AN220" s="198"/>
      <c r="AO220" s="198"/>
      <c r="AP220" s="198"/>
      <c r="AQ220" s="198"/>
      <c r="AR220" s="198"/>
      <c r="AS220" s="198"/>
      <c r="AT220" s="198"/>
      <c r="AU220" s="198"/>
      <c r="AV220" s="198"/>
      <c r="AW220" s="198"/>
      <c r="AX220" s="198"/>
      <c r="AY220" s="198"/>
      <c r="AZ220" s="198"/>
      <c r="BA220" s="198"/>
      <c r="BB220" s="198"/>
      <c r="BC220" s="198"/>
      <c r="BD220" s="198"/>
      <c r="BE220" s="198"/>
      <c r="BF220" s="198"/>
    </row>
    <row r="221" spans="1:58" x14ac:dyDescent="0.3">
      <c r="A221" s="198"/>
      <c r="B221" s="198"/>
      <c r="C221" s="198"/>
      <c r="D221" s="198"/>
      <c r="E221" s="198"/>
      <c r="F221" s="198"/>
      <c r="G221" s="198"/>
      <c r="H221" s="198"/>
      <c r="I221" s="198"/>
      <c r="J221" s="198"/>
      <c r="K221" s="198"/>
      <c r="L221" s="1309"/>
      <c r="M221" s="77" t="s">
        <v>914</v>
      </c>
      <c r="N221" s="207" t="s">
        <v>77</v>
      </c>
      <c r="O221" s="200"/>
      <c r="P221" s="200"/>
      <c r="Q221" s="200"/>
      <c r="R221" s="200"/>
      <c r="S221" s="200"/>
      <c r="T221" s="200"/>
      <c r="U221" s="200"/>
      <c r="V221" s="200"/>
      <c r="W221" s="200"/>
      <c r="X221" s="200"/>
      <c r="Y221" s="394"/>
      <c r="Z221" s="208"/>
      <c r="AA221" s="208"/>
      <c r="AB221" s="404">
        <f t="shared" ref="AB221:AC221" si="247">AB215+AB216+AB217+AB218+AB219</f>
        <v>31150.220000000005</v>
      </c>
      <c r="AC221" s="404">
        <f t="shared" si="247"/>
        <v>30893.087061556424</v>
      </c>
      <c r="AD221" s="404">
        <f>AD215+AD216+AD217+AD218+AD219</f>
        <v>31536.458749127713</v>
      </c>
      <c r="AE221" s="404">
        <f t="shared" ref="AE221:AL221" si="248">AE215+AE216+AE217+AE218+AE219</f>
        <v>31713.576978936831</v>
      </c>
      <c r="AF221" s="404">
        <f t="shared" si="248"/>
        <v>31736.587800146732</v>
      </c>
      <c r="AG221" s="404">
        <f t="shared" si="248"/>
        <v>31356.290645653491</v>
      </c>
      <c r="AH221" s="404">
        <f t="shared" si="248"/>
        <v>31163.634209490534</v>
      </c>
      <c r="AI221" s="404">
        <f t="shared" si="248"/>
        <v>30634.612191111417</v>
      </c>
      <c r="AJ221" s="404">
        <f t="shared" si="248"/>
        <v>30483.484405141982</v>
      </c>
      <c r="AK221" s="404">
        <f t="shared" si="248"/>
        <v>30316.684005930918</v>
      </c>
      <c r="AL221" s="404">
        <f t="shared" si="248"/>
        <v>30142.312613159782</v>
      </c>
      <c r="AM221" s="198"/>
      <c r="AN221" s="198"/>
      <c r="AO221" s="198"/>
      <c r="AP221" s="198"/>
      <c r="AQ221" s="198"/>
      <c r="AR221" s="198"/>
      <c r="AS221" s="198"/>
      <c r="AT221" s="198"/>
      <c r="AU221" s="198"/>
      <c r="AV221" s="198"/>
      <c r="AW221" s="198"/>
      <c r="AX221" s="198"/>
      <c r="AY221" s="198"/>
      <c r="AZ221" s="198"/>
      <c r="BA221" s="198"/>
      <c r="BB221" s="198"/>
      <c r="BC221" s="198"/>
      <c r="BD221" s="198"/>
      <c r="BE221" s="198"/>
      <c r="BF221" s="198"/>
    </row>
    <row r="222" spans="1:58" ht="14.25" thickBot="1" x14ac:dyDescent="0.35">
      <c r="A222" s="198"/>
      <c r="B222" s="198"/>
      <c r="C222" s="198"/>
      <c r="D222" s="198"/>
      <c r="E222" s="198"/>
      <c r="F222" s="198"/>
      <c r="G222" s="198"/>
      <c r="H222" s="198"/>
      <c r="I222" s="198"/>
      <c r="J222" s="198"/>
      <c r="K222" s="198"/>
      <c r="L222" s="1309"/>
      <c r="M222" s="72" t="s">
        <v>915</v>
      </c>
      <c r="N222" s="207" t="s">
        <v>68</v>
      </c>
      <c r="O222" s="200"/>
      <c r="P222" s="200"/>
      <c r="Q222" s="200"/>
      <c r="R222" s="200"/>
      <c r="S222" s="200"/>
      <c r="T222" s="200"/>
      <c r="U222" s="200"/>
      <c r="V222" s="200"/>
      <c r="W222" s="200"/>
      <c r="X222" s="200"/>
      <c r="Y222" s="394"/>
      <c r="Z222" s="208"/>
      <c r="AA222" s="208"/>
      <c r="AB222" s="438">
        <f t="shared" ref="AB222:AC222" si="249">-(AB221-AB$11)/AB$11</f>
        <v>0</v>
      </c>
      <c r="AC222" s="438">
        <f t="shared" si="249"/>
        <v>4.4518987504133176E-3</v>
      </c>
      <c r="AD222" s="438">
        <f>-(AD221-AD$11)/AD$11</f>
        <v>1.640793824846731E-3</v>
      </c>
      <c r="AE222" s="438">
        <f>-((AD$11-AD221)-(AE$11-AE221))/AE$11</f>
        <v>1.3375130786675627E-3</v>
      </c>
      <c r="AF222" s="438">
        <f t="shared" ref="AF222" si="250">-((AE$11-AE221)-(AF$11-AF221))/AF$11</f>
        <v>6.7190359384701913E-3</v>
      </c>
      <c r="AG222" s="438">
        <f t="shared" ref="AG222" si="251">-((AF$11-AF221)-(AG$11-AG221))/AG$11</f>
        <v>1.9299920652553291E-2</v>
      </c>
      <c r="AH222" s="438">
        <f t="shared" ref="AH222" si="252">-((AG$11-AG221)-(AH$11-AH221))/AH$11</f>
        <v>1.3527756892357657E-2</v>
      </c>
      <c r="AI222" s="438">
        <f t="shared" ref="AI222" si="253">-((AH$11-AH221)-(AI$11-AI221))/AI$11</f>
        <v>2.3969808339110877E-2</v>
      </c>
      <c r="AJ222" s="438">
        <f t="shared" ref="AJ222" si="254">-((AI$11-AI221)-(AJ$11-AJ221))/AJ$11</f>
        <v>1.2472319396810989E-2</v>
      </c>
      <c r="AK222" s="438">
        <f t="shared" ref="AK222" si="255">-((AJ$11-AJ221)-(AK$11-AK221))/AK$11</f>
        <v>1.2968248677639642E-2</v>
      </c>
      <c r="AL222" s="438">
        <f t="shared" ref="AL222" si="256">-((AK$11-AK221)-(AL$11-AL221))/AL$11</f>
        <v>1.3215109740493398E-2</v>
      </c>
      <c r="AM222" s="1397"/>
      <c r="AN222" s="198"/>
      <c r="AO222" s="198"/>
      <c r="AP222" s="198"/>
      <c r="AQ222" s="198"/>
      <c r="AR222" s="198"/>
      <c r="AS222" s="198"/>
      <c r="AT222" s="198"/>
      <c r="AU222" s="198"/>
      <c r="AV222" s="198"/>
      <c r="AW222" s="198"/>
      <c r="AX222" s="198"/>
      <c r="AY222" s="198"/>
      <c r="AZ222" s="198"/>
      <c r="BA222" s="198"/>
      <c r="BB222" s="198"/>
      <c r="BC222" s="198"/>
      <c r="BD222" s="198"/>
      <c r="BE222" s="198"/>
      <c r="BF222" s="198"/>
    </row>
    <row r="223" spans="1:58" ht="14.25" thickBot="1" x14ac:dyDescent="0.35">
      <c r="A223" s="198"/>
      <c r="B223" s="198"/>
      <c r="C223" s="198"/>
      <c r="D223" s="198"/>
      <c r="E223" s="198"/>
      <c r="F223" s="198"/>
      <c r="G223" s="198"/>
      <c r="H223" s="198"/>
      <c r="I223" s="198"/>
      <c r="J223" s="198"/>
      <c r="K223" s="198"/>
      <c r="L223" s="1309"/>
      <c r="M223" s="72" t="s">
        <v>916</v>
      </c>
      <c r="N223" s="207" t="s">
        <v>68</v>
      </c>
      <c r="O223" s="200"/>
      <c r="P223" s="200"/>
      <c r="Q223" s="200"/>
      <c r="R223" s="200"/>
      <c r="S223" s="200"/>
      <c r="T223" s="200"/>
      <c r="U223" s="200"/>
      <c r="V223" s="200"/>
      <c r="W223" s="200"/>
      <c r="X223" s="200"/>
      <c r="Y223" s="394"/>
      <c r="Z223" s="208"/>
      <c r="AA223" s="208"/>
      <c r="AB223" s="200"/>
      <c r="AC223" s="200"/>
      <c r="AD223" s="518"/>
      <c r="AE223" s="518"/>
      <c r="AF223" s="1311">
        <f>((AL$11-AL221)-(AF$11-AF221))/AL$11/7</f>
        <v>1.334445651664423E-2</v>
      </c>
      <c r="AG223" s="1312"/>
      <c r="AH223" s="1312"/>
      <c r="AI223" s="1312"/>
      <c r="AJ223" s="1312"/>
      <c r="AK223" s="1312"/>
      <c r="AL223" s="1313"/>
      <c r="AM223" s="198"/>
      <c r="AN223" s="198"/>
      <c r="AO223" s="198"/>
      <c r="AP223" s="198"/>
      <c r="AQ223" s="198"/>
      <c r="AR223" s="198"/>
      <c r="AS223" s="198"/>
      <c r="AT223" s="198"/>
      <c r="AU223" s="198"/>
      <c r="AV223" s="198"/>
      <c r="AW223" s="198"/>
      <c r="AX223" s="198"/>
      <c r="AY223" s="198"/>
      <c r="AZ223" s="198"/>
      <c r="BA223" s="198"/>
      <c r="BB223" s="198"/>
      <c r="BC223" s="198"/>
      <c r="BD223" s="198"/>
      <c r="BE223" s="198"/>
      <c r="BF223" s="198"/>
    </row>
    <row r="224" spans="1:58" x14ac:dyDescent="0.3">
      <c r="A224" s="198"/>
      <c r="B224" s="198"/>
      <c r="C224" s="198"/>
      <c r="D224" s="198"/>
      <c r="E224" s="198"/>
      <c r="F224" s="198"/>
      <c r="G224" s="198"/>
      <c r="H224" s="198"/>
      <c r="I224" s="198"/>
      <c r="J224" s="198"/>
      <c r="K224" s="198"/>
      <c r="L224" s="1309"/>
      <c r="M224" s="202"/>
      <c r="N224" s="199"/>
      <c r="O224" s="200"/>
      <c r="P224" s="200"/>
      <c r="Q224" s="200"/>
      <c r="R224" s="200"/>
      <c r="S224" s="200"/>
      <c r="T224" s="200"/>
      <c r="U224" s="200"/>
      <c r="V224" s="200"/>
      <c r="W224" s="200"/>
      <c r="X224" s="200"/>
      <c r="Y224" s="394"/>
      <c r="Z224" s="208"/>
      <c r="AA224" s="208"/>
      <c r="AB224" s="200"/>
      <c r="AC224" s="200"/>
      <c r="AD224" s="198"/>
      <c r="AE224" s="198"/>
      <c r="AF224" s="198"/>
      <c r="AG224" s="198"/>
      <c r="AH224" s="198"/>
      <c r="AI224" s="198"/>
      <c r="AJ224" s="198"/>
      <c r="AK224" s="198"/>
      <c r="AL224" s="198"/>
      <c r="AM224" s="198"/>
      <c r="AN224" s="198"/>
      <c r="AO224" s="198"/>
      <c r="AP224" s="198"/>
      <c r="AQ224" s="198"/>
      <c r="AR224" s="198"/>
      <c r="AS224" s="198"/>
      <c r="AT224" s="198"/>
      <c r="AU224" s="198"/>
      <c r="AV224" s="198"/>
      <c r="AW224" s="198"/>
      <c r="AX224" s="198"/>
      <c r="AY224" s="198"/>
      <c r="AZ224" s="198"/>
      <c r="BA224" s="198"/>
      <c r="BB224" s="198"/>
      <c r="BC224" s="198"/>
      <c r="BD224" s="198"/>
      <c r="BE224" s="198"/>
      <c r="BF224" s="198"/>
    </row>
    <row r="225" spans="1:58" ht="12" customHeight="1" x14ac:dyDescent="0.3">
      <c r="A225" s="198"/>
      <c r="B225" s="198"/>
      <c r="C225" s="198"/>
      <c r="D225" s="198"/>
      <c r="E225" s="198"/>
      <c r="F225" s="198"/>
      <c r="G225" s="198"/>
      <c r="H225" s="198"/>
      <c r="I225" s="198"/>
      <c r="J225" s="198"/>
      <c r="K225" s="198"/>
      <c r="L225" s="1304" t="str">
        <f>'EE Measures'!IL6</f>
        <v>CEER2</v>
      </c>
      <c r="M225" s="1305" t="str">
        <f>L225</f>
        <v>CEER2</v>
      </c>
      <c r="N225" s="1305"/>
      <c r="O225" s="1305"/>
      <c r="P225" s="1305"/>
      <c r="Q225" s="1305"/>
      <c r="R225" s="1305"/>
      <c r="S225" s="1305"/>
      <c r="T225" s="1305"/>
      <c r="U225" s="1305"/>
      <c r="V225" s="1305"/>
      <c r="W225" s="1305"/>
      <c r="X225" s="1305"/>
      <c r="Y225" s="394"/>
      <c r="Z225" s="531"/>
      <c r="AA225" s="531"/>
      <c r="AB225" s="1305"/>
      <c r="AC225" s="1305"/>
      <c r="AD225" s="265"/>
      <c r="AE225" s="265"/>
      <c r="AF225" s="265"/>
      <c r="AG225" s="265"/>
      <c r="AH225" s="265"/>
      <c r="AI225" s="265"/>
      <c r="AJ225" s="265"/>
      <c r="AK225" s="265"/>
      <c r="AL225" s="265"/>
      <c r="AM225" s="198"/>
      <c r="AN225" s="198"/>
      <c r="AO225" s="198"/>
      <c r="AP225" s="198"/>
      <c r="AQ225" s="198"/>
      <c r="AR225" s="198"/>
      <c r="AS225" s="198"/>
      <c r="AT225" s="198"/>
      <c r="AU225" s="198"/>
      <c r="AV225" s="198"/>
      <c r="AW225" s="198"/>
      <c r="AX225" s="198"/>
      <c r="AY225" s="198"/>
      <c r="AZ225" s="198"/>
      <c r="BA225" s="198"/>
      <c r="BB225" s="198"/>
      <c r="BC225" s="198"/>
      <c r="BD225" s="198"/>
      <c r="BE225" s="198"/>
      <c r="BF225" s="198"/>
    </row>
    <row r="226" spans="1:58" ht="12" customHeight="1" outlineLevel="1" x14ac:dyDescent="0.3">
      <c r="A226" s="198"/>
      <c r="B226" s="198"/>
      <c r="C226" s="198"/>
      <c r="D226" s="198"/>
      <c r="E226" s="198"/>
      <c r="F226" s="198"/>
      <c r="G226" s="198"/>
      <c r="H226" s="198"/>
      <c r="I226" s="198"/>
      <c r="J226" s="198"/>
      <c r="K226" s="198"/>
      <c r="L226" s="1304"/>
      <c r="M226" s="201" t="s">
        <v>901</v>
      </c>
      <c r="N226" s="207" t="s">
        <v>77</v>
      </c>
      <c r="O226" s="200"/>
      <c r="P226" s="200"/>
      <c r="Q226" s="200"/>
      <c r="R226" s="200"/>
      <c r="S226" s="200"/>
      <c r="T226" s="200"/>
      <c r="U226" s="200"/>
      <c r="V226" s="200"/>
      <c r="W226" s="200"/>
      <c r="X226" s="200"/>
      <c r="Y226" s="394"/>
      <c r="Z226" s="208"/>
      <c r="AA226" s="208"/>
      <c r="AB226" s="533"/>
      <c r="AC226" s="533">
        <f t="shared" ref="AC226:AL226" si="257">SUMPRODUCT($K$621:$K$622,AC$621:AC$622)+SUMPRODUCT($K$627:$K$632,AC$627:AC$632)</f>
        <v>-71.459249999999997</v>
      </c>
      <c r="AD226" s="533">
        <f t="shared" si="257"/>
        <v>-3.2802999999999969</v>
      </c>
      <c r="AE226" s="533">
        <f t="shared" si="257"/>
        <v>-3.2802999999999969</v>
      </c>
      <c r="AF226" s="533">
        <f t="shared" si="257"/>
        <v>-20.491898903383429</v>
      </c>
      <c r="AG226" s="533">
        <f t="shared" si="257"/>
        <v>-130.12005035272557</v>
      </c>
      <c r="AH226" s="533">
        <f t="shared" si="257"/>
        <v>-231.7750453578777</v>
      </c>
      <c r="AI226" s="533">
        <f t="shared" si="257"/>
        <v>-329.43969491652922</v>
      </c>
      <c r="AJ226" s="533">
        <f t="shared" si="257"/>
        <v>-411.46110130278646</v>
      </c>
      <c r="AK226" s="533">
        <f t="shared" si="257"/>
        <v>-526.78091038803461</v>
      </c>
      <c r="AL226" s="533">
        <f t="shared" si="257"/>
        <v>-666.8471874157749</v>
      </c>
      <c r="AM226" s="532">
        <f>SUM(AD226:AL226)</f>
        <v>-2323.4764886371117</v>
      </c>
      <c r="AN226" s="198"/>
      <c r="AO226" s="198"/>
      <c r="AP226" s="198"/>
      <c r="AQ226" s="198"/>
      <c r="AR226" s="198"/>
      <c r="AS226" s="198"/>
      <c r="AT226" s="198"/>
      <c r="AU226" s="198"/>
      <c r="AV226" s="198"/>
      <c r="AW226" s="198"/>
      <c r="AX226" s="198"/>
      <c r="AY226" s="198"/>
      <c r="AZ226" s="198"/>
      <c r="BA226" s="198"/>
      <c r="BB226" s="198"/>
      <c r="BC226" s="198"/>
      <c r="BD226" s="198"/>
      <c r="BE226" s="198"/>
      <c r="BF226" s="198"/>
    </row>
    <row r="227" spans="1:58" ht="12" customHeight="1" outlineLevel="1" x14ac:dyDescent="0.3">
      <c r="A227" s="198"/>
      <c r="B227" s="198"/>
      <c r="C227" s="198"/>
      <c r="D227" s="198"/>
      <c r="E227" s="198"/>
      <c r="F227" s="198"/>
      <c r="G227" s="198"/>
      <c r="H227" s="198"/>
      <c r="I227" s="198"/>
      <c r="J227" s="198"/>
      <c r="K227" s="198"/>
      <c r="L227" s="1304"/>
      <c r="M227" s="201" t="s">
        <v>902</v>
      </c>
      <c r="N227" s="207" t="s">
        <v>77</v>
      </c>
      <c r="O227" s="200"/>
      <c r="P227" s="200"/>
      <c r="Q227" s="200"/>
      <c r="R227" s="200"/>
      <c r="S227" s="200"/>
      <c r="T227" s="200"/>
      <c r="U227" s="200"/>
      <c r="V227" s="200"/>
      <c r="W227" s="200"/>
      <c r="X227" s="200"/>
      <c r="Y227" s="394"/>
      <c r="Z227" s="208"/>
      <c r="AA227" s="208"/>
      <c r="AB227" s="532"/>
      <c r="AC227" s="532">
        <f t="shared" ref="AC227:AL227" si="258">SUMPRODUCT($K$699:$K$702,AC$699:AC$702)+SUMPRODUCT($K$707:$K$714,AC$707:AC$714)</f>
        <v>-2.9497749683944372</v>
      </c>
      <c r="AD227" s="532">
        <f t="shared" si="258"/>
        <v>-3.5922486490719709</v>
      </c>
      <c r="AE227" s="532">
        <f t="shared" si="258"/>
        <v>-7.9201255416805818</v>
      </c>
      <c r="AF227" s="532">
        <f t="shared" si="258"/>
        <v>-8.0871255416805816</v>
      </c>
      <c r="AG227" s="532">
        <f t="shared" si="258"/>
        <v>-278.76662554168064</v>
      </c>
      <c r="AH227" s="532">
        <f t="shared" si="258"/>
        <v>-545.22651769854338</v>
      </c>
      <c r="AI227" s="532">
        <f t="shared" si="258"/>
        <v>-807.54953942095779</v>
      </c>
      <c r="AJ227" s="532">
        <f t="shared" si="258"/>
        <v>-1065.6498058154818</v>
      </c>
      <c r="AK227" s="532">
        <f t="shared" si="258"/>
        <v>-1319.7738414963874</v>
      </c>
      <c r="AL227" s="532">
        <f t="shared" si="258"/>
        <v>-1569.9996117717856</v>
      </c>
      <c r="AM227" s="532">
        <f t="shared" ref="AM227:AM230" si="259">SUM(AD227:AL227)</f>
        <v>-5606.5654414772689</v>
      </c>
      <c r="AN227" s="198"/>
      <c r="AO227" s="198"/>
      <c r="AP227" s="198"/>
      <c r="AQ227" s="198"/>
      <c r="AR227" s="198"/>
      <c r="AS227" s="198"/>
      <c r="AT227" s="198"/>
      <c r="AU227" s="198"/>
      <c r="AV227" s="198"/>
      <c r="AW227" s="198"/>
      <c r="AX227" s="198"/>
      <c r="AY227" s="198"/>
      <c r="AZ227" s="198"/>
      <c r="BA227" s="198"/>
      <c r="BB227" s="198"/>
      <c r="BC227" s="198"/>
      <c r="BD227" s="198"/>
      <c r="BE227" s="198"/>
      <c r="BF227" s="198"/>
    </row>
    <row r="228" spans="1:58" ht="12" customHeight="1" outlineLevel="1" x14ac:dyDescent="0.3">
      <c r="A228" s="198"/>
      <c r="B228" s="198"/>
      <c r="C228" s="198"/>
      <c r="D228" s="198"/>
      <c r="E228" s="198"/>
      <c r="F228" s="198"/>
      <c r="G228" s="198"/>
      <c r="H228" s="198"/>
      <c r="I228" s="198"/>
      <c r="J228" s="198"/>
      <c r="K228" s="198"/>
      <c r="L228" s="1304"/>
      <c r="M228" s="201" t="s">
        <v>903</v>
      </c>
      <c r="N228" s="207" t="s">
        <v>77</v>
      </c>
      <c r="O228" s="200"/>
      <c r="P228" s="200"/>
      <c r="Q228" s="200"/>
      <c r="R228" s="200"/>
      <c r="S228" s="200"/>
      <c r="T228" s="200"/>
      <c r="U228" s="200"/>
      <c r="V228" s="200"/>
      <c r="W228" s="200"/>
      <c r="X228" s="200"/>
      <c r="Y228" s="394"/>
      <c r="Z228" s="208"/>
      <c r="AA228" s="208"/>
      <c r="AB228" s="533"/>
      <c r="AC228" s="533">
        <f t="shared" ref="AC228:AL228" si="260">SUMPRODUCT($K$919:$K$925,AC$919:AC$925)+SUMPRODUCT($K$931:$K$938,AC$931:AC$938)</f>
        <v>-8.2481988000000008</v>
      </c>
      <c r="AD228" s="533">
        <f t="shared" si="260"/>
        <v>-4.9282862999999999</v>
      </c>
      <c r="AE228" s="533">
        <f t="shared" si="260"/>
        <v>-5.4417418</v>
      </c>
      <c r="AF228" s="533">
        <f t="shared" si="260"/>
        <v>-5.5447698000000001</v>
      </c>
      <c r="AG228" s="533">
        <f t="shared" si="260"/>
        <v>-107.6047698</v>
      </c>
      <c r="AH228" s="533">
        <f t="shared" si="260"/>
        <v>-208.81771097647061</v>
      </c>
      <c r="AI228" s="533">
        <f t="shared" si="260"/>
        <v>-309.20020232595158</v>
      </c>
      <c r="AJ228" s="533">
        <f t="shared" si="260"/>
        <v>-408.76852717838386</v>
      </c>
      <c r="AK228" s="533">
        <f t="shared" si="260"/>
        <v>-507.53864958272925</v>
      </c>
      <c r="AL228" s="533">
        <f t="shared" si="260"/>
        <v>-605.52622056738176</v>
      </c>
      <c r="AM228" s="532">
        <f t="shared" si="259"/>
        <v>-2163.3708783309171</v>
      </c>
      <c r="AN228" s="198"/>
      <c r="AO228" s="198"/>
      <c r="AP228" s="198"/>
      <c r="AQ228" s="198"/>
      <c r="AR228" s="198"/>
      <c r="AS228" s="198"/>
      <c r="AT228" s="198"/>
      <c r="AU228" s="198"/>
      <c r="AV228" s="198"/>
      <c r="AW228" s="198"/>
      <c r="AX228" s="198"/>
      <c r="AY228" s="198"/>
      <c r="AZ228" s="198"/>
      <c r="BA228" s="198"/>
      <c r="BB228" s="198"/>
      <c r="BC228" s="198"/>
      <c r="BD228" s="198"/>
      <c r="BE228" s="198"/>
      <c r="BF228" s="198"/>
    </row>
    <row r="229" spans="1:58" ht="12" customHeight="1" outlineLevel="1" x14ac:dyDescent="0.3">
      <c r="A229" s="198"/>
      <c r="B229" s="198"/>
      <c r="C229" s="198"/>
      <c r="D229" s="198"/>
      <c r="E229" s="198"/>
      <c r="F229" s="198"/>
      <c r="G229" s="198"/>
      <c r="H229" s="198"/>
      <c r="I229" s="198"/>
      <c r="J229" s="198"/>
      <c r="K229" s="198"/>
      <c r="L229" s="1304"/>
      <c r="M229" s="201" t="s">
        <v>904</v>
      </c>
      <c r="N229" s="207" t="s">
        <v>77</v>
      </c>
      <c r="O229" s="200"/>
      <c r="P229" s="200"/>
      <c r="Q229" s="200"/>
      <c r="R229" s="200"/>
      <c r="S229" s="200"/>
      <c r="T229" s="200"/>
      <c r="U229" s="200"/>
      <c r="V229" s="200"/>
      <c r="W229" s="200"/>
      <c r="X229" s="200"/>
      <c r="Y229" s="394"/>
      <c r="Z229" s="208"/>
      <c r="AA229" s="208"/>
      <c r="AB229" s="532"/>
      <c r="AC229" s="532">
        <f t="shared" ref="AC229:AL229" si="261">SUMPRODUCT($K$1263:$K$1267,AC$1263:AC$1267)+SUMPRODUCT($K$1272:$K$1289,AC$1272:AC$1289)</f>
        <v>-55.302500952955526</v>
      </c>
      <c r="AD229" s="532">
        <f t="shared" si="261"/>
        <v>-22.067022101668812</v>
      </c>
      <c r="AE229" s="532">
        <f t="shared" si="261"/>
        <v>-41.657517117821463</v>
      </c>
      <c r="AF229" s="532">
        <f t="shared" si="261"/>
        <v>-54.488335660890812</v>
      </c>
      <c r="AG229" s="532">
        <f t="shared" si="261"/>
        <v>-319.63216766534248</v>
      </c>
      <c r="AH229" s="532">
        <f t="shared" si="261"/>
        <v>-468.77906719445036</v>
      </c>
      <c r="AI229" s="532">
        <f t="shared" si="261"/>
        <v>-961.96127717931176</v>
      </c>
      <c r="AJ229" s="532">
        <f t="shared" si="261"/>
        <v>-1108.8441755687063</v>
      </c>
      <c r="AK229" s="532">
        <f t="shared" si="261"/>
        <v>-1256.058538528865</v>
      </c>
      <c r="AL229" s="532">
        <f t="shared" si="261"/>
        <v>-1401.2027527476803</v>
      </c>
      <c r="AM229" s="532">
        <f t="shared" si="259"/>
        <v>-5634.6908537647378</v>
      </c>
      <c r="AN229" s="198"/>
      <c r="AO229" s="198"/>
      <c r="AP229" s="198"/>
      <c r="AQ229" s="198"/>
      <c r="AR229" s="198"/>
      <c r="AS229" s="198"/>
      <c r="AT229" s="198"/>
      <c r="AU229" s="198"/>
      <c r="AV229" s="198"/>
      <c r="AW229" s="198"/>
      <c r="AX229" s="198"/>
      <c r="AY229" s="198"/>
      <c r="AZ229" s="198"/>
      <c r="BA229" s="198"/>
      <c r="BB229" s="198"/>
      <c r="BC229" s="198"/>
      <c r="BD229" s="198"/>
      <c r="BE229" s="198"/>
      <c r="BF229" s="198"/>
    </row>
    <row r="230" spans="1:58" ht="12" customHeight="1" outlineLevel="1" x14ac:dyDescent="0.3">
      <c r="A230" s="198"/>
      <c r="B230" s="198"/>
      <c r="C230" s="198"/>
      <c r="D230" s="198"/>
      <c r="E230" s="198"/>
      <c r="F230" s="198"/>
      <c r="G230" s="198"/>
      <c r="H230" s="198"/>
      <c r="I230" s="198"/>
      <c r="J230" s="198"/>
      <c r="K230" s="198"/>
      <c r="L230" s="1304"/>
      <c r="M230" s="201" t="s">
        <v>905</v>
      </c>
      <c r="N230" s="207" t="s">
        <v>77</v>
      </c>
      <c r="O230" s="200"/>
      <c r="P230" s="200"/>
      <c r="Q230" s="200"/>
      <c r="R230" s="200"/>
      <c r="S230" s="200"/>
      <c r="T230" s="200"/>
      <c r="U230" s="200"/>
      <c r="V230" s="200"/>
      <c r="W230" s="200"/>
      <c r="X230" s="200"/>
      <c r="Y230" s="394"/>
      <c r="Z230" s="208"/>
      <c r="AA230" s="208"/>
      <c r="AB230" s="533"/>
      <c r="AC230" s="533">
        <f t="shared" ref="AC230:AL230" si="262">SUMPRODUCT($K$1312:$K$1313,AC$1312:AC$1313)+SUMPRODUCT($K$1318:$K$1319,AC$1318:AC$1319)</f>
        <v>-0.18819149999999973</v>
      </c>
      <c r="AD230" s="533">
        <f t="shared" si="262"/>
        <v>0</v>
      </c>
      <c r="AE230" s="533">
        <f t="shared" si="262"/>
        <v>0</v>
      </c>
      <c r="AF230" s="533">
        <f t="shared" si="262"/>
        <v>0</v>
      </c>
      <c r="AG230" s="533">
        <f t="shared" si="262"/>
        <v>0</v>
      </c>
      <c r="AH230" s="533">
        <f t="shared" si="262"/>
        <v>0</v>
      </c>
      <c r="AI230" s="533">
        <f t="shared" si="262"/>
        <v>-6.8000000000000007</v>
      </c>
      <c r="AJ230" s="533">
        <f t="shared" si="262"/>
        <v>-13.600000000000001</v>
      </c>
      <c r="AK230" s="533">
        <f t="shared" si="262"/>
        <v>-20.400000000000002</v>
      </c>
      <c r="AL230" s="533">
        <f t="shared" si="262"/>
        <v>-27.200000000000003</v>
      </c>
      <c r="AM230" s="532">
        <f t="shared" si="259"/>
        <v>-68</v>
      </c>
      <c r="AN230" s="198"/>
      <c r="AO230" s="198"/>
      <c r="AP230" s="198"/>
      <c r="AQ230" s="198"/>
      <c r="AR230" s="198"/>
      <c r="AS230" s="198"/>
      <c r="AT230" s="198"/>
      <c r="AU230" s="198"/>
      <c r="AV230" s="198"/>
      <c r="AW230" s="198"/>
      <c r="AX230" s="198"/>
      <c r="AY230" s="198"/>
      <c r="AZ230" s="198"/>
      <c r="BA230" s="198"/>
      <c r="BB230" s="198"/>
      <c r="BC230" s="198"/>
      <c r="BD230" s="198"/>
      <c r="BE230" s="198"/>
      <c r="BF230" s="198"/>
    </row>
    <row r="231" spans="1:58" ht="12" customHeight="1" outlineLevel="1" x14ac:dyDescent="0.3">
      <c r="A231" s="198"/>
      <c r="B231" s="198"/>
      <c r="C231" s="198"/>
      <c r="D231" s="198"/>
      <c r="E231" s="198"/>
      <c r="F231" s="198"/>
      <c r="G231" s="198"/>
      <c r="H231" s="198"/>
      <c r="I231" s="198"/>
      <c r="J231" s="198"/>
      <c r="K231" s="198"/>
      <c r="L231" s="1304"/>
      <c r="M231" s="202"/>
      <c r="N231" s="199"/>
      <c r="O231" s="200"/>
      <c r="P231" s="200"/>
      <c r="Q231" s="200"/>
      <c r="R231" s="200"/>
      <c r="S231" s="200"/>
      <c r="T231" s="200"/>
      <c r="U231" s="200"/>
      <c r="V231" s="200"/>
      <c r="W231" s="200"/>
      <c r="X231" s="200"/>
      <c r="Y231" s="394"/>
      <c r="Z231" s="208"/>
      <c r="AA231" s="208"/>
      <c r="AB231" s="198"/>
      <c r="AC231" s="198"/>
      <c r="AD231" s="198"/>
      <c r="AE231" s="198"/>
      <c r="AF231" s="198"/>
      <c r="AG231" s="198"/>
      <c r="AH231" s="198"/>
      <c r="AI231" s="198"/>
      <c r="AJ231" s="198"/>
      <c r="AK231" s="198"/>
      <c r="AL231" s="198"/>
      <c r="AM231" s="198"/>
      <c r="AN231" s="198"/>
      <c r="AO231" s="198"/>
      <c r="AP231" s="198"/>
      <c r="AQ231" s="198"/>
      <c r="AR231" s="198"/>
      <c r="AS231" s="198"/>
      <c r="AT231" s="198"/>
      <c r="AU231" s="198"/>
      <c r="AV231" s="198"/>
      <c r="AW231" s="198"/>
      <c r="AX231" s="198"/>
      <c r="AY231" s="198"/>
      <c r="AZ231" s="198"/>
      <c r="BA231" s="198"/>
      <c r="BB231" s="198"/>
      <c r="BC231" s="198"/>
      <c r="BD231" s="198"/>
      <c r="BE231" s="198"/>
      <c r="BF231" s="198"/>
    </row>
    <row r="232" spans="1:58" ht="12" customHeight="1" outlineLevel="1" x14ac:dyDescent="0.3">
      <c r="A232" s="198"/>
      <c r="B232" s="198"/>
      <c r="C232" s="198"/>
      <c r="D232" s="198"/>
      <c r="E232" s="198"/>
      <c r="F232" s="198"/>
      <c r="G232" s="198"/>
      <c r="H232" s="198"/>
      <c r="I232" s="198"/>
      <c r="J232" s="198"/>
      <c r="K232" s="198"/>
      <c r="L232" s="1304"/>
      <c r="M232" s="201" t="s">
        <v>907</v>
      </c>
      <c r="N232" s="207" t="s">
        <v>77</v>
      </c>
      <c r="O232" s="200"/>
      <c r="P232" s="200"/>
      <c r="Q232" s="200"/>
      <c r="R232" s="200"/>
      <c r="S232" s="200"/>
      <c r="T232" s="200"/>
      <c r="U232" s="200"/>
      <c r="V232" s="200"/>
      <c r="W232" s="200"/>
      <c r="X232" s="200"/>
      <c r="Y232" s="394"/>
      <c r="Z232" s="208"/>
      <c r="AA232" s="208"/>
      <c r="AB232" s="406"/>
      <c r="AC232" s="406">
        <f t="shared" ref="AC232" si="263">(AC$67*$K$67+SUMPRODUCT($K$28:$K$40,AC$28:AC$40))*AC6/AC$11</f>
        <v>0</v>
      </c>
      <c r="AD232" s="406">
        <f t="shared" ref="AD232:AL232" si="264">(AD$67*$K$67+SUMPRODUCT($K$28:$K$40,AD$28:AD$40))*AD6/AD$11</f>
        <v>-2.727677786333802</v>
      </c>
      <c r="AE232" s="406">
        <f t="shared" si="264"/>
        <v>-5.5055424125658288</v>
      </c>
      <c r="AF232" s="406">
        <f t="shared" si="264"/>
        <v>-33.992672857533051</v>
      </c>
      <c r="AG232" s="406">
        <f t="shared" si="264"/>
        <v>-50.06129197144633</v>
      </c>
      <c r="AH232" s="406">
        <f t="shared" si="264"/>
        <v>-53.323672665530452</v>
      </c>
      <c r="AI232" s="406">
        <f t="shared" si="264"/>
        <v>-56.643157287247774</v>
      </c>
      <c r="AJ232" s="406">
        <f t="shared" si="264"/>
        <v>-60.028725787461767</v>
      </c>
      <c r="AK232" s="406">
        <f t="shared" si="264"/>
        <v>-63.480840444986065</v>
      </c>
      <c r="AL232" s="406">
        <f t="shared" si="264"/>
        <v>-66.999963219906462</v>
      </c>
      <c r="AM232" s="532">
        <f>SUM(AD232:AL232)</f>
        <v>-392.76354443301159</v>
      </c>
      <c r="AN232" s="1257">
        <f>(AM226+AM232)/8</f>
        <v>-339.53000413376543</v>
      </c>
      <c r="AO232" s="198"/>
      <c r="AP232" s="198"/>
      <c r="AQ232" s="198"/>
      <c r="AR232" s="198"/>
      <c r="AS232" s="198"/>
      <c r="AT232" s="198"/>
      <c r="AU232" s="198"/>
      <c r="AV232" s="198"/>
      <c r="AW232" s="198"/>
      <c r="AX232" s="198"/>
      <c r="AY232" s="198"/>
      <c r="AZ232" s="198"/>
      <c r="BA232" s="198"/>
      <c r="BB232" s="198"/>
      <c r="BC232" s="198"/>
      <c r="BD232" s="198"/>
      <c r="BE232" s="198"/>
      <c r="BF232" s="198"/>
    </row>
    <row r="233" spans="1:58" ht="12" customHeight="1" outlineLevel="1" x14ac:dyDescent="0.3">
      <c r="A233" s="198"/>
      <c r="B233" s="198"/>
      <c r="C233" s="198"/>
      <c r="D233" s="198"/>
      <c r="E233" s="198"/>
      <c r="F233" s="198"/>
      <c r="G233" s="198"/>
      <c r="H233" s="198"/>
      <c r="I233" s="198"/>
      <c r="J233" s="198"/>
      <c r="K233" s="198"/>
      <c r="L233" s="1304"/>
      <c r="M233" s="201" t="s">
        <v>908</v>
      </c>
      <c r="N233" s="207" t="s">
        <v>77</v>
      </c>
      <c r="O233" s="200"/>
      <c r="P233" s="200"/>
      <c r="Q233" s="200"/>
      <c r="R233" s="200"/>
      <c r="S233" s="200"/>
      <c r="T233" s="200"/>
      <c r="U233" s="200"/>
      <c r="V233" s="200"/>
      <c r="W233" s="200"/>
      <c r="X233" s="200"/>
      <c r="Y233" s="394"/>
      <c r="Z233" s="208"/>
      <c r="AA233" s="208"/>
      <c r="AB233" s="406"/>
      <c r="AC233" s="406">
        <f t="shared" ref="AC233" si="265">(AC$67*$K$67+SUMPRODUCT($K$28:$K$40,AC$28:AC$40))*AC7/AC$11</f>
        <v>0</v>
      </c>
      <c r="AD233" s="406">
        <f t="shared" ref="AD233:AL233" si="266">(AD$67*$K$67+SUMPRODUCT($K$28:$K$40,AD$28:AD$40))*AD7/AD$11</f>
        <v>-6.0076958218968253</v>
      </c>
      <c r="AE233" s="406">
        <f t="shared" si="266"/>
        <v>-12.017063473036384</v>
      </c>
      <c r="AF233" s="406">
        <f t="shared" si="266"/>
        <v>-73.322518545654518</v>
      </c>
      <c r="AG233" s="406">
        <f t="shared" si="266"/>
        <v>-106.72450644328562</v>
      </c>
      <c r="AH233" s="406">
        <f t="shared" si="266"/>
        <v>-112.36955545665913</v>
      </c>
      <c r="AI233" s="406">
        <f t="shared" si="266"/>
        <v>-118.05386316349525</v>
      </c>
      <c r="AJ233" s="406">
        <f t="shared" si="266"/>
        <v>-123.74519101336342</v>
      </c>
      <c r="AK233" s="406">
        <f t="shared" si="266"/>
        <v>-129.44364440315545</v>
      </c>
      <c r="AL233" s="406">
        <f t="shared" si="266"/>
        <v>-135.14935414781374</v>
      </c>
      <c r="AM233" s="532">
        <f t="shared" ref="AM233:AM236" si="267">SUM(AD233:AL233)</f>
        <v>-816.83339246836033</v>
      </c>
      <c r="AN233" s="198"/>
      <c r="AO233" s="198"/>
      <c r="AP233" s="198"/>
      <c r="AQ233" s="198"/>
      <c r="AR233" s="198"/>
      <c r="AS233" s="198"/>
      <c r="AT233" s="198"/>
      <c r="AU233" s="198"/>
      <c r="AV233" s="198"/>
      <c r="AW233" s="198"/>
      <c r="AX233" s="198"/>
      <c r="AY233" s="198"/>
      <c r="AZ233" s="198"/>
      <c r="BA233" s="198"/>
      <c r="BB233" s="198"/>
      <c r="BC233" s="198"/>
      <c r="BD233" s="198"/>
      <c r="BE233" s="198"/>
      <c r="BF233" s="198"/>
    </row>
    <row r="234" spans="1:58" ht="12" customHeight="1" outlineLevel="1" x14ac:dyDescent="0.3">
      <c r="A234" s="198"/>
      <c r="B234" s="198"/>
      <c r="C234" s="198"/>
      <c r="D234" s="198"/>
      <c r="E234" s="198"/>
      <c r="F234" s="198"/>
      <c r="G234" s="198"/>
      <c r="H234" s="198"/>
      <c r="I234" s="198"/>
      <c r="J234" s="198"/>
      <c r="K234" s="198"/>
      <c r="L234" s="1304"/>
      <c r="M234" s="201" t="s">
        <v>909</v>
      </c>
      <c r="N234" s="207" t="s">
        <v>77</v>
      </c>
      <c r="O234" s="200"/>
      <c r="P234" s="200"/>
      <c r="Q234" s="200"/>
      <c r="R234" s="200"/>
      <c r="S234" s="200"/>
      <c r="T234" s="200"/>
      <c r="U234" s="200"/>
      <c r="V234" s="200"/>
      <c r="W234" s="200"/>
      <c r="X234" s="200"/>
      <c r="Y234" s="394"/>
      <c r="Z234" s="208"/>
      <c r="AA234" s="208"/>
      <c r="AB234" s="406"/>
      <c r="AC234" s="406">
        <f t="shared" ref="AC234" si="268">(AC$67*$K$67+SUMPRODUCT($K$28:$K$40,AC$28:AC$40))*AC8/AC$11</f>
        <v>0</v>
      </c>
      <c r="AD234" s="406">
        <f t="shared" ref="AD234:AL234" si="269">(AD$67*$K$67+SUMPRODUCT($K$28:$K$40,AD$28:AD$40))*AD8/AD$11</f>
        <v>-3.0804002116585458</v>
      </c>
      <c r="AE234" s="406">
        <f t="shared" si="269"/>
        <v>-6.1813209209559794</v>
      </c>
      <c r="AF234" s="406">
        <f t="shared" si="269"/>
        <v>-37.836340761102001</v>
      </c>
      <c r="AG234" s="406">
        <f t="shared" si="269"/>
        <v>-55.249639516586235</v>
      </c>
      <c r="AH234" s="406">
        <f t="shared" si="269"/>
        <v>-58.35953849495376</v>
      </c>
      <c r="AI234" s="406">
        <f t="shared" si="269"/>
        <v>-61.488713037921599</v>
      </c>
      <c r="AJ234" s="406">
        <f t="shared" si="269"/>
        <v>-64.642685808211112</v>
      </c>
      <c r="AK234" s="406">
        <f t="shared" si="269"/>
        <v>-67.822106671771579</v>
      </c>
      <c r="AL234" s="406">
        <f t="shared" si="269"/>
        <v>-71.027639921238872</v>
      </c>
      <c r="AM234" s="532">
        <f t="shared" si="267"/>
        <v>-425.68838534439965</v>
      </c>
      <c r="AN234" s="198"/>
      <c r="AO234" s="198"/>
      <c r="AP234" s="198"/>
      <c r="AQ234" s="198"/>
      <c r="AR234" s="198"/>
      <c r="AS234" s="198"/>
      <c r="AT234" s="198"/>
      <c r="AU234" s="198"/>
      <c r="AV234" s="198"/>
      <c r="AW234" s="198"/>
      <c r="AX234" s="198"/>
      <c r="AY234" s="198"/>
      <c r="AZ234" s="198"/>
      <c r="BA234" s="198"/>
      <c r="BB234" s="198"/>
      <c r="BC234" s="198"/>
      <c r="BD234" s="198"/>
      <c r="BE234" s="198"/>
      <c r="BF234" s="198"/>
    </row>
    <row r="235" spans="1:58" ht="12" customHeight="1" outlineLevel="1" x14ac:dyDescent="0.3">
      <c r="A235" s="198"/>
      <c r="B235" s="198"/>
      <c r="C235" s="198"/>
      <c r="D235" s="198"/>
      <c r="E235" s="198"/>
      <c r="F235" s="198"/>
      <c r="G235" s="198"/>
      <c r="H235" s="198"/>
      <c r="I235" s="198"/>
      <c r="J235" s="198"/>
      <c r="K235" s="198"/>
      <c r="L235" s="1304"/>
      <c r="M235" s="201" t="s">
        <v>910</v>
      </c>
      <c r="N235" s="207" t="s">
        <v>77</v>
      </c>
      <c r="O235" s="200"/>
      <c r="P235" s="200"/>
      <c r="Q235" s="200"/>
      <c r="R235" s="200"/>
      <c r="S235" s="200"/>
      <c r="T235" s="200"/>
      <c r="U235" s="200"/>
      <c r="V235" s="200"/>
      <c r="W235" s="200"/>
      <c r="X235" s="200"/>
      <c r="Y235" s="394"/>
      <c r="Z235" s="208"/>
      <c r="AA235" s="208"/>
      <c r="AB235" s="406"/>
      <c r="AC235" s="406">
        <f t="shared" ref="AC235" si="270">(AC$67*$K$67+SUMPRODUCT($K$28:$K$40,AC$28:AC$40))*AC9/AC$11</f>
        <v>0</v>
      </c>
      <c r="AD235" s="406">
        <f t="shared" ref="AD235:AL235" si="271">(AD$67*$K$67+SUMPRODUCT($K$28:$K$40,AD$28:AD$40))*AD9/AD$11</f>
        <v>-5.5828216243274902</v>
      </c>
      <c r="AE235" s="406">
        <f t="shared" si="271"/>
        <v>-11.246092699688113</v>
      </c>
      <c r="AF235" s="406">
        <f t="shared" si="271"/>
        <v>-69.094295430194535</v>
      </c>
      <c r="AG235" s="406">
        <f t="shared" si="271"/>
        <v>-101.25448358969408</v>
      </c>
      <c r="AH235" s="406">
        <f t="shared" si="271"/>
        <v>-107.3217126995489</v>
      </c>
      <c r="AI235" s="406">
        <f t="shared" si="271"/>
        <v>-113.44107292931756</v>
      </c>
      <c r="AJ235" s="406">
        <f t="shared" si="271"/>
        <v>-119.62923591553286</v>
      </c>
      <c r="AK235" s="406">
        <f t="shared" si="271"/>
        <v>-125.88564327405514</v>
      </c>
      <c r="AL235" s="406">
        <f t="shared" si="271"/>
        <v>-132.20973398759571</v>
      </c>
      <c r="AM235" s="532">
        <f t="shared" si="267"/>
        <v>-785.66509214995426</v>
      </c>
      <c r="AN235" s="198"/>
      <c r="AO235" s="198"/>
      <c r="AP235" s="198"/>
      <c r="AQ235" s="198"/>
      <c r="AR235" s="198"/>
      <c r="AS235" s="198"/>
      <c r="AT235" s="198"/>
      <c r="AU235" s="198"/>
      <c r="AV235" s="198"/>
      <c r="AW235" s="198"/>
      <c r="AX235" s="198"/>
      <c r="AY235" s="198"/>
      <c r="AZ235" s="198"/>
      <c r="BA235" s="198"/>
      <c r="BB235" s="198"/>
      <c r="BC235" s="198"/>
      <c r="BD235" s="198"/>
      <c r="BE235" s="198"/>
      <c r="BF235" s="198"/>
    </row>
    <row r="236" spans="1:58" ht="12" customHeight="1" outlineLevel="1" x14ac:dyDescent="0.3">
      <c r="A236" s="198"/>
      <c r="B236" s="198"/>
      <c r="C236" s="198"/>
      <c r="D236" s="198"/>
      <c r="E236" s="198"/>
      <c r="F236" s="198"/>
      <c r="G236" s="198"/>
      <c r="H236" s="198"/>
      <c r="I236" s="198"/>
      <c r="J236" s="198"/>
      <c r="K236" s="198"/>
      <c r="L236" s="1304"/>
      <c r="M236" s="201" t="s">
        <v>911</v>
      </c>
      <c r="N236" s="207" t="s">
        <v>77</v>
      </c>
      <c r="O236" s="200"/>
      <c r="P236" s="200"/>
      <c r="Q236" s="200"/>
      <c r="R236" s="200"/>
      <c r="S236" s="200"/>
      <c r="T236" s="200"/>
      <c r="U236" s="200"/>
      <c r="V236" s="200"/>
      <c r="W236" s="200"/>
      <c r="X236" s="200"/>
      <c r="Y236" s="394"/>
      <c r="Z236" s="208"/>
      <c r="AA236" s="208"/>
      <c r="AB236" s="406"/>
      <c r="AC236" s="406">
        <f t="shared" ref="AC236" si="272">(AC$67*$K$67+SUMPRODUCT($K$28:$K$40,AC$28:AC$40))*AC10/AC$11</f>
        <v>0</v>
      </c>
      <c r="AD236" s="406">
        <f t="shared" ref="AD236:AL236" si="273">(AD$67*$K$67+SUMPRODUCT($K$28:$K$40,AD$28:AD$40))*AD10/AD$11</f>
        <v>-0.56341640698250128</v>
      </c>
      <c r="AE236" s="406">
        <f t="shared" si="273"/>
        <v>-1.123714598459449</v>
      </c>
      <c r="AF236" s="406">
        <f t="shared" si="273"/>
        <v>-6.8355770458988951</v>
      </c>
      <c r="AG236" s="406">
        <f t="shared" si="273"/>
        <v>-9.9180405461482763</v>
      </c>
      <c r="AH236" s="406">
        <f t="shared" si="273"/>
        <v>-10.408252927879586</v>
      </c>
      <c r="AI236" s="406">
        <f t="shared" si="273"/>
        <v>-10.8927915848812</v>
      </c>
      <c r="AJ236" s="406">
        <f t="shared" si="273"/>
        <v>-11.373256238386842</v>
      </c>
      <c r="AK236" s="406">
        <f t="shared" si="273"/>
        <v>-11.849562738389633</v>
      </c>
      <c r="AL236" s="406">
        <f t="shared" si="273"/>
        <v>-12.321630437215724</v>
      </c>
      <c r="AM236" s="532">
        <f t="shared" si="267"/>
        <v>-75.286242524242112</v>
      </c>
      <c r="AN236" s="198"/>
      <c r="AO236" s="198"/>
      <c r="AP236" s="198"/>
      <c r="AQ236" s="198"/>
      <c r="AR236" s="198"/>
      <c r="AS236" s="198"/>
      <c r="AT236" s="198"/>
      <c r="AU236" s="198"/>
      <c r="AV236" s="198"/>
      <c r="AW236" s="198"/>
      <c r="AX236" s="198"/>
      <c r="AY236" s="198"/>
      <c r="AZ236" s="198"/>
      <c r="BA236" s="198"/>
      <c r="BB236" s="198"/>
      <c r="BC236" s="198"/>
      <c r="BD236" s="198"/>
      <c r="BE236" s="198"/>
      <c r="BF236" s="198"/>
    </row>
    <row r="237" spans="1:58" ht="12" customHeight="1" outlineLevel="1" x14ac:dyDescent="0.3">
      <c r="A237" s="198"/>
      <c r="B237" s="198"/>
      <c r="C237" s="198"/>
      <c r="D237" s="198"/>
      <c r="E237" s="198"/>
      <c r="F237" s="198"/>
      <c r="G237" s="198"/>
      <c r="H237" s="198"/>
      <c r="I237" s="198"/>
      <c r="J237" s="198"/>
      <c r="K237" s="198"/>
      <c r="L237" s="1304"/>
      <c r="M237" s="202"/>
      <c r="N237" s="199"/>
      <c r="O237" s="200"/>
      <c r="P237" s="200"/>
      <c r="Q237" s="200"/>
      <c r="R237" s="200"/>
      <c r="S237" s="200"/>
      <c r="T237" s="200"/>
      <c r="U237" s="200"/>
      <c r="V237" s="200"/>
      <c r="W237" s="200"/>
      <c r="X237" s="200"/>
      <c r="Y237" s="394"/>
      <c r="Z237" s="208"/>
      <c r="AA237" s="208"/>
      <c r="AB237" s="198"/>
      <c r="AC237" s="198"/>
      <c r="AD237" s="198"/>
      <c r="AE237" s="198"/>
      <c r="AF237" s="198"/>
      <c r="AG237" s="198"/>
      <c r="AH237" s="198"/>
      <c r="AI237" s="198"/>
      <c r="AJ237" s="198"/>
      <c r="AK237" s="198"/>
      <c r="AL237" s="198"/>
      <c r="AM237" s="198"/>
      <c r="AN237" s="198"/>
      <c r="AO237" s="198"/>
      <c r="AP237" s="198"/>
      <c r="AQ237" s="198"/>
      <c r="AR237" s="198"/>
      <c r="AS237" s="198"/>
      <c r="AT237" s="198"/>
      <c r="AU237" s="198"/>
      <c r="AV237" s="198"/>
      <c r="AW237" s="198"/>
      <c r="AX237" s="198"/>
      <c r="AY237" s="198"/>
      <c r="AZ237" s="198"/>
      <c r="BA237" s="198"/>
      <c r="BB237" s="198"/>
      <c r="BC237" s="198"/>
      <c r="BD237" s="198"/>
      <c r="BE237" s="198"/>
      <c r="BF237" s="198"/>
    </row>
    <row r="238" spans="1:58" ht="12" customHeight="1" outlineLevel="1" x14ac:dyDescent="0.3">
      <c r="A238" s="198"/>
      <c r="B238" s="198" t="s">
        <v>883</v>
      </c>
      <c r="C238" s="198"/>
      <c r="D238" s="198"/>
      <c r="E238" s="198"/>
      <c r="F238" s="198"/>
      <c r="G238" s="198"/>
      <c r="H238" s="198"/>
      <c r="I238" s="198"/>
      <c r="J238" s="198"/>
      <c r="K238" s="198"/>
      <c r="L238" s="1304"/>
      <c r="M238" s="201" t="s">
        <v>919</v>
      </c>
      <c r="N238" s="207" t="s">
        <v>77</v>
      </c>
      <c r="O238" s="200"/>
      <c r="P238" s="200"/>
      <c r="Q238" s="200"/>
      <c r="R238" s="200"/>
      <c r="S238" s="200"/>
      <c r="T238" s="200"/>
      <c r="U238" s="200"/>
      <c r="V238" s="200"/>
      <c r="W238" s="200"/>
      <c r="X238" s="200"/>
      <c r="Y238" s="394"/>
      <c r="Z238" s="208"/>
      <c r="AA238" s="208"/>
      <c r="AB238" s="113">
        <f t="shared" ref="AB238:AC238" si="274">AB6+AB226+AB232</f>
        <v>4749.4444444444443</v>
      </c>
      <c r="AC238" s="113">
        <f t="shared" si="274"/>
        <v>4327.1518611111105</v>
      </c>
      <c r="AD238" s="113">
        <f t="shared" ref="AD238:AL238" si="275">AD6+AD226+AD232</f>
        <v>4790.9309111025541</v>
      </c>
      <c r="AE238" s="113">
        <f t="shared" si="275"/>
        <v>4845.7163131429907</v>
      </c>
      <c r="AF238" s="113">
        <f t="shared" si="275"/>
        <v>4872.8351161279725</v>
      </c>
      <c r="AG238" s="113">
        <f t="shared" si="275"/>
        <v>4821.0481408830483</v>
      </c>
      <c r="AH238" s="113">
        <f t="shared" si="275"/>
        <v>4791.1492074319203</v>
      </c>
      <c r="AI238" s="113">
        <f t="shared" si="275"/>
        <v>4766.3087921333808</v>
      </c>
      <c r="AJ238" s="113">
        <f t="shared" si="275"/>
        <v>4758.1876919119677</v>
      </c>
      <c r="AK238" s="113">
        <f t="shared" si="275"/>
        <v>4717.860930954228</v>
      </c>
      <c r="AL238" s="113">
        <f t="shared" si="275"/>
        <v>4653.8973713783744</v>
      </c>
      <c r="AM238" s="198"/>
      <c r="AN238" s="198"/>
      <c r="AO238" s="198"/>
      <c r="AP238" s="198"/>
      <c r="AQ238" s="198"/>
      <c r="AR238" s="198"/>
      <c r="AS238" s="198"/>
      <c r="AT238" s="198"/>
      <c r="AU238" s="198"/>
      <c r="AV238" s="198"/>
      <c r="AW238" s="198"/>
      <c r="AX238" s="198"/>
      <c r="AY238" s="198"/>
      <c r="AZ238" s="198"/>
      <c r="BA238" s="198"/>
      <c r="BB238" s="198"/>
      <c r="BC238" s="198"/>
      <c r="BD238" s="198"/>
      <c r="BE238" s="198"/>
      <c r="BF238" s="198"/>
    </row>
    <row r="239" spans="1:58" ht="12" customHeight="1" outlineLevel="1" x14ac:dyDescent="0.3">
      <c r="A239" s="198"/>
      <c r="B239" s="198" t="s">
        <v>888</v>
      </c>
      <c r="C239" s="198"/>
      <c r="D239" s="198"/>
      <c r="E239" s="198"/>
      <c r="F239" s="198"/>
      <c r="G239" s="198"/>
      <c r="H239" s="198"/>
      <c r="I239" s="198"/>
      <c r="J239" s="198"/>
      <c r="K239" s="198"/>
      <c r="L239" s="1304"/>
      <c r="M239" s="201" t="s">
        <v>889</v>
      </c>
      <c r="N239" s="207" t="s">
        <v>77</v>
      </c>
      <c r="O239" s="200"/>
      <c r="P239" s="200"/>
      <c r="Q239" s="200"/>
      <c r="R239" s="200"/>
      <c r="S239" s="200"/>
      <c r="T239" s="200"/>
      <c r="U239" s="200"/>
      <c r="V239" s="200"/>
      <c r="W239" s="200"/>
      <c r="X239" s="200"/>
      <c r="Y239" s="394"/>
      <c r="Z239" s="208"/>
      <c r="AA239" s="208"/>
      <c r="AB239" s="113">
        <f t="shared" ref="AB239:AC239" si="276">AB7+AB227+AB233</f>
        <v>10567.960000000001</v>
      </c>
      <c r="AC239" s="113">
        <f t="shared" si="276"/>
        <v>10532.931725031605</v>
      </c>
      <c r="AD239" s="113">
        <f t="shared" ref="AD239:AL239" si="277">AD7+AD227+AD233</f>
        <v>10555.632453966533</v>
      </c>
      <c r="AE239" s="113">
        <f t="shared" si="277"/>
        <v>10576.086992027871</v>
      </c>
      <c r="AF239" s="113">
        <f t="shared" si="277"/>
        <v>10546.865770140304</v>
      </c>
      <c r="AG239" s="113">
        <f t="shared" si="277"/>
        <v>10276.513925921616</v>
      </c>
      <c r="AH239" s="113">
        <f t="shared" si="277"/>
        <v>10039.636398979676</v>
      </c>
      <c r="AI239" s="113">
        <f t="shared" si="277"/>
        <v>9812.8470524408403</v>
      </c>
      <c r="AJ239" s="113">
        <f t="shared" si="277"/>
        <v>9591.2343608309802</v>
      </c>
      <c r="AK239" s="113">
        <f t="shared" si="277"/>
        <v>9374.5639897891924</v>
      </c>
      <c r="AL239" s="113">
        <f t="shared" si="277"/>
        <v>9162.77032044919</v>
      </c>
      <c r="AM239" s="198"/>
      <c r="AN239" s="198"/>
      <c r="AO239" s="198"/>
      <c r="AP239" s="198"/>
      <c r="AQ239" s="198"/>
      <c r="AR239" s="198"/>
      <c r="AS239" s="198"/>
      <c r="AT239" s="198"/>
      <c r="AU239" s="198"/>
      <c r="AV239" s="198"/>
      <c r="AW239" s="198"/>
      <c r="AX239" s="198"/>
      <c r="AY239" s="198"/>
      <c r="AZ239" s="198"/>
      <c r="BA239" s="198"/>
      <c r="BB239" s="198"/>
      <c r="BC239" s="198"/>
      <c r="BD239" s="198"/>
      <c r="BE239" s="198"/>
      <c r="BF239" s="198"/>
    </row>
    <row r="240" spans="1:58" ht="12" customHeight="1" outlineLevel="1" x14ac:dyDescent="0.3">
      <c r="A240" s="198"/>
      <c r="B240" s="198" t="s">
        <v>890</v>
      </c>
      <c r="C240" s="198"/>
      <c r="D240" s="198"/>
      <c r="E240" s="198"/>
      <c r="F240" s="198"/>
      <c r="G240" s="198"/>
      <c r="H240" s="198"/>
      <c r="I240" s="198"/>
      <c r="J240" s="198"/>
      <c r="K240" s="198"/>
      <c r="L240" s="1304"/>
      <c r="M240" s="201" t="s">
        <v>891</v>
      </c>
      <c r="N240" s="207" t="s">
        <v>77</v>
      </c>
      <c r="O240" s="200"/>
      <c r="P240" s="200"/>
      <c r="Q240" s="200"/>
      <c r="R240" s="200"/>
      <c r="S240" s="200"/>
      <c r="T240" s="200"/>
      <c r="U240" s="200"/>
      <c r="V240" s="200"/>
      <c r="W240" s="200"/>
      <c r="X240" s="200"/>
      <c r="Y240" s="394"/>
      <c r="Z240" s="208"/>
      <c r="AA240" s="208"/>
      <c r="AB240" s="113">
        <f t="shared" ref="AB240:AC240" si="278">AB8+AB228+AB234</f>
        <v>5382.26</v>
      </c>
      <c r="AC240" s="113">
        <f t="shared" si="278"/>
        <v>5376.8275011999995</v>
      </c>
      <c r="AD240" s="113">
        <f t="shared" ref="AD240:AL240" si="279">AD8+AD228+AD234</f>
        <v>5409.2336441916041</v>
      </c>
      <c r="AE240" s="113">
        <f t="shared" si="279"/>
        <v>5438.7455815152716</v>
      </c>
      <c r="AF240" s="113">
        <f t="shared" si="279"/>
        <v>5441.0874845154394</v>
      </c>
      <c r="AG240" s="113">
        <f t="shared" si="279"/>
        <v>5356.702022517522</v>
      </c>
      <c r="AH240" s="113">
        <f t="shared" si="279"/>
        <v>5288.4694531428913</v>
      </c>
      <c r="AI240" s="113">
        <f t="shared" si="279"/>
        <v>5222.4656058611936</v>
      </c>
      <c r="AJ240" s="113">
        <f t="shared" si="279"/>
        <v>5158.2325759564646</v>
      </c>
      <c r="AK240" s="113">
        <f t="shared" si="279"/>
        <v>5095.7686778779307</v>
      </c>
      <c r="AL240" s="113">
        <f t="shared" si="279"/>
        <v>5035.0728256517577</v>
      </c>
      <c r="AM240" s="198"/>
      <c r="AN240" s="198"/>
      <c r="AO240" s="198"/>
      <c r="AP240" s="198"/>
      <c r="AQ240" s="198"/>
      <c r="AR240" s="198"/>
      <c r="AS240" s="198"/>
      <c r="AT240" s="198"/>
      <c r="AU240" s="198"/>
      <c r="AV240" s="198"/>
      <c r="AW240" s="198"/>
      <c r="AX240" s="198"/>
      <c r="AY240" s="198"/>
      <c r="AZ240" s="198"/>
      <c r="BA240" s="198"/>
      <c r="BB240" s="198"/>
      <c r="BC240" s="198"/>
      <c r="BD240" s="198"/>
      <c r="BE240" s="198"/>
      <c r="BF240" s="198"/>
    </row>
    <row r="241" spans="1:58" ht="12" customHeight="1" outlineLevel="1" x14ac:dyDescent="0.3">
      <c r="A241" s="198"/>
      <c r="B241" s="198" t="s">
        <v>892</v>
      </c>
      <c r="C241" s="198"/>
      <c r="D241" s="198"/>
      <c r="E241" s="198"/>
      <c r="F241" s="198"/>
      <c r="G241" s="198"/>
      <c r="H241" s="198"/>
      <c r="I241" s="198"/>
      <c r="J241" s="198"/>
      <c r="K241" s="198"/>
      <c r="L241" s="1304"/>
      <c r="M241" s="201" t="s">
        <v>893</v>
      </c>
      <c r="N241" s="207" t="s">
        <v>77</v>
      </c>
      <c r="O241" s="200"/>
      <c r="P241" s="200"/>
      <c r="Q241" s="200"/>
      <c r="R241" s="200"/>
      <c r="S241" s="200"/>
      <c r="T241" s="200"/>
      <c r="U241" s="200"/>
      <c r="V241" s="200"/>
      <c r="W241" s="200"/>
      <c r="X241" s="200"/>
      <c r="Y241" s="394"/>
      <c r="Z241" s="208"/>
      <c r="AA241" s="208"/>
      <c r="AB241" s="113">
        <f t="shared" ref="AB241:AC241" si="280">AB9+AB229+AB235</f>
        <v>9177.7777777777792</v>
      </c>
      <c r="AC241" s="113">
        <f t="shared" si="280"/>
        <v>9665.5308323803783</v>
      </c>
      <c r="AD241" s="113">
        <f t="shared" ref="AD241:AL241" si="281">AD9+AD229+AD235</f>
        <v>9790.3918229406718</v>
      </c>
      <c r="AE241" s="113">
        <f t="shared" si="281"/>
        <v>9863.3184735158247</v>
      </c>
      <c r="AF241" s="113">
        <f t="shared" si="281"/>
        <v>9891.8016730755808</v>
      </c>
      <c r="AG241" s="113">
        <f t="shared" si="281"/>
        <v>9694.6514959532997</v>
      </c>
      <c r="AH241" s="113">
        <f t="shared" si="281"/>
        <v>9640.5927487864192</v>
      </c>
      <c r="AI241" s="113">
        <f t="shared" si="281"/>
        <v>9243.4581138585945</v>
      </c>
      <c r="AJ241" s="113">
        <f t="shared" si="281"/>
        <v>9193.5756571226575</v>
      </c>
      <c r="AK241" s="113">
        <f t="shared" si="281"/>
        <v>9144.325377490044</v>
      </c>
      <c r="AL241" s="113">
        <f t="shared" si="281"/>
        <v>9098.1197681506183</v>
      </c>
      <c r="AM241" s="198"/>
      <c r="AN241" s="198"/>
      <c r="AO241" s="198"/>
      <c r="AP241" s="198"/>
      <c r="AQ241" s="198"/>
      <c r="AR241" s="198"/>
      <c r="AS241" s="198"/>
      <c r="AT241" s="198"/>
      <c r="AU241" s="198"/>
      <c r="AV241" s="198"/>
      <c r="AW241" s="198"/>
      <c r="AX241" s="198"/>
      <c r="AY241" s="198"/>
      <c r="AZ241" s="198"/>
      <c r="BA241" s="198"/>
      <c r="BB241" s="198"/>
      <c r="BC241" s="198"/>
      <c r="BD241" s="198"/>
      <c r="BE241" s="198"/>
      <c r="BF241" s="198"/>
    </row>
    <row r="242" spans="1:58" ht="12" customHeight="1" outlineLevel="1" x14ac:dyDescent="0.3">
      <c r="A242" s="198"/>
      <c r="B242" s="198" t="s">
        <v>894</v>
      </c>
      <c r="C242" s="198"/>
      <c r="D242" s="198"/>
      <c r="E242" s="198"/>
      <c r="F242" s="198"/>
      <c r="G242" s="198"/>
      <c r="H242" s="198"/>
      <c r="I242" s="198"/>
      <c r="J242" s="198"/>
      <c r="K242" s="198"/>
      <c r="L242" s="1304"/>
      <c r="M242" s="201" t="s">
        <v>895</v>
      </c>
      <c r="N242" s="207" t="s">
        <v>77</v>
      </c>
      <c r="O242" s="200"/>
      <c r="P242" s="200"/>
      <c r="Q242" s="200"/>
      <c r="R242" s="200"/>
      <c r="S242" s="200"/>
      <c r="T242" s="200"/>
      <c r="U242" s="200"/>
      <c r="V242" s="200"/>
      <c r="W242" s="200"/>
      <c r="X242" s="200"/>
      <c r="Y242" s="394"/>
      <c r="Z242" s="208"/>
      <c r="AA242" s="208"/>
      <c r="AB242" s="113">
        <f t="shared" ref="AB242:AC242" si="282">AB10+AB230+AB236</f>
        <v>1272.7777777777778</v>
      </c>
      <c r="AC242" s="113">
        <f t="shared" si="282"/>
        <v>990.64514183333335</v>
      </c>
      <c r="AD242" s="113">
        <f t="shared" ref="AD242:AL242" si="283">AD10+AD230+AD236</f>
        <v>990.2699169263509</v>
      </c>
      <c r="AE242" s="113">
        <f t="shared" si="283"/>
        <v>989.70961873487397</v>
      </c>
      <c r="AF242" s="113">
        <f t="shared" si="283"/>
        <v>983.99775628743453</v>
      </c>
      <c r="AG242" s="113">
        <f t="shared" si="283"/>
        <v>980.91529278718508</v>
      </c>
      <c r="AH242" s="113">
        <f t="shared" si="283"/>
        <v>980.42508040545374</v>
      </c>
      <c r="AI242" s="113">
        <f t="shared" si="283"/>
        <v>973.14054174845216</v>
      </c>
      <c r="AJ242" s="113">
        <f t="shared" si="283"/>
        <v>965.86007709494652</v>
      </c>
      <c r="AK242" s="113">
        <f t="shared" si="283"/>
        <v>958.58377059494376</v>
      </c>
      <c r="AL242" s="113">
        <f t="shared" si="283"/>
        <v>951.31170289611759</v>
      </c>
      <c r="AM242" s="198"/>
      <c r="AN242" s="198"/>
      <c r="AO242" s="198"/>
      <c r="AP242" s="198"/>
      <c r="AQ242" s="198"/>
      <c r="AR242" s="198"/>
      <c r="AS242" s="198"/>
      <c r="AT242" s="198"/>
      <c r="AU242" s="198"/>
      <c r="AV242" s="198"/>
      <c r="AW242" s="198"/>
      <c r="AX242" s="198"/>
      <c r="AY242" s="198"/>
      <c r="AZ242" s="198"/>
      <c r="BA242" s="198"/>
      <c r="BB242" s="198"/>
      <c r="BC242" s="198"/>
      <c r="BD242" s="198"/>
      <c r="BE242" s="198"/>
      <c r="BF242" s="198"/>
    </row>
    <row r="243" spans="1:58" ht="12" customHeight="1" outlineLevel="1" x14ac:dyDescent="0.3">
      <c r="A243" s="198"/>
      <c r="B243" s="198"/>
      <c r="C243" s="198"/>
      <c r="D243" s="198"/>
      <c r="E243" s="198"/>
      <c r="F243" s="198"/>
      <c r="G243" s="198"/>
      <c r="H243" s="198"/>
      <c r="I243" s="198"/>
      <c r="J243" s="198"/>
      <c r="K243" s="198"/>
      <c r="L243" s="1304"/>
      <c r="M243" s="202"/>
      <c r="N243" s="199"/>
      <c r="O243" s="200"/>
      <c r="P243" s="200"/>
      <c r="Q243" s="200"/>
      <c r="R243" s="200"/>
      <c r="S243" s="200"/>
      <c r="T243" s="200"/>
      <c r="U243" s="200"/>
      <c r="V243" s="200"/>
      <c r="W243" s="200"/>
      <c r="X243" s="200"/>
      <c r="Y243" s="394"/>
      <c r="Z243" s="208"/>
      <c r="AA243" s="208"/>
      <c r="AB243" s="198"/>
      <c r="AC243" s="198"/>
      <c r="AD243" s="198"/>
      <c r="AE243" s="198"/>
      <c r="AF243" s="198"/>
      <c r="AG243" s="198"/>
      <c r="AH243" s="198"/>
      <c r="AI243" s="198"/>
      <c r="AJ243" s="198"/>
      <c r="AK243" s="198"/>
      <c r="AL243" s="198"/>
      <c r="AM243" s="198"/>
      <c r="AN243" s="198"/>
      <c r="AO243" s="198"/>
      <c r="AP243" s="198"/>
      <c r="AQ243" s="198"/>
      <c r="AR243" s="198"/>
      <c r="AS243" s="198"/>
      <c r="AT243" s="198"/>
      <c r="AU243" s="198"/>
      <c r="AV243" s="198"/>
      <c r="AW243" s="198"/>
      <c r="AX243" s="198"/>
      <c r="AY243" s="198"/>
      <c r="AZ243" s="198"/>
      <c r="BA243" s="198"/>
      <c r="BB243" s="198"/>
      <c r="BC243" s="198"/>
      <c r="BD243" s="198"/>
      <c r="BE243" s="198"/>
      <c r="BF243" s="198"/>
    </row>
    <row r="244" spans="1:58" x14ac:dyDescent="0.3">
      <c r="A244" s="198"/>
      <c r="B244" s="198"/>
      <c r="C244" s="198"/>
      <c r="D244" s="198"/>
      <c r="E244" s="198"/>
      <c r="F244" s="198"/>
      <c r="G244" s="198"/>
      <c r="H244" s="198"/>
      <c r="I244" s="198"/>
      <c r="J244" s="198"/>
      <c r="K244" s="198"/>
      <c r="L244" s="1304"/>
      <c r="M244" s="77" t="s">
        <v>914</v>
      </c>
      <c r="N244" s="207" t="s">
        <v>77</v>
      </c>
      <c r="O244" s="200"/>
      <c r="P244" s="200"/>
      <c r="Q244" s="200"/>
      <c r="R244" s="200"/>
      <c r="S244" s="200"/>
      <c r="T244" s="200"/>
      <c r="U244" s="200"/>
      <c r="V244" s="200"/>
      <c r="W244" s="200"/>
      <c r="X244" s="200"/>
      <c r="Y244" s="394"/>
      <c r="Z244" s="208"/>
      <c r="AA244" s="208"/>
      <c r="AB244" s="404">
        <f t="shared" ref="AB244:AC244" si="284">AB238+AB239+AB240+AB241+AB242</f>
        <v>31150.220000000005</v>
      </c>
      <c r="AC244" s="404">
        <f t="shared" si="284"/>
        <v>30893.087061556424</v>
      </c>
      <c r="AD244" s="404">
        <f>AD238+AD239+AD240+AD241+AD242</f>
        <v>31536.458749127713</v>
      </c>
      <c r="AE244" s="404">
        <f t="shared" ref="AE244:AL244" si="285">AE238+AE239+AE240+AE241+AE242</f>
        <v>31713.576978936831</v>
      </c>
      <c r="AF244" s="404">
        <f t="shared" si="285"/>
        <v>31736.587800146732</v>
      </c>
      <c r="AG244" s="404">
        <f t="shared" si="285"/>
        <v>31129.830878062668</v>
      </c>
      <c r="AH244" s="404">
        <f t="shared" si="285"/>
        <v>30740.27288874636</v>
      </c>
      <c r="AI244" s="404">
        <f t="shared" si="285"/>
        <v>30018.22010604246</v>
      </c>
      <c r="AJ244" s="404">
        <f t="shared" si="285"/>
        <v>29667.090362917017</v>
      </c>
      <c r="AK244" s="404">
        <f t="shared" si="285"/>
        <v>29291.10274670634</v>
      </c>
      <c r="AL244" s="404">
        <f t="shared" si="285"/>
        <v>28901.171988526057</v>
      </c>
      <c r="AM244" s="198"/>
      <c r="AN244" s="198"/>
      <c r="AO244" s="198"/>
      <c r="AP244" s="198"/>
      <c r="AQ244" s="198"/>
      <c r="AR244" s="198"/>
      <c r="AS244" s="198"/>
      <c r="AT244" s="198"/>
      <c r="AU244" s="198"/>
      <c r="AV244" s="198"/>
      <c r="AW244" s="198"/>
      <c r="AX244" s="198"/>
      <c r="AY244" s="198"/>
      <c r="AZ244" s="198"/>
      <c r="BA244" s="198"/>
      <c r="BB244" s="198"/>
      <c r="BC244" s="198"/>
      <c r="BD244" s="198"/>
      <c r="BE244" s="198"/>
      <c r="BF244" s="198"/>
    </row>
    <row r="245" spans="1:58" ht="14.25" thickBot="1" x14ac:dyDescent="0.35">
      <c r="A245" s="198"/>
      <c r="B245" s="198"/>
      <c r="C245" s="198"/>
      <c r="D245" s="198"/>
      <c r="E245" s="198"/>
      <c r="F245" s="198"/>
      <c r="G245" s="198"/>
      <c r="H245" s="198"/>
      <c r="I245" s="198"/>
      <c r="J245" s="198"/>
      <c r="K245" s="198"/>
      <c r="L245" s="1304"/>
      <c r="M245" s="72" t="s">
        <v>915</v>
      </c>
      <c r="N245" s="207" t="s">
        <v>68</v>
      </c>
      <c r="O245" s="200"/>
      <c r="P245" s="200"/>
      <c r="Q245" s="200"/>
      <c r="R245" s="200"/>
      <c r="S245" s="200"/>
      <c r="T245" s="200"/>
      <c r="U245" s="200"/>
      <c r="V245" s="200"/>
      <c r="W245" s="200"/>
      <c r="X245" s="200"/>
      <c r="Y245" s="394"/>
      <c r="Z245" s="208"/>
      <c r="AA245" s="208"/>
      <c r="AB245" s="405">
        <f t="shared" ref="AB245:AC245" si="286">-(AB244-AB$11)/AB$11</f>
        <v>0</v>
      </c>
      <c r="AC245" s="405">
        <f t="shared" si="286"/>
        <v>4.4518987504133176E-3</v>
      </c>
      <c r="AD245" s="405">
        <f>-(AD244-AD$11)/AD$11</f>
        <v>1.640793824846731E-3</v>
      </c>
      <c r="AE245" s="405">
        <f>-((AD$11-AD244)-(AE$11-AE244))/AE$11</f>
        <v>1.3375130786675627E-3</v>
      </c>
      <c r="AF245" s="405">
        <f t="shared" ref="AF245" si="287">-((AE$11-AE244)-(AF$11-AF244))/AF$11</f>
        <v>6.7190359384701913E-3</v>
      </c>
      <c r="AG245" s="405">
        <f t="shared" ref="AG245" si="288">-((AF$11-AF244)-(AG$11-AG244))/AG$11</f>
        <v>2.6313412189133811E-2</v>
      </c>
      <c r="AH245" s="405">
        <f t="shared" ref="AH245" si="289">-((AG$11-AG244)-(AH$11-AH244))/AH$11</f>
        <v>1.9579441044698415E-2</v>
      </c>
      <c r="AI245" s="405">
        <f t="shared" ref="AI245" si="290">-((AH$11-AH244)-(AI$11-AI244))/AI$11</f>
        <v>2.9856024921172963E-2</v>
      </c>
      <c r="AJ245" s="405">
        <f t="shared" ref="AJ245" si="291">-((AI$11-AI244)-(AJ$11-AJ244))/AJ$11</f>
        <v>1.8522931019847092E-2</v>
      </c>
      <c r="AK245" s="405">
        <f t="shared" ref="AK245" si="292">-((AJ$11-AJ244)-(AK$11-AK244))/AK$11</f>
        <v>1.9246350722587423E-2</v>
      </c>
      <c r="AL245" s="405">
        <f t="shared" ref="AL245" si="293">-((AK$11-AK244)-(AL$11-AL244))/AL$11</f>
        <v>1.9632542681103211E-2</v>
      </c>
      <c r="AM245" s="198"/>
      <c r="AN245" s="198"/>
      <c r="AO245" s="198"/>
      <c r="AP245" s="198"/>
      <c r="AQ245" s="198"/>
      <c r="AR245" s="198"/>
      <c r="AS245" s="198"/>
      <c r="AT245" s="198"/>
      <c r="AU245" s="198"/>
      <c r="AV245" s="198"/>
      <c r="AW245" s="198"/>
      <c r="AX245" s="198"/>
      <c r="AY245" s="198"/>
      <c r="AZ245" s="198"/>
      <c r="BA245" s="198"/>
      <c r="BB245" s="198"/>
      <c r="BC245" s="198"/>
      <c r="BD245" s="198"/>
      <c r="BE245" s="198"/>
      <c r="BF245" s="198"/>
    </row>
    <row r="246" spans="1:58" ht="14.25" thickBot="1" x14ac:dyDescent="0.35">
      <c r="A246" s="198"/>
      <c r="B246" s="198"/>
      <c r="C246" s="198"/>
      <c r="D246" s="198"/>
      <c r="E246" s="198"/>
      <c r="F246" s="198"/>
      <c r="G246" s="198"/>
      <c r="H246" s="198"/>
      <c r="I246" s="198"/>
      <c r="J246" s="198"/>
      <c r="K246" s="198"/>
      <c r="L246" s="1304"/>
      <c r="M246" s="72" t="s">
        <v>916</v>
      </c>
      <c r="N246" s="207" t="s">
        <v>68</v>
      </c>
      <c r="O246" s="200"/>
      <c r="P246" s="200"/>
      <c r="Q246" s="200"/>
      <c r="R246" s="200"/>
      <c r="S246" s="200"/>
      <c r="T246" s="200"/>
      <c r="U246" s="200"/>
      <c r="V246" s="200"/>
      <c r="W246" s="200"/>
      <c r="X246" s="200"/>
      <c r="Y246" s="394"/>
      <c r="Z246" s="208"/>
      <c r="AA246" s="208"/>
      <c r="AB246" s="200"/>
      <c r="AC246" s="200"/>
      <c r="AD246" s="518"/>
      <c r="AE246" s="518"/>
      <c r="AF246" s="1311">
        <f>((AL$11-AL244)-(AF$11-AF244))/AL$11/7</f>
        <v>1.8623039991340743E-2</v>
      </c>
      <c r="AG246" s="1312"/>
      <c r="AH246" s="1312"/>
      <c r="AI246" s="1312"/>
      <c r="AJ246" s="1312"/>
      <c r="AK246" s="1312"/>
      <c r="AL246" s="1313"/>
      <c r="AM246" s="198"/>
      <c r="AN246" s="198"/>
      <c r="AO246" s="198"/>
      <c r="AP246" s="198"/>
      <c r="AQ246" s="198"/>
      <c r="AR246" s="198"/>
      <c r="AS246" s="198"/>
      <c r="AT246" s="198"/>
      <c r="AU246" s="198"/>
      <c r="AV246" s="198"/>
      <c r="AW246" s="198"/>
      <c r="AX246" s="198"/>
      <c r="AY246" s="198"/>
      <c r="AZ246" s="198"/>
      <c r="BA246" s="198"/>
      <c r="BB246" s="198"/>
      <c r="BC246" s="198"/>
      <c r="BD246" s="198"/>
      <c r="BE246" s="198"/>
      <c r="BF246" s="198"/>
    </row>
    <row r="247" spans="1:58" x14ac:dyDescent="0.3">
      <c r="A247" s="198"/>
      <c r="B247" s="198"/>
      <c r="C247" s="198"/>
      <c r="D247" s="198"/>
      <c r="E247" s="198"/>
      <c r="F247" s="198"/>
      <c r="G247" s="198"/>
      <c r="H247" s="198"/>
      <c r="I247" s="198"/>
      <c r="J247" s="198"/>
      <c r="K247" s="198"/>
      <c r="L247" s="1304"/>
      <c r="M247" s="201" t="s">
        <v>920</v>
      </c>
      <c r="N247" s="199"/>
      <c r="O247" s="200"/>
      <c r="P247" s="200"/>
      <c r="Q247" s="200"/>
      <c r="R247" s="200"/>
      <c r="S247" s="200"/>
      <c r="T247" s="200"/>
      <c r="U247" s="200"/>
      <c r="V247" s="200"/>
      <c r="W247" s="200"/>
      <c r="X247" s="200"/>
      <c r="Y247" s="394"/>
      <c r="Z247" s="208"/>
      <c r="AA247" s="208"/>
      <c r="AB247" s="200"/>
      <c r="AC247" s="200"/>
      <c r="AD247" s="1458">
        <f t="shared" ref="AD247:AK247" si="294">AD238-(AD6-$AD6)</f>
        <v>4790.9309111025541</v>
      </c>
      <c r="AE247" s="1458">
        <f t="shared" si="294"/>
        <v>4788.1530464763218</v>
      </c>
      <c r="AF247" s="1458">
        <f t="shared" si="294"/>
        <v>4742.454317127972</v>
      </c>
      <c r="AG247" s="1458">
        <f t="shared" si="294"/>
        <v>4616.757546564716</v>
      </c>
      <c r="AH247" s="1458">
        <f t="shared" si="294"/>
        <v>4511.8401708654801</v>
      </c>
      <c r="AI247" s="1458">
        <f t="shared" si="294"/>
        <v>4410.8560366851107</v>
      </c>
      <c r="AJ247" s="1458">
        <f t="shared" si="294"/>
        <v>4325.4490617986403</v>
      </c>
      <c r="AK247" s="1458">
        <f t="shared" si="294"/>
        <v>4206.6771380558675</v>
      </c>
      <c r="AL247" s="1458">
        <f>AL238-(AL6-$AD6)</f>
        <v>4063.091738253207</v>
      </c>
      <c r="AM247" s="198"/>
      <c r="AN247" s="198"/>
      <c r="AO247" s="198"/>
      <c r="AP247" s="198"/>
      <c r="AQ247" s="198"/>
      <c r="AR247" s="198"/>
      <c r="AS247" s="198"/>
      <c r="AT247" s="198"/>
      <c r="AU247" s="198"/>
      <c r="AV247" s="198"/>
      <c r="AW247" s="198"/>
      <c r="AX247" s="198"/>
      <c r="AY247" s="198"/>
      <c r="AZ247" s="198"/>
      <c r="BA247" s="198"/>
      <c r="BB247" s="198"/>
      <c r="BC247" s="198"/>
      <c r="BD247" s="198"/>
      <c r="BE247" s="198"/>
      <c r="BF247" s="198"/>
    </row>
    <row r="248" spans="1:58" x14ac:dyDescent="0.3">
      <c r="A248" s="224"/>
      <c r="B248" s="224"/>
      <c r="C248" s="224"/>
      <c r="D248" s="224"/>
      <c r="E248" s="224"/>
      <c r="F248" s="224"/>
      <c r="G248" s="224"/>
      <c r="H248" s="224"/>
      <c r="I248" s="224"/>
      <c r="J248" s="224"/>
      <c r="K248" s="224"/>
      <c r="L248" s="83" t="s">
        <v>921</v>
      </c>
      <c r="M248" s="83"/>
      <c r="N248" s="83" t="s">
        <v>59</v>
      </c>
      <c r="O248" s="84"/>
      <c r="P248" s="84"/>
      <c r="Q248" s="84"/>
      <c r="R248" s="84"/>
      <c r="S248" s="84"/>
      <c r="T248" s="84"/>
      <c r="U248" s="84"/>
      <c r="V248" s="84"/>
      <c r="W248" s="84"/>
      <c r="X248" s="84"/>
      <c r="Y248" s="394"/>
      <c r="Z248" s="84"/>
      <c r="AA248" s="84"/>
      <c r="AB248" s="84"/>
      <c r="AC248" s="84"/>
      <c r="AD248" s="117"/>
      <c r="AE248" s="117"/>
      <c r="AF248" s="117"/>
      <c r="AG248" s="117"/>
      <c r="AH248" s="117"/>
      <c r="AI248" s="117"/>
      <c r="AJ248" s="117"/>
      <c r="AK248" s="117"/>
      <c r="AL248" s="117"/>
      <c r="AM248" s="117"/>
      <c r="AN248" s="117"/>
      <c r="AO248" s="117"/>
      <c r="AP248" s="117"/>
      <c r="AQ248" s="117"/>
      <c r="AR248" s="117"/>
      <c r="AS248" s="117"/>
      <c r="AT248" s="117"/>
      <c r="AU248" s="117"/>
      <c r="AV248" s="117"/>
      <c r="AW248" s="117"/>
      <c r="AX248" s="117"/>
      <c r="AY248" s="117"/>
      <c r="AZ248" s="117"/>
      <c r="BA248" s="117"/>
      <c r="BB248" s="117"/>
      <c r="BC248" s="117"/>
      <c r="BD248" s="117"/>
      <c r="BE248" s="117"/>
      <c r="BF248" s="117"/>
    </row>
    <row r="249" spans="1:58" x14ac:dyDescent="0.3">
      <c r="A249" s="224"/>
      <c r="B249" s="224"/>
      <c r="C249" s="224"/>
      <c r="D249" s="224"/>
      <c r="E249" s="224"/>
      <c r="F249" s="224"/>
      <c r="G249" s="224"/>
      <c r="H249" s="224"/>
      <c r="I249" s="224"/>
      <c r="J249" s="224"/>
      <c r="K249" s="224"/>
      <c r="L249" s="117"/>
      <c r="M249" s="232" t="s">
        <v>922</v>
      </c>
      <c r="N249" s="233"/>
      <c r="O249" s="234"/>
      <c r="P249" s="234"/>
      <c r="Q249" s="234"/>
      <c r="R249" s="234"/>
      <c r="S249" s="234"/>
      <c r="T249" s="234"/>
      <c r="U249" s="234"/>
      <c r="V249" s="234"/>
      <c r="W249" s="234"/>
      <c r="X249" s="234"/>
      <c r="Y249" s="394"/>
      <c r="Z249" s="236"/>
      <c r="AA249" s="236"/>
      <c r="AB249" s="234"/>
      <c r="AC249" s="234"/>
      <c r="AD249" s="235"/>
      <c r="AE249" s="235"/>
      <c r="AF249" s="235"/>
      <c r="AG249" s="235"/>
      <c r="AH249" s="235"/>
      <c r="AI249" s="235"/>
      <c r="AJ249" s="235"/>
      <c r="AK249" s="235"/>
      <c r="AL249" s="235"/>
      <c r="AM249" s="235"/>
      <c r="AN249" s="235"/>
      <c r="AO249" s="235"/>
      <c r="AP249" s="235"/>
      <c r="AQ249" s="235"/>
      <c r="AR249" s="235"/>
      <c r="AS249" s="235"/>
      <c r="AT249" s="235"/>
      <c r="AU249" s="235"/>
      <c r="AV249" s="235"/>
      <c r="AW249" s="235"/>
      <c r="AX249" s="235"/>
      <c r="AY249" s="235"/>
      <c r="AZ249" s="235"/>
      <c r="BA249" s="235"/>
      <c r="BB249" s="235"/>
      <c r="BC249" s="235"/>
      <c r="BD249" s="235"/>
      <c r="BE249" s="235"/>
      <c r="BF249" s="235"/>
    </row>
    <row r="250" spans="1:58" x14ac:dyDescent="0.3">
      <c r="A250" s="224"/>
      <c r="B250" s="224"/>
      <c r="C250" s="224"/>
      <c r="D250" s="224"/>
      <c r="E250" s="224"/>
      <c r="F250" s="224"/>
      <c r="G250" s="224"/>
      <c r="H250" s="224"/>
      <c r="I250" s="224"/>
      <c r="J250" s="224"/>
      <c r="K250" s="224"/>
      <c r="L250" s="117"/>
      <c r="M250" s="241" t="s">
        <v>923</v>
      </c>
      <c r="N250" s="241"/>
      <c r="O250" s="242"/>
      <c r="P250" s="242"/>
      <c r="Q250" s="242"/>
      <c r="R250" s="242"/>
      <c r="S250" s="242"/>
      <c r="T250" s="242"/>
      <c r="U250" s="242"/>
      <c r="V250" s="242"/>
      <c r="W250" s="242"/>
      <c r="X250" s="242"/>
      <c r="Y250" s="394"/>
      <c r="Z250" s="242"/>
      <c r="AA250" s="242"/>
      <c r="AB250" s="242"/>
      <c r="AC250" s="242"/>
      <c r="AD250" s="242"/>
      <c r="AE250" s="242"/>
      <c r="AF250" s="242"/>
      <c r="AG250" s="242"/>
      <c r="AH250" s="242"/>
      <c r="AI250" s="242"/>
      <c r="AJ250" s="242"/>
      <c r="AK250" s="242"/>
      <c r="AL250" s="242"/>
      <c r="AM250" s="242"/>
      <c r="AN250" s="242"/>
      <c r="AO250" s="242"/>
      <c r="AP250" s="242"/>
      <c r="AQ250" s="242"/>
      <c r="AR250" s="242"/>
      <c r="AS250" s="242"/>
      <c r="AT250" s="242"/>
      <c r="AU250" s="242"/>
      <c r="AV250" s="242"/>
      <c r="AW250" s="242"/>
      <c r="AX250" s="242"/>
      <c r="AY250" s="242"/>
      <c r="AZ250" s="242"/>
      <c r="BA250" s="242"/>
      <c r="BB250" s="242"/>
      <c r="BC250" s="242"/>
      <c r="BD250" s="242"/>
      <c r="BE250" s="242"/>
      <c r="BF250" s="242"/>
    </row>
    <row r="251" spans="1:58" x14ac:dyDescent="0.3">
      <c r="A251" s="224"/>
      <c r="B251" s="224"/>
      <c r="C251" s="224"/>
      <c r="D251" s="224"/>
      <c r="E251" s="224"/>
      <c r="F251" s="224"/>
      <c r="G251" s="224"/>
      <c r="H251" s="224"/>
      <c r="I251" s="224"/>
      <c r="J251" s="224"/>
      <c r="K251" s="224"/>
      <c r="L251" s="117"/>
      <c r="M251" s="210"/>
      <c r="N251" s="210"/>
      <c r="O251" s="210"/>
      <c r="P251" s="210"/>
      <c r="Q251" s="210"/>
      <c r="R251" s="210"/>
      <c r="S251" s="210"/>
      <c r="T251" s="210"/>
      <c r="U251" s="210"/>
      <c r="V251" s="210"/>
      <c r="W251" s="210"/>
      <c r="X251" s="210"/>
      <c r="Y251" s="394"/>
      <c r="Z251" s="210"/>
      <c r="AA251" s="210"/>
      <c r="AB251" s="210"/>
      <c r="AC251" s="210"/>
      <c r="AD251" s="224"/>
      <c r="AE251" s="224"/>
      <c r="AF251" s="224"/>
      <c r="AG251" s="224"/>
      <c r="AH251" s="224"/>
      <c r="AI251" s="224"/>
      <c r="AJ251" s="224"/>
      <c r="AK251" s="224"/>
      <c r="AL251" s="224"/>
      <c r="AM251" s="224"/>
      <c r="AN251" s="224"/>
      <c r="AO251" s="224"/>
      <c r="AP251" s="224"/>
      <c r="AQ251" s="224"/>
      <c r="AR251" s="224"/>
      <c r="AS251" s="224"/>
      <c r="AT251" s="224"/>
      <c r="AU251" s="224"/>
      <c r="AV251" s="224"/>
      <c r="AW251" s="224"/>
      <c r="AX251" s="224"/>
      <c r="AY251" s="224"/>
      <c r="AZ251" s="224"/>
      <c r="BA251" s="224"/>
      <c r="BB251" s="224"/>
      <c r="BC251" s="224"/>
      <c r="BD251" s="224"/>
      <c r="BE251" s="224"/>
      <c r="BF251" s="224"/>
    </row>
    <row r="252" spans="1:58" x14ac:dyDescent="0.3">
      <c r="A252" s="224"/>
      <c r="B252" s="224"/>
      <c r="C252" s="224"/>
      <c r="D252" s="224"/>
      <c r="E252" s="224"/>
      <c r="F252" s="224"/>
      <c r="G252" s="224"/>
      <c r="H252" s="224"/>
      <c r="I252" s="224"/>
      <c r="J252" s="224"/>
      <c r="K252" s="224"/>
      <c r="L252" s="117"/>
      <c r="M252" s="211" t="s">
        <v>924</v>
      </c>
      <c r="N252" s="210"/>
      <c r="O252" s="210"/>
      <c r="P252" s="210"/>
      <c r="Q252" s="210"/>
      <c r="R252" s="210"/>
      <c r="S252" s="210"/>
      <c r="T252" s="210"/>
      <c r="U252" s="210"/>
      <c r="V252" s="210"/>
      <c r="W252" s="210"/>
      <c r="X252" s="210"/>
      <c r="Y252" s="394"/>
      <c r="Z252" s="210"/>
      <c r="AA252" s="210"/>
      <c r="AB252" s="210"/>
      <c r="AC252" s="210"/>
      <c r="AD252" s="224"/>
      <c r="AE252" s="224"/>
      <c r="AF252" s="224"/>
      <c r="AG252" s="224"/>
      <c r="AH252" s="224"/>
      <c r="AI252" s="224"/>
      <c r="AJ252" s="224"/>
      <c r="AK252" s="224"/>
      <c r="AL252" s="224"/>
      <c r="AM252" s="224"/>
      <c r="AN252" s="224"/>
      <c r="AO252" s="224"/>
      <c r="AP252" s="224"/>
      <c r="AQ252" s="224"/>
      <c r="AR252" s="224"/>
      <c r="AS252" s="224"/>
      <c r="AT252" s="224"/>
      <c r="AU252" s="224"/>
      <c r="AV252" s="224"/>
      <c r="AW252" s="224"/>
      <c r="AX252" s="224"/>
      <c r="AY252" s="224"/>
      <c r="AZ252" s="224"/>
      <c r="BA252" s="224"/>
      <c r="BB252" s="224"/>
      <c r="BC252" s="224"/>
      <c r="BD252" s="224"/>
      <c r="BE252" s="224"/>
      <c r="BF252" s="224"/>
    </row>
    <row r="253" spans="1:58" x14ac:dyDescent="0.3">
      <c r="A253" s="224"/>
      <c r="B253" s="224"/>
      <c r="C253" s="224"/>
      <c r="D253" s="224"/>
      <c r="E253" s="224"/>
      <c r="F253" s="224"/>
      <c r="G253" s="224"/>
      <c r="H253" s="224"/>
      <c r="I253" s="224"/>
      <c r="J253" s="224"/>
      <c r="K253" s="224"/>
      <c r="L253" s="117"/>
      <c r="M253" s="211"/>
      <c r="N253" s="210"/>
      <c r="O253" s="210"/>
      <c r="P253" s="210"/>
      <c r="Q253" s="210"/>
      <c r="R253" s="210"/>
      <c r="S253" s="210"/>
      <c r="T253" s="210"/>
      <c r="U253" s="210"/>
      <c r="V253" s="210"/>
      <c r="W253" s="210"/>
      <c r="X253" s="210"/>
      <c r="Y253" s="394"/>
      <c r="Z253" s="495" t="s">
        <v>925</v>
      </c>
      <c r="AA253" s="495"/>
      <c r="AB253" s="210"/>
      <c r="AC253" s="210"/>
      <c r="AD253" s="147">
        <v>0.01</v>
      </c>
      <c r="AE253" s="148">
        <v>1.2E-2</v>
      </c>
      <c r="AF253" s="148">
        <v>1.4999999999999999E-2</v>
      </c>
      <c r="AG253" s="148">
        <f t="shared" ref="AG253:BA253" si="295">AF253</f>
        <v>1.4999999999999999E-2</v>
      </c>
      <c r="AH253" s="148">
        <f t="shared" si="295"/>
        <v>1.4999999999999999E-2</v>
      </c>
      <c r="AI253" s="148">
        <f t="shared" si="295"/>
        <v>1.4999999999999999E-2</v>
      </c>
      <c r="AJ253" s="148">
        <f t="shared" si="295"/>
        <v>1.4999999999999999E-2</v>
      </c>
      <c r="AK253" s="148">
        <f t="shared" si="295"/>
        <v>1.4999999999999999E-2</v>
      </c>
      <c r="AL253" s="148">
        <f t="shared" si="295"/>
        <v>1.4999999999999999E-2</v>
      </c>
      <c r="AM253" s="148">
        <f t="shared" si="295"/>
        <v>1.4999999999999999E-2</v>
      </c>
      <c r="AN253" s="148">
        <f t="shared" si="295"/>
        <v>1.4999999999999999E-2</v>
      </c>
      <c r="AO253" s="148">
        <f t="shared" si="295"/>
        <v>1.4999999999999999E-2</v>
      </c>
      <c r="AP253" s="148">
        <f t="shared" si="295"/>
        <v>1.4999999999999999E-2</v>
      </c>
      <c r="AQ253" s="148">
        <f t="shared" si="295"/>
        <v>1.4999999999999999E-2</v>
      </c>
      <c r="AR253" s="148">
        <f t="shared" si="295"/>
        <v>1.4999999999999999E-2</v>
      </c>
      <c r="AS253" s="148">
        <f t="shared" si="295"/>
        <v>1.4999999999999999E-2</v>
      </c>
      <c r="AT253" s="148">
        <f t="shared" si="295"/>
        <v>1.4999999999999999E-2</v>
      </c>
      <c r="AU253" s="148">
        <f t="shared" si="295"/>
        <v>1.4999999999999999E-2</v>
      </c>
      <c r="AV253" s="148">
        <f t="shared" si="295"/>
        <v>1.4999999999999999E-2</v>
      </c>
      <c r="AW253" s="148">
        <f t="shared" si="295"/>
        <v>1.4999999999999999E-2</v>
      </c>
      <c r="AX253" s="148">
        <f t="shared" si="295"/>
        <v>1.4999999999999999E-2</v>
      </c>
      <c r="AY253" s="148">
        <f t="shared" si="295"/>
        <v>1.4999999999999999E-2</v>
      </c>
      <c r="AZ253" s="148">
        <f t="shared" si="295"/>
        <v>1.4999999999999999E-2</v>
      </c>
      <c r="BA253" s="148">
        <f t="shared" si="295"/>
        <v>1.4999999999999999E-2</v>
      </c>
      <c r="BB253" s="148">
        <v>1.2999999999999999E-2</v>
      </c>
      <c r="BC253" s="148">
        <f>AE253</f>
        <v>1.2E-2</v>
      </c>
      <c r="BD253" s="148">
        <v>1.0999999999999999E-2</v>
      </c>
      <c r="BE253" s="148">
        <v>0.01</v>
      </c>
      <c r="BF253" s="148">
        <f>AD253</f>
        <v>0.01</v>
      </c>
    </row>
    <row r="254" spans="1:58" x14ac:dyDescent="0.3">
      <c r="A254" s="224"/>
      <c r="B254" s="224"/>
      <c r="C254" s="224"/>
      <c r="D254" s="224"/>
      <c r="E254" s="224"/>
      <c r="F254" s="224"/>
      <c r="G254" s="224"/>
      <c r="H254" s="224"/>
      <c r="I254" s="224"/>
      <c r="J254" s="224"/>
      <c r="K254" s="224"/>
      <c r="L254" s="117"/>
      <c r="M254" s="210" t="s">
        <v>926</v>
      </c>
      <c r="N254" s="212" t="s">
        <v>927</v>
      </c>
      <c r="O254" s="145">
        <v>92.31414194200633</v>
      </c>
      <c r="P254" s="145">
        <v>92.523860258273857</v>
      </c>
      <c r="Q254" s="145">
        <v>90.572354265626899</v>
      </c>
      <c r="R254" s="145">
        <v>94.960816549599784</v>
      </c>
      <c r="S254" s="145">
        <v>102.1939681393325</v>
      </c>
      <c r="T254" s="145">
        <v>100</v>
      </c>
      <c r="U254" s="145">
        <v>100.95383172511593</v>
      </c>
      <c r="V254" s="145">
        <v>105.5</v>
      </c>
      <c r="W254" s="145">
        <v>107.9</v>
      </c>
      <c r="X254" s="145">
        <v>108.2</v>
      </c>
      <c r="Y254" s="394"/>
      <c r="Z254" s="220"/>
      <c r="AA254" s="220"/>
      <c r="AB254" s="149">
        <v>102.8</v>
      </c>
      <c r="AC254" s="151">
        <v>119.7</v>
      </c>
      <c r="AD254" s="407">
        <f t="shared" ref="AD254:AD267" si="296">AB254*(1+AD$253)</f>
        <v>103.828</v>
      </c>
      <c r="AE254" s="407">
        <f>AD254*(1+AE$253)</f>
        <v>105.073936</v>
      </c>
      <c r="AF254" s="407">
        <f>AE254*(1+AF$253)</f>
        <v>106.65004503999999</v>
      </c>
      <c r="AG254" s="407">
        <f>AF254*(1+AG$253)</f>
        <v>108.24979571559999</v>
      </c>
      <c r="AH254" s="407">
        <f t="shared" ref="AH254:BF254" si="297">AG254*(1+AH$253)</f>
        <v>109.87354265133398</v>
      </c>
      <c r="AI254" s="407">
        <f t="shared" si="297"/>
        <v>111.52164579110398</v>
      </c>
      <c r="AJ254" s="407">
        <f t="shared" si="297"/>
        <v>113.19447047797053</v>
      </c>
      <c r="AK254" s="407">
        <f t="shared" si="297"/>
        <v>114.89238753514007</v>
      </c>
      <c r="AL254" s="407">
        <f t="shared" si="297"/>
        <v>116.61577334816717</v>
      </c>
      <c r="AM254" s="407">
        <f t="shared" si="297"/>
        <v>118.36500994838967</v>
      </c>
      <c r="AN254" s="407">
        <f t="shared" si="297"/>
        <v>120.1404850976155</v>
      </c>
      <c r="AO254" s="407">
        <f t="shared" si="297"/>
        <v>121.94259237407972</v>
      </c>
      <c r="AP254" s="407">
        <f t="shared" si="297"/>
        <v>123.77173125969091</v>
      </c>
      <c r="AQ254" s="407">
        <f t="shared" si="297"/>
        <v>125.62830722858627</v>
      </c>
      <c r="AR254" s="407">
        <f t="shared" si="297"/>
        <v>127.51273183701505</v>
      </c>
      <c r="AS254" s="407">
        <f t="shared" si="297"/>
        <v>129.42542281457025</v>
      </c>
      <c r="AT254" s="407">
        <f t="shared" si="297"/>
        <v>131.36680415678879</v>
      </c>
      <c r="AU254" s="407">
        <f t="shared" si="297"/>
        <v>133.3373062191406</v>
      </c>
      <c r="AV254" s="407">
        <f t="shared" si="297"/>
        <v>135.33736581242769</v>
      </c>
      <c r="AW254" s="407">
        <f t="shared" si="297"/>
        <v>137.3674262996141</v>
      </c>
      <c r="AX254" s="407">
        <f t="shared" si="297"/>
        <v>139.42793769410829</v>
      </c>
      <c r="AY254" s="407">
        <f t="shared" si="297"/>
        <v>141.51935675951989</v>
      </c>
      <c r="AZ254" s="407">
        <f t="shared" si="297"/>
        <v>143.64214711091267</v>
      </c>
      <c r="BA254" s="407">
        <f t="shared" si="297"/>
        <v>145.79677931757635</v>
      </c>
      <c r="BB254" s="407">
        <f t="shared" si="297"/>
        <v>147.69213744870484</v>
      </c>
      <c r="BC254" s="407">
        <f t="shared" si="297"/>
        <v>149.4644430980893</v>
      </c>
      <c r="BD254" s="407">
        <f t="shared" si="297"/>
        <v>151.10855197216827</v>
      </c>
      <c r="BE254" s="407">
        <f t="shared" si="297"/>
        <v>152.61963749188996</v>
      </c>
      <c r="BF254" s="407">
        <f t="shared" si="297"/>
        <v>154.14583386680886</v>
      </c>
    </row>
    <row r="255" spans="1:58" x14ac:dyDescent="0.3">
      <c r="A255" s="224"/>
      <c r="B255" s="224"/>
      <c r="C255" s="224"/>
      <c r="D255" s="224"/>
      <c r="E255" s="224"/>
      <c r="F255" s="224"/>
      <c r="G255" s="224"/>
      <c r="H255" s="224"/>
      <c r="I255" s="224"/>
      <c r="J255" s="224"/>
      <c r="K255" s="224"/>
      <c r="L255" s="117"/>
      <c r="M255" s="210" t="s">
        <v>928</v>
      </c>
      <c r="N255" s="212" t="s">
        <v>927</v>
      </c>
      <c r="O255" s="145">
        <v>89.141607524370329</v>
      </c>
      <c r="P255" s="145">
        <v>94.163334033721668</v>
      </c>
      <c r="Q255" s="145">
        <v>98.286074485431627</v>
      </c>
      <c r="R255" s="145">
        <v>93.715722213250302</v>
      </c>
      <c r="S255" s="145">
        <v>96.644213721475793</v>
      </c>
      <c r="T255" s="145">
        <v>100</v>
      </c>
      <c r="U255" s="145">
        <v>104.60907622251047</v>
      </c>
      <c r="V255" s="145">
        <v>109.97983923482862</v>
      </c>
      <c r="W255" s="145">
        <v>101.2</v>
      </c>
      <c r="X255" s="145">
        <v>95.2</v>
      </c>
      <c r="Y255" s="394"/>
      <c r="Z255" s="220"/>
      <c r="AA255" s="220"/>
      <c r="AB255" s="149">
        <v>82.6</v>
      </c>
      <c r="AC255" s="151">
        <v>85.8</v>
      </c>
      <c r="AD255" s="407">
        <f t="shared" si="296"/>
        <v>83.426000000000002</v>
      </c>
      <c r="AE255" s="407">
        <f t="shared" ref="AE255:AT267" si="298">AD255*(1+AE$253)</f>
        <v>84.427112000000008</v>
      </c>
      <c r="AF255" s="407">
        <f t="shared" si="298"/>
        <v>85.693518679999997</v>
      </c>
      <c r="AG255" s="407">
        <f t="shared" ref="AG255:BF255" si="299">AF255*(1+AG$253)</f>
        <v>86.978921460199984</v>
      </c>
      <c r="AH255" s="407">
        <f t="shared" si="299"/>
        <v>88.283605282102982</v>
      </c>
      <c r="AI255" s="407">
        <f t="shared" si="299"/>
        <v>89.607859361334519</v>
      </c>
      <c r="AJ255" s="407">
        <f t="shared" si="299"/>
        <v>90.951977251754528</v>
      </c>
      <c r="AK255" s="407">
        <f t="shared" si="299"/>
        <v>92.316256910530839</v>
      </c>
      <c r="AL255" s="407">
        <f t="shared" si="299"/>
        <v>93.701000764188791</v>
      </c>
      <c r="AM255" s="407">
        <f t="shared" si="299"/>
        <v>95.106515775651616</v>
      </c>
      <c r="AN255" s="407">
        <f t="shared" si="299"/>
        <v>96.533113512286377</v>
      </c>
      <c r="AO255" s="407">
        <f t="shared" si="299"/>
        <v>97.98111021497067</v>
      </c>
      <c r="AP255" s="407">
        <f t="shared" si="299"/>
        <v>99.450826868195222</v>
      </c>
      <c r="AQ255" s="407">
        <f t="shared" si="299"/>
        <v>100.94258927121814</v>
      </c>
      <c r="AR255" s="407">
        <f t="shared" si="299"/>
        <v>102.45672811028641</v>
      </c>
      <c r="AS255" s="407">
        <f t="shared" si="299"/>
        <v>103.9935790319407</v>
      </c>
      <c r="AT255" s="407">
        <f t="shared" si="299"/>
        <v>105.5534827174198</v>
      </c>
      <c r="AU255" s="407">
        <f t="shared" si="299"/>
        <v>107.13678495818108</v>
      </c>
      <c r="AV255" s="407">
        <f t="shared" si="299"/>
        <v>108.74383673255379</v>
      </c>
      <c r="AW255" s="407">
        <f t="shared" si="299"/>
        <v>110.37499428354208</v>
      </c>
      <c r="AX255" s="407">
        <f t="shared" si="299"/>
        <v>112.0306191977952</v>
      </c>
      <c r="AY255" s="407">
        <f t="shared" si="299"/>
        <v>113.71107848576212</v>
      </c>
      <c r="AZ255" s="407">
        <f t="shared" si="299"/>
        <v>115.41674466304853</v>
      </c>
      <c r="BA255" s="407">
        <f t="shared" si="299"/>
        <v>117.14799583299425</v>
      </c>
      <c r="BB255" s="407">
        <f t="shared" si="299"/>
        <v>118.67091977882316</v>
      </c>
      <c r="BC255" s="407">
        <f t="shared" si="299"/>
        <v>120.09497081616904</v>
      </c>
      <c r="BD255" s="407">
        <f t="shared" si="299"/>
        <v>121.41601549514688</v>
      </c>
      <c r="BE255" s="407">
        <f t="shared" si="299"/>
        <v>122.63017565009835</v>
      </c>
      <c r="BF255" s="407">
        <f t="shared" si="299"/>
        <v>123.85647740659934</v>
      </c>
    </row>
    <row r="256" spans="1:58" x14ac:dyDescent="0.3">
      <c r="A256" s="224"/>
      <c r="B256" s="224"/>
      <c r="C256" s="224"/>
      <c r="D256" s="224"/>
      <c r="E256" s="224"/>
      <c r="F256" s="224"/>
      <c r="G256" s="224"/>
      <c r="H256" s="224"/>
      <c r="I256" s="224"/>
      <c r="J256" s="224"/>
      <c r="K256" s="224"/>
      <c r="L256" s="117"/>
      <c r="M256" s="210" t="s">
        <v>929</v>
      </c>
      <c r="N256" s="212" t="s">
        <v>927</v>
      </c>
      <c r="O256" s="145">
        <v>66.111864474663435</v>
      </c>
      <c r="P256" s="145">
        <v>76.606713348675257</v>
      </c>
      <c r="Q256" s="145">
        <v>77.048909979541278</v>
      </c>
      <c r="R256" s="145">
        <v>79.552295111604337</v>
      </c>
      <c r="S256" s="145">
        <v>91.146420111934859</v>
      </c>
      <c r="T256" s="145">
        <v>100</v>
      </c>
      <c r="U256" s="145">
        <v>103.0712157035836</v>
      </c>
      <c r="V256" s="145">
        <v>109.6</v>
      </c>
      <c r="W256" s="145">
        <v>114.8</v>
      </c>
      <c r="X256" s="145">
        <v>117.8</v>
      </c>
      <c r="Y256" s="394"/>
      <c r="Z256" s="220"/>
      <c r="AA256" s="220"/>
      <c r="AB256" s="149">
        <v>106.6</v>
      </c>
      <c r="AC256" s="151">
        <v>108.4</v>
      </c>
      <c r="AD256" s="407">
        <f t="shared" si="296"/>
        <v>107.666</v>
      </c>
      <c r="AE256" s="407">
        <f t="shared" si="298"/>
        <v>108.957992</v>
      </c>
      <c r="AF256" s="407">
        <f t="shared" si="298"/>
        <v>110.59236188</v>
      </c>
      <c r="AG256" s="407">
        <f t="shared" ref="AG256:BF256" si="300">AF256*(1+AG$253)</f>
        <v>112.25124730819999</v>
      </c>
      <c r="AH256" s="407">
        <f t="shared" si="300"/>
        <v>113.93501601782299</v>
      </c>
      <c r="AI256" s="407">
        <f t="shared" si="300"/>
        <v>115.64404125809033</v>
      </c>
      <c r="AJ256" s="407">
        <f t="shared" si="300"/>
        <v>117.37870187696167</v>
      </c>
      <c r="AK256" s="407">
        <f t="shared" si="300"/>
        <v>119.13938240511608</v>
      </c>
      <c r="AL256" s="407">
        <f t="shared" si="300"/>
        <v>120.92647314119282</v>
      </c>
      <c r="AM256" s="407">
        <f t="shared" si="300"/>
        <v>122.74037023831069</v>
      </c>
      <c r="AN256" s="407">
        <f t="shared" si="300"/>
        <v>124.58147579188534</v>
      </c>
      <c r="AO256" s="407">
        <f t="shared" si="300"/>
        <v>126.4501979287636</v>
      </c>
      <c r="AP256" s="407">
        <f t="shared" si="300"/>
        <v>128.34695089769505</v>
      </c>
      <c r="AQ256" s="407">
        <f t="shared" si="300"/>
        <v>130.27215516116047</v>
      </c>
      <c r="AR256" s="407">
        <f t="shared" si="300"/>
        <v>132.22623748857785</v>
      </c>
      <c r="AS256" s="407">
        <f t="shared" si="300"/>
        <v>134.20963105090649</v>
      </c>
      <c r="AT256" s="407">
        <f t="shared" si="300"/>
        <v>136.22277551667008</v>
      </c>
      <c r="AU256" s="407">
        <f t="shared" si="300"/>
        <v>138.26611714942013</v>
      </c>
      <c r="AV256" s="407">
        <f t="shared" si="300"/>
        <v>140.34010890666141</v>
      </c>
      <c r="AW256" s="407">
        <f t="shared" si="300"/>
        <v>142.44521054026131</v>
      </c>
      <c r="AX256" s="407">
        <f t="shared" si="300"/>
        <v>144.58188869836522</v>
      </c>
      <c r="AY256" s="407">
        <f t="shared" si="300"/>
        <v>146.75061702884068</v>
      </c>
      <c r="AZ256" s="407">
        <f t="shared" si="300"/>
        <v>148.95187628427328</v>
      </c>
      <c r="BA256" s="407">
        <f t="shared" si="300"/>
        <v>151.18615442853738</v>
      </c>
      <c r="BB256" s="407">
        <f t="shared" si="300"/>
        <v>153.15157443610835</v>
      </c>
      <c r="BC256" s="407">
        <f t="shared" si="300"/>
        <v>154.98939332934165</v>
      </c>
      <c r="BD256" s="407">
        <f t="shared" si="300"/>
        <v>156.69427665596439</v>
      </c>
      <c r="BE256" s="407">
        <f t="shared" si="300"/>
        <v>158.26121942252402</v>
      </c>
      <c r="BF256" s="407">
        <f t="shared" si="300"/>
        <v>159.84383161674927</v>
      </c>
    </row>
    <row r="257" spans="1:58" x14ac:dyDescent="0.3">
      <c r="A257" s="224"/>
      <c r="B257" s="224"/>
      <c r="C257" s="224"/>
      <c r="D257" s="224"/>
      <c r="E257" s="224"/>
      <c r="F257" s="224"/>
      <c r="G257" s="224"/>
      <c r="H257" s="224"/>
      <c r="I257" s="224"/>
      <c r="J257" s="224"/>
      <c r="K257" s="224"/>
      <c r="L257" s="117"/>
      <c r="M257" s="210" t="s">
        <v>930</v>
      </c>
      <c r="N257" s="212" t="s">
        <v>927</v>
      </c>
      <c r="O257" s="145">
        <v>96.085721840296145</v>
      </c>
      <c r="P257" s="145">
        <v>92.260978260869564</v>
      </c>
      <c r="Q257" s="145">
        <v>101.03960396039605</v>
      </c>
      <c r="R257" s="145">
        <v>101.42218934911243</v>
      </c>
      <c r="S257" s="145">
        <v>102.59468033186921</v>
      </c>
      <c r="T257" s="145">
        <v>100</v>
      </c>
      <c r="U257" s="145">
        <v>106.03213780084945</v>
      </c>
      <c r="V257" s="145">
        <v>110.25</v>
      </c>
      <c r="W257" s="145">
        <v>105.5</v>
      </c>
      <c r="X257" s="145">
        <v>103.09242871189775</v>
      </c>
      <c r="Y257" s="394"/>
      <c r="Z257" s="220"/>
      <c r="AA257" s="220"/>
      <c r="AB257" s="149">
        <v>102.92808551992225</v>
      </c>
      <c r="AC257" s="151">
        <v>107.65417638824077</v>
      </c>
      <c r="AD257" s="407">
        <f t="shared" si="296"/>
        <v>103.95736637512147</v>
      </c>
      <c r="AE257" s="407">
        <f t="shared" si="298"/>
        <v>105.20485477162292</v>
      </c>
      <c r="AF257" s="407">
        <f t="shared" si="298"/>
        <v>106.78292759319726</v>
      </c>
      <c r="AG257" s="407">
        <f t="shared" ref="AG257:BF257" si="301">AF257*(1+AG$253)</f>
        <v>108.38467150709521</v>
      </c>
      <c r="AH257" s="407">
        <f t="shared" si="301"/>
        <v>110.01044157970162</v>
      </c>
      <c r="AI257" s="407">
        <f t="shared" si="301"/>
        <v>111.66059820339713</v>
      </c>
      <c r="AJ257" s="407">
        <f t="shared" si="301"/>
        <v>113.33550717644808</v>
      </c>
      <c r="AK257" s="407">
        <f t="shared" si="301"/>
        <v>115.03553978409478</v>
      </c>
      <c r="AL257" s="407">
        <f t="shared" si="301"/>
        <v>116.76107288085619</v>
      </c>
      <c r="AM257" s="407">
        <f t="shared" si="301"/>
        <v>118.51248897406902</v>
      </c>
      <c r="AN257" s="407">
        <f t="shared" si="301"/>
        <v>120.29017630868005</v>
      </c>
      <c r="AO257" s="407">
        <f t="shared" si="301"/>
        <v>122.09452895331023</v>
      </c>
      <c r="AP257" s="407">
        <f t="shared" si="301"/>
        <v>123.92594688760987</v>
      </c>
      <c r="AQ257" s="407">
        <f t="shared" si="301"/>
        <v>125.784836090924</v>
      </c>
      <c r="AR257" s="407">
        <f t="shared" si="301"/>
        <v>127.67160863228786</v>
      </c>
      <c r="AS257" s="407">
        <f t="shared" si="301"/>
        <v>129.58668276177215</v>
      </c>
      <c r="AT257" s="407">
        <f t="shared" si="301"/>
        <v>131.53048300319873</v>
      </c>
      <c r="AU257" s="407">
        <f t="shared" si="301"/>
        <v>133.5034402482467</v>
      </c>
      <c r="AV257" s="407">
        <f t="shared" si="301"/>
        <v>135.50599185197038</v>
      </c>
      <c r="AW257" s="407">
        <f t="shared" si="301"/>
        <v>137.53858172974992</v>
      </c>
      <c r="AX257" s="407">
        <f t="shared" si="301"/>
        <v>139.60166045569616</v>
      </c>
      <c r="AY257" s="407">
        <f t="shared" si="301"/>
        <v>141.69568536253158</v>
      </c>
      <c r="AZ257" s="407">
        <f t="shared" si="301"/>
        <v>143.82112064296953</v>
      </c>
      <c r="BA257" s="407">
        <f t="shared" si="301"/>
        <v>145.97843745261406</v>
      </c>
      <c r="BB257" s="407">
        <f t="shared" si="301"/>
        <v>147.87615713949802</v>
      </c>
      <c r="BC257" s="407">
        <f t="shared" si="301"/>
        <v>149.65067102517199</v>
      </c>
      <c r="BD257" s="407">
        <f t="shared" si="301"/>
        <v>151.29682840644887</v>
      </c>
      <c r="BE257" s="407">
        <f t="shared" si="301"/>
        <v>152.80979669051337</v>
      </c>
      <c r="BF257" s="407">
        <f t="shared" si="301"/>
        <v>154.3378946574185</v>
      </c>
    </row>
    <row r="258" spans="1:58" x14ac:dyDescent="0.3">
      <c r="A258" s="224"/>
      <c r="B258" s="224"/>
      <c r="C258" s="224"/>
      <c r="D258" s="224"/>
      <c r="E258" s="224"/>
      <c r="F258" s="224"/>
      <c r="G258" s="224"/>
      <c r="H258" s="224"/>
      <c r="I258" s="224"/>
      <c r="J258" s="224"/>
      <c r="K258" s="224"/>
      <c r="L258" s="117"/>
      <c r="M258" s="213" t="s">
        <v>931</v>
      </c>
      <c r="N258" s="212" t="s">
        <v>927</v>
      </c>
      <c r="O258" s="145">
        <v>106.57020400498449</v>
      </c>
      <c r="P258" s="145">
        <v>96.902666208151672</v>
      </c>
      <c r="Q258" s="145">
        <v>98.978867415552543</v>
      </c>
      <c r="R258" s="145">
        <v>102.91841071945737</v>
      </c>
      <c r="S258" s="145">
        <v>106.30908601514145</v>
      </c>
      <c r="T258" s="145">
        <v>100</v>
      </c>
      <c r="U258" s="145">
        <v>103</v>
      </c>
      <c r="V258" s="145">
        <v>107.4</v>
      </c>
      <c r="W258" s="145">
        <v>98.2</v>
      </c>
      <c r="X258" s="145">
        <v>89.8</v>
      </c>
      <c r="Y258" s="394"/>
      <c r="Z258" s="221"/>
      <c r="AA258" s="221"/>
      <c r="AB258" s="149">
        <v>101.2</v>
      </c>
      <c r="AC258" s="151">
        <v>99.8</v>
      </c>
      <c r="AD258" s="407">
        <f t="shared" si="296"/>
        <v>102.212</v>
      </c>
      <c r="AE258" s="407">
        <f t="shared" si="298"/>
        <v>103.43854400000001</v>
      </c>
      <c r="AF258" s="407">
        <f t="shared" si="298"/>
        <v>104.99012216</v>
      </c>
      <c r="AG258" s="407">
        <f t="shared" ref="AG258:BF258" si="302">AF258*(1+AG$253)</f>
        <v>106.56497399239998</v>
      </c>
      <c r="AH258" s="407">
        <f t="shared" si="302"/>
        <v>108.16344860228597</v>
      </c>
      <c r="AI258" s="407">
        <f t="shared" si="302"/>
        <v>109.78590033132025</v>
      </c>
      <c r="AJ258" s="407">
        <f t="shared" si="302"/>
        <v>111.43268883629004</v>
      </c>
      <c r="AK258" s="407">
        <f t="shared" si="302"/>
        <v>113.10417916883438</v>
      </c>
      <c r="AL258" s="407">
        <f t="shared" si="302"/>
        <v>114.80074185636688</v>
      </c>
      <c r="AM258" s="407">
        <f t="shared" si="302"/>
        <v>116.52275298421237</v>
      </c>
      <c r="AN258" s="407">
        <f t="shared" si="302"/>
        <v>118.27059427897555</v>
      </c>
      <c r="AO258" s="407">
        <f t="shared" si="302"/>
        <v>120.04465319316017</v>
      </c>
      <c r="AP258" s="407">
        <f t="shared" si="302"/>
        <v>121.84532299105756</v>
      </c>
      <c r="AQ258" s="407">
        <f t="shared" si="302"/>
        <v>123.67300283592341</v>
      </c>
      <c r="AR258" s="407">
        <f t="shared" si="302"/>
        <v>125.52809787846225</v>
      </c>
      <c r="AS258" s="407">
        <f t="shared" si="302"/>
        <v>127.41101934663916</v>
      </c>
      <c r="AT258" s="407">
        <f t="shared" si="302"/>
        <v>129.32218463683873</v>
      </c>
      <c r="AU258" s="407">
        <f t="shared" si="302"/>
        <v>131.26201740639129</v>
      </c>
      <c r="AV258" s="407">
        <f t="shared" si="302"/>
        <v>133.23094766748716</v>
      </c>
      <c r="AW258" s="407">
        <f t="shared" si="302"/>
        <v>135.22941188249945</v>
      </c>
      <c r="AX258" s="407">
        <f t="shared" si="302"/>
        <v>137.25785306073692</v>
      </c>
      <c r="AY258" s="407">
        <f t="shared" si="302"/>
        <v>139.31672085664795</v>
      </c>
      <c r="AZ258" s="407">
        <f t="shared" si="302"/>
        <v>141.40647166949765</v>
      </c>
      <c r="BA258" s="407">
        <f t="shared" si="302"/>
        <v>143.5275687445401</v>
      </c>
      <c r="BB258" s="407">
        <f t="shared" si="302"/>
        <v>145.39342713821912</v>
      </c>
      <c r="BC258" s="407">
        <f t="shared" si="302"/>
        <v>147.13814826387775</v>
      </c>
      <c r="BD258" s="407">
        <f t="shared" si="302"/>
        <v>148.75666789478041</v>
      </c>
      <c r="BE258" s="407">
        <f t="shared" si="302"/>
        <v>150.24423457372822</v>
      </c>
      <c r="BF258" s="407">
        <f t="shared" si="302"/>
        <v>151.7466769194655</v>
      </c>
    </row>
    <row r="259" spans="1:58" x14ac:dyDescent="0.3">
      <c r="A259" s="224"/>
      <c r="B259" s="224"/>
      <c r="C259" s="224"/>
      <c r="D259" s="224"/>
      <c r="E259" s="224"/>
      <c r="F259" s="224"/>
      <c r="G259" s="224"/>
      <c r="H259" s="224"/>
      <c r="I259" s="224"/>
      <c r="J259" s="224"/>
      <c r="K259" s="224"/>
      <c r="L259" s="117"/>
      <c r="M259" s="210" t="s">
        <v>932</v>
      </c>
      <c r="N259" s="212" t="s">
        <v>927</v>
      </c>
      <c r="O259" s="145">
        <v>128.34847298355524</v>
      </c>
      <c r="P259" s="145">
        <v>131.57597551644989</v>
      </c>
      <c r="Q259" s="145">
        <v>117.82784697508896</v>
      </c>
      <c r="R259" s="145">
        <v>116.2106625713032</v>
      </c>
      <c r="S259" s="145">
        <v>102.97892944038929</v>
      </c>
      <c r="T259" s="145">
        <v>100</v>
      </c>
      <c r="U259" s="145">
        <v>107.57531380753139</v>
      </c>
      <c r="V259" s="145">
        <v>98.531955079122</v>
      </c>
      <c r="W259" s="145">
        <v>104.46227722772277</v>
      </c>
      <c r="X259" s="145">
        <v>88.939588100686493</v>
      </c>
      <c r="Y259" s="394"/>
      <c r="Z259" s="220"/>
      <c r="AA259" s="220"/>
      <c r="AB259" s="149">
        <v>97.663543266769082</v>
      </c>
      <c r="AC259" s="151">
        <v>105.85903500473034</v>
      </c>
      <c r="AD259" s="407">
        <f t="shared" si="296"/>
        <v>98.640178699436774</v>
      </c>
      <c r="AE259" s="407">
        <f t="shared" si="298"/>
        <v>99.823860843830019</v>
      </c>
      <c r="AF259" s="407">
        <f t="shared" si="298"/>
        <v>101.32121875648745</v>
      </c>
      <c r="AG259" s="407">
        <f t="shared" ref="AG259:BF259" si="303">AF259*(1+AG$253)</f>
        <v>102.84103703783475</v>
      </c>
      <c r="AH259" s="407">
        <f t="shared" si="303"/>
        <v>104.38365259340226</v>
      </c>
      <c r="AI259" s="407">
        <f t="shared" si="303"/>
        <v>105.94940738230328</v>
      </c>
      <c r="AJ259" s="407">
        <f t="shared" si="303"/>
        <v>107.53864849303781</v>
      </c>
      <c r="AK259" s="407">
        <f t="shared" si="303"/>
        <v>109.15172822043337</v>
      </c>
      <c r="AL259" s="407">
        <f t="shared" si="303"/>
        <v>110.78900414373986</v>
      </c>
      <c r="AM259" s="407">
        <f t="shared" si="303"/>
        <v>112.45083920589595</v>
      </c>
      <c r="AN259" s="407">
        <f t="shared" si="303"/>
        <v>114.13760179398437</v>
      </c>
      <c r="AO259" s="407">
        <f t="shared" si="303"/>
        <v>115.84966582089413</v>
      </c>
      <c r="AP259" s="407">
        <f t="shared" si="303"/>
        <v>117.58741080820754</v>
      </c>
      <c r="AQ259" s="407">
        <f t="shared" si="303"/>
        <v>119.35122197033064</v>
      </c>
      <c r="AR259" s="407">
        <f t="shared" si="303"/>
        <v>121.14149029988559</v>
      </c>
      <c r="AS259" s="407">
        <f t="shared" si="303"/>
        <v>122.95861265438386</v>
      </c>
      <c r="AT259" s="407">
        <f t="shared" si="303"/>
        <v>124.8029918441996</v>
      </c>
      <c r="AU259" s="407">
        <f t="shared" si="303"/>
        <v>126.67503672186258</v>
      </c>
      <c r="AV259" s="407">
        <f t="shared" si="303"/>
        <v>128.57516227269051</v>
      </c>
      <c r="AW259" s="407">
        <f t="shared" si="303"/>
        <v>130.50378970678085</v>
      </c>
      <c r="AX259" s="407">
        <f t="shared" si="303"/>
        <v>132.46134655238254</v>
      </c>
      <c r="AY259" s="407">
        <f t="shared" si="303"/>
        <v>134.44826675066827</v>
      </c>
      <c r="AZ259" s="407">
        <f t="shared" si="303"/>
        <v>136.46499075192827</v>
      </c>
      <c r="BA259" s="407">
        <f t="shared" si="303"/>
        <v>138.51196561320717</v>
      </c>
      <c r="BB259" s="407">
        <f t="shared" si="303"/>
        <v>140.31262116617884</v>
      </c>
      <c r="BC259" s="407">
        <f t="shared" si="303"/>
        <v>141.99637262017299</v>
      </c>
      <c r="BD259" s="407">
        <f t="shared" si="303"/>
        <v>143.55833271899488</v>
      </c>
      <c r="BE259" s="407">
        <f t="shared" si="303"/>
        <v>144.99391604618484</v>
      </c>
      <c r="BF259" s="407">
        <f t="shared" si="303"/>
        <v>146.44385520664667</v>
      </c>
    </row>
    <row r="260" spans="1:58" x14ac:dyDescent="0.3">
      <c r="A260" s="224"/>
      <c r="B260" s="224"/>
      <c r="C260" s="224"/>
      <c r="D260" s="224"/>
      <c r="E260" s="224"/>
      <c r="F260" s="224"/>
      <c r="G260" s="224"/>
      <c r="H260" s="224"/>
      <c r="I260" s="224"/>
      <c r="J260" s="224"/>
      <c r="K260" s="224"/>
      <c r="L260" s="117"/>
      <c r="M260" s="210" t="s">
        <v>933</v>
      </c>
      <c r="N260" s="212" t="s">
        <v>927</v>
      </c>
      <c r="O260" s="145">
        <v>78.3</v>
      </c>
      <c r="P260" s="145">
        <v>88.3</v>
      </c>
      <c r="Q260" s="145">
        <v>90.5</v>
      </c>
      <c r="R260" s="145">
        <v>90.8</v>
      </c>
      <c r="S260" s="145">
        <v>96.1</v>
      </c>
      <c r="T260" s="145">
        <v>100</v>
      </c>
      <c r="U260" s="145">
        <v>113.7</v>
      </c>
      <c r="V260" s="145">
        <v>131.5</v>
      </c>
      <c r="W260" s="145">
        <v>127.4</v>
      </c>
      <c r="X260" s="145">
        <v>120.8</v>
      </c>
      <c r="Y260" s="394"/>
      <c r="Z260" s="220"/>
      <c r="AA260" s="220"/>
      <c r="AB260" s="149">
        <v>110.7</v>
      </c>
      <c r="AC260" s="151">
        <v>122.7</v>
      </c>
      <c r="AD260" s="407">
        <f t="shared" si="296"/>
        <v>111.807</v>
      </c>
      <c r="AE260" s="407">
        <f t="shared" si="298"/>
        <v>113.148684</v>
      </c>
      <c r="AF260" s="407">
        <f t="shared" si="298"/>
        <v>114.84591425999999</v>
      </c>
      <c r="AG260" s="407">
        <f t="shared" ref="AG260:BF260" si="304">AF260*(1+AG$253)</f>
        <v>116.56860297389997</v>
      </c>
      <c r="AH260" s="407">
        <f t="shared" si="304"/>
        <v>118.31713201850846</v>
      </c>
      <c r="AI260" s="407">
        <f t="shared" si="304"/>
        <v>120.09188899878608</v>
      </c>
      <c r="AJ260" s="407">
        <f t="shared" si="304"/>
        <v>121.89326733376785</v>
      </c>
      <c r="AK260" s="407">
        <f t="shared" si="304"/>
        <v>123.72166634377436</v>
      </c>
      <c r="AL260" s="407">
        <f t="shared" si="304"/>
        <v>125.57749133893097</v>
      </c>
      <c r="AM260" s="407">
        <f t="shared" si="304"/>
        <v>127.46115370901492</v>
      </c>
      <c r="AN260" s="407">
        <f t="shared" si="304"/>
        <v>129.37307101465012</v>
      </c>
      <c r="AO260" s="407">
        <f t="shared" si="304"/>
        <v>131.31366707986987</v>
      </c>
      <c r="AP260" s="407">
        <f t="shared" si="304"/>
        <v>133.28337208606791</v>
      </c>
      <c r="AQ260" s="407">
        <f t="shared" si="304"/>
        <v>135.28262266735891</v>
      </c>
      <c r="AR260" s="407">
        <f t="shared" si="304"/>
        <v>137.31186200736929</v>
      </c>
      <c r="AS260" s="407">
        <f t="shared" si="304"/>
        <v>139.37153993747981</v>
      </c>
      <c r="AT260" s="407">
        <f t="shared" si="304"/>
        <v>141.46211303654201</v>
      </c>
      <c r="AU260" s="407">
        <f t="shared" si="304"/>
        <v>143.58404473209012</v>
      </c>
      <c r="AV260" s="407">
        <f t="shared" si="304"/>
        <v>145.73780540307146</v>
      </c>
      <c r="AW260" s="407">
        <f t="shared" si="304"/>
        <v>147.92387248411751</v>
      </c>
      <c r="AX260" s="407">
        <f t="shared" si="304"/>
        <v>150.14273057137925</v>
      </c>
      <c r="AY260" s="407">
        <f t="shared" si="304"/>
        <v>152.39487152994991</v>
      </c>
      <c r="AZ260" s="407">
        <f t="shared" si="304"/>
        <v>154.68079460289914</v>
      </c>
      <c r="BA260" s="407">
        <f t="shared" si="304"/>
        <v>157.0010065219426</v>
      </c>
      <c r="BB260" s="407">
        <f t="shared" si="304"/>
        <v>159.04201960672785</v>
      </c>
      <c r="BC260" s="407">
        <f t="shared" si="304"/>
        <v>160.95052384200858</v>
      </c>
      <c r="BD260" s="407">
        <f t="shared" si="304"/>
        <v>162.72097960427067</v>
      </c>
      <c r="BE260" s="407">
        <f t="shared" si="304"/>
        <v>164.34818940031337</v>
      </c>
      <c r="BF260" s="407">
        <f t="shared" si="304"/>
        <v>165.99167129431652</v>
      </c>
    </row>
    <row r="261" spans="1:58" x14ac:dyDescent="0.3">
      <c r="A261" s="224"/>
      <c r="B261" s="224"/>
      <c r="C261" s="224"/>
      <c r="D261" s="224"/>
      <c r="E261" s="224"/>
      <c r="F261" s="224"/>
      <c r="G261" s="224"/>
      <c r="H261" s="224"/>
      <c r="I261" s="224"/>
      <c r="J261" s="224"/>
      <c r="K261" s="224"/>
      <c r="L261" s="117"/>
      <c r="M261" s="210" t="s">
        <v>934</v>
      </c>
      <c r="N261" s="212" t="s">
        <v>927</v>
      </c>
      <c r="O261" s="145">
        <v>93.3</v>
      </c>
      <c r="P261" s="145">
        <v>85.2</v>
      </c>
      <c r="Q261" s="145">
        <v>68.099999999999994</v>
      </c>
      <c r="R261" s="145">
        <v>85.7</v>
      </c>
      <c r="S261" s="145">
        <v>111</v>
      </c>
      <c r="T261" s="145">
        <v>100</v>
      </c>
      <c r="U261" s="145">
        <v>120.6</v>
      </c>
      <c r="V261" s="145">
        <v>199.7</v>
      </c>
      <c r="W261" s="145">
        <v>211</v>
      </c>
      <c r="X261" s="145">
        <v>257.89999999999998</v>
      </c>
      <c r="Y261" s="394"/>
      <c r="Z261" s="220"/>
      <c r="AA261" s="220"/>
      <c r="AB261" s="149">
        <v>305.2</v>
      </c>
      <c r="AC261" s="151">
        <v>361.7</v>
      </c>
      <c r="AD261" s="407">
        <f t="shared" si="296"/>
        <v>308.25200000000001</v>
      </c>
      <c r="AE261" s="407">
        <f t="shared" si="298"/>
        <v>311.95102400000002</v>
      </c>
      <c r="AF261" s="407">
        <f t="shared" si="298"/>
        <v>316.63028936000001</v>
      </c>
      <c r="AG261" s="407">
        <f t="shared" ref="AG261:BF261" si="305">AF261*(1+AG$253)</f>
        <v>321.37974370039996</v>
      </c>
      <c r="AH261" s="407">
        <f t="shared" si="305"/>
        <v>326.20043985590593</v>
      </c>
      <c r="AI261" s="407">
        <f t="shared" si="305"/>
        <v>331.09344645374449</v>
      </c>
      <c r="AJ261" s="407">
        <f t="shared" si="305"/>
        <v>336.05984815055064</v>
      </c>
      <c r="AK261" s="407">
        <f t="shared" si="305"/>
        <v>341.10074587280889</v>
      </c>
      <c r="AL261" s="407">
        <f t="shared" si="305"/>
        <v>346.21725706090098</v>
      </c>
      <c r="AM261" s="407">
        <f t="shared" si="305"/>
        <v>351.41051591681446</v>
      </c>
      <c r="AN261" s="407">
        <f t="shared" si="305"/>
        <v>356.68167365556667</v>
      </c>
      <c r="AO261" s="407">
        <f t="shared" si="305"/>
        <v>362.03189876040011</v>
      </c>
      <c r="AP261" s="407">
        <f t="shared" si="305"/>
        <v>367.46237724180605</v>
      </c>
      <c r="AQ261" s="407">
        <f t="shared" si="305"/>
        <v>372.97431290043312</v>
      </c>
      <c r="AR261" s="407">
        <f t="shared" si="305"/>
        <v>378.56892759393958</v>
      </c>
      <c r="AS261" s="407">
        <f t="shared" si="305"/>
        <v>384.24746150784864</v>
      </c>
      <c r="AT261" s="407">
        <f t="shared" si="305"/>
        <v>390.01117343046633</v>
      </c>
      <c r="AU261" s="407">
        <f t="shared" si="305"/>
        <v>395.8613410319233</v>
      </c>
      <c r="AV261" s="407">
        <f t="shared" si="305"/>
        <v>401.79926114740209</v>
      </c>
      <c r="AW261" s="407">
        <f t="shared" si="305"/>
        <v>407.82625006461308</v>
      </c>
      <c r="AX261" s="407">
        <f t="shared" si="305"/>
        <v>413.94364381558222</v>
      </c>
      <c r="AY261" s="407">
        <f t="shared" si="305"/>
        <v>420.1527984728159</v>
      </c>
      <c r="AZ261" s="407">
        <f t="shared" si="305"/>
        <v>426.45509044990808</v>
      </c>
      <c r="BA261" s="407">
        <f t="shared" si="305"/>
        <v>432.85191680665667</v>
      </c>
      <c r="BB261" s="407">
        <f t="shared" si="305"/>
        <v>438.47899172514315</v>
      </c>
      <c r="BC261" s="407">
        <f t="shared" si="305"/>
        <v>443.74073962584487</v>
      </c>
      <c r="BD261" s="407">
        <f t="shared" si="305"/>
        <v>448.62188776172911</v>
      </c>
      <c r="BE261" s="407">
        <f t="shared" si="305"/>
        <v>453.10810663934643</v>
      </c>
      <c r="BF261" s="407">
        <f t="shared" si="305"/>
        <v>457.63918770573991</v>
      </c>
    </row>
    <row r="262" spans="1:58" x14ac:dyDescent="0.3">
      <c r="A262" s="224"/>
      <c r="B262" s="224"/>
      <c r="C262" s="224"/>
      <c r="D262" s="224"/>
      <c r="E262" s="224"/>
      <c r="F262" s="224"/>
      <c r="G262" s="224"/>
      <c r="H262" s="224"/>
      <c r="I262" s="224"/>
      <c r="J262" s="224"/>
      <c r="K262" s="224"/>
      <c r="L262" s="117"/>
      <c r="M262" s="210" t="s">
        <v>935</v>
      </c>
      <c r="N262" s="212" t="s">
        <v>927</v>
      </c>
      <c r="O262" s="145">
        <v>90.541102123356922</v>
      </c>
      <c r="P262" s="145">
        <v>119.71940298507462</v>
      </c>
      <c r="Q262" s="145">
        <v>126.05607168983177</v>
      </c>
      <c r="R262" s="145">
        <v>130.26748509294984</v>
      </c>
      <c r="S262" s="145">
        <v>133.30991983967934</v>
      </c>
      <c r="T262" s="145">
        <v>133.33333333333334</v>
      </c>
      <c r="U262" s="145">
        <v>148.68737190082646</v>
      </c>
      <c r="V262" s="145">
        <v>161.23910614525138</v>
      </c>
      <c r="W262" s="145">
        <v>163.82884673291179</v>
      </c>
      <c r="X262" s="145">
        <v>161.89397944199709</v>
      </c>
      <c r="Y262" s="394"/>
      <c r="Z262" s="220"/>
      <c r="AA262" s="220"/>
      <c r="AB262" s="149">
        <v>156.66734059097976</v>
      </c>
      <c r="AC262" s="151">
        <v>190.87233283803863</v>
      </c>
      <c r="AD262" s="407">
        <f t="shared" si="296"/>
        <v>158.23401399688956</v>
      </c>
      <c r="AE262" s="407">
        <f t="shared" si="298"/>
        <v>160.13282216485223</v>
      </c>
      <c r="AF262" s="407">
        <f t="shared" si="298"/>
        <v>162.53481449732499</v>
      </c>
      <c r="AG262" s="407">
        <f t="shared" ref="AG262:BF262" si="306">AF262*(1+AG$253)</f>
        <v>164.97283671478485</v>
      </c>
      <c r="AH262" s="407">
        <f t="shared" si="306"/>
        <v>167.4474292655066</v>
      </c>
      <c r="AI262" s="407">
        <f t="shared" si="306"/>
        <v>169.95914070448919</v>
      </c>
      <c r="AJ262" s="407">
        <f t="shared" si="306"/>
        <v>172.50852781505651</v>
      </c>
      <c r="AK262" s="407">
        <f t="shared" si="306"/>
        <v>175.09615573228234</v>
      </c>
      <c r="AL262" s="407">
        <f t="shared" si="306"/>
        <v>177.72259806826656</v>
      </c>
      <c r="AM262" s="407">
        <f t="shared" si="306"/>
        <v>180.38843703929055</v>
      </c>
      <c r="AN262" s="407">
        <f t="shared" si="306"/>
        <v>183.09426359487989</v>
      </c>
      <c r="AO262" s="407">
        <f t="shared" si="306"/>
        <v>185.84067754880306</v>
      </c>
      <c r="AP262" s="407">
        <f t="shared" si="306"/>
        <v>188.62828771203507</v>
      </c>
      <c r="AQ262" s="407">
        <f t="shared" si="306"/>
        <v>191.45771202771559</v>
      </c>
      <c r="AR262" s="407">
        <f t="shared" si="306"/>
        <v>194.3295777081313</v>
      </c>
      <c r="AS262" s="407">
        <f t="shared" si="306"/>
        <v>197.24452137375326</v>
      </c>
      <c r="AT262" s="407">
        <f t="shared" si="306"/>
        <v>200.20318919435954</v>
      </c>
      <c r="AU262" s="407">
        <f t="shared" si="306"/>
        <v>203.20623703227491</v>
      </c>
      <c r="AV262" s="407">
        <f t="shared" si="306"/>
        <v>206.25433058775903</v>
      </c>
      <c r="AW262" s="407">
        <f t="shared" si="306"/>
        <v>209.34814554657538</v>
      </c>
      <c r="AX262" s="407">
        <f t="shared" si="306"/>
        <v>212.48836772977398</v>
      </c>
      <c r="AY262" s="407">
        <f t="shared" si="306"/>
        <v>215.67569324572057</v>
      </c>
      <c r="AZ262" s="407">
        <f t="shared" si="306"/>
        <v>218.91082864440637</v>
      </c>
      <c r="BA262" s="407">
        <f t="shared" si="306"/>
        <v>222.19449107407243</v>
      </c>
      <c r="BB262" s="407">
        <f t="shared" si="306"/>
        <v>225.08301945803535</v>
      </c>
      <c r="BC262" s="407">
        <f t="shared" si="306"/>
        <v>227.78401569153178</v>
      </c>
      <c r="BD262" s="407">
        <f t="shared" si="306"/>
        <v>230.28963986413859</v>
      </c>
      <c r="BE262" s="407">
        <f t="shared" si="306"/>
        <v>232.59253626277999</v>
      </c>
      <c r="BF262" s="407">
        <f t="shared" si="306"/>
        <v>234.91846162540779</v>
      </c>
    </row>
    <row r="263" spans="1:58" x14ac:dyDescent="0.3">
      <c r="A263" s="224"/>
      <c r="B263" s="224"/>
      <c r="C263" s="224"/>
      <c r="D263" s="224"/>
      <c r="E263" s="224"/>
      <c r="F263" s="224"/>
      <c r="G263" s="224"/>
      <c r="H263" s="224"/>
      <c r="I263" s="224"/>
      <c r="J263" s="224"/>
      <c r="K263" s="224"/>
      <c r="L263" s="117"/>
      <c r="M263" s="213" t="s">
        <v>936</v>
      </c>
      <c r="N263" s="212" t="s">
        <v>927</v>
      </c>
      <c r="O263" s="145">
        <v>78.3</v>
      </c>
      <c r="P263" s="145">
        <v>87.3</v>
      </c>
      <c r="Q263" s="145">
        <v>92</v>
      </c>
      <c r="R263" s="145">
        <v>96</v>
      </c>
      <c r="S263" s="145">
        <v>98.7</v>
      </c>
      <c r="T263" s="145">
        <v>100</v>
      </c>
      <c r="U263" s="145">
        <v>104.8</v>
      </c>
      <c r="V263" s="145">
        <v>118.7</v>
      </c>
      <c r="W263" s="145">
        <v>127.5</v>
      </c>
      <c r="X263" s="145">
        <v>140.1</v>
      </c>
      <c r="Y263" s="394"/>
      <c r="Z263" s="221"/>
      <c r="AA263" s="221"/>
      <c r="AB263" s="149">
        <v>126.3</v>
      </c>
      <c r="AC263" s="151">
        <v>144.80000000000001</v>
      </c>
      <c r="AD263" s="407">
        <f t="shared" si="296"/>
        <v>127.563</v>
      </c>
      <c r="AE263" s="407">
        <f t="shared" si="298"/>
        <v>129.09375600000001</v>
      </c>
      <c r="AF263" s="407">
        <f t="shared" si="298"/>
        <v>131.03016234</v>
      </c>
      <c r="AG263" s="407">
        <f t="shared" ref="AG263:BF263" si="307">AF263*(1+AG$253)</f>
        <v>132.99561477509999</v>
      </c>
      <c r="AH263" s="407">
        <f t="shared" si="307"/>
        <v>134.99054899672649</v>
      </c>
      <c r="AI263" s="407">
        <f t="shared" si="307"/>
        <v>137.01540723167739</v>
      </c>
      <c r="AJ263" s="407">
        <f t="shared" si="307"/>
        <v>139.07063834015253</v>
      </c>
      <c r="AK263" s="407">
        <f t="shared" si="307"/>
        <v>141.1566979152548</v>
      </c>
      <c r="AL263" s="407">
        <f t="shared" si="307"/>
        <v>143.2740483839836</v>
      </c>
      <c r="AM263" s="407">
        <f t="shared" si="307"/>
        <v>145.42315910974332</v>
      </c>
      <c r="AN263" s="407">
        <f t="shared" si="307"/>
        <v>147.60450649638946</v>
      </c>
      <c r="AO263" s="407">
        <f t="shared" si="307"/>
        <v>149.81857409383528</v>
      </c>
      <c r="AP263" s="407">
        <f t="shared" si="307"/>
        <v>152.0658527052428</v>
      </c>
      <c r="AQ263" s="407">
        <f t="shared" si="307"/>
        <v>154.34684049582143</v>
      </c>
      <c r="AR263" s="407">
        <f t="shared" si="307"/>
        <v>156.66204310325872</v>
      </c>
      <c r="AS263" s="407">
        <f t="shared" si="307"/>
        <v>159.01197374980759</v>
      </c>
      <c r="AT263" s="407">
        <f t="shared" si="307"/>
        <v>161.3971533560547</v>
      </c>
      <c r="AU263" s="407">
        <f t="shared" si="307"/>
        <v>163.8181106563955</v>
      </c>
      <c r="AV263" s="407">
        <f t="shared" si="307"/>
        <v>166.27538231624143</v>
      </c>
      <c r="AW263" s="407">
        <f t="shared" si="307"/>
        <v>168.76951305098504</v>
      </c>
      <c r="AX263" s="407">
        <f t="shared" si="307"/>
        <v>171.3010557467498</v>
      </c>
      <c r="AY263" s="407">
        <f t="shared" si="307"/>
        <v>173.87057158295102</v>
      </c>
      <c r="AZ263" s="407">
        <f t="shared" si="307"/>
        <v>176.47863015669526</v>
      </c>
      <c r="BA263" s="407">
        <f t="shared" si="307"/>
        <v>179.12580960904566</v>
      </c>
      <c r="BB263" s="407">
        <f t="shared" si="307"/>
        <v>181.45444513396325</v>
      </c>
      <c r="BC263" s="407">
        <f t="shared" si="307"/>
        <v>183.63189847557081</v>
      </c>
      <c r="BD263" s="407">
        <f t="shared" si="307"/>
        <v>185.65184935880208</v>
      </c>
      <c r="BE263" s="407">
        <f t="shared" si="307"/>
        <v>187.50836785239011</v>
      </c>
      <c r="BF263" s="407">
        <f t="shared" si="307"/>
        <v>189.38345153091402</v>
      </c>
    </row>
    <row r="264" spans="1:58" x14ac:dyDescent="0.3">
      <c r="A264" s="224"/>
      <c r="B264" s="224"/>
      <c r="C264" s="224"/>
      <c r="D264" s="224"/>
      <c r="E264" s="224"/>
      <c r="F264" s="224"/>
      <c r="G264" s="224"/>
      <c r="H264" s="224"/>
      <c r="I264" s="224"/>
      <c r="J264" s="224"/>
      <c r="K264" s="224"/>
      <c r="L264" s="117"/>
      <c r="M264" s="210" t="s">
        <v>937</v>
      </c>
      <c r="N264" s="212" t="s">
        <v>927</v>
      </c>
      <c r="O264" s="145">
        <v>82.269478908188589</v>
      </c>
      <c r="P264" s="145">
        <v>88.75555555555556</v>
      </c>
      <c r="Q264" s="145">
        <v>90.580552486187855</v>
      </c>
      <c r="R264" s="145">
        <v>94.63234515616729</v>
      </c>
      <c r="S264" s="145">
        <v>93.955632674853177</v>
      </c>
      <c r="T264" s="145">
        <v>100</v>
      </c>
      <c r="U264" s="145">
        <v>104.82259913999044</v>
      </c>
      <c r="V264" s="145">
        <v>103.21808046534173</v>
      </c>
      <c r="W264" s="145">
        <v>117.47462622810767</v>
      </c>
      <c r="X264" s="145">
        <v>112.16443135478025</v>
      </c>
      <c r="Y264" s="394"/>
      <c r="Z264" s="220"/>
      <c r="AA264" s="220"/>
      <c r="AB264" s="149">
        <v>115.28256227758007</v>
      </c>
      <c r="AC264" s="151">
        <v>102.11678115799803</v>
      </c>
      <c r="AD264" s="407">
        <f t="shared" si="296"/>
        <v>116.43538790035588</v>
      </c>
      <c r="AE264" s="407">
        <f t="shared" si="298"/>
        <v>117.83261255516015</v>
      </c>
      <c r="AF264" s="407">
        <f t="shared" si="298"/>
        <v>119.60010174348754</v>
      </c>
      <c r="AG264" s="407">
        <f t="shared" ref="AG264:BF264" si="308">AF264*(1+AG$253)</f>
        <v>121.39410326963984</v>
      </c>
      <c r="AH264" s="407">
        <f t="shared" si="308"/>
        <v>123.21501481868442</v>
      </c>
      <c r="AI264" s="407">
        <f t="shared" si="308"/>
        <v>125.06324004096467</v>
      </c>
      <c r="AJ264" s="407">
        <f t="shared" si="308"/>
        <v>126.93918864157914</v>
      </c>
      <c r="AK264" s="407">
        <f t="shared" si="308"/>
        <v>128.84327647120281</v>
      </c>
      <c r="AL264" s="407">
        <f t="shared" si="308"/>
        <v>130.77592561827083</v>
      </c>
      <c r="AM264" s="407">
        <f t="shared" si="308"/>
        <v>132.73756450254487</v>
      </c>
      <c r="AN264" s="407">
        <f t="shared" si="308"/>
        <v>134.72862797008304</v>
      </c>
      <c r="AO264" s="407">
        <f t="shared" si="308"/>
        <v>136.74955738963428</v>
      </c>
      <c r="AP264" s="407">
        <f t="shared" si="308"/>
        <v>138.80080075047877</v>
      </c>
      <c r="AQ264" s="407">
        <f t="shared" si="308"/>
        <v>140.88281276173595</v>
      </c>
      <c r="AR264" s="407">
        <f t="shared" si="308"/>
        <v>142.99605495316197</v>
      </c>
      <c r="AS264" s="407">
        <f t="shared" si="308"/>
        <v>145.14099577745938</v>
      </c>
      <c r="AT264" s="407">
        <f t="shared" si="308"/>
        <v>147.31811071412125</v>
      </c>
      <c r="AU264" s="407">
        <f t="shared" si="308"/>
        <v>149.52788237483304</v>
      </c>
      <c r="AV264" s="407">
        <f t="shared" si="308"/>
        <v>151.77080061045552</v>
      </c>
      <c r="AW264" s="407">
        <f t="shared" si="308"/>
        <v>154.04736261961233</v>
      </c>
      <c r="AX264" s="407">
        <f t="shared" si="308"/>
        <v>156.35807305890651</v>
      </c>
      <c r="AY264" s="407">
        <f t="shared" si="308"/>
        <v>158.70344415479011</v>
      </c>
      <c r="AZ264" s="407">
        <f t="shared" si="308"/>
        <v>161.08399581711194</v>
      </c>
      <c r="BA264" s="407">
        <f t="shared" si="308"/>
        <v>163.5002557543686</v>
      </c>
      <c r="BB264" s="407">
        <f t="shared" si="308"/>
        <v>165.62575907917537</v>
      </c>
      <c r="BC264" s="407">
        <f t="shared" si="308"/>
        <v>167.61326818812546</v>
      </c>
      <c r="BD264" s="407">
        <f t="shared" si="308"/>
        <v>169.45701413819484</v>
      </c>
      <c r="BE264" s="407">
        <f t="shared" si="308"/>
        <v>171.15158427957678</v>
      </c>
      <c r="BF264" s="407">
        <f t="shared" si="308"/>
        <v>172.86310012237254</v>
      </c>
    </row>
    <row r="265" spans="1:58" x14ac:dyDescent="0.3">
      <c r="A265" s="224"/>
      <c r="B265" s="224"/>
      <c r="C265" s="224"/>
      <c r="D265" s="224"/>
      <c r="E265" s="224"/>
      <c r="F265" s="224"/>
      <c r="G265" s="224"/>
      <c r="H265" s="224"/>
      <c r="I265" s="224"/>
      <c r="J265" s="224"/>
      <c r="K265" s="224"/>
      <c r="L265" s="117"/>
      <c r="M265" s="210" t="s">
        <v>938</v>
      </c>
      <c r="N265" s="212" t="s">
        <v>927</v>
      </c>
      <c r="O265" s="145">
        <v>83.168934426229512</v>
      </c>
      <c r="P265" s="145">
        <v>95.480707395498385</v>
      </c>
      <c r="Q265" s="145">
        <v>99.050528829750945</v>
      </c>
      <c r="R265" s="145">
        <v>99.346257585974371</v>
      </c>
      <c r="S265" s="145">
        <v>103.43924050632911</v>
      </c>
      <c r="T265" s="145">
        <v>100</v>
      </c>
      <c r="U265" s="145">
        <v>104.96916719643991</v>
      </c>
      <c r="V265" s="145">
        <v>111.65758661887693</v>
      </c>
      <c r="W265" s="145">
        <v>129.74046814044215</v>
      </c>
      <c r="X265" s="145">
        <v>142.30825381679392</v>
      </c>
      <c r="Y265" s="394"/>
      <c r="Z265" s="220"/>
      <c r="AA265" s="220"/>
      <c r="AB265" s="149">
        <v>117.80198187995468</v>
      </c>
      <c r="AC265" s="151">
        <v>128.25204431548406</v>
      </c>
      <c r="AD265" s="407">
        <f t="shared" si="296"/>
        <v>118.98000169875422</v>
      </c>
      <c r="AE265" s="407">
        <f t="shared" si="298"/>
        <v>120.40776171913927</v>
      </c>
      <c r="AF265" s="407">
        <f t="shared" si="298"/>
        <v>122.21387814492635</v>
      </c>
      <c r="AG265" s="407">
        <f t="shared" ref="AG265:BF265" si="309">AF265*(1+AG$253)</f>
        <v>124.04708631710024</v>
      </c>
      <c r="AH265" s="407">
        <f t="shared" si="309"/>
        <v>125.90779261185673</v>
      </c>
      <c r="AI265" s="407">
        <f t="shared" si="309"/>
        <v>127.79640950103457</v>
      </c>
      <c r="AJ265" s="407">
        <f t="shared" si="309"/>
        <v>129.71335564355007</v>
      </c>
      <c r="AK265" s="407">
        <f t="shared" si="309"/>
        <v>131.6590559782033</v>
      </c>
      <c r="AL265" s="407">
        <f t="shared" si="309"/>
        <v>133.63394181787635</v>
      </c>
      <c r="AM265" s="407">
        <f t="shared" si="309"/>
        <v>135.63845094514448</v>
      </c>
      <c r="AN265" s="407">
        <f t="shared" si="309"/>
        <v>137.67302770932164</v>
      </c>
      <c r="AO265" s="407">
        <f t="shared" si="309"/>
        <v>139.73812312496145</v>
      </c>
      <c r="AP265" s="407">
        <f t="shared" si="309"/>
        <v>141.83419497183584</v>
      </c>
      <c r="AQ265" s="407">
        <f t="shared" si="309"/>
        <v>143.96170789641337</v>
      </c>
      <c r="AR265" s="407">
        <f t="shared" si="309"/>
        <v>146.12113351485957</v>
      </c>
      <c r="AS265" s="407">
        <f t="shared" si="309"/>
        <v>148.31295051758244</v>
      </c>
      <c r="AT265" s="407">
        <f t="shared" si="309"/>
        <v>150.53764477534617</v>
      </c>
      <c r="AU265" s="407">
        <f t="shared" si="309"/>
        <v>152.79570944697633</v>
      </c>
      <c r="AV265" s="407">
        <f t="shared" si="309"/>
        <v>155.08764508868097</v>
      </c>
      <c r="AW265" s="407">
        <f t="shared" si="309"/>
        <v>157.41395976501119</v>
      </c>
      <c r="AX265" s="407">
        <f t="shared" si="309"/>
        <v>159.77516916148633</v>
      </c>
      <c r="AY265" s="407">
        <f t="shared" si="309"/>
        <v>162.17179669890862</v>
      </c>
      <c r="AZ265" s="407">
        <f t="shared" si="309"/>
        <v>164.60437364939224</v>
      </c>
      <c r="BA265" s="407">
        <f t="shared" si="309"/>
        <v>167.07343925413312</v>
      </c>
      <c r="BB265" s="407">
        <f t="shared" si="309"/>
        <v>169.24539396443683</v>
      </c>
      <c r="BC265" s="407">
        <f t="shared" si="309"/>
        <v>171.27633869201009</v>
      </c>
      <c r="BD265" s="407">
        <f t="shared" si="309"/>
        <v>173.16037841762218</v>
      </c>
      <c r="BE265" s="407">
        <f t="shared" si="309"/>
        <v>174.89198220179841</v>
      </c>
      <c r="BF265" s="407">
        <f t="shared" si="309"/>
        <v>176.64090202381641</v>
      </c>
    </row>
    <row r="266" spans="1:58" x14ac:dyDescent="0.3">
      <c r="A266" s="224"/>
      <c r="B266" s="224"/>
      <c r="C266" s="224"/>
      <c r="D266" s="224"/>
      <c r="E266" s="224"/>
      <c r="F266" s="224"/>
      <c r="G266" s="224"/>
      <c r="H266" s="224"/>
      <c r="I266" s="224"/>
      <c r="J266" s="224"/>
      <c r="K266" s="224"/>
      <c r="L266" s="117"/>
      <c r="M266" s="213" t="s">
        <v>939</v>
      </c>
      <c r="N266" s="212" t="s">
        <v>927</v>
      </c>
      <c r="O266" s="145">
        <v>95.9</v>
      </c>
      <c r="P266" s="145">
        <v>111.6</v>
      </c>
      <c r="Q266" s="145">
        <v>112.5</v>
      </c>
      <c r="R266" s="145">
        <v>107.7</v>
      </c>
      <c r="S266" s="145">
        <v>114.9</v>
      </c>
      <c r="T266" s="145">
        <v>100</v>
      </c>
      <c r="U266" s="145">
        <v>105.7</v>
      </c>
      <c r="V266" s="145">
        <v>114.6</v>
      </c>
      <c r="W266" s="145">
        <v>129.6</v>
      </c>
      <c r="X266" s="145">
        <v>134.30000000000001</v>
      </c>
      <c r="Y266" s="394"/>
      <c r="Z266" s="220"/>
      <c r="AA266" s="220"/>
      <c r="AB266" s="149">
        <v>120.7</v>
      </c>
      <c r="AC266" s="151">
        <v>125.9</v>
      </c>
      <c r="AD266" s="407">
        <f t="shared" si="296"/>
        <v>121.90700000000001</v>
      </c>
      <c r="AE266" s="407">
        <f t="shared" si="298"/>
        <v>123.36988400000001</v>
      </c>
      <c r="AF266" s="407">
        <f t="shared" si="298"/>
        <v>125.22043226</v>
      </c>
      <c r="AG266" s="407">
        <f t="shared" ref="AG266:BF267" si="310">AF266*(1+AG$253)</f>
        <v>127.09873874389999</v>
      </c>
      <c r="AH266" s="407">
        <f t="shared" si="310"/>
        <v>129.00521982505848</v>
      </c>
      <c r="AI266" s="407">
        <f t="shared" si="310"/>
        <v>130.94029812243434</v>
      </c>
      <c r="AJ266" s="407">
        <f t="shared" si="310"/>
        <v>132.90440259427083</v>
      </c>
      <c r="AK266" s="407">
        <f t="shared" si="310"/>
        <v>134.89796863318489</v>
      </c>
      <c r="AL266" s="407">
        <f t="shared" si="310"/>
        <v>136.92143816268265</v>
      </c>
      <c r="AM266" s="407">
        <f t="shared" si="310"/>
        <v>138.97525973512288</v>
      </c>
      <c r="AN266" s="407">
        <f t="shared" si="310"/>
        <v>141.0598886311497</v>
      </c>
      <c r="AO266" s="407">
        <f t="shared" si="310"/>
        <v>143.17578696061693</v>
      </c>
      <c r="AP266" s="407">
        <f t="shared" si="310"/>
        <v>145.32342376502618</v>
      </c>
      <c r="AQ266" s="407">
        <f t="shared" si="310"/>
        <v>147.50327512150156</v>
      </c>
      <c r="AR266" s="407">
        <f t="shared" si="310"/>
        <v>149.71582424832405</v>
      </c>
      <c r="AS266" s="407">
        <f t="shared" si="310"/>
        <v>151.96156161204891</v>
      </c>
      <c r="AT266" s="407">
        <f t="shared" si="310"/>
        <v>154.24098503622963</v>
      </c>
      <c r="AU266" s="407">
        <f t="shared" si="310"/>
        <v>156.55459981177307</v>
      </c>
      <c r="AV266" s="407">
        <f t="shared" si="310"/>
        <v>158.90291880894966</v>
      </c>
      <c r="AW266" s="407">
        <f t="shared" si="310"/>
        <v>161.2864625910839</v>
      </c>
      <c r="AX266" s="407">
        <f t="shared" si="310"/>
        <v>163.70575952995014</v>
      </c>
      <c r="AY266" s="407">
        <f t="shared" si="310"/>
        <v>166.16134592289939</v>
      </c>
      <c r="AZ266" s="407">
        <f t="shared" si="310"/>
        <v>168.65376611174287</v>
      </c>
      <c r="BA266" s="407">
        <f t="shared" si="310"/>
        <v>171.18357260341901</v>
      </c>
      <c r="BB266" s="407">
        <f t="shared" si="310"/>
        <v>173.40895904726344</v>
      </c>
      <c r="BC266" s="407">
        <f t="shared" si="310"/>
        <v>175.48986655583059</v>
      </c>
      <c r="BD266" s="407">
        <f t="shared" si="310"/>
        <v>177.4202550879447</v>
      </c>
      <c r="BE266" s="407">
        <f t="shared" si="310"/>
        <v>179.19445763882413</v>
      </c>
      <c r="BF266" s="407">
        <f t="shared" si="310"/>
        <v>180.98640221521237</v>
      </c>
    </row>
    <row r="267" spans="1:58" x14ac:dyDescent="0.3">
      <c r="A267" s="224"/>
      <c r="B267" s="224"/>
      <c r="C267" s="224"/>
      <c r="D267" s="224"/>
      <c r="E267" s="224"/>
      <c r="F267" s="224"/>
      <c r="G267" s="224"/>
      <c r="H267" s="224"/>
      <c r="I267" s="224"/>
      <c r="J267" s="224"/>
      <c r="K267" s="224"/>
      <c r="L267" s="117"/>
      <c r="M267" s="214" t="s">
        <v>940</v>
      </c>
      <c r="N267" s="212" t="s">
        <v>927</v>
      </c>
      <c r="O267" s="75">
        <v>85.6</v>
      </c>
      <c r="P267" s="75">
        <v>91.9</v>
      </c>
      <c r="Q267" s="75">
        <v>94.5</v>
      </c>
      <c r="R267" s="75">
        <v>95.7</v>
      </c>
      <c r="S267" s="75">
        <v>98.3</v>
      </c>
      <c r="T267" s="75">
        <v>100</v>
      </c>
      <c r="U267" s="75">
        <v>102.9</v>
      </c>
      <c r="V267" s="75">
        <v>109.8</v>
      </c>
      <c r="W267" s="75">
        <v>114.3</v>
      </c>
      <c r="X267" s="75">
        <v>118.1</v>
      </c>
      <c r="Y267" s="394"/>
      <c r="Z267" s="220"/>
      <c r="AA267" s="220"/>
      <c r="AB267" s="75">
        <v>118.1</v>
      </c>
      <c r="AC267" s="152">
        <v>126.7</v>
      </c>
      <c r="AD267" s="407">
        <f t="shared" si="296"/>
        <v>119.28099999999999</v>
      </c>
      <c r="AE267" s="407">
        <f t="shared" si="298"/>
        <v>120.71237199999999</v>
      </c>
      <c r="AF267" s="407">
        <f t="shared" si="298"/>
        <v>122.52305757999997</v>
      </c>
      <c r="AG267" s="407">
        <f t="shared" si="298"/>
        <v>124.36090344369995</v>
      </c>
      <c r="AH267" s="407">
        <f t="shared" si="298"/>
        <v>126.22631699535545</v>
      </c>
      <c r="AI267" s="407">
        <f t="shared" si="298"/>
        <v>128.11971175028577</v>
      </c>
      <c r="AJ267" s="407">
        <f t="shared" si="298"/>
        <v>130.04150742654005</v>
      </c>
      <c r="AK267" s="407">
        <f t="shared" si="298"/>
        <v>131.99213003793813</v>
      </c>
      <c r="AL267" s="407">
        <f t="shared" si="298"/>
        <v>133.97201198850718</v>
      </c>
      <c r="AM267" s="407">
        <f t="shared" si="298"/>
        <v>135.98159216833477</v>
      </c>
      <c r="AN267" s="407">
        <f t="shared" si="298"/>
        <v>138.02131605085978</v>
      </c>
      <c r="AO267" s="407">
        <f t="shared" si="298"/>
        <v>140.09163579162265</v>
      </c>
      <c r="AP267" s="407">
        <f t="shared" si="298"/>
        <v>142.19301032849697</v>
      </c>
      <c r="AQ267" s="407">
        <f t="shared" si="298"/>
        <v>144.32590548342441</v>
      </c>
      <c r="AR267" s="407">
        <f t="shared" si="298"/>
        <v>146.49079406567577</v>
      </c>
      <c r="AS267" s="407">
        <f t="shared" si="298"/>
        <v>148.68815597666088</v>
      </c>
      <c r="AT267" s="407">
        <f t="shared" si="298"/>
        <v>150.91847831631077</v>
      </c>
      <c r="AU267" s="407">
        <f t="shared" si="310"/>
        <v>153.18225549105543</v>
      </c>
      <c r="AV267" s="407">
        <f t="shared" si="310"/>
        <v>155.47998932342125</v>
      </c>
      <c r="AW267" s="407">
        <f t="shared" si="310"/>
        <v>157.81218916327256</v>
      </c>
      <c r="AX267" s="407">
        <f t="shared" si="310"/>
        <v>160.17937200072163</v>
      </c>
      <c r="AY267" s="407">
        <f t="shared" si="310"/>
        <v>162.58206258073244</v>
      </c>
      <c r="AZ267" s="407">
        <f t="shared" si="310"/>
        <v>165.0207935194434</v>
      </c>
      <c r="BA267" s="407">
        <f t="shared" si="310"/>
        <v>167.49610542223505</v>
      </c>
      <c r="BB267" s="407">
        <f t="shared" si="310"/>
        <v>169.67355479272408</v>
      </c>
      <c r="BC267" s="407">
        <f t="shared" si="310"/>
        <v>171.70963745023676</v>
      </c>
      <c r="BD267" s="407">
        <f t="shared" si="310"/>
        <v>173.59844346218935</v>
      </c>
      <c r="BE267" s="407">
        <f t="shared" si="310"/>
        <v>175.33442789681123</v>
      </c>
      <c r="BF267" s="407">
        <f t="shared" si="310"/>
        <v>177.08777217577935</v>
      </c>
    </row>
    <row r="268" spans="1:58" x14ac:dyDescent="0.3">
      <c r="A268" s="224"/>
      <c r="B268" s="224"/>
      <c r="C268" s="224"/>
      <c r="D268" s="224"/>
      <c r="E268" s="224"/>
      <c r="F268" s="224"/>
      <c r="G268" s="224"/>
      <c r="H268" s="224"/>
      <c r="I268" s="224"/>
      <c r="J268" s="224"/>
      <c r="K268" s="224"/>
      <c r="L268" s="117"/>
      <c r="M268" s="210"/>
      <c r="N268" s="215"/>
      <c r="O268" s="216"/>
      <c r="P268" s="216"/>
      <c r="Q268" s="216"/>
      <c r="R268" s="216"/>
      <c r="S268" s="216"/>
      <c r="T268" s="216"/>
      <c r="U268" s="216"/>
      <c r="V268" s="216"/>
      <c r="W268" s="216"/>
      <c r="X268" s="216"/>
      <c r="Y268" s="394"/>
      <c r="Z268" s="216"/>
      <c r="AA268" s="216"/>
      <c r="AB268" s="216"/>
      <c r="AC268" s="216"/>
      <c r="AD268" s="224"/>
      <c r="AE268" s="224"/>
      <c r="AF268" s="224"/>
      <c r="AG268" s="224"/>
      <c r="AH268" s="224"/>
      <c r="AI268" s="224"/>
      <c r="AJ268" s="224"/>
      <c r="AK268" s="224"/>
      <c r="AL268" s="224"/>
      <c r="AM268" s="224"/>
      <c r="AN268" s="224"/>
      <c r="AO268" s="224"/>
      <c r="AP268" s="224"/>
      <c r="AQ268" s="224"/>
      <c r="AR268" s="224"/>
      <c r="AS268" s="224"/>
      <c r="AT268" s="224"/>
      <c r="AU268" s="224"/>
      <c r="AV268" s="224"/>
      <c r="AW268" s="224"/>
      <c r="AX268" s="224"/>
      <c r="AY268" s="224"/>
      <c r="AZ268" s="224"/>
      <c r="BA268" s="224"/>
      <c r="BB268" s="224"/>
      <c r="BC268" s="224"/>
      <c r="BD268" s="224"/>
      <c r="BE268" s="224"/>
      <c r="BF268" s="224"/>
    </row>
    <row r="269" spans="1:58" x14ac:dyDescent="0.3">
      <c r="A269" s="224"/>
      <c r="B269" s="224"/>
      <c r="C269" s="224"/>
      <c r="D269" s="224"/>
      <c r="E269" s="224"/>
      <c r="F269" s="224"/>
      <c r="G269" s="224"/>
      <c r="H269" s="224"/>
      <c r="I269" s="224"/>
      <c r="J269" s="224"/>
      <c r="K269" s="224"/>
      <c r="L269" s="117"/>
      <c r="M269" s="211" t="s">
        <v>941</v>
      </c>
      <c r="N269" s="216"/>
      <c r="O269" s="216"/>
      <c r="P269" s="216"/>
      <c r="Q269" s="216"/>
      <c r="R269" s="216"/>
      <c r="S269" s="216"/>
      <c r="T269" s="216"/>
      <c r="U269" s="216"/>
      <c r="V269" s="216"/>
      <c r="W269" s="216"/>
      <c r="X269" s="216"/>
      <c r="Y269" s="394"/>
      <c r="Z269" s="216"/>
      <c r="AA269" s="216"/>
      <c r="AB269" s="216"/>
      <c r="AC269" s="216"/>
      <c r="AD269" s="224"/>
      <c r="AE269" s="224"/>
      <c r="AF269" s="224"/>
      <c r="AG269" s="224"/>
      <c r="AH269" s="224"/>
      <c r="AI269" s="224"/>
      <c r="AJ269" s="224"/>
      <c r="AK269" s="224"/>
      <c r="AL269" s="224"/>
      <c r="AM269" s="224"/>
      <c r="AN269" s="224"/>
      <c r="AO269" s="224"/>
      <c r="AP269" s="224"/>
      <c r="AQ269" s="224"/>
      <c r="AR269" s="224"/>
      <c r="AS269" s="224"/>
      <c r="AT269" s="224"/>
      <c r="AU269" s="224"/>
      <c r="AV269" s="224"/>
      <c r="AW269" s="224"/>
      <c r="AX269" s="224"/>
      <c r="AY269" s="224"/>
      <c r="AZ269" s="224"/>
      <c r="BA269" s="224"/>
      <c r="BB269" s="224"/>
      <c r="BC269" s="224"/>
      <c r="BD269" s="224"/>
      <c r="BE269" s="224"/>
      <c r="BF269" s="224"/>
    </row>
    <row r="270" spans="1:58" x14ac:dyDescent="0.3">
      <c r="A270" s="224"/>
      <c r="B270" s="224"/>
      <c r="C270" s="224"/>
      <c r="D270" s="224"/>
      <c r="E270" s="224"/>
      <c r="F270" s="224"/>
      <c r="G270" s="224"/>
      <c r="H270" s="224"/>
      <c r="I270" s="224"/>
      <c r="J270" s="224"/>
      <c r="K270" s="224"/>
      <c r="L270" s="117"/>
      <c r="M270" s="210" t="s">
        <v>942</v>
      </c>
      <c r="N270" s="212" t="s">
        <v>927</v>
      </c>
      <c r="O270" s="145">
        <v>92.654106142626262</v>
      </c>
      <c r="P270" s="145">
        <v>103.00357083939532</v>
      </c>
      <c r="Q270" s="145">
        <v>103.36985111217147</v>
      </c>
      <c r="R270" s="145">
        <v>103.26385127109056</v>
      </c>
      <c r="S270" s="145">
        <v>106.93915778528094</v>
      </c>
      <c r="T270" s="145">
        <v>100</v>
      </c>
      <c r="U270" s="145">
        <v>96.010445098495552</v>
      </c>
      <c r="V270" s="145">
        <v>122.43881110771851</v>
      </c>
      <c r="W270" s="145">
        <v>134.81122710949967</v>
      </c>
      <c r="X270" s="145">
        <v>120.38976319038547</v>
      </c>
      <c r="Y270" s="394"/>
      <c r="Z270" s="221"/>
      <c r="AA270" s="221"/>
      <c r="AB270" s="145">
        <v>103.59729902079219</v>
      </c>
      <c r="AC270" s="151">
        <v>113.46177814330065</v>
      </c>
      <c r="AD270" s="407">
        <f>AB270*(1+AD$253)</f>
        <v>104.63327201100012</v>
      </c>
      <c r="AE270" s="407">
        <f>AD270*(1+AE$253)</f>
        <v>105.88887127513212</v>
      </c>
      <c r="AF270" s="407">
        <f t="shared" ref="AF270:AL270" si="311">AE270*(1+AF$253)</f>
        <v>107.47720434425909</v>
      </c>
      <c r="AG270" s="407">
        <f t="shared" si="311"/>
        <v>109.08936240942298</v>
      </c>
      <c r="AH270" s="407">
        <f t="shared" si="311"/>
        <v>110.72570284556431</v>
      </c>
      <c r="AI270" s="407">
        <f t="shared" si="311"/>
        <v>112.38658838824777</v>
      </c>
      <c r="AJ270" s="407">
        <f t="shared" si="311"/>
        <v>114.07238721407148</v>
      </c>
      <c r="AK270" s="407">
        <f t="shared" si="311"/>
        <v>115.78347302228255</v>
      </c>
      <c r="AL270" s="407">
        <f t="shared" si="311"/>
        <v>117.52022511761677</v>
      </c>
      <c r="AM270" s="407">
        <f t="shared" ref="AM270:BF270" si="312">AL270*(1+AM$253)</f>
        <v>119.28302849438101</v>
      </c>
      <c r="AN270" s="407">
        <f t="shared" si="312"/>
        <v>121.07227392179672</v>
      </c>
      <c r="AO270" s="407">
        <f t="shared" si="312"/>
        <v>122.88835803062366</v>
      </c>
      <c r="AP270" s="407">
        <f t="shared" si="312"/>
        <v>124.731683401083</v>
      </c>
      <c r="AQ270" s="407">
        <f t="shared" si="312"/>
        <v>126.60265865209924</v>
      </c>
      <c r="AR270" s="407">
        <f t="shared" si="312"/>
        <v>128.50169853188072</v>
      </c>
      <c r="AS270" s="407">
        <f t="shared" si="312"/>
        <v>130.42922400985893</v>
      </c>
      <c r="AT270" s="407">
        <f t="shared" si="312"/>
        <v>132.3856623700068</v>
      </c>
      <c r="AU270" s="407">
        <f t="shared" si="312"/>
        <v>134.3714473055569</v>
      </c>
      <c r="AV270" s="407">
        <f t="shared" si="312"/>
        <v>136.38701901514023</v>
      </c>
      <c r="AW270" s="407">
        <f t="shared" si="312"/>
        <v>138.43282430036732</v>
      </c>
      <c r="AX270" s="407">
        <f t="shared" si="312"/>
        <v>140.50931666487281</v>
      </c>
      <c r="AY270" s="407">
        <f t="shared" si="312"/>
        <v>142.6169564148459</v>
      </c>
      <c r="AZ270" s="407">
        <f t="shared" si="312"/>
        <v>144.75621076106859</v>
      </c>
      <c r="BA270" s="407">
        <f t="shared" si="312"/>
        <v>146.92755392248461</v>
      </c>
      <c r="BB270" s="407">
        <f t="shared" si="312"/>
        <v>148.8376121234769</v>
      </c>
      <c r="BC270" s="407">
        <f t="shared" si="312"/>
        <v>150.62366346895863</v>
      </c>
      <c r="BD270" s="407">
        <f t="shared" si="312"/>
        <v>152.28052376711716</v>
      </c>
      <c r="BE270" s="407">
        <f t="shared" si="312"/>
        <v>153.80332900478834</v>
      </c>
      <c r="BF270" s="407">
        <f t="shared" si="312"/>
        <v>155.34136229483622</v>
      </c>
    </row>
    <row r="271" spans="1:58" x14ac:dyDescent="0.3">
      <c r="A271" s="224"/>
      <c r="B271" s="224"/>
      <c r="C271" s="224"/>
      <c r="D271" s="224"/>
      <c r="E271" s="224"/>
      <c r="F271" s="224"/>
      <c r="G271" s="224"/>
      <c r="H271" s="224"/>
      <c r="I271" s="224"/>
      <c r="J271" s="224"/>
      <c r="K271" s="224"/>
      <c r="L271" s="117"/>
      <c r="M271" s="210" t="s">
        <v>943</v>
      </c>
      <c r="N271" s="212" t="s">
        <v>927</v>
      </c>
      <c r="O271" s="145">
        <v>92.577054256338755</v>
      </c>
      <c r="P271" s="145">
        <v>92.972858058004604</v>
      </c>
      <c r="Q271" s="145">
        <v>92.487285050072273</v>
      </c>
      <c r="R271" s="145">
        <v>100.00053677888876</v>
      </c>
      <c r="S271" s="145">
        <v>105.75110551731005</v>
      </c>
      <c r="T271" s="145">
        <v>100.00000000000001</v>
      </c>
      <c r="U271" s="145">
        <v>108.49470954964957</v>
      </c>
      <c r="V271" s="145">
        <v>113.37787185534093</v>
      </c>
      <c r="W271" s="145">
        <v>113.08066586008576</v>
      </c>
      <c r="X271" s="145">
        <v>94.260802498564473</v>
      </c>
      <c r="Y271" s="394"/>
      <c r="Z271" s="220"/>
      <c r="AA271" s="220"/>
      <c r="AB271" s="145">
        <v>98.315291206078598</v>
      </c>
      <c r="AC271" s="151">
        <v>106.21159117507254</v>
      </c>
      <c r="AD271" s="407">
        <f>AB271*(1+AD$253)</f>
        <v>99.298444118139386</v>
      </c>
      <c r="AE271" s="407">
        <f>AD271*(1+AE$253)</f>
        <v>100.49002544755706</v>
      </c>
      <c r="AF271" s="407">
        <f t="shared" ref="AF271:AL271" si="313">AE271*(1+AF$253)</f>
        <v>101.99737582927041</v>
      </c>
      <c r="AG271" s="407">
        <f t="shared" si="313"/>
        <v>103.52733646670946</v>
      </c>
      <c r="AH271" s="407">
        <f t="shared" si="313"/>
        <v>105.08024651371009</v>
      </c>
      <c r="AI271" s="407">
        <f t="shared" si="313"/>
        <v>106.65645021141573</v>
      </c>
      <c r="AJ271" s="407">
        <f t="shared" si="313"/>
        <v>108.25629696458695</v>
      </c>
      <c r="AK271" s="407">
        <f t="shared" si="313"/>
        <v>109.88014141905575</v>
      </c>
      <c r="AL271" s="407">
        <f t="shared" si="313"/>
        <v>111.52834354034157</v>
      </c>
      <c r="AM271" s="407">
        <f t="shared" ref="AM271:BF271" si="314">AL271*(1+AM$253)</f>
        <v>113.20126869344668</v>
      </c>
      <c r="AN271" s="407">
        <f t="shared" si="314"/>
        <v>114.89928772384837</v>
      </c>
      <c r="AO271" s="407">
        <f t="shared" si="314"/>
        <v>116.62277703970609</v>
      </c>
      <c r="AP271" s="407">
        <f t="shared" si="314"/>
        <v>118.37211869530168</v>
      </c>
      <c r="AQ271" s="407">
        <f t="shared" si="314"/>
        <v>120.1477004757312</v>
      </c>
      <c r="AR271" s="407">
        <f t="shared" si="314"/>
        <v>121.94991598286715</v>
      </c>
      <c r="AS271" s="407">
        <f t="shared" si="314"/>
        <v>123.77916472261015</v>
      </c>
      <c r="AT271" s="407">
        <f t="shared" si="314"/>
        <v>125.63585219344928</v>
      </c>
      <c r="AU271" s="407">
        <f t="shared" si="314"/>
        <v>127.52038997635101</v>
      </c>
      <c r="AV271" s="407">
        <f t="shared" si="314"/>
        <v>129.43319582599628</v>
      </c>
      <c r="AW271" s="407">
        <f t="shared" si="314"/>
        <v>131.3746937633862</v>
      </c>
      <c r="AX271" s="407">
        <f t="shared" si="314"/>
        <v>133.345314169837</v>
      </c>
      <c r="AY271" s="407">
        <f t="shared" si="314"/>
        <v>135.34549388238455</v>
      </c>
      <c r="AZ271" s="407">
        <f t="shared" si="314"/>
        <v>137.37567629062031</v>
      </c>
      <c r="BA271" s="407">
        <f t="shared" si="314"/>
        <v>139.43631143497959</v>
      </c>
      <c r="BB271" s="407">
        <f t="shared" si="314"/>
        <v>141.24898348363431</v>
      </c>
      <c r="BC271" s="407">
        <f t="shared" si="314"/>
        <v>142.94397128543793</v>
      </c>
      <c r="BD271" s="407">
        <f t="shared" si="314"/>
        <v>144.51635496957772</v>
      </c>
      <c r="BE271" s="407">
        <f t="shared" si="314"/>
        <v>145.96151851927351</v>
      </c>
      <c r="BF271" s="407">
        <f t="shared" si="314"/>
        <v>147.42113370446626</v>
      </c>
    </row>
    <row r="272" spans="1:58" x14ac:dyDescent="0.3">
      <c r="A272" s="224"/>
      <c r="B272" s="224"/>
      <c r="C272" s="224"/>
      <c r="D272" s="224"/>
      <c r="E272" s="224"/>
      <c r="F272" s="224"/>
      <c r="G272" s="224"/>
      <c r="H272" s="224"/>
      <c r="I272" s="224"/>
      <c r="J272" s="224"/>
      <c r="K272" s="224"/>
      <c r="L272" s="117"/>
      <c r="M272" s="214" t="s">
        <v>944</v>
      </c>
      <c r="N272" s="212" t="s">
        <v>927</v>
      </c>
      <c r="O272" s="145">
        <v>78.991831568766827</v>
      </c>
      <c r="P272" s="145">
        <v>101.91968011218358</v>
      </c>
      <c r="Q272" s="145">
        <v>110.59553743605626</v>
      </c>
      <c r="R272" s="145">
        <v>106.06655474889918</v>
      </c>
      <c r="S272" s="145">
        <v>99.632994566790202</v>
      </c>
      <c r="T272" s="145">
        <v>100</v>
      </c>
      <c r="U272" s="145">
        <v>111.8361095658011</v>
      </c>
      <c r="V272" s="145">
        <v>122.75083203222327</v>
      </c>
      <c r="W272" s="145">
        <v>135.62717418743321</v>
      </c>
      <c r="X272" s="145">
        <v>133.0448269166327</v>
      </c>
      <c r="Y272" s="394"/>
      <c r="Z272" s="220"/>
      <c r="AA272" s="220"/>
      <c r="AB272" s="145">
        <v>137.76103107816391</v>
      </c>
      <c r="AC272" s="151">
        <v>147.13900079300117</v>
      </c>
      <c r="AD272" s="224"/>
      <c r="AE272" s="224"/>
      <c r="AF272" s="224"/>
      <c r="AG272" s="224"/>
      <c r="AH272" s="224"/>
      <c r="AI272" s="224"/>
      <c r="AJ272" s="224"/>
      <c r="AK272" s="224"/>
      <c r="AL272" s="224"/>
      <c r="AM272" s="224"/>
      <c r="AN272" s="224"/>
      <c r="AO272" s="224"/>
      <c r="AP272" s="224"/>
      <c r="AQ272" s="224"/>
      <c r="AR272" s="224"/>
      <c r="AS272" s="224"/>
      <c r="AT272" s="224"/>
      <c r="AU272" s="224"/>
      <c r="AV272" s="224"/>
      <c r="AW272" s="224"/>
      <c r="AX272" s="224"/>
      <c r="AY272" s="224"/>
      <c r="AZ272" s="224"/>
      <c r="BA272" s="224"/>
      <c r="BB272" s="224"/>
      <c r="BC272" s="224"/>
      <c r="BD272" s="224"/>
      <c r="BE272" s="224"/>
      <c r="BF272" s="224"/>
    </row>
    <row r="273" spans="1:58" x14ac:dyDescent="0.3">
      <c r="A273" s="224"/>
      <c r="B273" s="224"/>
      <c r="C273" s="224"/>
      <c r="D273" s="224"/>
      <c r="E273" s="224"/>
      <c r="F273" s="224"/>
      <c r="G273" s="224"/>
      <c r="H273" s="224"/>
      <c r="I273" s="224"/>
      <c r="J273" s="224"/>
      <c r="K273" s="224"/>
      <c r="L273" s="117"/>
      <c r="M273" s="210"/>
      <c r="N273" s="216"/>
      <c r="O273" s="216"/>
      <c r="P273" s="216"/>
      <c r="Q273" s="216"/>
      <c r="R273" s="216"/>
      <c r="S273" s="216"/>
      <c r="T273" s="216"/>
      <c r="U273" s="216"/>
      <c r="V273" s="216"/>
      <c r="W273" s="216"/>
      <c r="X273" s="216"/>
      <c r="Y273" s="394"/>
      <c r="Z273" s="220"/>
      <c r="AA273" s="220"/>
      <c r="AB273" s="216"/>
      <c r="AC273" s="216"/>
      <c r="AD273" s="224"/>
      <c r="AE273" s="224"/>
      <c r="AF273" s="224"/>
      <c r="AG273" s="224"/>
      <c r="AH273" s="224"/>
      <c r="AI273" s="224"/>
      <c r="AJ273" s="224"/>
      <c r="AK273" s="224"/>
      <c r="AL273" s="224"/>
      <c r="AM273" s="224"/>
      <c r="AN273" s="224"/>
      <c r="AO273" s="224"/>
      <c r="AP273" s="224"/>
      <c r="AQ273" s="224"/>
      <c r="AR273" s="224"/>
      <c r="AS273" s="224"/>
      <c r="AT273" s="224"/>
      <c r="AU273" s="224"/>
      <c r="AV273" s="224"/>
      <c r="AW273" s="224"/>
      <c r="AX273" s="224"/>
      <c r="AY273" s="224"/>
      <c r="AZ273" s="224"/>
      <c r="BA273" s="224"/>
      <c r="BB273" s="224"/>
      <c r="BC273" s="224"/>
      <c r="BD273" s="224"/>
      <c r="BE273" s="224"/>
      <c r="BF273" s="224"/>
    </row>
    <row r="274" spans="1:58" ht="12" hidden="1" customHeight="1" outlineLevel="1" x14ac:dyDescent="0.3">
      <c r="A274" s="224"/>
      <c r="B274" s="224"/>
      <c r="C274" s="224"/>
      <c r="D274" s="224"/>
      <c r="E274" s="224"/>
      <c r="F274" s="224"/>
      <c r="G274" s="224"/>
      <c r="H274" s="224"/>
      <c r="I274" s="224"/>
      <c r="J274" s="224"/>
      <c r="K274" s="224"/>
      <c r="L274" s="117"/>
      <c r="M274" s="211" t="s">
        <v>945</v>
      </c>
      <c r="N274" s="216"/>
      <c r="O274" s="216"/>
      <c r="P274" s="216"/>
      <c r="Q274" s="216"/>
      <c r="R274" s="216"/>
      <c r="S274" s="216"/>
      <c r="T274" s="216"/>
      <c r="U274" s="216"/>
      <c r="V274" s="216"/>
      <c r="W274" s="216"/>
      <c r="X274" s="216"/>
      <c r="Y274" s="394"/>
      <c r="Z274" s="216"/>
      <c r="AA274" s="216"/>
      <c r="AB274" s="216"/>
      <c r="AC274" s="216"/>
      <c r="AD274" s="224"/>
      <c r="AE274" s="224"/>
      <c r="AF274" s="224"/>
      <c r="AG274" s="224"/>
      <c r="AH274" s="224"/>
      <c r="AI274" s="224"/>
      <c r="AJ274" s="224"/>
      <c r="AK274" s="224"/>
      <c r="AL274" s="224"/>
      <c r="AM274" s="224"/>
      <c r="AN274" s="224"/>
      <c r="AO274" s="224"/>
      <c r="AP274" s="224"/>
      <c r="AQ274" s="224"/>
      <c r="AR274" s="224"/>
      <c r="AS274" s="224"/>
      <c r="AT274" s="224"/>
      <c r="AU274" s="224"/>
      <c r="AV274" s="224"/>
      <c r="AW274" s="224"/>
      <c r="AX274" s="224"/>
      <c r="AY274" s="224"/>
      <c r="AZ274" s="224"/>
      <c r="BA274" s="224"/>
      <c r="BB274" s="224"/>
      <c r="BC274" s="224"/>
      <c r="BD274" s="224"/>
      <c r="BE274" s="224"/>
      <c r="BF274" s="224"/>
    </row>
    <row r="275" spans="1:58" ht="12" hidden="1" customHeight="1" outlineLevel="1" x14ac:dyDescent="0.3">
      <c r="A275" s="224"/>
      <c r="B275" s="224"/>
      <c r="C275" s="224"/>
      <c r="D275" s="224"/>
      <c r="E275" s="224"/>
      <c r="F275" s="224"/>
      <c r="G275" s="224"/>
      <c r="H275" s="224"/>
      <c r="I275" s="224"/>
      <c r="J275" s="224"/>
      <c r="K275" s="224"/>
      <c r="L275" s="117"/>
      <c r="M275" s="210"/>
      <c r="N275" s="216"/>
      <c r="O275" s="216"/>
      <c r="P275" s="216"/>
      <c r="Q275" s="216"/>
      <c r="R275" s="216"/>
      <c r="S275" s="216"/>
      <c r="T275" s="216"/>
      <c r="U275" s="216"/>
      <c r="V275" s="216"/>
      <c r="W275" s="216"/>
      <c r="X275" s="216"/>
      <c r="Y275" s="394"/>
      <c r="Z275" s="216"/>
      <c r="AA275" s="216"/>
      <c r="AB275" s="216"/>
      <c r="AC275" s="216"/>
      <c r="AD275" s="224"/>
      <c r="AE275" s="224"/>
      <c r="AF275" s="224"/>
      <c r="AG275" s="224"/>
      <c r="AH275" s="224"/>
      <c r="AI275" s="224"/>
      <c r="AJ275" s="224"/>
      <c r="AK275" s="224"/>
      <c r="AL275" s="224"/>
      <c r="AM275" s="224"/>
      <c r="AN275" s="224"/>
      <c r="AO275" s="224"/>
      <c r="AP275" s="224"/>
      <c r="AQ275" s="224"/>
      <c r="AR275" s="224"/>
      <c r="AS275" s="224"/>
      <c r="AT275" s="224"/>
      <c r="AU275" s="224"/>
      <c r="AV275" s="224"/>
      <c r="AW275" s="224"/>
      <c r="AX275" s="224"/>
      <c r="AY275" s="224"/>
      <c r="AZ275" s="224"/>
      <c r="BA275" s="224"/>
      <c r="BB275" s="224"/>
      <c r="BC275" s="224"/>
      <c r="BD275" s="224"/>
      <c r="BE275" s="224"/>
      <c r="BF275" s="224"/>
    </row>
    <row r="276" spans="1:58" ht="12" hidden="1" customHeight="1" outlineLevel="1" x14ac:dyDescent="0.3">
      <c r="A276" s="224"/>
      <c r="B276" s="224"/>
      <c r="C276" s="224"/>
      <c r="D276" s="224"/>
      <c r="E276" s="224"/>
      <c r="F276" s="224"/>
      <c r="G276" s="224"/>
      <c r="H276" s="224"/>
      <c r="I276" s="224"/>
      <c r="J276" s="224"/>
      <c r="K276" s="224"/>
      <c r="L276" s="117"/>
      <c r="M276" s="210" t="s">
        <v>946</v>
      </c>
      <c r="N276" s="244" t="s">
        <v>947</v>
      </c>
      <c r="O276" s="408">
        <v>0.3</v>
      </c>
      <c r="P276" s="408">
        <v>0.3</v>
      </c>
      <c r="Q276" s="408">
        <v>0.2</v>
      </c>
      <c r="R276" s="408">
        <v>0.2</v>
      </c>
      <c r="S276" s="408">
        <v>0.14899999999999999</v>
      </c>
      <c r="T276" s="408">
        <v>0.24</v>
      </c>
      <c r="U276" s="408">
        <v>1.65</v>
      </c>
      <c r="V276" s="408">
        <v>1.512</v>
      </c>
      <c r="W276" s="408">
        <v>0.93540000000000001</v>
      </c>
      <c r="X276" s="408">
        <v>1.4339999999999999</v>
      </c>
      <c r="Y276" s="394"/>
      <c r="Z276" s="220"/>
      <c r="AA276" s="220"/>
      <c r="AB276" s="408">
        <v>1.2529000000000001</v>
      </c>
      <c r="AC276" s="153">
        <v>7.9299999999999995E-2</v>
      </c>
      <c r="AD276" s="224"/>
      <c r="AE276" s="224"/>
      <c r="AF276" s="224"/>
      <c r="AG276" s="224"/>
      <c r="AH276" s="224"/>
      <c r="AI276" s="224"/>
      <c r="AJ276" s="224"/>
      <c r="AK276" s="224"/>
      <c r="AL276" s="224"/>
      <c r="AM276" s="224"/>
      <c r="AN276" s="224"/>
      <c r="AO276" s="224"/>
      <c r="AP276" s="224"/>
      <c r="AQ276" s="224"/>
      <c r="AR276" s="224"/>
      <c r="AS276" s="224"/>
      <c r="AT276" s="224"/>
      <c r="AU276" s="224"/>
      <c r="AV276" s="224"/>
      <c r="AW276" s="224"/>
      <c r="AX276" s="224"/>
      <c r="AY276" s="224"/>
      <c r="AZ276" s="224"/>
      <c r="BA276" s="224"/>
      <c r="BB276" s="224"/>
      <c r="BC276" s="224"/>
      <c r="BD276" s="224"/>
      <c r="BE276" s="224"/>
      <c r="BF276" s="224"/>
    </row>
    <row r="277" spans="1:58" ht="12" hidden="1" customHeight="1" outlineLevel="1" x14ac:dyDescent="0.3">
      <c r="A277" s="224"/>
      <c r="B277" s="224"/>
      <c r="C277" s="224"/>
      <c r="D277" s="224"/>
      <c r="E277" s="224"/>
      <c r="F277" s="224"/>
      <c r="G277" s="224"/>
      <c r="H277" s="224"/>
      <c r="I277" s="224"/>
      <c r="J277" s="224"/>
      <c r="K277" s="224"/>
      <c r="L277" s="117"/>
      <c r="M277" s="213" t="s">
        <v>948</v>
      </c>
      <c r="N277" s="245" t="s">
        <v>947</v>
      </c>
      <c r="O277" s="150">
        <v>0</v>
      </c>
      <c r="P277" s="150">
        <v>0</v>
      </c>
      <c r="Q277" s="150">
        <v>0</v>
      </c>
      <c r="R277" s="150">
        <v>0</v>
      </c>
      <c r="S277" s="150">
        <v>0</v>
      </c>
      <c r="T277" s="150">
        <v>0</v>
      </c>
      <c r="U277" s="150">
        <v>0</v>
      </c>
      <c r="V277" s="150">
        <v>0</v>
      </c>
      <c r="W277" s="150">
        <v>0</v>
      </c>
      <c r="X277" s="150">
        <v>0</v>
      </c>
      <c r="Y277" s="394"/>
      <c r="Z277" s="220"/>
      <c r="AA277" s="220"/>
      <c r="AB277" s="150">
        <v>0</v>
      </c>
      <c r="AC277" s="153">
        <v>0</v>
      </c>
      <c r="AD277" s="224"/>
      <c r="AE277" s="224"/>
      <c r="AF277" s="224"/>
      <c r="AG277" s="224"/>
      <c r="AH277" s="224"/>
      <c r="AI277" s="224"/>
      <c r="AJ277" s="224"/>
      <c r="AK277" s="224"/>
      <c r="AL277" s="224"/>
      <c r="AM277" s="224"/>
      <c r="AN277" s="224"/>
      <c r="AO277" s="224"/>
      <c r="AP277" s="224"/>
      <c r="AQ277" s="224"/>
      <c r="AR277" s="224"/>
      <c r="AS277" s="224"/>
      <c r="AT277" s="224"/>
      <c r="AU277" s="224"/>
      <c r="AV277" s="224"/>
      <c r="AW277" s="224"/>
      <c r="AX277" s="224"/>
      <c r="AY277" s="224"/>
      <c r="AZ277" s="224"/>
      <c r="BA277" s="224"/>
      <c r="BB277" s="224"/>
      <c r="BC277" s="224"/>
      <c r="BD277" s="224"/>
      <c r="BE277" s="224"/>
      <c r="BF277" s="224"/>
    </row>
    <row r="278" spans="1:58" ht="12" hidden="1" customHeight="1" outlineLevel="1" x14ac:dyDescent="0.3">
      <c r="A278" s="224"/>
      <c r="B278" s="224"/>
      <c r="C278" s="224"/>
      <c r="D278" s="224"/>
      <c r="E278" s="224"/>
      <c r="F278" s="224"/>
      <c r="G278" s="224"/>
      <c r="H278" s="224"/>
      <c r="I278" s="224"/>
      <c r="J278" s="224"/>
      <c r="K278" s="224"/>
      <c r="L278" s="117"/>
      <c r="M278" s="213" t="s">
        <v>949</v>
      </c>
      <c r="N278" s="245" t="s">
        <v>947</v>
      </c>
      <c r="O278" s="408">
        <v>0.3</v>
      </c>
      <c r="P278" s="408">
        <v>0.3</v>
      </c>
      <c r="Q278" s="408">
        <v>0.2</v>
      </c>
      <c r="R278" s="408">
        <v>0.2</v>
      </c>
      <c r="S278" s="408">
        <v>0.14899999999999999</v>
      </c>
      <c r="T278" s="408">
        <v>0.24</v>
      </c>
      <c r="U278" s="408">
        <v>1.65</v>
      </c>
      <c r="V278" s="408">
        <v>1.512</v>
      </c>
      <c r="W278" s="408">
        <v>0.93540000000000001</v>
      </c>
      <c r="X278" s="408">
        <v>1.4339999999999999</v>
      </c>
      <c r="Y278" s="394"/>
      <c r="Z278" s="220"/>
      <c r="AA278" s="220"/>
      <c r="AB278" s="408">
        <v>1.2529000000000001</v>
      </c>
      <c r="AC278" s="153">
        <v>7.9299999999999995E-2</v>
      </c>
      <c r="AD278" s="224"/>
      <c r="AE278" s="224"/>
      <c r="AF278" s="224"/>
      <c r="AG278" s="224"/>
      <c r="AH278" s="224"/>
      <c r="AI278" s="224"/>
      <c r="AJ278" s="224"/>
      <c r="AK278" s="224"/>
      <c r="AL278" s="224"/>
      <c r="AM278" s="224"/>
      <c r="AN278" s="224"/>
      <c r="AO278" s="224"/>
      <c r="AP278" s="224"/>
      <c r="AQ278" s="224"/>
      <c r="AR278" s="224"/>
      <c r="AS278" s="224"/>
      <c r="AT278" s="224"/>
      <c r="AU278" s="224"/>
      <c r="AV278" s="224"/>
      <c r="AW278" s="224"/>
      <c r="AX278" s="224"/>
      <c r="AY278" s="224"/>
      <c r="AZ278" s="224"/>
      <c r="BA278" s="224"/>
      <c r="BB278" s="224"/>
      <c r="BC278" s="224"/>
      <c r="BD278" s="224"/>
      <c r="BE278" s="224"/>
      <c r="BF278" s="224"/>
    </row>
    <row r="279" spans="1:58" ht="12" hidden="1" customHeight="1" outlineLevel="1" x14ac:dyDescent="0.3">
      <c r="A279" s="224"/>
      <c r="B279" s="224"/>
      <c r="C279" s="224"/>
      <c r="D279" s="224"/>
      <c r="E279" s="224"/>
      <c r="F279" s="224"/>
      <c r="G279" s="224"/>
      <c r="H279" s="224"/>
      <c r="I279" s="224"/>
      <c r="J279" s="224"/>
      <c r="K279" s="224"/>
      <c r="L279" s="117"/>
      <c r="M279" s="210" t="s">
        <v>950</v>
      </c>
      <c r="N279" s="244" t="s">
        <v>947</v>
      </c>
      <c r="O279" s="150">
        <v>375</v>
      </c>
      <c r="P279" s="150">
        <v>451</v>
      </c>
      <c r="Q279" s="150">
        <v>481</v>
      </c>
      <c r="R279" s="150">
        <v>456</v>
      </c>
      <c r="S279" s="150">
        <v>447.35</v>
      </c>
      <c r="T279" s="150">
        <v>390</v>
      </c>
      <c r="U279" s="150">
        <v>318.5</v>
      </c>
      <c r="V279" s="150">
        <v>517.91600000000005</v>
      </c>
      <c r="W279" s="150">
        <v>526.34900000000005</v>
      </c>
      <c r="X279" s="150">
        <v>121.911</v>
      </c>
      <c r="Y279" s="394"/>
      <c r="Z279" s="220"/>
      <c r="AA279" s="220"/>
      <c r="AB279" s="150">
        <v>255.3</v>
      </c>
      <c r="AC279" s="153">
        <f t="shared" ref="AC279" si="315">AB279/1000</f>
        <v>0.25530000000000003</v>
      </c>
      <c r="AD279" s="224"/>
      <c r="AE279" s="224"/>
      <c r="AF279" s="224"/>
      <c r="AG279" s="224"/>
      <c r="AH279" s="224"/>
      <c r="AI279" s="224"/>
      <c r="AJ279" s="224"/>
      <c r="AK279" s="224"/>
      <c r="AL279" s="224"/>
      <c r="AM279" s="224"/>
      <c r="AN279" s="224"/>
      <c r="AO279" s="224"/>
      <c r="AP279" s="224"/>
      <c r="AQ279" s="224"/>
      <c r="AR279" s="224"/>
      <c r="AS279" s="224"/>
      <c r="AT279" s="224"/>
      <c r="AU279" s="224"/>
      <c r="AV279" s="224"/>
      <c r="AW279" s="224"/>
      <c r="AX279" s="224"/>
      <c r="AY279" s="224"/>
      <c r="AZ279" s="224"/>
      <c r="BA279" s="224"/>
      <c r="BB279" s="224"/>
      <c r="BC279" s="224"/>
      <c r="BD279" s="224"/>
      <c r="BE279" s="224"/>
      <c r="BF279" s="224"/>
    </row>
    <row r="280" spans="1:58" ht="12" hidden="1" customHeight="1" outlineLevel="1" x14ac:dyDescent="0.3">
      <c r="A280" s="224"/>
      <c r="B280" s="224"/>
      <c r="C280" s="224"/>
      <c r="D280" s="224"/>
      <c r="E280" s="224"/>
      <c r="F280" s="224"/>
      <c r="G280" s="224"/>
      <c r="H280" s="224"/>
      <c r="I280" s="224"/>
      <c r="J280" s="224"/>
      <c r="K280" s="224"/>
      <c r="L280" s="117"/>
      <c r="M280" s="210" t="s">
        <v>951</v>
      </c>
      <c r="N280" s="244" t="s">
        <v>947</v>
      </c>
      <c r="O280" s="150">
        <v>536.69100000000003</v>
      </c>
      <c r="P280" s="150">
        <v>719</v>
      </c>
      <c r="Q280" s="150">
        <v>715</v>
      </c>
      <c r="R280" s="150">
        <v>691</v>
      </c>
      <c r="S280" s="150">
        <v>720.48</v>
      </c>
      <c r="T280" s="150">
        <v>356</v>
      </c>
      <c r="U280" s="150">
        <v>422.8</v>
      </c>
      <c r="V280" s="150">
        <v>502.92</v>
      </c>
      <c r="W280" s="150">
        <v>505.34899999999999</v>
      </c>
      <c r="X280" s="150">
        <v>159.6</v>
      </c>
      <c r="Y280" s="394"/>
      <c r="Z280" s="220"/>
      <c r="AA280" s="220"/>
      <c r="AB280" s="150">
        <v>34.9</v>
      </c>
      <c r="AC280" s="153">
        <v>0</v>
      </c>
      <c r="AD280" s="224"/>
      <c r="AE280" s="224"/>
      <c r="AF280" s="224"/>
      <c r="AG280" s="224"/>
      <c r="AH280" s="224"/>
      <c r="AI280" s="224"/>
      <c r="AJ280" s="224"/>
      <c r="AK280" s="224"/>
      <c r="AL280" s="224"/>
      <c r="AM280" s="224"/>
      <c r="AN280" s="224"/>
      <c r="AO280" s="224"/>
      <c r="AP280" s="224"/>
      <c r="AQ280" s="224"/>
      <c r="AR280" s="224"/>
      <c r="AS280" s="224"/>
      <c r="AT280" s="224"/>
      <c r="AU280" s="224"/>
      <c r="AV280" s="224"/>
      <c r="AW280" s="224"/>
      <c r="AX280" s="224"/>
      <c r="AY280" s="224"/>
      <c r="AZ280" s="224"/>
      <c r="BA280" s="224"/>
      <c r="BB280" s="224"/>
      <c r="BC280" s="224"/>
      <c r="BD280" s="224"/>
      <c r="BE280" s="224"/>
      <c r="BF280" s="224"/>
    </row>
    <row r="281" spans="1:58" ht="12" hidden="1" customHeight="1" outlineLevel="1" x14ac:dyDescent="0.3">
      <c r="A281" s="224"/>
      <c r="B281" s="224"/>
      <c r="C281" s="224"/>
      <c r="D281" s="224"/>
      <c r="E281" s="224"/>
      <c r="F281" s="224"/>
      <c r="G281" s="224"/>
      <c r="H281" s="224"/>
      <c r="I281" s="224"/>
      <c r="J281" s="224"/>
      <c r="K281" s="224"/>
      <c r="L281" s="117"/>
      <c r="M281" s="210" t="s">
        <v>952</v>
      </c>
      <c r="N281" s="244" t="s">
        <v>947</v>
      </c>
      <c r="O281" s="150">
        <v>0</v>
      </c>
      <c r="P281" s="150">
        <v>0</v>
      </c>
      <c r="Q281" s="150">
        <v>17</v>
      </c>
      <c r="R281" s="150">
        <v>121</v>
      </c>
      <c r="S281" s="150">
        <v>0</v>
      </c>
      <c r="T281" s="150">
        <v>0</v>
      </c>
      <c r="U281" s="150">
        <v>0</v>
      </c>
      <c r="V281" s="150">
        <v>0</v>
      </c>
      <c r="W281" s="150">
        <v>0</v>
      </c>
      <c r="X281" s="150">
        <v>0</v>
      </c>
      <c r="Y281" s="394"/>
      <c r="Z281" s="220"/>
      <c r="AA281" s="220"/>
      <c r="AB281" s="150">
        <v>0</v>
      </c>
      <c r="AC281" s="153">
        <v>0</v>
      </c>
      <c r="AD281" s="224"/>
      <c r="AE281" s="224"/>
      <c r="AF281" s="224"/>
      <c r="AG281" s="224"/>
      <c r="AH281" s="224"/>
      <c r="AI281" s="224"/>
      <c r="AJ281" s="224"/>
      <c r="AK281" s="224"/>
      <c r="AL281" s="224"/>
      <c r="AM281" s="224"/>
      <c r="AN281" s="224"/>
      <c r="AO281" s="224"/>
      <c r="AP281" s="224"/>
      <c r="AQ281" s="224"/>
      <c r="AR281" s="224"/>
      <c r="AS281" s="224"/>
      <c r="AT281" s="224"/>
      <c r="AU281" s="224"/>
      <c r="AV281" s="224"/>
      <c r="AW281" s="224"/>
      <c r="AX281" s="224"/>
      <c r="AY281" s="224"/>
      <c r="AZ281" s="224"/>
      <c r="BA281" s="224"/>
      <c r="BB281" s="224"/>
      <c r="BC281" s="224"/>
      <c r="BD281" s="224"/>
      <c r="BE281" s="224"/>
      <c r="BF281" s="224"/>
    </row>
    <row r="282" spans="1:58" ht="12" hidden="1" customHeight="1" outlineLevel="1" x14ac:dyDescent="0.3">
      <c r="A282" s="224"/>
      <c r="B282" s="224"/>
      <c r="C282" s="224"/>
      <c r="D282" s="224"/>
      <c r="E282" s="224"/>
      <c r="F282" s="224"/>
      <c r="G282" s="224"/>
      <c r="H282" s="224"/>
      <c r="I282" s="224"/>
      <c r="J282" s="224"/>
      <c r="K282" s="224"/>
      <c r="L282" s="117"/>
      <c r="M282" s="210" t="s">
        <v>953</v>
      </c>
      <c r="N282" s="244" t="s">
        <v>947</v>
      </c>
      <c r="O282" s="150">
        <v>73.099999999999994</v>
      </c>
      <c r="P282" s="150">
        <v>70.5</v>
      </c>
      <c r="Q282" s="150">
        <v>77.3</v>
      </c>
      <c r="R282" s="150">
        <v>74.900000000000006</v>
      </c>
      <c r="S282" s="150">
        <v>75</v>
      </c>
      <c r="T282" s="150">
        <v>65.5</v>
      </c>
      <c r="U282" s="150">
        <v>65.174999999999997</v>
      </c>
      <c r="V282" s="150">
        <v>67</v>
      </c>
      <c r="W282" s="150">
        <v>75.709999999999994</v>
      </c>
      <c r="X282" s="150">
        <v>59.999199999999995</v>
      </c>
      <c r="Y282" s="394"/>
      <c r="Z282" s="220"/>
      <c r="AA282" s="220"/>
      <c r="AB282" s="150">
        <v>60.923000000000002</v>
      </c>
      <c r="AC282" s="153">
        <v>5.6017999999999999</v>
      </c>
      <c r="AD282" s="224"/>
      <c r="AE282" s="224"/>
      <c r="AF282" s="224"/>
      <c r="AG282" s="224"/>
      <c r="AH282" s="224"/>
      <c r="AI282" s="224"/>
      <c r="AJ282" s="224"/>
      <c r="AK282" s="224"/>
      <c r="AL282" s="224"/>
      <c r="AM282" s="224"/>
      <c r="AN282" s="224"/>
      <c r="AO282" s="224"/>
      <c r="AP282" s="224"/>
      <c r="AQ282" s="224"/>
      <c r="AR282" s="224"/>
      <c r="AS282" s="224"/>
      <c r="AT282" s="224"/>
      <c r="AU282" s="224"/>
      <c r="AV282" s="224"/>
      <c r="AW282" s="224"/>
      <c r="AX282" s="224"/>
      <c r="AY282" s="224"/>
      <c r="AZ282" s="224"/>
      <c r="BA282" s="224"/>
      <c r="BB282" s="224"/>
      <c r="BC282" s="224"/>
      <c r="BD282" s="224"/>
      <c r="BE282" s="224"/>
      <c r="BF282" s="224"/>
    </row>
    <row r="283" spans="1:58" ht="12" hidden="1" customHeight="1" outlineLevel="1" x14ac:dyDescent="0.3">
      <c r="A283" s="224"/>
      <c r="B283" s="224"/>
      <c r="C283" s="224"/>
      <c r="D283" s="224"/>
      <c r="E283" s="224"/>
      <c r="F283" s="224"/>
      <c r="G283" s="224"/>
      <c r="H283" s="224"/>
      <c r="I283" s="224"/>
      <c r="J283" s="224"/>
      <c r="K283" s="224"/>
      <c r="L283" s="117"/>
      <c r="M283" s="210" t="s">
        <v>954</v>
      </c>
      <c r="N283" s="244" t="s">
        <v>947</v>
      </c>
      <c r="O283" s="150">
        <v>220.8</v>
      </c>
      <c r="P283" s="150">
        <v>221.4</v>
      </c>
      <c r="Q283" s="150">
        <v>232.8</v>
      </c>
      <c r="R283" s="150">
        <v>223.8</v>
      </c>
      <c r="S283" s="150">
        <v>239.24799999999999</v>
      </c>
      <c r="T283" s="150">
        <v>247.732</v>
      </c>
      <c r="U283" s="150">
        <v>244</v>
      </c>
      <c r="V283" s="150">
        <v>241.88200000000001</v>
      </c>
      <c r="W283" s="150">
        <v>233.93</v>
      </c>
      <c r="X283" s="150">
        <v>222.29</v>
      </c>
      <c r="Y283" s="394"/>
      <c r="Z283" s="246"/>
      <c r="AA283" s="246"/>
      <c r="AB283" s="150">
        <v>230.18099999999998</v>
      </c>
      <c r="AC283" s="153">
        <f>AC284+AC285</f>
        <v>22.001000000000001</v>
      </c>
      <c r="AD283" s="224"/>
      <c r="AE283" s="224"/>
      <c r="AF283" s="224"/>
      <c r="AG283" s="224"/>
      <c r="AH283" s="224"/>
      <c r="AI283" s="224"/>
      <c r="AJ283" s="224"/>
      <c r="AK283" s="224"/>
      <c r="AL283" s="224"/>
      <c r="AM283" s="224"/>
      <c r="AN283" s="224"/>
      <c r="AO283" s="224"/>
      <c r="AP283" s="224"/>
      <c r="AQ283" s="224"/>
      <c r="AR283" s="224"/>
      <c r="AS283" s="224"/>
      <c r="AT283" s="224"/>
      <c r="AU283" s="224"/>
      <c r="AV283" s="224"/>
      <c r="AW283" s="224"/>
      <c r="AX283" s="224"/>
      <c r="AY283" s="224"/>
      <c r="AZ283" s="224"/>
      <c r="BA283" s="224"/>
      <c r="BB283" s="224"/>
      <c r="BC283" s="224"/>
      <c r="BD283" s="224"/>
      <c r="BE283" s="224"/>
      <c r="BF283" s="224"/>
    </row>
    <row r="284" spans="1:58" ht="12" hidden="1" customHeight="1" outlineLevel="1" x14ac:dyDescent="0.3">
      <c r="A284" s="224"/>
      <c r="B284" s="224"/>
      <c r="C284" s="224"/>
      <c r="D284" s="224"/>
      <c r="E284" s="224"/>
      <c r="F284" s="224"/>
      <c r="G284" s="224"/>
      <c r="H284" s="224"/>
      <c r="I284" s="224"/>
      <c r="J284" s="224"/>
      <c r="K284" s="224"/>
      <c r="L284" s="117"/>
      <c r="M284" s="213" t="s">
        <v>955</v>
      </c>
      <c r="N284" s="245" t="s">
        <v>947</v>
      </c>
      <c r="O284" s="150">
        <v>148</v>
      </c>
      <c r="P284" s="150">
        <v>150.80000000000001</v>
      </c>
      <c r="Q284" s="150">
        <v>158.4</v>
      </c>
      <c r="R284" s="150">
        <v>151</v>
      </c>
      <c r="S284" s="150">
        <v>166.24799999999999</v>
      </c>
      <c r="T284" s="150">
        <v>173.732</v>
      </c>
      <c r="U284" s="150">
        <v>178</v>
      </c>
      <c r="V284" s="150">
        <v>175</v>
      </c>
      <c r="W284" s="150">
        <v>164.95599999999999</v>
      </c>
      <c r="X284" s="150">
        <v>166.98099999999999</v>
      </c>
      <c r="Y284" s="394"/>
      <c r="Z284" s="220"/>
      <c r="AA284" s="220"/>
      <c r="AB284" s="150">
        <v>173.601</v>
      </c>
      <c r="AC284" s="153">
        <v>16.690000000000001</v>
      </c>
      <c r="AD284" s="224"/>
      <c r="AE284" s="224"/>
      <c r="AF284" s="224"/>
      <c r="AG284" s="224"/>
      <c r="AH284" s="224"/>
      <c r="AI284" s="224"/>
      <c r="AJ284" s="224"/>
      <c r="AK284" s="224"/>
      <c r="AL284" s="224"/>
      <c r="AM284" s="224"/>
      <c r="AN284" s="224"/>
      <c r="AO284" s="224"/>
      <c r="AP284" s="224"/>
      <c r="AQ284" s="224"/>
      <c r="AR284" s="224"/>
      <c r="AS284" s="224"/>
      <c r="AT284" s="224"/>
      <c r="AU284" s="224"/>
      <c r="AV284" s="224"/>
      <c r="AW284" s="224"/>
      <c r="AX284" s="224"/>
      <c r="AY284" s="224"/>
      <c r="AZ284" s="224"/>
      <c r="BA284" s="224"/>
      <c r="BB284" s="224"/>
      <c r="BC284" s="224"/>
      <c r="BD284" s="224"/>
      <c r="BE284" s="224"/>
      <c r="BF284" s="224"/>
    </row>
    <row r="285" spans="1:58" ht="12" hidden="1" customHeight="1" outlineLevel="1" x14ac:dyDescent="0.3">
      <c r="A285" s="224"/>
      <c r="B285" s="224"/>
      <c r="C285" s="224"/>
      <c r="D285" s="224"/>
      <c r="E285" s="224"/>
      <c r="F285" s="224"/>
      <c r="G285" s="224"/>
      <c r="H285" s="224"/>
      <c r="I285" s="224"/>
      <c r="J285" s="224"/>
      <c r="K285" s="224"/>
      <c r="L285" s="117"/>
      <c r="M285" s="213" t="s">
        <v>956</v>
      </c>
      <c r="N285" s="245" t="s">
        <v>947</v>
      </c>
      <c r="O285" s="150">
        <v>72.8</v>
      </c>
      <c r="P285" s="150">
        <v>70.599999999999994</v>
      </c>
      <c r="Q285" s="150">
        <v>74.400000000000006</v>
      </c>
      <c r="R285" s="150">
        <v>72.8</v>
      </c>
      <c r="S285" s="150">
        <v>73</v>
      </c>
      <c r="T285" s="150">
        <v>74</v>
      </c>
      <c r="U285" s="150">
        <v>66</v>
      </c>
      <c r="V285" s="150">
        <v>66.882000000000005</v>
      </c>
      <c r="W285" s="150">
        <v>68.97</v>
      </c>
      <c r="X285" s="150">
        <v>55.31</v>
      </c>
      <c r="Y285" s="394"/>
      <c r="Z285" s="220"/>
      <c r="AA285" s="220"/>
      <c r="AB285" s="150">
        <v>56.58</v>
      </c>
      <c r="AC285" s="153">
        <v>5.3109999999999999</v>
      </c>
      <c r="AD285" s="224"/>
      <c r="AE285" s="224"/>
      <c r="AF285" s="224"/>
      <c r="AG285" s="224"/>
      <c r="AH285" s="224"/>
      <c r="AI285" s="224"/>
      <c r="AJ285" s="224"/>
      <c r="AK285" s="224"/>
      <c r="AL285" s="224"/>
      <c r="AM285" s="224"/>
      <c r="AN285" s="224"/>
      <c r="AO285" s="224"/>
      <c r="AP285" s="224"/>
      <c r="AQ285" s="224"/>
      <c r="AR285" s="224"/>
      <c r="AS285" s="224"/>
      <c r="AT285" s="224"/>
      <c r="AU285" s="224"/>
      <c r="AV285" s="224"/>
      <c r="AW285" s="224"/>
      <c r="AX285" s="224"/>
      <c r="AY285" s="224"/>
      <c r="AZ285" s="224"/>
      <c r="BA285" s="224"/>
      <c r="BB285" s="224"/>
      <c r="BC285" s="224"/>
      <c r="BD285" s="224"/>
      <c r="BE285" s="224"/>
      <c r="BF285" s="224"/>
    </row>
    <row r="286" spans="1:58" ht="12" hidden="1" customHeight="1" outlineLevel="1" x14ac:dyDescent="0.3">
      <c r="A286" s="224"/>
      <c r="B286" s="224"/>
      <c r="C286" s="224"/>
      <c r="D286" s="224"/>
      <c r="E286" s="224"/>
      <c r="F286" s="224"/>
      <c r="G286" s="224"/>
      <c r="H286" s="224"/>
      <c r="I286" s="224"/>
      <c r="J286" s="224"/>
      <c r="K286" s="224"/>
      <c r="L286" s="117"/>
      <c r="M286" s="210" t="s">
        <v>957</v>
      </c>
      <c r="N286" s="244" t="s">
        <v>947</v>
      </c>
      <c r="O286" s="150">
        <v>81.599999999999994</v>
      </c>
      <c r="P286" s="150">
        <v>81.400000000000006</v>
      </c>
      <c r="Q286" s="150">
        <v>73.900000000000006</v>
      </c>
      <c r="R286" s="150">
        <v>84</v>
      </c>
      <c r="S286" s="150">
        <v>64</v>
      </c>
      <c r="T286" s="150">
        <v>88.04</v>
      </c>
      <c r="U286" s="150">
        <v>81.52</v>
      </c>
      <c r="V286" s="150">
        <v>84.85</v>
      </c>
      <c r="W286" s="150">
        <v>86.242999999999995</v>
      </c>
      <c r="X286" s="150">
        <v>86.683000000000007</v>
      </c>
      <c r="Y286" s="394"/>
      <c r="Z286" s="220"/>
      <c r="AA286" s="220"/>
      <c r="AB286" s="150" t="s">
        <v>958</v>
      </c>
      <c r="AC286" s="153">
        <v>78</v>
      </c>
      <c r="AD286" s="224"/>
      <c r="AE286" s="224"/>
      <c r="AF286" s="224"/>
      <c r="AG286" s="224"/>
      <c r="AH286" s="224"/>
      <c r="AI286" s="224"/>
      <c r="AJ286" s="224"/>
      <c r="AK286" s="224"/>
      <c r="AL286" s="224"/>
      <c r="AM286" s="224"/>
      <c r="AN286" s="224"/>
      <c r="AO286" s="224"/>
      <c r="AP286" s="224"/>
      <c r="AQ286" s="224"/>
      <c r="AR286" s="224"/>
      <c r="AS286" s="224"/>
      <c r="AT286" s="224"/>
      <c r="AU286" s="224"/>
      <c r="AV286" s="224"/>
      <c r="AW286" s="224"/>
      <c r="AX286" s="224"/>
      <c r="AY286" s="224"/>
      <c r="AZ286" s="224"/>
      <c r="BA286" s="224"/>
      <c r="BB286" s="224"/>
      <c r="BC286" s="224"/>
      <c r="BD286" s="224"/>
      <c r="BE286" s="224"/>
      <c r="BF286" s="224"/>
    </row>
    <row r="287" spans="1:58" ht="12" hidden="1" customHeight="1" outlineLevel="1" x14ac:dyDescent="0.3">
      <c r="A287" s="224"/>
      <c r="B287" s="224"/>
      <c r="C287" s="224"/>
      <c r="D287" s="224"/>
      <c r="E287" s="224"/>
      <c r="F287" s="224"/>
      <c r="G287" s="224"/>
      <c r="H287" s="224"/>
      <c r="I287" s="224"/>
      <c r="J287" s="224"/>
      <c r="K287" s="224"/>
      <c r="L287" s="117"/>
      <c r="M287" s="213" t="s">
        <v>959</v>
      </c>
      <c r="N287" s="245" t="s">
        <v>947</v>
      </c>
      <c r="O287" s="150">
        <v>0</v>
      </c>
      <c r="P287" s="150">
        <v>0</v>
      </c>
      <c r="Q287" s="150">
        <v>0</v>
      </c>
      <c r="R287" s="150">
        <v>0</v>
      </c>
      <c r="S287" s="150">
        <v>0</v>
      </c>
      <c r="T287" s="150">
        <v>0</v>
      </c>
      <c r="U287" s="150">
        <v>0</v>
      </c>
      <c r="V287" s="150">
        <v>0</v>
      </c>
      <c r="W287" s="150">
        <v>0</v>
      </c>
      <c r="X287" s="150">
        <v>0</v>
      </c>
      <c r="Y287" s="394"/>
      <c r="Z287" s="220"/>
      <c r="AA287" s="220"/>
      <c r="AB287" s="150">
        <v>0</v>
      </c>
      <c r="AC287" s="153">
        <v>0</v>
      </c>
      <c r="AD287" s="224"/>
      <c r="AE287" s="224"/>
      <c r="AF287" s="224"/>
      <c r="AG287" s="224"/>
      <c r="AH287" s="224"/>
      <c r="AI287" s="224"/>
      <c r="AJ287" s="224"/>
      <c r="AK287" s="224"/>
      <c r="AL287" s="224"/>
      <c r="AM287" s="224"/>
      <c r="AN287" s="224"/>
      <c r="AO287" s="224"/>
      <c r="AP287" s="224"/>
      <c r="AQ287" s="224"/>
      <c r="AR287" s="224"/>
      <c r="AS287" s="224"/>
      <c r="AT287" s="224"/>
      <c r="AU287" s="224"/>
      <c r="AV287" s="224"/>
      <c r="AW287" s="224"/>
      <c r="AX287" s="224"/>
      <c r="AY287" s="224"/>
      <c r="AZ287" s="224"/>
      <c r="BA287" s="224"/>
      <c r="BB287" s="224"/>
      <c r="BC287" s="224"/>
      <c r="BD287" s="224"/>
      <c r="BE287" s="224"/>
      <c r="BF287" s="224"/>
    </row>
    <row r="288" spans="1:58" ht="12" hidden="1" customHeight="1" outlineLevel="1" x14ac:dyDescent="0.3">
      <c r="A288" s="224"/>
      <c r="B288" s="224"/>
      <c r="C288" s="224"/>
      <c r="D288" s="224"/>
      <c r="E288" s="224"/>
      <c r="F288" s="224"/>
      <c r="G288" s="224"/>
      <c r="H288" s="224"/>
      <c r="I288" s="224"/>
      <c r="J288" s="224"/>
      <c r="K288" s="224"/>
      <c r="L288" s="117"/>
      <c r="M288" s="213" t="s">
        <v>960</v>
      </c>
      <c r="N288" s="245" t="s">
        <v>947</v>
      </c>
      <c r="O288" s="150">
        <v>81.599999999999994</v>
      </c>
      <c r="P288" s="150">
        <v>81.400000000000006</v>
      </c>
      <c r="Q288" s="150">
        <v>73.900000000000006</v>
      </c>
      <c r="R288" s="150">
        <v>84</v>
      </c>
      <c r="S288" s="150">
        <v>64</v>
      </c>
      <c r="T288" s="150">
        <v>88.04</v>
      </c>
      <c r="U288" s="150">
        <v>81.52</v>
      </c>
      <c r="V288" s="150">
        <v>84.85</v>
      </c>
      <c r="W288" s="150">
        <v>86.242999999999995</v>
      </c>
      <c r="X288" s="150">
        <v>86.683000000000007</v>
      </c>
      <c r="Y288" s="394"/>
      <c r="Z288" s="220"/>
      <c r="AA288" s="220"/>
      <c r="AB288" s="150" t="s">
        <v>958</v>
      </c>
      <c r="AC288" s="153">
        <v>78</v>
      </c>
      <c r="AD288" s="224"/>
      <c r="AE288" s="224"/>
      <c r="AF288" s="224"/>
      <c r="AG288" s="224"/>
      <c r="AH288" s="224"/>
      <c r="AI288" s="224"/>
      <c r="AJ288" s="224"/>
      <c r="AK288" s="224"/>
      <c r="AL288" s="224"/>
      <c r="AM288" s="224"/>
      <c r="AN288" s="224"/>
      <c r="AO288" s="224"/>
      <c r="AP288" s="224"/>
      <c r="AQ288" s="224"/>
      <c r="AR288" s="224"/>
      <c r="AS288" s="224"/>
      <c r="AT288" s="224"/>
      <c r="AU288" s="224"/>
      <c r="AV288" s="224"/>
      <c r="AW288" s="224"/>
      <c r="AX288" s="224"/>
      <c r="AY288" s="224"/>
      <c r="AZ288" s="224"/>
      <c r="BA288" s="224"/>
      <c r="BB288" s="224"/>
      <c r="BC288" s="224"/>
      <c r="BD288" s="224"/>
      <c r="BE288" s="224"/>
      <c r="BF288" s="224"/>
    </row>
    <row r="289" spans="1:58" collapsed="1" x14ac:dyDescent="0.3">
      <c r="A289" s="224"/>
      <c r="B289" s="224"/>
      <c r="C289" s="224"/>
      <c r="D289" s="224"/>
      <c r="E289" s="224"/>
      <c r="F289" s="224"/>
      <c r="G289" s="224"/>
      <c r="H289" s="224"/>
      <c r="I289" s="224"/>
      <c r="J289" s="224"/>
      <c r="K289" s="224"/>
      <c r="L289" s="117"/>
      <c r="M289" s="241" t="s">
        <v>961</v>
      </c>
      <c r="N289" s="241"/>
      <c r="O289" s="242"/>
      <c r="P289" s="242"/>
      <c r="Q289" s="242"/>
      <c r="R289" s="242"/>
      <c r="S289" s="242"/>
      <c r="T289" s="242"/>
      <c r="U289" s="242"/>
      <c r="V289" s="242"/>
      <c r="W289" s="242"/>
      <c r="X289" s="242"/>
      <c r="Y289" s="394"/>
      <c r="Z289" s="242"/>
      <c r="AA289" s="242"/>
      <c r="AB289" s="242"/>
      <c r="AC289" s="242"/>
      <c r="AD289" s="242"/>
      <c r="AE289" s="242"/>
      <c r="AF289" s="242"/>
      <c r="AG289" s="242"/>
      <c r="AH289" s="242"/>
      <c r="AI289" s="242"/>
      <c r="AJ289" s="242"/>
      <c r="AK289" s="242"/>
      <c r="AL289" s="242"/>
      <c r="AM289" s="242"/>
      <c r="AN289" s="242"/>
      <c r="AO289" s="242"/>
      <c r="AP289" s="242"/>
      <c r="AQ289" s="242"/>
      <c r="AR289" s="242"/>
      <c r="AS289" s="242"/>
      <c r="AT289" s="242"/>
      <c r="AU289" s="242"/>
      <c r="AV289" s="242"/>
      <c r="AW289" s="242"/>
      <c r="AX289" s="242"/>
      <c r="AY289" s="242"/>
      <c r="AZ289" s="242"/>
      <c r="BA289" s="242"/>
      <c r="BB289" s="242"/>
      <c r="BC289" s="242"/>
      <c r="BD289" s="242"/>
      <c r="BE289" s="242"/>
      <c r="BF289" s="242"/>
    </row>
    <row r="290" spans="1:58" ht="12" hidden="1" customHeight="1" outlineLevel="1" x14ac:dyDescent="0.3">
      <c r="A290" s="224"/>
      <c r="B290" s="224"/>
      <c r="C290" s="224"/>
      <c r="D290" s="224"/>
      <c r="E290" s="224"/>
      <c r="F290" s="224"/>
      <c r="G290" s="224"/>
      <c r="H290" s="224"/>
      <c r="I290" s="224"/>
      <c r="J290" s="224"/>
      <c r="K290" s="224"/>
      <c r="L290" s="117"/>
      <c r="M290" s="210"/>
      <c r="N290" s="210"/>
      <c r="O290" s="210"/>
      <c r="P290" s="210"/>
      <c r="Q290" s="210"/>
      <c r="R290" s="210"/>
      <c r="S290" s="210"/>
      <c r="T290" s="210"/>
      <c r="U290" s="210"/>
      <c r="V290" s="210"/>
      <c r="W290" s="210"/>
      <c r="X290" s="210"/>
      <c r="Y290" s="394"/>
      <c r="Z290" s="210"/>
      <c r="AA290" s="210"/>
      <c r="AB290" s="210"/>
      <c r="AC290" s="210"/>
      <c r="AD290" s="224"/>
      <c r="AE290" s="224"/>
      <c r="AF290" s="224"/>
      <c r="AG290" s="224"/>
      <c r="AH290" s="224"/>
      <c r="AI290" s="224"/>
      <c r="AJ290" s="224"/>
      <c r="AK290" s="224"/>
      <c r="AL290" s="224"/>
      <c r="AM290" s="224"/>
      <c r="AN290" s="224"/>
      <c r="AO290" s="224"/>
      <c r="AP290" s="224"/>
      <c r="AQ290" s="224"/>
      <c r="AR290" s="224"/>
      <c r="AS290" s="224"/>
      <c r="AT290" s="224"/>
      <c r="AU290" s="224"/>
      <c r="AV290" s="224"/>
      <c r="AW290" s="224"/>
      <c r="AX290" s="224"/>
      <c r="AY290" s="224"/>
      <c r="AZ290" s="224"/>
      <c r="BA290" s="224"/>
      <c r="BB290" s="224"/>
      <c r="BC290" s="224"/>
      <c r="BD290" s="224"/>
      <c r="BE290" s="224"/>
      <c r="BF290" s="224"/>
    </row>
    <row r="291" spans="1:58" ht="12" hidden="1" customHeight="1" outlineLevel="1" x14ac:dyDescent="0.3">
      <c r="A291" s="224"/>
      <c r="B291" s="224"/>
      <c r="C291" s="224"/>
      <c r="D291" s="224"/>
      <c r="E291" s="224"/>
      <c r="F291" s="224"/>
      <c r="G291" s="224"/>
      <c r="H291" s="224"/>
      <c r="I291" s="224"/>
      <c r="J291" s="224"/>
      <c r="K291" s="224"/>
      <c r="L291" s="117"/>
      <c r="M291" s="211" t="s">
        <v>962</v>
      </c>
      <c r="N291" s="210"/>
      <c r="O291" s="210"/>
      <c r="P291" s="210"/>
      <c r="Q291" s="210"/>
      <c r="R291" s="210"/>
      <c r="S291" s="210"/>
      <c r="T291" s="210"/>
      <c r="U291" s="210"/>
      <c r="V291" s="210"/>
      <c r="W291" s="210"/>
      <c r="X291" s="210"/>
      <c r="Y291" s="394"/>
      <c r="Z291" s="210"/>
      <c r="AA291" s="210"/>
      <c r="AB291" s="210"/>
      <c r="AC291" s="210"/>
      <c r="AD291" s="224"/>
      <c r="AE291" s="224"/>
      <c r="AF291" s="224"/>
      <c r="AG291" s="224"/>
      <c r="AH291" s="224"/>
      <c r="AI291" s="224"/>
      <c r="AJ291" s="224"/>
      <c r="AK291" s="224"/>
      <c r="AL291" s="224"/>
      <c r="AM291" s="224"/>
      <c r="AN291" s="224"/>
      <c r="AO291" s="224"/>
      <c r="AP291" s="224"/>
      <c r="AQ291" s="224"/>
      <c r="AR291" s="224"/>
      <c r="AS291" s="224"/>
      <c r="AT291" s="224"/>
      <c r="AU291" s="224"/>
      <c r="AV291" s="224"/>
      <c r="AW291" s="224"/>
      <c r="AX291" s="224"/>
      <c r="AY291" s="224"/>
      <c r="AZ291" s="224"/>
      <c r="BA291" s="224"/>
      <c r="BB291" s="224"/>
      <c r="BC291" s="224"/>
      <c r="BD291" s="224"/>
      <c r="BE291" s="224"/>
      <c r="BF291" s="224"/>
    </row>
    <row r="292" spans="1:58" ht="12" hidden="1" customHeight="1" outlineLevel="1" x14ac:dyDescent="0.3">
      <c r="A292" s="224"/>
      <c r="B292" s="224"/>
      <c r="C292" s="224"/>
      <c r="D292" s="224"/>
      <c r="E292" s="224"/>
      <c r="F292" s="224"/>
      <c r="G292" s="224"/>
      <c r="H292" s="224"/>
      <c r="I292" s="224"/>
      <c r="J292" s="224"/>
      <c r="K292" s="224"/>
      <c r="L292" s="117"/>
      <c r="M292" s="210" t="s">
        <v>963</v>
      </c>
      <c r="N292" s="244" t="s">
        <v>77</v>
      </c>
      <c r="O292" s="409">
        <f>SUM(O293:O295)</f>
        <v>369.99999999999994</v>
      </c>
      <c r="P292" s="409">
        <f t="shared" ref="P292:X292" si="316">SUM(P293:P295)</f>
        <v>239.7222222222222</v>
      </c>
      <c r="Q292" s="409">
        <f t="shared" si="316"/>
        <v>312.22222222222223</v>
      </c>
      <c r="R292" s="409">
        <f t="shared" si="316"/>
        <v>300.27777777777771</v>
      </c>
      <c r="S292" s="409">
        <f t="shared" si="316"/>
        <v>265</v>
      </c>
      <c r="T292" s="409">
        <f t="shared" si="316"/>
        <v>370.83333333333331</v>
      </c>
      <c r="U292" s="409">
        <f t="shared" si="316"/>
        <v>347.77777777777777</v>
      </c>
      <c r="V292" s="409">
        <f t="shared" si="316"/>
        <v>214.72222222222223</v>
      </c>
      <c r="W292" s="409">
        <f t="shared" si="316"/>
        <v>132.22222222222223</v>
      </c>
      <c r="X292" s="409">
        <f t="shared" si="316"/>
        <v>309.44444444444446</v>
      </c>
      <c r="Y292" s="394"/>
      <c r="Z292" s="210"/>
      <c r="AA292" s="210"/>
      <c r="AB292" s="409">
        <f>SUM(AB293:AB295)</f>
        <v>276.11111111111109</v>
      </c>
      <c r="AC292" s="410">
        <f>SUM(AC293:AC295)</f>
        <v>205.55555555555554</v>
      </c>
      <c r="AD292" s="411">
        <f t="shared" ref="AD292:BF292" si="317">AD311+AD330+AD349+AD369+AD388+AD407+AD426+AD445+AD464+AD483+AD502</f>
        <v>295.98611111111109</v>
      </c>
      <c r="AE292" s="411">
        <f t="shared" si="317"/>
        <v>299.53794444444441</v>
      </c>
      <c r="AF292" s="411">
        <f t="shared" si="317"/>
        <v>304.03101361111112</v>
      </c>
      <c r="AG292" s="411">
        <f t="shared" si="317"/>
        <v>308.59147881527781</v>
      </c>
      <c r="AH292" s="411">
        <f t="shared" si="317"/>
        <v>313.2203509975069</v>
      </c>
      <c r="AI292" s="411">
        <f t="shared" si="317"/>
        <v>317.91865626246954</v>
      </c>
      <c r="AJ292" s="411">
        <f t="shared" si="317"/>
        <v>322.68743610640655</v>
      </c>
      <c r="AK292" s="411">
        <f t="shared" si="317"/>
        <v>327.52774764800262</v>
      </c>
      <c r="AL292" s="411">
        <f t="shared" si="317"/>
        <v>332.44066386272266</v>
      </c>
      <c r="AM292" s="411">
        <f t="shared" si="317"/>
        <v>337.42727382066334</v>
      </c>
      <c r="AN292" s="411">
        <f t="shared" si="317"/>
        <v>342.48868292797329</v>
      </c>
      <c r="AO292" s="411">
        <f t="shared" si="317"/>
        <v>347.62601317189291</v>
      </c>
      <c r="AP292" s="411">
        <f t="shared" si="317"/>
        <v>352.84040336947123</v>
      </c>
      <c r="AQ292" s="411">
        <f t="shared" si="317"/>
        <v>358.13300942001337</v>
      </c>
      <c r="AR292" s="411">
        <f t="shared" si="317"/>
        <v>363.50500456131351</v>
      </c>
      <c r="AS292" s="411">
        <f t="shared" si="317"/>
        <v>368.95757962973317</v>
      </c>
      <c r="AT292" s="411">
        <f t="shared" si="317"/>
        <v>374.4919433241792</v>
      </c>
      <c r="AU292" s="411">
        <f t="shared" si="317"/>
        <v>380.10932247404179</v>
      </c>
      <c r="AV292" s="411">
        <f t="shared" si="317"/>
        <v>385.81096231115254</v>
      </c>
      <c r="AW292" s="411">
        <f t="shared" si="317"/>
        <v>391.59812674581968</v>
      </c>
      <c r="AX292" s="411">
        <f t="shared" si="317"/>
        <v>397.47209864700687</v>
      </c>
      <c r="AY292" s="411">
        <f t="shared" si="317"/>
        <v>403.43418012671191</v>
      </c>
      <c r="AZ292" s="411">
        <f t="shared" si="317"/>
        <v>409.48569282861268</v>
      </c>
      <c r="BA292" s="411">
        <f t="shared" si="317"/>
        <v>415.62797822104176</v>
      </c>
      <c r="BB292" s="411">
        <f t="shared" si="317"/>
        <v>421.03114193791527</v>
      </c>
      <c r="BC292" s="411">
        <f t="shared" si="317"/>
        <v>426.08351564117021</v>
      </c>
      <c r="BD292" s="411">
        <f t="shared" si="317"/>
        <v>430.77043431322312</v>
      </c>
      <c r="BE292" s="411">
        <f t="shared" si="317"/>
        <v>435.07813865635524</v>
      </c>
      <c r="BF292" s="411">
        <f t="shared" si="317"/>
        <v>439.42892004291883</v>
      </c>
    </row>
    <row r="293" spans="1:58" ht="12" hidden="1" customHeight="1" outlineLevel="1" x14ac:dyDescent="0.3">
      <c r="A293" s="224"/>
      <c r="B293" s="224"/>
      <c r="C293" s="224"/>
      <c r="D293" s="224"/>
      <c r="E293" s="224"/>
      <c r="F293" s="224"/>
      <c r="G293" s="224"/>
      <c r="H293" s="224"/>
      <c r="I293" s="224"/>
      <c r="J293" s="224"/>
      <c r="K293" s="224"/>
      <c r="L293" s="117"/>
      <c r="M293" s="213" t="s">
        <v>964</v>
      </c>
      <c r="N293" s="244" t="s">
        <v>77</v>
      </c>
      <c r="O293" s="150">
        <v>199.99999999999997</v>
      </c>
      <c r="P293" s="150">
        <v>105.83333333333331</v>
      </c>
      <c r="Q293" s="150">
        <v>152.5</v>
      </c>
      <c r="R293" s="150">
        <v>164.44444444444443</v>
      </c>
      <c r="S293" s="150">
        <v>129.16666666666666</v>
      </c>
      <c r="T293" s="150">
        <v>211.11111111111111</v>
      </c>
      <c r="U293" s="150">
        <v>188.05555555555554</v>
      </c>
      <c r="V293" s="150">
        <v>138.88888888888889</v>
      </c>
      <c r="W293" s="150">
        <v>93.888888888888886</v>
      </c>
      <c r="X293" s="150">
        <v>106.66666666666666</v>
      </c>
      <c r="Y293" s="394"/>
      <c r="Z293" s="246"/>
      <c r="AA293" s="246"/>
      <c r="AB293" s="150">
        <v>52.500000000000007</v>
      </c>
      <c r="AC293" s="153">
        <v>68.055555555555557</v>
      </c>
      <c r="AD293" s="412"/>
      <c r="AE293" s="412"/>
      <c r="AF293" s="412"/>
      <c r="AG293" s="412"/>
      <c r="AH293" s="412"/>
      <c r="AI293" s="412"/>
      <c r="AJ293" s="412"/>
      <c r="AK293" s="412"/>
      <c r="AL293" s="412"/>
      <c r="AM293" s="412"/>
      <c r="AN293" s="412"/>
      <c r="AO293" s="412"/>
      <c r="AP293" s="412"/>
      <c r="AQ293" s="412"/>
      <c r="AR293" s="412"/>
      <c r="AS293" s="412"/>
      <c r="AT293" s="412"/>
      <c r="AU293" s="412"/>
      <c r="AV293" s="412"/>
      <c r="AW293" s="412"/>
      <c r="AX293" s="412"/>
      <c r="AY293" s="412"/>
      <c r="AZ293" s="412"/>
      <c r="BA293" s="412"/>
      <c r="BB293" s="412"/>
      <c r="BC293" s="412"/>
      <c r="BD293" s="412"/>
      <c r="BE293" s="412"/>
      <c r="BF293" s="412"/>
    </row>
    <row r="294" spans="1:58" ht="12" hidden="1" customHeight="1" outlineLevel="1" x14ac:dyDescent="0.3">
      <c r="A294" s="224"/>
      <c r="B294" s="224"/>
      <c r="C294" s="224"/>
      <c r="D294" s="224"/>
      <c r="E294" s="224"/>
      <c r="F294" s="224"/>
      <c r="G294" s="224"/>
      <c r="H294" s="224"/>
      <c r="I294" s="224"/>
      <c r="J294" s="224"/>
      <c r="K294" s="224"/>
      <c r="L294" s="117"/>
      <c r="M294" s="248" t="s">
        <v>965</v>
      </c>
      <c r="N294" s="244" t="s">
        <v>77</v>
      </c>
      <c r="O294" s="150">
        <v>132.49999999999997</v>
      </c>
      <c r="P294" s="150">
        <v>108.88888888888889</v>
      </c>
      <c r="Q294" s="150">
        <v>108.88888888888889</v>
      </c>
      <c r="R294" s="150">
        <v>97.777777777777771</v>
      </c>
      <c r="S294" s="150">
        <v>97.777777777777771</v>
      </c>
      <c r="T294" s="150">
        <v>108.88888888888889</v>
      </c>
      <c r="U294" s="150">
        <v>108.8888888888889</v>
      </c>
      <c r="V294" s="150">
        <v>0</v>
      </c>
      <c r="W294" s="150">
        <v>0</v>
      </c>
      <c r="X294" s="150">
        <v>115.27777777777777</v>
      </c>
      <c r="Y294" s="394"/>
      <c r="Z294" s="246"/>
      <c r="AA294" s="246"/>
      <c r="AB294" s="150">
        <v>154.44444444444443</v>
      </c>
      <c r="AC294" s="153">
        <v>104.44444444444443</v>
      </c>
      <c r="AD294" s="412"/>
      <c r="AE294" s="412"/>
      <c r="AF294" s="412"/>
      <c r="AG294" s="412"/>
      <c r="AH294" s="412"/>
      <c r="AI294" s="412"/>
      <c r="AJ294" s="412"/>
      <c r="AK294" s="412"/>
      <c r="AL294" s="412"/>
      <c r="AM294" s="412"/>
      <c r="AN294" s="412"/>
      <c r="AO294" s="412"/>
      <c r="AP294" s="412"/>
      <c r="AQ294" s="412"/>
      <c r="AR294" s="412"/>
      <c r="AS294" s="412"/>
      <c r="AT294" s="412"/>
      <c r="AU294" s="412"/>
      <c r="AV294" s="412"/>
      <c r="AW294" s="412"/>
      <c r="AX294" s="412"/>
      <c r="AY294" s="412"/>
      <c r="AZ294" s="412"/>
      <c r="BA294" s="412"/>
      <c r="BB294" s="412"/>
      <c r="BC294" s="412"/>
      <c r="BD294" s="412"/>
      <c r="BE294" s="412"/>
      <c r="BF294" s="412"/>
    </row>
    <row r="295" spans="1:58" ht="12" hidden="1" customHeight="1" outlineLevel="1" x14ac:dyDescent="0.3">
      <c r="A295" s="224"/>
      <c r="B295" s="224"/>
      <c r="C295" s="224"/>
      <c r="D295" s="224"/>
      <c r="E295" s="224"/>
      <c r="F295" s="224"/>
      <c r="G295" s="224"/>
      <c r="H295" s="224"/>
      <c r="I295" s="224"/>
      <c r="J295" s="224"/>
      <c r="K295" s="224"/>
      <c r="L295" s="117"/>
      <c r="M295" s="213" t="s">
        <v>966</v>
      </c>
      <c r="N295" s="244" t="s">
        <v>77</v>
      </c>
      <c r="O295" s="150">
        <v>37.5</v>
      </c>
      <c r="P295" s="150">
        <v>25</v>
      </c>
      <c r="Q295" s="150">
        <v>50.833333333333329</v>
      </c>
      <c r="R295" s="150">
        <v>38.055555555555557</v>
      </c>
      <c r="S295" s="150">
        <v>38.055555555555557</v>
      </c>
      <c r="T295" s="150">
        <v>50.833333333333329</v>
      </c>
      <c r="U295" s="150">
        <v>50.833333333333329</v>
      </c>
      <c r="V295" s="150">
        <v>75.833333333333329</v>
      </c>
      <c r="W295" s="150">
        <v>38.333333333333336</v>
      </c>
      <c r="X295" s="150">
        <v>87.500000000000014</v>
      </c>
      <c r="Y295" s="394"/>
      <c r="Z295" s="246"/>
      <c r="AA295" s="246"/>
      <c r="AB295" s="150">
        <v>69.166666666666657</v>
      </c>
      <c r="AC295" s="153">
        <v>33.055555555555557</v>
      </c>
      <c r="AD295" s="412"/>
      <c r="AE295" s="412"/>
      <c r="AF295" s="412"/>
      <c r="AG295" s="412"/>
      <c r="AH295" s="412"/>
      <c r="AI295" s="412"/>
      <c r="AJ295" s="412"/>
      <c r="AK295" s="412"/>
      <c r="AL295" s="412"/>
      <c r="AM295" s="412"/>
      <c r="AN295" s="412"/>
      <c r="AO295" s="412"/>
      <c r="AP295" s="412"/>
      <c r="AQ295" s="412"/>
      <c r="AR295" s="412"/>
      <c r="AS295" s="412"/>
      <c r="AT295" s="412"/>
      <c r="AU295" s="412"/>
      <c r="AV295" s="412"/>
      <c r="AW295" s="412"/>
      <c r="AX295" s="412"/>
      <c r="AY295" s="412"/>
      <c r="AZ295" s="412"/>
      <c r="BA295" s="412"/>
      <c r="BB295" s="412"/>
      <c r="BC295" s="412"/>
      <c r="BD295" s="412"/>
      <c r="BE295" s="412"/>
      <c r="BF295" s="412"/>
    </row>
    <row r="296" spans="1:58" ht="12" hidden="1" customHeight="1" outlineLevel="1" x14ac:dyDescent="0.3">
      <c r="A296" s="224"/>
      <c r="B296" s="224"/>
      <c r="C296" s="224"/>
      <c r="D296" s="224"/>
      <c r="E296" s="224"/>
      <c r="F296" s="224"/>
      <c r="G296" s="224"/>
      <c r="H296" s="224"/>
      <c r="I296" s="224"/>
      <c r="J296" s="224"/>
      <c r="K296" s="224"/>
      <c r="L296" s="117"/>
      <c r="M296" s="210" t="s">
        <v>967</v>
      </c>
      <c r="N296" s="244" t="s">
        <v>77</v>
      </c>
      <c r="O296" s="409">
        <f>SUM(O297:O298)</f>
        <v>1245.5555555555554</v>
      </c>
      <c r="P296" s="409">
        <f t="shared" ref="P296:X296" si="318">SUM(P297:P298)</f>
        <v>1221.9444444444443</v>
      </c>
      <c r="Q296" s="409">
        <f t="shared" si="318"/>
        <v>1264.9999999999998</v>
      </c>
      <c r="R296" s="409">
        <f t="shared" si="318"/>
        <v>1572.7777777777781</v>
      </c>
      <c r="S296" s="409">
        <f t="shared" si="318"/>
        <v>1017.7777777777778</v>
      </c>
      <c r="T296" s="409">
        <f t="shared" si="318"/>
        <v>974.16666666666674</v>
      </c>
      <c r="U296" s="409">
        <f t="shared" si="318"/>
        <v>1090.2777777777778</v>
      </c>
      <c r="V296" s="409">
        <f t="shared" si="318"/>
        <v>1010.2777777777776</v>
      </c>
      <c r="W296" s="409">
        <f t="shared" si="318"/>
        <v>1138.3333333333333</v>
      </c>
      <c r="X296" s="409">
        <f t="shared" si="318"/>
        <v>1045.5555555555554</v>
      </c>
      <c r="Y296" s="394"/>
      <c r="Z296" s="220"/>
      <c r="AA296" s="220"/>
      <c r="AB296" s="409">
        <f>SUM(AB297:AB298)</f>
        <v>1027.2222222222222</v>
      </c>
      <c r="AC296" s="410">
        <f>SUM(AC297:AC298)</f>
        <v>1042.2222222222222</v>
      </c>
      <c r="AD296" s="411">
        <f t="shared" ref="AD296:BF296" si="319">AD315+AD334+AD353+AD373+AD392+AD411+AD430+AD449+AD468+AD487+AD506</f>
        <v>1019.5388888888889</v>
      </c>
      <c r="AE296" s="411">
        <f t="shared" si="319"/>
        <v>1031.7733555555556</v>
      </c>
      <c r="AF296" s="411">
        <f t="shared" si="319"/>
        <v>1047.2499558888887</v>
      </c>
      <c r="AG296" s="411">
        <f t="shared" si="319"/>
        <v>1062.9587052272218</v>
      </c>
      <c r="AH296" s="411">
        <f t="shared" si="319"/>
        <v>1078.9030858056303</v>
      </c>
      <c r="AI296" s="411">
        <f t="shared" si="319"/>
        <v>1095.0866320927144</v>
      </c>
      <c r="AJ296" s="411">
        <f t="shared" si="319"/>
        <v>1111.5129315741051</v>
      </c>
      <c r="AK296" s="411">
        <f t="shared" si="319"/>
        <v>1128.1856255477164</v>
      </c>
      <c r="AL296" s="411">
        <f t="shared" si="319"/>
        <v>1145.1084099309321</v>
      </c>
      <c r="AM296" s="411">
        <f t="shared" si="319"/>
        <v>1162.2850360798959</v>
      </c>
      <c r="AN296" s="411">
        <f t="shared" si="319"/>
        <v>1179.7193116210947</v>
      </c>
      <c r="AO296" s="411">
        <f t="shared" si="319"/>
        <v>1197.4151012954103</v>
      </c>
      <c r="AP296" s="411">
        <f t="shared" si="319"/>
        <v>1215.3763278148417</v>
      </c>
      <c r="AQ296" s="411">
        <f t="shared" si="319"/>
        <v>1233.6069727320637</v>
      </c>
      <c r="AR296" s="411">
        <f t="shared" si="319"/>
        <v>1252.1110773230448</v>
      </c>
      <c r="AS296" s="411">
        <f t="shared" si="319"/>
        <v>1270.8927434828904</v>
      </c>
      <c r="AT296" s="411">
        <f t="shared" si="319"/>
        <v>1289.9561346351336</v>
      </c>
      <c r="AU296" s="411">
        <f t="shared" si="319"/>
        <v>1309.3054766546607</v>
      </c>
      <c r="AV296" s="411">
        <f t="shared" si="319"/>
        <v>1328.9450588044804</v>
      </c>
      <c r="AW296" s="411">
        <f t="shared" si="319"/>
        <v>1348.8792346865473</v>
      </c>
      <c r="AX296" s="411">
        <f t="shared" si="319"/>
        <v>1369.1124232068453</v>
      </c>
      <c r="AY296" s="411">
        <f t="shared" si="319"/>
        <v>1389.6491095549482</v>
      </c>
      <c r="AZ296" s="411">
        <f t="shared" si="319"/>
        <v>1410.4938461982715</v>
      </c>
      <c r="BA296" s="411">
        <f t="shared" si="319"/>
        <v>1431.6512538912459</v>
      </c>
      <c r="BB296" s="411">
        <f t="shared" si="319"/>
        <v>1450.2627201918319</v>
      </c>
      <c r="BC296" s="411">
        <f t="shared" si="319"/>
        <v>1467.6658728341338</v>
      </c>
      <c r="BD296" s="411">
        <f t="shared" si="319"/>
        <v>1483.810197435309</v>
      </c>
      <c r="BE296" s="411">
        <f t="shared" si="319"/>
        <v>1498.6482994096625</v>
      </c>
      <c r="BF296" s="411">
        <f t="shared" si="319"/>
        <v>1513.6347824037587</v>
      </c>
    </row>
    <row r="297" spans="1:58" ht="12" hidden="1" customHeight="1" outlineLevel="1" x14ac:dyDescent="0.3">
      <c r="A297" s="224"/>
      <c r="B297" s="224"/>
      <c r="C297" s="224"/>
      <c r="D297" s="224"/>
      <c r="E297" s="224"/>
      <c r="F297" s="224"/>
      <c r="G297" s="224"/>
      <c r="H297" s="224"/>
      <c r="I297" s="224"/>
      <c r="J297" s="224"/>
      <c r="K297" s="224"/>
      <c r="L297" s="117"/>
      <c r="M297" s="213" t="s">
        <v>968</v>
      </c>
      <c r="N297" s="244" t="s">
        <v>77</v>
      </c>
      <c r="O297" s="150">
        <v>1245.5555555555554</v>
      </c>
      <c r="P297" s="150">
        <v>1221.9444444444443</v>
      </c>
      <c r="Q297" s="150">
        <v>1264.9999999999998</v>
      </c>
      <c r="R297" s="150">
        <v>1572.7777777777781</v>
      </c>
      <c r="S297" s="150">
        <v>1017.7777777777778</v>
      </c>
      <c r="T297" s="150">
        <v>974.16666666666674</v>
      </c>
      <c r="U297" s="150">
        <v>1090.2777777777778</v>
      </c>
      <c r="V297" s="150">
        <v>1010.2777777777776</v>
      </c>
      <c r="W297" s="150">
        <v>1138.3333333333333</v>
      </c>
      <c r="X297" s="150">
        <v>1045.5555555555554</v>
      </c>
      <c r="Y297" s="394"/>
      <c r="Z297" s="246"/>
      <c r="AA297" s="246"/>
      <c r="AB297" s="150">
        <v>1027.2222222222222</v>
      </c>
      <c r="AC297" s="153">
        <v>1042.2222222222222</v>
      </c>
      <c r="AD297" s="412"/>
      <c r="AE297" s="412"/>
      <c r="AF297" s="412"/>
      <c r="AG297" s="412"/>
      <c r="AH297" s="412"/>
      <c r="AI297" s="412"/>
      <c r="AJ297" s="412"/>
      <c r="AK297" s="412"/>
      <c r="AL297" s="412"/>
      <c r="AM297" s="412"/>
      <c r="AN297" s="412"/>
      <c r="AO297" s="412"/>
      <c r="AP297" s="412"/>
      <c r="AQ297" s="412"/>
      <c r="AR297" s="412"/>
      <c r="AS297" s="412"/>
      <c r="AT297" s="412"/>
      <c r="AU297" s="412"/>
      <c r="AV297" s="412"/>
      <c r="AW297" s="412"/>
      <c r="AX297" s="412"/>
      <c r="AY297" s="412"/>
      <c r="AZ297" s="412"/>
      <c r="BA297" s="412"/>
      <c r="BB297" s="412"/>
      <c r="BC297" s="412"/>
      <c r="BD297" s="412"/>
      <c r="BE297" s="412"/>
      <c r="BF297" s="412"/>
    </row>
    <row r="298" spans="1:58" ht="12" hidden="1" customHeight="1" outlineLevel="1" x14ac:dyDescent="0.3">
      <c r="A298" s="224"/>
      <c r="B298" s="224"/>
      <c r="C298" s="224"/>
      <c r="D298" s="224"/>
      <c r="E298" s="224"/>
      <c r="F298" s="224"/>
      <c r="G298" s="224"/>
      <c r="H298" s="224"/>
      <c r="I298" s="224"/>
      <c r="J298" s="224"/>
      <c r="K298" s="224"/>
      <c r="L298" s="117"/>
      <c r="M298" s="213" t="s">
        <v>969</v>
      </c>
      <c r="N298" s="244" t="s">
        <v>77</v>
      </c>
      <c r="O298" s="150">
        <v>0</v>
      </c>
      <c r="P298" s="150">
        <v>0</v>
      </c>
      <c r="Q298" s="150">
        <v>0</v>
      </c>
      <c r="R298" s="150">
        <v>0</v>
      </c>
      <c r="S298" s="150">
        <v>0</v>
      </c>
      <c r="T298" s="150">
        <v>0</v>
      </c>
      <c r="U298" s="150">
        <v>0</v>
      </c>
      <c r="V298" s="150">
        <v>0</v>
      </c>
      <c r="W298" s="150">
        <v>0</v>
      </c>
      <c r="X298" s="150">
        <v>0</v>
      </c>
      <c r="Y298" s="394"/>
      <c r="Z298" s="246"/>
      <c r="AA298" s="246"/>
      <c r="AB298" s="150">
        <v>0</v>
      </c>
      <c r="AC298" s="153">
        <v>0</v>
      </c>
      <c r="AD298" s="412"/>
      <c r="AE298" s="412"/>
      <c r="AF298" s="412"/>
      <c r="AG298" s="412"/>
      <c r="AH298" s="412"/>
      <c r="AI298" s="412"/>
      <c r="AJ298" s="412"/>
      <c r="AK298" s="412"/>
      <c r="AL298" s="412"/>
      <c r="AM298" s="412"/>
      <c r="AN298" s="412"/>
      <c r="AO298" s="412"/>
      <c r="AP298" s="412"/>
      <c r="AQ298" s="412"/>
      <c r="AR298" s="412"/>
      <c r="AS298" s="412"/>
      <c r="AT298" s="412"/>
      <c r="AU298" s="412"/>
      <c r="AV298" s="412"/>
      <c r="AW298" s="412"/>
      <c r="AX298" s="412"/>
      <c r="AY298" s="412"/>
      <c r="AZ298" s="412"/>
      <c r="BA298" s="412"/>
      <c r="BB298" s="412"/>
      <c r="BC298" s="412"/>
      <c r="BD298" s="412"/>
      <c r="BE298" s="412"/>
      <c r="BF298" s="412"/>
    </row>
    <row r="299" spans="1:58" ht="12" hidden="1" customHeight="1" outlineLevel="1" x14ac:dyDescent="0.3">
      <c r="A299" s="224"/>
      <c r="B299" s="224"/>
      <c r="C299" s="224"/>
      <c r="D299" s="224"/>
      <c r="E299" s="224"/>
      <c r="F299" s="224"/>
      <c r="G299" s="224"/>
      <c r="H299" s="224"/>
      <c r="I299" s="224"/>
      <c r="J299" s="224"/>
      <c r="K299" s="224"/>
      <c r="L299" s="117"/>
      <c r="M299" s="210" t="s">
        <v>970</v>
      </c>
      <c r="N299" s="244" t="s">
        <v>77</v>
      </c>
      <c r="O299" s="409">
        <f>SUM(O300:O303)</f>
        <v>866.94444444444446</v>
      </c>
      <c r="P299" s="409">
        <f t="shared" ref="P299:X299" si="320">SUM(P300:P303)</f>
        <v>1038.6111111111109</v>
      </c>
      <c r="Q299" s="409">
        <f t="shared" si="320"/>
        <v>876.3888888888888</v>
      </c>
      <c r="R299" s="409">
        <f t="shared" si="320"/>
        <v>1459.4444444444443</v>
      </c>
      <c r="S299" s="409">
        <f t="shared" si="320"/>
        <v>1081.1111111111111</v>
      </c>
      <c r="T299" s="409">
        <f t="shared" si="320"/>
        <v>558.88888888888891</v>
      </c>
      <c r="U299" s="409">
        <f t="shared" si="320"/>
        <v>456.11111111111114</v>
      </c>
      <c r="V299" s="409">
        <f t="shared" si="320"/>
        <v>632.22222222222217</v>
      </c>
      <c r="W299" s="409">
        <f t="shared" si="320"/>
        <v>630.83333333333326</v>
      </c>
      <c r="X299" s="409">
        <f t="shared" si="320"/>
        <v>747.5</v>
      </c>
      <c r="Y299" s="394"/>
      <c r="Z299" s="220"/>
      <c r="AA299" s="220"/>
      <c r="AB299" s="409">
        <f>SUM(AB300:AB303)</f>
        <v>117.5</v>
      </c>
      <c r="AC299" s="410">
        <f>SUM(AC300:AC303)</f>
        <v>0.55555555555555558</v>
      </c>
      <c r="AD299" s="411">
        <f t="shared" ref="AD299:BF299" si="321">AD318+AD337+AD356+AD376+AD395+AD414+AD433+AD452+AD471+AD490+AD509</f>
        <v>120.91944444444444</v>
      </c>
      <c r="AE299" s="411">
        <f t="shared" si="321"/>
        <v>122.37047777777777</v>
      </c>
      <c r="AF299" s="411">
        <f t="shared" si="321"/>
        <v>124.20603494444441</v>
      </c>
      <c r="AG299" s="411">
        <f t="shared" si="321"/>
        <v>126.06912546861106</v>
      </c>
      <c r="AH299" s="411">
        <f t="shared" si="321"/>
        <v>127.96016235064022</v>
      </c>
      <c r="AI299" s="411">
        <f t="shared" si="321"/>
        <v>129.87956478589982</v>
      </c>
      <c r="AJ299" s="411">
        <f t="shared" si="321"/>
        <v>131.82775825768829</v>
      </c>
      <c r="AK299" s="411">
        <f t="shared" si="321"/>
        <v>133.8051746315536</v>
      </c>
      <c r="AL299" s="411">
        <f t="shared" si="321"/>
        <v>135.81225225102691</v>
      </c>
      <c r="AM299" s="411">
        <f t="shared" si="321"/>
        <v>137.84943603479229</v>
      </c>
      <c r="AN299" s="411">
        <f t="shared" si="321"/>
        <v>139.91717757531416</v>
      </c>
      <c r="AO299" s="411">
        <f t="shared" si="321"/>
        <v>142.01593523894385</v>
      </c>
      <c r="AP299" s="411">
        <f t="shared" si="321"/>
        <v>144.14617426752801</v>
      </c>
      <c r="AQ299" s="411">
        <f t="shared" si="321"/>
        <v>146.30836688154091</v>
      </c>
      <c r="AR299" s="411">
        <f t="shared" si="321"/>
        <v>148.50299238476401</v>
      </c>
      <c r="AS299" s="411">
        <f t="shared" si="321"/>
        <v>150.73053727053545</v>
      </c>
      <c r="AT299" s="411">
        <f t="shared" si="321"/>
        <v>152.9914953295935</v>
      </c>
      <c r="AU299" s="411">
        <f t="shared" si="321"/>
        <v>155.2863677595374</v>
      </c>
      <c r="AV299" s="411">
        <f t="shared" si="321"/>
        <v>157.61566327593044</v>
      </c>
      <c r="AW299" s="411">
        <f t="shared" si="321"/>
        <v>159.97989822506938</v>
      </c>
      <c r="AX299" s="411">
        <f t="shared" si="321"/>
        <v>162.3795966984454</v>
      </c>
      <c r="AY299" s="411">
        <f t="shared" si="321"/>
        <v>164.81529064892203</v>
      </c>
      <c r="AZ299" s="411">
        <f t="shared" si="321"/>
        <v>167.28752000865586</v>
      </c>
      <c r="BA299" s="411">
        <f t="shared" si="321"/>
        <v>169.79683280878567</v>
      </c>
      <c r="BB299" s="411">
        <f t="shared" si="321"/>
        <v>172.00419163529989</v>
      </c>
      <c r="BC299" s="411">
        <f t="shared" si="321"/>
        <v>174.06824193492349</v>
      </c>
      <c r="BD299" s="411">
        <f t="shared" si="321"/>
        <v>175.98299259620765</v>
      </c>
      <c r="BE299" s="411">
        <f t="shared" si="321"/>
        <v>177.74282252216975</v>
      </c>
      <c r="BF299" s="411">
        <f t="shared" si="321"/>
        <v>179.52025074739146</v>
      </c>
    </row>
    <row r="300" spans="1:58" ht="12" hidden="1" customHeight="1" outlineLevel="1" x14ac:dyDescent="0.3">
      <c r="A300" s="224"/>
      <c r="B300" s="224"/>
      <c r="C300" s="224"/>
      <c r="D300" s="224"/>
      <c r="E300" s="224"/>
      <c r="F300" s="224"/>
      <c r="G300" s="224"/>
      <c r="H300" s="224"/>
      <c r="I300" s="224"/>
      <c r="J300" s="224"/>
      <c r="K300" s="224"/>
      <c r="L300" s="117"/>
      <c r="M300" s="213" t="s">
        <v>971</v>
      </c>
      <c r="N300" s="244" t="s">
        <v>77</v>
      </c>
      <c r="O300" s="150">
        <v>354.44444444444446</v>
      </c>
      <c r="P300" s="150">
        <v>431.3888888888888</v>
      </c>
      <c r="Q300" s="150">
        <v>393.61111111111109</v>
      </c>
      <c r="R300" s="150">
        <v>324.16666666666669</v>
      </c>
      <c r="S300" s="150">
        <v>490.27777777777771</v>
      </c>
      <c r="T300" s="150">
        <v>165.83333333333334</v>
      </c>
      <c r="U300" s="150">
        <v>150.83333333333334</v>
      </c>
      <c r="V300" s="150">
        <v>208.33333333333329</v>
      </c>
      <c r="W300" s="150">
        <v>268.88888888888886</v>
      </c>
      <c r="X300" s="150">
        <v>316.66666666666669</v>
      </c>
      <c r="Y300" s="394"/>
      <c r="Z300" s="246"/>
      <c r="AA300" s="246"/>
      <c r="AB300" s="150">
        <v>59.722222222222221</v>
      </c>
      <c r="AC300" s="153">
        <v>0</v>
      </c>
      <c r="AD300" s="412"/>
      <c r="AE300" s="412"/>
      <c r="AF300" s="412"/>
      <c r="AG300" s="412"/>
      <c r="AH300" s="412"/>
      <c r="AI300" s="412"/>
      <c r="AJ300" s="412"/>
      <c r="AK300" s="412"/>
      <c r="AL300" s="412"/>
      <c r="AM300" s="412"/>
      <c r="AN300" s="412"/>
      <c r="AO300" s="412"/>
      <c r="AP300" s="412"/>
      <c r="AQ300" s="412"/>
      <c r="AR300" s="412"/>
      <c r="AS300" s="412"/>
      <c r="AT300" s="412"/>
      <c r="AU300" s="412"/>
      <c r="AV300" s="412"/>
      <c r="AW300" s="412"/>
      <c r="AX300" s="412"/>
      <c r="AY300" s="412"/>
      <c r="AZ300" s="412"/>
      <c r="BA300" s="412"/>
      <c r="BB300" s="412"/>
      <c r="BC300" s="412"/>
      <c r="BD300" s="412"/>
      <c r="BE300" s="412"/>
      <c r="BF300" s="412"/>
    </row>
    <row r="301" spans="1:58" ht="12" hidden="1" customHeight="1" outlineLevel="1" x14ac:dyDescent="0.3">
      <c r="A301" s="224"/>
      <c r="B301" s="224"/>
      <c r="C301" s="224"/>
      <c r="D301" s="224"/>
      <c r="E301" s="224"/>
      <c r="F301" s="224"/>
      <c r="G301" s="224"/>
      <c r="H301" s="224"/>
      <c r="I301" s="224"/>
      <c r="J301" s="224"/>
      <c r="K301" s="224"/>
      <c r="L301" s="117"/>
      <c r="M301" s="213" t="s">
        <v>972</v>
      </c>
      <c r="N301" s="244" t="s">
        <v>77</v>
      </c>
      <c r="O301" s="150">
        <v>512.5</v>
      </c>
      <c r="P301" s="150">
        <v>607.22222222222217</v>
      </c>
      <c r="Q301" s="150">
        <v>482.77777777777771</v>
      </c>
      <c r="R301" s="150">
        <v>421.94444444444446</v>
      </c>
      <c r="S301" s="150">
        <v>394.44444444444446</v>
      </c>
      <c r="T301" s="150">
        <v>173.88888888888889</v>
      </c>
      <c r="U301" s="150">
        <v>113.33333333333334</v>
      </c>
      <c r="V301" s="150">
        <v>232.5</v>
      </c>
      <c r="W301" s="150">
        <v>260.83333333333331</v>
      </c>
      <c r="X301" s="150">
        <v>231.11111111111111</v>
      </c>
      <c r="Y301" s="394"/>
      <c r="Z301" s="246"/>
      <c r="AA301" s="246"/>
      <c r="AB301" s="150">
        <v>16.111111111111107</v>
      </c>
      <c r="AC301" s="153">
        <v>0</v>
      </c>
      <c r="AD301" s="412"/>
      <c r="AE301" s="412"/>
      <c r="AF301" s="412"/>
      <c r="AG301" s="412"/>
      <c r="AH301" s="412"/>
      <c r="AI301" s="412"/>
      <c r="AJ301" s="412"/>
      <c r="AK301" s="412"/>
      <c r="AL301" s="412"/>
      <c r="AM301" s="412"/>
      <c r="AN301" s="412"/>
      <c r="AO301" s="412"/>
      <c r="AP301" s="412"/>
      <c r="AQ301" s="412"/>
      <c r="AR301" s="412"/>
      <c r="AS301" s="412"/>
      <c r="AT301" s="412"/>
      <c r="AU301" s="412"/>
      <c r="AV301" s="412"/>
      <c r="AW301" s="412"/>
      <c r="AX301" s="412"/>
      <c r="AY301" s="412"/>
      <c r="AZ301" s="412"/>
      <c r="BA301" s="412"/>
      <c r="BB301" s="412"/>
      <c r="BC301" s="412"/>
      <c r="BD301" s="412"/>
      <c r="BE301" s="412"/>
      <c r="BF301" s="412"/>
    </row>
    <row r="302" spans="1:58" ht="12" hidden="1" customHeight="1" outlineLevel="1" x14ac:dyDescent="0.3">
      <c r="A302" s="224"/>
      <c r="B302" s="224"/>
      <c r="C302" s="224"/>
      <c r="D302" s="224"/>
      <c r="E302" s="224"/>
      <c r="F302" s="224"/>
      <c r="G302" s="224"/>
      <c r="H302" s="224"/>
      <c r="I302" s="224"/>
      <c r="J302" s="224"/>
      <c r="K302" s="224"/>
      <c r="L302" s="117"/>
      <c r="M302" s="213" t="s">
        <v>973</v>
      </c>
      <c r="N302" s="244" t="s">
        <v>77</v>
      </c>
      <c r="O302" s="150">
        <v>0</v>
      </c>
      <c r="P302" s="150">
        <v>0</v>
      </c>
      <c r="Q302" s="150">
        <v>0</v>
      </c>
      <c r="R302" s="150">
        <v>39.722222222222221</v>
      </c>
      <c r="S302" s="150">
        <v>0</v>
      </c>
      <c r="T302" s="150">
        <v>0</v>
      </c>
      <c r="U302" s="150">
        <v>0</v>
      </c>
      <c r="V302" s="150">
        <v>0</v>
      </c>
      <c r="W302" s="150">
        <v>0</v>
      </c>
      <c r="X302" s="150">
        <v>0</v>
      </c>
      <c r="Y302" s="394"/>
      <c r="Z302" s="246"/>
      <c r="AA302" s="246"/>
      <c r="AB302" s="150">
        <v>0</v>
      </c>
      <c r="AC302" s="153">
        <v>0</v>
      </c>
      <c r="AD302" s="412"/>
      <c r="AE302" s="412"/>
      <c r="AF302" s="412"/>
      <c r="AG302" s="412"/>
      <c r="AH302" s="412"/>
      <c r="AI302" s="412"/>
      <c r="AJ302" s="412"/>
      <c r="AK302" s="412"/>
      <c r="AL302" s="412"/>
      <c r="AM302" s="412"/>
      <c r="AN302" s="412"/>
      <c r="AO302" s="412"/>
      <c r="AP302" s="412"/>
      <c r="AQ302" s="412"/>
      <c r="AR302" s="412"/>
      <c r="AS302" s="412"/>
      <c r="AT302" s="412"/>
      <c r="AU302" s="412"/>
      <c r="AV302" s="412"/>
      <c r="AW302" s="412"/>
      <c r="AX302" s="412"/>
      <c r="AY302" s="412"/>
      <c r="AZ302" s="412"/>
      <c r="BA302" s="412"/>
      <c r="BB302" s="412"/>
      <c r="BC302" s="412"/>
      <c r="BD302" s="412"/>
      <c r="BE302" s="412"/>
      <c r="BF302" s="412"/>
    </row>
    <row r="303" spans="1:58" ht="12" hidden="1" customHeight="1" outlineLevel="1" x14ac:dyDescent="0.3">
      <c r="A303" s="224"/>
      <c r="B303" s="224"/>
      <c r="C303" s="224"/>
      <c r="D303" s="224"/>
      <c r="E303" s="224"/>
      <c r="F303" s="224"/>
      <c r="G303" s="224"/>
      <c r="H303" s="224"/>
      <c r="I303" s="224"/>
      <c r="J303" s="224"/>
      <c r="K303" s="224"/>
      <c r="L303" s="117"/>
      <c r="M303" s="213" t="s">
        <v>974</v>
      </c>
      <c r="N303" s="244" t="s">
        <v>77</v>
      </c>
      <c r="O303" s="150">
        <v>0</v>
      </c>
      <c r="P303" s="150">
        <v>0</v>
      </c>
      <c r="Q303" s="150">
        <v>0</v>
      </c>
      <c r="R303" s="150">
        <v>673.61111111111109</v>
      </c>
      <c r="S303" s="150">
        <v>196.38888888888889</v>
      </c>
      <c r="T303" s="150">
        <v>219.16666666666666</v>
      </c>
      <c r="U303" s="150">
        <v>191.94444444444446</v>
      </c>
      <c r="V303" s="150">
        <v>191.38888888888886</v>
      </c>
      <c r="W303" s="150">
        <v>101.11111111111111</v>
      </c>
      <c r="X303" s="150">
        <v>199.72222222222223</v>
      </c>
      <c r="Y303" s="394"/>
      <c r="Z303" s="246"/>
      <c r="AA303" s="246"/>
      <c r="AB303" s="150">
        <v>41.666666666666664</v>
      </c>
      <c r="AC303" s="153">
        <v>0.55555555555555558</v>
      </c>
      <c r="AD303" s="412"/>
      <c r="AE303" s="412"/>
      <c r="AF303" s="412"/>
      <c r="AG303" s="412"/>
      <c r="AH303" s="412"/>
      <c r="AI303" s="412"/>
      <c r="AJ303" s="412"/>
      <c r="AK303" s="412"/>
      <c r="AL303" s="412"/>
      <c r="AM303" s="412"/>
      <c r="AN303" s="412"/>
      <c r="AO303" s="412"/>
      <c r="AP303" s="412"/>
      <c r="AQ303" s="412"/>
      <c r="AR303" s="412"/>
      <c r="AS303" s="412"/>
      <c r="AT303" s="412"/>
      <c r="AU303" s="412"/>
      <c r="AV303" s="412"/>
      <c r="AW303" s="412"/>
      <c r="AX303" s="412"/>
      <c r="AY303" s="412"/>
      <c r="AZ303" s="412"/>
      <c r="BA303" s="412"/>
      <c r="BB303" s="412"/>
      <c r="BC303" s="412"/>
      <c r="BD303" s="412"/>
      <c r="BE303" s="412"/>
      <c r="BF303" s="412"/>
    </row>
    <row r="304" spans="1:58" ht="12" hidden="1" customHeight="1" outlineLevel="1" x14ac:dyDescent="0.3">
      <c r="A304" s="224"/>
      <c r="B304" s="224"/>
      <c r="C304" s="224"/>
      <c r="D304" s="224"/>
      <c r="E304" s="224"/>
      <c r="F304" s="224"/>
      <c r="G304" s="224"/>
      <c r="H304" s="224"/>
      <c r="I304" s="224"/>
      <c r="J304" s="224"/>
      <c r="K304" s="224"/>
      <c r="L304" s="117"/>
      <c r="M304" s="210" t="s">
        <v>975</v>
      </c>
      <c r="N304" s="244" t="s">
        <v>77</v>
      </c>
      <c r="O304" s="150">
        <v>480.00000000000006</v>
      </c>
      <c r="P304" s="150">
        <v>418.33333333333337</v>
      </c>
      <c r="Q304" s="150">
        <v>396.11111111111109</v>
      </c>
      <c r="R304" s="150">
        <v>365</v>
      </c>
      <c r="S304" s="150">
        <v>346.66666666666669</v>
      </c>
      <c r="T304" s="150">
        <v>411.66666666666663</v>
      </c>
      <c r="U304" s="150">
        <v>413.33333333333337</v>
      </c>
      <c r="V304" s="150">
        <v>406.94444444444451</v>
      </c>
      <c r="W304" s="150">
        <v>393.05555555555554</v>
      </c>
      <c r="X304" s="150">
        <v>365.83333333333331</v>
      </c>
      <c r="Y304" s="394"/>
      <c r="Z304" s="246"/>
      <c r="AA304" s="246"/>
      <c r="AB304" s="150">
        <v>406.38888888888886</v>
      </c>
      <c r="AC304" s="153">
        <v>455.27777777777771</v>
      </c>
      <c r="AD304" s="411">
        <f t="shared" ref="AD304:BF304" si="322">AD323+AD342+AD361+AD381+AD400+AD419+AD438+AD457+AD476+AD495+AD514</f>
        <v>450.85277777777782</v>
      </c>
      <c r="AE304" s="411">
        <f t="shared" si="322"/>
        <v>456.26301111111115</v>
      </c>
      <c r="AF304" s="411">
        <f t="shared" si="322"/>
        <v>463.10695627777773</v>
      </c>
      <c r="AG304" s="411">
        <f t="shared" si="322"/>
        <v>470.05356062194426</v>
      </c>
      <c r="AH304" s="411">
        <f t="shared" si="322"/>
        <v>477.10436403127341</v>
      </c>
      <c r="AI304" s="411">
        <f t="shared" si="322"/>
        <v>484.26092949174256</v>
      </c>
      <c r="AJ304" s="411">
        <f t="shared" si="322"/>
        <v>491.52484343411857</v>
      </c>
      <c r="AK304" s="411">
        <f t="shared" si="322"/>
        <v>498.89771608563024</v>
      </c>
      <c r="AL304" s="411">
        <f t="shared" si="322"/>
        <v>506.38118182691471</v>
      </c>
      <c r="AM304" s="411">
        <f t="shared" si="322"/>
        <v>513.97689955431838</v>
      </c>
      <c r="AN304" s="411">
        <f t="shared" si="322"/>
        <v>521.6865530476332</v>
      </c>
      <c r="AO304" s="411">
        <f t="shared" si="322"/>
        <v>529.51185134334764</v>
      </c>
      <c r="AP304" s="411">
        <f t="shared" si="322"/>
        <v>537.45452911349776</v>
      </c>
      <c r="AQ304" s="411">
        <f t="shared" si="322"/>
        <v>545.51634705020024</v>
      </c>
      <c r="AR304" s="411">
        <f t="shared" si="322"/>
        <v>553.69909225595313</v>
      </c>
      <c r="AS304" s="411">
        <f t="shared" si="322"/>
        <v>562.00457863979238</v>
      </c>
      <c r="AT304" s="411">
        <f t="shared" si="322"/>
        <v>570.43464731938923</v>
      </c>
      <c r="AU304" s="411">
        <f t="shared" si="322"/>
        <v>578.99116702917991</v>
      </c>
      <c r="AV304" s="411">
        <f t="shared" si="322"/>
        <v>587.67603453461766</v>
      </c>
      <c r="AW304" s="411">
        <f t="shared" si="322"/>
        <v>596.49117505263689</v>
      </c>
      <c r="AX304" s="411">
        <f t="shared" si="322"/>
        <v>605.4385426784263</v>
      </c>
      <c r="AY304" s="411">
        <f t="shared" si="322"/>
        <v>614.52012081860278</v>
      </c>
      <c r="AZ304" s="411">
        <f t="shared" si="322"/>
        <v>623.73792263088171</v>
      </c>
      <c r="BA304" s="411">
        <f t="shared" si="322"/>
        <v>633.0939914703448</v>
      </c>
      <c r="BB304" s="411">
        <f t="shared" si="322"/>
        <v>641.32421335945912</v>
      </c>
      <c r="BC304" s="411">
        <f t="shared" si="322"/>
        <v>649.02010391977262</v>
      </c>
      <c r="BD304" s="411">
        <f t="shared" si="322"/>
        <v>656.15932506289016</v>
      </c>
      <c r="BE304" s="411">
        <f t="shared" si="322"/>
        <v>662.72091831351906</v>
      </c>
      <c r="BF304" s="411">
        <f t="shared" si="322"/>
        <v>669.34812749665423</v>
      </c>
    </row>
    <row r="305" spans="1:58" ht="12" hidden="1" customHeight="1" outlineLevel="1" x14ac:dyDescent="0.3">
      <c r="A305" s="224"/>
      <c r="B305" s="224"/>
      <c r="C305" s="224"/>
      <c r="D305" s="224"/>
      <c r="E305" s="224"/>
      <c r="F305" s="224"/>
      <c r="G305" s="224"/>
      <c r="H305" s="224"/>
      <c r="I305" s="224"/>
      <c r="J305" s="224"/>
      <c r="K305" s="224"/>
      <c r="L305" s="117"/>
      <c r="M305" s="210" t="s">
        <v>976</v>
      </c>
      <c r="N305" s="244" t="s">
        <v>77</v>
      </c>
      <c r="O305" s="150">
        <v>2018.0555555555552</v>
      </c>
      <c r="P305" s="150">
        <v>1958.6111111111113</v>
      </c>
      <c r="Q305" s="150">
        <v>2086.1111111111109</v>
      </c>
      <c r="R305" s="150">
        <v>2053.0555555555557</v>
      </c>
      <c r="S305" s="150">
        <v>2021.3888888888887</v>
      </c>
      <c r="T305" s="150">
        <v>1959.7222222222219</v>
      </c>
      <c r="U305" s="150">
        <v>2050.8333333333335</v>
      </c>
      <c r="V305" s="150">
        <v>2188.6111111111113</v>
      </c>
      <c r="W305" s="150">
        <v>2268.8888888888887</v>
      </c>
      <c r="X305" s="150">
        <v>2048.0555555555552</v>
      </c>
      <c r="Y305" s="394"/>
      <c r="Z305" s="246"/>
      <c r="AA305" s="246"/>
      <c r="AB305" s="150">
        <v>2027.7777777777778</v>
      </c>
      <c r="AC305" s="153">
        <v>2139.4444444444448</v>
      </c>
      <c r="AD305" s="411">
        <f t="shared" ref="AD305:BF305" si="323">AD324+AD343+AD362+AD382+AD401+AD420+AD439+AD458+AD477+AD496+AD515</f>
        <v>2007.6555555555562</v>
      </c>
      <c r="AE305" s="411">
        <f t="shared" si="323"/>
        <v>2031.7474222222224</v>
      </c>
      <c r="AF305" s="411">
        <f t="shared" si="323"/>
        <v>2062.2236335555554</v>
      </c>
      <c r="AG305" s="411">
        <f t="shared" si="323"/>
        <v>2093.1569880588886</v>
      </c>
      <c r="AH305" s="411">
        <f t="shared" si="323"/>
        <v>2124.5543428797714</v>
      </c>
      <c r="AI305" s="411">
        <f t="shared" si="323"/>
        <v>2156.4226580229679</v>
      </c>
      <c r="AJ305" s="411">
        <f t="shared" si="323"/>
        <v>2188.7689978933117</v>
      </c>
      <c r="AK305" s="411">
        <f t="shared" si="323"/>
        <v>2221.6005328617116</v>
      </c>
      <c r="AL305" s="411">
        <f t="shared" si="323"/>
        <v>2254.9245408546371</v>
      </c>
      <c r="AM305" s="411">
        <f t="shared" si="323"/>
        <v>2288.7484089674567</v>
      </c>
      <c r="AN305" s="411">
        <f t="shared" si="323"/>
        <v>2323.0796351019685</v>
      </c>
      <c r="AO305" s="411">
        <f t="shared" si="323"/>
        <v>2357.9258296284975</v>
      </c>
      <c r="AP305" s="411">
        <f t="shared" si="323"/>
        <v>2393.2947170729244</v>
      </c>
      <c r="AQ305" s="411">
        <f t="shared" si="323"/>
        <v>2429.194137829018</v>
      </c>
      <c r="AR305" s="411">
        <f t="shared" si="323"/>
        <v>2465.6320498964528</v>
      </c>
      <c r="AS305" s="411">
        <f t="shared" si="323"/>
        <v>2502.6165306448988</v>
      </c>
      <c r="AT305" s="411">
        <f t="shared" si="323"/>
        <v>2540.1557786045728</v>
      </c>
      <c r="AU305" s="411">
        <f t="shared" si="323"/>
        <v>2578.2581152836415</v>
      </c>
      <c r="AV305" s="411">
        <f t="shared" si="323"/>
        <v>2616.9319870128957</v>
      </c>
      <c r="AW305" s="411">
        <f t="shared" si="323"/>
        <v>2656.1859668180882</v>
      </c>
      <c r="AX305" s="411">
        <f t="shared" si="323"/>
        <v>2696.0287563203601</v>
      </c>
      <c r="AY305" s="411">
        <f t="shared" si="323"/>
        <v>2736.469187665165</v>
      </c>
      <c r="AZ305" s="411">
        <f t="shared" si="323"/>
        <v>2777.5162254801417</v>
      </c>
      <c r="BA305" s="411">
        <f t="shared" si="323"/>
        <v>2819.1789688623439</v>
      </c>
      <c r="BB305" s="411">
        <f t="shared" si="323"/>
        <v>2855.8282954575543</v>
      </c>
      <c r="BC305" s="411">
        <f t="shared" si="323"/>
        <v>2890.0982350030445</v>
      </c>
      <c r="BD305" s="411">
        <f t="shared" si="323"/>
        <v>2921.8893155880783</v>
      </c>
      <c r="BE305" s="411">
        <f t="shared" si="323"/>
        <v>2951.108208743959</v>
      </c>
      <c r="BF305" s="411">
        <f t="shared" si="323"/>
        <v>2980.6192908313988</v>
      </c>
    </row>
    <row r="306" spans="1:58" ht="12" hidden="1" customHeight="1" outlineLevel="1" x14ac:dyDescent="0.3">
      <c r="A306" s="224"/>
      <c r="B306" s="224"/>
      <c r="C306" s="224"/>
      <c r="D306" s="224"/>
      <c r="E306" s="224"/>
      <c r="F306" s="224"/>
      <c r="G306" s="224"/>
      <c r="H306" s="224"/>
      <c r="I306" s="224"/>
      <c r="J306" s="224"/>
      <c r="K306" s="224"/>
      <c r="L306" s="117"/>
      <c r="M306" s="210" t="s">
        <v>977</v>
      </c>
      <c r="N306" s="244" t="s">
        <v>77</v>
      </c>
      <c r="O306" s="150">
        <v>1211.3888888888889</v>
      </c>
      <c r="P306" s="150">
        <v>1270.2777777777778</v>
      </c>
      <c r="Q306" s="150">
        <v>886.66666666666674</v>
      </c>
      <c r="R306" s="150">
        <v>958.61111111111109</v>
      </c>
      <c r="S306" s="150">
        <v>1035.8333333333333</v>
      </c>
      <c r="T306" s="150">
        <v>1266.6666666666667</v>
      </c>
      <c r="U306" s="150">
        <v>126.66666666666666</v>
      </c>
      <c r="V306" s="150">
        <v>272.77777777777777</v>
      </c>
      <c r="W306" s="150">
        <v>384.16666666666657</v>
      </c>
      <c r="X306" s="150">
        <v>161.38888888888889</v>
      </c>
      <c r="Y306" s="394"/>
      <c r="Z306" s="246"/>
      <c r="AA306" s="246"/>
      <c r="AB306" s="150">
        <v>212.49999999999997</v>
      </c>
      <c r="AC306" s="153">
        <v>125</v>
      </c>
      <c r="AD306" s="411">
        <f t="shared" ref="AD306:BF306" si="324">AD325+AD344+AD363+AD383+AD402+AD421+AD440+AD459+AD478+AD497+AD516</f>
        <v>214.62500000000006</v>
      </c>
      <c r="AE306" s="411">
        <f t="shared" si="324"/>
        <v>217.20050000000006</v>
      </c>
      <c r="AF306" s="411">
        <f t="shared" si="324"/>
        <v>220.4585075</v>
      </c>
      <c r="AG306" s="411">
        <f t="shared" si="324"/>
        <v>223.76538511250001</v>
      </c>
      <c r="AH306" s="411">
        <f t="shared" si="324"/>
        <v>227.12186588918749</v>
      </c>
      <c r="AI306" s="411">
        <f t="shared" si="324"/>
        <v>230.52869387752526</v>
      </c>
      <c r="AJ306" s="411">
        <f t="shared" si="324"/>
        <v>233.98662428568818</v>
      </c>
      <c r="AK306" s="411">
        <f t="shared" si="324"/>
        <v>237.49642364997345</v>
      </c>
      <c r="AL306" s="411">
        <f t="shared" si="324"/>
        <v>241.05887000472299</v>
      </c>
      <c r="AM306" s="411">
        <f t="shared" si="324"/>
        <v>244.67475305479383</v>
      </c>
      <c r="AN306" s="411">
        <f t="shared" si="324"/>
        <v>248.34487435061575</v>
      </c>
      <c r="AO306" s="411">
        <f t="shared" si="324"/>
        <v>252.07004746587492</v>
      </c>
      <c r="AP306" s="411">
        <f t="shared" si="324"/>
        <v>255.85109817786307</v>
      </c>
      <c r="AQ306" s="411">
        <f t="shared" si="324"/>
        <v>259.68886465053095</v>
      </c>
      <c r="AR306" s="411">
        <f t="shared" si="324"/>
        <v>263.58419762028888</v>
      </c>
      <c r="AS306" s="411">
        <f t="shared" si="324"/>
        <v>267.53796058459318</v>
      </c>
      <c r="AT306" s="411">
        <f t="shared" si="324"/>
        <v>271.55102999336208</v>
      </c>
      <c r="AU306" s="411">
        <f t="shared" si="324"/>
        <v>275.6242954432625</v>
      </c>
      <c r="AV306" s="411">
        <f t="shared" si="324"/>
        <v>279.75865987491136</v>
      </c>
      <c r="AW306" s="411">
        <f t="shared" si="324"/>
        <v>283.95503977303503</v>
      </c>
      <c r="AX306" s="411">
        <f t="shared" si="324"/>
        <v>288.21436536963057</v>
      </c>
      <c r="AY306" s="411">
        <f t="shared" si="324"/>
        <v>292.537580850175</v>
      </c>
      <c r="AZ306" s="411">
        <f t="shared" si="324"/>
        <v>296.92564456292757</v>
      </c>
      <c r="BA306" s="411">
        <f t="shared" si="324"/>
        <v>301.37952923137152</v>
      </c>
      <c r="BB306" s="411">
        <f t="shared" si="324"/>
        <v>305.29746311137927</v>
      </c>
      <c r="BC306" s="411">
        <f t="shared" si="324"/>
        <v>308.96103266871586</v>
      </c>
      <c r="BD306" s="411">
        <f t="shared" si="324"/>
        <v>312.35960402807171</v>
      </c>
      <c r="BE306" s="411">
        <f t="shared" si="324"/>
        <v>315.48320006835229</v>
      </c>
      <c r="BF306" s="411">
        <f t="shared" si="324"/>
        <v>318.63803206903594</v>
      </c>
    </row>
    <row r="307" spans="1:58" ht="12" hidden="1" customHeight="1" outlineLevel="1" x14ac:dyDescent="0.3">
      <c r="A307" s="224"/>
      <c r="B307" s="224" t="s">
        <v>978</v>
      </c>
      <c r="C307" s="224"/>
      <c r="D307" s="224" t="s">
        <v>885</v>
      </c>
      <c r="E307" s="224"/>
      <c r="F307" s="224"/>
      <c r="G307" s="224"/>
      <c r="H307" s="224"/>
      <c r="I307" s="224"/>
      <c r="J307" s="224"/>
      <c r="K307" s="224"/>
      <c r="L307" s="117"/>
      <c r="M307" s="214" t="s">
        <v>979</v>
      </c>
      <c r="N307" s="247" t="s">
        <v>77</v>
      </c>
      <c r="O307" s="413">
        <f>O292+O296+O299+O304+O305+O306</f>
        <v>6191.9444444444434</v>
      </c>
      <c r="P307" s="413">
        <f t="shared" ref="P307:X307" si="325">P292+P296+P299+P304+P305+P306</f>
        <v>6147.5</v>
      </c>
      <c r="Q307" s="413">
        <f t="shared" si="325"/>
        <v>5822.4999999999991</v>
      </c>
      <c r="R307" s="413">
        <f t="shared" si="325"/>
        <v>6709.166666666667</v>
      </c>
      <c r="S307" s="413">
        <f t="shared" si="325"/>
        <v>5767.7777777777765</v>
      </c>
      <c r="T307" s="413">
        <f t="shared" si="325"/>
        <v>5541.9444444444443</v>
      </c>
      <c r="U307" s="413">
        <f t="shared" si="325"/>
        <v>4485.0000000000009</v>
      </c>
      <c r="V307" s="413">
        <f t="shared" si="325"/>
        <v>4725.5555555555547</v>
      </c>
      <c r="W307" s="413">
        <f t="shared" si="325"/>
        <v>4947.5</v>
      </c>
      <c r="X307" s="413">
        <f t="shared" si="325"/>
        <v>4677.7777777777774</v>
      </c>
      <c r="Y307" s="394"/>
      <c r="Z307" s="246"/>
      <c r="AA307" s="246"/>
      <c r="AB307" s="413">
        <f>AB292+AB296+AB299+AB304+AB305+AB306</f>
        <v>4067.5</v>
      </c>
      <c r="AC307" s="414">
        <f>AC292+AC296+AC299+AC304+AC305+AC306</f>
        <v>3968.0555555555561</v>
      </c>
      <c r="AD307" s="411">
        <f t="shared" ref="AD307:BF307" si="326">SUM(AD292:AD306)</f>
        <v>4109.5777777777785</v>
      </c>
      <c r="AE307" s="411">
        <f t="shared" si="326"/>
        <v>4158.8927111111116</v>
      </c>
      <c r="AF307" s="411">
        <f t="shared" si="326"/>
        <v>4221.2761017777775</v>
      </c>
      <c r="AG307" s="411">
        <f t="shared" si="326"/>
        <v>4284.5952433044431</v>
      </c>
      <c r="AH307" s="411">
        <f t="shared" si="326"/>
        <v>4348.8641719540101</v>
      </c>
      <c r="AI307" s="411">
        <f t="shared" si="326"/>
        <v>4414.0971345333191</v>
      </c>
      <c r="AJ307" s="411">
        <f t="shared" si="326"/>
        <v>4480.3085915513184</v>
      </c>
      <c r="AK307" s="411">
        <f t="shared" si="326"/>
        <v>4547.5132204245883</v>
      </c>
      <c r="AL307" s="411">
        <f t="shared" si="326"/>
        <v>4615.7259187309564</v>
      </c>
      <c r="AM307" s="411">
        <f t="shared" si="326"/>
        <v>4684.9618075119206</v>
      </c>
      <c r="AN307" s="411">
        <f t="shared" si="326"/>
        <v>4755.2362346245991</v>
      </c>
      <c r="AO307" s="411">
        <f t="shared" si="326"/>
        <v>4826.5647781439675</v>
      </c>
      <c r="AP307" s="411">
        <f t="shared" si="326"/>
        <v>4898.9632498161254</v>
      </c>
      <c r="AQ307" s="411">
        <f t="shared" si="326"/>
        <v>4972.4476985633673</v>
      </c>
      <c r="AR307" s="411">
        <f t="shared" si="326"/>
        <v>5047.0344140418174</v>
      </c>
      <c r="AS307" s="411">
        <f t="shared" si="326"/>
        <v>5122.7399302524436</v>
      </c>
      <c r="AT307" s="411">
        <f t="shared" si="326"/>
        <v>5199.5810292062306</v>
      </c>
      <c r="AU307" s="411">
        <f t="shared" si="326"/>
        <v>5277.5747446443247</v>
      </c>
      <c r="AV307" s="411">
        <f t="shared" si="326"/>
        <v>5356.7383658139879</v>
      </c>
      <c r="AW307" s="411">
        <f t="shared" si="326"/>
        <v>5437.0894413011965</v>
      </c>
      <c r="AX307" s="411">
        <f t="shared" si="326"/>
        <v>5518.6457829207138</v>
      </c>
      <c r="AY307" s="411">
        <f t="shared" si="326"/>
        <v>5601.4254696645248</v>
      </c>
      <c r="AZ307" s="411">
        <f t="shared" si="326"/>
        <v>5685.4468517094901</v>
      </c>
      <c r="BA307" s="411">
        <f t="shared" si="326"/>
        <v>5770.7285544851338</v>
      </c>
      <c r="BB307" s="411">
        <f t="shared" si="326"/>
        <v>5845.7480256934396</v>
      </c>
      <c r="BC307" s="411">
        <f t="shared" si="326"/>
        <v>5915.8970020017605</v>
      </c>
      <c r="BD307" s="411">
        <f t="shared" si="326"/>
        <v>5980.9718690237805</v>
      </c>
      <c r="BE307" s="411">
        <f t="shared" si="326"/>
        <v>6040.7815877140183</v>
      </c>
      <c r="BF307" s="411">
        <f t="shared" si="326"/>
        <v>6101.1894035911582</v>
      </c>
    </row>
    <row r="308" spans="1:58" ht="12" hidden="1" customHeight="1" outlineLevel="1" x14ac:dyDescent="0.3">
      <c r="A308" s="224"/>
      <c r="B308" s="224"/>
      <c r="C308" s="224"/>
      <c r="D308" s="224"/>
      <c r="E308" s="224"/>
      <c r="F308" s="224"/>
      <c r="G308" s="224"/>
      <c r="H308" s="224"/>
      <c r="I308" s="224"/>
      <c r="J308" s="224"/>
      <c r="K308" s="224"/>
      <c r="L308" s="117"/>
      <c r="M308" s="223" t="s">
        <v>980</v>
      </c>
      <c r="N308" s="216" t="s">
        <v>68</v>
      </c>
      <c r="O308" s="415">
        <f>IFERROR((O293+O294+O295+O297+O298+O300+O301+O302+O303+O304+O305+O306)/O307,"")</f>
        <v>1</v>
      </c>
      <c r="P308" s="415">
        <f t="shared" ref="P308:X308" si="327">IFERROR((P293+P294+P295+P297+P298+P300+P301+P302+P303+P304+P305+P306)/P307,"")</f>
        <v>1</v>
      </c>
      <c r="Q308" s="415">
        <f t="shared" si="327"/>
        <v>1</v>
      </c>
      <c r="R308" s="415">
        <f t="shared" si="327"/>
        <v>1</v>
      </c>
      <c r="S308" s="415">
        <f t="shared" si="327"/>
        <v>1</v>
      </c>
      <c r="T308" s="415">
        <f t="shared" si="327"/>
        <v>1</v>
      </c>
      <c r="U308" s="415">
        <f t="shared" si="327"/>
        <v>1</v>
      </c>
      <c r="V308" s="415">
        <f t="shared" si="327"/>
        <v>1</v>
      </c>
      <c r="W308" s="415">
        <f t="shared" si="327"/>
        <v>1</v>
      </c>
      <c r="X308" s="415">
        <f t="shared" si="327"/>
        <v>1</v>
      </c>
      <c r="Y308" s="394"/>
      <c r="Z308" s="219"/>
      <c r="AA308" s="219"/>
      <c r="AB308" s="415">
        <f>IFERROR((AB293+AB294+AB295+AB297+AB298+AB300+AB301+AB302+AB303+AB304+AB305+AB306)/AB307,"")</f>
        <v>1</v>
      </c>
      <c r="AC308" s="415">
        <f>IFERROR((AC293+AC294+AC295+AC297+AC298+AC300+AC301+AC302+AC303+AC304+AC305+AC306)/AC307,"")</f>
        <v>1</v>
      </c>
      <c r="AD308" s="224"/>
      <c r="AE308" s="224"/>
      <c r="AF308" s="224"/>
      <c r="AG308" s="224"/>
      <c r="AH308" s="224"/>
      <c r="AI308" s="224"/>
      <c r="AJ308" s="224"/>
      <c r="AK308" s="224"/>
      <c r="AL308" s="224"/>
      <c r="AM308" s="224"/>
      <c r="AN308" s="224"/>
      <c r="AO308" s="224"/>
      <c r="AP308" s="224"/>
      <c r="AQ308" s="224"/>
      <c r="AR308" s="224"/>
      <c r="AS308" s="224"/>
      <c r="AT308" s="224"/>
      <c r="AU308" s="224"/>
      <c r="AV308" s="224"/>
      <c r="AW308" s="224"/>
      <c r="AX308" s="224"/>
      <c r="AY308" s="224"/>
      <c r="AZ308" s="224"/>
      <c r="BA308" s="224"/>
      <c r="BB308" s="224"/>
      <c r="BC308" s="224"/>
      <c r="BD308" s="224"/>
      <c r="BE308" s="224"/>
      <c r="BF308" s="224"/>
    </row>
    <row r="309" spans="1:58" ht="12" hidden="1" customHeight="1" outlineLevel="1" x14ac:dyDescent="0.3">
      <c r="A309" s="224"/>
      <c r="B309" s="224"/>
      <c r="C309" s="224"/>
      <c r="D309" s="224"/>
      <c r="E309" s="224"/>
      <c r="F309" s="224"/>
      <c r="G309" s="224"/>
      <c r="H309" s="224"/>
      <c r="I309" s="224"/>
      <c r="J309" s="224"/>
      <c r="K309" s="224"/>
      <c r="L309" s="117"/>
      <c r="M309" s="210"/>
      <c r="N309" s="210"/>
      <c r="O309" s="415">
        <f>IFERROR((O292+O296+O299+O304+O305+O306)/O307,"")</f>
        <v>1</v>
      </c>
      <c r="P309" s="415">
        <f t="shared" ref="P309:X309" si="328">IFERROR((P292+P296+P299+P304+P305+P306)/P307,"")</f>
        <v>1</v>
      </c>
      <c r="Q309" s="415">
        <f t="shared" si="328"/>
        <v>1</v>
      </c>
      <c r="R309" s="415">
        <f t="shared" si="328"/>
        <v>1</v>
      </c>
      <c r="S309" s="415">
        <f t="shared" si="328"/>
        <v>1</v>
      </c>
      <c r="T309" s="415">
        <f t="shared" si="328"/>
        <v>1</v>
      </c>
      <c r="U309" s="415">
        <f t="shared" si="328"/>
        <v>1</v>
      </c>
      <c r="V309" s="415">
        <f t="shared" si="328"/>
        <v>1</v>
      </c>
      <c r="W309" s="415">
        <f t="shared" si="328"/>
        <v>1</v>
      </c>
      <c r="X309" s="415">
        <f t="shared" si="328"/>
        <v>1</v>
      </c>
      <c r="Y309" s="394"/>
      <c r="Z309" s="219"/>
      <c r="AA309" s="219"/>
      <c r="AB309" s="415">
        <f>IFERROR((AB292+AB296+AB299+AB304+AB305+AB306)/AB307,"")</f>
        <v>1</v>
      </c>
      <c r="AC309" s="415">
        <f>IFERROR((AC292+AC296+AC299+AC304+AC305+AC306)/AC307,"")</f>
        <v>1</v>
      </c>
      <c r="AD309" s="224"/>
      <c r="AE309" s="224"/>
      <c r="AF309" s="224"/>
      <c r="AG309" s="224"/>
      <c r="AH309" s="224"/>
      <c r="AI309" s="224"/>
      <c r="AJ309" s="224"/>
      <c r="AK309" s="224"/>
      <c r="AL309" s="224"/>
      <c r="AM309" s="224"/>
      <c r="AN309" s="224"/>
      <c r="AO309" s="224"/>
      <c r="AP309" s="224"/>
      <c r="AQ309" s="224"/>
      <c r="AR309" s="224"/>
      <c r="AS309" s="224"/>
      <c r="AT309" s="224"/>
      <c r="AU309" s="224"/>
      <c r="AV309" s="224"/>
      <c r="AW309" s="224"/>
      <c r="AX309" s="224"/>
      <c r="AY309" s="224"/>
      <c r="AZ309" s="224"/>
      <c r="BA309" s="224"/>
      <c r="BB309" s="224"/>
      <c r="BC309" s="224"/>
      <c r="BD309" s="224"/>
      <c r="BE309" s="224"/>
      <c r="BF309" s="224"/>
    </row>
    <row r="310" spans="1:58" ht="12" hidden="1" customHeight="1" outlineLevel="2" x14ac:dyDescent="0.3">
      <c r="A310" s="224"/>
      <c r="B310" s="224"/>
      <c r="C310" s="224"/>
      <c r="D310" s="224"/>
      <c r="E310" s="224"/>
      <c r="F310" s="224"/>
      <c r="G310" s="224"/>
      <c r="H310" s="224"/>
      <c r="I310" s="224"/>
      <c r="J310" s="224"/>
      <c r="K310" s="224"/>
      <c r="L310" s="117"/>
      <c r="M310" s="211" t="s">
        <v>981</v>
      </c>
      <c r="N310" s="210"/>
      <c r="O310" s="210"/>
      <c r="P310" s="210"/>
      <c r="Q310" s="210"/>
      <c r="R310" s="210"/>
      <c r="S310" s="210"/>
      <c r="T310" s="210"/>
      <c r="U310" s="210"/>
      <c r="V310" s="210"/>
      <c r="W310" s="210"/>
      <c r="X310" s="210"/>
      <c r="Y310" s="394"/>
      <c r="Z310" s="219"/>
      <c r="AA310" s="219"/>
      <c r="AB310" s="210"/>
      <c r="AC310" s="210"/>
      <c r="AD310" s="224"/>
      <c r="AE310" s="224"/>
      <c r="AF310" s="224"/>
      <c r="AG310" s="224"/>
      <c r="AH310" s="224"/>
      <c r="AI310" s="224"/>
      <c r="AJ310" s="224"/>
      <c r="AK310" s="224"/>
      <c r="AL310" s="224"/>
      <c r="AM310" s="224"/>
      <c r="AN310" s="224"/>
      <c r="AO310" s="224"/>
      <c r="AP310" s="224"/>
      <c r="AQ310" s="224"/>
      <c r="AR310" s="224"/>
      <c r="AS310" s="224"/>
      <c r="AT310" s="224"/>
      <c r="AU310" s="224"/>
      <c r="AV310" s="224"/>
      <c r="AW310" s="224"/>
      <c r="AX310" s="224"/>
      <c r="AY310" s="224"/>
      <c r="AZ310" s="224"/>
      <c r="BA310" s="224"/>
      <c r="BB310" s="224"/>
      <c r="BC310" s="224"/>
      <c r="BD310" s="224"/>
      <c r="BE310" s="224"/>
      <c r="BF310" s="224"/>
    </row>
    <row r="311" spans="1:58" ht="12" hidden="1" customHeight="1" outlineLevel="2" x14ac:dyDescent="0.3">
      <c r="A311" s="224"/>
      <c r="B311" s="224"/>
      <c r="C311" s="224"/>
      <c r="D311" s="224"/>
      <c r="E311" s="224"/>
      <c r="F311" s="224"/>
      <c r="G311" s="224"/>
      <c r="H311" s="224"/>
      <c r="I311" s="224"/>
      <c r="J311" s="224"/>
      <c r="K311" s="224"/>
      <c r="L311" s="117"/>
      <c r="M311" s="210" t="s">
        <v>982</v>
      </c>
      <c r="N311" s="244" t="s">
        <v>77</v>
      </c>
      <c r="O311" s="409">
        <f>SUM(O312:O314)</f>
        <v>158.05555555555554</v>
      </c>
      <c r="P311" s="409">
        <f t="shared" ref="P311" si="329">SUM(P312:P314)</f>
        <v>76.388888888888886</v>
      </c>
      <c r="Q311" s="409">
        <f t="shared" ref="Q311" si="330">SUM(Q312:Q314)</f>
        <v>88.055555555555557</v>
      </c>
      <c r="R311" s="409">
        <f t="shared" ref="R311" si="331">SUM(R312:R314)</f>
        <v>124.16666666666666</v>
      </c>
      <c r="S311" s="409">
        <f t="shared" ref="S311" si="332">SUM(S312:S314)</f>
        <v>124.16666666666666</v>
      </c>
      <c r="T311" s="409">
        <f t="shared" ref="T311" si="333">SUM(T312:T314)</f>
        <v>123.33333333333333</v>
      </c>
      <c r="U311" s="409">
        <f t="shared" ref="U311" si="334">SUM(U312:U314)</f>
        <v>136.94444444444443</v>
      </c>
      <c r="V311" s="409">
        <f t="shared" ref="V311" si="335">SUM(V312:V314)</f>
        <v>46.666666666666671</v>
      </c>
      <c r="W311" s="409">
        <f t="shared" ref="W311" si="336">SUM(W312:W314)</f>
        <v>23.611111111111111</v>
      </c>
      <c r="X311" s="409">
        <f t="shared" ref="X311" si="337">SUM(X312:X314)</f>
        <v>138.33333333333334</v>
      </c>
      <c r="Y311" s="394"/>
      <c r="Z311" s="249"/>
      <c r="AA311" s="249"/>
      <c r="AB311" s="409">
        <f t="shared" ref="AB311" si="338">SUM(AB312:AB314)</f>
        <v>104.72222222222221</v>
      </c>
      <c r="AC311" s="410">
        <f t="shared" ref="AC311" si="339">SUM(AC312:AC314)</f>
        <v>83.888888888888886</v>
      </c>
      <c r="AD311" s="411">
        <f>AB311*AD$254/$AB$254</f>
        <v>105.76944444444443</v>
      </c>
      <c r="AE311" s="411">
        <f>AD311*AE$254/AD$254</f>
        <v>107.03867777777778</v>
      </c>
      <c r="AF311" s="411">
        <f t="shared" ref="AF311:BF311" si="340">AE311*AF$254/AE$254</f>
        <v>108.64425794444443</v>
      </c>
      <c r="AG311" s="411">
        <f t="shared" si="340"/>
        <v>110.2739218136111</v>
      </c>
      <c r="AH311" s="411">
        <f t="shared" si="340"/>
        <v>111.92803064081525</v>
      </c>
      <c r="AI311" s="411">
        <f t="shared" si="340"/>
        <v>113.60695110042747</v>
      </c>
      <c r="AJ311" s="411">
        <f t="shared" si="340"/>
        <v>115.31105536693387</v>
      </c>
      <c r="AK311" s="411">
        <f t="shared" si="340"/>
        <v>117.04072119743788</v>
      </c>
      <c r="AL311" s="411">
        <f t="shared" si="340"/>
        <v>118.79633201539943</v>
      </c>
      <c r="AM311" s="411">
        <f t="shared" si="340"/>
        <v>120.57827699563042</v>
      </c>
      <c r="AN311" s="411">
        <f t="shared" si="340"/>
        <v>122.38695115056485</v>
      </c>
      <c r="AO311" s="411">
        <f t="shared" si="340"/>
        <v>124.22275541782332</v>
      </c>
      <c r="AP311" s="411">
        <f t="shared" si="340"/>
        <v>126.08609674909066</v>
      </c>
      <c r="AQ311" s="411">
        <f t="shared" si="340"/>
        <v>127.97738820032701</v>
      </c>
      <c r="AR311" s="411">
        <f t="shared" si="340"/>
        <v>129.89704902333193</v>
      </c>
      <c r="AS311" s="411">
        <f t="shared" si="340"/>
        <v>131.8455047586819</v>
      </c>
      <c r="AT311" s="411">
        <f t="shared" si="340"/>
        <v>133.8231873300621</v>
      </c>
      <c r="AU311" s="411">
        <f t="shared" si="340"/>
        <v>135.83053514001301</v>
      </c>
      <c r="AV311" s="411">
        <f t="shared" si="340"/>
        <v>137.86799316711318</v>
      </c>
      <c r="AW311" s="411">
        <f t="shared" si="340"/>
        <v>139.93601306461989</v>
      </c>
      <c r="AX311" s="411">
        <f t="shared" si="340"/>
        <v>142.03505326058917</v>
      </c>
      <c r="AY311" s="411">
        <f t="shared" si="340"/>
        <v>144.16557905949799</v>
      </c>
      <c r="AZ311" s="411">
        <f t="shared" si="340"/>
        <v>146.32806274539044</v>
      </c>
      <c r="BA311" s="411">
        <f t="shared" si="340"/>
        <v>148.52298368657128</v>
      </c>
      <c r="BB311" s="411">
        <f t="shared" si="340"/>
        <v>150.45378247449671</v>
      </c>
      <c r="BC311" s="411">
        <f t="shared" si="340"/>
        <v>152.25922786419068</v>
      </c>
      <c r="BD311" s="411">
        <f t="shared" si="340"/>
        <v>153.93407937069676</v>
      </c>
      <c r="BE311" s="411">
        <f t="shared" si="340"/>
        <v>155.47342016440376</v>
      </c>
      <c r="BF311" s="411">
        <f t="shared" si="340"/>
        <v>157.0281543660478</v>
      </c>
    </row>
    <row r="312" spans="1:58" ht="12" hidden="1" customHeight="1" outlineLevel="2" x14ac:dyDescent="0.3">
      <c r="A312" s="224"/>
      <c r="B312" s="224"/>
      <c r="C312" s="224"/>
      <c r="D312" s="224"/>
      <c r="E312" s="224"/>
      <c r="F312" s="224"/>
      <c r="G312" s="224"/>
      <c r="H312" s="224"/>
      <c r="I312" s="224"/>
      <c r="J312" s="224"/>
      <c r="K312" s="224"/>
      <c r="L312" s="117"/>
      <c r="M312" s="213" t="s">
        <v>964</v>
      </c>
      <c r="N312" s="244" t="s">
        <v>77</v>
      </c>
      <c r="O312" s="150">
        <v>58.888888888888886</v>
      </c>
      <c r="P312" s="150">
        <v>0</v>
      </c>
      <c r="Q312" s="150">
        <v>11.666666666666666</v>
      </c>
      <c r="R312" s="150">
        <v>58.888888888888886</v>
      </c>
      <c r="S312" s="150">
        <v>58.888888888888886</v>
      </c>
      <c r="T312" s="150">
        <v>46.944444444444443</v>
      </c>
      <c r="U312" s="150">
        <v>58.888888888888886</v>
      </c>
      <c r="V312" s="150">
        <v>21.666666666666668</v>
      </c>
      <c r="W312" s="150">
        <v>23.611111111111111</v>
      </c>
      <c r="X312" s="150">
        <v>45.833333333333336</v>
      </c>
      <c r="Y312" s="394"/>
      <c r="Z312" s="246"/>
      <c r="AA312" s="246"/>
      <c r="AB312" s="150">
        <v>28.333333333333336</v>
      </c>
      <c r="AC312" s="153">
        <v>35.277777777777779</v>
      </c>
      <c r="AD312" s="412"/>
      <c r="AE312" s="412"/>
      <c r="AF312" s="412"/>
      <c r="AG312" s="412"/>
      <c r="AH312" s="412"/>
      <c r="AI312" s="412"/>
      <c r="AJ312" s="412"/>
      <c r="AK312" s="412"/>
      <c r="AL312" s="412"/>
      <c r="AM312" s="412"/>
      <c r="AN312" s="412"/>
      <c r="AO312" s="412"/>
      <c r="AP312" s="412"/>
      <c r="AQ312" s="412"/>
      <c r="AR312" s="412"/>
      <c r="AS312" s="412"/>
      <c r="AT312" s="412"/>
      <c r="AU312" s="412"/>
      <c r="AV312" s="412"/>
      <c r="AW312" s="412"/>
      <c r="AX312" s="412"/>
      <c r="AY312" s="412"/>
      <c r="AZ312" s="412"/>
      <c r="BA312" s="412"/>
      <c r="BB312" s="412"/>
      <c r="BC312" s="412"/>
      <c r="BD312" s="412"/>
      <c r="BE312" s="412"/>
      <c r="BF312" s="412"/>
    </row>
    <row r="313" spans="1:58" ht="12" hidden="1" customHeight="1" outlineLevel="2" x14ac:dyDescent="0.3">
      <c r="A313" s="224"/>
      <c r="B313" s="224"/>
      <c r="C313" s="224"/>
      <c r="D313" s="224"/>
      <c r="E313" s="224"/>
      <c r="F313" s="224"/>
      <c r="G313" s="224"/>
      <c r="H313" s="224"/>
      <c r="I313" s="224"/>
      <c r="J313" s="224"/>
      <c r="K313" s="224"/>
      <c r="L313" s="117"/>
      <c r="M313" s="213" t="s">
        <v>965</v>
      </c>
      <c r="N313" s="244" t="s">
        <v>77</v>
      </c>
      <c r="O313" s="150">
        <v>99.166666666666657</v>
      </c>
      <c r="P313" s="150">
        <v>76.388888888888886</v>
      </c>
      <c r="Q313" s="150">
        <v>76.388888888888886</v>
      </c>
      <c r="R313" s="150">
        <v>65.277777777777771</v>
      </c>
      <c r="S313" s="150">
        <v>65.277777777777771</v>
      </c>
      <c r="T313" s="150">
        <v>76.388888888888886</v>
      </c>
      <c r="U313" s="150">
        <v>65.277777777777771</v>
      </c>
      <c r="V313" s="150">
        <v>0</v>
      </c>
      <c r="W313" s="150">
        <v>0</v>
      </c>
      <c r="X313" s="150">
        <v>67.5</v>
      </c>
      <c r="Y313" s="394"/>
      <c r="Z313" s="246"/>
      <c r="AA313" s="246"/>
      <c r="AB313" s="150">
        <v>66.944444444444443</v>
      </c>
      <c r="AC313" s="153">
        <v>42.777777777777779</v>
      </c>
      <c r="AD313" s="412"/>
      <c r="AE313" s="412"/>
      <c r="AF313" s="412"/>
      <c r="AG313" s="412"/>
      <c r="AH313" s="412"/>
      <c r="AI313" s="412"/>
      <c r="AJ313" s="412"/>
      <c r="AK313" s="412"/>
      <c r="AL313" s="412"/>
      <c r="AM313" s="412"/>
      <c r="AN313" s="412"/>
      <c r="AO313" s="412"/>
      <c r="AP313" s="412"/>
      <c r="AQ313" s="412"/>
      <c r="AR313" s="412"/>
      <c r="AS313" s="412"/>
      <c r="AT313" s="412"/>
      <c r="AU313" s="412"/>
      <c r="AV313" s="412"/>
      <c r="AW313" s="412"/>
      <c r="AX313" s="412"/>
      <c r="AY313" s="412"/>
      <c r="AZ313" s="412"/>
      <c r="BA313" s="412"/>
      <c r="BB313" s="412"/>
      <c r="BC313" s="412"/>
      <c r="BD313" s="412"/>
      <c r="BE313" s="412"/>
      <c r="BF313" s="412"/>
    </row>
    <row r="314" spans="1:58" ht="12" hidden="1" customHeight="1" outlineLevel="2" x14ac:dyDescent="0.3">
      <c r="A314" s="224"/>
      <c r="B314" s="224"/>
      <c r="C314" s="224"/>
      <c r="D314" s="224"/>
      <c r="E314" s="224"/>
      <c r="F314" s="224"/>
      <c r="G314" s="224"/>
      <c r="H314" s="224"/>
      <c r="I314" s="224"/>
      <c r="J314" s="224"/>
      <c r="K314" s="224"/>
      <c r="L314" s="117"/>
      <c r="M314" s="213" t="s">
        <v>966</v>
      </c>
      <c r="N314" s="244" t="s">
        <v>77</v>
      </c>
      <c r="O314" s="150">
        <v>0</v>
      </c>
      <c r="P314" s="150">
        <v>0</v>
      </c>
      <c r="Q314" s="150">
        <v>0</v>
      </c>
      <c r="R314" s="150">
        <v>0</v>
      </c>
      <c r="S314" s="150">
        <v>0</v>
      </c>
      <c r="T314" s="150">
        <v>0</v>
      </c>
      <c r="U314" s="150">
        <v>12.777777777777777</v>
      </c>
      <c r="V314" s="150">
        <v>25</v>
      </c>
      <c r="W314" s="150">
        <v>0</v>
      </c>
      <c r="X314" s="150">
        <v>25</v>
      </c>
      <c r="Y314" s="394"/>
      <c r="Z314" s="246"/>
      <c r="AA314" s="246"/>
      <c r="AB314" s="150">
        <v>9.4444444444444446</v>
      </c>
      <c r="AC314" s="153">
        <v>5.833333333333333</v>
      </c>
      <c r="AD314" s="412"/>
      <c r="AE314" s="412"/>
      <c r="AF314" s="412"/>
      <c r="AG314" s="412"/>
      <c r="AH314" s="412"/>
      <c r="AI314" s="412"/>
      <c r="AJ314" s="412"/>
      <c r="AK314" s="412"/>
      <c r="AL314" s="412"/>
      <c r="AM314" s="412"/>
      <c r="AN314" s="412"/>
      <c r="AO314" s="412"/>
      <c r="AP314" s="412"/>
      <c r="AQ314" s="412"/>
      <c r="AR314" s="412"/>
      <c r="AS314" s="412"/>
      <c r="AT314" s="412"/>
      <c r="AU314" s="412"/>
      <c r="AV314" s="412"/>
      <c r="AW314" s="412"/>
      <c r="AX314" s="412"/>
      <c r="AY314" s="412"/>
      <c r="AZ314" s="412"/>
      <c r="BA314" s="412"/>
      <c r="BB314" s="412"/>
      <c r="BC314" s="412"/>
      <c r="BD314" s="412"/>
      <c r="BE314" s="412"/>
      <c r="BF314" s="412"/>
    </row>
    <row r="315" spans="1:58" ht="12" hidden="1" customHeight="1" outlineLevel="2" x14ac:dyDescent="0.3">
      <c r="A315" s="224"/>
      <c r="B315" s="224"/>
      <c r="C315" s="224"/>
      <c r="D315" s="224"/>
      <c r="E315" s="224"/>
      <c r="F315" s="224"/>
      <c r="G315" s="224"/>
      <c r="H315" s="224"/>
      <c r="I315" s="224"/>
      <c r="J315" s="224"/>
      <c r="K315" s="224"/>
      <c r="L315" s="117"/>
      <c r="M315" s="210" t="s">
        <v>983</v>
      </c>
      <c r="N315" s="244" t="s">
        <v>77</v>
      </c>
      <c r="O315" s="409">
        <f>SUM(O316:O317)</f>
        <v>305</v>
      </c>
      <c r="P315" s="409">
        <f t="shared" ref="P315" si="341">SUM(P316:P317)</f>
        <v>302.5</v>
      </c>
      <c r="Q315" s="409">
        <f t="shared" ref="Q315" si="342">SUM(Q316:Q317)</f>
        <v>256.9444444444444</v>
      </c>
      <c r="R315" s="409">
        <f t="shared" ref="R315" si="343">SUM(R316:R317)</f>
        <v>295.55555555555554</v>
      </c>
      <c r="S315" s="409">
        <f t="shared" ref="S315" si="344">SUM(S316:S317)</f>
        <v>256.9444444444444</v>
      </c>
      <c r="T315" s="409">
        <f t="shared" ref="T315" si="345">SUM(T316:T317)</f>
        <v>258.61111111111114</v>
      </c>
      <c r="U315" s="409">
        <f t="shared" ref="U315" si="346">SUM(U316:U317)</f>
        <v>280.83333333333331</v>
      </c>
      <c r="V315" s="409">
        <f t="shared" ref="V315" si="347">SUM(V316:V317)</f>
        <v>273.05555555555554</v>
      </c>
      <c r="W315" s="409">
        <f t="shared" ref="W315" si="348">SUM(W316:W317)</f>
        <v>303.05555555555554</v>
      </c>
      <c r="X315" s="409">
        <f t="shared" ref="X315" si="349">SUM(X316:X317)</f>
        <v>287.77777777777777</v>
      </c>
      <c r="Y315" s="394"/>
      <c r="Z315" s="220"/>
      <c r="AA315" s="220"/>
      <c r="AB315" s="409">
        <f t="shared" ref="AB315" si="350">SUM(AB316:AB317)</f>
        <v>352.22222222222223</v>
      </c>
      <c r="AC315" s="410">
        <f t="shared" ref="AC315" si="351">SUM(AC316:AC317)</f>
        <v>301.94444444444446</v>
      </c>
      <c r="AD315" s="411">
        <f>AB315*AD$254/$AB$254</f>
        <v>355.74444444444447</v>
      </c>
      <c r="AE315" s="411">
        <f>AD315*AE$254/AD$254</f>
        <v>360.01337777777781</v>
      </c>
      <c r="AF315" s="411">
        <f t="shared" ref="AF315:BF315" si="352">AE315*AF$254/AE$254</f>
        <v>365.41357844444445</v>
      </c>
      <c r="AG315" s="411">
        <f t="shared" si="352"/>
        <v>370.89478212111106</v>
      </c>
      <c r="AH315" s="411">
        <f t="shared" si="352"/>
        <v>376.45820385292768</v>
      </c>
      <c r="AI315" s="411">
        <f t="shared" si="352"/>
        <v>382.10507691072161</v>
      </c>
      <c r="AJ315" s="411">
        <f t="shared" si="352"/>
        <v>387.83665306438235</v>
      </c>
      <c r="AK315" s="411">
        <f t="shared" si="352"/>
        <v>393.65420286034805</v>
      </c>
      <c r="AL315" s="411">
        <f t="shared" si="352"/>
        <v>399.55901590325323</v>
      </c>
      <c r="AM315" s="411">
        <f t="shared" si="352"/>
        <v>405.55240114180197</v>
      </c>
      <c r="AN315" s="411">
        <f t="shared" si="352"/>
        <v>411.63568715892893</v>
      </c>
      <c r="AO315" s="411">
        <f t="shared" si="352"/>
        <v>417.81022246631284</v>
      </c>
      <c r="AP315" s="411">
        <f t="shared" si="352"/>
        <v>424.07737580330752</v>
      </c>
      <c r="AQ315" s="411">
        <f t="shared" si="352"/>
        <v>430.4385364403571</v>
      </c>
      <c r="AR315" s="411">
        <f t="shared" si="352"/>
        <v>436.89511448696243</v>
      </c>
      <c r="AS315" s="411">
        <f t="shared" si="352"/>
        <v>443.4485412042668</v>
      </c>
      <c r="AT315" s="411">
        <f t="shared" si="352"/>
        <v>450.10026932233075</v>
      </c>
      <c r="AU315" s="411">
        <f t="shared" si="352"/>
        <v>456.8517733621656</v>
      </c>
      <c r="AV315" s="411">
        <f t="shared" si="352"/>
        <v>463.70454996259804</v>
      </c>
      <c r="AW315" s="411">
        <f t="shared" si="352"/>
        <v>470.66011821203693</v>
      </c>
      <c r="AX315" s="411">
        <f t="shared" si="352"/>
        <v>477.72001998521745</v>
      </c>
      <c r="AY315" s="411">
        <f t="shared" si="352"/>
        <v>484.88582028499565</v>
      </c>
      <c r="AZ315" s="411">
        <f t="shared" si="352"/>
        <v>492.15910758927049</v>
      </c>
      <c r="BA315" s="411">
        <f t="shared" si="352"/>
        <v>499.54149420310949</v>
      </c>
      <c r="BB315" s="411">
        <f t="shared" si="352"/>
        <v>506.03553362774988</v>
      </c>
      <c r="BC315" s="411">
        <f t="shared" si="352"/>
        <v>512.10796003128291</v>
      </c>
      <c r="BD315" s="411">
        <f t="shared" si="352"/>
        <v>517.74114759162694</v>
      </c>
      <c r="BE315" s="411">
        <f t="shared" si="352"/>
        <v>522.91855906754324</v>
      </c>
      <c r="BF315" s="411">
        <f t="shared" si="352"/>
        <v>528.1477446582187</v>
      </c>
    </row>
    <row r="316" spans="1:58" ht="12" hidden="1" customHeight="1" outlineLevel="2" x14ac:dyDescent="0.3">
      <c r="A316" s="224"/>
      <c r="B316" s="224"/>
      <c r="C316" s="224"/>
      <c r="D316" s="224"/>
      <c r="E316" s="224"/>
      <c r="F316" s="224"/>
      <c r="G316" s="224"/>
      <c r="H316" s="224"/>
      <c r="I316" s="224"/>
      <c r="J316" s="224"/>
      <c r="K316" s="224"/>
      <c r="L316" s="117"/>
      <c r="M316" s="213" t="s">
        <v>968</v>
      </c>
      <c r="N316" s="244" t="s">
        <v>77</v>
      </c>
      <c r="O316" s="150">
        <v>305</v>
      </c>
      <c r="P316" s="150">
        <v>302.5</v>
      </c>
      <c r="Q316" s="150">
        <v>256.9444444444444</v>
      </c>
      <c r="R316" s="150">
        <v>295.55555555555554</v>
      </c>
      <c r="S316" s="150">
        <v>256.9444444444444</v>
      </c>
      <c r="T316" s="150">
        <v>258.61111111111114</v>
      </c>
      <c r="U316" s="150">
        <v>280.83333333333331</v>
      </c>
      <c r="V316" s="150">
        <v>273.05555555555554</v>
      </c>
      <c r="W316" s="150">
        <v>303.05555555555554</v>
      </c>
      <c r="X316" s="150">
        <v>287.77777777777777</v>
      </c>
      <c r="Y316" s="394"/>
      <c r="Z316" s="246"/>
      <c r="AA316" s="246"/>
      <c r="AB316" s="150">
        <v>352.22222222222223</v>
      </c>
      <c r="AC316" s="153">
        <v>301.94444444444446</v>
      </c>
      <c r="AD316" s="412"/>
      <c r="AE316" s="412"/>
      <c r="AF316" s="412"/>
      <c r="AG316" s="412"/>
      <c r="AH316" s="412"/>
      <c r="AI316" s="412"/>
      <c r="AJ316" s="412"/>
      <c r="AK316" s="412"/>
      <c r="AL316" s="412"/>
      <c r="AM316" s="412"/>
      <c r="AN316" s="412"/>
      <c r="AO316" s="412"/>
      <c r="AP316" s="412"/>
      <c r="AQ316" s="412"/>
      <c r="AR316" s="412"/>
      <c r="AS316" s="412"/>
      <c r="AT316" s="412"/>
      <c r="AU316" s="412"/>
      <c r="AV316" s="412"/>
      <c r="AW316" s="412"/>
      <c r="AX316" s="412"/>
      <c r="AY316" s="412"/>
      <c r="AZ316" s="412"/>
      <c r="BA316" s="412"/>
      <c r="BB316" s="412"/>
      <c r="BC316" s="412"/>
      <c r="BD316" s="412"/>
      <c r="BE316" s="412"/>
      <c r="BF316" s="412"/>
    </row>
    <row r="317" spans="1:58" ht="12" hidden="1" customHeight="1" outlineLevel="2" x14ac:dyDescent="0.3">
      <c r="A317" s="224"/>
      <c r="B317" s="224"/>
      <c r="C317" s="224"/>
      <c r="D317" s="224"/>
      <c r="E317" s="224"/>
      <c r="F317" s="224"/>
      <c r="G317" s="224"/>
      <c r="H317" s="224"/>
      <c r="I317" s="224"/>
      <c r="J317" s="224"/>
      <c r="K317" s="224"/>
      <c r="L317" s="117"/>
      <c r="M317" s="213" t="s">
        <v>969</v>
      </c>
      <c r="N317" s="244" t="s">
        <v>77</v>
      </c>
      <c r="O317" s="150">
        <v>0</v>
      </c>
      <c r="P317" s="150">
        <v>0</v>
      </c>
      <c r="Q317" s="150">
        <v>0</v>
      </c>
      <c r="R317" s="150">
        <v>0</v>
      </c>
      <c r="S317" s="150">
        <v>0</v>
      </c>
      <c r="T317" s="150">
        <v>0</v>
      </c>
      <c r="U317" s="150">
        <v>0</v>
      </c>
      <c r="V317" s="150">
        <v>0</v>
      </c>
      <c r="W317" s="150">
        <v>0</v>
      </c>
      <c r="X317" s="150">
        <v>0</v>
      </c>
      <c r="Y317" s="394"/>
      <c r="Z317" s="246"/>
      <c r="AA317" s="246"/>
      <c r="AB317" s="150">
        <v>0</v>
      </c>
      <c r="AC317" s="153">
        <v>0</v>
      </c>
      <c r="AD317" s="412"/>
      <c r="AE317" s="412"/>
      <c r="AF317" s="412"/>
      <c r="AG317" s="412"/>
      <c r="AH317" s="412"/>
      <c r="AI317" s="412"/>
      <c r="AJ317" s="412"/>
      <c r="AK317" s="412"/>
      <c r="AL317" s="412"/>
      <c r="AM317" s="412"/>
      <c r="AN317" s="412"/>
      <c r="AO317" s="412"/>
      <c r="AP317" s="412"/>
      <c r="AQ317" s="412"/>
      <c r="AR317" s="412"/>
      <c r="AS317" s="412"/>
      <c r="AT317" s="412"/>
      <c r="AU317" s="412"/>
      <c r="AV317" s="412"/>
      <c r="AW317" s="412"/>
      <c r="AX317" s="412"/>
      <c r="AY317" s="412"/>
      <c r="AZ317" s="412"/>
      <c r="BA317" s="412"/>
      <c r="BB317" s="412"/>
      <c r="BC317" s="412"/>
      <c r="BD317" s="412"/>
      <c r="BE317" s="412"/>
      <c r="BF317" s="412"/>
    </row>
    <row r="318" spans="1:58" ht="12" hidden="1" customHeight="1" outlineLevel="2" x14ac:dyDescent="0.3">
      <c r="A318" s="224"/>
      <c r="B318" s="224"/>
      <c r="C318" s="224"/>
      <c r="D318" s="224"/>
      <c r="E318" s="224"/>
      <c r="F318" s="224"/>
      <c r="G318" s="224"/>
      <c r="H318" s="224"/>
      <c r="I318" s="224"/>
      <c r="J318" s="224"/>
      <c r="K318" s="224"/>
      <c r="L318" s="117"/>
      <c r="M318" s="210" t="s">
        <v>984</v>
      </c>
      <c r="N318" s="244" t="s">
        <v>77</v>
      </c>
      <c r="O318" s="409">
        <f>SUM(O319:O322)</f>
        <v>7.4999999999999991</v>
      </c>
      <c r="P318" s="409">
        <f t="shared" ref="P318" si="353">SUM(P319:P322)</f>
        <v>7.4999999999999991</v>
      </c>
      <c r="Q318" s="409">
        <f t="shared" ref="Q318" si="354">SUM(Q319:Q322)</f>
        <v>0</v>
      </c>
      <c r="R318" s="409">
        <f t="shared" ref="R318" si="355">SUM(R319:R322)</f>
        <v>0</v>
      </c>
      <c r="S318" s="409">
        <f t="shared" ref="S318" si="356">SUM(S319:S322)</f>
        <v>0</v>
      </c>
      <c r="T318" s="409">
        <f t="shared" ref="T318" si="357">SUM(T319:T322)</f>
        <v>0</v>
      </c>
      <c r="U318" s="409">
        <f t="shared" ref="U318" si="358">SUM(U319:U322)</f>
        <v>0</v>
      </c>
      <c r="V318" s="409">
        <f t="shared" ref="V318" si="359">SUM(V319:V322)</f>
        <v>0</v>
      </c>
      <c r="W318" s="409">
        <f t="shared" ref="W318" si="360">SUM(W319:W322)</f>
        <v>0</v>
      </c>
      <c r="X318" s="409">
        <f t="shared" ref="X318" si="361">SUM(X319:X322)</f>
        <v>0</v>
      </c>
      <c r="Y318" s="394"/>
      <c r="Z318" s="220"/>
      <c r="AA318" s="220"/>
      <c r="AB318" s="409">
        <f t="shared" ref="AB318" si="362">SUM(AB319:AB322)</f>
        <v>0</v>
      </c>
      <c r="AC318" s="410">
        <f t="shared" ref="AC318" si="363">SUM(AC319:AC322)</f>
        <v>0</v>
      </c>
      <c r="AD318" s="411">
        <f>AB318*AD$254/$AB$254</f>
        <v>0</v>
      </c>
      <c r="AE318" s="411">
        <f>AD318*AE$254/AD$254</f>
        <v>0</v>
      </c>
      <c r="AF318" s="411">
        <f t="shared" ref="AF318:BF318" si="364">AE318*AF$254/AE$254</f>
        <v>0</v>
      </c>
      <c r="AG318" s="411">
        <f t="shared" si="364"/>
        <v>0</v>
      </c>
      <c r="AH318" s="411">
        <f t="shared" si="364"/>
        <v>0</v>
      </c>
      <c r="AI318" s="411">
        <f t="shared" si="364"/>
        <v>0</v>
      </c>
      <c r="AJ318" s="411">
        <f t="shared" si="364"/>
        <v>0</v>
      </c>
      <c r="AK318" s="411">
        <f t="shared" si="364"/>
        <v>0</v>
      </c>
      <c r="AL318" s="411">
        <f t="shared" si="364"/>
        <v>0</v>
      </c>
      <c r="AM318" s="411">
        <f t="shared" si="364"/>
        <v>0</v>
      </c>
      <c r="AN318" s="411">
        <f t="shared" si="364"/>
        <v>0</v>
      </c>
      <c r="AO318" s="411">
        <f t="shared" si="364"/>
        <v>0</v>
      </c>
      <c r="AP318" s="411">
        <f t="shared" si="364"/>
        <v>0</v>
      </c>
      <c r="AQ318" s="411">
        <f t="shared" si="364"/>
        <v>0</v>
      </c>
      <c r="AR318" s="411">
        <f t="shared" si="364"/>
        <v>0</v>
      </c>
      <c r="AS318" s="411">
        <f t="shared" si="364"/>
        <v>0</v>
      </c>
      <c r="AT318" s="411">
        <f t="shared" si="364"/>
        <v>0</v>
      </c>
      <c r="AU318" s="411">
        <f t="shared" si="364"/>
        <v>0</v>
      </c>
      <c r="AV318" s="411">
        <f t="shared" si="364"/>
        <v>0</v>
      </c>
      <c r="AW318" s="411">
        <f t="shared" si="364"/>
        <v>0</v>
      </c>
      <c r="AX318" s="411">
        <f t="shared" si="364"/>
        <v>0</v>
      </c>
      <c r="AY318" s="411">
        <f t="shared" si="364"/>
        <v>0</v>
      </c>
      <c r="AZ318" s="411">
        <f t="shared" si="364"/>
        <v>0</v>
      </c>
      <c r="BA318" s="411">
        <f t="shared" si="364"/>
        <v>0</v>
      </c>
      <c r="BB318" s="411">
        <f t="shared" si="364"/>
        <v>0</v>
      </c>
      <c r="BC318" s="411">
        <f t="shared" si="364"/>
        <v>0</v>
      </c>
      <c r="BD318" s="411">
        <f t="shared" si="364"/>
        <v>0</v>
      </c>
      <c r="BE318" s="411">
        <f t="shared" si="364"/>
        <v>0</v>
      </c>
      <c r="BF318" s="411">
        <f t="shared" si="364"/>
        <v>0</v>
      </c>
    </row>
    <row r="319" spans="1:58" ht="12" hidden="1" customHeight="1" outlineLevel="2" x14ac:dyDescent="0.3">
      <c r="A319" s="224"/>
      <c r="B319" s="224"/>
      <c r="C319" s="224"/>
      <c r="D319" s="224"/>
      <c r="E319" s="224"/>
      <c r="F319" s="224"/>
      <c r="G319" s="224"/>
      <c r="H319" s="224"/>
      <c r="I319" s="224"/>
      <c r="J319" s="224"/>
      <c r="K319" s="224"/>
      <c r="L319" s="117"/>
      <c r="M319" s="213" t="s">
        <v>971</v>
      </c>
      <c r="N319" s="244" t="s">
        <v>77</v>
      </c>
      <c r="O319" s="150">
        <v>7.4999999999999991</v>
      </c>
      <c r="P319" s="150">
        <v>7.4999999999999991</v>
      </c>
      <c r="Q319" s="150">
        <v>0</v>
      </c>
      <c r="R319" s="150">
        <v>0</v>
      </c>
      <c r="S319" s="150">
        <v>0</v>
      </c>
      <c r="T319" s="150">
        <v>0</v>
      </c>
      <c r="U319" s="150">
        <v>0</v>
      </c>
      <c r="V319" s="150">
        <v>0</v>
      </c>
      <c r="W319" s="150">
        <v>0</v>
      </c>
      <c r="X319" s="150">
        <v>0</v>
      </c>
      <c r="Y319" s="394"/>
      <c r="Z319" s="246"/>
      <c r="AA319" s="246"/>
      <c r="AB319" s="150">
        <v>0</v>
      </c>
      <c r="AC319" s="153">
        <v>0</v>
      </c>
      <c r="AD319" s="412"/>
      <c r="AE319" s="412"/>
      <c r="AF319" s="412"/>
      <c r="AG319" s="412"/>
      <c r="AH319" s="412"/>
      <c r="AI319" s="412"/>
      <c r="AJ319" s="412"/>
      <c r="AK319" s="412"/>
      <c r="AL319" s="412"/>
      <c r="AM319" s="412"/>
      <c r="AN319" s="412"/>
      <c r="AO319" s="412"/>
      <c r="AP319" s="412"/>
      <c r="AQ319" s="412"/>
      <c r="AR319" s="412"/>
      <c r="AS319" s="412"/>
      <c r="AT319" s="412"/>
      <c r="AU319" s="412"/>
      <c r="AV319" s="412"/>
      <c r="AW319" s="412"/>
      <c r="AX319" s="412"/>
      <c r="AY319" s="412"/>
      <c r="AZ319" s="412"/>
      <c r="BA319" s="412"/>
      <c r="BB319" s="412"/>
      <c r="BC319" s="412"/>
      <c r="BD319" s="412"/>
      <c r="BE319" s="412"/>
      <c r="BF319" s="412"/>
    </row>
    <row r="320" spans="1:58" ht="12" hidden="1" customHeight="1" outlineLevel="2" x14ac:dyDescent="0.3">
      <c r="A320" s="224"/>
      <c r="B320" s="224"/>
      <c r="C320" s="224"/>
      <c r="D320" s="224"/>
      <c r="E320" s="224"/>
      <c r="F320" s="224"/>
      <c r="G320" s="224"/>
      <c r="H320" s="224"/>
      <c r="I320" s="224"/>
      <c r="J320" s="224"/>
      <c r="K320" s="224"/>
      <c r="L320" s="117"/>
      <c r="M320" s="213" t="s">
        <v>985</v>
      </c>
      <c r="N320" s="244" t="s">
        <v>77</v>
      </c>
      <c r="O320" s="150">
        <v>0</v>
      </c>
      <c r="P320" s="150">
        <v>0</v>
      </c>
      <c r="Q320" s="150">
        <v>0</v>
      </c>
      <c r="R320" s="150">
        <v>0</v>
      </c>
      <c r="S320" s="150">
        <v>0</v>
      </c>
      <c r="T320" s="150">
        <v>0</v>
      </c>
      <c r="U320" s="150">
        <v>0</v>
      </c>
      <c r="V320" s="150">
        <v>0</v>
      </c>
      <c r="W320" s="150">
        <v>0</v>
      </c>
      <c r="X320" s="150">
        <v>0</v>
      </c>
      <c r="Y320" s="394"/>
      <c r="Z320" s="246"/>
      <c r="AA320" s="246"/>
      <c r="AB320" s="150">
        <v>0</v>
      </c>
      <c r="AC320" s="153">
        <v>0</v>
      </c>
      <c r="AD320" s="412"/>
      <c r="AE320" s="412"/>
      <c r="AF320" s="412"/>
      <c r="AG320" s="412"/>
      <c r="AH320" s="412"/>
      <c r="AI320" s="412"/>
      <c r="AJ320" s="412"/>
      <c r="AK320" s="412"/>
      <c r="AL320" s="412"/>
      <c r="AM320" s="412"/>
      <c r="AN320" s="412"/>
      <c r="AO320" s="412"/>
      <c r="AP320" s="412"/>
      <c r="AQ320" s="412"/>
      <c r="AR320" s="412"/>
      <c r="AS320" s="412"/>
      <c r="AT320" s="412"/>
      <c r="AU320" s="412"/>
      <c r="AV320" s="412"/>
      <c r="AW320" s="412"/>
      <c r="AX320" s="412"/>
      <c r="AY320" s="412"/>
      <c r="AZ320" s="412"/>
      <c r="BA320" s="412"/>
      <c r="BB320" s="412"/>
      <c r="BC320" s="412"/>
      <c r="BD320" s="412"/>
      <c r="BE320" s="412"/>
      <c r="BF320" s="412"/>
    </row>
    <row r="321" spans="1:58" ht="12" hidden="1" customHeight="1" outlineLevel="2" x14ac:dyDescent="0.3">
      <c r="A321" s="224"/>
      <c r="B321" s="224"/>
      <c r="C321" s="224"/>
      <c r="D321" s="224"/>
      <c r="E321" s="224"/>
      <c r="F321" s="224"/>
      <c r="G321" s="224"/>
      <c r="H321" s="224"/>
      <c r="I321" s="224"/>
      <c r="J321" s="224"/>
      <c r="K321" s="224"/>
      <c r="L321" s="117"/>
      <c r="M321" s="213" t="s">
        <v>973</v>
      </c>
      <c r="N321" s="244" t="s">
        <v>77</v>
      </c>
      <c r="O321" s="150">
        <v>0</v>
      </c>
      <c r="P321" s="150">
        <v>0</v>
      </c>
      <c r="Q321" s="150">
        <v>0</v>
      </c>
      <c r="R321" s="150">
        <v>0</v>
      </c>
      <c r="S321" s="150">
        <v>0</v>
      </c>
      <c r="T321" s="150">
        <v>0</v>
      </c>
      <c r="U321" s="150">
        <v>0</v>
      </c>
      <c r="V321" s="150">
        <v>0</v>
      </c>
      <c r="W321" s="150">
        <v>0</v>
      </c>
      <c r="X321" s="150">
        <v>0</v>
      </c>
      <c r="Y321" s="394"/>
      <c r="Z321" s="246"/>
      <c r="AA321" s="246"/>
      <c r="AB321" s="150">
        <v>0</v>
      </c>
      <c r="AC321" s="153">
        <v>0</v>
      </c>
      <c r="AD321" s="412"/>
      <c r="AE321" s="412"/>
      <c r="AF321" s="412"/>
      <c r="AG321" s="412"/>
      <c r="AH321" s="412"/>
      <c r="AI321" s="412"/>
      <c r="AJ321" s="412"/>
      <c r="AK321" s="412"/>
      <c r="AL321" s="412"/>
      <c r="AM321" s="412"/>
      <c r="AN321" s="412"/>
      <c r="AO321" s="412"/>
      <c r="AP321" s="412"/>
      <c r="AQ321" s="412"/>
      <c r="AR321" s="412"/>
      <c r="AS321" s="412"/>
      <c r="AT321" s="412"/>
      <c r="AU321" s="412"/>
      <c r="AV321" s="412"/>
      <c r="AW321" s="412"/>
      <c r="AX321" s="412"/>
      <c r="AY321" s="412"/>
      <c r="AZ321" s="412"/>
      <c r="BA321" s="412"/>
      <c r="BB321" s="412"/>
      <c r="BC321" s="412"/>
      <c r="BD321" s="412"/>
      <c r="BE321" s="412"/>
      <c r="BF321" s="412"/>
    </row>
    <row r="322" spans="1:58" ht="12" hidden="1" customHeight="1" outlineLevel="2" x14ac:dyDescent="0.3">
      <c r="A322" s="224"/>
      <c r="B322" s="224"/>
      <c r="C322" s="224"/>
      <c r="D322" s="224"/>
      <c r="E322" s="224"/>
      <c r="F322" s="224"/>
      <c r="G322" s="224"/>
      <c r="H322" s="224"/>
      <c r="I322" s="224"/>
      <c r="J322" s="224"/>
      <c r="K322" s="224"/>
      <c r="L322" s="117"/>
      <c r="M322" s="213" t="s">
        <v>974</v>
      </c>
      <c r="N322" s="244" t="s">
        <v>77</v>
      </c>
      <c r="O322" s="150">
        <v>0</v>
      </c>
      <c r="P322" s="150">
        <v>0</v>
      </c>
      <c r="Q322" s="150">
        <v>0</v>
      </c>
      <c r="R322" s="150">
        <v>0</v>
      </c>
      <c r="S322" s="150">
        <v>0</v>
      </c>
      <c r="T322" s="150">
        <v>0</v>
      </c>
      <c r="U322" s="150">
        <v>0</v>
      </c>
      <c r="V322" s="150">
        <v>0</v>
      </c>
      <c r="W322" s="150">
        <v>0</v>
      </c>
      <c r="X322" s="150">
        <v>0</v>
      </c>
      <c r="Y322" s="394"/>
      <c r="Z322" s="246"/>
      <c r="AA322" s="246"/>
      <c r="AB322" s="150">
        <v>0</v>
      </c>
      <c r="AC322" s="153">
        <v>0</v>
      </c>
      <c r="AD322" s="412"/>
      <c r="AE322" s="412"/>
      <c r="AF322" s="412"/>
      <c r="AG322" s="412"/>
      <c r="AH322" s="412"/>
      <c r="AI322" s="412"/>
      <c r="AJ322" s="412"/>
      <c r="AK322" s="412"/>
      <c r="AL322" s="412"/>
      <c r="AM322" s="412"/>
      <c r="AN322" s="412"/>
      <c r="AO322" s="412"/>
      <c r="AP322" s="412"/>
      <c r="AQ322" s="412"/>
      <c r="AR322" s="412"/>
      <c r="AS322" s="412"/>
      <c r="AT322" s="412"/>
      <c r="AU322" s="412"/>
      <c r="AV322" s="412"/>
      <c r="AW322" s="412"/>
      <c r="AX322" s="412"/>
      <c r="AY322" s="412"/>
      <c r="AZ322" s="412"/>
      <c r="BA322" s="412"/>
      <c r="BB322" s="412"/>
      <c r="BC322" s="412"/>
      <c r="BD322" s="412"/>
      <c r="BE322" s="412"/>
      <c r="BF322" s="412"/>
    </row>
    <row r="323" spans="1:58" ht="12" hidden="1" customHeight="1" outlineLevel="2" x14ac:dyDescent="0.3">
      <c r="A323" s="224"/>
      <c r="B323" s="224"/>
      <c r="C323" s="224"/>
      <c r="D323" s="224"/>
      <c r="E323" s="224"/>
      <c r="F323" s="224"/>
      <c r="G323" s="224"/>
      <c r="H323" s="224"/>
      <c r="I323" s="224"/>
      <c r="J323" s="224"/>
      <c r="K323" s="224"/>
      <c r="L323" s="117"/>
      <c r="M323" s="210" t="s">
        <v>986</v>
      </c>
      <c r="N323" s="244" t="s">
        <v>77</v>
      </c>
      <c r="O323" s="150">
        <v>54.444444444444443</v>
      </c>
      <c r="P323" s="150">
        <v>59.166666666666664</v>
      </c>
      <c r="Q323" s="150">
        <v>34.166666666666664</v>
      </c>
      <c r="R323" s="150">
        <v>30.833333333333332</v>
      </c>
      <c r="S323" s="150">
        <v>31.666666666666664</v>
      </c>
      <c r="T323" s="150">
        <v>38.333333333333336</v>
      </c>
      <c r="U323" s="150">
        <v>38.888888888888886</v>
      </c>
      <c r="V323" s="150">
        <v>35.277777777777779</v>
      </c>
      <c r="W323" s="150">
        <v>33.611111111111107</v>
      </c>
      <c r="X323" s="150">
        <v>30.555555555555554</v>
      </c>
      <c r="Y323" s="394"/>
      <c r="Z323" s="246"/>
      <c r="AA323" s="246"/>
      <c r="AB323" s="150">
        <v>34.722222222222221</v>
      </c>
      <c r="AC323" s="153">
        <v>30.277777777777782</v>
      </c>
      <c r="AD323" s="411">
        <f>AB323*AD$254/$AB$254</f>
        <v>35.069444444444443</v>
      </c>
      <c r="AE323" s="411">
        <f>AD323*AE$254/AD$254</f>
        <v>35.490277777777777</v>
      </c>
      <c r="AF323" s="411">
        <f t="shared" ref="AF323:BF323" si="365">AE323*AF$254/AE$254</f>
        <v>36.022631944444441</v>
      </c>
      <c r="AG323" s="411">
        <f t="shared" si="365"/>
        <v>36.562971423611103</v>
      </c>
      <c r="AH323" s="411">
        <f t="shared" si="365"/>
        <v>37.111415994965263</v>
      </c>
      <c r="AI323" s="411">
        <f t="shared" si="365"/>
        <v>37.66808723488974</v>
      </c>
      <c r="AJ323" s="411">
        <f t="shared" si="365"/>
        <v>38.233108543413081</v>
      </c>
      <c r="AK323" s="411">
        <f t="shared" si="365"/>
        <v>38.806605171564271</v>
      </c>
      <c r="AL323" s="411">
        <f t="shared" si="365"/>
        <v>39.388704249137739</v>
      </c>
      <c r="AM323" s="411">
        <f t="shared" si="365"/>
        <v>39.979534812874803</v>
      </c>
      <c r="AN323" s="411">
        <f t="shared" si="365"/>
        <v>40.579227835067918</v>
      </c>
      <c r="AO323" s="411">
        <f t="shared" si="365"/>
        <v>41.187916252593936</v>
      </c>
      <c r="AP323" s="411">
        <f t="shared" si="365"/>
        <v>41.805734996382839</v>
      </c>
      <c r="AQ323" s="411">
        <f t="shared" si="365"/>
        <v>42.432821021328579</v>
      </c>
      <c r="AR323" s="411">
        <f t="shared" si="365"/>
        <v>43.069313336648506</v>
      </c>
      <c r="AS323" s="411">
        <f t="shared" si="365"/>
        <v>43.715353036698225</v>
      </c>
      <c r="AT323" s="411">
        <f t="shared" si="365"/>
        <v>44.371083332248695</v>
      </c>
      <c r="AU323" s="411">
        <f t="shared" si="365"/>
        <v>45.036649582232421</v>
      </c>
      <c r="AV323" s="411">
        <f t="shared" si="365"/>
        <v>45.712199325965898</v>
      </c>
      <c r="AW323" s="411">
        <f t="shared" si="365"/>
        <v>46.397882315855384</v>
      </c>
      <c r="AX323" s="411">
        <f t="shared" si="365"/>
        <v>47.09385055059321</v>
      </c>
      <c r="AY323" s="411">
        <f t="shared" si="365"/>
        <v>47.800258308852101</v>
      </c>
      <c r="AZ323" s="411">
        <f t="shared" si="365"/>
        <v>48.517262183484874</v>
      </c>
      <c r="BA323" s="411">
        <f t="shared" si="365"/>
        <v>49.24502111623714</v>
      </c>
      <c r="BB323" s="411">
        <f t="shared" si="365"/>
        <v>49.885206390748216</v>
      </c>
      <c r="BC323" s="411">
        <f t="shared" si="365"/>
        <v>50.483828867437197</v>
      </c>
      <c r="BD323" s="411">
        <f t="shared" si="365"/>
        <v>51.039150984979003</v>
      </c>
      <c r="BE323" s="411">
        <f t="shared" si="365"/>
        <v>51.549542494828799</v>
      </c>
      <c r="BF323" s="411">
        <f t="shared" si="365"/>
        <v>52.065037919777083</v>
      </c>
    </row>
    <row r="324" spans="1:58" ht="12" hidden="1" customHeight="1" outlineLevel="2" x14ac:dyDescent="0.3">
      <c r="A324" s="224"/>
      <c r="B324" s="224"/>
      <c r="C324" s="224"/>
      <c r="D324" s="224"/>
      <c r="E324" s="224"/>
      <c r="F324" s="224"/>
      <c r="G324" s="224"/>
      <c r="H324" s="224"/>
      <c r="I324" s="224"/>
      <c r="J324" s="224"/>
      <c r="K324" s="224"/>
      <c r="L324" s="117"/>
      <c r="M324" s="210" t="s">
        <v>987</v>
      </c>
      <c r="N324" s="244" t="s">
        <v>77</v>
      </c>
      <c r="O324" s="150">
        <v>278.05555555555554</v>
      </c>
      <c r="P324" s="150">
        <v>265</v>
      </c>
      <c r="Q324" s="150">
        <v>321.11111111111109</v>
      </c>
      <c r="R324" s="150">
        <v>288.05555555555554</v>
      </c>
      <c r="S324" s="150">
        <v>318.05555555555554</v>
      </c>
      <c r="T324" s="150">
        <v>321.11111111111109</v>
      </c>
      <c r="U324" s="150">
        <v>320</v>
      </c>
      <c r="V324" s="150">
        <v>308.88888888888886</v>
      </c>
      <c r="W324" s="150">
        <v>290</v>
      </c>
      <c r="X324" s="150">
        <v>297.5</v>
      </c>
      <c r="Y324" s="394"/>
      <c r="Z324" s="246"/>
      <c r="AA324" s="246"/>
      <c r="AB324" s="150">
        <v>310</v>
      </c>
      <c r="AC324" s="153">
        <v>335.83333333333331</v>
      </c>
      <c r="AD324" s="411">
        <f>AB324*AD$254/$AB$254</f>
        <v>313.10000000000002</v>
      </c>
      <c r="AE324" s="411">
        <f>AD324*AE$254/AD$254</f>
        <v>316.85719999999998</v>
      </c>
      <c r="AF324" s="411">
        <f t="shared" ref="AF324:BF324" si="366">AE324*AF$254/AE$254</f>
        <v>321.61005799999992</v>
      </c>
      <c r="AG324" s="411">
        <f t="shared" si="366"/>
        <v>326.43420886999991</v>
      </c>
      <c r="AH324" s="411">
        <f t="shared" si="366"/>
        <v>331.33072200304986</v>
      </c>
      <c r="AI324" s="411">
        <f t="shared" si="366"/>
        <v>336.30068283309561</v>
      </c>
      <c r="AJ324" s="411">
        <f t="shared" si="366"/>
        <v>341.34519307559202</v>
      </c>
      <c r="AK324" s="411">
        <f t="shared" si="366"/>
        <v>346.46537097172586</v>
      </c>
      <c r="AL324" s="411">
        <f t="shared" si="366"/>
        <v>351.66235153630168</v>
      </c>
      <c r="AM324" s="411">
        <f t="shared" si="366"/>
        <v>356.93728680934618</v>
      </c>
      <c r="AN324" s="411">
        <f t="shared" si="366"/>
        <v>362.29134611148629</v>
      </c>
      <c r="AO324" s="411">
        <f t="shared" si="366"/>
        <v>367.72571630315855</v>
      </c>
      <c r="AP324" s="411">
        <f t="shared" si="366"/>
        <v>373.2416020477059</v>
      </c>
      <c r="AQ324" s="411">
        <f t="shared" si="366"/>
        <v>378.84022607842149</v>
      </c>
      <c r="AR324" s="411">
        <f t="shared" si="366"/>
        <v>384.52282946959781</v>
      </c>
      <c r="AS324" s="411">
        <f t="shared" si="366"/>
        <v>390.29067191164171</v>
      </c>
      <c r="AT324" s="411">
        <f t="shared" si="366"/>
        <v>396.14503199031628</v>
      </c>
      <c r="AU324" s="411">
        <f t="shared" si="366"/>
        <v>402.08720747017099</v>
      </c>
      <c r="AV324" s="411">
        <f t="shared" si="366"/>
        <v>408.11851558222349</v>
      </c>
      <c r="AW324" s="411">
        <f t="shared" si="366"/>
        <v>414.24029331595682</v>
      </c>
      <c r="AX324" s="411">
        <f t="shared" si="366"/>
        <v>420.45389771569614</v>
      </c>
      <c r="AY324" s="411">
        <f t="shared" si="366"/>
        <v>426.76070618143154</v>
      </c>
      <c r="AZ324" s="411">
        <f t="shared" si="366"/>
        <v>433.16211677415293</v>
      </c>
      <c r="BA324" s="411">
        <f t="shared" si="366"/>
        <v>439.65954852576522</v>
      </c>
      <c r="BB324" s="411">
        <f t="shared" si="366"/>
        <v>445.37512265660018</v>
      </c>
      <c r="BC324" s="411">
        <f t="shared" si="366"/>
        <v>450.71962412847938</v>
      </c>
      <c r="BD324" s="411">
        <f t="shared" si="366"/>
        <v>455.67753999389265</v>
      </c>
      <c r="BE324" s="411">
        <f t="shared" si="366"/>
        <v>460.23431539383159</v>
      </c>
      <c r="BF324" s="411">
        <f t="shared" si="366"/>
        <v>464.83665854776996</v>
      </c>
    </row>
    <row r="325" spans="1:58" ht="12" hidden="1" customHeight="1" outlineLevel="2" x14ac:dyDescent="0.3">
      <c r="A325" s="224"/>
      <c r="B325" s="224"/>
      <c r="C325" s="224"/>
      <c r="D325" s="224"/>
      <c r="E325" s="224"/>
      <c r="F325" s="224"/>
      <c r="G325" s="224"/>
      <c r="H325" s="224"/>
      <c r="I325" s="224"/>
      <c r="J325" s="224"/>
      <c r="K325" s="224"/>
      <c r="L325" s="117"/>
      <c r="M325" s="210" t="s">
        <v>988</v>
      </c>
      <c r="N325" s="244" t="s">
        <v>77</v>
      </c>
      <c r="O325" s="150">
        <v>4.4444444444444446</v>
      </c>
      <c r="P325" s="150">
        <v>4.166666666666667</v>
      </c>
      <c r="Q325" s="150">
        <v>5</v>
      </c>
      <c r="R325" s="150">
        <v>5.833333333333333</v>
      </c>
      <c r="S325" s="150">
        <v>7.4999999999999991</v>
      </c>
      <c r="T325" s="150">
        <v>8.3333333333333339</v>
      </c>
      <c r="U325" s="150">
        <v>2.2222222222222223</v>
      </c>
      <c r="V325" s="150">
        <v>4.4444444444444446</v>
      </c>
      <c r="W325" s="150">
        <v>5.5555555555555554</v>
      </c>
      <c r="X325" s="150">
        <v>8.6111111111111107</v>
      </c>
      <c r="Y325" s="394"/>
      <c r="Z325" s="246"/>
      <c r="AA325" s="246"/>
      <c r="AB325" s="150">
        <v>22.5</v>
      </c>
      <c r="AC325" s="153">
        <v>16.388888888888889</v>
      </c>
      <c r="AD325" s="411">
        <f>AB325*AD$254/$AB$254</f>
        <v>22.725000000000001</v>
      </c>
      <c r="AE325" s="411">
        <f>AD325*AE$254/AD$254</f>
        <v>22.997700000000002</v>
      </c>
      <c r="AF325" s="411">
        <f t="shared" ref="AF325:BF325" si="367">AE325*AF$254/AE$254</f>
        <v>23.342665500000003</v>
      </c>
      <c r="AG325" s="411">
        <f t="shared" si="367"/>
        <v>23.692805482500003</v>
      </c>
      <c r="AH325" s="411">
        <f t="shared" si="367"/>
        <v>24.048197564737499</v>
      </c>
      <c r="AI325" s="411">
        <f t="shared" si="367"/>
        <v>24.408920528208558</v>
      </c>
      <c r="AJ325" s="411">
        <f t="shared" si="367"/>
        <v>24.775054336131682</v>
      </c>
      <c r="AK325" s="411">
        <f t="shared" si="367"/>
        <v>25.146680151173655</v>
      </c>
      <c r="AL325" s="411">
        <f t="shared" si="367"/>
        <v>25.523880353441257</v>
      </c>
      <c r="AM325" s="411">
        <f t="shared" si="367"/>
        <v>25.906738558742877</v>
      </c>
      <c r="AN325" s="411">
        <f t="shared" si="367"/>
        <v>26.295339637124016</v>
      </c>
      <c r="AO325" s="411">
        <f t="shared" si="367"/>
        <v>26.689769731680872</v>
      </c>
      <c r="AP325" s="411">
        <f t="shared" si="367"/>
        <v>27.090116277656083</v>
      </c>
      <c r="AQ325" s="411">
        <f t="shared" si="367"/>
        <v>27.496468021820924</v>
      </c>
      <c r="AR325" s="411">
        <f t="shared" si="367"/>
        <v>27.908915042148237</v>
      </c>
      <c r="AS325" s="411">
        <f t="shared" si="367"/>
        <v>28.327548767780453</v>
      </c>
      <c r="AT325" s="411">
        <f t="shared" si="367"/>
        <v>28.752461999297154</v>
      </c>
      <c r="AU325" s="411">
        <f t="shared" si="367"/>
        <v>29.183748929286608</v>
      </c>
      <c r="AV325" s="411">
        <f t="shared" si="367"/>
        <v>29.621505163225901</v>
      </c>
      <c r="AW325" s="411">
        <f t="shared" si="367"/>
        <v>30.065827740674287</v>
      </c>
      <c r="AX325" s="411">
        <f t="shared" si="367"/>
        <v>30.5168151567844</v>
      </c>
      <c r="AY325" s="411">
        <f t="shared" si="367"/>
        <v>30.974567384136162</v>
      </c>
      <c r="AZ325" s="411">
        <f t="shared" si="367"/>
        <v>31.439185894898198</v>
      </c>
      <c r="BA325" s="411">
        <f t="shared" si="367"/>
        <v>31.910773683321668</v>
      </c>
      <c r="BB325" s="411">
        <f t="shared" si="367"/>
        <v>32.325613741204847</v>
      </c>
      <c r="BC325" s="411">
        <f t="shared" si="367"/>
        <v>32.713521106099307</v>
      </c>
      <c r="BD325" s="411">
        <f t="shared" si="367"/>
        <v>33.073369838266395</v>
      </c>
      <c r="BE325" s="411">
        <f t="shared" si="367"/>
        <v>33.40410353664906</v>
      </c>
      <c r="BF325" s="411">
        <f t="shared" si="367"/>
        <v>33.73814457201555</v>
      </c>
    </row>
    <row r="326" spans="1:58" ht="12" hidden="1" customHeight="1" outlineLevel="2" x14ac:dyDescent="0.3">
      <c r="A326" s="224"/>
      <c r="B326" s="224" t="s">
        <v>989</v>
      </c>
      <c r="C326" s="224"/>
      <c r="D326" s="224" t="s">
        <v>885</v>
      </c>
      <c r="E326" s="224"/>
      <c r="F326" s="224"/>
      <c r="G326" s="224"/>
      <c r="H326" s="224"/>
      <c r="I326" s="224"/>
      <c r="J326" s="224"/>
      <c r="K326" s="224"/>
      <c r="L326" s="117"/>
      <c r="M326" s="214" t="s">
        <v>990</v>
      </c>
      <c r="N326" s="244" t="s">
        <v>77</v>
      </c>
      <c r="O326" s="413">
        <f t="shared" ref="O326:X326" si="368">O311+O315+O318+O323+O324+O325</f>
        <v>807.5</v>
      </c>
      <c r="P326" s="413">
        <f t="shared" si="368"/>
        <v>714.72222222222229</v>
      </c>
      <c r="Q326" s="413">
        <f t="shared" si="368"/>
        <v>705.27777777777771</v>
      </c>
      <c r="R326" s="413">
        <f t="shared" si="368"/>
        <v>744.44444444444446</v>
      </c>
      <c r="S326" s="413">
        <f t="shared" si="368"/>
        <v>738.33333333333326</v>
      </c>
      <c r="T326" s="413">
        <f t="shared" si="368"/>
        <v>749.72222222222229</v>
      </c>
      <c r="U326" s="413">
        <f t="shared" si="368"/>
        <v>778.8888888888888</v>
      </c>
      <c r="V326" s="413">
        <f t="shared" si="368"/>
        <v>668.33333333333337</v>
      </c>
      <c r="W326" s="413">
        <f t="shared" si="368"/>
        <v>655.83333333333326</v>
      </c>
      <c r="X326" s="413">
        <f t="shared" si="368"/>
        <v>762.77777777777771</v>
      </c>
      <c r="Y326" s="394"/>
      <c r="Z326" s="246"/>
      <c r="AA326" s="246"/>
      <c r="AB326" s="413">
        <f>AB311+AB315+AB318+AB323+AB324+AB325</f>
        <v>824.16666666666674</v>
      </c>
      <c r="AC326" s="414">
        <f>AC311+AC315+AC318+AC323+AC324+AC325</f>
        <v>768.33333333333337</v>
      </c>
      <c r="AD326" s="411">
        <f t="shared" ref="AD326:BF326" si="369">SUM(AD311:AD325)</f>
        <v>832.40833333333342</v>
      </c>
      <c r="AE326" s="411">
        <f t="shared" si="369"/>
        <v>842.39723333333325</v>
      </c>
      <c r="AF326" s="411">
        <f t="shared" si="369"/>
        <v>855.03319183333326</v>
      </c>
      <c r="AG326" s="411">
        <f t="shared" si="369"/>
        <v>867.85868971083323</v>
      </c>
      <c r="AH326" s="411">
        <f t="shared" si="369"/>
        <v>880.87657005649555</v>
      </c>
      <c r="AI326" s="411">
        <f t="shared" si="369"/>
        <v>894.089718607343</v>
      </c>
      <c r="AJ326" s="411">
        <f t="shared" si="369"/>
        <v>907.50106438645298</v>
      </c>
      <c r="AK326" s="411">
        <f t="shared" si="369"/>
        <v>921.11358035224964</v>
      </c>
      <c r="AL326" s="411">
        <f t="shared" si="369"/>
        <v>934.9302840575333</v>
      </c>
      <c r="AM326" s="411">
        <f t="shared" si="369"/>
        <v>948.95423831839628</v>
      </c>
      <c r="AN326" s="411">
        <f t="shared" si="369"/>
        <v>963.18855189317208</v>
      </c>
      <c r="AO326" s="411">
        <f t="shared" si="369"/>
        <v>977.6363801715695</v>
      </c>
      <c r="AP326" s="411">
        <f t="shared" si="369"/>
        <v>992.30092587414299</v>
      </c>
      <c r="AQ326" s="411">
        <f t="shared" si="369"/>
        <v>1007.1854397622551</v>
      </c>
      <c r="AR326" s="411">
        <f t="shared" si="369"/>
        <v>1022.2932213586889</v>
      </c>
      <c r="AS326" s="411">
        <f t="shared" si="369"/>
        <v>1037.6276196790691</v>
      </c>
      <c r="AT326" s="411">
        <f t="shared" si="369"/>
        <v>1053.1920339742549</v>
      </c>
      <c r="AU326" s="411">
        <f t="shared" si="369"/>
        <v>1068.9899144838685</v>
      </c>
      <c r="AV326" s="411">
        <f t="shared" si="369"/>
        <v>1085.0247632011267</v>
      </c>
      <c r="AW326" s="411">
        <f t="shared" si="369"/>
        <v>1101.3001346491433</v>
      </c>
      <c r="AX326" s="411">
        <f t="shared" si="369"/>
        <v>1117.8196366688803</v>
      </c>
      <c r="AY326" s="411">
        <f t="shared" si="369"/>
        <v>1134.5869312189134</v>
      </c>
      <c r="AZ326" s="411">
        <f t="shared" si="369"/>
        <v>1151.6057351871968</v>
      </c>
      <c r="BA326" s="411">
        <f t="shared" si="369"/>
        <v>1168.8798212150048</v>
      </c>
      <c r="BB326" s="411">
        <f t="shared" si="369"/>
        <v>1184.0752588907999</v>
      </c>
      <c r="BC326" s="411">
        <f t="shared" si="369"/>
        <v>1198.2841619974895</v>
      </c>
      <c r="BD326" s="411">
        <f t="shared" si="369"/>
        <v>1211.4652877794617</v>
      </c>
      <c r="BE326" s="411">
        <f t="shared" si="369"/>
        <v>1223.5799406572564</v>
      </c>
      <c r="BF326" s="411">
        <f t="shared" si="369"/>
        <v>1235.815740063829</v>
      </c>
    </row>
    <row r="327" spans="1:58" ht="12" hidden="1" customHeight="1" outlineLevel="2" x14ac:dyDescent="0.3">
      <c r="A327" s="224"/>
      <c r="B327" s="224"/>
      <c r="C327" s="224"/>
      <c r="D327" s="224"/>
      <c r="E327" s="224"/>
      <c r="F327" s="224"/>
      <c r="G327" s="224"/>
      <c r="H327" s="224"/>
      <c r="I327" s="224"/>
      <c r="J327" s="224"/>
      <c r="K327" s="224"/>
      <c r="L327" s="117"/>
      <c r="M327" s="223" t="s">
        <v>980</v>
      </c>
      <c r="N327" s="216" t="s">
        <v>68</v>
      </c>
      <c r="O327" s="415">
        <f t="shared" ref="O327:X327" si="370">IFERROR((O312+O313+O314+O316+O317+O319+O320+O321+O322+O323+O324+O325)/O326,"")</f>
        <v>1</v>
      </c>
      <c r="P327" s="415">
        <f t="shared" si="370"/>
        <v>1</v>
      </c>
      <c r="Q327" s="415">
        <f t="shared" si="370"/>
        <v>1</v>
      </c>
      <c r="R327" s="415">
        <f t="shared" si="370"/>
        <v>1</v>
      </c>
      <c r="S327" s="415">
        <f t="shared" si="370"/>
        <v>1</v>
      </c>
      <c r="T327" s="415">
        <f t="shared" si="370"/>
        <v>1</v>
      </c>
      <c r="U327" s="415">
        <f t="shared" si="370"/>
        <v>1</v>
      </c>
      <c r="V327" s="415">
        <f t="shared" si="370"/>
        <v>1</v>
      </c>
      <c r="W327" s="415">
        <f t="shared" si="370"/>
        <v>1</v>
      </c>
      <c r="X327" s="415">
        <f t="shared" si="370"/>
        <v>1</v>
      </c>
      <c r="Y327" s="394"/>
      <c r="Z327" s="219"/>
      <c r="AA327" s="219"/>
      <c r="AB327" s="415">
        <f>IFERROR((AB312+AB313+AB314+AB316+AB317+AB319+AB320+AB321+AB322+AB323+AB324+AB325)/AB326,"")</f>
        <v>1</v>
      </c>
      <c r="AC327" s="415">
        <f>IFERROR((AC312+AC313+AC314+AC316+AC317+AC319+AC320+AC321+AC322+AC323+AC324+AC325)/AC326,"")</f>
        <v>1</v>
      </c>
      <c r="AD327" s="224"/>
      <c r="AE327" s="224"/>
      <c r="AF327" s="224"/>
      <c r="AG327" s="224"/>
      <c r="AH327" s="224"/>
      <c r="AI327" s="224"/>
      <c r="AJ327" s="224"/>
      <c r="AK327" s="224"/>
      <c r="AL327" s="224"/>
      <c r="AM327" s="224"/>
      <c r="AN327" s="224"/>
      <c r="AO327" s="224"/>
      <c r="AP327" s="224"/>
      <c r="AQ327" s="224"/>
      <c r="AR327" s="224"/>
      <c r="AS327" s="224"/>
      <c r="AT327" s="224"/>
      <c r="AU327" s="224"/>
      <c r="AV327" s="224"/>
      <c r="AW327" s="224"/>
      <c r="AX327" s="224"/>
      <c r="AY327" s="224"/>
      <c r="AZ327" s="224"/>
      <c r="BA327" s="224"/>
      <c r="BB327" s="224"/>
      <c r="BC327" s="224"/>
      <c r="BD327" s="224"/>
      <c r="BE327" s="224"/>
      <c r="BF327" s="224"/>
    </row>
    <row r="328" spans="1:58" ht="12" hidden="1" customHeight="1" outlineLevel="2" x14ac:dyDescent="0.3">
      <c r="A328" s="224"/>
      <c r="B328" s="224"/>
      <c r="C328" s="224"/>
      <c r="D328" s="224"/>
      <c r="E328" s="224"/>
      <c r="F328" s="224"/>
      <c r="G328" s="224"/>
      <c r="H328" s="224"/>
      <c r="I328" s="224"/>
      <c r="J328" s="224"/>
      <c r="K328" s="224"/>
      <c r="L328" s="117"/>
      <c r="M328" s="223"/>
      <c r="N328" s="216"/>
      <c r="O328" s="415">
        <f t="shared" ref="O328:X328" si="371">IFERROR((O311+O315+O318+O323+O324+O325)/O326,"")</f>
        <v>1</v>
      </c>
      <c r="P328" s="415">
        <f t="shared" si="371"/>
        <v>1</v>
      </c>
      <c r="Q328" s="415">
        <f t="shared" si="371"/>
        <v>1</v>
      </c>
      <c r="R328" s="415">
        <f t="shared" si="371"/>
        <v>1</v>
      </c>
      <c r="S328" s="415">
        <f t="shared" si="371"/>
        <v>1</v>
      </c>
      <c r="T328" s="415">
        <f t="shared" si="371"/>
        <v>1</v>
      </c>
      <c r="U328" s="415">
        <f t="shared" si="371"/>
        <v>1</v>
      </c>
      <c r="V328" s="415">
        <f t="shared" si="371"/>
        <v>1</v>
      </c>
      <c r="W328" s="415">
        <f t="shared" si="371"/>
        <v>1</v>
      </c>
      <c r="X328" s="415">
        <f t="shared" si="371"/>
        <v>1</v>
      </c>
      <c r="Y328" s="394"/>
      <c r="Z328" s="219"/>
      <c r="AA328" s="219"/>
      <c r="AB328" s="415">
        <f>IFERROR((AB311+AB315+AB318+AB323+AB324+AB325)/AB326,"")</f>
        <v>1</v>
      </c>
      <c r="AC328" s="415">
        <f>IFERROR((AC311+AC315+AC318+AC323+AC324+AC325)/AC326,"")</f>
        <v>1</v>
      </c>
      <c r="AD328" s="224"/>
      <c r="AE328" s="224"/>
      <c r="AF328" s="224"/>
      <c r="AG328" s="224"/>
      <c r="AH328" s="224"/>
      <c r="AI328" s="224"/>
      <c r="AJ328" s="224"/>
      <c r="AK328" s="224"/>
      <c r="AL328" s="224"/>
      <c r="AM328" s="224"/>
      <c r="AN328" s="224"/>
      <c r="AO328" s="224"/>
      <c r="AP328" s="224"/>
      <c r="AQ328" s="224"/>
      <c r="AR328" s="224"/>
      <c r="AS328" s="224"/>
      <c r="AT328" s="224"/>
      <c r="AU328" s="224"/>
      <c r="AV328" s="224"/>
      <c r="AW328" s="224"/>
      <c r="AX328" s="224"/>
      <c r="AY328" s="224"/>
      <c r="AZ328" s="224"/>
      <c r="BA328" s="224"/>
      <c r="BB328" s="224"/>
      <c r="BC328" s="224"/>
      <c r="BD328" s="224"/>
      <c r="BE328" s="224"/>
      <c r="BF328" s="224"/>
    </row>
    <row r="329" spans="1:58" ht="12" hidden="1" customHeight="1" outlineLevel="2" x14ac:dyDescent="0.3">
      <c r="A329" s="224"/>
      <c r="B329" s="224"/>
      <c r="C329" s="224"/>
      <c r="D329" s="224"/>
      <c r="E329" s="224"/>
      <c r="F329" s="224"/>
      <c r="G329" s="224"/>
      <c r="H329" s="224"/>
      <c r="I329" s="224"/>
      <c r="J329" s="224"/>
      <c r="K329" s="224"/>
      <c r="L329" s="117"/>
      <c r="M329" s="211" t="s">
        <v>991</v>
      </c>
      <c r="N329" s="216"/>
      <c r="O329" s="216"/>
      <c r="P329" s="216"/>
      <c r="Q329" s="216"/>
      <c r="R329" s="216"/>
      <c r="S329" s="216"/>
      <c r="T329" s="216"/>
      <c r="U329" s="216"/>
      <c r="V329" s="216"/>
      <c r="W329" s="216"/>
      <c r="X329" s="216"/>
      <c r="Y329" s="394"/>
      <c r="Z329" s="219"/>
      <c r="AA329" s="219"/>
      <c r="AB329" s="216"/>
      <c r="AC329" s="216"/>
      <c r="AD329" s="224"/>
      <c r="AE329" s="224"/>
      <c r="AF329" s="224"/>
      <c r="AG329" s="224"/>
      <c r="AH329" s="224"/>
      <c r="AI329" s="224"/>
      <c r="AJ329" s="224"/>
      <c r="AK329" s="224"/>
      <c r="AL329" s="224"/>
      <c r="AM329" s="224"/>
      <c r="AN329" s="224"/>
      <c r="AO329" s="224"/>
      <c r="AP329" s="224"/>
      <c r="AQ329" s="224"/>
      <c r="AR329" s="224"/>
      <c r="AS329" s="224"/>
      <c r="AT329" s="224"/>
      <c r="AU329" s="224"/>
      <c r="AV329" s="224"/>
      <c r="AW329" s="224"/>
      <c r="AX329" s="224"/>
      <c r="AY329" s="224"/>
      <c r="AZ329" s="224"/>
      <c r="BA329" s="224"/>
      <c r="BB329" s="224"/>
      <c r="BC329" s="224"/>
      <c r="BD329" s="224"/>
      <c r="BE329" s="224"/>
      <c r="BF329" s="224"/>
    </row>
    <row r="330" spans="1:58" ht="12" hidden="1" customHeight="1" outlineLevel="2" x14ac:dyDescent="0.3">
      <c r="A330" s="224"/>
      <c r="B330" s="224"/>
      <c r="C330" s="224"/>
      <c r="D330" s="224"/>
      <c r="E330" s="224"/>
      <c r="F330" s="224"/>
      <c r="G330" s="224"/>
      <c r="H330" s="224"/>
      <c r="I330" s="224"/>
      <c r="J330" s="224"/>
      <c r="K330" s="224"/>
      <c r="L330" s="117"/>
      <c r="M330" s="210" t="s">
        <v>992</v>
      </c>
      <c r="N330" s="244" t="s">
        <v>77</v>
      </c>
      <c r="O330" s="409">
        <f>SUM(O331:O333)</f>
        <v>0</v>
      </c>
      <c r="P330" s="409">
        <f t="shared" ref="P330" si="372">SUM(P331:P333)</f>
        <v>10.894444444444444</v>
      </c>
      <c r="Q330" s="409">
        <f t="shared" ref="Q330" si="373">SUM(Q331:Q333)</f>
        <v>10.894444444444444</v>
      </c>
      <c r="R330" s="409">
        <f t="shared" ref="R330" si="374">SUM(R331:R333)</f>
        <v>10.894444444444444</v>
      </c>
      <c r="S330" s="409">
        <f t="shared" ref="S330" si="375">SUM(S331:S333)</f>
        <v>10.894444444444444</v>
      </c>
      <c r="T330" s="409">
        <f t="shared" ref="T330" si="376">SUM(T331:T333)</f>
        <v>10.894444444444444</v>
      </c>
      <c r="U330" s="409">
        <f t="shared" ref="U330" si="377">SUM(U331:U333)</f>
        <v>10.894444444444444</v>
      </c>
      <c r="V330" s="409">
        <f t="shared" ref="V330" si="378">SUM(V331:V333)</f>
        <v>0</v>
      </c>
      <c r="W330" s="409">
        <f t="shared" ref="W330" si="379">SUM(W331:W333)</f>
        <v>0</v>
      </c>
      <c r="X330" s="409">
        <f t="shared" ref="X330" si="380">SUM(X331:X333)</f>
        <v>13.555555555555557</v>
      </c>
      <c r="Y330" s="394"/>
      <c r="Z330" s="219"/>
      <c r="AA330" s="219"/>
      <c r="AB330" s="409">
        <f t="shared" ref="AB330" si="381">SUM(AB331:AB333)</f>
        <v>19.444444444444446</v>
      </c>
      <c r="AC330" s="410">
        <f t="shared" ref="AC330" si="382">SUM(AC331:AC333)</f>
        <v>6.9444444444444446</v>
      </c>
      <c r="AD330" s="411">
        <f>AB330*AD$255/$AB$255</f>
        <v>19.638888888888893</v>
      </c>
      <c r="AE330" s="411">
        <f>AD330*AE$255/AD$255</f>
        <v>19.874555555555563</v>
      </c>
      <c r="AF330" s="411">
        <f t="shared" ref="AF330:BF330" si="383">AE330*AF$255/AE$255</f>
        <v>20.172673888888895</v>
      </c>
      <c r="AG330" s="411">
        <f t="shared" si="383"/>
        <v>20.475263997222225</v>
      </c>
      <c r="AH330" s="411">
        <f t="shared" si="383"/>
        <v>20.782392957180559</v>
      </c>
      <c r="AI330" s="411">
        <f t="shared" si="383"/>
        <v>21.094128851538265</v>
      </c>
      <c r="AJ330" s="411">
        <f t="shared" si="383"/>
        <v>21.410540784311337</v>
      </c>
      <c r="AK330" s="411">
        <f t="shared" si="383"/>
        <v>21.731698896076004</v>
      </c>
      <c r="AL330" s="411">
        <f t="shared" si="383"/>
        <v>22.057674379517142</v>
      </c>
      <c r="AM330" s="411">
        <f t="shared" si="383"/>
        <v>22.388539495209898</v>
      </c>
      <c r="AN330" s="411">
        <f t="shared" si="383"/>
        <v>22.724367587638042</v>
      </c>
      <c r="AO330" s="411">
        <f t="shared" si="383"/>
        <v>23.065233101452613</v>
      </c>
      <c r="AP330" s="411">
        <f t="shared" si="383"/>
        <v>23.4112115979744</v>
      </c>
      <c r="AQ330" s="411">
        <f t="shared" si="383"/>
        <v>23.762379771944016</v>
      </c>
      <c r="AR330" s="411">
        <f t="shared" si="383"/>
        <v>24.118815468523174</v>
      </c>
      <c r="AS330" s="411">
        <f t="shared" si="383"/>
        <v>24.480597700551019</v>
      </c>
      <c r="AT330" s="411">
        <f t="shared" si="383"/>
        <v>24.847806666059281</v>
      </c>
      <c r="AU330" s="411">
        <f t="shared" si="383"/>
        <v>25.220523766050171</v>
      </c>
      <c r="AV330" s="411">
        <f t="shared" si="383"/>
        <v>25.598831622540924</v>
      </c>
      <c r="AW330" s="411">
        <f t="shared" si="383"/>
        <v>25.982814096879032</v>
      </c>
      <c r="AX330" s="411">
        <f t="shared" si="383"/>
        <v>26.372556308332218</v>
      </c>
      <c r="AY330" s="411">
        <f t="shared" si="383"/>
        <v>26.768144652957197</v>
      </c>
      <c r="AZ330" s="411">
        <f t="shared" si="383"/>
        <v>27.169666822751552</v>
      </c>
      <c r="BA330" s="411">
        <f t="shared" si="383"/>
        <v>27.577211825092824</v>
      </c>
      <c r="BB330" s="411">
        <f t="shared" si="383"/>
        <v>27.935715578819028</v>
      </c>
      <c r="BC330" s="411">
        <f t="shared" si="383"/>
        <v>28.27094416576486</v>
      </c>
      <c r="BD330" s="411">
        <f t="shared" si="383"/>
        <v>28.581924551588269</v>
      </c>
      <c r="BE330" s="411">
        <f t="shared" si="383"/>
        <v>28.867743797104151</v>
      </c>
      <c r="BF330" s="411">
        <f t="shared" si="383"/>
        <v>29.156421235075193</v>
      </c>
    </row>
    <row r="331" spans="1:58" ht="12" hidden="1" customHeight="1" outlineLevel="2" x14ac:dyDescent="0.3">
      <c r="A331" s="224"/>
      <c r="B331" s="224"/>
      <c r="C331" s="224"/>
      <c r="D331" s="224"/>
      <c r="E331" s="224"/>
      <c r="F331" s="224"/>
      <c r="G331" s="224"/>
      <c r="H331" s="224"/>
      <c r="I331" s="224"/>
      <c r="J331" s="224"/>
      <c r="K331" s="224"/>
      <c r="L331" s="117"/>
      <c r="M331" s="213" t="s">
        <v>964</v>
      </c>
      <c r="N331" s="244" t="s">
        <v>77</v>
      </c>
      <c r="O331" s="150">
        <v>0</v>
      </c>
      <c r="P331" s="150">
        <v>0</v>
      </c>
      <c r="Q331" s="150">
        <v>0</v>
      </c>
      <c r="R331" s="150">
        <v>0</v>
      </c>
      <c r="S331" s="150">
        <v>0</v>
      </c>
      <c r="T331" s="150">
        <v>0</v>
      </c>
      <c r="U331" s="150">
        <v>0</v>
      </c>
      <c r="V331" s="150">
        <v>0</v>
      </c>
      <c r="W331" s="150">
        <v>0</v>
      </c>
      <c r="X331" s="150">
        <v>0</v>
      </c>
      <c r="Y331" s="394"/>
      <c r="Z331" s="246"/>
      <c r="AA331" s="246"/>
      <c r="AB331" s="150">
        <v>0.55555555555555558</v>
      </c>
      <c r="AC331" s="153">
        <v>0</v>
      </c>
      <c r="AD331" s="412"/>
      <c r="AE331" s="412"/>
      <c r="AF331" s="412"/>
      <c r="AG331" s="412"/>
      <c r="AH331" s="412"/>
      <c r="AI331" s="412"/>
      <c r="AJ331" s="412"/>
      <c r="AK331" s="412"/>
      <c r="AL331" s="412"/>
      <c r="AM331" s="412"/>
      <c r="AN331" s="412"/>
      <c r="AO331" s="412"/>
      <c r="AP331" s="412"/>
      <c r="AQ331" s="412"/>
      <c r="AR331" s="412"/>
      <c r="AS331" s="412"/>
      <c r="AT331" s="412"/>
      <c r="AU331" s="412"/>
      <c r="AV331" s="412"/>
      <c r="AW331" s="412"/>
      <c r="AX331" s="412"/>
      <c r="AY331" s="412"/>
      <c r="AZ331" s="412"/>
      <c r="BA331" s="412"/>
      <c r="BB331" s="412"/>
      <c r="BC331" s="412"/>
      <c r="BD331" s="412"/>
      <c r="BE331" s="412"/>
      <c r="BF331" s="412"/>
    </row>
    <row r="332" spans="1:58" ht="12" hidden="1" customHeight="1" outlineLevel="2" x14ac:dyDescent="0.3">
      <c r="A332" s="224"/>
      <c r="B332" s="224"/>
      <c r="C332" s="224"/>
      <c r="D332" s="224"/>
      <c r="E332" s="224"/>
      <c r="F332" s="224"/>
      <c r="G332" s="224"/>
      <c r="H332" s="224"/>
      <c r="I332" s="224"/>
      <c r="J332" s="224"/>
      <c r="K332" s="224"/>
      <c r="L332" s="117"/>
      <c r="M332" s="213" t="s">
        <v>965</v>
      </c>
      <c r="N332" s="244" t="s">
        <v>77</v>
      </c>
      <c r="O332" s="150">
        <v>0</v>
      </c>
      <c r="P332" s="150">
        <v>10.894444444444444</v>
      </c>
      <c r="Q332" s="150">
        <v>10.894444444444444</v>
      </c>
      <c r="R332" s="150">
        <v>10.894444444444444</v>
      </c>
      <c r="S332" s="150">
        <v>10.894444444444444</v>
      </c>
      <c r="T332" s="150">
        <v>10.894444444444444</v>
      </c>
      <c r="U332" s="150">
        <v>10.894444444444444</v>
      </c>
      <c r="V332" s="150">
        <v>0</v>
      </c>
      <c r="W332" s="150">
        <v>0</v>
      </c>
      <c r="X332" s="150">
        <v>11.027777777777779</v>
      </c>
      <c r="Y332" s="394"/>
      <c r="Z332" s="246"/>
      <c r="AA332" s="246"/>
      <c r="AB332" s="150">
        <v>18.888888888888889</v>
      </c>
      <c r="AC332" s="153">
        <v>5.5555555555555554</v>
      </c>
      <c r="AD332" s="412"/>
      <c r="AE332" s="412"/>
      <c r="AF332" s="412"/>
      <c r="AG332" s="412"/>
      <c r="AH332" s="412"/>
      <c r="AI332" s="412"/>
      <c r="AJ332" s="412"/>
      <c r="AK332" s="412"/>
      <c r="AL332" s="412"/>
      <c r="AM332" s="412"/>
      <c r="AN332" s="412"/>
      <c r="AO332" s="412"/>
      <c r="AP332" s="412"/>
      <c r="AQ332" s="412"/>
      <c r="AR332" s="412"/>
      <c r="AS332" s="412"/>
      <c r="AT332" s="412"/>
      <c r="AU332" s="412"/>
      <c r="AV332" s="412"/>
      <c r="AW332" s="412"/>
      <c r="AX332" s="412"/>
      <c r="AY332" s="412"/>
      <c r="AZ332" s="412"/>
      <c r="BA332" s="412"/>
      <c r="BB332" s="412"/>
      <c r="BC332" s="412"/>
      <c r="BD332" s="412"/>
      <c r="BE332" s="412"/>
      <c r="BF332" s="412"/>
    </row>
    <row r="333" spans="1:58" ht="12" hidden="1" customHeight="1" outlineLevel="2" x14ac:dyDescent="0.3">
      <c r="A333" s="224"/>
      <c r="B333" s="224"/>
      <c r="C333" s="224"/>
      <c r="D333" s="224"/>
      <c r="E333" s="224"/>
      <c r="F333" s="224"/>
      <c r="G333" s="224"/>
      <c r="H333" s="224"/>
      <c r="I333" s="224"/>
      <c r="J333" s="224"/>
      <c r="K333" s="224"/>
      <c r="L333" s="117"/>
      <c r="M333" s="213" t="s">
        <v>966</v>
      </c>
      <c r="N333" s="244" t="s">
        <v>77</v>
      </c>
      <c r="O333" s="150">
        <v>0</v>
      </c>
      <c r="P333" s="150">
        <v>0</v>
      </c>
      <c r="Q333" s="150">
        <v>0</v>
      </c>
      <c r="R333" s="150">
        <v>0</v>
      </c>
      <c r="S333" s="150">
        <v>0</v>
      </c>
      <c r="T333" s="150">
        <v>0</v>
      </c>
      <c r="U333" s="150">
        <v>0</v>
      </c>
      <c r="V333" s="150">
        <v>0</v>
      </c>
      <c r="W333" s="150">
        <v>0</v>
      </c>
      <c r="X333" s="150">
        <v>2.5277777777777777</v>
      </c>
      <c r="Y333" s="394"/>
      <c r="Z333" s="246"/>
      <c r="AA333" s="246"/>
      <c r="AB333" s="150">
        <v>0</v>
      </c>
      <c r="AC333" s="153">
        <v>1.3888888888888888</v>
      </c>
      <c r="AD333" s="412"/>
      <c r="AE333" s="412"/>
      <c r="AF333" s="412"/>
      <c r="AG333" s="412"/>
      <c r="AH333" s="412"/>
      <c r="AI333" s="412"/>
      <c r="AJ333" s="412"/>
      <c r="AK333" s="412"/>
      <c r="AL333" s="412"/>
      <c r="AM333" s="412"/>
      <c r="AN333" s="412"/>
      <c r="AO333" s="412"/>
      <c r="AP333" s="412"/>
      <c r="AQ333" s="412"/>
      <c r="AR333" s="412"/>
      <c r="AS333" s="412"/>
      <c r="AT333" s="412"/>
      <c r="AU333" s="412"/>
      <c r="AV333" s="412"/>
      <c r="AW333" s="412"/>
      <c r="AX333" s="412"/>
      <c r="AY333" s="412"/>
      <c r="AZ333" s="412"/>
      <c r="BA333" s="412"/>
      <c r="BB333" s="412"/>
      <c r="BC333" s="412"/>
      <c r="BD333" s="412"/>
      <c r="BE333" s="412"/>
      <c r="BF333" s="412"/>
    </row>
    <row r="334" spans="1:58" ht="12" hidden="1" customHeight="1" outlineLevel="2" x14ac:dyDescent="0.3">
      <c r="A334" s="224"/>
      <c r="B334" s="224"/>
      <c r="C334" s="224"/>
      <c r="D334" s="224"/>
      <c r="E334" s="224"/>
      <c r="F334" s="224"/>
      <c r="G334" s="224"/>
      <c r="H334" s="224"/>
      <c r="I334" s="224"/>
      <c r="J334" s="224"/>
      <c r="K334" s="224"/>
      <c r="L334" s="117"/>
      <c r="M334" s="210" t="s">
        <v>993</v>
      </c>
      <c r="N334" s="244" t="s">
        <v>77</v>
      </c>
      <c r="O334" s="409">
        <f>SUM(O335:O336)</f>
        <v>42.239021174592345</v>
      </c>
      <c r="P334" s="409">
        <f t="shared" ref="P334" si="384">SUM(P335:P336)</f>
        <v>25.993243799749131</v>
      </c>
      <c r="Q334" s="409">
        <f t="shared" ref="Q334" si="385">SUM(Q335:Q336)</f>
        <v>26.243178836285182</v>
      </c>
      <c r="R334" s="409">
        <f t="shared" ref="R334" si="386">SUM(R335:R336)</f>
        <v>25.24343869014098</v>
      </c>
      <c r="S334" s="409">
        <f t="shared" ref="S334" si="387">SUM(S335:S336)</f>
        <v>26.243178836285182</v>
      </c>
      <c r="T334" s="409">
        <f t="shared" ref="T334" si="388">SUM(T335:T336)</f>
        <v>22.494153288244441</v>
      </c>
      <c r="U334" s="409">
        <f t="shared" ref="U334" si="389">SUM(U335:U336)</f>
        <v>27.992724092037527</v>
      </c>
      <c r="V334" s="409">
        <f t="shared" ref="V334" si="390">SUM(V335:V336)</f>
        <v>24.493633580532844</v>
      </c>
      <c r="W334" s="409">
        <f t="shared" ref="W334" si="391">SUM(W335:W336)</f>
        <v>22.038521716639227</v>
      </c>
      <c r="X334" s="409">
        <f t="shared" ref="X334" si="392">SUM(X335:X336)</f>
        <v>18.245257667131607</v>
      </c>
      <c r="Y334" s="394"/>
      <c r="Z334" s="220"/>
      <c r="AA334" s="220"/>
      <c r="AB334" s="409">
        <f t="shared" ref="AB334" si="393">SUM(AB335:AB336)</f>
        <v>1.1111111111111112</v>
      </c>
      <c r="AC334" s="410">
        <f t="shared" ref="AC334" si="394">SUM(AC335:AC336)</f>
        <v>26.388888888888889</v>
      </c>
      <c r="AD334" s="411">
        <f>AB334*AD$255/$AB$255</f>
        <v>1.1222222222222222</v>
      </c>
      <c r="AE334" s="411">
        <f>AD334*AE$255/AD$255</f>
        <v>1.135688888888889</v>
      </c>
      <c r="AF334" s="411">
        <f t="shared" ref="AF334:BF334" si="395">AE334*AF$255/AE$255</f>
        <v>1.1527242222222223</v>
      </c>
      <c r="AG334" s="411">
        <f t="shared" si="395"/>
        <v>1.1700150855555556</v>
      </c>
      <c r="AH334" s="411">
        <f t="shared" si="395"/>
        <v>1.1875653118388889</v>
      </c>
      <c r="AI334" s="411">
        <f t="shared" si="395"/>
        <v>1.205378791516472</v>
      </c>
      <c r="AJ334" s="411">
        <f t="shared" si="395"/>
        <v>1.2234594733892188</v>
      </c>
      <c r="AK334" s="411">
        <f t="shared" si="395"/>
        <v>1.2418113654900571</v>
      </c>
      <c r="AL334" s="411">
        <f t="shared" si="395"/>
        <v>1.260438535972408</v>
      </c>
      <c r="AM334" s="411">
        <f t="shared" si="395"/>
        <v>1.279345114011994</v>
      </c>
      <c r="AN334" s="411">
        <f t="shared" si="395"/>
        <v>1.2985352907221739</v>
      </c>
      <c r="AO334" s="411">
        <f t="shared" si="395"/>
        <v>1.3180133200830064</v>
      </c>
      <c r="AP334" s="411">
        <f t="shared" si="395"/>
        <v>1.3377835198842516</v>
      </c>
      <c r="AQ334" s="411">
        <f t="shared" si="395"/>
        <v>1.3578502726825155</v>
      </c>
      <c r="AR334" s="411">
        <f t="shared" si="395"/>
        <v>1.3782180267727533</v>
      </c>
      <c r="AS334" s="411">
        <f t="shared" si="395"/>
        <v>1.3988912971743446</v>
      </c>
      <c r="AT334" s="411">
        <f t="shared" si="395"/>
        <v>1.4198746666319597</v>
      </c>
      <c r="AU334" s="411">
        <f t="shared" si="395"/>
        <v>1.4411727866314388</v>
      </c>
      <c r="AV334" s="411">
        <f t="shared" si="395"/>
        <v>1.4627903784309104</v>
      </c>
      <c r="AW334" s="411">
        <f t="shared" si="395"/>
        <v>1.4847322341073739</v>
      </c>
      <c r="AX334" s="411">
        <f t="shared" si="395"/>
        <v>1.5070032176189843</v>
      </c>
      <c r="AY334" s="411">
        <f t="shared" si="395"/>
        <v>1.5296082658832688</v>
      </c>
      <c r="AZ334" s="411">
        <f t="shared" si="395"/>
        <v>1.5525523898715174</v>
      </c>
      <c r="BA334" s="411">
        <f t="shared" si="395"/>
        <v>1.57584067571959</v>
      </c>
      <c r="BB334" s="411">
        <f t="shared" si="395"/>
        <v>1.5963266045039444</v>
      </c>
      <c r="BC334" s="411">
        <f t="shared" si="395"/>
        <v>1.6154825237579915</v>
      </c>
      <c r="BD334" s="411">
        <f t="shared" si="395"/>
        <v>1.6332528315193293</v>
      </c>
      <c r="BE334" s="411">
        <f t="shared" si="395"/>
        <v>1.6495853598345227</v>
      </c>
      <c r="BF334" s="411">
        <f t="shared" si="395"/>
        <v>1.666081213432868</v>
      </c>
    </row>
    <row r="335" spans="1:58" ht="12" hidden="1" customHeight="1" outlineLevel="2" x14ac:dyDescent="0.3">
      <c r="A335" s="224"/>
      <c r="B335" s="224"/>
      <c r="C335" s="224"/>
      <c r="D335" s="224"/>
      <c r="E335" s="224"/>
      <c r="F335" s="224"/>
      <c r="G335" s="224"/>
      <c r="H335" s="224"/>
      <c r="I335" s="224"/>
      <c r="J335" s="224"/>
      <c r="K335" s="224"/>
      <c r="L335" s="117"/>
      <c r="M335" s="213" t="s">
        <v>968</v>
      </c>
      <c r="N335" s="244" t="s">
        <v>77</v>
      </c>
      <c r="O335" s="150">
        <v>42.239021174592345</v>
      </c>
      <c r="P335" s="150">
        <v>25.993243799749131</v>
      </c>
      <c r="Q335" s="150">
        <v>26.243178836285182</v>
      </c>
      <c r="R335" s="150">
        <v>25.24343869014098</v>
      </c>
      <c r="S335" s="150">
        <v>26.243178836285182</v>
      </c>
      <c r="T335" s="150">
        <v>22.494153288244441</v>
      </c>
      <c r="U335" s="150">
        <v>27.992724092037527</v>
      </c>
      <c r="V335" s="150">
        <v>24.493633580532844</v>
      </c>
      <c r="W335" s="150">
        <v>22.038521716639227</v>
      </c>
      <c r="X335" s="150">
        <v>18.245257667131607</v>
      </c>
      <c r="Y335" s="394"/>
      <c r="Z335" s="246"/>
      <c r="AA335" s="246"/>
      <c r="AB335" s="150">
        <v>1.1111111111111112</v>
      </c>
      <c r="AC335" s="153">
        <v>26.388888888888889</v>
      </c>
      <c r="AD335" s="412"/>
      <c r="AE335" s="412"/>
      <c r="AF335" s="412"/>
      <c r="AG335" s="412"/>
      <c r="AH335" s="412"/>
      <c r="AI335" s="412"/>
      <c r="AJ335" s="412"/>
      <c r="AK335" s="412"/>
      <c r="AL335" s="412"/>
      <c r="AM335" s="412"/>
      <c r="AN335" s="412"/>
      <c r="AO335" s="412"/>
      <c r="AP335" s="412"/>
      <c r="AQ335" s="412"/>
      <c r="AR335" s="412"/>
      <c r="AS335" s="412"/>
      <c r="AT335" s="412"/>
      <c r="AU335" s="412"/>
      <c r="AV335" s="412"/>
      <c r="AW335" s="412"/>
      <c r="AX335" s="412"/>
      <c r="AY335" s="412"/>
      <c r="AZ335" s="412"/>
      <c r="BA335" s="412"/>
      <c r="BB335" s="412"/>
      <c r="BC335" s="412"/>
      <c r="BD335" s="412"/>
      <c r="BE335" s="412"/>
      <c r="BF335" s="412"/>
    </row>
    <row r="336" spans="1:58" ht="12" hidden="1" customHeight="1" outlineLevel="2" x14ac:dyDescent="0.3">
      <c r="A336" s="224"/>
      <c r="B336" s="224"/>
      <c r="C336" s="224"/>
      <c r="D336" s="224"/>
      <c r="E336" s="224"/>
      <c r="F336" s="224"/>
      <c r="G336" s="224"/>
      <c r="H336" s="224"/>
      <c r="I336" s="224"/>
      <c r="J336" s="224"/>
      <c r="K336" s="224"/>
      <c r="L336" s="117"/>
      <c r="M336" s="213" t="s">
        <v>969</v>
      </c>
      <c r="N336" s="244" t="s">
        <v>77</v>
      </c>
      <c r="O336" s="150">
        <v>0</v>
      </c>
      <c r="P336" s="150">
        <v>0</v>
      </c>
      <c r="Q336" s="150">
        <v>0</v>
      </c>
      <c r="R336" s="150">
        <v>0</v>
      </c>
      <c r="S336" s="150">
        <v>0</v>
      </c>
      <c r="T336" s="150">
        <v>0</v>
      </c>
      <c r="U336" s="150">
        <v>0</v>
      </c>
      <c r="V336" s="150">
        <v>0</v>
      </c>
      <c r="W336" s="150">
        <v>0</v>
      </c>
      <c r="X336" s="150">
        <v>0</v>
      </c>
      <c r="Y336" s="394"/>
      <c r="Z336" s="246"/>
      <c r="AA336" s="246"/>
      <c r="AB336" s="150">
        <v>0</v>
      </c>
      <c r="AC336" s="153">
        <v>0</v>
      </c>
      <c r="AD336" s="412"/>
      <c r="AE336" s="412"/>
      <c r="AF336" s="412"/>
      <c r="AG336" s="412"/>
      <c r="AH336" s="412"/>
      <c r="AI336" s="412"/>
      <c r="AJ336" s="412"/>
      <c r="AK336" s="412"/>
      <c r="AL336" s="412"/>
      <c r="AM336" s="412"/>
      <c r="AN336" s="412"/>
      <c r="AO336" s="412"/>
      <c r="AP336" s="412"/>
      <c r="AQ336" s="412"/>
      <c r="AR336" s="412"/>
      <c r="AS336" s="412"/>
      <c r="AT336" s="412"/>
      <c r="AU336" s="412"/>
      <c r="AV336" s="412"/>
      <c r="AW336" s="412"/>
      <c r="AX336" s="412"/>
      <c r="AY336" s="412"/>
      <c r="AZ336" s="412"/>
      <c r="BA336" s="412"/>
      <c r="BB336" s="412"/>
      <c r="BC336" s="412"/>
      <c r="BD336" s="412"/>
      <c r="BE336" s="412"/>
      <c r="BF336" s="412"/>
    </row>
    <row r="337" spans="1:58" ht="12" hidden="1" customHeight="1" outlineLevel="2" x14ac:dyDescent="0.3">
      <c r="A337" s="224"/>
      <c r="B337" s="224"/>
      <c r="C337" s="224"/>
      <c r="D337" s="224"/>
      <c r="E337" s="224"/>
      <c r="F337" s="224"/>
      <c r="G337" s="224"/>
      <c r="H337" s="224"/>
      <c r="I337" s="224"/>
      <c r="J337" s="224"/>
      <c r="K337" s="224"/>
      <c r="L337" s="117"/>
      <c r="M337" s="210" t="s">
        <v>994</v>
      </c>
      <c r="N337" s="244" t="s">
        <v>77</v>
      </c>
      <c r="O337" s="409">
        <f>SUM(O338:O341)</f>
        <v>0</v>
      </c>
      <c r="P337" s="409">
        <f t="shared" ref="P337" si="396">SUM(P338:P341)</f>
        <v>0</v>
      </c>
      <c r="Q337" s="409">
        <f t="shared" ref="Q337" si="397">SUM(Q338:Q341)</f>
        <v>0</v>
      </c>
      <c r="R337" s="409">
        <f t="shared" ref="R337" si="398">SUM(R338:R341)</f>
        <v>0</v>
      </c>
      <c r="S337" s="409">
        <f t="shared" ref="S337" si="399">SUM(S338:S341)</f>
        <v>0</v>
      </c>
      <c r="T337" s="409">
        <f t="shared" ref="T337" si="400">SUM(T338:T341)</f>
        <v>0</v>
      </c>
      <c r="U337" s="409">
        <f t="shared" ref="U337" si="401">SUM(U338:U341)</f>
        <v>0</v>
      </c>
      <c r="V337" s="409">
        <f t="shared" ref="V337" si="402">SUM(V338:V341)</f>
        <v>0</v>
      </c>
      <c r="W337" s="409">
        <f t="shared" ref="W337" si="403">SUM(W338:W341)</f>
        <v>0</v>
      </c>
      <c r="X337" s="409">
        <f t="shared" ref="X337" si="404">SUM(X338:X341)</f>
        <v>0</v>
      </c>
      <c r="Y337" s="394"/>
      <c r="Z337" s="220"/>
      <c r="AA337" s="220"/>
      <c r="AB337" s="409">
        <f t="shared" ref="AB337" si="405">SUM(AB338:AB341)</f>
        <v>0</v>
      </c>
      <c r="AC337" s="410">
        <f t="shared" ref="AC337" si="406">SUM(AC338:AC341)</f>
        <v>0</v>
      </c>
      <c r="AD337" s="411">
        <f>AB337*AD$255/$AB$255</f>
        <v>0</v>
      </c>
      <c r="AE337" s="411">
        <f>AD337*AE$255/AD$255</f>
        <v>0</v>
      </c>
      <c r="AF337" s="411">
        <f t="shared" ref="AF337:BF337" si="407">AE337*AF$255/AE$255</f>
        <v>0</v>
      </c>
      <c r="AG337" s="411">
        <f t="shared" si="407"/>
        <v>0</v>
      </c>
      <c r="AH337" s="411">
        <f t="shared" si="407"/>
        <v>0</v>
      </c>
      <c r="AI337" s="411">
        <f t="shared" si="407"/>
        <v>0</v>
      </c>
      <c r="AJ337" s="411">
        <f t="shared" si="407"/>
        <v>0</v>
      </c>
      <c r="AK337" s="411">
        <f t="shared" si="407"/>
        <v>0</v>
      </c>
      <c r="AL337" s="411">
        <f t="shared" si="407"/>
        <v>0</v>
      </c>
      <c r="AM337" s="411">
        <f t="shared" si="407"/>
        <v>0</v>
      </c>
      <c r="AN337" s="411">
        <f t="shared" si="407"/>
        <v>0</v>
      </c>
      <c r="AO337" s="411">
        <f t="shared" si="407"/>
        <v>0</v>
      </c>
      <c r="AP337" s="411">
        <f t="shared" si="407"/>
        <v>0</v>
      </c>
      <c r="AQ337" s="411">
        <f t="shared" si="407"/>
        <v>0</v>
      </c>
      <c r="AR337" s="411">
        <f t="shared" si="407"/>
        <v>0</v>
      </c>
      <c r="AS337" s="411">
        <f t="shared" si="407"/>
        <v>0</v>
      </c>
      <c r="AT337" s="411">
        <f t="shared" si="407"/>
        <v>0</v>
      </c>
      <c r="AU337" s="411">
        <f t="shared" si="407"/>
        <v>0</v>
      </c>
      <c r="AV337" s="411">
        <f t="shared" si="407"/>
        <v>0</v>
      </c>
      <c r="AW337" s="411">
        <f t="shared" si="407"/>
        <v>0</v>
      </c>
      <c r="AX337" s="411">
        <f t="shared" si="407"/>
        <v>0</v>
      </c>
      <c r="AY337" s="411">
        <f t="shared" si="407"/>
        <v>0</v>
      </c>
      <c r="AZ337" s="411">
        <f t="shared" si="407"/>
        <v>0</v>
      </c>
      <c r="BA337" s="411">
        <f t="shared" si="407"/>
        <v>0</v>
      </c>
      <c r="BB337" s="411">
        <f t="shared" si="407"/>
        <v>0</v>
      </c>
      <c r="BC337" s="411">
        <f t="shared" si="407"/>
        <v>0</v>
      </c>
      <c r="BD337" s="411">
        <f t="shared" si="407"/>
        <v>0</v>
      </c>
      <c r="BE337" s="411">
        <f t="shared" si="407"/>
        <v>0</v>
      </c>
      <c r="BF337" s="411">
        <f t="shared" si="407"/>
        <v>0</v>
      </c>
    </row>
    <row r="338" spans="1:58" ht="12" hidden="1" customHeight="1" outlineLevel="2" x14ac:dyDescent="0.3">
      <c r="A338" s="224"/>
      <c r="B338" s="224"/>
      <c r="C338" s="224"/>
      <c r="D338" s="224"/>
      <c r="E338" s="224"/>
      <c r="F338" s="224"/>
      <c r="G338" s="224"/>
      <c r="H338" s="224"/>
      <c r="I338" s="224"/>
      <c r="J338" s="224"/>
      <c r="K338" s="224"/>
      <c r="L338" s="117"/>
      <c r="M338" s="213" t="s">
        <v>971</v>
      </c>
      <c r="N338" s="244" t="s">
        <v>77</v>
      </c>
      <c r="O338" s="150">
        <v>0</v>
      </c>
      <c r="P338" s="150">
        <v>0</v>
      </c>
      <c r="Q338" s="150">
        <v>0</v>
      </c>
      <c r="R338" s="150">
        <v>0</v>
      </c>
      <c r="S338" s="150">
        <v>0</v>
      </c>
      <c r="T338" s="150">
        <v>0</v>
      </c>
      <c r="U338" s="150">
        <v>0</v>
      </c>
      <c r="V338" s="150">
        <v>0</v>
      </c>
      <c r="W338" s="150">
        <v>0</v>
      </c>
      <c r="X338" s="150">
        <v>0</v>
      </c>
      <c r="Y338" s="394"/>
      <c r="Z338" s="246"/>
      <c r="AA338" s="246"/>
      <c r="AB338" s="150">
        <v>0</v>
      </c>
      <c r="AC338" s="153">
        <v>0</v>
      </c>
      <c r="AD338" s="412"/>
      <c r="AE338" s="412"/>
      <c r="AF338" s="412"/>
      <c r="AG338" s="412"/>
      <c r="AH338" s="412"/>
      <c r="AI338" s="412"/>
      <c r="AJ338" s="412"/>
      <c r="AK338" s="412"/>
      <c r="AL338" s="412"/>
      <c r="AM338" s="412"/>
      <c r="AN338" s="412"/>
      <c r="AO338" s="412"/>
      <c r="AP338" s="412"/>
      <c r="AQ338" s="412"/>
      <c r="AR338" s="412"/>
      <c r="AS338" s="412"/>
      <c r="AT338" s="412"/>
      <c r="AU338" s="412"/>
      <c r="AV338" s="412"/>
      <c r="AW338" s="412"/>
      <c r="AX338" s="412"/>
      <c r="AY338" s="412"/>
      <c r="AZ338" s="412"/>
      <c r="BA338" s="412"/>
      <c r="BB338" s="412"/>
      <c r="BC338" s="412"/>
      <c r="BD338" s="412"/>
      <c r="BE338" s="412"/>
      <c r="BF338" s="412"/>
    </row>
    <row r="339" spans="1:58" ht="12" hidden="1" customHeight="1" outlineLevel="2" x14ac:dyDescent="0.3">
      <c r="A339" s="224"/>
      <c r="B339" s="224"/>
      <c r="C339" s="224"/>
      <c r="D339" s="224"/>
      <c r="E339" s="224"/>
      <c r="F339" s="224"/>
      <c r="G339" s="224"/>
      <c r="H339" s="224"/>
      <c r="I339" s="224"/>
      <c r="J339" s="224"/>
      <c r="K339" s="224"/>
      <c r="L339" s="117"/>
      <c r="M339" s="213" t="s">
        <v>985</v>
      </c>
      <c r="N339" s="244" t="s">
        <v>77</v>
      </c>
      <c r="O339" s="150">
        <v>0</v>
      </c>
      <c r="P339" s="150">
        <v>0</v>
      </c>
      <c r="Q339" s="150">
        <v>0</v>
      </c>
      <c r="R339" s="150">
        <v>0</v>
      </c>
      <c r="S339" s="150">
        <v>0</v>
      </c>
      <c r="T339" s="150">
        <v>0</v>
      </c>
      <c r="U339" s="150">
        <v>0</v>
      </c>
      <c r="V339" s="150">
        <v>0</v>
      </c>
      <c r="W339" s="150">
        <v>0</v>
      </c>
      <c r="X339" s="150">
        <v>0</v>
      </c>
      <c r="Y339" s="394"/>
      <c r="Z339" s="246"/>
      <c r="AA339" s="246"/>
      <c r="AB339" s="150">
        <v>0</v>
      </c>
      <c r="AC339" s="153">
        <v>0</v>
      </c>
      <c r="AD339" s="412"/>
      <c r="AE339" s="412"/>
      <c r="AF339" s="412"/>
      <c r="AG339" s="412"/>
      <c r="AH339" s="412"/>
      <c r="AI339" s="412"/>
      <c r="AJ339" s="412"/>
      <c r="AK339" s="412"/>
      <c r="AL339" s="412"/>
      <c r="AM339" s="412"/>
      <c r="AN339" s="412"/>
      <c r="AO339" s="412"/>
      <c r="AP339" s="412"/>
      <c r="AQ339" s="412"/>
      <c r="AR339" s="412"/>
      <c r="AS339" s="412"/>
      <c r="AT339" s="412"/>
      <c r="AU339" s="412"/>
      <c r="AV339" s="412"/>
      <c r="AW339" s="412"/>
      <c r="AX339" s="412"/>
      <c r="AY339" s="412"/>
      <c r="AZ339" s="412"/>
      <c r="BA339" s="412"/>
      <c r="BB339" s="412"/>
      <c r="BC339" s="412"/>
      <c r="BD339" s="412"/>
      <c r="BE339" s="412"/>
      <c r="BF339" s="412"/>
    </row>
    <row r="340" spans="1:58" ht="12" hidden="1" customHeight="1" outlineLevel="2" x14ac:dyDescent="0.3">
      <c r="A340" s="224"/>
      <c r="B340" s="224"/>
      <c r="C340" s="224"/>
      <c r="D340" s="224"/>
      <c r="E340" s="224"/>
      <c r="F340" s="224"/>
      <c r="G340" s="224"/>
      <c r="H340" s="224"/>
      <c r="I340" s="224"/>
      <c r="J340" s="224"/>
      <c r="K340" s="224"/>
      <c r="L340" s="117"/>
      <c r="M340" s="213" t="s">
        <v>973</v>
      </c>
      <c r="N340" s="244" t="s">
        <v>77</v>
      </c>
      <c r="O340" s="150">
        <v>0</v>
      </c>
      <c r="P340" s="150">
        <v>0</v>
      </c>
      <c r="Q340" s="150">
        <v>0</v>
      </c>
      <c r="R340" s="150">
        <v>0</v>
      </c>
      <c r="S340" s="150">
        <v>0</v>
      </c>
      <c r="T340" s="150">
        <v>0</v>
      </c>
      <c r="U340" s="150">
        <v>0</v>
      </c>
      <c r="V340" s="150">
        <v>0</v>
      </c>
      <c r="W340" s="150">
        <v>0</v>
      </c>
      <c r="X340" s="150">
        <v>0</v>
      </c>
      <c r="Y340" s="394"/>
      <c r="Z340" s="246"/>
      <c r="AA340" s="246"/>
      <c r="AB340" s="150">
        <v>0</v>
      </c>
      <c r="AC340" s="153">
        <v>0</v>
      </c>
      <c r="AD340" s="412"/>
      <c r="AE340" s="412"/>
      <c r="AF340" s="412"/>
      <c r="AG340" s="412"/>
      <c r="AH340" s="412"/>
      <c r="AI340" s="412"/>
      <c r="AJ340" s="412"/>
      <c r="AK340" s="412"/>
      <c r="AL340" s="412"/>
      <c r="AM340" s="412"/>
      <c r="AN340" s="412"/>
      <c r="AO340" s="412"/>
      <c r="AP340" s="412"/>
      <c r="AQ340" s="412"/>
      <c r="AR340" s="412"/>
      <c r="AS340" s="412"/>
      <c r="AT340" s="412"/>
      <c r="AU340" s="412"/>
      <c r="AV340" s="412"/>
      <c r="AW340" s="412"/>
      <c r="AX340" s="412"/>
      <c r="AY340" s="412"/>
      <c r="AZ340" s="412"/>
      <c r="BA340" s="412"/>
      <c r="BB340" s="412"/>
      <c r="BC340" s="412"/>
      <c r="BD340" s="412"/>
      <c r="BE340" s="412"/>
      <c r="BF340" s="412"/>
    </row>
    <row r="341" spans="1:58" ht="12" hidden="1" customHeight="1" outlineLevel="2" x14ac:dyDescent="0.3">
      <c r="A341" s="224"/>
      <c r="B341" s="224"/>
      <c r="C341" s="224"/>
      <c r="D341" s="224"/>
      <c r="E341" s="224"/>
      <c r="F341" s="224"/>
      <c r="G341" s="224"/>
      <c r="H341" s="224"/>
      <c r="I341" s="224"/>
      <c r="J341" s="224"/>
      <c r="K341" s="224"/>
      <c r="L341" s="117"/>
      <c r="M341" s="213" t="s">
        <v>974</v>
      </c>
      <c r="N341" s="244" t="s">
        <v>77</v>
      </c>
      <c r="O341" s="150">
        <v>0</v>
      </c>
      <c r="P341" s="150">
        <v>0</v>
      </c>
      <c r="Q341" s="150">
        <v>0</v>
      </c>
      <c r="R341" s="150">
        <v>0</v>
      </c>
      <c r="S341" s="150">
        <v>0</v>
      </c>
      <c r="T341" s="150">
        <v>0</v>
      </c>
      <c r="U341" s="150">
        <v>0</v>
      </c>
      <c r="V341" s="150">
        <v>0</v>
      </c>
      <c r="W341" s="150">
        <v>0</v>
      </c>
      <c r="X341" s="150">
        <v>0</v>
      </c>
      <c r="Y341" s="394"/>
      <c r="Z341" s="246"/>
      <c r="AA341" s="246"/>
      <c r="AB341" s="150">
        <v>0</v>
      </c>
      <c r="AC341" s="153">
        <v>0</v>
      </c>
      <c r="AD341" s="412"/>
      <c r="AE341" s="412"/>
      <c r="AF341" s="412"/>
      <c r="AG341" s="412"/>
      <c r="AH341" s="412"/>
      <c r="AI341" s="412"/>
      <c r="AJ341" s="412"/>
      <c r="AK341" s="412"/>
      <c r="AL341" s="412"/>
      <c r="AM341" s="412"/>
      <c r="AN341" s="412"/>
      <c r="AO341" s="412"/>
      <c r="AP341" s="412"/>
      <c r="AQ341" s="412"/>
      <c r="AR341" s="412"/>
      <c r="AS341" s="412"/>
      <c r="AT341" s="412"/>
      <c r="AU341" s="412"/>
      <c r="AV341" s="412"/>
      <c r="AW341" s="412"/>
      <c r="AX341" s="412"/>
      <c r="AY341" s="412"/>
      <c r="AZ341" s="412"/>
      <c r="BA341" s="412"/>
      <c r="BB341" s="412"/>
      <c r="BC341" s="412"/>
      <c r="BD341" s="412"/>
      <c r="BE341" s="412"/>
      <c r="BF341" s="412"/>
    </row>
    <row r="342" spans="1:58" ht="12" hidden="1" customHeight="1" outlineLevel="2" x14ac:dyDescent="0.3">
      <c r="A342" s="224"/>
      <c r="B342" s="224"/>
      <c r="C342" s="224"/>
      <c r="D342" s="224"/>
      <c r="E342" s="224"/>
      <c r="F342" s="224"/>
      <c r="G342" s="224"/>
      <c r="H342" s="224"/>
      <c r="I342" s="224"/>
      <c r="J342" s="224"/>
      <c r="K342" s="224"/>
      <c r="L342" s="117"/>
      <c r="M342" s="210" t="s">
        <v>995</v>
      </c>
      <c r="N342" s="244" t="s">
        <v>77</v>
      </c>
      <c r="O342" s="150">
        <v>63.055555555555557</v>
      </c>
      <c r="P342" s="150">
        <v>25.833333333333329</v>
      </c>
      <c r="Q342" s="150">
        <v>26.111111111111114</v>
      </c>
      <c r="R342" s="150">
        <v>13.333333333333332</v>
      </c>
      <c r="S342" s="150">
        <v>17.5</v>
      </c>
      <c r="T342" s="150">
        <v>19.444444444444443</v>
      </c>
      <c r="U342" s="150">
        <v>18.888888888888889</v>
      </c>
      <c r="V342" s="150">
        <v>18.055555555555554</v>
      </c>
      <c r="W342" s="150">
        <v>17.78227</v>
      </c>
      <c r="X342" s="150">
        <v>18.245257667131607</v>
      </c>
      <c r="Y342" s="394"/>
      <c r="Z342" s="246"/>
      <c r="AA342" s="246"/>
      <c r="AB342" s="150">
        <v>59.444444444444443</v>
      </c>
      <c r="AC342" s="153">
        <v>18.888888888888889</v>
      </c>
      <c r="AD342" s="411">
        <f>AB342*AD$255/$AB$255</f>
        <v>60.038888888888899</v>
      </c>
      <c r="AE342" s="411">
        <f>AD342*AE$255/AD$255</f>
        <v>60.759355555555565</v>
      </c>
      <c r="AF342" s="411">
        <f t="shared" ref="AF342:BF342" si="408">AE342*AF$255/AE$255</f>
        <v>61.670745888888895</v>
      </c>
      <c r="AG342" s="411">
        <f t="shared" si="408"/>
        <v>62.595807077222211</v>
      </c>
      <c r="AH342" s="411">
        <f t="shared" si="408"/>
        <v>63.534744183380539</v>
      </c>
      <c r="AI342" s="411">
        <f t="shared" si="408"/>
        <v>64.487765346131241</v>
      </c>
      <c r="AJ342" s="411">
        <f t="shared" si="408"/>
        <v>65.455081826323209</v>
      </c>
      <c r="AK342" s="411">
        <f t="shared" si="408"/>
        <v>66.436908053718057</v>
      </c>
      <c r="AL342" s="411">
        <f t="shared" si="408"/>
        <v>67.433461674523812</v>
      </c>
      <c r="AM342" s="411">
        <f t="shared" si="408"/>
        <v>68.444963599641667</v>
      </c>
      <c r="AN342" s="411">
        <f t="shared" si="408"/>
        <v>69.471638053636283</v>
      </c>
      <c r="AO342" s="411">
        <f t="shared" si="408"/>
        <v>70.513712624440828</v>
      </c>
      <c r="AP342" s="411">
        <f t="shared" si="408"/>
        <v>71.571418313807442</v>
      </c>
      <c r="AQ342" s="411">
        <f t="shared" si="408"/>
        <v>72.644989588514548</v>
      </c>
      <c r="AR342" s="411">
        <f t="shared" si="408"/>
        <v>73.734664432342271</v>
      </c>
      <c r="AS342" s="411">
        <f t="shared" si="408"/>
        <v>74.840684398827406</v>
      </c>
      <c r="AT342" s="411">
        <f t="shared" si="408"/>
        <v>75.963294664809808</v>
      </c>
      <c r="AU342" s="411">
        <f t="shared" si="408"/>
        <v>77.102744084781946</v>
      </c>
      <c r="AV342" s="411">
        <f t="shared" si="408"/>
        <v>78.259285246053665</v>
      </c>
      <c r="AW342" s="411">
        <f t="shared" si="408"/>
        <v>79.433174524744459</v>
      </c>
      <c r="AX342" s="411">
        <f t="shared" si="408"/>
        <v>80.624672142615623</v>
      </c>
      <c r="AY342" s="411">
        <f t="shared" si="408"/>
        <v>81.834042224754853</v>
      </c>
      <c r="AZ342" s="411">
        <f t="shared" si="408"/>
        <v>83.061552858126163</v>
      </c>
      <c r="BA342" s="411">
        <f t="shared" si="408"/>
        <v>84.307476150998042</v>
      </c>
      <c r="BB342" s="411">
        <f t="shared" si="408"/>
        <v>85.403473340961</v>
      </c>
      <c r="BC342" s="411">
        <f t="shared" si="408"/>
        <v>86.428315021052526</v>
      </c>
      <c r="BD342" s="411">
        <f t="shared" si="408"/>
        <v>87.37902648628409</v>
      </c>
      <c r="BE342" s="411">
        <f t="shared" si="408"/>
        <v>88.252816751146923</v>
      </c>
      <c r="BF342" s="411">
        <f t="shared" si="408"/>
        <v>89.13534491865839</v>
      </c>
    </row>
    <row r="343" spans="1:58" ht="12" hidden="1" customHeight="1" outlineLevel="2" x14ac:dyDescent="0.3">
      <c r="A343" s="224"/>
      <c r="B343" s="224"/>
      <c r="C343" s="224"/>
      <c r="D343" s="224"/>
      <c r="E343" s="224"/>
      <c r="F343" s="224"/>
      <c r="G343" s="224"/>
      <c r="H343" s="224"/>
      <c r="I343" s="224"/>
      <c r="J343" s="224"/>
      <c r="K343" s="224"/>
      <c r="L343" s="117"/>
      <c r="M343" s="210" t="s">
        <v>996</v>
      </c>
      <c r="N343" s="244" t="s">
        <v>77</v>
      </c>
      <c r="O343" s="150">
        <v>123.00000000000001</v>
      </c>
      <c r="P343" s="150">
        <v>124</v>
      </c>
      <c r="Q343" s="150">
        <v>118</v>
      </c>
      <c r="R343" s="150">
        <v>111</v>
      </c>
      <c r="S343" s="150">
        <v>115</v>
      </c>
      <c r="T343" s="150">
        <v>98.000000000000014</v>
      </c>
      <c r="U343" s="150">
        <v>74.000000000000014</v>
      </c>
      <c r="V343" s="150">
        <v>57.999999999999993</v>
      </c>
      <c r="W343" s="150">
        <v>60.999350000000007</v>
      </c>
      <c r="X343" s="150">
        <v>53</v>
      </c>
      <c r="Y343" s="394"/>
      <c r="Z343" s="246"/>
      <c r="AA343" s="246"/>
      <c r="AB343" s="150">
        <v>19.444444444444443</v>
      </c>
      <c r="AC343" s="153">
        <v>74.166666666666671</v>
      </c>
      <c r="AD343" s="411">
        <f>AB343*AD$255/$AB$255</f>
        <v>19.638888888888889</v>
      </c>
      <c r="AE343" s="411">
        <f>AD343*AE$255/AD$255</f>
        <v>19.874555555555556</v>
      </c>
      <c r="AF343" s="411">
        <f t="shared" ref="AF343:BF343" si="409">AE343*AF$255/AE$255</f>
        <v>20.172673888888887</v>
      </c>
      <c r="AG343" s="411">
        <f t="shared" si="409"/>
        <v>20.475263997222218</v>
      </c>
      <c r="AH343" s="411">
        <f t="shared" si="409"/>
        <v>20.782392957180551</v>
      </c>
      <c r="AI343" s="411">
        <f t="shared" si="409"/>
        <v>21.094128851538258</v>
      </c>
      <c r="AJ343" s="411">
        <f t="shared" si="409"/>
        <v>21.41054078431133</v>
      </c>
      <c r="AK343" s="411">
        <f t="shared" si="409"/>
        <v>21.731698896075997</v>
      </c>
      <c r="AL343" s="411">
        <f t="shared" si="409"/>
        <v>22.057674379517135</v>
      </c>
      <c r="AM343" s="411">
        <f t="shared" si="409"/>
        <v>22.388539495209891</v>
      </c>
      <c r="AN343" s="411">
        <f t="shared" si="409"/>
        <v>22.724367587638035</v>
      </c>
      <c r="AO343" s="411">
        <f t="shared" si="409"/>
        <v>23.065233101452602</v>
      </c>
      <c r="AP343" s="411">
        <f t="shared" si="409"/>
        <v>23.41121159797439</v>
      </c>
      <c r="AQ343" s="411">
        <f t="shared" si="409"/>
        <v>23.762379771944001</v>
      </c>
      <c r="AR343" s="411">
        <f t="shared" si="409"/>
        <v>24.118815468523163</v>
      </c>
      <c r="AS343" s="411">
        <f t="shared" si="409"/>
        <v>24.480597700551012</v>
      </c>
      <c r="AT343" s="411">
        <f t="shared" si="409"/>
        <v>24.847806666059277</v>
      </c>
      <c r="AU343" s="411">
        <f t="shared" si="409"/>
        <v>25.220523766050164</v>
      </c>
      <c r="AV343" s="411">
        <f t="shared" si="409"/>
        <v>25.598831622540914</v>
      </c>
      <c r="AW343" s="411">
        <f t="shared" si="409"/>
        <v>25.982814096879025</v>
      </c>
      <c r="AX343" s="411">
        <f t="shared" si="409"/>
        <v>26.372556308332211</v>
      </c>
      <c r="AY343" s="411">
        <f t="shared" si="409"/>
        <v>26.76814465295719</v>
      </c>
      <c r="AZ343" s="411">
        <f t="shared" si="409"/>
        <v>27.169666822751545</v>
      </c>
      <c r="BA343" s="411">
        <f t="shared" si="409"/>
        <v>27.577211825092817</v>
      </c>
      <c r="BB343" s="411">
        <f t="shared" si="409"/>
        <v>27.935715578819021</v>
      </c>
      <c r="BC343" s="411">
        <f t="shared" si="409"/>
        <v>28.270944165764849</v>
      </c>
      <c r="BD343" s="411">
        <f t="shared" si="409"/>
        <v>28.581924551588259</v>
      </c>
      <c r="BE343" s="411">
        <f t="shared" si="409"/>
        <v>28.86774379710414</v>
      </c>
      <c r="BF343" s="411">
        <f t="shared" si="409"/>
        <v>29.156421235075182</v>
      </c>
    </row>
    <row r="344" spans="1:58" ht="12" hidden="1" customHeight="1" outlineLevel="2" x14ac:dyDescent="0.3">
      <c r="A344" s="224"/>
      <c r="B344" s="224"/>
      <c r="C344" s="224"/>
      <c r="D344" s="224"/>
      <c r="E344" s="224"/>
      <c r="F344" s="224"/>
      <c r="G344" s="224"/>
      <c r="H344" s="224"/>
      <c r="I344" s="224"/>
      <c r="J344" s="224"/>
      <c r="K344" s="224"/>
      <c r="L344" s="117"/>
      <c r="M344" s="210" t="s">
        <v>997</v>
      </c>
      <c r="N344" s="244" t="s">
        <v>77</v>
      </c>
      <c r="O344" s="150">
        <v>2.7777777777777777</v>
      </c>
      <c r="P344" s="150">
        <v>2.7777777777777777</v>
      </c>
      <c r="Q344" s="150">
        <v>2.5</v>
      </c>
      <c r="R344" s="150">
        <v>1.6666666666666665</v>
      </c>
      <c r="S344" s="150">
        <v>2.5</v>
      </c>
      <c r="T344" s="150">
        <v>3.333333333333333</v>
      </c>
      <c r="U344" s="150">
        <v>0.83333333333333326</v>
      </c>
      <c r="V344" s="150">
        <v>1.6666666666666665</v>
      </c>
      <c r="W344" s="150">
        <v>1.3956</v>
      </c>
      <c r="X344" s="150">
        <v>1.4444444444444444</v>
      </c>
      <c r="Y344" s="394"/>
      <c r="Z344" s="246"/>
      <c r="AA344" s="246"/>
      <c r="AB344" s="150">
        <v>1.1111111111111112</v>
      </c>
      <c r="AC344" s="153">
        <v>1.1111111111111112</v>
      </c>
      <c r="AD344" s="411">
        <f>AB344*AD$255/$AB$255</f>
        <v>1.1222222222222222</v>
      </c>
      <c r="AE344" s="411">
        <f>AD344*AE$255/AD$255</f>
        <v>1.135688888888889</v>
      </c>
      <c r="AF344" s="411">
        <f t="shared" ref="AF344:BF344" si="410">AE344*AF$255/AE$255</f>
        <v>1.1527242222222223</v>
      </c>
      <c r="AG344" s="411">
        <f t="shared" si="410"/>
        <v>1.1700150855555556</v>
      </c>
      <c r="AH344" s="411">
        <f t="shared" si="410"/>
        <v>1.1875653118388889</v>
      </c>
      <c r="AI344" s="411">
        <f t="shared" si="410"/>
        <v>1.205378791516472</v>
      </c>
      <c r="AJ344" s="411">
        <f t="shared" si="410"/>
        <v>1.2234594733892188</v>
      </c>
      <c r="AK344" s="411">
        <f t="shared" si="410"/>
        <v>1.2418113654900571</v>
      </c>
      <c r="AL344" s="411">
        <f t="shared" si="410"/>
        <v>1.260438535972408</v>
      </c>
      <c r="AM344" s="411">
        <f t="shared" si="410"/>
        <v>1.279345114011994</v>
      </c>
      <c r="AN344" s="411">
        <f t="shared" si="410"/>
        <v>1.2985352907221739</v>
      </c>
      <c r="AO344" s="411">
        <f t="shared" si="410"/>
        <v>1.3180133200830064</v>
      </c>
      <c r="AP344" s="411">
        <f t="shared" si="410"/>
        <v>1.3377835198842516</v>
      </c>
      <c r="AQ344" s="411">
        <f t="shared" si="410"/>
        <v>1.3578502726825155</v>
      </c>
      <c r="AR344" s="411">
        <f t="shared" si="410"/>
        <v>1.3782180267727533</v>
      </c>
      <c r="AS344" s="411">
        <f t="shared" si="410"/>
        <v>1.3988912971743446</v>
      </c>
      <c r="AT344" s="411">
        <f t="shared" si="410"/>
        <v>1.4198746666319597</v>
      </c>
      <c r="AU344" s="411">
        <f t="shared" si="410"/>
        <v>1.4411727866314388</v>
      </c>
      <c r="AV344" s="411">
        <f t="shared" si="410"/>
        <v>1.4627903784309104</v>
      </c>
      <c r="AW344" s="411">
        <f t="shared" si="410"/>
        <v>1.4847322341073739</v>
      </c>
      <c r="AX344" s="411">
        <f t="shared" si="410"/>
        <v>1.5070032176189843</v>
      </c>
      <c r="AY344" s="411">
        <f t="shared" si="410"/>
        <v>1.5296082658832688</v>
      </c>
      <c r="AZ344" s="411">
        <f t="shared" si="410"/>
        <v>1.5525523898715174</v>
      </c>
      <c r="BA344" s="411">
        <f t="shared" si="410"/>
        <v>1.57584067571959</v>
      </c>
      <c r="BB344" s="411">
        <f t="shared" si="410"/>
        <v>1.5963266045039444</v>
      </c>
      <c r="BC344" s="411">
        <f t="shared" si="410"/>
        <v>1.6154825237579915</v>
      </c>
      <c r="BD344" s="411">
        <f t="shared" si="410"/>
        <v>1.6332528315193293</v>
      </c>
      <c r="BE344" s="411">
        <f t="shared" si="410"/>
        <v>1.6495853598345227</v>
      </c>
      <c r="BF344" s="411">
        <f t="shared" si="410"/>
        <v>1.666081213432868</v>
      </c>
    </row>
    <row r="345" spans="1:58" ht="12" hidden="1" customHeight="1" outlineLevel="2" x14ac:dyDescent="0.3">
      <c r="A345" s="224"/>
      <c r="B345" s="224" t="s">
        <v>998</v>
      </c>
      <c r="C345" s="224"/>
      <c r="D345" s="224" t="s">
        <v>885</v>
      </c>
      <c r="E345" s="224"/>
      <c r="F345" s="224"/>
      <c r="G345" s="224"/>
      <c r="H345" s="224"/>
      <c r="I345" s="224"/>
      <c r="J345" s="224"/>
      <c r="K345" s="224"/>
      <c r="L345" s="117"/>
      <c r="M345" s="214" t="s">
        <v>999</v>
      </c>
      <c r="N345" s="247" t="s">
        <v>77</v>
      </c>
      <c r="O345" s="413">
        <f t="shared" ref="O345:X345" si="411">O330+O334+O337+O342+O343+O344</f>
        <v>231.0723545079257</v>
      </c>
      <c r="P345" s="413">
        <f t="shared" si="411"/>
        <v>189.49879935530467</v>
      </c>
      <c r="Q345" s="413">
        <f t="shared" si="411"/>
        <v>183.74873439184074</v>
      </c>
      <c r="R345" s="413">
        <f t="shared" si="411"/>
        <v>162.13788313458539</v>
      </c>
      <c r="S345" s="413">
        <f t="shared" si="411"/>
        <v>172.13762328072963</v>
      </c>
      <c r="T345" s="413">
        <f t="shared" si="411"/>
        <v>154.16637551046668</v>
      </c>
      <c r="U345" s="413">
        <f t="shared" si="411"/>
        <v>132.60939075870422</v>
      </c>
      <c r="V345" s="413">
        <f t="shared" si="411"/>
        <v>102.21585580275506</v>
      </c>
      <c r="W345" s="413">
        <f t="shared" si="411"/>
        <v>102.21574171663923</v>
      </c>
      <c r="X345" s="413">
        <f t="shared" si="411"/>
        <v>104.49051533426321</v>
      </c>
      <c r="Y345" s="394"/>
      <c r="Z345" s="246"/>
      <c r="AA345" s="246"/>
      <c r="AB345" s="413">
        <f>AB330+AB334+AB337+AB342+AB343+AB344</f>
        <v>100.55555555555556</v>
      </c>
      <c r="AC345" s="414">
        <f>AC330+AC334+AC337+AC342+AC343+AC344</f>
        <v>127.50000000000001</v>
      </c>
      <c r="AD345" s="411">
        <f>SUM(AD330:AD344)</f>
        <v>101.56111111111112</v>
      </c>
      <c r="AE345" s="411">
        <f>SUM(AE330:AE344)</f>
        <v>102.77984444444448</v>
      </c>
      <c r="AF345" s="411">
        <f t="shared" ref="AF345:BF345" si="412">SUM(AF330:AF344)</f>
        <v>104.32154211111111</v>
      </c>
      <c r="AG345" s="411">
        <f t="shared" si="412"/>
        <v>105.88636524277777</v>
      </c>
      <c r="AH345" s="411">
        <f t="shared" si="412"/>
        <v>107.47466072141943</v>
      </c>
      <c r="AI345" s="411">
        <f t="shared" si="412"/>
        <v>109.0867806322407</v>
      </c>
      <c r="AJ345" s="411">
        <f t="shared" si="412"/>
        <v>110.72308234172432</v>
      </c>
      <c r="AK345" s="411">
        <f t="shared" si="412"/>
        <v>112.38392857685017</v>
      </c>
      <c r="AL345" s="411">
        <f t="shared" si="412"/>
        <v>114.06968750550291</v>
      </c>
      <c r="AM345" s="411">
        <f t="shared" si="412"/>
        <v>115.78073281808545</v>
      </c>
      <c r="AN345" s="411">
        <f t="shared" si="412"/>
        <v>117.51744381035671</v>
      </c>
      <c r="AO345" s="411">
        <f t="shared" si="412"/>
        <v>119.28020546751206</v>
      </c>
      <c r="AP345" s="411">
        <f t="shared" si="412"/>
        <v>121.06940854952474</v>
      </c>
      <c r="AQ345" s="411">
        <f t="shared" si="412"/>
        <v>122.88544967776758</v>
      </c>
      <c r="AR345" s="411">
        <f t="shared" si="412"/>
        <v>124.72873142293412</v>
      </c>
      <c r="AS345" s="411">
        <f t="shared" si="412"/>
        <v>126.59966239427813</v>
      </c>
      <c r="AT345" s="411">
        <f t="shared" si="412"/>
        <v>128.49865733019229</v>
      </c>
      <c r="AU345" s="411">
        <f t="shared" si="412"/>
        <v>130.42613719014514</v>
      </c>
      <c r="AV345" s="411">
        <f t="shared" si="412"/>
        <v>132.38252924799733</v>
      </c>
      <c r="AW345" s="411">
        <f t="shared" si="412"/>
        <v>134.36826718671728</v>
      </c>
      <c r="AX345" s="411">
        <f t="shared" si="412"/>
        <v>136.38379119451801</v>
      </c>
      <c r="AY345" s="411">
        <f t="shared" si="412"/>
        <v>138.4295480624358</v>
      </c>
      <c r="AZ345" s="411">
        <f t="shared" si="412"/>
        <v>140.50599128337231</v>
      </c>
      <c r="BA345" s="411">
        <f t="shared" si="412"/>
        <v>142.61358115262283</v>
      </c>
      <c r="BB345" s="411">
        <f t="shared" si="412"/>
        <v>144.46755770760694</v>
      </c>
      <c r="BC345" s="411">
        <f t="shared" si="412"/>
        <v>146.20116840009823</v>
      </c>
      <c r="BD345" s="411">
        <f t="shared" si="412"/>
        <v>147.80938125249929</v>
      </c>
      <c r="BE345" s="411">
        <f t="shared" si="412"/>
        <v>149.28747506502427</v>
      </c>
      <c r="BF345" s="411">
        <f t="shared" si="412"/>
        <v>150.7803498156745</v>
      </c>
    </row>
    <row r="346" spans="1:58" ht="12" hidden="1" customHeight="1" outlineLevel="2" x14ac:dyDescent="0.3">
      <c r="A346" s="224"/>
      <c r="B346" s="224"/>
      <c r="C346" s="224"/>
      <c r="D346" s="224"/>
      <c r="E346" s="224"/>
      <c r="F346" s="224"/>
      <c r="G346" s="224"/>
      <c r="H346" s="224"/>
      <c r="I346" s="224"/>
      <c r="J346" s="224"/>
      <c r="K346" s="224"/>
      <c r="L346" s="117"/>
      <c r="M346" s="223" t="s">
        <v>980</v>
      </c>
      <c r="N346" s="216" t="s">
        <v>68</v>
      </c>
      <c r="O346" s="415">
        <f>IFERROR((O331+O332+O333+O335+O336+O338+O339+O340+O341+O342+O343+O344)/O345,"")</f>
        <v>1</v>
      </c>
      <c r="P346" s="415">
        <f t="shared" ref="P346:X346" si="413">IFERROR((P331+P332+P333+P335+P336+P338+P339+P340+P341+P342+P343+P344)/P345,"")</f>
        <v>1</v>
      </c>
      <c r="Q346" s="415">
        <f t="shared" si="413"/>
        <v>1</v>
      </c>
      <c r="R346" s="415">
        <f t="shared" si="413"/>
        <v>1</v>
      </c>
      <c r="S346" s="415">
        <f t="shared" si="413"/>
        <v>1</v>
      </c>
      <c r="T346" s="415">
        <f t="shared" si="413"/>
        <v>1</v>
      </c>
      <c r="U346" s="415">
        <f t="shared" si="413"/>
        <v>1</v>
      </c>
      <c r="V346" s="415">
        <f t="shared" si="413"/>
        <v>1</v>
      </c>
      <c r="W346" s="415">
        <f t="shared" si="413"/>
        <v>1</v>
      </c>
      <c r="X346" s="415">
        <f t="shared" si="413"/>
        <v>1</v>
      </c>
      <c r="Y346" s="394"/>
      <c r="Z346" s="219"/>
      <c r="AA346" s="219"/>
      <c r="AB346" s="415">
        <f>IFERROR((AB331+AB332+AB333+AB335+AB336+AB338+AB339+AB340+AB341+AB342+AB343+AB344)/AB345,"")</f>
        <v>1</v>
      </c>
      <c r="AC346" s="415">
        <f>IFERROR((AC331+AC332+AC333+AC335+AC336+AC338+AC339+AC340+AC341+AC342+AC343+AC344)/AC345,"")</f>
        <v>1</v>
      </c>
      <c r="AD346" s="224"/>
      <c r="AE346" s="224"/>
      <c r="AF346" s="224"/>
      <c r="AG346" s="224"/>
      <c r="AH346" s="224"/>
      <c r="AI346" s="224"/>
      <c r="AJ346" s="224"/>
      <c r="AK346" s="224"/>
      <c r="AL346" s="224"/>
      <c r="AM346" s="224"/>
      <c r="AN346" s="224"/>
      <c r="AO346" s="224"/>
      <c r="AP346" s="224"/>
      <c r="AQ346" s="224"/>
      <c r="AR346" s="224"/>
      <c r="AS346" s="224"/>
      <c r="AT346" s="224"/>
      <c r="AU346" s="224"/>
      <c r="AV346" s="224"/>
      <c r="AW346" s="224"/>
      <c r="AX346" s="224"/>
      <c r="AY346" s="224"/>
      <c r="AZ346" s="224"/>
      <c r="BA346" s="224"/>
      <c r="BB346" s="224"/>
      <c r="BC346" s="224"/>
      <c r="BD346" s="224"/>
      <c r="BE346" s="224"/>
      <c r="BF346" s="224"/>
    </row>
    <row r="347" spans="1:58" ht="12" hidden="1" customHeight="1" outlineLevel="2" x14ac:dyDescent="0.3">
      <c r="A347" s="224"/>
      <c r="B347" s="224"/>
      <c r="C347" s="224"/>
      <c r="D347" s="224"/>
      <c r="E347" s="224"/>
      <c r="F347" s="224"/>
      <c r="G347" s="224"/>
      <c r="H347" s="224"/>
      <c r="I347" s="224"/>
      <c r="J347" s="224"/>
      <c r="K347" s="224"/>
      <c r="L347" s="117"/>
      <c r="M347" s="210"/>
      <c r="N347" s="210"/>
      <c r="O347" s="415">
        <f>IFERROR((O330+O334+O337+O342+O343+O344)/O345,"")</f>
        <v>1</v>
      </c>
      <c r="P347" s="415">
        <f t="shared" ref="P347:X347" si="414">IFERROR((P330+P334+P337+P342+P343+P344)/P345,"")</f>
        <v>1</v>
      </c>
      <c r="Q347" s="415">
        <f t="shared" si="414"/>
        <v>1</v>
      </c>
      <c r="R347" s="415">
        <f t="shared" si="414"/>
        <v>1</v>
      </c>
      <c r="S347" s="415">
        <f t="shared" si="414"/>
        <v>1</v>
      </c>
      <c r="T347" s="415">
        <f t="shared" si="414"/>
        <v>1</v>
      </c>
      <c r="U347" s="415">
        <f t="shared" si="414"/>
        <v>1</v>
      </c>
      <c r="V347" s="415">
        <f t="shared" si="414"/>
        <v>1</v>
      </c>
      <c r="W347" s="415">
        <f t="shared" si="414"/>
        <v>1</v>
      </c>
      <c r="X347" s="415">
        <f t="shared" si="414"/>
        <v>1</v>
      </c>
      <c r="Y347" s="394"/>
      <c r="Z347" s="219"/>
      <c r="AA347" s="219"/>
      <c r="AB347" s="415">
        <f>IFERROR((AB330+AB334+AB337+AB342+AB343+AB344)/AB345,"")</f>
        <v>1</v>
      </c>
      <c r="AC347" s="415">
        <f>IFERROR((AC330+AC334+AC337+AC342+AC343+AC344)/AC345,"")</f>
        <v>1</v>
      </c>
      <c r="AD347" s="224"/>
      <c r="AE347" s="224"/>
      <c r="AF347" s="224"/>
      <c r="AG347" s="224"/>
      <c r="AH347" s="224"/>
      <c r="AI347" s="224"/>
      <c r="AJ347" s="224"/>
      <c r="AK347" s="224"/>
      <c r="AL347" s="224"/>
      <c r="AM347" s="224"/>
      <c r="AN347" s="224"/>
      <c r="AO347" s="224"/>
      <c r="AP347" s="224"/>
      <c r="AQ347" s="224"/>
      <c r="AR347" s="224"/>
      <c r="AS347" s="224"/>
      <c r="AT347" s="224"/>
      <c r="AU347" s="224"/>
      <c r="AV347" s="224"/>
      <c r="AW347" s="224"/>
      <c r="AX347" s="224"/>
      <c r="AY347" s="224"/>
      <c r="AZ347" s="224"/>
      <c r="BA347" s="224"/>
      <c r="BB347" s="224"/>
      <c r="BC347" s="224"/>
      <c r="BD347" s="224"/>
      <c r="BE347" s="224"/>
      <c r="BF347" s="224"/>
    </row>
    <row r="348" spans="1:58" ht="12" hidden="1" customHeight="1" outlineLevel="2" x14ac:dyDescent="0.3">
      <c r="A348" s="224"/>
      <c r="B348" s="224"/>
      <c r="C348" s="224"/>
      <c r="D348" s="224"/>
      <c r="E348" s="224"/>
      <c r="F348" s="224"/>
      <c r="G348" s="224"/>
      <c r="H348" s="224"/>
      <c r="I348" s="224"/>
      <c r="J348" s="224"/>
      <c r="K348" s="224"/>
      <c r="L348" s="117"/>
      <c r="M348" s="211" t="s">
        <v>1000</v>
      </c>
      <c r="N348" s="210"/>
      <c r="O348" s="210"/>
      <c r="P348" s="210"/>
      <c r="Q348" s="210"/>
      <c r="R348" s="210"/>
      <c r="S348" s="210"/>
      <c r="T348" s="210"/>
      <c r="U348" s="210"/>
      <c r="V348" s="210"/>
      <c r="W348" s="210"/>
      <c r="X348" s="210"/>
      <c r="Y348" s="394"/>
      <c r="Z348" s="219"/>
      <c r="AA348" s="219"/>
      <c r="AB348" s="210"/>
      <c r="AC348" s="210"/>
      <c r="AD348" s="224"/>
      <c r="AE348" s="224"/>
      <c r="AF348" s="224"/>
      <c r="AG348" s="224"/>
      <c r="AH348" s="224"/>
      <c r="AI348" s="224"/>
      <c r="AJ348" s="224"/>
      <c r="AK348" s="224"/>
      <c r="AL348" s="224"/>
      <c r="AM348" s="224"/>
      <c r="AN348" s="224"/>
      <c r="AO348" s="224"/>
      <c r="AP348" s="224"/>
      <c r="AQ348" s="224"/>
      <c r="AR348" s="224"/>
      <c r="AS348" s="224"/>
      <c r="AT348" s="224"/>
      <c r="AU348" s="224"/>
      <c r="AV348" s="224"/>
      <c r="AW348" s="224"/>
      <c r="AX348" s="224"/>
      <c r="AY348" s="224"/>
      <c r="AZ348" s="224"/>
      <c r="BA348" s="224"/>
      <c r="BB348" s="224"/>
      <c r="BC348" s="224"/>
      <c r="BD348" s="224"/>
      <c r="BE348" s="224"/>
      <c r="BF348" s="224"/>
    </row>
    <row r="349" spans="1:58" ht="12" hidden="1" customHeight="1" outlineLevel="2" x14ac:dyDescent="0.3">
      <c r="A349" s="224"/>
      <c r="B349" s="224"/>
      <c r="C349" s="224"/>
      <c r="D349" s="224"/>
      <c r="E349" s="224"/>
      <c r="F349" s="224"/>
      <c r="G349" s="224"/>
      <c r="H349" s="224"/>
      <c r="I349" s="224"/>
      <c r="J349" s="224"/>
      <c r="K349" s="224"/>
      <c r="L349" s="117"/>
      <c r="M349" s="210" t="s">
        <v>1001</v>
      </c>
      <c r="N349" s="244" t="s">
        <v>77</v>
      </c>
      <c r="O349" s="409">
        <f>SUM(O350:O352)</f>
        <v>46.277777777777779</v>
      </c>
      <c r="P349" s="409">
        <f t="shared" ref="P349" si="415">SUM(P350:P352)</f>
        <v>70.5</v>
      </c>
      <c r="Q349" s="409">
        <f t="shared" ref="Q349" si="416">SUM(Q350:Q352)</f>
        <v>70.5</v>
      </c>
      <c r="R349" s="409">
        <f t="shared" ref="R349" si="417">SUM(R350:R352)</f>
        <v>70.5</v>
      </c>
      <c r="S349" s="409">
        <f t="shared" ref="S349" si="418">SUM(S350:S352)</f>
        <v>57.038888888888891</v>
      </c>
      <c r="T349" s="409">
        <f t="shared" ref="T349" si="419">SUM(T350:T352)</f>
        <v>68.788888888888877</v>
      </c>
      <c r="U349" s="409">
        <f t="shared" ref="U349" si="420">SUM(U350:U352)</f>
        <v>67.933333333333337</v>
      </c>
      <c r="V349" s="409">
        <f t="shared" ref="V349" si="421">SUM(V350:V352)</f>
        <v>46.999999999999993</v>
      </c>
      <c r="W349" s="409">
        <f t="shared" ref="W349" si="422">SUM(W350:W352)</f>
        <v>23.499999999999996</v>
      </c>
      <c r="X349" s="409">
        <f t="shared" ref="X349" si="423">SUM(X350:X352)</f>
        <v>80.061111111111117</v>
      </c>
      <c r="Y349" s="394"/>
      <c r="Z349" s="219"/>
      <c r="AA349" s="219"/>
      <c r="AB349" s="409">
        <f t="shared" ref="AB349" si="424">SUM(AB350:AB352)</f>
        <v>121.66666666666666</v>
      </c>
      <c r="AC349" s="410">
        <f t="shared" ref="AC349" si="425">SUM(AC350:AC352)</f>
        <v>86.1111111111111</v>
      </c>
      <c r="AD349" s="411">
        <f>AB349*AD$256/$AB$256</f>
        <v>122.88333333333334</v>
      </c>
      <c r="AE349" s="411">
        <f>AD349*AE$256/AD$256</f>
        <v>124.35793333333335</v>
      </c>
      <c r="AF349" s="411">
        <f t="shared" ref="AF349:BF349" si="426">AE349*AF$256/AE$256</f>
        <v>126.22330233333334</v>
      </c>
      <c r="AG349" s="411">
        <f t="shared" si="426"/>
        <v>128.11665186833335</v>
      </c>
      <c r="AH349" s="411">
        <f t="shared" si="426"/>
        <v>130.03840164635835</v>
      </c>
      <c r="AI349" s="411">
        <f t="shared" si="426"/>
        <v>131.98897767105373</v>
      </c>
      <c r="AJ349" s="411">
        <f t="shared" si="426"/>
        <v>133.96881233611953</v>
      </c>
      <c r="AK349" s="411">
        <f t="shared" si="426"/>
        <v>135.97834452116129</v>
      </c>
      <c r="AL349" s="411">
        <f t="shared" si="426"/>
        <v>138.01801968897871</v>
      </c>
      <c r="AM349" s="411">
        <f t="shared" si="426"/>
        <v>140.08828998431338</v>
      </c>
      <c r="AN349" s="411">
        <f t="shared" si="426"/>
        <v>142.18961433407807</v>
      </c>
      <c r="AO349" s="411">
        <f t="shared" si="426"/>
        <v>144.32245854908922</v>
      </c>
      <c r="AP349" s="411">
        <f t="shared" si="426"/>
        <v>146.48729542732556</v>
      </c>
      <c r="AQ349" s="411">
        <f t="shared" si="426"/>
        <v>148.68460485873544</v>
      </c>
      <c r="AR349" s="411">
        <f t="shared" si="426"/>
        <v>150.91487393161646</v>
      </c>
      <c r="AS349" s="411">
        <f t="shared" si="426"/>
        <v>153.17859704059069</v>
      </c>
      <c r="AT349" s="411">
        <f t="shared" si="426"/>
        <v>155.47627599619955</v>
      </c>
      <c r="AU349" s="411">
        <f t="shared" si="426"/>
        <v>157.80842013614253</v>
      </c>
      <c r="AV349" s="411">
        <f t="shared" si="426"/>
        <v>160.17554643818465</v>
      </c>
      <c r="AW349" s="411">
        <f t="shared" si="426"/>
        <v>162.57817963475739</v>
      </c>
      <c r="AX349" s="411">
        <f t="shared" si="426"/>
        <v>165.01685232927875</v>
      </c>
      <c r="AY349" s="411">
        <f t="shared" si="426"/>
        <v>167.49210511421791</v>
      </c>
      <c r="AZ349" s="411">
        <f t="shared" si="426"/>
        <v>170.00448669093117</v>
      </c>
      <c r="BA349" s="411">
        <f t="shared" si="426"/>
        <v>172.55455399129514</v>
      </c>
      <c r="BB349" s="411">
        <f t="shared" si="426"/>
        <v>174.79776319318194</v>
      </c>
      <c r="BC349" s="411">
        <f t="shared" si="426"/>
        <v>176.89533635150013</v>
      </c>
      <c r="BD349" s="411">
        <f t="shared" si="426"/>
        <v>178.84118505136661</v>
      </c>
      <c r="BE349" s="411">
        <f t="shared" si="426"/>
        <v>180.62959690188026</v>
      </c>
      <c r="BF349" s="411">
        <f t="shared" si="426"/>
        <v>182.43589287089907</v>
      </c>
    </row>
    <row r="350" spans="1:58" ht="12" hidden="1" customHeight="1" outlineLevel="2" x14ac:dyDescent="0.3">
      <c r="A350" s="224"/>
      <c r="B350" s="224"/>
      <c r="C350" s="224"/>
      <c r="D350" s="224"/>
      <c r="E350" s="224"/>
      <c r="F350" s="224"/>
      <c r="G350" s="224"/>
      <c r="H350" s="224"/>
      <c r="I350" s="224"/>
      <c r="J350" s="224"/>
      <c r="K350" s="224"/>
      <c r="L350" s="117"/>
      <c r="M350" s="213" t="s">
        <v>964</v>
      </c>
      <c r="N350" s="244" t="s">
        <v>77</v>
      </c>
      <c r="O350" s="150">
        <v>35.25</v>
      </c>
      <c r="P350" s="150">
        <v>70.5</v>
      </c>
      <c r="Q350" s="150">
        <v>70.5</v>
      </c>
      <c r="R350" s="150">
        <v>70.5</v>
      </c>
      <c r="S350" s="150">
        <v>35.25</v>
      </c>
      <c r="T350" s="150">
        <v>46.999999999999993</v>
      </c>
      <c r="U350" s="150">
        <v>35.25</v>
      </c>
      <c r="V350" s="150">
        <v>46.999999999999993</v>
      </c>
      <c r="W350" s="150">
        <v>23.499999999999996</v>
      </c>
      <c r="X350" s="150">
        <v>38.774999999999999</v>
      </c>
      <c r="Y350" s="394"/>
      <c r="Z350" s="246"/>
      <c r="AA350" s="246"/>
      <c r="AB350" s="150">
        <v>11.388888888888889</v>
      </c>
      <c r="AC350" s="153">
        <v>23.611111111111111</v>
      </c>
      <c r="AD350" s="412"/>
      <c r="AE350" s="412"/>
      <c r="AF350" s="412"/>
      <c r="AG350" s="412"/>
      <c r="AH350" s="412"/>
      <c r="AI350" s="412"/>
      <c r="AJ350" s="412"/>
      <c r="AK350" s="412"/>
      <c r="AL350" s="412"/>
      <c r="AM350" s="412"/>
      <c r="AN350" s="412"/>
      <c r="AO350" s="412"/>
      <c r="AP350" s="412"/>
      <c r="AQ350" s="412"/>
      <c r="AR350" s="412"/>
      <c r="AS350" s="412"/>
      <c r="AT350" s="412"/>
      <c r="AU350" s="412"/>
      <c r="AV350" s="412"/>
      <c r="AW350" s="412"/>
      <c r="AX350" s="412"/>
      <c r="AY350" s="412"/>
      <c r="AZ350" s="412"/>
      <c r="BA350" s="412"/>
      <c r="BB350" s="412"/>
      <c r="BC350" s="412"/>
      <c r="BD350" s="412"/>
      <c r="BE350" s="412"/>
      <c r="BF350" s="412"/>
    </row>
    <row r="351" spans="1:58" ht="12" hidden="1" customHeight="1" outlineLevel="2" x14ac:dyDescent="0.3">
      <c r="A351" s="224"/>
      <c r="B351" s="224"/>
      <c r="C351" s="224"/>
      <c r="D351" s="224"/>
      <c r="E351" s="224"/>
      <c r="F351" s="224"/>
      <c r="G351" s="224"/>
      <c r="H351" s="224"/>
      <c r="I351" s="224"/>
      <c r="J351" s="224"/>
      <c r="K351" s="224"/>
      <c r="L351" s="117"/>
      <c r="M351" s="213" t="s">
        <v>965</v>
      </c>
      <c r="N351" s="244" t="s">
        <v>77</v>
      </c>
      <c r="O351" s="150">
        <v>11.027777777777779</v>
      </c>
      <c r="P351" s="150">
        <v>0</v>
      </c>
      <c r="Q351" s="150">
        <v>0</v>
      </c>
      <c r="R351" s="150">
        <v>0</v>
      </c>
      <c r="S351" s="150">
        <v>21.788888888888888</v>
      </c>
      <c r="T351" s="150">
        <v>21.788888888888888</v>
      </c>
      <c r="U351" s="150">
        <v>32.68333333333333</v>
      </c>
      <c r="V351" s="150">
        <v>0</v>
      </c>
      <c r="W351" s="150">
        <v>0</v>
      </c>
      <c r="X351" s="150">
        <v>37.49444444444444</v>
      </c>
      <c r="Y351" s="394"/>
      <c r="Z351" s="246"/>
      <c r="AA351" s="246"/>
      <c r="AB351" s="150">
        <v>86.944444444444443</v>
      </c>
      <c r="AC351" s="153">
        <v>56.1111111111111</v>
      </c>
      <c r="AD351" s="412"/>
      <c r="AE351" s="412"/>
      <c r="AF351" s="412"/>
      <c r="AG351" s="412"/>
      <c r="AH351" s="412"/>
      <c r="AI351" s="412"/>
      <c r="AJ351" s="412"/>
      <c r="AK351" s="412"/>
      <c r="AL351" s="412"/>
      <c r="AM351" s="412"/>
      <c r="AN351" s="412"/>
      <c r="AO351" s="412"/>
      <c r="AP351" s="412"/>
      <c r="AQ351" s="412"/>
      <c r="AR351" s="412"/>
      <c r="AS351" s="412"/>
      <c r="AT351" s="412"/>
      <c r="AU351" s="412"/>
      <c r="AV351" s="412"/>
      <c r="AW351" s="412"/>
      <c r="AX351" s="412"/>
      <c r="AY351" s="412"/>
      <c r="AZ351" s="412"/>
      <c r="BA351" s="412"/>
      <c r="BB351" s="412"/>
      <c r="BC351" s="412"/>
      <c r="BD351" s="412"/>
      <c r="BE351" s="412"/>
      <c r="BF351" s="412"/>
    </row>
    <row r="352" spans="1:58" ht="12" hidden="1" customHeight="1" outlineLevel="2" x14ac:dyDescent="0.3">
      <c r="A352" s="224"/>
      <c r="B352" s="224"/>
      <c r="C352" s="224"/>
      <c r="D352" s="224"/>
      <c r="E352" s="224"/>
      <c r="F352" s="224"/>
      <c r="G352" s="224"/>
      <c r="H352" s="224"/>
      <c r="I352" s="224"/>
      <c r="J352" s="224"/>
      <c r="K352" s="224"/>
      <c r="L352" s="117"/>
      <c r="M352" s="213" t="s">
        <v>966</v>
      </c>
      <c r="N352" s="244" t="s">
        <v>77</v>
      </c>
      <c r="O352" s="150">
        <v>0</v>
      </c>
      <c r="P352" s="150">
        <v>0</v>
      </c>
      <c r="Q352" s="150">
        <v>0</v>
      </c>
      <c r="R352" s="150">
        <v>0</v>
      </c>
      <c r="S352" s="150">
        <v>0</v>
      </c>
      <c r="T352" s="150">
        <v>0</v>
      </c>
      <c r="U352" s="150">
        <v>0</v>
      </c>
      <c r="V352" s="150">
        <v>0</v>
      </c>
      <c r="W352" s="150">
        <v>0</v>
      </c>
      <c r="X352" s="150">
        <v>3.7916666666666665</v>
      </c>
      <c r="Y352" s="394"/>
      <c r="Z352" s="246"/>
      <c r="AA352" s="246"/>
      <c r="AB352" s="150">
        <v>23.333333333333332</v>
      </c>
      <c r="AC352" s="153">
        <v>6.3888888888888884</v>
      </c>
      <c r="AD352" s="412"/>
      <c r="AE352" s="412"/>
      <c r="AF352" s="412"/>
      <c r="AG352" s="412"/>
      <c r="AH352" s="412"/>
      <c r="AI352" s="412"/>
      <c r="AJ352" s="412"/>
      <c r="AK352" s="412"/>
      <c r="AL352" s="412"/>
      <c r="AM352" s="412"/>
      <c r="AN352" s="412"/>
      <c r="AO352" s="412"/>
      <c r="AP352" s="412"/>
      <c r="AQ352" s="412"/>
      <c r="AR352" s="412"/>
      <c r="AS352" s="412"/>
      <c r="AT352" s="412"/>
      <c r="AU352" s="412"/>
      <c r="AV352" s="412"/>
      <c r="AW352" s="412"/>
      <c r="AX352" s="412"/>
      <c r="AY352" s="412"/>
      <c r="AZ352" s="412"/>
      <c r="BA352" s="412"/>
      <c r="BB352" s="412"/>
      <c r="BC352" s="412"/>
      <c r="BD352" s="412"/>
      <c r="BE352" s="412"/>
      <c r="BF352" s="412"/>
    </row>
    <row r="353" spans="1:58" ht="12" hidden="1" customHeight="1" outlineLevel="2" x14ac:dyDescent="0.3">
      <c r="A353" s="224"/>
      <c r="B353" s="224"/>
      <c r="C353" s="224"/>
      <c r="D353" s="224"/>
      <c r="E353" s="224"/>
      <c r="F353" s="224"/>
      <c r="G353" s="224"/>
      <c r="H353" s="224"/>
      <c r="I353" s="224"/>
      <c r="J353" s="224"/>
      <c r="K353" s="224"/>
      <c r="L353" s="117"/>
      <c r="M353" s="210" t="s">
        <v>1002</v>
      </c>
      <c r="N353" s="244" t="s">
        <v>77</v>
      </c>
      <c r="O353" s="409">
        <f>SUM(O354:O355)</f>
        <v>104.25131999999999</v>
      </c>
      <c r="P353" s="409">
        <f t="shared" ref="P353" si="427">SUM(P354:P355)</f>
        <v>89.248620000000017</v>
      </c>
      <c r="Q353" s="409">
        <f t="shared" ref="Q353" si="428">SUM(Q354:Q355)</f>
        <v>83.247540000000001</v>
      </c>
      <c r="R353" s="409">
        <f t="shared" ref="R353" si="429">SUM(R354:R355)</f>
        <v>87.248259999999988</v>
      </c>
      <c r="S353" s="409">
        <f t="shared" ref="S353" si="430">SUM(S354:S355)</f>
        <v>94.249520000000004</v>
      </c>
      <c r="T353" s="409">
        <f t="shared" ref="T353" si="431">SUM(T354:T355)</f>
        <v>93.505200000000002</v>
      </c>
      <c r="U353" s="409">
        <f t="shared" ref="U353" si="432">SUM(U354:U355)</f>
        <v>111.49681</v>
      </c>
      <c r="V353" s="409">
        <f t="shared" ref="V353" si="433">SUM(V354:V355)</f>
        <v>109.99654</v>
      </c>
      <c r="W353" s="409">
        <f t="shared" ref="W353" si="434">SUM(W354:W355)</f>
        <v>110</v>
      </c>
      <c r="X353" s="409">
        <f t="shared" ref="X353" si="435">SUM(X354:X355)</f>
        <v>143.96258104476442</v>
      </c>
      <c r="Y353" s="394"/>
      <c r="Z353" s="220"/>
      <c r="AA353" s="220"/>
      <c r="AB353" s="409">
        <f t="shared" ref="AB353" si="436">SUM(AB354:AB355)</f>
        <v>136.94444444444443</v>
      </c>
      <c r="AC353" s="410">
        <f t="shared" ref="AC353" si="437">SUM(AC354:AC355)</f>
        <v>122.5</v>
      </c>
      <c r="AD353" s="411">
        <f>AB353*AD$256/$AB$256</f>
        <v>138.31388888888887</v>
      </c>
      <c r="AE353" s="411">
        <f>AD353*AE$256/AD$256</f>
        <v>139.97365555555555</v>
      </c>
      <c r="AF353" s="411">
        <f t="shared" ref="AF353:BF353" si="438">AE353*AF$256/AE$256</f>
        <v>142.07326038888888</v>
      </c>
      <c r="AG353" s="411">
        <f t="shared" si="438"/>
        <v>144.2043592947222</v>
      </c>
      <c r="AH353" s="411">
        <f t="shared" si="438"/>
        <v>146.36742468414303</v>
      </c>
      <c r="AI353" s="411">
        <f t="shared" si="438"/>
        <v>148.56293605440518</v>
      </c>
      <c r="AJ353" s="411">
        <f t="shared" si="438"/>
        <v>150.79138009522126</v>
      </c>
      <c r="AK353" s="411">
        <f t="shared" si="438"/>
        <v>153.05325079664956</v>
      </c>
      <c r="AL353" s="411">
        <f t="shared" si="438"/>
        <v>155.34904955859932</v>
      </c>
      <c r="AM353" s="411">
        <f t="shared" si="438"/>
        <v>157.67928530197827</v>
      </c>
      <c r="AN353" s="411">
        <f t="shared" si="438"/>
        <v>160.04447458150793</v>
      </c>
      <c r="AO353" s="411">
        <f t="shared" si="438"/>
        <v>162.44514170023052</v>
      </c>
      <c r="AP353" s="411">
        <f t="shared" si="438"/>
        <v>164.88181882573397</v>
      </c>
      <c r="AQ353" s="411">
        <f t="shared" si="438"/>
        <v>167.35504610811998</v>
      </c>
      <c r="AR353" s="411">
        <f t="shared" si="438"/>
        <v>169.86537179974175</v>
      </c>
      <c r="AS353" s="411">
        <f t="shared" si="438"/>
        <v>172.41335237673783</v>
      </c>
      <c r="AT353" s="411">
        <f t="shared" si="438"/>
        <v>174.99955266238888</v>
      </c>
      <c r="AU353" s="411">
        <f t="shared" si="438"/>
        <v>177.6245459523247</v>
      </c>
      <c r="AV353" s="411">
        <f t="shared" si="438"/>
        <v>180.28891414160955</v>
      </c>
      <c r="AW353" s="411">
        <f t="shared" si="438"/>
        <v>182.99324785373366</v>
      </c>
      <c r="AX353" s="411">
        <f t="shared" si="438"/>
        <v>185.73814657153966</v>
      </c>
      <c r="AY353" s="411">
        <f t="shared" si="438"/>
        <v>188.52421877011272</v>
      </c>
      <c r="AZ353" s="411">
        <f t="shared" si="438"/>
        <v>191.35208205166441</v>
      </c>
      <c r="BA353" s="411">
        <f t="shared" si="438"/>
        <v>194.22236328243937</v>
      </c>
      <c r="BB353" s="411">
        <f t="shared" si="438"/>
        <v>196.74725400511105</v>
      </c>
      <c r="BC353" s="411">
        <f t="shared" si="438"/>
        <v>199.10822105317237</v>
      </c>
      <c r="BD353" s="411">
        <f t="shared" si="438"/>
        <v>201.29841148475722</v>
      </c>
      <c r="BE353" s="411">
        <f t="shared" si="438"/>
        <v>203.31139559960479</v>
      </c>
      <c r="BF353" s="411">
        <f t="shared" si="438"/>
        <v>205.34450955560084</v>
      </c>
    </row>
    <row r="354" spans="1:58" ht="12" hidden="1" customHeight="1" outlineLevel="2" x14ac:dyDescent="0.3">
      <c r="A354" s="224"/>
      <c r="B354" s="224"/>
      <c r="C354" s="224"/>
      <c r="D354" s="224"/>
      <c r="E354" s="224"/>
      <c r="F354" s="224"/>
      <c r="G354" s="224"/>
      <c r="H354" s="224"/>
      <c r="I354" s="224"/>
      <c r="J354" s="224"/>
      <c r="K354" s="224"/>
      <c r="L354" s="117"/>
      <c r="M354" s="213" t="s">
        <v>968</v>
      </c>
      <c r="N354" s="244" t="s">
        <v>77</v>
      </c>
      <c r="O354" s="150">
        <v>104.25131999999999</v>
      </c>
      <c r="P354" s="150">
        <v>89.248620000000017</v>
      </c>
      <c r="Q354" s="150">
        <v>83.247540000000001</v>
      </c>
      <c r="R354" s="150">
        <v>87.248259999999988</v>
      </c>
      <c r="S354" s="150">
        <v>94.249520000000004</v>
      </c>
      <c r="T354" s="150">
        <v>93.505200000000002</v>
      </c>
      <c r="U354" s="150">
        <v>111.49681</v>
      </c>
      <c r="V354" s="150">
        <v>109.99654</v>
      </c>
      <c r="W354" s="150">
        <v>110</v>
      </c>
      <c r="X354" s="150">
        <v>143.96258104476442</v>
      </c>
      <c r="Y354" s="394"/>
      <c r="Z354" s="246"/>
      <c r="AA354" s="246"/>
      <c r="AB354" s="150">
        <v>136.94444444444443</v>
      </c>
      <c r="AC354" s="153">
        <v>122.5</v>
      </c>
      <c r="AD354" s="412"/>
      <c r="AE354" s="412"/>
      <c r="AF354" s="412"/>
      <c r="AG354" s="412"/>
      <c r="AH354" s="412"/>
      <c r="AI354" s="412"/>
      <c r="AJ354" s="412"/>
      <c r="AK354" s="412"/>
      <c r="AL354" s="412"/>
      <c r="AM354" s="412"/>
      <c r="AN354" s="412"/>
      <c r="AO354" s="412"/>
      <c r="AP354" s="412"/>
      <c r="AQ354" s="412"/>
      <c r="AR354" s="412"/>
      <c r="AS354" s="412"/>
      <c r="AT354" s="412"/>
      <c r="AU354" s="412"/>
      <c r="AV354" s="412"/>
      <c r="AW354" s="412"/>
      <c r="AX354" s="412"/>
      <c r="AY354" s="412"/>
      <c r="AZ354" s="412"/>
      <c r="BA354" s="412"/>
      <c r="BB354" s="412"/>
      <c r="BC354" s="412"/>
      <c r="BD354" s="412"/>
      <c r="BE354" s="412"/>
      <c r="BF354" s="412"/>
    </row>
    <row r="355" spans="1:58" ht="12" hidden="1" customHeight="1" outlineLevel="2" x14ac:dyDescent="0.3">
      <c r="A355" s="224"/>
      <c r="B355" s="224"/>
      <c r="C355" s="224"/>
      <c r="D355" s="224"/>
      <c r="E355" s="224"/>
      <c r="F355" s="224"/>
      <c r="G355" s="224"/>
      <c r="H355" s="224"/>
      <c r="I355" s="224"/>
      <c r="J355" s="224"/>
      <c r="K355" s="224"/>
      <c r="L355" s="117"/>
      <c r="M355" s="213" t="s">
        <v>969</v>
      </c>
      <c r="N355" s="244" t="s">
        <v>77</v>
      </c>
      <c r="O355" s="150">
        <v>0</v>
      </c>
      <c r="P355" s="150">
        <v>0</v>
      </c>
      <c r="Q355" s="150">
        <v>0</v>
      </c>
      <c r="R355" s="150">
        <v>0</v>
      </c>
      <c r="S355" s="150">
        <v>0</v>
      </c>
      <c r="T355" s="150">
        <v>0</v>
      </c>
      <c r="U355" s="150">
        <v>0</v>
      </c>
      <c r="V355" s="150">
        <v>0</v>
      </c>
      <c r="W355" s="150">
        <v>0</v>
      </c>
      <c r="X355" s="150">
        <v>0</v>
      </c>
      <c r="Y355" s="394"/>
      <c r="Z355" s="246"/>
      <c r="AA355" s="246"/>
      <c r="AB355" s="150">
        <v>0</v>
      </c>
      <c r="AC355" s="153">
        <v>0</v>
      </c>
      <c r="AD355" s="412"/>
      <c r="AE355" s="412"/>
      <c r="AF355" s="412"/>
      <c r="AG355" s="412"/>
      <c r="AH355" s="412"/>
      <c r="AI355" s="412"/>
      <c r="AJ355" s="412"/>
      <c r="AK355" s="412"/>
      <c r="AL355" s="412"/>
      <c r="AM355" s="412"/>
      <c r="AN355" s="412"/>
      <c r="AO355" s="412"/>
      <c r="AP355" s="412"/>
      <c r="AQ355" s="412"/>
      <c r="AR355" s="412"/>
      <c r="AS355" s="412"/>
      <c r="AT355" s="412"/>
      <c r="AU355" s="412"/>
      <c r="AV355" s="412"/>
      <c r="AW355" s="412"/>
      <c r="AX355" s="412"/>
      <c r="AY355" s="412"/>
      <c r="AZ355" s="412"/>
      <c r="BA355" s="412"/>
      <c r="BB355" s="412"/>
      <c r="BC355" s="412"/>
      <c r="BD355" s="412"/>
      <c r="BE355" s="412"/>
      <c r="BF355" s="412"/>
    </row>
    <row r="356" spans="1:58" ht="12" hidden="1" customHeight="1" outlineLevel="2" x14ac:dyDescent="0.3">
      <c r="A356" s="224"/>
      <c r="B356" s="224"/>
      <c r="C356" s="224"/>
      <c r="D356" s="224"/>
      <c r="E356" s="224"/>
      <c r="F356" s="224"/>
      <c r="G356" s="224"/>
      <c r="H356" s="224"/>
      <c r="I356" s="224"/>
      <c r="J356" s="224"/>
      <c r="K356" s="224"/>
      <c r="L356" s="117"/>
      <c r="M356" s="210" t="s">
        <v>1003</v>
      </c>
      <c r="N356" s="244" t="s">
        <v>77</v>
      </c>
      <c r="O356" s="409">
        <f>SUM(O357:O360)</f>
        <v>0</v>
      </c>
      <c r="P356" s="409">
        <f t="shared" ref="P356" si="439">SUM(P357:P360)</f>
        <v>0</v>
      </c>
      <c r="Q356" s="409">
        <f t="shared" ref="Q356" si="440">SUM(Q357:Q360)</f>
        <v>0</v>
      </c>
      <c r="R356" s="409">
        <f t="shared" ref="R356" si="441">SUM(R357:R360)</f>
        <v>0</v>
      </c>
      <c r="S356" s="409">
        <f t="shared" ref="S356" si="442">SUM(S357:S360)</f>
        <v>0</v>
      </c>
      <c r="T356" s="409">
        <f t="shared" ref="T356" si="443">SUM(T357:T360)</f>
        <v>0</v>
      </c>
      <c r="U356" s="409">
        <f t="shared" ref="U356" si="444">SUM(U357:U360)</f>
        <v>0</v>
      </c>
      <c r="V356" s="409">
        <f t="shared" ref="V356" si="445">SUM(V357:V360)</f>
        <v>0</v>
      </c>
      <c r="W356" s="409">
        <f t="shared" ref="W356" si="446">SUM(W357:W360)</f>
        <v>0</v>
      </c>
      <c r="X356" s="409">
        <f t="shared" ref="X356" si="447">SUM(X357:X360)</f>
        <v>0</v>
      </c>
      <c r="Y356" s="394"/>
      <c r="Z356" s="220"/>
      <c r="AA356" s="220"/>
      <c r="AB356" s="409">
        <f t="shared" ref="AB356" si="448">SUM(AB357:AB360)</f>
        <v>0</v>
      </c>
      <c r="AC356" s="410">
        <f t="shared" ref="AC356" si="449">SUM(AC357:AC360)</f>
        <v>0</v>
      </c>
      <c r="AD356" s="411">
        <f>AB356*AD$256/$AB$256</f>
        <v>0</v>
      </c>
      <c r="AE356" s="411">
        <f>AD356*AE$256/AD$256</f>
        <v>0</v>
      </c>
      <c r="AF356" s="411">
        <f t="shared" ref="AF356:BF356" si="450">AE356*AF$256/AE$256</f>
        <v>0</v>
      </c>
      <c r="AG356" s="411">
        <f t="shared" si="450"/>
        <v>0</v>
      </c>
      <c r="AH356" s="411">
        <f t="shared" si="450"/>
        <v>0</v>
      </c>
      <c r="AI356" s="411">
        <f t="shared" si="450"/>
        <v>0</v>
      </c>
      <c r="AJ356" s="411">
        <f t="shared" si="450"/>
        <v>0</v>
      </c>
      <c r="AK356" s="411">
        <f t="shared" si="450"/>
        <v>0</v>
      </c>
      <c r="AL356" s="411">
        <f t="shared" si="450"/>
        <v>0</v>
      </c>
      <c r="AM356" s="411">
        <f t="shared" si="450"/>
        <v>0</v>
      </c>
      <c r="AN356" s="411">
        <f t="shared" si="450"/>
        <v>0</v>
      </c>
      <c r="AO356" s="411">
        <f t="shared" si="450"/>
        <v>0</v>
      </c>
      <c r="AP356" s="411">
        <f t="shared" si="450"/>
        <v>0</v>
      </c>
      <c r="AQ356" s="411">
        <f t="shared" si="450"/>
        <v>0</v>
      </c>
      <c r="AR356" s="411">
        <f t="shared" si="450"/>
        <v>0</v>
      </c>
      <c r="AS356" s="411">
        <f t="shared" si="450"/>
        <v>0</v>
      </c>
      <c r="AT356" s="411">
        <f t="shared" si="450"/>
        <v>0</v>
      </c>
      <c r="AU356" s="411">
        <f t="shared" si="450"/>
        <v>0</v>
      </c>
      <c r="AV356" s="411">
        <f t="shared" si="450"/>
        <v>0</v>
      </c>
      <c r="AW356" s="411">
        <f t="shared" si="450"/>
        <v>0</v>
      </c>
      <c r="AX356" s="411">
        <f t="shared" si="450"/>
        <v>0</v>
      </c>
      <c r="AY356" s="411">
        <f t="shared" si="450"/>
        <v>0</v>
      </c>
      <c r="AZ356" s="411">
        <f t="shared" si="450"/>
        <v>0</v>
      </c>
      <c r="BA356" s="411">
        <f t="shared" si="450"/>
        <v>0</v>
      </c>
      <c r="BB356" s="411">
        <f t="shared" si="450"/>
        <v>0</v>
      </c>
      <c r="BC356" s="411">
        <f t="shared" si="450"/>
        <v>0</v>
      </c>
      <c r="BD356" s="411">
        <f t="shared" si="450"/>
        <v>0</v>
      </c>
      <c r="BE356" s="411">
        <f t="shared" si="450"/>
        <v>0</v>
      </c>
      <c r="BF356" s="411">
        <f t="shared" si="450"/>
        <v>0</v>
      </c>
    </row>
    <row r="357" spans="1:58" ht="12" hidden="1" customHeight="1" outlineLevel="2" x14ac:dyDescent="0.3">
      <c r="A357" s="224"/>
      <c r="B357" s="224"/>
      <c r="C357" s="224"/>
      <c r="D357" s="224"/>
      <c r="E357" s="224"/>
      <c r="F357" s="224"/>
      <c r="G357" s="224"/>
      <c r="H357" s="224"/>
      <c r="I357" s="224"/>
      <c r="J357" s="224"/>
      <c r="K357" s="224"/>
      <c r="L357" s="117"/>
      <c r="M357" s="213" t="s">
        <v>971</v>
      </c>
      <c r="N357" s="244" t="s">
        <v>77</v>
      </c>
      <c r="O357" s="150">
        <v>0</v>
      </c>
      <c r="P357" s="150">
        <v>0</v>
      </c>
      <c r="Q357" s="150">
        <v>0</v>
      </c>
      <c r="R357" s="150">
        <v>0</v>
      </c>
      <c r="S357" s="150">
        <v>0</v>
      </c>
      <c r="T357" s="150">
        <v>0</v>
      </c>
      <c r="U357" s="150">
        <v>0</v>
      </c>
      <c r="V357" s="150">
        <v>0</v>
      </c>
      <c r="W357" s="150">
        <v>0</v>
      </c>
      <c r="X357" s="150">
        <v>0</v>
      </c>
      <c r="Y357" s="394"/>
      <c r="Z357" s="246"/>
      <c r="AA357" s="246"/>
      <c r="AB357" s="150">
        <v>0</v>
      </c>
      <c r="AC357" s="153">
        <v>0</v>
      </c>
      <c r="AD357" s="412"/>
      <c r="AE357" s="412"/>
      <c r="AF357" s="412"/>
      <c r="AG357" s="412"/>
      <c r="AH357" s="412"/>
      <c r="AI357" s="412"/>
      <c r="AJ357" s="412"/>
      <c r="AK357" s="412"/>
      <c r="AL357" s="412"/>
      <c r="AM357" s="412"/>
      <c r="AN357" s="412"/>
      <c r="AO357" s="412"/>
      <c r="AP357" s="412"/>
      <c r="AQ357" s="412"/>
      <c r="AR357" s="412"/>
      <c r="AS357" s="412"/>
      <c r="AT357" s="412"/>
      <c r="AU357" s="412"/>
      <c r="AV357" s="412"/>
      <c r="AW357" s="412"/>
      <c r="AX357" s="412"/>
      <c r="AY357" s="412"/>
      <c r="AZ357" s="412"/>
      <c r="BA357" s="412"/>
      <c r="BB357" s="412"/>
      <c r="BC357" s="412"/>
      <c r="BD357" s="412"/>
      <c r="BE357" s="412"/>
      <c r="BF357" s="412"/>
    </row>
    <row r="358" spans="1:58" ht="12" hidden="1" customHeight="1" outlineLevel="2" x14ac:dyDescent="0.3">
      <c r="A358" s="224"/>
      <c r="B358" s="224"/>
      <c r="C358" s="224"/>
      <c r="D358" s="224"/>
      <c r="E358" s="224"/>
      <c r="F358" s="224"/>
      <c r="G358" s="224"/>
      <c r="H358" s="224"/>
      <c r="I358" s="224"/>
      <c r="J358" s="224"/>
      <c r="K358" s="224"/>
      <c r="L358" s="117"/>
      <c r="M358" s="213" t="s">
        <v>985</v>
      </c>
      <c r="N358" s="244" t="s">
        <v>77</v>
      </c>
      <c r="O358" s="150">
        <v>0</v>
      </c>
      <c r="P358" s="150">
        <v>0</v>
      </c>
      <c r="Q358" s="150">
        <v>0</v>
      </c>
      <c r="R358" s="150">
        <v>0</v>
      </c>
      <c r="S358" s="150">
        <v>0</v>
      </c>
      <c r="T358" s="150">
        <v>0</v>
      </c>
      <c r="U358" s="150">
        <v>0</v>
      </c>
      <c r="V358" s="150">
        <v>0</v>
      </c>
      <c r="W358" s="150">
        <v>0</v>
      </c>
      <c r="X358" s="150">
        <v>0</v>
      </c>
      <c r="Y358" s="394"/>
      <c r="Z358" s="246"/>
      <c r="AA358" s="246"/>
      <c r="AB358" s="150">
        <v>0</v>
      </c>
      <c r="AC358" s="153">
        <v>0</v>
      </c>
      <c r="AD358" s="412"/>
      <c r="AE358" s="412"/>
      <c r="AF358" s="412"/>
      <c r="AG358" s="412"/>
      <c r="AH358" s="412"/>
      <c r="AI358" s="412"/>
      <c r="AJ358" s="412"/>
      <c r="AK358" s="412"/>
      <c r="AL358" s="412"/>
      <c r="AM358" s="412"/>
      <c r="AN358" s="412"/>
      <c r="AO358" s="412"/>
      <c r="AP358" s="412"/>
      <c r="AQ358" s="412"/>
      <c r="AR358" s="412"/>
      <c r="AS358" s="412"/>
      <c r="AT358" s="412"/>
      <c r="AU358" s="412"/>
      <c r="AV358" s="412"/>
      <c r="AW358" s="412"/>
      <c r="AX358" s="412"/>
      <c r="AY358" s="412"/>
      <c r="AZ358" s="412"/>
      <c r="BA358" s="412"/>
      <c r="BB358" s="412"/>
      <c r="BC358" s="412"/>
      <c r="BD358" s="412"/>
      <c r="BE358" s="412"/>
      <c r="BF358" s="412"/>
    </row>
    <row r="359" spans="1:58" ht="12" hidden="1" customHeight="1" outlineLevel="2" x14ac:dyDescent="0.3">
      <c r="A359" s="224"/>
      <c r="B359" s="224"/>
      <c r="C359" s="224"/>
      <c r="D359" s="224"/>
      <c r="E359" s="224"/>
      <c r="F359" s="224"/>
      <c r="G359" s="224"/>
      <c r="H359" s="224"/>
      <c r="I359" s="224"/>
      <c r="J359" s="224"/>
      <c r="K359" s="224"/>
      <c r="L359" s="117"/>
      <c r="M359" s="213" t="s">
        <v>973</v>
      </c>
      <c r="N359" s="244" t="s">
        <v>77</v>
      </c>
      <c r="O359" s="150">
        <v>0</v>
      </c>
      <c r="P359" s="150">
        <v>0</v>
      </c>
      <c r="Q359" s="150">
        <v>0</v>
      </c>
      <c r="R359" s="150">
        <v>0</v>
      </c>
      <c r="S359" s="150">
        <v>0</v>
      </c>
      <c r="T359" s="150">
        <v>0</v>
      </c>
      <c r="U359" s="150">
        <v>0</v>
      </c>
      <c r="V359" s="150">
        <v>0</v>
      </c>
      <c r="W359" s="150">
        <v>0</v>
      </c>
      <c r="X359" s="150">
        <v>0</v>
      </c>
      <c r="Y359" s="394"/>
      <c r="Z359" s="246"/>
      <c r="AA359" s="246"/>
      <c r="AB359" s="150">
        <v>0</v>
      </c>
      <c r="AC359" s="153">
        <v>0</v>
      </c>
      <c r="AD359" s="412"/>
      <c r="AE359" s="412"/>
      <c r="AF359" s="412"/>
      <c r="AG359" s="412"/>
      <c r="AH359" s="412"/>
      <c r="AI359" s="412"/>
      <c r="AJ359" s="412"/>
      <c r="AK359" s="412"/>
      <c r="AL359" s="412"/>
      <c r="AM359" s="412"/>
      <c r="AN359" s="412"/>
      <c r="AO359" s="412"/>
      <c r="AP359" s="412"/>
      <c r="AQ359" s="412"/>
      <c r="AR359" s="412"/>
      <c r="AS359" s="412"/>
      <c r="AT359" s="412"/>
      <c r="AU359" s="412"/>
      <c r="AV359" s="412"/>
      <c r="AW359" s="412"/>
      <c r="AX359" s="412"/>
      <c r="AY359" s="412"/>
      <c r="AZ359" s="412"/>
      <c r="BA359" s="412"/>
      <c r="BB359" s="412"/>
      <c r="BC359" s="412"/>
      <c r="BD359" s="412"/>
      <c r="BE359" s="412"/>
      <c r="BF359" s="412"/>
    </row>
    <row r="360" spans="1:58" ht="12" hidden="1" customHeight="1" outlineLevel="2" x14ac:dyDescent="0.3">
      <c r="A360" s="224"/>
      <c r="B360" s="224"/>
      <c r="C360" s="224"/>
      <c r="D360" s="224"/>
      <c r="E360" s="224"/>
      <c r="F360" s="224"/>
      <c r="G360" s="224"/>
      <c r="H360" s="224"/>
      <c r="I360" s="224"/>
      <c r="J360" s="224"/>
      <c r="K360" s="224"/>
      <c r="L360" s="117"/>
      <c r="M360" s="213" t="s">
        <v>974</v>
      </c>
      <c r="N360" s="244" t="s">
        <v>77</v>
      </c>
      <c r="O360" s="150">
        <v>0</v>
      </c>
      <c r="P360" s="150">
        <v>0</v>
      </c>
      <c r="Q360" s="150">
        <v>0</v>
      </c>
      <c r="R360" s="150">
        <v>0</v>
      </c>
      <c r="S360" s="150">
        <v>0</v>
      </c>
      <c r="T360" s="150">
        <v>0</v>
      </c>
      <c r="U360" s="150">
        <v>0</v>
      </c>
      <c r="V360" s="150">
        <v>0</v>
      </c>
      <c r="W360" s="150">
        <v>0</v>
      </c>
      <c r="X360" s="150">
        <v>0</v>
      </c>
      <c r="Y360" s="394"/>
      <c r="Z360" s="246"/>
      <c r="AA360" s="246"/>
      <c r="AB360" s="150">
        <v>0</v>
      </c>
      <c r="AC360" s="153">
        <v>0</v>
      </c>
      <c r="AD360" s="412"/>
      <c r="AE360" s="412"/>
      <c r="AF360" s="412"/>
      <c r="AG360" s="412"/>
      <c r="AH360" s="412"/>
      <c r="AI360" s="412"/>
      <c r="AJ360" s="412"/>
      <c r="AK360" s="412"/>
      <c r="AL360" s="412"/>
      <c r="AM360" s="412"/>
      <c r="AN360" s="412"/>
      <c r="AO360" s="412"/>
      <c r="AP360" s="412"/>
      <c r="AQ360" s="412"/>
      <c r="AR360" s="412"/>
      <c r="AS360" s="412"/>
      <c r="AT360" s="412"/>
      <c r="AU360" s="412"/>
      <c r="AV360" s="412"/>
      <c r="AW360" s="412"/>
      <c r="AX360" s="412"/>
      <c r="AY360" s="412"/>
      <c r="AZ360" s="412"/>
      <c r="BA360" s="412"/>
      <c r="BB360" s="412"/>
      <c r="BC360" s="412"/>
      <c r="BD360" s="412"/>
      <c r="BE360" s="412"/>
      <c r="BF360" s="412"/>
    </row>
    <row r="361" spans="1:58" ht="12" hidden="1" customHeight="1" outlineLevel="2" x14ac:dyDescent="0.3">
      <c r="A361" s="224"/>
      <c r="B361" s="224"/>
      <c r="C361" s="224"/>
      <c r="D361" s="224"/>
      <c r="E361" s="224"/>
      <c r="F361" s="224"/>
      <c r="G361" s="224"/>
      <c r="H361" s="224"/>
      <c r="I361" s="224"/>
      <c r="J361" s="224"/>
      <c r="K361" s="224"/>
      <c r="L361" s="117"/>
      <c r="M361" s="210" t="s">
        <v>1004</v>
      </c>
      <c r="N361" s="244" t="s">
        <v>77</v>
      </c>
      <c r="O361" s="150">
        <v>21.1111111111111</v>
      </c>
      <c r="P361" s="150">
        <v>35.555555555555557</v>
      </c>
      <c r="Q361" s="150">
        <v>13.333333333333332</v>
      </c>
      <c r="R361" s="150">
        <v>11.111111111111111</v>
      </c>
      <c r="S361" s="150">
        <v>12.777777777777777</v>
      </c>
      <c r="T361" s="150">
        <v>14.444444444444445</v>
      </c>
      <c r="U361" s="150">
        <v>21.666666666666668</v>
      </c>
      <c r="V361" s="150">
        <v>17.222222222222225</v>
      </c>
      <c r="W361" s="150">
        <v>18.888888888888889</v>
      </c>
      <c r="X361" s="150">
        <v>18.055555555555554</v>
      </c>
      <c r="Y361" s="394"/>
      <c r="Z361" s="246"/>
      <c r="AA361" s="246"/>
      <c r="AB361" s="150">
        <v>15.277777777777777</v>
      </c>
      <c r="AC361" s="153">
        <v>13.055555555555557</v>
      </c>
      <c r="AD361" s="411">
        <f>AB361*AD$256/$AB$256</f>
        <v>15.430555555555555</v>
      </c>
      <c r="AE361" s="411">
        <f>AD361*AE$256/AD$256</f>
        <v>15.615722222222223</v>
      </c>
      <c r="AF361" s="411">
        <f t="shared" ref="AF361:BF361" si="451">AE361*AF$256/AE$256</f>
        <v>15.849958055555556</v>
      </c>
      <c r="AG361" s="411">
        <f t="shared" si="451"/>
        <v>16.087707426388889</v>
      </c>
      <c r="AH361" s="411">
        <f t="shared" si="451"/>
        <v>16.329023037784722</v>
      </c>
      <c r="AI361" s="411">
        <f t="shared" si="451"/>
        <v>16.573958383351492</v>
      </c>
      <c r="AJ361" s="411">
        <f t="shared" si="451"/>
        <v>16.822567759101762</v>
      </c>
      <c r="AK361" s="411">
        <f t="shared" si="451"/>
        <v>17.074906275488285</v>
      </c>
      <c r="AL361" s="411">
        <f t="shared" si="451"/>
        <v>17.331029869620608</v>
      </c>
      <c r="AM361" s="411">
        <f t="shared" si="451"/>
        <v>17.590995317664913</v>
      </c>
      <c r="AN361" s="411">
        <f t="shared" si="451"/>
        <v>17.854860247429887</v>
      </c>
      <c r="AO361" s="411">
        <f t="shared" si="451"/>
        <v>18.122683151141334</v>
      </c>
      <c r="AP361" s="411">
        <f t="shared" si="451"/>
        <v>18.394523398408452</v>
      </c>
      <c r="AQ361" s="411">
        <f t="shared" si="451"/>
        <v>18.670441249384577</v>
      </c>
      <c r="AR361" s="411">
        <f t="shared" si="451"/>
        <v>18.950497868125343</v>
      </c>
      <c r="AS361" s="411">
        <f t="shared" si="451"/>
        <v>19.234755336147217</v>
      </c>
      <c r="AT361" s="411">
        <f t="shared" si="451"/>
        <v>19.523276666189425</v>
      </c>
      <c r="AU361" s="411">
        <f t="shared" si="451"/>
        <v>19.816125816182264</v>
      </c>
      <c r="AV361" s="411">
        <f t="shared" si="451"/>
        <v>20.113367703424995</v>
      </c>
      <c r="AW361" s="411">
        <f t="shared" si="451"/>
        <v>20.415068218976369</v>
      </c>
      <c r="AX361" s="411">
        <f t="shared" si="451"/>
        <v>20.721294242261013</v>
      </c>
      <c r="AY361" s="411">
        <f t="shared" si="451"/>
        <v>21.032113655894925</v>
      </c>
      <c r="AZ361" s="411">
        <f t="shared" si="451"/>
        <v>21.347595360733347</v>
      </c>
      <c r="BA361" s="411">
        <f t="shared" si="451"/>
        <v>21.667809291144344</v>
      </c>
      <c r="BB361" s="411">
        <f t="shared" si="451"/>
        <v>21.94949081192922</v>
      </c>
      <c r="BC361" s="411">
        <f t="shared" si="451"/>
        <v>22.212884701672369</v>
      </c>
      <c r="BD361" s="411">
        <f t="shared" si="451"/>
        <v>22.457226433390762</v>
      </c>
      <c r="BE361" s="411">
        <f t="shared" si="451"/>
        <v>22.681798697724666</v>
      </c>
      <c r="BF361" s="411">
        <f t="shared" si="451"/>
        <v>22.908616684701911</v>
      </c>
    </row>
    <row r="362" spans="1:58" ht="12" hidden="1" customHeight="1" outlineLevel="2" x14ac:dyDescent="0.3">
      <c r="A362" s="224"/>
      <c r="B362" s="224"/>
      <c r="C362" s="224"/>
      <c r="D362" s="224"/>
      <c r="E362" s="224"/>
      <c r="F362" s="224"/>
      <c r="G362" s="224"/>
      <c r="H362" s="224"/>
      <c r="I362" s="224"/>
      <c r="J362" s="224"/>
      <c r="K362" s="224"/>
      <c r="L362" s="117"/>
      <c r="M362" s="210" t="s">
        <v>1005</v>
      </c>
      <c r="N362" s="244" t="s">
        <v>77</v>
      </c>
      <c r="O362" s="150">
        <v>278</v>
      </c>
      <c r="P362" s="150">
        <v>290</v>
      </c>
      <c r="Q362" s="150">
        <v>314</v>
      </c>
      <c r="R362" s="150">
        <v>339</v>
      </c>
      <c r="S362" s="150">
        <v>365</v>
      </c>
      <c r="T362" s="150">
        <v>374</v>
      </c>
      <c r="U362" s="150">
        <v>412</v>
      </c>
      <c r="V362" s="150">
        <v>498.88888888888886</v>
      </c>
      <c r="W362" s="150">
        <v>539.05050000000006</v>
      </c>
      <c r="X362" s="150">
        <v>562.4</v>
      </c>
      <c r="Y362" s="394"/>
      <c r="Z362" s="246"/>
      <c r="AA362" s="246"/>
      <c r="AB362" s="150">
        <v>580</v>
      </c>
      <c r="AC362" s="153">
        <v>519.44444444444446</v>
      </c>
      <c r="AD362" s="411">
        <f>AB362*AD$256/$AB$256</f>
        <v>585.80000000000007</v>
      </c>
      <c r="AE362" s="411">
        <f>AD362*AE$256/AD$256</f>
        <v>592.82960000000014</v>
      </c>
      <c r="AF362" s="411">
        <f t="shared" ref="AF362:BF362" si="452">AE362*AF$256/AE$256</f>
        <v>601.7220440000001</v>
      </c>
      <c r="AG362" s="411">
        <f t="shared" si="452"/>
        <v>610.74787465999998</v>
      </c>
      <c r="AH362" s="411">
        <f t="shared" si="452"/>
        <v>619.90909277989988</v>
      </c>
      <c r="AI362" s="411">
        <f t="shared" si="452"/>
        <v>629.20772917159832</v>
      </c>
      <c r="AJ362" s="411">
        <f t="shared" si="452"/>
        <v>638.64584510917223</v>
      </c>
      <c r="AK362" s="411">
        <f t="shared" si="452"/>
        <v>648.22553278580972</v>
      </c>
      <c r="AL362" s="411">
        <f t="shared" si="452"/>
        <v>657.94891577759688</v>
      </c>
      <c r="AM362" s="411">
        <f t="shared" si="452"/>
        <v>667.81814951426077</v>
      </c>
      <c r="AN362" s="411">
        <f t="shared" si="452"/>
        <v>677.8354217569746</v>
      </c>
      <c r="AO362" s="411">
        <f t="shared" si="452"/>
        <v>688.00295308332909</v>
      </c>
      <c r="AP362" s="411">
        <f t="shared" si="452"/>
        <v>698.32299737957896</v>
      </c>
      <c r="AQ362" s="411">
        <f t="shared" si="452"/>
        <v>708.79784234027261</v>
      </c>
      <c r="AR362" s="411">
        <f t="shared" si="452"/>
        <v>719.42980997537666</v>
      </c>
      <c r="AS362" s="411">
        <f t="shared" si="452"/>
        <v>730.22125712500713</v>
      </c>
      <c r="AT362" s="411">
        <f t="shared" si="452"/>
        <v>741.17457598188219</v>
      </c>
      <c r="AU362" s="411">
        <f t="shared" si="452"/>
        <v>752.29219462161041</v>
      </c>
      <c r="AV362" s="411">
        <f t="shared" si="452"/>
        <v>763.57657754093452</v>
      </c>
      <c r="AW362" s="411">
        <f t="shared" si="452"/>
        <v>775.0302262040484</v>
      </c>
      <c r="AX362" s="411">
        <f t="shared" si="452"/>
        <v>786.65567959710904</v>
      </c>
      <c r="AY362" s="411">
        <f t="shared" si="452"/>
        <v>798.45551479106564</v>
      </c>
      <c r="AZ362" s="411">
        <f t="shared" si="452"/>
        <v>810.43234751293153</v>
      </c>
      <c r="BA362" s="411">
        <f t="shared" si="452"/>
        <v>822.58883272562548</v>
      </c>
      <c r="BB362" s="411">
        <f t="shared" si="452"/>
        <v>833.28248755105858</v>
      </c>
      <c r="BC362" s="411">
        <f t="shared" si="452"/>
        <v>843.2818774016713</v>
      </c>
      <c r="BD362" s="411">
        <f t="shared" si="452"/>
        <v>852.55797805308953</v>
      </c>
      <c r="BE362" s="411">
        <f t="shared" si="452"/>
        <v>861.08355783362038</v>
      </c>
      <c r="BF362" s="411">
        <f t="shared" si="452"/>
        <v>869.69439341195675</v>
      </c>
    </row>
    <row r="363" spans="1:58" ht="12" hidden="1" customHeight="1" outlineLevel="2" x14ac:dyDescent="0.3">
      <c r="A363" s="224"/>
      <c r="B363" s="224"/>
      <c r="C363" s="224"/>
      <c r="D363" s="224"/>
      <c r="E363" s="224"/>
      <c r="F363" s="224"/>
      <c r="G363" s="224"/>
      <c r="H363" s="224"/>
      <c r="I363" s="224"/>
      <c r="J363" s="224"/>
      <c r="K363" s="224"/>
      <c r="L363" s="117"/>
      <c r="M363" s="210" t="s">
        <v>1006</v>
      </c>
      <c r="N363" s="244" t="s">
        <v>77</v>
      </c>
      <c r="O363" s="150">
        <v>885.83333333333326</v>
      </c>
      <c r="P363" s="150">
        <v>943.33333333333326</v>
      </c>
      <c r="Q363" s="150">
        <v>670.27777777777771</v>
      </c>
      <c r="R363" s="150">
        <v>838.33333333333348</v>
      </c>
      <c r="S363" s="150">
        <v>886.38888888888891</v>
      </c>
      <c r="T363" s="150">
        <v>972.22222222222229</v>
      </c>
      <c r="U363" s="150">
        <v>60.277777777777771</v>
      </c>
      <c r="V363" s="150">
        <v>41.666666666666664</v>
      </c>
      <c r="W363" s="150">
        <v>73.606269999999995</v>
      </c>
      <c r="X363" s="150">
        <v>44.444444444444443</v>
      </c>
      <c r="Y363" s="394"/>
      <c r="Z363" s="246"/>
      <c r="AA363" s="246"/>
      <c r="AB363" s="150">
        <v>105.55555555555556</v>
      </c>
      <c r="AC363" s="153">
        <v>67.222222222222214</v>
      </c>
      <c r="AD363" s="411">
        <f>AB363*AD$256/$AB$256</f>
        <v>106.61111111111111</v>
      </c>
      <c r="AE363" s="411">
        <f>AD363*AE$256/AD$256</f>
        <v>107.89044444444447</v>
      </c>
      <c r="AF363" s="411">
        <f t="shared" ref="AF363:BF363" si="453">AE363*AF$256/AE$256</f>
        <v>109.50880111111114</v>
      </c>
      <c r="AG363" s="411">
        <f t="shared" si="453"/>
        <v>111.15143312777779</v>
      </c>
      <c r="AH363" s="411">
        <f t="shared" si="453"/>
        <v>112.81870462469446</v>
      </c>
      <c r="AI363" s="411">
        <f t="shared" si="453"/>
        <v>114.51098519406487</v>
      </c>
      <c r="AJ363" s="411">
        <f t="shared" si="453"/>
        <v>116.22864997197584</v>
      </c>
      <c r="AK363" s="411">
        <f t="shared" si="453"/>
        <v>117.97207972155546</v>
      </c>
      <c r="AL363" s="411">
        <f t="shared" si="453"/>
        <v>119.74166091737878</v>
      </c>
      <c r="AM363" s="411">
        <f t="shared" si="453"/>
        <v>121.53778583113944</v>
      </c>
      <c r="AN363" s="411">
        <f t="shared" si="453"/>
        <v>123.36085261860653</v>
      </c>
      <c r="AO363" s="411">
        <f t="shared" si="453"/>
        <v>125.21126540788562</v>
      </c>
      <c r="AP363" s="411">
        <f t="shared" si="453"/>
        <v>127.0894343890039</v>
      </c>
      <c r="AQ363" s="411">
        <f t="shared" si="453"/>
        <v>128.99577590483895</v>
      </c>
      <c r="AR363" s="411">
        <f t="shared" si="453"/>
        <v>130.93071254341152</v>
      </c>
      <c r="AS363" s="411">
        <f t="shared" si="453"/>
        <v>132.89467323156268</v>
      </c>
      <c r="AT363" s="411">
        <f t="shared" si="453"/>
        <v>134.8880933300361</v>
      </c>
      <c r="AU363" s="411">
        <f t="shared" si="453"/>
        <v>136.91141472998663</v>
      </c>
      <c r="AV363" s="411">
        <f t="shared" si="453"/>
        <v>138.96508595093644</v>
      </c>
      <c r="AW363" s="411">
        <f t="shared" si="453"/>
        <v>141.04956224020049</v>
      </c>
      <c r="AX363" s="411">
        <f t="shared" si="453"/>
        <v>143.16530567380349</v>
      </c>
      <c r="AY363" s="411">
        <f t="shared" si="453"/>
        <v>145.31278525891054</v>
      </c>
      <c r="AZ363" s="411">
        <f t="shared" si="453"/>
        <v>147.49247703779417</v>
      </c>
      <c r="BA363" s="411">
        <f t="shared" si="453"/>
        <v>149.70486419336109</v>
      </c>
      <c r="BB363" s="411">
        <f t="shared" si="453"/>
        <v>151.65102742787477</v>
      </c>
      <c r="BC363" s="411">
        <f t="shared" si="453"/>
        <v>153.47083975700929</v>
      </c>
      <c r="BD363" s="411">
        <f t="shared" si="453"/>
        <v>155.15901899433638</v>
      </c>
      <c r="BE363" s="411">
        <f t="shared" si="453"/>
        <v>156.71060918427972</v>
      </c>
      <c r="BF363" s="411">
        <f t="shared" si="453"/>
        <v>158.27771527612254</v>
      </c>
    </row>
    <row r="364" spans="1:58" ht="12" hidden="1" customHeight="1" outlineLevel="2" x14ac:dyDescent="0.3">
      <c r="A364" s="224"/>
      <c r="B364" s="224" t="s">
        <v>1007</v>
      </c>
      <c r="C364" s="224"/>
      <c r="D364" s="224" t="s">
        <v>885</v>
      </c>
      <c r="E364" s="224"/>
      <c r="F364" s="224"/>
      <c r="G364" s="224"/>
      <c r="H364" s="224"/>
      <c r="I364" s="224"/>
      <c r="J364" s="224"/>
      <c r="K364" s="224"/>
      <c r="L364" s="117"/>
      <c r="M364" s="214" t="s">
        <v>1008</v>
      </c>
      <c r="N364" s="247" t="s">
        <v>77</v>
      </c>
      <c r="O364" s="413">
        <f t="shared" ref="O364:X364" si="454">O349+O353+O356+O361+O362+O363</f>
        <v>1335.473542222222</v>
      </c>
      <c r="P364" s="413">
        <f t="shared" si="454"/>
        <v>1428.6375088888888</v>
      </c>
      <c r="Q364" s="413">
        <f t="shared" si="454"/>
        <v>1151.3586511111112</v>
      </c>
      <c r="R364" s="413">
        <f t="shared" si="454"/>
        <v>1346.1927044444446</v>
      </c>
      <c r="S364" s="413">
        <f t="shared" si="454"/>
        <v>1415.4550755555556</v>
      </c>
      <c r="T364" s="413">
        <f t="shared" si="454"/>
        <v>1522.9607555555558</v>
      </c>
      <c r="U364" s="413">
        <f t="shared" si="454"/>
        <v>673.37458777777783</v>
      </c>
      <c r="V364" s="413">
        <f t="shared" si="454"/>
        <v>714.7743177777777</v>
      </c>
      <c r="W364" s="413">
        <f t="shared" si="454"/>
        <v>765.04565888888897</v>
      </c>
      <c r="X364" s="413">
        <f t="shared" si="454"/>
        <v>848.92369215587553</v>
      </c>
      <c r="Y364" s="394"/>
      <c r="Z364" s="246"/>
      <c r="AA364" s="246"/>
      <c r="AB364" s="413">
        <f>AB349+AB353+AB356+AB361+AB362+AB363</f>
        <v>959.44444444444446</v>
      </c>
      <c r="AC364" s="414">
        <f>AC349+AC353+AC356+AC361+AC362+AC363</f>
        <v>808.33333333333326</v>
      </c>
      <c r="AD364" s="411">
        <f>SUM(AD349:AD363)</f>
        <v>969.03888888888889</v>
      </c>
      <c r="AE364" s="411">
        <f>SUM(AE349:AE363)</f>
        <v>980.66735555555579</v>
      </c>
      <c r="AF364" s="411">
        <f t="shared" ref="AF364:BF364" si="455">SUM(AF349:AF363)</f>
        <v>995.37736588888902</v>
      </c>
      <c r="AG364" s="411">
        <f t="shared" si="455"/>
        <v>1010.3080263772222</v>
      </c>
      <c r="AH364" s="411">
        <f t="shared" si="455"/>
        <v>1025.4626467728804</v>
      </c>
      <c r="AI364" s="411">
        <f t="shared" si="455"/>
        <v>1040.8445864744735</v>
      </c>
      <c r="AJ364" s="411">
        <f t="shared" si="455"/>
        <v>1056.4572552715906</v>
      </c>
      <c r="AK364" s="411">
        <f t="shared" si="455"/>
        <v>1072.3041141006643</v>
      </c>
      <c r="AL364" s="411">
        <f t="shared" si="455"/>
        <v>1088.3886758121741</v>
      </c>
      <c r="AM364" s="411">
        <f t="shared" si="455"/>
        <v>1104.7145059493569</v>
      </c>
      <c r="AN364" s="411">
        <f t="shared" si="455"/>
        <v>1121.2852235385969</v>
      </c>
      <c r="AO364" s="411">
        <f t="shared" si="455"/>
        <v>1138.1045018916757</v>
      </c>
      <c r="AP364" s="411">
        <f t="shared" si="455"/>
        <v>1155.1760694200509</v>
      </c>
      <c r="AQ364" s="411">
        <f t="shared" si="455"/>
        <v>1172.5037104613516</v>
      </c>
      <c r="AR364" s="411">
        <f t="shared" si="455"/>
        <v>1190.0912661182717</v>
      </c>
      <c r="AS364" s="411">
        <f t="shared" si="455"/>
        <v>1207.9426351100456</v>
      </c>
      <c r="AT364" s="411">
        <f t="shared" si="455"/>
        <v>1226.0617746366961</v>
      </c>
      <c r="AU364" s="411">
        <f t="shared" si="455"/>
        <v>1244.4527012562467</v>
      </c>
      <c r="AV364" s="411">
        <f t="shared" si="455"/>
        <v>1263.1194917750904</v>
      </c>
      <c r="AW364" s="411">
        <f t="shared" si="455"/>
        <v>1282.0662841517162</v>
      </c>
      <c r="AX364" s="411">
        <f t="shared" si="455"/>
        <v>1301.297278413992</v>
      </c>
      <c r="AY364" s="411">
        <f t="shared" si="455"/>
        <v>1320.8167375902017</v>
      </c>
      <c r="AZ364" s="411">
        <f t="shared" si="455"/>
        <v>1340.6289886540549</v>
      </c>
      <c r="BA364" s="411">
        <f t="shared" si="455"/>
        <v>1360.7384234838655</v>
      </c>
      <c r="BB364" s="411">
        <f t="shared" si="455"/>
        <v>1378.4280229891556</v>
      </c>
      <c r="BC364" s="411">
        <f t="shared" si="455"/>
        <v>1394.9691592650256</v>
      </c>
      <c r="BD364" s="411">
        <f t="shared" si="455"/>
        <v>1410.3138200169403</v>
      </c>
      <c r="BE364" s="411">
        <f t="shared" si="455"/>
        <v>1424.4169582171098</v>
      </c>
      <c r="BF364" s="411">
        <f t="shared" si="455"/>
        <v>1438.6611277992811</v>
      </c>
    </row>
    <row r="365" spans="1:58" ht="12" hidden="1" customHeight="1" outlineLevel="2" x14ac:dyDescent="0.3">
      <c r="A365" s="224"/>
      <c r="B365" s="224"/>
      <c r="C365" s="224"/>
      <c r="D365" s="224"/>
      <c r="E365" s="224"/>
      <c r="F365" s="224"/>
      <c r="G365" s="224"/>
      <c r="H365" s="224"/>
      <c r="I365" s="224"/>
      <c r="J365" s="224"/>
      <c r="K365" s="224"/>
      <c r="L365" s="117"/>
      <c r="M365" s="223" t="s">
        <v>980</v>
      </c>
      <c r="N365" s="216" t="s">
        <v>68</v>
      </c>
      <c r="O365" s="415">
        <f>IFERROR((O350+O351+O352+O354+O355+O357+O358+O359+O360+O361+O362+O363)/O364,"")</f>
        <v>1</v>
      </c>
      <c r="P365" s="415">
        <f>IFERROR((P350+P351+P352+P354+P355+P357+P358+P359+P360+P361+P362+P363)/P364,"")</f>
        <v>1</v>
      </c>
      <c r="Q365" s="415">
        <f t="shared" ref="Q365:X365" si="456">IFERROR((Q350+Q351+Q352+Q354+Q355+Q357+Q358+Q359+Q360+Q361+Q362+Q363)/Q364,"")</f>
        <v>1</v>
      </c>
      <c r="R365" s="415">
        <f t="shared" si="456"/>
        <v>1</v>
      </c>
      <c r="S365" s="415">
        <f t="shared" si="456"/>
        <v>1</v>
      </c>
      <c r="T365" s="415">
        <f t="shared" si="456"/>
        <v>1</v>
      </c>
      <c r="U365" s="415">
        <f t="shared" si="456"/>
        <v>1</v>
      </c>
      <c r="V365" s="415">
        <f t="shared" si="456"/>
        <v>1</v>
      </c>
      <c r="W365" s="415">
        <f t="shared" si="456"/>
        <v>1</v>
      </c>
      <c r="X365" s="415">
        <f t="shared" si="456"/>
        <v>1</v>
      </c>
      <c r="Y365" s="394"/>
      <c r="Z365" s="210"/>
      <c r="AA365" s="210"/>
      <c r="AB365" s="415">
        <f>IFERROR((AB350+AB351+AB352+AB354+AB355+AB357+AB358+AB359+AB360+AB361+AB362+AB363)/AB364,"")</f>
        <v>1</v>
      </c>
      <c r="AC365" s="415">
        <f>IFERROR((AC350+AC351+AC352+AC354+AC355+AC357+AC358+AC359+AC360+AC361+AC362+AC363)/AC364,"")</f>
        <v>1</v>
      </c>
      <c r="AD365" s="224"/>
      <c r="AE365" s="224"/>
      <c r="AF365" s="224"/>
      <c r="AG365" s="224"/>
      <c r="AH365" s="224"/>
      <c r="AI365" s="224"/>
      <c r="AJ365" s="224"/>
      <c r="AK365" s="224"/>
      <c r="AL365" s="224"/>
      <c r="AM365" s="224"/>
      <c r="AN365" s="224"/>
      <c r="AO365" s="224"/>
      <c r="AP365" s="224"/>
      <c r="AQ365" s="224"/>
      <c r="AR365" s="224"/>
      <c r="AS365" s="224"/>
      <c r="AT365" s="224"/>
      <c r="AU365" s="224"/>
      <c r="AV365" s="224"/>
      <c r="AW365" s="224"/>
      <c r="AX365" s="224"/>
      <c r="AY365" s="224"/>
      <c r="AZ365" s="224"/>
      <c r="BA365" s="224"/>
      <c r="BB365" s="224"/>
      <c r="BC365" s="224"/>
      <c r="BD365" s="224"/>
      <c r="BE365" s="224"/>
      <c r="BF365" s="224"/>
    </row>
    <row r="366" spans="1:58" ht="12" hidden="1" customHeight="1" outlineLevel="2" x14ac:dyDescent="0.3">
      <c r="A366" s="224"/>
      <c r="B366" s="224"/>
      <c r="C366" s="224"/>
      <c r="D366" s="224"/>
      <c r="E366" s="224"/>
      <c r="F366" s="224"/>
      <c r="G366" s="224"/>
      <c r="H366" s="224"/>
      <c r="I366" s="224"/>
      <c r="J366" s="224"/>
      <c r="K366" s="224"/>
      <c r="L366" s="117"/>
      <c r="M366" s="210"/>
      <c r="N366" s="210"/>
      <c r="O366" s="415">
        <f>IFERROR((O349+O353+O356+O361+O362+O363)/O364,"")</f>
        <v>1</v>
      </c>
      <c r="P366" s="415">
        <f>IFERROR((P349+P353+P356+P361+P362+P363)/P364,"")</f>
        <v>1</v>
      </c>
      <c r="Q366" s="415">
        <f t="shared" ref="Q366:X366" si="457">IFERROR((Q349+Q353+Q356+Q361+Q362+Q363)/Q364,"")</f>
        <v>1</v>
      </c>
      <c r="R366" s="415">
        <f t="shared" si="457"/>
        <v>1</v>
      </c>
      <c r="S366" s="415">
        <f t="shared" si="457"/>
        <v>1</v>
      </c>
      <c r="T366" s="415">
        <f t="shared" si="457"/>
        <v>1</v>
      </c>
      <c r="U366" s="415">
        <f t="shared" si="457"/>
        <v>1</v>
      </c>
      <c r="V366" s="415">
        <f t="shared" si="457"/>
        <v>1</v>
      </c>
      <c r="W366" s="415">
        <f t="shared" si="457"/>
        <v>1</v>
      </c>
      <c r="X366" s="415">
        <f t="shared" si="457"/>
        <v>1</v>
      </c>
      <c r="Y366" s="394"/>
      <c r="Z366" s="210"/>
      <c r="AA366" s="210"/>
      <c r="AB366" s="415">
        <f>IFERROR((AB349+AB353+AB356+AB361+AB362+AB363)/AB364,"")</f>
        <v>1</v>
      </c>
      <c r="AC366" s="415">
        <f>IFERROR((AC349+AC353+AC356+AC361+AC362+AC363)/AC364,"")</f>
        <v>1</v>
      </c>
      <c r="AD366" s="224"/>
      <c r="AE366" s="224"/>
      <c r="AF366" s="224"/>
      <c r="AG366" s="224"/>
      <c r="AH366" s="224"/>
      <c r="AI366" s="224"/>
      <c r="AJ366" s="224"/>
      <c r="AK366" s="224"/>
      <c r="AL366" s="224"/>
      <c r="AM366" s="224"/>
      <c r="AN366" s="224"/>
      <c r="AO366" s="224"/>
      <c r="AP366" s="224"/>
      <c r="AQ366" s="224"/>
      <c r="AR366" s="224"/>
      <c r="AS366" s="224"/>
      <c r="AT366" s="224"/>
      <c r="AU366" s="224"/>
      <c r="AV366" s="224"/>
      <c r="AW366" s="224"/>
      <c r="AX366" s="224"/>
      <c r="AY366" s="224"/>
      <c r="AZ366" s="224"/>
      <c r="BA366" s="224"/>
      <c r="BB366" s="224"/>
      <c r="BC366" s="224"/>
      <c r="BD366" s="224"/>
      <c r="BE366" s="224"/>
      <c r="BF366" s="224"/>
    </row>
    <row r="367" spans="1:58" ht="12" hidden="1" customHeight="1" outlineLevel="2" x14ac:dyDescent="0.3">
      <c r="A367" s="224"/>
      <c r="B367" s="224"/>
      <c r="C367" s="224"/>
      <c r="D367" s="224"/>
      <c r="E367" s="224"/>
      <c r="F367" s="224"/>
      <c r="G367" s="224"/>
      <c r="H367" s="224"/>
      <c r="I367" s="224"/>
      <c r="J367" s="224"/>
      <c r="K367" s="224"/>
      <c r="L367" s="117"/>
      <c r="M367" s="210"/>
      <c r="N367" s="210"/>
      <c r="O367" s="210"/>
      <c r="P367" s="210"/>
      <c r="Q367" s="210"/>
      <c r="R367" s="210"/>
      <c r="S367" s="210"/>
      <c r="T367" s="210"/>
      <c r="U367" s="210"/>
      <c r="V367" s="210"/>
      <c r="W367" s="210"/>
      <c r="X367" s="210"/>
      <c r="Y367" s="394"/>
      <c r="Z367" s="210"/>
      <c r="AA367" s="210"/>
      <c r="AB367" s="210"/>
      <c r="AC367" s="210"/>
      <c r="AD367" s="224"/>
      <c r="AE367" s="224"/>
      <c r="AF367" s="224"/>
      <c r="AG367" s="224"/>
      <c r="AH367" s="224"/>
      <c r="AI367" s="224"/>
      <c r="AJ367" s="224"/>
      <c r="AK367" s="224"/>
      <c r="AL367" s="224"/>
      <c r="AM367" s="224"/>
      <c r="AN367" s="224"/>
      <c r="AO367" s="224"/>
      <c r="AP367" s="224"/>
      <c r="AQ367" s="224"/>
      <c r="AR367" s="224"/>
      <c r="AS367" s="224"/>
      <c r="AT367" s="224"/>
      <c r="AU367" s="224"/>
      <c r="AV367" s="224"/>
      <c r="AW367" s="224"/>
      <c r="AX367" s="224"/>
      <c r="AY367" s="224"/>
      <c r="AZ367" s="224"/>
      <c r="BA367" s="224"/>
      <c r="BB367" s="224"/>
      <c r="BC367" s="224"/>
      <c r="BD367" s="224"/>
      <c r="BE367" s="224"/>
      <c r="BF367" s="224"/>
    </row>
    <row r="368" spans="1:58" ht="12" hidden="1" customHeight="1" outlineLevel="2" x14ac:dyDescent="0.3">
      <c r="A368" s="224"/>
      <c r="B368" s="224"/>
      <c r="C368" s="224"/>
      <c r="D368" s="224"/>
      <c r="E368" s="224"/>
      <c r="F368" s="224"/>
      <c r="G368" s="224"/>
      <c r="H368" s="224"/>
      <c r="I368" s="224"/>
      <c r="J368" s="224"/>
      <c r="K368" s="224"/>
      <c r="L368" s="117"/>
      <c r="M368" s="211" t="s">
        <v>1009</v>
      </c>
      <c r="N368" s="210"/>
      <c r="O368" s="210"/>
      <c r="P368" s="210"/>
      <c r="Q368" s="210"/>
      <c r="R368" s="210"/>
      <c r="S368" s="210"/>
      <c r="T368" s="210"/>
      <c r="U368" s="210"/>
      <c r="V368" s="210"/>
      <c r="W368" s="210"/>
      <c r="X368" s="210"/>
      <c r="Y368" s="394"/>
      <c r="Z368" s="210"/>
      <c r="AA368" s="210"/>
      <c r="AB368" s="210"/>
      <c r="AC368" s="210"/>
      <c r="AD368" s="224"/>
      <c r="AE368" s="224"/>
      <c r="AF368" s="224"/>
      <c r="AG368" s="224"/>
      <c r="AH368" s="224"/>
      <c r="AI368" s="224"/>
      <c r="AJ368" s="224"/>
      <c r="AK368" s="224"/>
      <c r="AL368" s="224"/>
      <c r="AM368" s="224"/>
      <c r="AN368" s="224"/>
      <c r="AO368" s="224"/>
      <c r="AP368" s="224"/>
      <c r="AQ368" s="224"/>
      <c r="AR368" s="224"/>
      <c r="AS368" s="224"/>
      <c r="AT368" s="224"/>
      <c r="AU368" s="224"/>
      <c r="AV368" s="224"/>
      <c r="AW368" s="224"/>
      <c r="AX368" s="224"/>
      <c r="AY368" s="224"/>
      <c r="AZ368" s="224"/>
      <c r="BA368" s="224"/>
      <c r="BB368" s="224"/>
      <c r="BC368" s="224"/>
      <c r="BD368" s="224"/>
      <c r="BE368" s="224"/>
      <c r="BF368" s="224"/>
    </row>
    <row r="369" spans="1:58" ht="12" hidden="1" customHeight="1" outlineLevel="2" x14ac:dyDescent="0.3">
      <c r="A369" s="224"/>
      <c r="B369" s="224"/>
      <c r="C369" s="224"/>
      <c r="D369" s="224"/>
      <c r="E369" s="224"/>
      <c r="F369" s="224"/>
      <c r="G369" s="224"/>
      <c r="H369" s="224"/>
      <c r="I369" s="224"/>
      <c r="J369" s="224"/>
      <c r="K369" s="224"/>
      <c r="L369" s="117"/>
      <c r="M369" s="210" t="s">
        <v>1010</v>
      </c>
      <c r="N369" s="244" t="s">
        <v>77</v>
      </c>
      <c r="O369" s="409">
        <f>SUM(O370:O372)</f>
        <v>11.749999999999998</v>
      </c>
      <c r="P369" s="409">
        <f t="shared" ref="P369" si="458">SUM(P370:P372)</f>
        <v>0</v>
      </c>
      <c r="Q369" s="409">
        <f t="shared" ref="Q369" si="459">SUM(Q370:Q372)</f>
        <v>0</v>
      </c>
      <c r="R369" s="409">
        <f t="shared" ref="R369" si="460">SUM(R370:R372)</f>
        <v>0</v>
      </c>
      <c r="S369" s="409">
        <f t="shared" ref="S369" si="461">SUM(S370:S372)</f>
        <v>0</v>
      </c>
      <c r="T369" s="409">
        <f t="shared" ref="T369" si="462">SUM(T370:T372)</f>
        <v>0</v>
      </c>
      <c r="U369" s="409">
        <f t="shared" ref="U369" si="463">SUM(U370:U372)</f>
        <v>0</v>
      </c>
      <c r="V369" s="409">
        <f t="shared" ref="V369" si="464">SUM(V370:V372)</f>
        <v>0</v>
      </c>
      <c r="W369" s="409">
        <f t="shared" ref="W369" si="465">SUM(W370:W372)</f>
        <v>0</v>
      </c>
      <c r="X369" s="409">
        <f t="shared" ref="X369" si="466">SUM(X370:X372)</f>
        <v>3.6111111111111107</v>
      </c>
      <c r="Y369" s="394"/>
      <c r="Z369" s="219"/>
      <c r="AA369" s="219"/>
      <c r="AB369" s="409">
        <f t="shared" ref="AB369" si="467">SUM(AB370:AB372)</f>
        <v>2.7777777777777777</v>
      </c>
      <c r="AC369" s="410">
        <f t="shared" ref="AC369" si="468">SUM(AC370:AC372)</f>
        <v>2.5</v>
      </c>
      <c r="AD369" s="411">
        <f>AB369*AD$257/$AB$257</f>
        <v>2.8055555555555549</v>
      </c>
      <c r="AE369" s="411">
        <f>AD369*AE$257/AD$257</f>
        <v>2.8392222222222214</v>
      </c>
      <c r="AF369" s="411">
        <f t="shared" ref="AF369:BF369" si="469">AE369*AF$257/AE$257</f>
        <v>2.8818105555555547</v>
      </c>
      <c r="AG369" s="411">
        <f t="shared" si="469"/>
        <v>2.9250377138888877</v>
      </c>
      <c r="AH369" s="411">
        <f t="shared" si="469"/>
        <v>2.9689132795972206</v>
      </c>
      <c r="AI369" s="411">
        <f t="shared" si="469"/>
        <v>3.0134469787911784</v>
      </c>
      <c r="AJ369" s="411">
        <f t="shared" si="469"/>
        <v>3.0586486834730455</v>
      </c>
      <c r="AK369" s="411">
        <f t="shared" si="469"/>
        <v>3.1045284137251405</v>
      </c>
      <c r="AL369" s="411">
        <f t="shared" si="469"/>
        <v>3.1510963399310175</v>
      </c>
      <c r="AM369" s="411">
        <f t="shared" si="469"/>
        <v>3.1983627850299823</v>
      </c>
      <c r="AN369" s="411">
        <f t="shared" si="469"/>
        <v>3.2463382268054319</v>
      </c>
      <c r="AO369" s="411">
        <f t="shared" si="469"/>
        <v>3.2950333002075132</v>
      </c>
      <c r="AP369" s="411">
        <f t="shared" si="469"/>
        <v>3.3444587997106252</v>
      </c>
      <c r="AQ369" s="411">
        <f t="shared" si="469"/>
        <v>3.3946256817062843</v>
      </c>
      <c r="AR369" s="411">
        <f t="shared" si="469"/>
        <v>3.4455450669318783</v>
      </c>
      <c r="AS369" s="411">
        <f t="shared" si="469"/>
        <v>3.4972282429358561</v>
      </c>
      <c r="AT369" s="411">
        <f t="shared" si="469"/>
        <v>3.5496866665798938</v>
      </c>
      <c r="AU369" s="411">
        <f t="shared" si="469"/>
        <v>3.6029319665785922</v>
      </c>
      <c r="AV369" s="411">
        <f t="shared" si="469"/>
        <v>3.6569759460772704</v>
      </c>
      <c r="AW369" s="411">
        <f t="shared" si="469"/>
        <v>3.7118305852684288</v>
      </c>
      <c r="AX369" s="411">
        <f t="shared" si="469"/>
        <v>3.7675080440474549</v>
      </c>
      <c r="AY369" s="411">
        <f t="shared" si="469"/>
        <v>3.8240206647081654</v>
      </c>
      <c r="AZ369" s="411">
        <f t="shared" si="469"/>
        <v>3.8813809746787871</v>
      </c>
      <c r="BA369" s="411">
        <f t="shared" si="469"/>
        <v>3.9396016892989683</v>
      </c>
      <c r="BB369" s="411">
        <f t="shared" si="469"/>
        <v>3.9908165112598541</v>
      </c>
      <c r="BC369" s="411">
        <f t="shared" si="469"/>
        <v>4.0387063093949722</v>
      </c>
      <c r="BD369" s="411">
        <f t="shared" si="469"/>
        <v>4.0831320787983163</v>
      </c>
      <c r="BE369" s="411">
        <f t="shared" si="469"/>
        <v>4.1239633995862999</v>
      </c>
      <c r="BF369" s="411">
        <f t="shared" si="469"/>
        <v>4.1652030335821628</v>
      </c>
    </row>
    <row r="370" spans="1:58" ht="12" hidden="1" customHeight="1" outlineLevel="2" x14ac:dyDescent="0.3">
      <c r="A370" s="224"/>
      <c r="B370" s="224"/>
      <c r="C370" s="224"/>
      <c r="D370" s="224"/>
      <c r="E370" s="224"/>
      <c r="F370" s="224"/>
      <c r="G370" s="224"/>
      <c r="H370" s="224"/>
      <c r="I370" s="224"/>
      <c r="J370" s="224"/>
      <c r="K370" s="224"/>
      <c r="L370" s="117"/>
      <c r="M370" s="213" t="s">
        <v>964</v>
      </c>
      <c r="N370" s="244" t="s">
        <v>77</v>
      </c>
      <c r="O370" s="150">
        <v>11.749999999999998</v>
      </c>
      <c r="P370" s="150">
        <v>0</v>
      </c>
      <c r="Q370" s="150">
        <v>0</v>
      </c>
      <c r="R370" s="150">
        <v>0</v>
      </c>
      <c r="S370" s="150">
        <v>0</v>
      </c>
      <c r="T370" s="150">
        <v>0</v>
      </c>
      <c r="U370" s="150">
        <v>0</v>
      </c>
      <c r="V370" s="150">
        <v>0</v>
      </c>
      <c r="W370" s="150">
        <v>0</v>
      </c>
      <c r="X370" s="150">
        <v>3.333333333333333</v>
      </c>
      <c r="Y370" s="394"/>
      <c r="Z370" s="246"/>
      <c r="AA370" s="246"/>
      <c r="AB370" s="150">
        <v>2.2222222222222223</v>
      </c>
      <c r="AC370" s="153">
        <v>2.2222222222222223</v>
      </c>
      <c r="AD370" s="412"/>
      <c r="AE370" s="412"/>
      <c r="AF370" s="412"/>
      <c r="AG370" s="412"/>
      <c r="AH370" s="412"/>
      <c r="AI370" s="412"/>
      <c r="AJ370" s="412"/>
      <c r="AK370" s="412"/>
      <c r="AL370" s="412"/>
      <c r="AM370" s="412"/>
      <c r="AN370" s="412"/>
      <c r="AO370" s="412"/>
      <c r="AP370" s="412"/>
      <c r="AQ370" s="412"/>
      <c r="AR370" s="412"/>
      <c r="AS370" s="412"/>
      <c r="AT370" s="412"/>
      <c r="AU370" s="412"/>
      <c r="AV370" s="412"/>
      <c r="AW370" s="412"/>
      <c r="AX370" s="412"/>
      <c r="AY370" s="412"/>
      <c r="AZ370" s="412"/>
      <c r="BA370" s="412"/>
      <c r="BB370" s="412"/>
      <c r="BC370" s="412"/>
      <c r="BD370" s="412"/>
      <c r="BE370" s="412"/>
      <c r="BF370" s="412"/>
    </row>
    <row r="371" spans="1:58" ht="12" hidden="1" customHeight="1" outlineLevel="2" x14ac:dyDescent="0.3">
      <c r="A371" s="224"/>
      <c r="B371" s="224"/>
      <c r="C371" s="224"/>
      <c r="D371" s="224"/>
      <c r="E371" s="224"/>
      <c r="F371" s="224"/>
      <c r="G371" s="224"/>
      <c r="H371" s="224"/>
      <c r="I371" s="224"/>
      <c r="J371" s="224"/>
      <c r="K371" s="224"/>
      <c r="L371" s="117"/>
      <c r="M371" s="213" t="s">
        <v>965</v>
      </c>
      <c r="N371" s="244" t="s">
        <v>77</v>
      </c>
      <c r="O371" s="150">
        <v>0</v>
      </c>
      <c r="P371" s="150">
        <v>0</v>
      </c>
      <c r="Q371" s="150">
        <v>0</v>
      </c>
      <c r="R371" s="150">
        <v>0</v>
      </c>
      <c r="S371" s="150">
        <v>0</v>
      </c>
      <c r="T371" s="150">
        <v>0</v>
      </c>
      <c r="U371" s="150">
        <v>0</v>
      </c>
      <c r="V371" s="150">
        <v>0</v>
      </c>
      <c r="W371" s="150">
        <v>0</v>
      </c>
      <c r="X371" s="150">
        <v>0</v>
      </c>
      <c r="Y371" s="394"/>
      <c r="Z371" s="246"/>
      <c r="AA371" s="246"/>
      <c r="AB371" s="150">
        <v>0</v>
      </c>
      <c r="AC371" s="153">
        <v>0</v>
      </c>
      <c r="AD371" s="412"/>
      <c r="AE371" s="412"/>
      <c r="AF371" s="412"/>
      <c r="AG371" s="412"/>
      <c r="AH371" s="412"/>
      <c r="AI371" s="412"/>
      <c r="AJ371" s="412"/>
      <c r="AK371" s="412"/>
      <c r="AL371" s="412"/>
      <c r="AM371" s="412"/>
      <c r="AN371" s="412"/>
      <c r="AO371" s="412"/>
      <c r="AP371" s="412"/>
      <c r="AQ371" s="412"/>
      <c r="AR371" s="412"/>
      <c r="AS371" s="412"/>
      <c r="AT371" s="412"/>
      <c r="AU371" s="412"/>
      <c r="AV371" s="412"/>
      <c r="AW371" s="412"/>
      <c r="AX371" s="412"/>
      <c r="AY371" s="412"/>
      <c r="AZ371" s="412"/>
      <c r="BA371" s="412"/>
      <c r="BB371" s="412"/>
      <c r="BC371" s="412"/>
      <c r="BD371" s="412"/>
      <c r="BE371" s="412"/>
      <c r="BF371" s="412"/>
    </row>
    <row r="372" spans="1:58" ht="12" hidden="1" customHeight="1" outlineLevel="2" x14ac:dyDescent="0.3">
      <c r="A372" s="224"/>
      <c r="B372" s="224"/>
      <c r="C372" s="224"/>
      <c r="D372" s="224"/>
      <c r="E372" s="224"/>
      <c r="F372" s="224"/>
      <c r="G372" s="224"/>
      <c r="H372" s="224"/>
      <c r="I372" s="224"/>
      <c r="J372" s="224"/>
      <c r="K372" s="224"/>
      <c r="L372" s="117"/>
      <c r="M372" s="213" t="s">
        <v>966</v>
      </c>
      <c r="N372" s="244" t="s">
        <v>77</v>
      </c>
      <c r="O372" s="150">
        <v>0</v>
      </c>
      <c r="P372" s="150">
        <v>0</v>
      </c>
      <c r="Q372" s="150">
        <v>0</v>
      </c>
      <c r="R372" s="150">
        <v>0</v>
      </c>
      <c r="S372" s="150">
        <v>0</v>
      </c>
      <c r="T372" s="150">
        <v>0</v>
      </c>
      <c r="U372" s="150">
        <v>0</v>
      </c>
      <c r="V372" s="150">
        <v>0</v>
      </c>
      <c r="W372" s="150">
        <v>0</v>
      </c>
      <c r="X372" s="150">
        <v>0.27777777777777779</v>
      </c>
      <c r="Y372" s="394"/>
      <c r="Z372" s="246"/>
      <c r="AA372" s="246"/>
      <c r="AB372" s="150">
        <v>0.55555555555555558</v>
      </c>
      <c r="AC372" s="153">
        <v>0.27777777777777779</v>
      </c>
      <c r="AD372" s="412"/>
      <c r="AE372" s="412"/>
      <c r="AF372" s="412"/>
      <c r="AG372" s="412"/>
      <c r="AH372" s="412"/>
      <c r="AI372" s="412"/>
      <c r="AJ372" s="412"/>
      <c r="AK372" s="412"/>
      <c r="AL372" s="412"/>
      <c r="AM372" s="412"/>
      <c r="AN372" s="412"/>
      <c r="AO372" s="412"/>
      <c r="AP372" s="412"/>
      <c r="AQ372" s="412"/>
      <c r="AR372" s="412"/>
      <c r="AS372" s="412"/>
      <c r="AT372" s="412"/>
      <c r="AU372" s="412"/>
      <c r="AV372" s="412"/>
      <c r="AW372" s="412"/>
      <c r="AX372" s="412"/>
      <c r="AY372" s="412"/>
      <c r="AZ372" s="412"/>
      <c r="BA372" s="412"/>
      <c r="BB372" s="412"/>
      <c r="BC372" s="412"/>
      <c r="BD372" s="412"/>
      <c r="BE372" s="412"/>
      <c r="BF372" s="412"/>
    </row>
    <row r="373" spans="1:58" ht="12" hidden="1" customHeight="1" outlineLevel="2" x14ac:dyDescent="0.3">
      <c r="A373" s="224"/>
      <c r="B373" s="224"/>
      <c r="C373" s="224"/>
      <c r="D373" s="224"/>
      <c r="E373" s="224"/>
      <c r="F373" s="224"/>
      <c r="G373" s="224"/>
      <c r="H373" s="224"/>
      <c r="I373" s="224"/>
      <c r="J373" s="224"/>
      <c r="K373" s="224"/>
      <c r="L373" s="117"/>
      <c r="M373" s="210" t="s">
        <v>1011</v>
      </c>
      <c r="N373" s="244" t="s">
        <v>77</v>
      </c>
      <c r="O373" s="409">
        <f>SUM(O374:O375)</f>
        <v>334.66307528507446</v>
      </c>
      <c r="P373" s="409">
        <f t="shared" ref="P373" si="470">SUM(P374:P375)</f>
        <v>330.01018075644936</v>
      </c>
      <c r="Q373" s="409">
        <f t="shared" ref="Q373" si="471">SUM(Q374:Q375)</f>
        <v>306.99160102145174</v>
      </c>
      <c r="R373" s="409">
        <f t="shared" ref="R373" si="472">SUM(R374:R375)</f>
        <v>301.49175149175147</v>
      </c>
      <c r="S373" s="409">
        <f t="shared" ref="S373" si="473">SUM(S374:S375)</f>
        <v>245.49328355298502</v>
      </c>
      <c r="T373" s="409">
        <f t="shared" ref="T373" si="474">SUM(T374:T375)</f>
        <v>238.99346138152106</v>
      </c>
      <c r="U373" s="409">
        <f t="shared" ref="U373" si="475">SUM(U374:U375)</f>
        <v>271.50766479728912</v>
      </c>
      <c r="V373" s="409">
        <f t="shared" ref="V373" si="476">SUM(V374:V375)</f>
        <v>257.68302266866692</v>
      </c>
      <c r="W373" s="409">
        <f t="shared" ref="W373" si="477">SUM(W374:W375)</f>
        <v>309.89295219082845</v>
      </c>
      <c r="X373" s="409">
        <f t="shared" ref="X373" si="478">SUM(X374:X375)</f>
        <v>307.5</v>
      </c>
      <c r="Y373" s="394"/>
      <c r="Z373" s="220"/>
      <c r="AA373" s="220"/>
      <c r="AB373" s="409">
        <f t="shared" ref="AB373" si="479">SUM(AB374:AB375)</f>
        <v>313.33333333333331</v>
      </c>
      <c r="AC373" s="410">
        <f t="shared" ref="AC373" si="480">SUM(AC374:AC375)</f>
        <v>279.72222222222223</v>
      </c>
      <c r="AD373" s="411">
        <f>AB373*AD$257/$AB$257</f>
        <v>316.46666666666664</v>
      </c>
      <c r="AE373" s="411">
        <f>AD373*AE$257/AD$257</f>
        <v>320.26426666666657</v>
      </c>
      <c r="AF373" s="411">
        <f t="shared" ref="AF373:BF373" si="481">AE373*AF$257/AE$257</f>
        <v>325.06823066666652</v>
      </c>
      <c r="AG373" s="411">
        <f t="shared" si="481"/>
        <v>329.94425412666646</v>
      </c>
      <c r="AH373" s="411">
        <f t="shared" si="481"/>
        <v>334.89341793856642</v>
      </c>
      <c r="AI373" s="411">
        <f t="shared" si="481"/>
        <v>339.91681920764483</v>
      </c>
      <c r="AJ373" s="411">
        <f t="shared" si="481"/>
        <v>345.0155714957595</v>
      </c>
      <c r="AK373" s="411">
        <f t="shared" si="481"/>
        <v>350.19080506819586</v>
      </c>
      <c r="AL373" s="411">
        <f t="shared" si="481"/>
        <v>355.44366714421875</v>
      </c>
      <c r="AM373" s="411">
        <f t="shared" si="481"/>
        <v>360.775322151382</v>
      </c>
      <c r="AN373" s="411">
        <f t="shared" si="481"/>
        <v>366.1869519836527</v>
      </c>
      <c r="AO373" s="411">
        <f t="shared" si="481"/>
        <v>371.67975626340746</v>
      </c>
      <c r="AP373" s="411">
        <f t="shared" si="481"/>
        <v>377.25495260735852</v>
      </c>
      <c r="AQ373" s="411">
        <f t="shared" si="481"/>
        <v>382.9137768964689</v>
      </c>
      <c r="AR373" s="411">
        <f t="shared" si="481"/>
        <v>388.65748354991587</v>
      </c>
      <c r="AS373" s="411">
        <f t="shared" si="481"/>
        <v>394.48734580316454</v>
      </c>
      <c r="AT373" s="411">
        <f t="shared" si="481"/>
        <v>400.40465599021195</v>
      </c>
      <c r="AU373" s="411">
        <f t="shared" si="481"/>
        <v>406.41072583006513</v>
      </c>
      <c r="AV373" s="411">
        <f t="shared" si="481"/>
        <v>412.50688671751601</v>
      </c>
      <c r="AW373" s="411">
        <f t="shared" si="481"/>
        <v>418.69449001827871</v>
      </c>
      <c r="AX373" s="411">
        <f t="shared" si="481"/>
        <v>424.97490736855286</v>
      </c>
      <c r="AY373" s="411">
        <f t="shared" si="481"/>
        <v>431.34953097908107</v>
      </c>
      <c r="AZ373" s="411">
        <f t="shared" si="481"/>
        <v>437.81977394376725</v>
      </c>
      <c r="BA373" s="411">
        <f t="shared" si="481"/>
        <v>444.38707055292372</v>
      </c>
      <c r="BB373" s="411">
        <f t="shared" si="481"/>
        <v>450.16410247011169</v>
      </c>
      <c r="BC373" s="411">
        <f t="shared" si="481"/>
        <v>455.56607169975302</v>
      </c>
      <c r="BD373" s="411">
        <f t="shared" si="481"/>
        <v>460.57729848845025</v>
      </c>
      <c r="BE373" s="411">
        <f t="shared" si="481"/>
        <v>465.18307147333479</v>
      </c>
      <c r="BF373" s="411">
        <f t="shared" si="481"/>
        <v>469.8349021880681</v>
      </c>
    </row>
    <row r="374" spans="1:58" ht="12" hidden="1" customHeight="1" outlineLevel="2" x14ac:dyDescent="0.3">
      <c r="A374" s="224"/>
      <c r="B374" s="224"/>
      <c r="C374" s="224"/>
      <c r="D374" s="224"/>
      <c r="E374" s="224"/>
      <c r="F374" s="224"/>
      <c r="G374" s="224"/>
      <c r="H374" s="224"/>
      <c r="I374" s="224"/>
      <c r="J374" s="224"/>
      <c r="K374" s="224"/>
      <c r="L374" s="117"/>
      <c r="M374" s="213" t="s">
        <v>968</v>
      </c>
      <c r="N374" s="244" t="s">
        <v>77</v>
      </c>
      <c r="O374" s="150">
        <v>334.66307528507446</v>
      </c>
      <c r="P374" s="150">
        <v>330.01018075644936</v>
      </c>
      <c r="Q374" s="150">
        <v>306.99160102145174</v>
      </c>
      <c r="R374" s="150">
        <v>301.49175149175147</v>
      </c>
      <c r="S374" s="150">
        <v>245.49328355298502</v>
      </c>
      <c r="T374" s="150">
        <v>238.99346138152106</v>
      </c>
      <c r="U374" s="150">
        <v>271.50766479728912</v>
      </c>
      <c r="V374" s="150">
        <v>257.68302266866692</v>
      </c>
      <c r="W374" s="150">
        <v>309.89295219082845</v>
      </c>
      <c r="X374" s="150">
        <v>307.5</v>
      </c>
      <c r="Y374" s="394"/>
      <c r="Z374" s="246"/>
      <c r="AA374" s="246"/>
      <c r="AB374" s="150">
        <v>313.33333333333331</v>
      </c>
      <c r="AC374" s="153">
        <v>279.72222222222223</v>
      </c>
      <c r="AD374" s="412"/>
      <c r="AE374" s="412"/>
      <c r="AF374" s="412"/>
      <c r="AG374" s="412"/>
      <c r="AH374" s="412"/>
      <c r="AI374" s="412"/>
      <c r="AJ374" s="412"/>
      <c r="AK374" s="412"/>
      <c r="AL374" s="412"/>
      <c r="AM374" s="412"/>
      <c r="AN374" s="412"/>
      <c r="AO374" s="412"/>
      <c r="AP374" s="412"/>
      <c r="AQ374" s="412"/>
      <c r="AR374" s="412"/>
      <c r="AS374" s="412"/>
      <c r="AT374" s="412"/>
      <c r="AU374" s="412"/>
      <c r="AV374" s="412"/>
      <c r="AW374" s="412"/>
      <c r="AX374" s="412"/>
      <c r="AY374" s="412"/>
      <c r="AZ374" s="412"/>
      <c r="BA374" s="412"/>
      <c r="BB374" s="412"/>
      <c r="BC374" s="412"/>
      <c r="BD374" s="412"/>
      <c r="BE374" s="412"/>
      <c r="BF374" s="412"/>
    </row>
    <row r="375" spans="1:58" ht="12" hidden="1" customHeight="1" outlineLevel="2" x14ac:dyDescent="0.3">
      <c r="A375" s="224"/>
      <c r="B375" s="224"/>
      <c r="C375" s="224"/>
      <c r="D375" s="224"/>
      <c r="E375" s="224"/>
      <c r="F375" s="224"/>
      <c r="G375" s="224"/>
      <c r="H375" s="224"/>
      <c r="I375" s="224"/>
      <c r="J375" s="224"/>
      <c r="K375" s="224"/>
      <c r="L375" s="117"/>
      <c r="M375" s="213" t="s">
        <v>969</v>
      </c>
      <c r="N375" s="244" t="s">
        <v>77</v>
      </c>
      <c r="O375" s="150">
        <v>0</v>
      </c>
      <c r="P375" s="150">
        <v>0</v>
      </c>
      <c r="Q375" s="150">
        <v>0</v>
      </c>
      <c r="R375" s="150">
        <v>0</v>
      </c>
      <c r="S375" s="150">
        <v>0</v>
      </c>
      <c r="T375" s="150">
        <v>0</v>
      </c>
      <c r="U375" s="150">
        <v>0</v>
      </c>
      <c r="V375" s="150">
        <v>0</v>
      </c>
      <c r="W375" s="150">
        <v>0</v>
      </c>
      <c r="X375" s="150">
        <v>0</v>
      </c>
      <c r="Y375" s="394"/>
      <c r="Z375" s="246"/>
      <c r="AA375" s="246"/>
      <c r="AB375" s="150">
        <v>0</v>
      </c>
      <c r="AC375" s="153">
        <v>0</v>
      </c>
      <c r="AD375" s="412"/>
      <c r="AE375" s="412"/>
      <c r="AF375" s="412"/>
      <c r="AG375" s="412"/>
      <c r="AH375" s="412"/>
      <c r="AI375" s="412"/>
      <c r="AJ375" s="412"/>
      <c r="AK375" s="412"/>
      <c r="AL375" s="412"/>
      <c r="AM375" s="412"/>
      <c r="AN375" s="412"/>
      <c r="AO375" s="412"/>
      <c r="AP375" s="412"/>
      <c r="AQ375" s="412"/>
      <c r="AR375" s="412"/>
      <c r="AS375" s="412"/>
      <c r="AT375" s="412"/>
      <c r="AU375" s="412"/>
      <c r="AV375" s="412"/>
      <c r="AW375" s="412"/>
      <c r="AX375" s="412"/>
      <c r="AY375" s="412"/>
      <c r="AZ375" s="412"/>
      <c r="BA375" s="412"/>
      <c r="BB375" s="412"/>
      <c r="BC375" s="412"/>
      <c r="BD375" s="412"/>
      <c r="BE375" s="412"/>
      <c r="BF375" s="412"/>
    </row>
    <row r="376" spans="1:58" ht="12" hidden="1" customHeight="1" outlineLevel="2" x14ac:dyDescent="0.3">
      <c r="A376" s="224"/>
      <c r="B376" s="224"/>
      <c r="C376" s="224"/>
      <c r="D376" s="224"/>
      <c r="E376" s="224"/>
      <c r="F376" s="224"/>
      <c r="G376" s="224"/>
      <c r="H376" s="224"/>
      <c r="I376" s="224"/>
      <c r="J376" s="224"/>
      <c r="K376" s="224"/>
      <c r="L376" s="117"/>
      <c r="M376" s="210" t="s">
        <v>1012</v>
      </c>
      <c r="N376" s="244" t="s">
        <v>77</v>
      </c>
      <c r="O376" s="409">
        <f>SUM(O377:O380)</f>
        <v>0</v>
      </c>
      <c r="P376" s="409">
        <f t="shared" ref="P376" si="482">SUM(P377:P380)</f>
        <v>5.6966666666666663</v>
      </c>
      <c r="Q376" s="409">
        <f t="shared" ref="Q376" si="483">SUM(Q377:Q380)</f>
        <v>0</v>
      </c>
      <c r="R376" s="409">
        <f t="shared" ref="R376" si="484">SUM(R377:R380)</f>
        <v>0</v>
      </c>
      <c r="S376" s="409">
        <f t="shared" ref="S376" si="485">SUM(S377:S380)</f>
        <v>0</v>
      </c>
      <c r="T376" s="409">
        <f t="shared" ref="T376" si="486">SUM(T377:T380)</f>
        <v>0</v>
      </c>
      <c r="U376" s="409">
        <f t="shared" ref="U376" si="487">SUM(U377:U380)</f>
        <v>0</v>
      </c>
      <c r="V376" s="409">
        <f t="shared" ref="V376" si="488">SUM(V377:V380)</f>
        <v>0</v>
      </c>
      <c r="W376" s="409">
        <f t="shared" ref="W376" si="489">SUM(W377:W380)</f>
        <v>0</v>
      </c>
      <c r="X376" s="409">
        <f t="shared" ref="X376" si="490">SUM(X377:X380)</f>
        <v>0</v>
      </c>
      <c r="Y376" s="394"/>
      <c r="Z376" s="220"/>
      <c r="AA376" s="220"/>
      <c r="AB376" s="409">
        <f t="shared" ref="AB376" si="491">SUM(AB377:AB380)</f>
        <v>0</v>
      </c>
      <c r="AC376" s="410">
        <f t="shared" ref="AC376" si="492">SUM(AC377:AC380)</f>
        <v>0</v>
      </c>
      <c r="AD376" s="411">
        <f>AB376*AD$257/$AB$257</f>
        <v>0</v>
      </c>
      <c r="AE376" s="411">
        <f>AD376*AE$257/AD$257</f>
        <v>0</v>
      </c>
      <c r="AF376" s="411">
        <f t="shared" ref="AF376:BF376" si="493">AE376*AF$257/AE$257</f>
        <v>0</v>
      </c>
      <c r="AG376" s="411">
        <f t="shared" si="493"/>
        <v>0</v>
      </c>
      <c r="AH376" s="411">
        <f t="shared" si="493"/>
        <v>0</v>
      </c>
      <c r="AI376" s="411">
        <f t="shared" si="493"/>
        <v>0</v>
      </c>
      <c r="AJ376" s="411">
        <f t="shared" si="493"/>
        <v>0</v>
      </c>
      <c r="AK376" s="411">
        <f t="shared" si="493"/>
        <v>0</v>
      </c>
      <c r="AL376" s="411">
        <f t="shared" si="493"/>
        <v>0</v>
      </c>
      <c r="AM376" s="411">
        <f t="shared" si="493"/>
        <v>0</v>
      </c>
      <c r="AN376" s="411">
        <f t="shared" si="493"/>
        <v>0</v>
      </c>
      <c r="AO376" s="411">
        <f t="shared" si="493"/>
        <v>0</v>
      </c>
      <c r="AP376" s="411">
        <f t="shared" si="493"/>
        <v>0</v>
      </c>
      <c r="AQ376" s="411">
        <f t="shared" si="493"/>
        <v>0</v>
      </c>
      <c r="AR376" s="411">
        <f t="shared" si="493"/>
        <v>0</v>
      </c>
      <c r="AS376" s="411">
        <f t="shared" si="493"/>
        <v>0</v>
      </c>
      <c r="AT376" s="411">
        <f t="shared" si="493"/>
        <v>0</v>
      </c>
      <c r="AU376" s="411">
        <f t="shared" si="493"/>
        <v>0</v>
      </c>
      <c r="AV376" s="411">
        <f t="shared" si="493"/>
        <v>0</v>
      </c>
      <c r="AW376" s="411">
        <f t="shared" si="493"/>
        <v>0</v>
      </c>
      <c r="AX376" s="411">
        <f t="shared" si="493"/>
        <v>0</v>
      </c>
      <c r="AY376" s="411">
        <f t="shared" si="493"/>
        <v>0</v>
      </c>
      <c r="AZ376" s="411">
        <f t="shared" si="493"/>
        <v>0</v>
      </c>
      <c r="BA376" s="411">
        <f t="shared" si="493"/>
        <v>0</v>
      </c>
      <c r="BB376" s="411">
        <f t="shared" si="493"/>
        <v>0</v>
      </c>
      <c r="BC376" s="411">
        <f t="shared" si="493"/>
        <v>0</v>
      </c>
      <c r="BD376" s="411">
        <f t="shared" si="493"/>
        <v>0</v>
      </c>
      <c r="BE376" s="411">
        <f t="shared" si="493"/>
        <v>0</v>
      </c>
      <c r="BF376" s="411">
        <f t="shared" si="493"/>
        <v>0</v>
      </c>
    </row>
    <row r="377" spans="1:58" ht="12" hidden="1" customHeight="1" outlineLevel="2" x14ac:dyDescent="0.3">
      <c r="A377" s="224"/>
      <c r="B377" s="224"/>
      <c r="C377" s="224"/>
      <c r="D377" s="224"/>
      <c r="E377" s="224"/>
      <c r="F377" s="224"/>
      <c r="G377" s="224"/>
      <c r="H377" s="224"/>
      <c r="I377" s="224"/>
      <c r="J377" s="224"/>
      <c r="K377" s="224"/>
      <c r="L377" s="117"/>
      <c r="M377" s="213" t="s">
        <v>971</v>
      </c>
      <c r="N377" s="244" t="s">
        <v>77</v>
      </c>
      <c r="O377" s="150">
        <v>0</v>
      </c>
      <c r="P377" s="150">
        <v>0</v>
      </c>
      <c r="Q377" s="150">
        <v>0</v>
      </c>
      <c r="R377" s="150">
        <v>0</v>
      </c>
      <c r="S377" s="150">
        <v>0</v>
      </c>
      <c r="T377" s="150">
        <v>0</v>
      </c>
      <c r="U377" s="150">
        <v>0</v>
      </c>
      <c r="V377" s="150">
        <v>0</v>
      </c>
      <c r="W377" s="150">
        <v>0</v>
      </c>
      <c r="X377" s="150">
        <v>0</v>
      </c>
      <c r="Y377" s="394"/>
      <c r="Z377" s="246"/>
      <c r="AA377" s="246"/>
      <c r="AB377" s="150">
        <v>0</v>
      </c>
      <c r="AC377" s="153">
        <v>0</v>
      </c>
      <c r="AD377" s="412"/>
      <c r="AE377" s="412"/>
      <c r="AF377" s="412"/>
      <c r="AG377" s="412"/>
      <c r="AH377" s="412"/>
      <c r="AI377" s="412"/>
      <c r="AJ377" s="412"/>
      <c r="AK377" s="412"/>
      <c r="AL377" s="412"/>
      <c r="AM377" s="412"/>
      <c r="AN377" s="412"/>
      <c r="AO377" s="412"/>
      <c r="AP377" s="412"/>
      <c r="AQ377" s="412"/>
      <c r="AR377" s="412"/>
      <c r="AS377" s="412"/>
      <c r="AT377" s="412"/>
      <c r="AU377" s="412"/>
      <c r="AV377" s="412"/>
      <c r="AW377" s="412"/>
      <c r="AX377" s="412"/>
      <c r="AY377" s="412"/>
      <c r="AZ377" s="412"/>
      <c r="BA377" s="412"/>
      <c r="BB377" s="412"/>
      <c r="BC377" s="412"/>
      <c r="BD377" s="412"/>
      <c r="BE377" s="412"/>
      <c r="BF377" s="412"/>
    </row>
    <row r="378" spans="1:58" ht="12" hidden="1" customHeight="1" outlineLevel="2" x14ac:dyDescent="0.3">
      <c r="A378" s="224"/>
      <c r="B378" s="224"/>
      <c r="C378" s="224"/>
      <c r="D378" s="224"/>
      <c r="E378" s="224"/>
      <c r="F378" s="224"/>
      <c r="G378" s="224"/>
      <c r="H378" s="224"/>
      <c r="I378" s="224"/>
      <c r="J378" s="224"/>
      <c r="K378" s="224"/>
      <c r="L378" s="117"/>
      <c r="M378" s="213" t="s">
        <v>985</v>
      </c>
      <c r="N378" s="244" t="s">
        <v>77</v>
      </c>
      <c r="O378" s="150">
        <v>0</v>
      </c>
      <c r="P378" s="150">
        <v>0</v>
      </c>
      <c r="Q378" s="150">
        <v>0</v>
      </c>
      <c r="R378" s="150">
        <v>0</v>
      </c>
      <c r="S378" s="150">
        <v>0</v>
      </c>
      <c r="T378" s="150">
        <v>0</v>
      </c>
      <c r="U378" s="150">
        <v>0</v>
      </c>
      <c r="V378" s="150">
        <v>0</v>
      </c>
      <c r="W378" s="150">
        <v>0</v>
      </c>
      <c r="X378" s="150">
        <v>0</v>
      </c>
      <c r="Y378" s="394"/>
      <c r="Z378" s="246"/>
      <c r="AA378" s="246"/>
      <c r="AB378" s="150">
        <v>0</v>
      </c>
      <c r="AC378" s="153">
        <v>0</v>
      </c>
      <c r="AD378" s="412"/>
      <c r="AE378" s="412"/>
      <c r="AF378" s="412"/>
      <c r="AG378" s="412"/>
      <c r="AH378" s="412"/>
      <c r="AI378" s="412"/>
      <c r="AJ378" s="412"/>
      <c r="AK378" s="412"/>
      <c r="AL378" s="412"/>
      <c r="AM378" s="412"/>
      <c r="AN378" s="412"/>
      <c r="AO378" s="412"/>
      <c r="AP378" s="412"/>
      <c r="AQ378" s="412"/>
      <c r="AR378" s="412"/>
      <c r="AS378" s="412"/>
      <c r="AT378" s="412"/>
      <c r="AU378" s="412"/>
      <c r="AV378" s="412"/>
      <c r="AW378" s="412"/>
      <c r="AX378" s="412"/>
      <c r="AY378" s="412"/>
      <c r="AZ378" s="412"/>
      <c r="BA378" s="412"/>
      <c r="BB378" s="412"/>
      <c r="BC378" s="412"/>
      <c r="BD378" s="412"/>
      <c r="BE378" s="412"/>
      <c r="BF378" s="412"/>
    </row>
    <row r="379" spans="1:58" ht="12" hidden="1" customHeight="1" outlineLevel="2" x14ac:dyDescent="0.3">
      <c r="A379" s="224"/>
      <c r="B379" s="224"/>
      <c r="C379" s="224"/>
      <c r="D379" s="224"/>
      <c r="E379" s="224"/>
      <c r="F379" s="224"/>
      <c r="G379" s="224"/>
      <c r="H379" s="224"/>
      <c r="I379" s="224"/>
      <c r="J379" s="224"/>
      <c r="K379" s="224"/>
      <c r="L379" s="117"/>
      <c r="M379" s="213" t="s">
        <v>973</v>
      </c>
      <c r="N379" s="244" t="s">
        <v>77</v>
      </c>
      <c r="O379" s="150">
        <v>0</v>
      </c>
      <c r="P379" s="150">
        <v>0</v>
      </c>
      <c r="Q379" s="150">
        <v>0</v>
      </c>
      <c r="R379" s="150">
        <v>0</v>
      </c>
      <c r="S379" s="150">
        <v>0</v>
      </c>
      <c r="T379" s="150">
        <v>0</v>
      </c>
      <c r="U379" s="150">
        <v>0</v>
      </c>
      <c r="V379" s="150">
        <v>0</v>
      </c>
      <c r="W379" s="150">
        <v>0</v>
      </c>
      <c r="X379" s="150">
        <v>0</v>
      </c>
      <c r="Y379" s="394"/>
      <c r="Z379" s="246"/>
      <c r="AA379" s="246"/>
      <c r="AB379" s="150">
        <v>0</v>
      </c>
      <c r="AC379" s="153">
        <v>0</v>
      </c>
      <c r="AD379" s="412"/>
      <c r="AE379" s="412"/>
      <c r="AF379" s="412"/>
      <c r="AG379" s="412"/>
      <c r="AH379" s="412"/>
      <c r="AI379" s="412"/>
      <c r="AJ379" s="412"/>
      <c r="AK379" s="412"/>
      <c r="AL379" s="412"/>
      <c r="AM379" s="412"/>
      <c r="AN379" s="412"/>
      <c r="AO379" s="412"/>
      <c r="AP379" s="412"/>
      <c r="AQ379" s="412"/>
      <c r="AR379" s="412"/>
      <c r="AS379" s="412"/>
      <c r="AT379" s="412"/>
      <c r="AU379" s="412"/>
      <c r="AV379" s="412"/>
      <c r="AW379" s="412"/>
      <c r="AX379" s="412"/>
      <c r="AY379" s="412"/>
      <c r="AZ379" s="412"/>
      <c r="BA379" s="412"/>
      <c r="BB379" s="412"/>
      <c r="BC379" s="412"/>
      <c r="BD379" s="412"/>
      <c r="BE379" s="412"/>
      <c r="BF379" s="412"/>
    </row>
    <row r="380" spans="1:58" ht="12" hidden="1" customHeight="1" outlineLevel="2" x14ac:dyDescent="0.3">
      <c r="A380" s="224"/>
      <c r="B380" s="224"/>
      <c r="C380" s="224"/>
      <c r="D380" s="224"/>
      <c r="E380" s="224"/>
      <c r="F380" s="224"/>
      <c r="G380" s="224"/>
      <c r="H380" s="224"/>
      <c r="I380" s="224"/>
      <c r="J380" s="224"/>
      <c r="K380" s="224"/>
      <c r="L380" s="117"/>
      <c r="M380" s="213" t="s">
        <v>974</v>
      </c>
      <c r="N380" s="244" t="s">
        <v>77</v>
      </c>
      <c r="O380" s="150">
        <v>0</v>
      </c>
      <c r="P380" s="150">
        <v>5.6966666666666663</v>
      </c>
      <c r="Q380" s="150">
        <v>0</v>
      </c>
      <c r="R380" s="150">
        <v>0</v>
      </c>
      <c r="S380" s="150">
        <v>0</v>
      </c>
      <c r="T380" s="150">
        <v>0</v>
      </c>
      <c r="U380" s="150">
        <v>0</v>
      </c>
      <c r="V380" s="150">
        <v>0</v>
      </c>
      <c r="W380" s="150">
        <v>0</v>
      </c>
      <c r="X380" s="150">
        <v>0</v>
      </c>
      <c r="Y380" s="394"/>
      <c r="Z380" s="246"/>
      <c r="AA380" s="246"/>
      <c r="AB380" s="150">
        <v>0</v>
      </c>
      <c r="AC380" s="153">
        <v>0</v>
      </c>
      <c r="AD380" s="412"/>
      <c r="AE380" s="412"/>
      <c r="AF380" s="412"/>
      <c r="AG380" s="412"/>
      <c r="AH380" s="412"/>
      <c r="AI380" s="412"/>
      <c r="AJ380" s="412"/>
      <c r="AK380" s="412"/>
      <c r="AL380" s="412"/>
      <c r="AM380" s="412"/>
      <c r="AN380" s="412"/>
      <c r="AO380" s="412"/>
      <c r="AP380" s="412"/>
      <c r="AQ380" s="412"/>
      <c r="AR380" s="412"/>
      <c r="AS380" s="412"/>
      <c r="AT380" s="412"/>
      <c r="AU380" s="412"/>
      <c r="AV380" s="412"/>
      <c r="AW380" s="412"/>
      <c r="AX380" s="412"/>
      <c r="AY380" s="412"/>
      <c r="AZ380" s="412"/>
      <c r="BA380" s="412"/>
      <c r="BB380" s="412"/>
      <c r="BC380" s="412"/>
      <c r="BD380" s="412"/>
      <c r="BE380" s="412"/>
      <c r="BF380" s="412"/>
    </row>
    <row r="381" spans="1:58" ht="12" hidden="1" customHeight="1" outlineLevel="2" x14ac:dyDescent="0.3">
      <c r="A381" s="224"/>
      <c r="B381" s="224"/>
      <c r="C381" s="224"/>
      <c r="D381" s="224"/>
      <c r="E381" s="224"/>
      <c r="F381" s="224"/>
      <c r="G381" s="224"/>
      <c r="H381" s="224"/>
      <c r="I381" s="224"/>
      <c r="J381" s="224"/>
      <c r="K381" s="224"/>
      <c r="L381" s="117"/>
      <c r="M381" s="210" t="s">
        <v>1013</v>
      </c>
      <c r="N381" s="244" t="s">
        <v>77</v>
      </c>
      <c r="O381" s="150">
        <v>7.2222222222222223</v>
      </c>
      <c r="P381" s="150">
        <v>5.5555555555555554</v>
      </c>
      <c r="Q381" s="150">
        <v>8.3333333333333339</v>
      </c>
      <c r="R381" s="150">
        <v>5.5555555555555554</v>
      </c>
      <c r="S381" s="150">
        <v>6.9444444444444446</v>
      </c>
      <c r="T381" s="150">
        <v>7.4999999999999991</v>
      </c>
      <c r="U381" s="150">
        <v>10.555555555555555</v>
      </c>
      <c r="V381" s="150">
        <v>9.7222222222222214</v>
      </c>
      <c r="W381" s="150">
        <v>8.0555555555555536</v>
      </c>
      <c r="X381" s="150">
        <v>8.8888888888888893</v>
      </c>
      <c r="Y381" s="394"/>
      <c r="Z381" s="246"/>
      <c r="AA381" s="246"/>
      <c r="AB381" s="150">
        <v>6.9444444444444446</v>
      </c>
      <c r="AC381" s="153">
        <v>6.1111111111111107</v>
      </c>
      <c r="AD381" s="411">
        <f>AB381*AD$257/$AB$257</f>
        <v>7.0138888888888893</v>
      </c>
      <c r="AE381" s="411">
        <f>AD381*AE$257/AD$257</f>
        <v>7.0980555555555558</v>
      </c>
      <c r="AF381" s="411">
        <f t="shared" ref="AF381:BF381" si="494">AE381*AF$257/AE$257</f>
        <v>7.2045263888888895</v>
      </c>
      <c r="AG381" s="411">
        <f t="shared" si="494"/>
        <v>7.3125942847222216</v>
      </c>
      <c r="AH381" s="411">
        <f t="shared" si="494"/>
        <v>7.4222831989930542</v>
      </c>
      <c r="AI381" s="411">
        <f t="shared" si="494"/>
        <v>7.5336174469779484</v>
      </c>
      <c r="AJ381" s="411">
        <f t="shared" si="494"/>
        <v>7.6466217086826171</v>
      </c>
      <c r="AK381" s="411">
        <f t="shared" si="494"/>
        <v>7.7613210343128554</v>
      </c>
      <c r="AL381" s="411">
        <f t="shared" si="494"/>
        <v>7.8777408498275472</v>
      </c>
      <c r="AM381" s="411">
        <f t="shared" si="494"/>
        <v>7.995906962574959</v>
      </c>
      <c r="AN381" s="411">
        <f t="shared" si="494"/>
        <v>8.115845567013583</v>
      </c>
      <c r="AO381" s="411">
        <f t="shared" si="494"/>
        <v>8.2375832505187851</v>
      </c>
      <c r="AP381" s="411">
        <f t="shared" si="494"/>
        <v>8.3611469992765652</v>
      </c>
      <c r="AQ381" s="411">
        <f t="shared" si="494"/>
        <v>8.4865642042657115</v>
      </c>
      <c r="AR381" s="411">
        <f t="shared" si="494"/>
        <v>8.6138626673296965</v>
      </c>
      <c r="AS381" s="411">
        <f t="shared" si="494"/>
        <v>8.7430706073396411</v>
      </c>
      <c r="AT381" s="411">
        <f t="shared" si="494"/>
        <v>8.8742166664497351</v>
      </c>
      <c r="AU381" s="411">
        <f t="shared" si="494"/>
        <v>9.00732991644648</v>
      </c>
      <c r="AV381" s="411">
        <f t="shared" si="494"/>
        <v>9.1424398651931753</v>
      </c>
      <c r="AW381" s="411">
        <f t="shared" si="494"/>
        <v>9.2795764631710735</v>
      </c>
      <c r="AX381" s="411">
        <f t="shared" si="494"/>
        <v>9.4187701101186398</v>
      </c>
      <c r="AY381" s="411">
        <f t="shared" si="494"/>
        <v>9.5600516617704177</v>
      </c>
      <c r="AZ381" s="411">
        <f t="shared" si="494"/>
        <v>9.7034524366969741</v>
      </c>
      <c r="BA381" s="411">
        <f t="shared" si="494"/>
        <v>9.8490042232474284</v>
      </c>
      <c r="BB381" s="411">
        <f t="shared" si="494"/>
        <v>9.9770412781496436</v>
      </c>
      <c r="BC381" s="411">
        <f t="shared" si="494"/>
        <v>10.096765773487439</v>
      </c>
      <c r="BD381" s="411">
        <f t="shared" si="494"/>
        <v>10.207830196995801</v>
      </c>
      <c r="BE381" s="411">
        <f t="shared" si="494"/>
        <v>10.309908498965759</v>
      </c>
      <c r="BF381" s="411">
        <f t="shared" si="494"/>
        <v>10.413007583955418</v>
      </c>
    </row>
    <row r="382" spans="1:58" ht="12" hidden="1" customHeight="1" outlineLevel="2" x14ac:dyDescent="0.3">
      <c r="A382" s="224"/>
      <c r="B382" s="224"/>
      <c r="C382" s="224"/>
      <c r="D382" s="224"/>
      <c r="E382" s="224"/>
      <c r="F382" s="224"/>
      <c r="G382" s="224"/>
      <c r="H382" s="224"/>
      <c r="I382" s="224"/>
      <c r="J382" s="224"/>
      <c r="K382" s="224"/>
      <c r="L382" s="117"/>
      <c r="M382" s="210" t="s">
        <v>1014</v>
      </c>
      <c r="N382" s="244" t="s">
        <v>77</v>
      </c>
      <c r="O382" s="150">
        <v>351.00000000000006</v>
      </c>
      <c r="P382" s="150">
        <v>337</v>
      </c>
      <c r="Q382" s="150">
        <v>364</v>
      </c>
      <c r="R382" s="150">
        <v>355</v>
      </c>
      <c r="S382" s="150">
        <v>367</v>
      </c>
      <c r="T382" s="150">
        <v>369</v>
      </c>
      <c r="U382" s="150">
        <v>403</v>
      </c>
      <c r="V382" s="150">
        <v>491</v>
      </c>
      <c r="W382" s="150">
        <v>482</v>
      </c>
      <c r="X382" s="150">
        <v>354.44444444444446</v>
      </c>
      <c r="Y382" s="394"/>
      <c r="Z382" s="246"/>
      <c r="AA382" s="246"/>
      <c r="AB382" s="150">
        <v>360</v>
      </c>
      <c r="AC382" s="153">
        <v>382.49999999999994</v>
      </c>
      <c r="AD382" s="411">
        <f>AB382*AD$257/$AB$257</f>
        <v>363.6</v>
      </c>
      <c r="AE382" s="411">
        <f>AD382*AE$257/AD$257</f>
        <v>367.96319999999997</v>
      </c>
      <c r="AF382" s="411">
        <f t="shared" ref="AF382:BF382" si="495">AE382*AF$257/AE$257</f>
        <v>373.48264799999998</v>
      </c>
      <c r="AG382" s="411">
        <f t="shared" si="495"/>
        <v>379.08488771999998</v>
      </c>
      <c r="AH382" s="411">
        <f t="shared" si="495"/>
        <v>384.77116103579993</v>
      </c>
      <c r="AI382" s="411">
        <f t="shared" si="495"/>
        <v>390.54272845133693</v>
      </c>
      <c r="AJ382" s="411">
        <f t="shared" si="495"/>
        <v>396.40086937810696</v>
      </c>
      <c r="AK382" s="411">
        <f t="shared" si="495"/>
        <v>402.34688241877848</v>
      </c>
      <c r="AL382" s="411">
        <f t="shared" si="495"/>
        <v>408.38208565506017</v>
      </c>
      <c r="AM382" s="411">
        <f t="shared" si="495"/>
        <v>414.50781693988603</v>
      </c>
      <c r="AN382" s="411">
        <f t="shared" si="495"/>
        <v>420.72543419398431</v>
      </c>
      <c r="AO382" s="411">
        <f t="shared" si="495"/>
        <v>427.03631570689402</v>
      </c>
      <c r="AP382" s="411">
        <f t="shared" si="495"/>
        <v>433.44186044249739</v>
      </c>
      <c r="AQ382" s="411">
        <f t="shared" si="495"/>
        <v>439.94348834913484</v>
      </c>
      <c r="AR382" s="411">
        <f t="shared" si="495"/>
        <v>446.54264067437185</v>
      </c>
      <c r="AS382" s="411">
        <f t="shared" si="495"/>
        <v>453.24078028448736</v>
      </c>
      <c r="AT382" s="411">
        <f t="shared" si="495"/>
        <v>460.03939198875463</v>
      </c>
      <c r="AU382" s="411">
        <f t="shared" si="495"/>
        <v>466.9399828685859</v>
      </c>
      <c r="AV382" s="411">
        <f t="shared" si="495"/>
        <v>473.94408261161459</v>
      </c>
      <c r="AW382" s="411">
        <f t="shared" si="495"/>
        <v>481.05324385078876</v>
      </c>
      <c r="AX382" s="411">
        <f t="shared" si="495"/>
        <v>488.26904250855057</v>
      </c>
      <c r="AY382" s="411">
        <f t="shared" si="495"/>
        <v>495.59307814617875</v>
      </c>
      <c r="AZ382" s="411">
        <f t="shared" si="495"/>
        <v>503.02697431837134</v>
      </c>
      <c r="BA382" s="411">
        <f t="shared" si="495"/>
        <v>510.57237893314687</v>
      </c>
      <c r="BB382" s="411">
        <f t="shared" si="495"/>
        <v>517.20981985927767</v>
      </c>
      <c r="BC382" s="411">
        <f t="shared" si="495"/>
        <v>523.41633769758892</v>
      </c>
      <c r="BD382" s="411">
        <f t="shared" si="495"/>
        <v>529.17391741226231</v>
      </c>
      <c r="BE382" s="411">
        <f t="shared" si="495"/>
        <v>534.46565658638497</v>
      </c>
      <c r="BF382" s="411">
        <f t="shared" si="495"/>
        <v>539.81031315224891</v>
      </c>
    </row>
    <row r="383" spans="1:58" ht="12" hidden="1" customHeight="1" outlineLevel="2" x14ac:dyDescent="0.3">
      <c r="A383" s="224"/>
      <c r="B383" s="224"/>
      <c r="C383" s="224"/>
      <c r="D383" s="224"/>
      <c r="E383" s="224"/>
      <c r="F383" s="224"/>
      <c r="G383" s="224"/>
      <c r="H383" s="224"/>
      <c r="I383" s="224"/>
      <c r="J383" s="224"/>
      <c r="K383" s="224"/>
      <c r="L383" s="117"/>
      <c r="M383" s="210" t="s">
        <v>1015</v>
      </c>
      <c r="N383" s="244" t="s">
        <v>77</v>
      </c>
      <c r="O383" s="150">
        <v>78.611111111111114</v>
      </c>
      <c r="P383" s="150">
        <v>66.388888888888886</v>
      </c>
      <c r="Q383" s="150">
        <v>58.611111111111107</v>
      </c>
      <c r="R383" s="150">
        <v>47.499999999999993</v>
      </c>
      <c r="S383" s="150">
        <v>70.555555555555557</v>
      </c>
      <c r="T383" s="150">
        <v>78.333333333333329</v>
      </c>
      <c r="U383" s="150">
        <v>32.222222222222214</v>
      </c>
      <c r="V383" s="150">
        <v>83.333333333333329</v>
      </c>
      <c r="W383" s="150">
        <v>95.555555555555571</v>
      </c>
      <c r="X383" s="150">
        <v>47.222222222222221</v>
      </c>
      <c r="Y383" s="394"/>
      <c r="Z383" s="246"/>
      <c r="AA383" s="246"/>
      <c r="AB383" s="150">
        <v>49.722222222222221</v>
      </c>
      <c r="AC383" s="153">
        <v>8.8888888888888893</v>
      </c>
      <c r="AD383" s="411">
        <f>AB383*AD$257/$AB$257</f>
        <v>50.219444444444449</v>
      </c>
      <c r="AE383" s="411">
        <f>AD383*AE$257/AD$257</f>
        <v>50.822077777777785</v>
      </c>
      <c r="AF383" s="411">
        <f t="shared" ref="AF383:BF383" si="496">AE383*AF$257/AE$257</f>
        <v>51.584408944444448</v>
      </c>
      <c r="AG383" s="411">
        <f t="shared" si="496"/>
        <v>52.358175078611112</v>
      </c>
      <c r="AH383" s="411">
        <f t="shared" si="496"/>
        <v>53.143547704790272</v>
      </c>
      <c r="AI383" s="411">
        <f t="shared" si="496"/>
        <v>53.940700920362112</v>
      </c>
      <c r="AJ383" s="411">
        <f t="shared" si="496"/>
        <v>54.749811434167533</v>
      </c>
      <c r="AK383" s="411">
        <f t="shared" si="496"/>
        <v>55.571058605680037</v>
      </c>
      <c r="AL383" s="411">
        <f t="shared" si="496"/>
        <v>56.404624484765229</v>
      </c>
      <c r="AM383" s="411">
        <f t="shared" si="496"/>
        <v>57.250693852036697</v>
      </c>
      <c r="AN383" s="411">
        <f t="shared" si="496"/>
        <v>58.109454259817248</v>
      </c>
      <c r="AO383" s="411">
        <f t="shared" si="496"/>
        <v>58.981096073714497</v>
      </c>
      <c r="AP383" s="411">
        <f t="shared" si="496"/>
        <v>59.865812514820206</v>
      </c>
      <c r="AQ383" s="411">
        <f t="shared" si="496"/>
        <v>60.763799702542507</v>
      </c>
      <c r="AR383" s="411">
        <f t="shared" si="496"/>
        <v>61.675256698080638</v>
      </c>
      <c r="AS383" s="411">
        <f t="shared" si="496"/>
        <v>62.600385548551841</v>
      </c>
      <c r="AT383" s="411">
        <f t="shared" si="496"/>
        <v>63.539391331780116</v>
      </c>
      <c r="AU383" s="411">
        <f t="shared" si="496"/>
        <v>64.492482201756815</v>
      </c>
      <c r="AV383" s="411">
        <f t="shared" si="496"/>
        <v>65.459869434783144</v>
      </c>
      <c r="AW383" s="411">
        <f t="shared" si="496"/>
        <v>66.441767476304875</v>
      </c>
      <c r="AX383" s="411">
        <f t="shared" si="496"/>
        <v>67.438393988449448</v>
      </c>
      <c r="AY383" s="411">
        <f t="shared" si="496"/>
        <v>68.449969898276166</v>
      </c>
      <c r="AZ383" s="411">
        <f t="shared" si="496"/>
        <v>69.476719446750309</v>
      </c>
      <c r="BA383" s="411">
        <f t="shared" si="496"/>
        <v>70.518870238451555</v>
      </c>
      <c r="BB383" s="411">
        <f t="shared" si="496"/>
        <v>71.435615551551408</v>
      </c>
      <c r="BC383" s="411">
        <f t="shared" si="496"/>
        <v>72.292842938170025</v>
      </c>
      <c r="BD383" s="411">
        <f t="shared" si="496"/>
        <v>73.08806421048989</v>
      </c>
      <c r="BE383" s="411">
        <f t="shared" si="496"/>
        <v>73.818944852594797</v>
      </c>
      <c r="BF383" s="411">
        <f t="shared" si="496"/>
        <v>74.557134301120755</v>
      </c>
    </row>
    <row r="384" spans="1:58" ht="12" hidden="1" customHeight="1" outlineLevel="2" x14ac:dyDescent="0.3">
      <c r="A384" s="224"/>
      <c r="B384" s="224" t="s">
        <v>1016</v>
      </c>
      <c r="C384" s="224"/>
      <c r="D384" s="224" t="s">
        <v>885</v>
      </c>
      <c r="E384" s="224"/>
      <c r="F384" s="224"/>
      <c r="G384" s="224"/>
      <c r="H384" s="224"/>
      <c r="I384" s="224"/>
      <c r="J384" s="224"/>
      <c r="K384" s="224"/>
      <c r="L384" s="117"/>
      <c r="M384" s="214" t="s">
        <v>1017</v>
      </c>
      <c r="N384" s="247" t="s">
        <v>77</v>
      </c>
      <c r="O384" s="413">
        <f t="shared" ref="O384:X384" si="497">O369+O373+O376+O381+O382+O383</f>
        <v>783.24640861840783</v>
      </c>
      <c r="P384" s="413">
        <f t="shared" si="497"/>
        <v>744.65129186756053</v>
      </c>
      <c r="Q384" s="413">
        <f t="shared" si="497"/>
        <v>737.93604546589609</v>
      </c>
      <c r="R384" s="413">
        <f t="shared" si="497"/>
        <v>709.54730704730696</v>
      </c>
      <c r="S384" s="413">
        <f t="shared" si="497"/>
        <v>689.99328355298496</v>
      </c>
      <c r="T384" s="413">
        <f t="shared" si="497"/>
        <v>693.82679471485437</v>
      </c>
      <c r="U384" s="413">
        <f t="shared" si="497"/>
        <v>717.28544257506678</v>
      </c>
      <c r="V384" s="413">
        <f t="shared" si="497"/>
        <v>841.73857822422258</v>
      </c>
      <c r="W384" s="413">
        <f t="shared" si="497"/>
        <v>895.50406330193948</v>
      </c>
      <c r="X384" s="413">
        <f t="shared" si="497"/>
        <v>721.66666666666663</v>
      </c>
      <c r="Y384" s="394"/>
      <c r="Z384" s="246"/>
      <c r="AA384" s="246"/>
      <c r="AB384" s="413">
        <f>AB369+AB373+AB376+AB381+AB382+AB383</f>
        <v>732.77777777777771</v>
      </c>
      <c r="AC384" s="414">
        <f>AC369+AC373+AC376+AC381+AC382+AC383</f>
        <v>679.72222222222217</v>
      </c>
      <c r="AD384" s="411">
        <f>SUM(AD369:AD383)</f>
        <v>740.10555555555561</v>
      </c>
      <c r="AE384" s="411">
        <f>SUM(AE369:AE383)</f>
        <v>748.98682222222203</v>
      </c>
      <c r="AF384" s="411">
        <f t="shared" ref="AF384:BF384" si="498">SUM(AF369:AF383)</f>
        <v>760.22162455555542</v>
      </c>
      <c r="AG384" s="411">
        <f t="shared" si="498"/>
        <v>771.62494892388872</v>
      </c>
      <c r="AH384" s="411">
        <f t="shared" si="498"/>
        <v>783.1993231577469</v>
      </c>
      <c r="AI384" s="411">
        <f t="shared" si="498"/>
        <v>794.94731300511307</v>
      </c>
      <c r="AJ384" s="411">
        <f t="shared" si="498"/>
        <v>806.87152270018976</v>
      </c>
      <c r="AK384" s="411">
        <f t="shared" si="498"/>
        <v>818.97459554069235</v>
      </c>
      <c r="AL384" s="411">
        <f t="shared" si="498"/>
        <v>831.25921447380279</v>
      </c>
      <c r="AM384" s="411">
        <f t="shared" si="498"/>
        <v>843.72810269090962</v>
      </c>
      <c r="AN384" s="411">
        <f t="shared" si="498"/>
        <v>856.3840242312732</v>
      </c>
      <c r="AO384" s="411">
        <f t="shared" si="498"/>
        <v>869.22978459474234</v>
      </c>
      <c r="AP384" s="411">
        <f t="shared" si="498"/>
        <v>882.26823136366329</v>
      </c>
      <c r="AQ384" s="411">
        <f t="shared" si="498"/>
        <v>895.50225483411828</v>
      </c>
      <c r="AR384" s="411">
        <f t="shared" si="498"/>
        <v>908.93478865662985</v>
      </c>
      <c r="AS384" s="411">
        <f t="shared" si="498"/>
        <v>922.56881048647926</v>
      </c>
      <c r="AT384" s="411">
        <f t="shared" si="498"/>
        <v>936.40734264377636</v>
      </c>
      <c r="AU384" s="411">
        <f t="shared" si="498"/>
        <v>950.45345278343291</v>
      </c>
      <c r="AV384" s="411">
        <f t="shared" si="498"/>
        <v>964.71025457518419</v>
      </c>
      <c r="AW384" s="411">
        <f t="shared" si="498"/>
        <v>979.18090839381193</v>
      </c>
      <c r="AX384" s="411">
        <f t="shared" si="498"/>
        <v>993.86862201971894</v>
      </c>
      <c r="AY384" s="411">
        <f t="shared" si="498"/>
        <v>1008.7766513500146</v>
      </c>
      <c r="AZ384" s="411">
        <f t="shared" si="498"/>
        <v>1023.9083011202646</v>
      </c>
      <c r="BA384" s="411">
        <f t="shared" si="498"/>
        <v>1039.2669256370687</v>
      </c>
      <c r="BB384" s="411">
        <f t="shared" si="498"/>
        <v>1052.7773956703502</v>
      </c>
      <c r="BC384" s="411">
        <f t="shared" si="498"/>
        <v>1065.4107244183945</v>
      </c>
      <c r="BD384" s="411">
        <f t="shared" si="498"/>
        <v>1077.1302423869965</v>
      </c>
      <c r="BE384" s="411">
        <f t="shared" si="498"/>
        <v>1087.9015448108667</v>
      </c>
      <c r="BF384" s="411">
        <f t="shared" si="498"/>
        <v>1098.7805602589751</v>
      </c>
    </row>
    <row r="385" spans="1:58" ht="12" hidden="1" customHeight="1" outlineLevel="2" x14ac:dyDescent="0.3">
      <c r="A385" s="224"/>
      <c r="B385" s="224"/>
      <c r="C385" s="224"/>
      <c r="D385" s="224"/>
      <c r="E385" s="224"/>
      <c r="F385" s="224"/>
      <c r="G385" s="224"/>
      <c r="H385" s="224"/>
      <c r="I385" s="224"/>
      <c r="J385" s="224"/>
      <c r="K385" s="224"/>
      <c r="L385" s="117"/>
      <c r="M385" s="223" t="s">
        <v>980</v>
      </c>
      <c r="N385" s="216" t="s">
        <v>68</v>
      </c>
      <c r="O385" s="415">
        <f t="shared" ref="O385:X385" si="499">IFERROR((O370+O371+O372+O374+O375+O377+O378+O379+O380+O381+O382+O383)/O384,"")</f>
        <v>1</v>
      </c>
      <c r="P385" s="415">
        <f t="shared" si="499"/>
        <v>1</v>
      </c>
      <c r="Q385" s="415">
        <f t="shared" si="499"/>
        <v>1</v>
      </c>
      <c r="R385" s="415">
        <f t="shared" si="499"/>
        <v>1</v>
      </c>
      <c r="S385" s="415">
        <f t="shared" si="499"/>
        <v>1</v>
      </c>
      <c r="T385" s="415">
        <f t="shared" si="499"/>
        <v>1</v>
      </c>
      <c r="U385" s="415">
        <f t="shared" si="499"/>
        <v>1</v>
      </c>
      <c r="V385" s="415">
        <f t="shared" si="499"/>
        <v>1</v>
      </c>
      <c r="W385" s="415">
        <f t="shared" si="499"/>
        <v>1</v>
      </c>
      <c r="X385" s="415">
        <f t="shared" si="499"/>
        <v>1</v>
      </c>
      <c r="Y385" s="394"/>
      <c r="Z385" s="210"/>
      <c r="AA385" s="210"/>
      <c r="AB385" s="415">
        <f>IFERROR((AB370+AB371+AB372+AB374+AB375+AB377+AB378+AB379+AB380+AB381+AB382+AB383)/AB384,"")</f>
        <v>1</v>
      </c>
      <c r="AC385" s="415">
        <f>IFERROR((AC370+AC371+AC372+AC374+AC375+AC377+AC378+AC379+AC380+AC381+AC382+AC383)/AC384,"")</f>
        <v>1</v>
      </c>
      <c r="AD385" s="224"/>
      <c r="AE385" s="224"/>
      <c r="AF385" s="224"/>
      <c r="AG385" s="224"/>
      <c r="AH385" s="224"/>
      <c r="AI385" s="224"/>
      <c r="AJ385" s="224"/>
      <c r="AK385" s="224"/>
      <c r="AL385" s="224"/>
      <c r="AM385" s="224"/>
      <c r="AN385" s="224"/>
      <c r="AO385" s="224"/>
      <c r="AP385" s="224"/>
      <c r="AQ385" s="224"/>
      <c r="AR385" s="224"/>
      <c r="AS385" s="224"/>
      <c r="AT385" s="224"/>
      <c r="AU385" s="224"/>
      <c r="AV385" s="224"/>
      <c r="AW385" s="224"/>
      <c r="AX385" s="224"/>
      <c r="AY385" s="224"/>
      <c r="AZ385" s="224"/>
      <c r="BA385" s="224"/>
      <c r="BB385" s="224"/>
      <c r="BC385" s="224"/>
      <c r="BD385" s="224"/>
      <c r="BE385" s="224"/>
      <c r="BF385" s="224"/>
    </row>
    <row r="386" spans="1:58" ht="12" hidden="1" customHeight="1" outlineLevel="2" x14ac:dyDescent="0.3">
      <c r="A386" s="224"/>
      <c r="B386" s="224"/>
      <c r="C386" s="224"/>
      <c r="D386" s="224"/>
      <c r="E386" s="224"/>
      <c r="F386" s="224"/>
      <c r="G386" s="224"/>
      <c r="H386" s="224"/>
      <c r="I386" s="224"/>
      <c r="J386" s="224"/>
      <c r="K386" s="224"/>
      <c r="L386" s="117"/>
      <c r="M386" s="210"/>
      <c r="N386" s="210"/>
      <c r="O386" s="415">
        <f t="shared" ref="O386:X386" si="500">IFERROR((O369+O373+O376+O381+O382+O383)/O384,"")</f>
        <v>1</v>
      </c>
      <c r="P386" s="415">
        <f t="shared" si="500"/>
        <v>1</v>
      </c>
      <c r="Q386" s="415">
        <f t="shared" si="500"/>
        <v>1</v>
      </c>
      <c r="R386" s="415">
        <f t="shared" si="500"/>
        <v>1</v>
      </c>
      <c r="S386" s="415">
        <f t="shared" si="500"/>
        <v>1</v>
      </c>
      <c r="T386" s="415">
        <f t="shared" si="500"/>
        <v>1</v>
      </c>
      <c r="U386" s="415">
        <f t="shared" si="500"/>
        <v>1</v>
      </c>
      <c r="V386" s="415">
        <f t="shared" si="500"/>
        <v>1</v>
      </c>
      <c r="W386" s="415">
        <f t="shared" si="500"/>
        <v>1</v>
      </c>
      <c r="X386" s="415">
        <f t="shared" si="500"/>
        <v>1</v>
      </c>
      <c r="Y386" s="394"/>
      <c r="Z386" s="210"/>
      <c r="AA386" s="210"/>
      <c r="AB386" s="415">
        <f>IFERROR((AB369+AB373+AB376+AB381+AB382+AB383)/AB384,"")</f>
        <v>1</v>
      </c>
      <c r="AC386" s="415">
        <f>IFERROR((AC369+AC373+AC376+AC381+AC382+AC383)/AC384,"")</f>
        <v>1</v>
      </c>
      <c r="AD386" s="224"/>
      <c r="AE386" s="224"/>
      <c r="AF386" s="224"/>
      <c r="AG386" s="224"/>
      <c r="AH386" s="224"/>
      <c r="AI386" s="224"/>
      <c r="AJ386" s="224"/>
      <c r="AK386" s="224"/>
      <c r="AL386" s="224"/>
      <c r="AM386" s="224"/>
      <c r="AN386" s="224"/>
      <c r="AO386" s="224"/>
      <c r="AP386" s="224"/>
      <c r="AQ386" s="224"/>
      <c r="AR386" s="224"/>
      <c r="AS386" s="224"/>
      <c r="AT386" s="224"/>
      <c r="AU386" s="224"/>
      <c r="AV386" s="224"/>
      <c r="AW386" s="224"/>
      <c r="AX386" s="224"/>
      <c r="AY386" s="224"/>
      <c r="AZ386" s="224"/>
      <c r="BA386" s="224"/>
      <c r="BB386" s="224"/>
      <c r="BC386" s="224"/>
      <c r="BD386" s="224"/>
      <c r="BE386" s="224"/>
      <c r="BF386" s="224"/>
    </row>
    <row r="387" spans="1:58" ht="12" hidden="1" customHeight="1" outlineLevel="2" x14ac:dyDescent="0.3">
      <c r="A387" s="224"/>
      <c r="B387" s="224"/>
      <c r="C387" s="224"/>
      <c r="D387" s="224"/>
      <c r="E387" s="224"/>
      <c r="F387" s="224"/>
      <c r="G387" s="224"/>
      <c r="H387" s="224"/>
      <c r="I387" s="224"/>
      <c r="J387" s="224"/>
      <c r="K387" s="224"/>
      <c r="L387" s="117"/>
      <c r="M387" s="211" t="s">
        <v>1018</v>
      </c>
      <c r="N387" s="210"/>
      <c r="O387" s="210"/>
      <c r="P387" s="210"/>
      <c r="Q387" s="210"/>
      <c r="R387" s="210"/>
      <c r="S387" s="210"/>
      <c r="T387" s="210"/>
      <c r="U387" s="210"/>
      <c r="V387" s="210"/>
      <c r="W387" s="210"/>
      <c r="X387" s="210"/>
      <c r="Y387" s="394"/>
      <c r="Z387" s="210"/>
      <c r="AA387" s="210"/>
      <c r="AB387" s="210"/>
      <c r="AC387" s="210"/>
      <c r="AD387" s="224"/>
      <c r="AE387" s="224"/>
      <c r="AF387" s="224"/>
      <c r="AG387" s="224"/>
      <c r="AH387" s="224"/>
      <c r="AI387" s="224"/>
      <c r="AJ387" s="224"/>
      <c r="AK387" s="224"/>
      <c r="AL387" s="224"/>
      <c r="AM387" s="224"/>
      <c r="AN387" s="224"/>
      <c r="AO387" s="224"/>
      <c r="AP387" s="224"/>
      <c r="AQ387" s="224"/>
      <c r="AR387" s="224"/>
      <c r="AS387" s="224"/>
      <c r="AT387" s="224"/>
      <c r="AU387" s="224"/>
      <c r="AV387" s="224"/>
      <c r="AW387" s="224"/>
      <c r="AX387" s="224"/>
      <c r="AY387" s="224"/>
      <c r="AZ387" s="224"/>
      <c r="BA387" s="224"/>
      <c r="BB387" s="224"/>
      <c r="BC387" s="224"/>
      <c r="BD387" s="224"/>
      <c r="BE387" s="224"/>
      <c r="BF387" s="224"/>
    </row>
    <row r="388" spans="1:58" ht="12" hidden="1" customHeight="1" outlineLevel="2" x14ac:dyDescent="0.3">
      <c r="A388" s="224"/>
      <c r="B388" s="224"/>
      <c r="C388" s="224"/>
      <c r="D388" s="224"/>
      <c r="E388" s="224"/>
      <c r="F388" s="224"/>
      <c r="G388" s="224"/>
      <c r="H388" s="224"/>
      <c r="I388" s="224"/>
      <c r="J388" s="224"/>
      <c r="K388" s="224"/>
      <c r="L388" s="117"/>
      <c r="M388" s="210" t="s">
        <v>1019</v>
      </c>
      <c r="N388" s="244" t="s">
        <v>77</v>
      </c>
      <c r="O388" s="409">
        <f>SUM(O389:O391)</f>
        <v>37.027777777777779</v>
      </c>
      <c r="P388" s="409">
        <f t="shared" ref="P388" si="501">SUM(P389:P391)</f>
        <v>37.027777777777779</v>
      </c>
      <c r="Q388" s="409">
        <f t="shared" ref="Q388" si="502">SUM(Q389:Q391)</f>
        <v>25.277777777777779</v>
      </c>
      <c r="R388" s="409">
        <f t="shared" ref="R388" si="503">SUM(R389:R391)</f>
        <v>12.638888888888889</v>
      </c>
      <c r="S388" s="409">
        <f t="shared" ref="S388" si="504">SUM(S389:S391)</f>
        <v>25.277777777777779</v>
      </c>
      <c r="T388" s="409">
        <f t="shared" ref="T388" si="505">SUM(T389:T391)</f>
        <v>107.52777777777777</v>
      </c>
      <c r="U388" s="409">
        <f t="shared" ref="U388" si="506">SUM(U389:U391)</f>
        <v>84.027777777777771</v>
      </c>
      <c r="V388" s="409">
        <f t="shared" ref="V388" si="507">SUM(V389:V391)</f>
        <v>60.527777777777779</v>
      </c>
      <c r="W388" s="409">
        <f t="shared" ref="W388" si="508">SUM(W389:W391)</f>
        <v>24.388888888888886</v>
      </c>
      <c r="X388" s="409">
        <f t="shared" ref="X388" si="509">SUM(X389:X391)</f>
        <v>34.5</v>
      </c>
      <c r="Y388" s="394"/>
      <c r="Z388" s="210"/>
      <c r="AA388" s="210"/>
      <c r="AB388" s="409">
        <f t="shared" ref="AB388" si="510">SUM(AB389:AB391)</f>
        <v>15</v>
      </c>
      <c r="AC388" s="410">
        <f t="shared" ref="AC388" si="511">SUM(AC389:AC391)</f>
        <v>11.111111111111111</v>
      </c>
      <c r="AD388" s="411">
        <f>AB388*AD$259/$AB$259</f>
        <v>15.15</v>
      </c>
      <c r="AE388" s="411">
        <f>AD388*AE$259/AD$259</f>
        <v>15.331800000000001</v>
      </c>
      <c r="AF388" s="411">
        <f t="shared" ref="AF388:BF388" si="512">AE388*AF$259/AE$259</f>
        <v>15.561776999999998</v>
      </c>
      <c r="AG388" s="411">
        <f t="shared" si="512"/>
        <v>15.795203654999995</v>
      </c>
      <c r="AH388" s="411">
        <f t="shared" si="512"/>
        <v>16.032131709824991</v>
      </c>
      <c r="AI388" s="411">
        <f t="shared" si="512"/>
        <v>16.272613685472365</v>
      </c>
      <c r="AJ388" s="411">
        <f t="shared" si="512"/>
        <v>16.516702890754448</v>
      </c>
      <c r="AK388" s="411">
        <f t="shared" si="512"/>
        <v>16.764453434115765</v>
      </c>
      <c r="AL388" s="411">
        <f t="shared" si="512"/>
        <v>17.015920235627501</v>
      </c>
      <c r="AM388" s="411">
        <f t="shared" si="512"/>
        <v>17.271159039161912</v>
      </c>
      <c r="AN388" s="411">
        <f t="shared" si="512"/>
        <v>17.53022642474934</v>
      </c>
      <c r="AO388" s="411">
        <f t="shared" si="512"/>
        <v>17.793179821120578</v>
      </c>
      <c r="AP388" s="411">
        <f t="shared" si="512"/>
        <v>18.060077518437389</v>
      </c>
      <c r="AQ388" s="411">
        <f t="shared" si="512"/>
        <v>18.330978681213949</v>
      </c>
      <c r="AR388" s="411">
        <f t="shared" si="512"/>
        <v>18.605943361432157</v>
      </c>
      <c r="AS388" s="411">
        <f t="shared" si="512"/>
        <v>18.885032511853634</v>
      </c>
      <c r="AT388" s="411">
        <f t="shared" si="512"/>
        <v>19.168307999531436</v>
      </c>
      <c r="AU388" s="411">
        <f t="shared" si="512"/>
        <v>19.455832619524408</v>
      </c>
      <c r="AV388" s="411">
        <f t="shared" si="512"/>
        <v>19.747670108817271</v>
      </c>
      <c r="AW388" s="411">
        <f t="shared" si="512"/>
        <v>20.043885160449531</v>
      </c>
      <c r="AX388" s="411">
        <f t="shared" si="512"/>
        <v>20.34454343785627</v>
      </c>
      <c r="AY388" s="411">
        <f t="shared" si="512"/>
        <v>20.649711589424111</v>
      </c>
      <c r="AZ388" s="411">
        <f t="shared" si="512"/>
        <v>20.959457263265467</v>
      </c>
      <c r="BA388" s="411">
        <f t="shared" si="512"/>
        <v>21.273849122214443</v>
      </c>
      <c r="BB388" s="411">
        <f t="shared" si="512"/>
        <v>21.550409160803227</v>
      </c>
      <c r="BC388" s="411">
        <f t="shared" si="512"/>
        <v>21.809014070732868</v>
      </c>
      <c r="BD388" s="411">
        <f t="shared" si="512"/>
        <v>22.048913225510926</v>
      </c>
      <c r="BE388" s="411">
        <f t="shared" si="512"/>
        <v>22.269402357766037</v>
      </c>
      <c r="BF388" s="411">
        <f t="shared" si="512"/>
        <v>22.492096381343696</v>
      </c>
    </row>
    <row r="389" spans="1:58" ht="12" hidden="1" customHeight="1" outlineLevel="2" x14ac:dyDescent="0.3">
      <c r="A389" s="224"/>
      <c r="B389" s="224"/>
      <c r="C389" s="224"/>
      <c r="D389" s="224"/>
      <c r="E389" s="224"/>
      <c r="F389" s="224"/>
      <c r="G389" s="224"/>
      <c r="H389" s="224"/>
      <c r="I389" s="224"/>
      <c r="J389" s="224"/>
      <c r="K389" s="224"/>
      <c r="L389" s="117"/>
      <c r="M389" s="213" t="s">
        <v>964</v>
      </c>
      <c r="N389" s="244" t="s">
        <v>77</v>
      </c>
      <c r="O389" s="150">
        <v>11.749999999999998</v>
      </c>
      <c r="P389" s="150">
        <v>11.749999999999998</v>
      </c>
      <c r="Q389" s="150">
        <v>0</v>
      </c>
      <c r="R389" s="150">
        <v>0</v>
      </c>
      <c r="S389" s="150">
        <v>0</v>
      </c>
      <c r="T389" s="150">
        <v>82.25</v>
      </c>
      <c r="U389" s="150">
        <v>58.75</v>
      </c>
      <c r="V389" s="150">
        <v>35.25</v>
      </c>
      <c r="W389" s="150">
        <v>11.749999999999998</v>
      </c>
      <c r="X389" s="150">
        <v>11.749999999999998</v>
      </c>
      <c r="Y389" s="394"/>
      <c r="Z389" s="210"/>
      <c r="AA389" s="210"/>
      <c r="AB389" s="150">
        <v>5.833333333333333</v>
      </c>
      <c r="AC389" s="153">
        <v>4.7222222222222223</v>
      </c>
      <c r="AD389" s="412"/>
      <c r="AE389" s="412"/>
      <c r="AF389" s="412"/>
      <c r="AG389" s="412"/>
      <c r="AH389" s="412"/>
      <c r="AI389" s="412"/>
      <c r="AJ389" s="412"/>
      <c r="AK389" s="412"/>
      <c r="AL389" s="412"/>
      <c r="AM389" s="412"/>
      <c r="AN389" s="412"/>
      <c r="AO389" s="412"/>
      <c r="AP389" s="412"/>
      <c r="AQ389" s="412"/>
      <c r="AR389" s="412"/>
      <c r="AS389" s="412"/>
      <c r="AT389" s="412"/>
      <c r="AU389" s="412"/>
      <c r="AV389" s="412"/>
      <c r="AW389" s="412"/>
      <c r="AX389" s="412"/>
      <c r="AY389" s="412"/>
      <c r="AZ389" s="412"/>
      <c r="BA389" s="412"/>
      <c r="BB389" s="412"/>
      <c r="BC389" s="412"/>
      <c r="BD389" s="412"/>
      <c r="BE389" s="412"/>
      <c r="BF389" s="412"/>
    </row>
    <row r="390" spans="1:58" ht="12" hidden="1" customHeight="1" outlineLevel="2" x14ac:dyDescent="0.3">
      <c r="A390" s="224"/>
      <c r="B390" s="224"/>
      <c r="C390" s="224"/>
      <c r="D390" s="224"/>
      <c r="E390" s="224"/>
      <c r="F390" s="224"/>
      <c r="G390" s="224"/>
      <c r="H390" s="224"/>
      <c r="I390" s="224"/>
      <c r="J390" s="224"/>
      <c r="K390" s="224"/>
      <c r="L390" s="117"/>
      <c r="M390" s="213" t="s">
        <v>965</v>
      </c>
      <c r="N390" s="244" t="s">
        <v>77</v>
      </c>
      <c r="O390" s="150">
        <v>0</v>
      </c>
      <c r="P390" s="150">
        <v>0</v>
      </c>
      <c r="Q390" s="150">
        <v>0</v>
      </c>
      <c r="R390" s="150">
        <v>0</v>
      </c>
      <c r="S390" s="150">
        <v>0</v>
      </c>
      <c r="T390" s="150">
        <v>0</v>
      </c>
      <c r="U390" s="150">
        <v>0</v>
      </c>
      <c r="V390" s="150">
        <v>0</v>
      </c>
      <c r="W390" s="150">
        <v>0</v>
      </c>
      <c r="X390" s="150">
        <v>0</v>
      </c>
      <c r="Y390" s="394"/>
      <c r="Z390" s="210"/>
      <c r="AA390" s="210"/>
      <c r="AB390" s="150">
        <v>0</v>
      </c>
      <c r="AC390" s="153">
        <v>0</v>
      </c>
      <c r="AD390" s="412"/>
      <c r="AE390" s="412"/>
      <c r="AF390" s="412"/>
      <c r="AG390" s="412"/>
      <c r="AH390" s="412"/>
      <c r="AI390" s="412"/>
      <c r="AJ390" s="412"/>
      <c r="AK390" s="412"/>
      <c r="AL390" s="412"/>
      <c r="AM390" s="412"/>
      <c r="AN390" s="412"/>
      <c r="AO390" s="412"/>
      <c r="AP390" s="412"/>
      <c r="AQ390" s="412"/>
      <c r="AR390" s="412"/>
      <c r="AS390" s="412"/>
      <c r="AT390" s="412"/>
      <c r="AU390" s="412"/>
      <c r="AV390" s="412"/>
      <c r="AW390" s="412"/>
      <c r="AX390" s="412"/>
      <c r="AY390" s="412"/>
      <c r="AZ390" s="412"/>
      <c r="BA390" s="412"/>
      <c r="BB390" s="412"/>
      <c r="BC390" s="412"/>
      <c r="BD390" s="412"/>
      <c r="BE390" s="412"/>
      <c r="BF390" s="412"/>
    </row>
    <row r="391" spans="1:58" ht="12" hidden="1" customHeight="1" outlineLevel="2" x14ac:dyDescent="0.3">
      <c r="A391" s="224"/>
      <c r="B391" s="224"/>
      <c r="C391" s="224"/>
      <c r="D391" s="224"/>
      <c r="E391" s="224"/>
      <c r="F391" s="224"/>
      <c r="G391" s="224"/>
      <c r="H391" s="224"/>
      <c r="I391" s="224"/>
      <c r="J391" s="224"/>
      <c r="K391" s="224"/>
      <c r="L391" s="117"/>
      <c r="M391" s="213" t="s">
        <v>966</v>
      </c>
      <c r="N391" s="244" t="s">
        <v>77</v>
      </c>
      <c r="O391" s="150">
        <v>25.277777777777779</v>
      </c>
      <c r="P391" s="150">
        <v>25.277777777777779</v>
      </c>
      <c r="Q391" s="150">
        <v>25.277777777777779</v>
      </c>
      <c r="R391" s="150">
        <v>12.638888888888889</v>
      </c>
      <c r="S391" s="150">
        <v>25.277777777777779</v>
      </c>
      <c r="T391" s="150">
        <v>25.277777777777779</v>
      </c>
      <c r="U391" s="150">
        <v>25.277777777777779</v>
      </c>
      <c r="V391" s="150">
        <v>25.277777777777779</v>
      </c>
      <c r="W391" s="150">
        <v>12.638888888888889</v>
      </c>
      <c r="X391" s="150">
        <v>22.75</v>
      </c>
      <c r="Y391" s="394"/>
      <c r="Z391" s="246"/>
      <c r="AA391" s="246"/>
      <c r="AB391" s="150">
        <v>9.1666666666666661</v>
      </c>
      <c r="AC391" s="153">
        <v>6.3888888888888884</v>
      </c>
      <c r="AD391" s="412"/>
      <c r="AE391" s="412"/>
      <c r="AF391" s="412"/>
      <c r="AG391" s="412"/>
      <c r="AH391" s="412"/>
      <c r="AI391" s="412"/>
      <c r="AJ391" s="412"/>
      <c r="AK391" s="412"/>
      <c r="AL391" s="412"/>
      <c r="AM391" s="412"/>
      <c r="AN391" s="412"/>
      <c r="AO391" s="412"/>
      <c r="AP391" s="412"/>
      <c r="AQ391" s="412"/>
      <c r="AR391" s="412"/>
      <c r="AS391" s="412"/>
      <c r="AT391" s="412"/>
      <c r="AU391" s="412"/>
      <c r="AV391" s="412"/>
      <c r="AW391" s="412"/>
      <c r="AX391" s="412"/>
      <c r="AY391" s="412"/>
      <c r="AZ391" s="412"/>
      <c r="BA391" s="412"/>
      <c r="BB391" s="412"/>
      <c r="BC391" s="412"/>
      <c r="BD391" s="412"/>
      <c r="BE391" s="412"/>
      <c r="BF391" s="412"/>
    </row>
    <row r="392" spans="1:58" ht="12" hidden="1" customHeight="1" outlineLevel="2" x14ac:dyDescent="0.3">
      <c r="A392" s="224"/>
      <c r="B392" s="224"/>
      <c r="C392" s="224"/>
      <c r="D392" s="224"/>
      <c r="E392" s="224"/>
      <c r="F392" s="224"/>
      <c r="G392" s="224"/>
      <c r="H392" s="224"/>
      <c r="I392" s="224"/>
      <c r="J392" s="224"/>
      <c r="K392" s="224"/>
      <c r="L392" s="117"/>
      <c r="M392" s="210" t="s">
        <v>1020</v>
      </c>
      <c r="N392" s="244" t="s">
        <v>77</v>
      </c>
      <c r="O392" s="409">
        <f>SUM(O393:O394)</f>
        <v>112.47076644122222</v>
      </c>
      <c r="P392" s="409">
        <f t="shared" ref="P392" si="513">SUM(P393:P394)</f>
        <v>70.731615339701975</v>
      </c>
      <c r="Q392" s="409">
        <f t="shared" ref="Q392" si="514">SUM(Q393:Q394)</f>
        <v>135.2148547660027</v>
      </c>
      <c r="R392" s="409">
        <f t="shared" ref="R392" si="515">SUM(R393:R394)</f>
        <v>424.13975700167578</v>
      </c>
      <c r="S392" s="409">
        <f t="shared" ref="S392" si="516">SUM(S393:S394)</f>
        <v>46.487916795705182</v>
      </c>
      <c r="T392" s="409">
        <f t="shared" ref="T392" si="517">SUM(T393:T394)</f>
        <v>38.26790333125728</v>
      </c>
      <c r="U392" s="409">
        <f t="shared" ref="U392" si="518">SUM(U393:U394)</f>
        <v>49.737072270673828</v>
      </c>
      <c r="V392" s="409">
        <f t="shared" ref="V392" si="519">SUM(V393:V394)</f>
        <v>47.987527014921483</v>
      </c>
      <c r="W392" s="409">
        <f t="shared" ref="W392" si="520">SUM(W393:W394)</f>
        <v>66.792389228857289</v>
      </c>
      <c r="X392" s="409">
        <f t="shared" ref="X392" si="521">SUM(X393:X394)</f>
        <v>57.859960958095428</v>
      </c>
      <c r="Y392" s="394"/>
      <c r="Z392" s="220"/>
      <c r="AA392" s="220"/>
      <c r="AB392" s="409">
        <f t="shared" ref="AB392" si="522">SUM(AB393:AB394)</f>
        <v>35.833333333333336</v>
      </c>
      <c r="AC392" s="410">
        <f t="shared" ref="AC392" si="523">SUM(AC393:AC394)</f>
        <v>59.999999999999993</v>
      </c>
      <c r="AD392" s="411">
        <f>AB392*AD$259/$AB$259</f>
        <v>36.19166666666667</v>
      </c>
      <c r="AE392" s="411">
        <f>AD392*AE$259/AD$259</f>
        <v>36.62596666666667</v>
      </c>
      <c r="AF392" s="411">
        <f t="shared" ref="AF392:BF392" si="524">AE392*AF$259/AE$259</f>
        <v>37.17535616666666</v>
      </c>
      <c r="AG392" s="411">
        <f t="shared" si="524"/>
        <v>37.732986509166658</v>
      </c>
      <c r="AH392" s="411">
        <f t="shared" si="524"/>
        <v>38.298981306804151</v>
      </c>
      <c r="AI392" s="411">
        <f t="shared" si="524"/>
        <v>38.873466026406206</v>
      </c>
      <c r="AJ392" s="411">
        <f t="shared" si="524"/>
        <v>39.456568016802294</v>
      </c>
      <c r="AK392" s="411">
        <f t="shared" si="524"/>
        <v>40.048416537054322</v>
      </c>
      <c r="AL392" s="411">
        <f t="shared" si="524"/>
        <v>40.649142785110129</v>
      </c>
      <c r="AM392" s="411">
        <f t="shared" si="524"/>
        <v>41.258879926886777</v>
      </c>
      <c r="AN392" s="411">
        <f t="shared" si="524"/>
        <v>41.877763125790075</v>
      </c>
      <c r="AO392" s="411">
        <f t="shared" si="524"/>
        <v>42.505929572676919</v>
      </c>
      <c r="AP392" s="411">
        <f t="shared" si="524"/>
        <v>43.143518516267065</v>
      </c>
      <c r="AQ392" s="411">
        <f t="shared" si="524"/>
        <v>43.790671294011069</v>
      </c>
      <c r="AR392" s="411">
        <f t="shared" si="524"/>
        <v>44.447531363421227</v>
      </c>
      <c r="AS392" s="411">
        <f t="shared" si="524"/>
        <v>45.114244333872534</v>
      </c>
      <c r="AT392" s="411">
        <f t="shared" si="524"/>
        <v>45.790957998880614</v>
      </c>
      <c r="AU392" s="411">
        <f t="shared" si="524"/>
        <v>46.477822368863819</v>
      </c>
      <c r="AV392" s="411">
        <f t="shared" si="524"/>
        <v>47.174989704396772</v>
      </c>
      <c r="AW392" s="411">
        <f t="shared" si="524"/>
        <v>47.882614549962717</v>
      </c>
      <c r="AX392" s="411">
        <f t="shared" si="524"/>
        <v>48.600853768212147</v>
      </c>
      <c r="AY392" s="411">
        <f t="shared" si="524"/>
        <v>49.329866574735327</v>
      </c>
      <c r="AZ392" s="411">
        <f t="shared" si="524"/>
        <v>50.069814573356346</v>
      </c>
      <c r="BA392" s="411">
        <f t="shared" si="524"/>
        <v>50.820861791956681</v>
      </c>
      <c r="BB392" s="411">
        <f t="shared" si="524"/>
        <v>51.48153299525211</v>
      </c>
      <c r="BC392" s="411">
        <f t="shared" si="524"/>
        <v>52.099311391195137</v>
      </c>
      <c r="BD392" s="411">
        <f t="shared" si="524"/>
        <v>52.672403816498274</v>
      </c>
      <c r="BE392" s="411">
        <f t="shared" si="524"/>
        <v>53.19912785466326</v>
      </c>
      <c r="BF392" s="411">
        <f t="shared" si="524"/>
        <v>53.731119133209894</v>
      </c>
    </row>
    <row r="393" spans="1:58" ht="12" hidden="1" customHeight="1" outlineLevel="2" x14ac:dyDescent="0.3">
      <c r="A393" s="224"/>
      <c r="B393" s="224"/>
      <c r="C393" s="224"/>
      <c r="D393" s="224"/>
      <c r="E393" s="224"/>
      <c r="F393" s="224"/>
      <c r="G393" s="224"/>
      <c r="H393" s="224"/>
      <c r="I393" s="224"/>
      <c r="J393" s="224"/>
      <c r="K393" s="224"/>
      <c r="L393" s="117"/>
      <c r="M393" s="213" t="s">
        <v>968</v>
      </c>
      <c r="N393" s="244" t="s">
        <v>77</v>
      </c>
      <c r="O393" s="150">
        <v>112.47076644122222</v>
      </c>
      <c r="P393" s="150">
        <v>70.731615339701975</v>
      </c>
      <c r="Q393" s="150">
        <v>135.2148547660027</v>
      </c>
      <c r="R393" s="150">
        <v>424.13975700167578</v>
      </c>
      <c r="S393" s="150">
        <v>46.487916795705182</v>
      </c>
      <c r="T393" s="150">
        <v>37.990125553479501</v>
      </c>
      <c r="U393" s="150">
        <v>49.737072270673828</v>
      </c>
      <c r="V393" s="150">
        <v>47.987527014921483</v>
      </c>
      <c r="W393" s="150">
        <v>66.792389228857289</v>
      </c>
      <c r="X393" s="150">
        <v>57.859960958095428</v>
      </c>
      <c r="Y393" s="394"/>
      <c r="Z393" s="246"/>
      <c r="AA393" s="246"/>
      <c r="AB393" s="150">
        <v>35.833333333333336</v>
      </c>
      <c r="AC393" s="153">
        <v>59.999999999999993</v>
      </c>
      <c r="AD393" s="412"/>
      <c r="AE393" s="412"/>
      <c r="AF393" s="412"/>
      <c r="AG393" s="412"/>
      <c r="AH393" s="412"/>
      <c r="AI393" s="412"/>
      <c r="AJ393" s="412"/>
      <c r="AK393" s="412"/>
      <c r="AL393" s="412"/>
      <c r="AM393" s="412"/>
      <c r="AN393" s="412"/>
      <c r="AO393" s="412"/>
      <c r="AP393" s="412"/>
      <c r="AQ393" s="412"/>
      <c r="AR393" s="412"/>
      <c r="AS393" s="412"/>
      <c r="AT393" s="412"/>
      <c r="AU393" s="412"/>
      <c r="AV393" s="412"/>
      <c r="AW393" s="412"/>
      <c r="AX393" s="412"/>
      <c r="AY393" s="412"/>
      <c r="AZ393" s="412"/>
      <c r="BA393" s="412"/>
      <c r="BB393" s="412"/>
      <c r="BC393" s="412"/>
      <c r="BD393" s="412"/>
      <c r="BE393" s="412"/>
      <c r="BF393" s="412"/>
    </row>
    <row r="394" spans="1:58" ht="12" hidden="1" customHeight="1" outlineLevel="2" x14ac:dyDescent="0.3">
      <c r="A394" s="224"/>
      <c r="B394" s="224"/>
      <c r="C394" s="224"/>
      <c r="D394" s="224"/>
      <c r="E394" s="224"/>
      <c r="F394" s="224"/>
      <c r="G394" s="224"/>
      <c r="H394" s="224"/>
      <c r="I394" s="224"/>
      <c r="J394" s="224"/>
      <c r="K394" s="224"/>
      <c r="L394" s="117"/>
      <c r="M394" s="213" t="s">
        <v>969</v>
      </c>
      <c r="N394" s="244" t="s">
        <v>77</v>
      </c>
      <c r="O394" s="150">
        <v>0</v>
      </c>
      <c r="P394" s="150">
        <v>0</v>
      </c>
      <c r="Q394" s="150">
        <v>0</v>
      </c>
      <c r="R394" s="150">
        <v>0</v>
      </c>
      <c r="S394" s="150">
        <v>0</v>
      </c>
      <c r="T394" s="150">
        <v>0.27777777777777779</v>
      </c>
      <c r="U394" s="150">
        <v>0</v>
      </c>
      <c r="V394" s="150">
        <v>0</v>
      </c>
      <c r="W394" s="150">
        <v>0</v>
      </c>
      <c r="X394" s="150">
        <v>0</v>
      </c>
      <c r="Y394" s="394"/>
      <c r="Z394" s="246"/>
      <c r="AA394" s="246"/>
      <c r="AB394" s="150">
        <v>0</v>
      </c>
      <c r="AC394" s="153">
        <v>0</v>
      </c>
      <c r="AD394" s="412"/>
      <c r="AE394" s="412"/>
      <c r="AF394" s="412"/>
      <c r="AG394" s="412"/>
      <c r="AH394" s="412"/>
      <c r="AI394" s="412"/>
      <c r="AJ394" s="412"/>
      <c r="AK394" s="412"/>
      <c r="AL394" s="412"/>
      <c r="AM394" s="412"/>
      <c r="AN394" s="412"/>
      <c r="AO394" s="412"/>
      <c r="AP394" s="412"/>
      <c r="AQ394" s="412"/>
      <c r="AR394" s="412"/>
      <c r="AS394" s="412"/>
      <c r="AT394" s="412"/>
      <c r="AU394" s="412"/>
      <c r="AV394" s="412"/>
      <c r="AW394" s="412"/>
      <c r="AX394" s="412"/>
      <c r="AY394" s="412"/>
      <c r="AZ394" s="412"/>
      <c r="BA394" s="412"/>
      <c r="BB394" s="412"/>
      <c r="BC394" s="412"/>
      <c r="BD394" s="412"/>
      <c r="BE394" s="412"/>
      <c r="BF394" s="412"/>
    </row>
    <row r="395" spans="1:58" ht="12" hidden="1" customHeight="1" outlineLevel="2" x14ac:dyDescent="0.3">
      <c r="A395" s="224"/>
      <c r="B395" s="224"/>
      <c r="C395" s="224"/>
      <c r="D395" s="224"/>
      <c r="E395" s="224"/>
      <c r="F395" s="224"/>
      <c r="G395" s="224"/>
      <c r="H395" s="224"/>
      <c r="I395" s="224"/>
      <c r="J395" s="224"/>
      <c r="K395" s="224"/>
      <c r="L395" s="117"/>
      <c r="M395" s="210" t="s">
        <v>1021</v>
      </c>
      <c r="N395" s="244" t="s">
        <v>77</v>
      </c>
      <c r="O395" s="409">
        <f>SUM(O396:O399)</f>
        <v>0</v>
      </c>
      <c r="P395" s="409">
        <f t="shared" ref="P395" si="525">SUM(P396:P399)</f>
        <v>0</v>
      </c>
      <c r="Q395" s="409">
        <f t="shared" ref="Q395" si="526">SUM(Q396:Q399)</f>
        <v>0</v>
      </c>
      <c r="R395" s="409">
        <f t="shared" ref="R395" si="527">SUM(R396:R399)</f>
        <v>0</v>
      </c>
      <c r="S395" s="409">
        <f t="shared" ref="S395" si="528">SUM(S396:S399)</f>
        <v>0</v>
      </c>
      <c r="T395" s="409">
        <f t="shared" ref="T395" si="529">SUM(T396:T399)</f>
        <v>0</v>
      </c>
      <c r="U395" s="409">
        <f t="shared" ref="U395" si="530">SUM(U396:U399)</f>
        <v>0</v>
      </c>
      <c r="V395" s="409">
        <f t="shared" ref="V395" si="531">SUM(V396:V399)</f>
        <v>0</v>
      </c>
      <c r="W395" s="409">
        <f t="shared" ref="W395" si="532">SUM(W396:W399)</f>
        <v>0</v>
      </c>
      <c r="X395" s="409">
        <f t="shared" ref="X395" si="533">SUM(X396:X399)</f>
        <v>0</v>
      </c>
      <c r="Y395" s="394"/>
      <c r="Z395" s="220"/>
      <c r="AA395" s="220"/>
      <c r="AB395" s="409">
        <f t="shared" ref="AB395" si="534">SUM(AB396:AB399)</f>
        <v>0</v>
      </c>
      <c r="AC395" s="410">
        <f t="shared" ref="AC395" si="535">SUM(AC396:AC399)</f>
        <v>0</v>
      </c>
      <c r="AD395" s="411">
        <f>AB395*AD$259/$AB$259</f>
        <v>0</v>
      </c>
      <c r="AE395" s="411">
        <f>AD395*AE$259/AD$259</f>
        <v>0</v>
      </c>
      <c r="AF395" s="411">
        <f t="shared" ref="AF395:BF395" si="536">AE395*AF$259/AE$259</f>
        <v>0</v>
      </c>
      <c r="AG395" s="411">
        <f t="shared" si="536"/>
        <v>0</v>
      </c>
      <c r="AH395" s="411">
        <f t="shared" si="536"/>
        <v>0</v>
      </c>
      <c r="AI395" s="411">
        <f t="shared" si="536"/>
        <v>0</v>
      </c>
      <c r="AJ395" s="411">
        <f t="shared" si="536"/>
        <v>0</v>
      </c>
      <c r="AK395" s="411">
        <f t="shared" si="536"/>
        <v>0</v>
      </c>
      <c r="AL395" s="411">
        <f t="shared" si="536"/>
        <v>0</v>
      </c>
      <c r="AM395" s="411">
        <f t="shared" si="536"/>
        <v>0</v>
      </c>
      <c r="AN395" s="411">
        <f t="shared" si="536"/>
        <v>0</v>
      </c>
      <c r="AO395" s="411">
        <f t="shared" si="536"/>
        <v>0</v>
      </c>
      <c r="AP395" s="411">
        <f t="shared" si="536"/>
        <v>0</v>
      </c>
      <c r="AQ395" s="411">
        <f t="shared" si="536"/>
        <v>0</v>
      </c>
      <c r="AR395" s="411">
        <f t="shared" si="536"/>
        <v>0</v>
      </c>
      <c r="AS395" s="411">
        <f t="shared" si="536"/>
        <v>0</v>
      </c>
      <c r="AT395" s="411">
        <f t="shared" si="536"/>
        <v>0</v>
      </c>
      <c r="AU395" s="411">
        <f t="shared" si="536"/>
        <v>0</v>
      </c>
      <c r="AV395" s="411">
        <f t="shared" si="536"/>
        <v>0</v>
      </c>
      <c r="AW395" s="411">
        <f t="shared" si="536"/>
        <v>0</v>
      </c>
      <c r="AX395" s="411">
        <f t="shared" si="536"/>
        <v>0</v>
      </c>
      <c r="AY395" s="411">
        <f t="shared" si="536"/>
        <v>0</v>
      </c>
      <c r="AZ395" s="411">
        <f t="shared" si="536"/>
        <v>0</v>
      </c>
      <c r="BA395" s="411">
        <f t="shared" si="536"/>
        <v>0</v>
      </c>
      <c r="BB395" s="411">
        <f t="shared" si="536"/>
        <v>0</v>
      </c>
      <c r="BC395" s="411">
        <f t="shared" si="536"/>
        <v>0</v>
      </c>
      <c r="BD395" s="411">
        <f t="shared" si="536"/>
        <v>0</v>
      </c>
      <c r="BE395" s="411">
        <f t="shared" si="536"/>
        <v>0</v>
      </c>
      <c r="BF395" s="411">
        <f t="shared" si="536"/>
        <v>0</v>
      </c>
    </row>
    <row r="396" spans="1:58" ht="12" hidden="1" customHeight="1" outlineLevel="2" x14ac:dyDescent="0.3">
      <c r="A396" s="224"/>
      <c r="B396" s="224"/>
      <c r="C396" s="224"/>
      <c r="D396" s="224"/>
      <c r="E396" s="224"/>
      <c r="F396" s="224"/>
      <c r="G396" s="224"/>
      <c r="H396" s="224"/>
      <c r="I396" s="224"/>
      <c r="J396" s="224"/>
      <c r="K396" s="224"/>
      <c r="L396" s="117"/>
      <c r="M396" s="213" t="s">
        <v>971</v>
      </c>
      <c r="N396" s="244" t="s">
        <v>77</v>
      </c>
      <c r="O396" s="150">
        <v>0</v>
      </c>
      <c r="P396" s="150">
        <v>0</v>
      </c>
      <c r="Q396" s="150">
        <v>0</v>
      </c>
      <c r="R396" s="150">
        <v>0</v>
      </c>
      <c r="S396" s="150">
        <v>0</v>
      </c>
      <c r="T396" s="150">
        <v>0</v>
      </c>
      <c r="U396" s="150">
        <v>0</v>
      </c>
      <c r="V396" s="150">
        <v>0</v>
      </c>
      <c r="W396" s="150">
        <v>0</v>
      </c>
      <c r="X396" s="150">
        <v>0</v>
      </c>
      <c r="Y396" s="394"/>
      <c r="Z396" s="246"/>
      <c r="AA396" s="246"/>
      <c r="AB396" s="150">
        <v>0</v>
      </c>
      <c r="AC396" s="153">
        <v>0</v>
      </c>
      <c r="AD396" s="412"/>
      <c r="AE396" s="412"/>
      <c r="AF396" s="412"/>
      <c r="AG396" s="412"/>
      <c r="AH396" s="412"/>
      <c r="AI396" s="412"/>
      <c r="AJ396" s="412"/>
      <c r="AK396" s="412"/>
      <c r="AL396" s="412"/>
      <c r="AM396" s="412"/>
      <c r="AN396" s="412"/>
      <c r="AO396" s="412"/>
      <c r="AP396" s="412"/>
      <c r="AQ396" s="412"/>
      <c r="AR396" s="412"/>
      <c r="AS396" s="412"/>
      <c r="AT396" s="412"/>
      <c r="AU396" s="412"/>
      <c r="AV396" s="412"/>
      <c r="AW396" s="412"/>
      <c r="AX396" s="412"/>
      <c r="AY396" s="412"/>
      <c r="AZ396" s="412"/>
      <c r="BA396" s="412"/>
      <c r="BB396" s="412"/>
      <c r="BC396" s="412"/>
      <c r="BD396" s="412"/>
      <c r="BE396" s="412"/>
      <c r="BF396" s="412"/>
    </row>
    <row r="397" spans="1:58" ht="12" hidden="1" customHeight="1" outlineLevel="2" x14ac:dyDescent="0.3">
      <c r="A397" s="224"/>
      <c r="B397" s="224"/>
      <c r="C397" s="224"/>
      <c r="D397" s="224"/>
      <c r="E397" s="224"/>
      <c r="F397" s="224"/>
      <c r="G397" s="224"/>
      <c r="H397" s="224"/>
      <c r="I397" s="224"/>
      <c r="J397" s="224"/>
      <c r="K397" s="224"/>
      <c r="L397" s="117"/>
      <c r="M397" s="213" t="s">
        <v>985</v>
      </c>
      <c r="N397" s="244" t="s">
        <v>77</v>
      </c>
      <c r="O397" s="150">
        <v>0</v>
      </c>
      <c r="P397" s="150">
        <v>0</v>
      </c>
      <c r="Q397" s="150">
        <v>0</v>
      </c>
      <c r="R397" s="150">
        <v>0</v>
      </c>
      <c r="S397" s="150">
        <v>0</v>
      </c>
      <c r="T397" s="150">
        <v>0</v>
      </c>
      <c r="U397" s="150">
        <v>0</v>
      </c>
      <c r="V397" s="150">
        <v>0</v>
      </c>
      <c r="W397" s="150">
        <v>0</v>
      </c>
      <c r="X397" s="150">
        <v>0</v>
      </c>
      <c r="Y397" s="394"/>
      <c r="Z397" s="246"/>
      <c r="AA397" s="246"/>
      <c r="AB397" s="150">
        <v>0</v>
      </c>
      <c r="AC397" s="153">
        <v>0</v>
      </c>
      <c r="AD397" s="412"/>
      <c r="AE397" s="412"/>
      <c r="AF397" s="412"/>
      <c r="AG397" s="412"/>
      <c r="AH397" s="412"/>
      <c r="AI397" s="412"/>
      <c r="AJ397" s="412"/>
      <c r="AK397" s="412"/>
      <c r="AL397" s="412"/>
      <c r="AM397" s="412"/>
      <c r="AN397" s="412"/>
      <c r="AO397" s="412"/>
      <c r="AP397" s="412"/>
      <c r="AQ397" s="412"/>
      <c r="AR397" s="412"/>
      <c r="AS397" s="412"/>
      <c r="AT397" s="412"/>
      <c r="AU397" s="412"/>
      <c r="AV397" s="412"/>
      <c r="AW397" s="412"/>
      <c r="AX397" s="412"/>
      <c r="AY397" s="412"/>
      <c r="AZ397" s="412"/>
      <c r="BA397" s="412"/>
      <c r="BB397" s="412"/>
      <c r="BC397" s="412"/>
      <c r="BD397" s="412"/>
      <c r="BE397" s="412"/>
      <c r="BF397" s="412"/>
    </row>
    <row r="398" spans="1:58" ht="12" hidden="1" customHeight="1" outlineLevel="2" x14ac:dyDescent="0.3">
      <c r="A398" s="224"/>
      <c r="B398" s="224"/>
      <c r="C398" s="224"/>
      <c r="D398" s="224"/>
      <c r="E398" s="224"/>
      <c r="F398" s="224"/>
      <c r="G398" s="224"/>
      <c r="H398" s="224"/>
      <c r="I398" s="224"/>
      <c r="J398" s="224"/>
      <c r="K398" s="224"/>
      <c r="L398" s="117"/>
      <c r="M398" s="213" t="s">
        <v>973</v>
      </c>
      <c r="N398" s="244" t="s">
        <v>77</v>
      </c>
      <c r="O398" s="150">
        <v>0</v>
      </c>
      <c r="P398" s="150">
        <v>0</v>
      </c>
      <c r="Q398" s="150">
        <v>0</v>
      </c>
      <c r="R398" s="150">
        <v>0</v>
      </c>
      <c r="S398" s="150">
        <v>0</v>
      </c>
      <c r="T398" s="150">
        <v>0</v>
      </c>
      <c r="U398" s="150">
        <v>0</v>
      </c>
      <c r="V398" s="150">
        <v>0</v>
      </c>
      <c r="W398" s="150">
        <v>0</v>
      </c>
      <c r="X398" s="150">
        <v>0</v>
      </c>
      <c r="Y398" s="394"/>
      <c r="Z398" s="246"/>
      <c r="AA398" s="246"/>
      <c r="AB398" s="150">
        <v>0</v>
      </c>
      <c r="AC398" s="153">
        <v>0</v>
      </c>
      <c r="AD398" s="412"/>
      <c r="AE398" s="412"/>
      <c r="AF398" s="412"/>
      <c r="AG398" s="412"/>
      <c r="AH398" s="412"/>
      <c r="AI398" s="412"/>
      <c r="AJ398" s="412"/>
      <c r="AK398" s="412"/>
      <c r="AL398" s="412"/>
      <c r="AM398" s="412"/>
      <c r="AN398" s="412"/>
      <c r="AO398" s="412"/>
      <c r="AP398" s="412"/>
      <c r="AQ398" s="412"/>
      <c r="AR398" s="412"/>
      <c r="AS398" s="412"/>
      <c r="AT398" s="412"/>
      <c r="AU398" s="412"/>
      <c r="AV398" s="412"/>
      <c r="AW398" s="412"/>
      <c r="AX398" s="412"/>
      <c r="AY398" s="412"/>
      <c r="AZ398" s="412"/>
      <c r="BA398" s="412"/>
      <c r="BB398" s="412"/>
      <c r="BC398" s="412"/>
      <c r="BD398" s="412"/>
      <c r="BE398" s="412"/>
      <c r="BF398" s="412"/>
    </row>
    <row r="399" spans="1:58" ht="12" hidden="1" customHeight="1" outlineLevel="2" x14ac:dyDescent="0.3">
      <c r="A399" s="224"/>
      <c r="B399" s="224"/>
      <c r="C399" s="224"/>
      <c r="D399" s="224"/>
      <c r="E399" s="224"/>
      <c r="F399" s="224"/>
      <c r="G399" s="224"/>
      <c r="H399" s="224"/>
      <c r="I399" s="224"/>
      <c r="J399" s="224"/>
      <c r="K399" s="224"/>
      <c r="L399" s="117"/>
      <c r="M399" s="213" t="s">
        <v>974</v>
      </c>
      <c r="N399" s="244" t="s">
        <v>77</v>
      </c>
      <c r="O399" s="150">
        <v>0</v>
      </c>
      <c r="P399" s="150">
        <v>0</v>
      </c>
      <c r="Q399" s="150">
        <v>0</v>
      </c>
      <c r="R399" s="150">
        <v>0</v>
      </c>
      <c r="S399" s="150">
        <v>0</v>
      </c>
      <c r="T399" s="150">
        <v>0</v>
      </c>
      <c r="U399" s="150">
        <v>0</v>
      </c>
      <c r="V399" s="150">
        <v>0</v>
      </c>
      <c r="W399" s="150">
        <v>0</v>
      </c>
      <c r="X399" s="150">
        <v>0</v>
      </c>
      <c r="Y399" s="394"/>
      <c r="Z399" s="246"/>
      <c r="AA399" s="246"/>
      <c r="AB399" s="150">
        <v>0</v>
      </c>
      <c r="AC399" s="153">
        <v>0</v>
      </c>
      <c r="AD399" s="412"/>
      <c r="AE399" s="412"/>
      <c r="AF399" s="412"/>
      <c r="AG399" s="412"/>
      <c r="AH399" s="412"/>
      <c r="AI399" s="412"/>
      <c r="AJ399" s="412"/>
      <c r="AK399" s="412"/>
      <c r="AL399" s="412"/>
      <c r="AM399" s="412"/>
      <c r="AN399" s="412"/>
      <c r="AO399" s="412"/>
      <c r="AP399" s="412"/>
      <c r="AQ399" s="412"/>
      <c r="AR399" s="412"/>
      <c r="AS399" s="412"/>
      <c r="AT399" s="412"/>
      <c r="AU399" s="412"/>
      <c r="AV399" s="412"/>
      <c r="AW399" s="412"/>
      <c r="AX399" s="412"/>
      <c r="AY399" s="412"/>
      <c r="AZ399" s="412"/>
      <c r="BA399" s="412"/>
      <c r="BB399" s="412"/>
      <c r="BC399" s="412"/>
      <c r="BD399" s="412"/>
      <c r="BE399" s="412"/>
      <c r="BF399" s="412"/>
    </row>
    <row r="400" spans="1:58" ht="12" hidden="1" customHeight="1" outlineLevel="2" x14ac:dyDescent="0.3">
      <c r="A400" s="224"/>
      <c r="B400" s="224"/>
      <c r="C400" s="224"/>
      <c r="D400" s="224"/>
      <c r="E400" s="224"/>
      <c r="F400" s="224"/>
      <c r="G400" s="224"/>
      <c r="H400" s="224"/>
      <c r="I400" s="224"/>
      <c r="J400" s="224"/>
      <c r="K400" s="224"/>
      <c r="L400" s="117"/>
      <c r="M400" s="210" t="s">
        <v>1022</v>
      </c>
      <c r="N400" s="244" t="s">
        <v>77</v>
      </c>
      <c r="O400" s="150">
        <v>175.83333333333334</v>
      </c>
      <c r="P400" s="150">
        <v>167.22222222222223</v>
      </c>
      <c r="Q400" s="150">
        <v>182.77777777777777</v>
      </c>
      <c r="R400" s="150">
        <v>177.22222222222223</v>
      </c>
      <c r="S400" s="150">
        <v>132.5</v>
      </c>
      <c r="T400" s="150">
        <v>208.61111111111114</v>
      </c>
      <c r="U400" s="150">
        <v>192.50000000000003</v>
      </c>
      <c r="V400" s="150">
        <v>200</v>
      </c>
      <c r="W400" s="150">
        <v>179.72222222222223</v>
      </c>
      <c r="X400" s="150">
        <v>169.44444444444443</v>
      </c>
      <c r="Y400" s="394"/>
      <c r="Z400" s="246"/>
      <c r="AA400" s="246"/>
      <c r="AB400" s="150">
        <v>196.11111111111111</v>
      </c>
      <c r="AC400" s="153">
        <v>227.22222222222223</v>
      </c>
      <c r="AD400" s="411">
        <f>AB400*AD$259/$AB$259</f>
        <v>198.07222222222222</v>
      </c>
      <c r="AE400" s="411">
        <f>AD400*AE$259/AD$259</f>
        <v>200.44908888888889</v>
      </c>
      <c r="AF400" s="411">
        <f t="shared" ref="AF400:BF400" si="537">AE400*AF$259/AE$259</f>
        <v>203.45582522222219</v>
      </c>
      <c r="AG400" s="411">
        <f t="shared" si="537"/>
        <v>206.50766260055548</v>
      </c>
      <c r="AH400" s="411">
        <f t="shared" si="537"/>
        <v>209.60527753956379</v>
      </c>
      <c r="AI400" s="411">
        <f t="shared" si="537"/>
        <v>212.74935670265722</v>
      </c>
      <c r="AJ400" s="411">
        <f t="shared" si="537"/>
        <v>215.94059705319705</v>
      </c>
      <c r="AK400" s="411">
        <f t="shared" si="537"/>
        <v>219.17970600899497</v>
      </c>
      <c r="AL400" s="411">
        <f t="shared" si="537"/>
        <v>222.46740159912986</v>
      </c>
      <c r="AM400" s="411">
        <f t="shared" si="537"/>
        <v>225.8044126231168</v>
      </c>
      <c r="AN400" s="411">
        <f t="shared" si="537"/>
        <v>229.19147881246354</v>
      </c>
      <c r="AO400" s="411">
        <f t="shared" si="537"/>
        <v>232.62935099465048</v>
      </c>
      <c r="AP400" s="411">
        <f t="shared" si="537"/>
        <v>236.11879125957023</v>
      </c>
      <c r="AQ400" s="411">
        <f t="shared" si="537"/>
        <v>239.66057312846377</v>
      </c>
      <c r="AR400" s="411">
        <f t="shared" si="537"/>
        <v>243.25548172539069</v>
      </c>
      <c r="AS400" s="411">
        <f t="shared" si="537"/>
        <v>246.90431395127152</v>
      </c>
      <c r="AT400" s="411">
        <f t="shared" si="537"/>
        <v>250.60787866054054</v>
      </c>
      <c r="AU400" s="411">
        <f t="shared" si="537"/>
        <v>254.36699684044862</v>
      </c>
      <c r="AV400" s="411">
        <f t="shared" si="537"/>
        <v>258.18250179305534</v>
      </c>
      <c r="AW400" s="411">
        <f t="shared" si="537"/>
        <v>262.05523931995117</v>
      </c>
      <c r="AX400" s="411">
        <f t="shared" si="537"/>
        <v>265.98606790975037</v>
      </c>
      <c r="AY400" s="411">
        <f t="shared" si="537"/>
        <v>269.97585892839663</v>
      </c>
      <c r="AZ400" s="411">
        <f t="shared" si="537"/>
        <v>274.0254968123225</v>
      </c>
      <c r="BA400" s="411">
        <f t="shared" si="537"/>
        <v>278.13587926450731</v>
      </c>
      <c r="BB400" s="411">
        <f t="shared" si="537"/>
        <v>281.75164569494586</v>
      </c>
      <c r="BC400" s="411">
        <f t="shared" si="537"/>
        <v>285.13266544328525</v>
      </c>
      <c r="BD400" s="411">
        <f t="shared" si="537"/>
        <v>288.26912476316136</v>
      </c>
      <c r="BE400" s="411">
        <f t="shared" si="537"/>
        <v>291.15181601079297</v>
      </c>
      <c r="BF400" s="411">
        <f t="shared" si="537"/>
        <v>294.06333417090093</v>
      </c>
    </row>
    <row r="401" spans="1:58" ht="12" hidden="1" customHeight="1" outlineLevel="2" x14ac:dyDescent="0.3">
      <c r="A401" s="224"/>
      <c r="B401" s="224"/>
      <c r="C401" s="224"/>
      <c r="D401" s="224"/>
      <c r="E401" s="224"/>
      <c r="F401" s="224"/>
      <c r="G401" s="224"/>
      <c r="H401" s="224"/>
      <c r="I401" s="224"/>
      <c r="J401" s="224"/>
      <c r="K401" s="224"/>
      <c r="L401" s="117"/>
      <c r="M401" s="210" t="s">
        <v>1023</v>
      </c>
      <c r="N401" s="244" t="s">
        <v>77</v>
      </c>
      <c r="O401" s="150">
        <v>252</v>
      </c>
      <c r="P401" s="150">
        <v>199</v>
      </c>
      <c r="Q401" s="150">
        <v>198</v>
      </c>
      <c r="R401" s="150">
        <v>252.99999999999997</v>
      </c>
      <c r="S401" s="150">
        <v>151</v>
      </c>
      <c r="T401" s="150">
        <v>134</v>
      </c>
      <c r="U401" s="150">
        <v>114</v>
      </c>
      <c r="V401" s="150">
        <v>114</v>
      </c>
      <c r="W401" s="150">
        <v>115.99999999999999</v>
      </c>
      <c r="X401" s="150">
        <v>140.19999999999996</v>
      </c>
      <c r="Y401" s="394"/>
      <c r="Z401" s="246"/>
      <c r="AA401" s="246"/>
      <c r="AB401" s="150">
        <v>127.5</v>
      </c>
      <c r="AC401" s="153">
        <v>125</v>
      </c>
      <c r="AD401" s="411">
        <f>AB401*AD$259/$AB$259</f>
        <v>128.77500000000001</v>
      </c>
      <c r="AE401" s="411">
        <f>AD401*AE$259/AD$259</f>
        <v>130.3203</v>
      </c>
      <c r="AF401" s="411">
        <f t="shared" ref="AF401:BF401" si="538">AE401*AF$259/AE$259</f>
        <v>132.27510449999997</v>
      </c>
      <c r="AG401" s="411">
        <f t="shared" si="538"/>
        <v>134.25923106749994</v>
      </c>
      <c r="AH401" s="411">
        <f t="shared" si="538"/>
        <v>136.27311953351241</v>
      </c>
      <c r="AI401" s="411">
        <f t="shared" si="538"/>
        <v>138.31721632651508</v>
      </c>
      <c r="AJ401" s="411">
        <f t="shared" si="538"/>
        <v>140.39197457141279</v>
      </c>
      <c r="AK401" s="411">
        <f t="shared" si="538"/>
        <v>142.49785418998397</v>
      </c>
      <c r="AL401" s="411">
        <f t="shared" si="538"/>
        <v>144.6353220028337</v>
      </c>
      <c r="AM401" s="411">
        <f t="shared" si="538"/>
        <v>146.80485183287618</v>
      </c>
      <c r="AN401" s="411">
        <f t="shared" si="538"/>
        <v>149.00692461036931</v>
      </c>
      <c r="AO401" s="411">
        <f t="shared" si="538"/>
        <v>151.24202847952486</v>
      </c>
      <c r="AP401" s="411">
        <f t="shared" si="538"/>
        <v>153.51065890671774</v>
      </c>
      <c r="AQ401" s="411">
        <f t="shared" si="538"/>
        <v>155.8133187903185</v>
      </c>
      <c r="AR401" s="411">
        <f t="shared" si="538"/>
        <v>158.15051857217327</v>
      </c>
      <c r="AS401" s="411">
        <f t="shared" si="538"/>
        <v>160.52277635075586</v>
      </c>
      <c r="AT401" s="411">
        <f t="shared" si="538"/>
        <v>162.93061799601719</v>
      </c>
      <c r="AU401" s="411">
        <f t="shared" si="538"/>
        <v>165.37457726595744</v>
      </c>
      <c r="AV401" s="411">
        <f t="shared" si="538"/>
        <v>167.85519592494677</v>
      </c>
      <c r="AW401" s="411">
        <f t="shared" si="538"/>
        <v>170.37302386382098</v>
      </c>
      <c r="AX401" s="411">
        <f t="shared" si="538"/>
        <v>172.92861922177823</v>
      </c>
      <c r="AY401" s="411">
        <f t="shared" si="538"/>
        <v>175.52254851010491</v>
      </c>
      <c r="AZ401" s="411">
        <f t="shared" si="538"/>
        <v>178.15538673775643</v>
      </c>
      <c r="BA401" s="411">
        <f t="shared" si="538"/>
        <v>180.82771753882275</v>
      </c>
      <c r="BB401" s="411">
        <f t="shared" si="538"/>
        <v>183.17847786682742</v>
      </c>
      <c r="BC401" s="411">
        <f t="shared" si="538"/>
        <v>185.37661960122935</v>
      </c>
      <c r="BD401" s="411">
        <f t="shared" si="538"/>
        <v>187.41576241684285</v>
      </c>
      <c r="BE401" s="411">
        <f t="shared" si="538"/>
        <v>189.2899200410113</v>
      </c>
      <c r="BF401" s="411">
        <f t="shared" si="538"/>
        <v>191.18281924142138</v>
      </c>
    </row>
    <row r="402" spans="1:58" ht="12" hidden="1" customHeight="1" outlineLevel="2" x14ac:dyDescent="0.3">
      <c r="A402" s="224"/>
      <c r="B402" s="224"/>
      <c r="C402" s="224"/>
      <c r="D402" s="224"/>
      <c r="E402" s="224"/>
      <c r="F402" s="224"/>
      <c r="G402" s="224"/>
      <c r="H402" s="224"/>
      <c r="I402" s="224"/>
      <c r="J402" s="224"/>
      <c r="K402" s="224"/>
      <c r="L402" s="117"/>
      <c r="M402" s="210" t="s">
        <v>1024</v>
      </c>
      <c r="N402" s="244" t="s">
        <v>77</v>
      </c>
      <c r="O402" s="150">
        <v>2.5</v>
      </c>
      <c r="P402" s="150">
        <v>0.27777777777777779</v>
      </c>
      <c r="Q402" s="150">
        <v>0</v>
      </c>
      <c r="R402" s="150">
        <v>0.27777777777777779</v>
      </c>
      <c r="S402" s="150">
        <v>0.55555555555555558</v>
      </c>
      <c r="T402" s="150">
        <v>1.3888888888888888</v>
      </c>
      <c r="U402" s="150">
        <v>0</v>
      </c>
      <c r="V402" s="150">
        <v>0</v>
      </c>
      <c r="W402" s="150">
        <v>0</v>
      </c>
      <c r="X402" s="150">
        <v>1.2777777777777777</v>
      </c>
      <c r="Y402" s="394"/>
      <c r="Z402" s="246"/>
      <c r="AA402" s="246"/>
      <c r="AB402" s="150">
        <v>1.1111111111111112</v>
      </c>
      <c r="AC402" s="153">
        <v>0.83333333333333326</v>
      </c>
      <c r="AD402" s="411">
        <f>AB402*AD$259/$AB$259</f>
        <v>1.1222222222222222</v>
      </c>
      <c r="AE402" s="411">
        <f>AD402*AE$259/AD$259</f>
        <v>1.135688888888889</v>
      </c>
      <c r="AF402" s="411">
        <f t="shared" ref="AF402:BF402" si="539">AE402*AF$259/AE$259</f>
        <v>1.1527242222222223</v>
      </c>
      <c r="AG402" s="411">
        <f t="shared" si="539"/>
        <v>1.1700150855555556</v>
      </c>
      <c r="AH402" s="411">
        <f t="shared" si="539"/>
        <v>1.1875653118388887</v>
      </c>
      <c r="AI402" s="411">
        <f t="shared" si="539"/>
        <v>1.2053787915164718</v>
      </c>
      <c r="AJ402" s="411">
        <f t="shared" si="539"/>
        <v>1.2234594733892188</v>
      </c>
      <c r="AK402" s="411">
        <f t="shared" si="539"/>
        <v>1.2418113654900569</v>
      </c>
      <c r="AL402" s="411">
        <f t="shared" si="539"/>
        <v>1.2604385359724077</v>
      </c>
      <c r="AM402" s="411">
        <f t="shared" si="539"/>
        <v>1.2793451140119936</v>
      </c>
      <c r="AN402" s="411">
        <f t="shared" si="539"/>
        <v>1.2985352907221734</v>
      </c>
      <c r="AO402" s="411">
        <f t="shared" si="539"/>
        <v>1.318013320083006</v>
      </c>
      <c r="AP402" s="411">
        <f t="shared" si="539"/>
        <v>1.3377835198842509</v>
      </c>
      <c r="AQ402" s="411">
        <f t="shared" si="539"/>
        <v>1.3578502726825146</v>
      </c>
      <c r="AR402" s="411">
        <f t="shared" si="539"/>
        <v>1.3782180267727522</v>
      </c>
      <c r="AS402" s="411">
        <f t="shared" si="539"/>
        <v>1.3988912971743432</v>
      </c>
      <c r="AT402" s="411">
        <f t="shared" si="539"/>
        <v>1.4198746666319582</v>
      </c>
      <c r="AU402" s="411">
        <f t="shared" si="539"/>
        <v>1.4411727866314374</v>
      </c>
      <c r="AV402" s="411">
        <f t="shared" si="539"/>
        <v>1.4627903784309089</v>
      </c>
      <c r="AW402" s="411">
        <f t="shared" si="539"/>
        <v>1.4847322341073723</v>
      </c>
      <c r="AX402" s="411">
        <f t="shared" si="539"/>
        <v>1.5070032176189825</v>
      </c>
      <c r="AY402" s="411">
        <f t="shared" si="539"/>
        <v>1.5296082658832673</v>
      </c>
      <c r="AZ402" s="411">
        <f t="shared" si="539"/>
        <v>1.5525523898715159</v>
      </c>
      <c r="BA402" s="411">
        <f t="shared" si="539"/>
        <v>1.5758406757195884</v>
      </c>
      <c r="BB402" s="411">
        <f t="shared" si="539"/>
        <v>1.5963266045039428</v>
      </c>
      <c r="BC402" s="411">
        <f t="shared" si="539"/>
        <v>1.6154825237579902</v>
      </c>
      <c r="BD402" s="411">
        <f t="shared" si="539"/>
        <v>1.633252831519328</v>
      </c>
      <c r="BE402" s="411">
        <f t="shared" si="539"/>
        <v>1.6495853598345214</v>
      </c>
      <c r="BF402" s="411">
        <f t="shared" si="539"/>
        <v>1.6660812134328664</v>
      </c>
    </row>
    <row r="403" spans="1:58" ht="12" hidden="1" customHeight="1" outlineLevel="2" x14ac:dyDescent="0.3">
      <c r="A403" s="224"/>
      <c r="B403" s="224" t="s">
        <v>1025</v>
      </c>
      <c r="C403" s="224"/>
      <c r="D403" s="224" t="s">
        <v>885</v>
      </c>
      <c r="E403" s="224"/>
      <c r="F403" s="224"/>
      <c r="G403" s="224"/>
      <c r="H403" s="224"/>
      <c r="I403" s="224"/>
      <c r="J403" s="224"/>
      <c r="K403" s="224"/>
      <c r="L403" s="117"/>
      <c r="M403" s="214" t="s">
        <v>1026</v>
      </c>
      <c r="N403" s="247" t="s">
        <v>77</v>
      </c>
      <c r="O403" s="413">
        <f t="shared" ref="O403:X403" si="540">O388+O392+O395+O400+O401+O402</f>
        <v>579.83187755233337</v>
      </c>
      <c r="P403" s="413">
        <f t="shared" si="540"/>
        <v>474.25939311747976</v>
      </c>
      <c r="Q403" s="413">
        <f t="shared" si="540"/>
        <v>541.2704103215583</v>
      </c>
      <c r="R403" s="413">
        <f t="shared" si="540"/>
        <v>867.2786458905648</v>
      </c>
      <c r="S403" s="413">
        <f t="shared" si="540"/>
        <v>355.8212501290385</v>
      </c>
      <c r="T403" s="413">
        <f t="shared" si="540"/>
        <v>489.79568110903512</v>
      </c>
      <c r="U403" s="413">
        <f t="shared" si="540"/>
        <v>440.26485004845165</v>
      </c>
      <c r="V403" s="413">
        <f t="shared" si="540"/>
        <v>422.51530479269923</v>
      </c>
      <c r="W403" s="413">
        <f t="shared" si="540"/>
        <v>386.90350033996839</v>
      </c>
      <c r="X403" s="413">
        <f t="shared" si="540"/>
        <v>403.28218318031753</v>
      </c>
      <c r="Y403" s="394"/>
      <c r="Z403" s="246"/>
      <c r="AA403" s="246"/>
      <c r="AB403" s="413">
        <f>AB388+AB392+AB395+AB400+AB401+AB402</f>
        <v>375.55555555555554</v>
      </c>
      <c r="AC403" s="414">
        <f>AC388+AC392+AC395+AC400+AC401+AC402</f>
        <v>424.16666666666663</v>
      </c>
      <c r="AD403" s="411">
        <f>SUM(AD388:AD402)-AD389</f>
        <v>379.31111111111107</v>
      </c>
      <c r="AE403" s="411">
        <f t="shared" ref="AE403:AG403" si="541">SUM(AE388:AE402)-AE389</f>
        <v>383.86284444444442</v>
      </c>
      <c r="AF403" s="411">
        <f t="shared" si="541"/>
        <v>389.62078711111099</v>
      </c>
      <c r="AG403" s="411">
        <f t="shared" si="541"/>
        <v>395.46509891777765</v>
      </c>
      <c r="AH403" s="411">
        <f t="shared" ref="AH403:AK403" si="542">SUM(AH388:AH402)</f>
        <v>401.39707540154421</v>
      </c>
      <c r="AI403" s="411">
        <f t="shared" si="542"/>
        <v>407.41803153256734</v>
      </c>
      <c r="AJ403" s="411">
        <f t="shared" si="542"/>
        <v>413.52930200555579</v>
      </c>
      <c r="AK403" s="411">
        <f t="shared" si="542"/>
        <v>419.73224153563905</v>
      </c>
      <c r="AL403" s="411">
        <f t="shared" ref="AL403:BF403" si="543">SUM(AL388:AL402)</f>
        <v>426.02822515867365</v>
      </c>
      <c r="AM403" s="411">
        <f t="shared" si="543"/>
        <v>432.41864853605369</v>
      </c>
      <c r="AN403" s="411">
        <f t="shared" si="543"/>
        <v>438.90492826409445</v>
      </c>
      <c r="AO403" s="411">
        <f t="shared" si="543"/>
        <v>445.48850218805586</v>
      </c>
      <c r="AP403" s="411">
        <f t="shared" si="543"/>
        <v>452.17082972087661</v>
      </c>
      <c r="AQ403" s="411">
        <f t="shared" si="543"/>
        <v>458.95339216668981</v>
      </c>
      <c r="AR403" s="411">
        <f t="shared" si="543"/>
        <v>465.83769304919008</v>
      </c>
      <c r="AS403" s="411">
        <f t="shared" si="543"/>
        <v>472.8252584449279</v>
      </c>
      <c r="AT403" s="411">
        <f t="shared" si="543"/>
        <v>479.91763732160177</v>
      </c>
      <c r="AU403" s="411">
        <f t="shared" si="543"/>
        <v>487.11640188142576</v>
      </c>
      <c r="AV403" s="411">
        <f t="shared" si="543"/>
        <v>494.42314790964701</v>
      </c>
      <c r="AW403" s="411">
        <f t="shared" si="543"/>
        <v>501.83949512829179</v>
      </c>
      <c r="AX403" s="411">
        <f t="shared" si="543"/>
        <v>509.36708755521607</v>
      </c>
      <c r="AY403" s="411">
        <f t="shared" si="543"/>
        <v>517.00759386854418</v>
      </c>
      <c r="AZ403" s="411">
        <f t="shared" si="543"/>
        <v>524.76270777657226</v>
      </c>
      <c r="BA403" s="411">
        <f t="shared" si="543"/>
        <v>532.63414839322081</v>
      </c>
      <c r="BB403" s="411">
        <f t="shared" si="543"/>
        <v>539.55839232233257</v>
      </c>
      <c r="BC403" s="411">
        <f t="shared" si="543"/>
        <v>546.03309303020058</v>
      </c>
      <c r="BD403" s="411">
        <f t="shared" si="543"/>
        <v>552.03945705353283</v>
      </c>
      <c r="BE403" s="411">
        <f t="shared" si="543"/>
        <v>557.55985162406807</v>
      </c>
      <c r="BF403" s="411">
        <f t="shared" si="543"/>
        <v>563.13545014030876</v>
      </c>
    </row>
    <row r="404" spans="1:58" ht="12" hidden="1" customHeight="1" outlineLevel="2" x14ac:dyDescent="0.3">
      <c r="A404" s="224"/>
      <c r="B404" s="224"/>
      <c r="C404" s="224"/>
      <c r="D404" s="224"/>
      <c r="E404" s="224"/>
      <c r="F404" s="224"/>
      <c r="G404" s="224"/>
      <c r="H404" s="224"/>
      <c r="I404" s="224"/>
      <c r="J404" s="224"/>
      <c r="K404" s="224"/>
      <c r="L404" s="117"/>
      <c r="M404" s="223" t="s">
        <v>980</v>
      </c>
      <c r="N404" s="216" t="s">
        <v>68</v>
      </c>
      <c r="O404" s="415">
        <f t="shared" ref="O404:X404" si="544">IFERROR((O389+O390+O391+O393+O394+O396+O397+O398+O399+O400+O401+O402)/O403,"")</f>
        <v>1</v>
      </c>
      <c r="P404" s="415">
        <f t="shared" si="544"/>
        <v>1</v>
      </c>
      <c r="Q404" s="415">
        <f t="shared" si="544"/>
        <v>1</v>
      </c>
      <c r="R404" s="415">
        <f t="shared" si="544"/>
        <v>1</v>
      </c>
      <c r="S404" s="415">
        <f t="shared" si="544"/>
        <v>1</v>
      </c>
      <c r="T404" s="415">
        <f t="shared" si="544"/>
        <v>1</v>
      </c>
      <c r="U404" s="415">
        <f t="shared" si="544"/>
        <v>1</v>
      </c>
      <c r="V404" s="415">
        <f t="shared" si="544"/>
        <v>1</v>
      </c>
      <c r="W404" s="415">
        <f t="shared" si="544"/>
        <v>1</v>
      </c>
      <c r="X404" s="415">
        <f t="shared" si="544"/>
        <v>1</v>
      </c>
      <c r="Y404" s="394"/>
      <c r="Z404" s="210"/>
      <c r="AA404" s="210"/>
      <c r="AB404" s="415">
        <f>IFERROR((AB389+AB390+AB391+AB393+AB394+AB396+AB397+AB398+AB399+AB400+AB401+AB402)/AB403,"")</f>
        <v>1</v>
      </c>
      <c r="AC404" s="415">
        <f>IFERROR((AC389+AC390+AC391+AC393+AC394+AC396+AC397+AC398+AC399+AC400+AC401+AC402)/AC403,"")</f>
        <v>1</v>
      </c>
      <c r="AD404" s="224"/>
      <c r="AE404" s="224"/>
      <c r="AF404" s="224"/>
      <c r="AG404" s="224"/>
      <c r="AH404" s="224"/>
      <c r="AI404" s="224"/>
      <c r="AJ404" s="224"/>
      <c r="AK404" s="224"/>
      <c r="AL404" s="224"/>
      <c r="AM404" s="224"/>
      <c r="AN404" s="224"/>
      <c r="AO404" s="224"/>
      <c r="AP404" s="224"/>
      <c r="AQ404" s="224"/>
      <c r="AR404" s="224"/>
      <c r="AS404" s="224"/>
      <c r="AT404" s="224"/>
      <c r="AU404" s="224"/>
      <c r="AV404" s="224"/>
      <c r="AW404" s="224"/>
      <c r="AX404" s="224"/>
      <c r="AY404" s="224"/>
      <c r="AZ404" s="224"/>
      <c r="BA404" s="224"/>
      <c r="BB404" s="224"/>
      <c r="BC404" s="224"/>
      <c r="BD404" s="224"/>
      <c r="BE404" s="224"/>
      <c r="BF404" s="224"/>
    </row>
    <row r="405" spans="1:58" ht="12" hidden="1" customHeight="1" outlineLevel="2" x14ac:dyDescent="0.3">
      <c r="A405" s="224"/>
      <c r="B405" s="224"/>
      <c r="C405" s="224"/>
      <c r="D405" s="224"/>
      <c r="E405" s="224"/>
      <c r="F405" s="224"/>
      <c r="G405" s="224"/>
      <c r="H405" s="224"/>
      <c r="I405" s="224"/>
      <c r="J405" s="224"/>
      <c r="K405" s="224"/>
      <c r="L405" s="117"/>
      <c r="M405" s="210"/>
      <c r="N405" s="210"/>
      <c r="O405" s="415">
        <f t="shared" ref="O405:X405" si="545">IFERROR((O388+O392+O395+O400+O401+O402)/O403,"")</f>
        <v>1</v>
      </c>
      <c r="P405" s="415">
        <f t="shared" si="545"/>
        <v>1</v>
      </c>
      <c r="Q405" s="415">
        <f t="shared" si="545"/>
        <v>1</v>
      </c>
      <c r="R405" s="415">
        <f t="shared" si="545"/>
        <v>1</v>
      </c>
      <c r="S405" s="415">
        <f t="shared" si="545"/>
        <v>1</v>
      </c>
      <c r="T405" s="415">
        <f t="shared" si="545"/>
        <v>1</v>
      </c>
      <c r="U405" s="415">
        <f t="shared" si="545"/>
        <v>1</v>
      </c>
      <c r="V405" s="415">
        <f t="shared" si="545"/>
        <v>1</v>
      </c>
      <c r="W405" s="415">
        <f t="shared" si="545"/>
        <v>1</v>
      </c>
      <c r="X405" s="415">
        <f t="shared" si="545"/>
        <v>1</v>
      </c>
      <c r="Y405" s="394"/>
      <c r="Z405" s="210"/>
      <c r="AA405" s="210"/>
      <c r="AB405" s="415">
        <f>IFERROR((AB388+AB392+AB395+AB400+AB401+AB402)/AB403,"")</f>
        <v>1</v>
      </c>
      <c r="AC405" s="415">
        <f>IFERROR((AC388+AC392+AC395+AC400+AC401+AC402)/AC403,"")</f>
        <v>1</v>
      </c>
      <c r="AD405" s="224"/>
      <c r="AE405" s="224"/>
      <c r="AF405" s="224"/>
      <c r="AG405" s="224"/>
      <c r="AH405" s="224"/>
      <c r="AI405" s="224"/>
      <c r="AJ405" s="224"/>
      <c r="AK405" s="224"/>
      <c r="AL405" s="224"/>
      <c r="AM405" s="224"/>
      <c r="AN405" s="224"/>
      <c r="AO405" s="224"/>
      <c r="AP405" s="224"/>
      <c r="AQ405" s="224"/>
      <c r="AR405" s="224"/>
      <c r="AS405" s="224"/>
      <c r="AT405" s="224"/>
      <c r="AU405" s="224"/>
      <c r="AV405" s="224"/>
      <c r="AW405" s="224"/>
      <c r="AX405" s="224"/>
      <c r="AY405" s="224"/>
      <c r="AZ405" s="224"/>
      <c r="BA405" s="224"/>
      <c r="BB405" s="224"/>
      <c r="BC405" s="224"/>
      <c r="BD405" s="224"/>
      <c r="BE405" s="224"/>
      <c r="BF405" s="224"/>
    </row>
    <row r="406" spans="1:58" ht="12" hidden="1" customHeight="1" outlineLevel="2" x14ac:dyDescent="0.3">
      <c r="A406" s="224"/>
      <c r="B406" s="224"/>
      <c r="C406" s="224"/>
      <c r="D406" s="224"/>
      <c r="E406" s="224"/>
      <c r="F406" s="224"/>
      <c r="G406" s="224"/>
      <c r="H406" s="224"/>
      <c r="I406" s="224"/>
      <c r="J406" s="224"/>
      <c r="K406" s="224"/>
      <c r="L406" s="117"/>
      <c r="M406" s="211" t="s">
        <v>1027</v>
      </c>
      <c r="N406" s="210"/>
      <c r="O406" s="210"/>
      <c r="P406" s="210"/>
      <c r="Q406" s="210"/>
      <c r="R406" s="210"/>
      <c r="S406" s="210"/>
      <c r="T406" s="210"/>
      <c r="U406" s="210"/>
      <c r="V406" s="210"/>
      <c r="W406" s="210"/>
      <c r="X406" s="210"/>
      <c r="Y406" s="394"/>
      <c r="Z406" s="210"/>
      <c r="AA406" s="210"/>
      <c r="AB406" s="210"/>
      <c r="AC406" s="210"/>
      <c r="AD406" s="224"/>
      <c r="AE406" s="224"/>
      <c r="AF406" s="224"/>
      <c r="AG406" s="224"/>
      <c r="AH406" s="224"/>
      <c r="AI406" s="224"/>
      <c r="AJ406" s="224"/>
      <c r="AK406" s="224"/>
      <c r="AL406" s="224"/>
      <c r="AM406" s="224"/>
      <c r="AN406" s="224"/>
      <c r="AO406" s="224"/>
      <c r="AP406" s="224"/>
      <c r="AQ406" s="224"/>
      <c r="AR406" s="224"/>
      <c r="AS406" s="224"/>
      <c r="AT406" s="224"/>
      <c r="AU406" s="224"/>
      <c r="AV406" s="224"/>
      <c r="AW406" s="224"/>
      <c r="AX406" s="224"/>
      <c r="AY406" s="224"/>
      <c r="AZ406" s="224"/>
      <c r="BA406" s="224"/>
      <c r="BB406" s="224"/>
      <c r="BC406" s="224"/>
      <c r="BD406" s="224"/>
      <c r="BE406" s="224"/>
      <c r="BF406" s="224"/>
    </row>
    <row r="407" spans="1:58" ht="12" hidden="1" customHeight="1" outlineLevel="2" x14ac:dyDescent="0.3">
      <c r="A407" s="224"/>
      <c r="B407" s="224"/>
      <c r="C407" s="224"/>
      <c r="D407" s="224"/>
      <c r="E407" s="224"/>
      <c r="F407" s="224"/>
      <c r="G407" s="224"/>
      <c r="H407" s="224"/>
      <c r="I407" s="224"/>
      <c r="J407" s="224"/>
      <c r="K407" s="224"/>
      <c r="L407" s="117"/>
      <c r="M407" s="210" t="s">
        <v>1028</v>
      </c>
      <c r="N407" s="244" t="s">
        <v>77</v>
      </c>
      <c r="O407" s="409">
        <f>SUM(O408:O410)</f>
        <v>34.722222222222221</v>
      </c>
      <c r="P407" s="409">
        <f t="shared" ref="P407" si="546">SUM(P408:P410)</f>
        <v>34.444444444444443</v>
      </c>
      <c r="Q407" s="409">
        <f t="shared" ref="Q407" si="547">SUM(Q408:Q410)</f>
        <v>22.5</v>
      </c>
      <c r="R407" s="409">
        <f t="shared" ref="R407" si="548">SUM(R408:R410)</f>
        <v>22.5</v>
      </c>
      <c r="S407" s="409">
        <f t="shared" ref="S407" si="549">SUM(S408:S410)</f>
        <v>11.666666666666666</v>
      </c>
      <c r="T407" s="409">
        <f t="shared" ref="T407" si="550">SUM(T408:T410)</f>
        <v>11.666666666666666</v>
      </c>
      <c r="U407" s="409">
        <f t="shared" ref="U407" si="551">SUM(U408:U410)</f>
        <v>11.666666666666666</v>
      </c>
      <c r="V407" s="409">
        <f t="shared" ref="V407" si="552">SUM(V408:V410)</f>
        <v>11.666666666666666</v>
      </c>
      <c r="W407" s="409">
        <f t="shared" ref="W407" si="553">SUM(W408:W410)</f>
        <v>11.666666666666666</v>
      </c>
      <c r="X407" s="409">
        <f t="shared" ref="X407" si="554">SUM(X408:X410)</f>
        <v>2.2222222222222223</v>
      </c>
      <c r="Y407" s="394"/>
      <c r="Z407" s="210"/>
      <c r="AA407" s="210"/>
      <c r="AB407" s="409">
        <f t="shared" ref="AB407" si="555">SUM(AB408:AB410)</f>
        <v>0.27777777777777779</v>
      </c>
      <c r="AC407" s="410">
        <f t="shared" ref="AC407" si="556">SUM(AC408:AC410)</f>
        <v>0.27777777777777779</v>
      </c>
      <c r="AD407" s="411">
        <f>AB407*AD$260/$AB$260</f>
        <v>0.28055555555555556</v>
      </c>
      <c r="AE407" s="411">
        <f>AD407*AE$260/AD$260</f>
        <v>0.28392222222222224</v>
      </c>
      <c r="AF407" s="411">
        <f t="shared" ref="AF407:BF407" si="557">AE407*AF$260/AE$260</f>
        <v>0.28818105555555551</v>
      </c>
      <c r="AG407" s="411">
        <f t="shared" si="557"/>
        <v>0.29250377138888878</v>
      </c>
      <c r="AH407" s="411">
        <f t="shared" si="557"/>
        <v>0.29689132795972206</v>
      </c>
      <c r="AI407" s="411">
        <f t="shared" si="557"/>
        <v>0.30134469787911783</v>
      </c>
      <c r="AJ407" s="411">
        <f t="shared" si="557"/>
        <v>0.30586486834730459</v>
      </c>
      <c r="AK407" s="411">
        <f t="shared" si="557"/>
        <v>0.31045284137251411</v>
      </c>
      <c r="AL407" s="411">
        <f t="shared" si="557"/>
        <v>0.31510963399310182</v>
      </c>
      <c r="AM407" s="411">
        <f t="shared" si="557"/>
        <v>0.31983627850299834</v>
      </c>
      <c r="AN407" s="411">
        <f t="shared" si="557"/>
        <v>0.32463382268054325</v>
      </c>
      <c r="AO407" s="411">
        <f t="shared" si="557"/>
        <v>0.32950333002075138</v>
      </c>
      <c r="AP407" s="411">
        <f t="shared" si="557"/>
        <v>0.33444587997106262</v>
      </c>
      <c r="AQ407" s="411">
        <f t="shared" si="557"/>
        <v>0.33946256817062848</v>
      </c>
      <c r="AR407" s="411">
        <f t="shared" si="557"/>
        <v>0.34455450669318788</v>
      </c>
      <c r="AS407" s="411">
        <f t="shared" si="557"/>
        <v>0.34972282429358564</v>
      </c>
      <c r="AT407" s="411">
        <f t="shared" si="557"/>
        <v>0.35496866665798943</v>
      </c>
      <c r="AU407" s="411">
        <f t="shared" si="557"/>
        <v>0.36029319665785925</v>
      </c>
      <c r="AV407" s="411">
        <f t="shared" si="557"/>
        <v>0.36569759460772711</v>
      </c>
      <c r="AW407" s="411">
        <f t="shared" si="557"/>
        <v>0.37118305852684297</v>
      </c>
      <c r="AX407" s="411">
        <f t="shared" si="557"/>
        <v>0.37675080440474557</v>
      </c>
      <c r="AY407" s="411">
        <f t="shared" si="557"/>
        <v>0.3824020664708167</v>
      </c>
      <c r="AZ407" s="411">
        <f t="shared" si="557"/>
        <v>0.38813809746787892</v>
      </c>
      <c r="BA407" s="411">
        <f t="shared" si="557"/>
        <v>0.39396016892989705</v>
      </c>
      <c r="BB407" s="411">
        <f t="shared" si="557"/>
        <v>0.3990816511259857</v>
      </c>
      <c r="BC407" s="411">
        <f t="shared" si="557"/>
        <v>0.40387063093949749</v>
      </c>
      <c r="BD407" s="411">
        <f t="shared" si="557"/>
        <v>0.40831320787983194</v>
      </c>
      <c r="BE407" s="411">
        <f t="shared" si="557"/>
        <v>0.41239633995863029</v>
      </c>
      <c r="BF407" s="411">
        <f t="shared" si="557"/>
        <v>0.41652030335821666</v>
      </c>
    </row>
    <row r="408" spans="1:58" ht="12" hidden="1" customHeight="1" outlineLevel="2" x14ac:dyDescent="0.3">
      <c r="A408" s="224"/>
      <c r="B408" s="224"/>
      <c r="C408" s="224"/>
      <c r="D408" s="224"/>
      <c r="E408" s="224"/>
      <c r="F408" s="224"/>
      <c r="G408" s="224"/>
      <c r="H408" s="224"/>
      <c r="I408" s="224"/>
      <c r="J408" s="224"/>
      <c r="K408" s="224"/>
      <c r="L408" s="117"/>
      <c r="M408" s="213" t="s">
        <v>964</v>
      </c>
      <c r="N408" s="244" t="s">
        <v>77</v>
      </c>
      <c r="O408" s="150">
        <v>23.611111111111111</v>
      </c>
      <c r="P408" s="150">
        <v>23.611111111111111</v>
      </c>
      <c r="Q408" s="150">
        <v>11.666666666666666</v>
      </c>
      <c r="R408" s="150">
        <v>11.666666666666666</v>
      </c>
      <c r="S408" s="150">
        <v>11.666666666666666</v>
      </c>
      <c r="T408" s="150">
        <v>11.666666666666666</v>
      </c>
      <c r="U408" s="150">
        <v>11.666666666666666</v>
      </c>
      <c r="V408" s="150">
        <v>11.666666666666666</v>
      </c>
      <c r="W408" s="150">
        <v>11.666666666666666</v>
      </c>
      <c r="X408" s="150">
        <v>2.2222222222222223</v>
      </c>
      <c r="Y408" s="394"/>
      <c r="Z408" s="246"/>
      <c r="AA408" s="246"/>
      <c r="AB408" s="150">
        <v>0.27777777777777779</v>
      </c>
      <c r="AC408" s="153">
        <v>0.27777777777777779</v>
      </c>
      <c r="AD408" s="412"/>
      <c r="AE408" s="412"/>
      <c r="AF408" s="412"/>
      <c r="AG408" s="412"/>
      <c r="AH408" s="412"/>
      <c r="AI408" s="412"/>
      <c r="AJ408" s="412"/>
      <c r="AK408" s="412"/>
      <c r="AL408" s="412"/>
      <c r="AM408" s="412"/>
      <c r="AN408" s="412"/>
      <c r="AO408" s="412"/>
      <c r="AP408" s="412"/>
      <c r="AQ408" s="412"/>
      <c r="AR408" s="412"/>
      <c r="AS408" s="412"/>
      <c r="AT408" s="412"/>
      <c r="AU408" s="412"/>
      <c r="AV408" s="412"/>
      <c r="AW408" s="412"/>
      <c r="AX408" s="412"/>
      <c r="AY408" s="412"/>
      <c r="AZ408" s="412"/>
      <c r="BA408" s="412"/>
      <c r="BB408" s="412"/>
      <c r="BC408" s="412"/>
      <c r="BD408" s="412"/>
      <c r="BE408" s="412"/>
      <c r="BF408" s="412"/>
    </row>
    <row r="409" spans="1:58" ht="12" hidden="1" customHeight="1" outlineLevel="2" x14ac:dyDescent="0.3">
      <c r="A409" s="224"/>
      <c r="B409" s="224"/>
      <c r="C409" s="224"/>
      <c r="D409" s="224"/>
      <c r="E409" s="224"/>
      <c r="F409" s="224"/>
      <c r="G409" s="224"/>
      <c r="H409" s="224"/>
      <c r="I409" s="224"/>
      <c r="J409" s="224"/>
      <c r="K409" s="224"/>
      <c r="L409" s="117"/>
      <c r="M409" s="213" t="s">
        <v>965</v>
      </c>
      <c r="N409" s="244" t="s">
        <v>77</v>
      </c>
      <c r="O409" s="150">
        <v>11.111111111111111</v>
      </c>
      <c r="P409" s="150">
        <v>10.833333333333334</v>
      </c>
      <c r="Q409" s="150">
        <v>10.833333333333334</v>
      </c>
      <c r="R409" s="150">
        <v>10.833333333333334</v>
      </c>
      <c r="S409" s="150">
        <v>0</v>
      </c>
      <c r="T409" s="150">
        <v>0</v>
      </c>
      <c r="U409" s="150">
        <v>0</v>
      </c>
      <c r="V409" s="150">
        <v>0</v>
      </c>
      <c r="W409" s="150">
        <v>0</v>
      </c>
      <c r="X409" s="150">
        <v>0</v>
      </c>
      <c r="Y409" s="394"/>
      <c r="Z409" s="246"/>
      <c r="AA409" s="246"/>
      <c r="AB409" s="150">
        <v>0</v>
      </c>
      <c r="AC409" s="153">
        <v>0</v>
      </c>
      <c r="AD409" s="412"/>
      <c r="AE409" s="412"/>
      <c r="AF409" s="412"/>
      <c r="AG409" s="412"/>
      <c r="AH409" s="412"/>
      <c r="AI409" s="412"/>
      <c r="AJ409" s="412"/>
      <c r="AK409" s="412"/>
      <c r="AL409" s="412"/>
      <c r="AM409" s="412"/>
      <c r="AN409" s="412"/>
      <c r="AO409" s="412"/>
      <c r="AP409" s="412"/>
      <c r="AQ409" s="412"/>
      <c r="AR409" s="412"/>
      <c r="AS409" s="412"/>
      <c r="AT409" s="412"/>
      <c r="AU409" s="412"/>
      <c r="AV409" s="412"/>
      <c r="AW409" s="412"/>
      <c r="AX409" s="412"/>
      <c r="AY409" s="412"/>
      <c r="AZ409" s="412"/>
      <c r="BA409" s="412"/>
      <c r="BB409" s="412"/>
      <c r="BC409" s="412"/>
      <c r="BD409" s="412"/>
      <c r="BE409" s="412"/>
      <c r="BF409" s="412"/>
    </row>
    <row r="410" spans="1:58" ht="12" hidden="1" customHeight="1" outlineLevel="2" x14ac:dyDescent="0.3">
      <c r="A410" s="224"/>
      <c r="B410" s="224"/>
      <c r="C410" s="224"/>
      <c r="D410" s="224"/>
      <c r="E410" s="224"/>
      <c r="F410" s="224"/>
      <c r="G410" s="224"/>
      <c r="H410" s="224"/>
      <c r="I410" s="224"/>
      <c r="J410" s="224"/>
      <c r="K410" s="224"/>
      <c r="L410" s="117"/>
      <c r="M410" s="213" t="s">
        <v>966</v>
      </c>
      <c r="N410" s="244" t="s">
        <v>77</v>
      </c>
      <c r="O410" s="150">
        <v>0</v>
      </c>
      <c r="P410" s="150">
        <v>0</v>
      </c>
      <c r="Q410" s="150">
        <v>0</v>
      </c>
      <c r="R410" s="150">
        <v>0</v>
      </c>
      <c r="S410" s="150">
        <v>0</v>
      </c>
      <c r="T410" s="150">
        <v>0</v>
      </c>
      <c r="U410" s="150">
        <v>0</v>
      </c>
      <c r="V410" s="150">
        <v>0</v>
      </c>
      <c r="W410" s="150">
        <v>0</v>
      </c>
      <c r="X410" s="150">
        <v>0</v>
      </c>
      <c r="Y410" s="394"/>
      <c r="Z410" s="246"/>
      <c r="AA410" s="246"/>
      <c r="AB410" s="150">
        <v>0</v>
      </c>
      <c r="AC410" s="153">
        <v>0</v>
      </c>
      <c r="AD410" s="412"/>
      <c r="AE410" s="412"/>
      <c r="AF410" s="412"/>
      <c r="AG410" s="412"/>
      <c r="AH410" s="412"/>
      <c r="AI410" s="412"/>
      <c r="AJ410" s="412"/>
      <c r="AK410" s="412"/>
      <c r="AL410" s="412"/>
      <c r="AM410" s="412"/>
      <c r="AN410" s="412"/>
      <c r="AO410" s="412"/>
      <c r="AP410" s="412"/>
      <c r="AQ410" s="412"/>
      <c r="AR410" s="412"/>
      <c r="AS410" s="412"/>
      <c r="AT410" s="412"/>
      <c r="AU410" s="412"/>
      <c r="AV410" s="412"/>
      <c r="AW410" s="412"/>
      <c r="AX410" s="412"/>
      <c r="AY410" s="412"/>
      <c r="AZ410" s="412"/>
      <c r="BA410" s="412"/>
      <c r="BB410" s="412"/>
      <c r="BC410" s="412"/>
      <c r="BD410" s="412"/>
      <c r="BE410" s="412"/>
      <c r="BF410" s="412"/>
    </row>
    <row r="411" spans="1:58" ht="12" hidden="1" customHeight="1" outlineLevel="2" x14ac:dyDescent="0.3">
      <c r="A411" s="224"/>
      <c r="B411" s="224"/>
      <c r="C411" s="224"/>
      <c r="D411" s="224"/>
      <c r="E411" s="224"/>
      <c r="F411" s="224"/>
      <c r="G411" s="224"/>
      <c r="H411" s="224"/>
      <c r="I411" s="224"/>
      <c r="J411" s="224"/>
      <c r="K411" s="224"/>
      <c r="L411" s="117"/>
      <c r="M411" s="210" t="s">
        <v>1029</v>
      </c>
      <c r="N411" s="244" t="s">
        <v>77</v>
      </c>
      <c r="O411" s="409">
        <f>SUM(O412:O413)</f>
        <v>210.00000000000003</v>
      </c>
      <c r="P411" s="409">
        <f t="shared" ref="P411" si="558">SUM(P412:P413)</f>
        <v>212.5</v>
      </c>
      <c r="Q411" s="409">
        <f t="shared" ref="Q411" si="559">SUM(Q412:Q413)</f>
        <v>241.66666666666669</v>
      </c>
      <c r="R411" s="409">
        <f t="shared" ref="R411" si="560">SUM(R412:R413)</f>
        <v>239.99999999999997</v>
      </c>
      <c r="S411" s="409">
        <f t="shared" ref="S411" si="561">SUM(S412:S413)</f>
        <v>194.72222222222223</v>
      </c>
      <c r="T411" s="409">
        <f t="shared" ref="T411" si="562">SUM(T412:T413)</f>
        <v>180</v>
      </c>
      <c r="U411" s="409">
        <f t="shared" ref="U411" si="563">SUM(U412:U413)</f>
        <v>203.33333333333331</v>
      </c>
      <c r="V411" s="409">
        <f t="shared" ref="V411" si="564">SUM(V412:V413)</f>
        <v>178.88888888888889</v>
      </c>
      <c r="W411" s="409">
        <f t="shared" ref="W411" si="565">SUM(W412:W413)</f>
        <v>199.16666666666666</v>
      </c>
      <c r="X411" s="409">
        <f t="shared" ref="X411" si="566">SUM(X412:X413)</f>
        <v>129.16666666666669</v>
      </c>
      <c r="Y411" s="394"/>
      <c r="Z411" s="220"/>
      <c r="AA411" s="220"/>
      <c r="AB411" s="409">
        <f t="shared" ref="AB411" si="567">SUM(AB412:AB413)</f>
        <v>110.83333333333333</v>
      </c>
      <c r="AC411" s="410">
        <f t="shared" ref="AC411" si="568">SUM(AC412:AC413)</f>
        <v>168.33333333333334</v>
      </c>
      <c r="AD411" s="411">
        <f>AB411*AD$260/$AB$260</f>
        <v>111.94166666666666</v>
      </c>
      <c r="AE411" s="411">
        <f>AD411*AE$260/AD$260</f>
        <v>113.28496666666666</v>
      </c>
      <c r="AF411" s="411">
        <f t="shared" ref="AF411:BF411" si="569">AE411*AF$260/AE$260</f>
        <v>114.98424116666664</v>
      </c>
      <c r="AG411" s="411">
        <f t="shared" si="569"/>
        <v>116.70900478416662</v>
      </c>
      <c r="AH411" s="411">
        <f t="shared" si="569"/>
        <v>118.45963985592911</v>
      </c>
      <c r="AI411" s="411">
        <f t="shared" si="569"/>
        <v>120.23653445376804</v>
      </c>
      <c r="AJ411" s="411">
        <f t="shared" si="569"/>
        <v>122.04008247057455</v>
      </c>
      <c r="AK411" s="411">
        <f t="shared" si="569"/>
        <v>123.87068370763316</v>
      </c>
      <c r="AL411" s="411">
        <f t="shared" si="569"/>
        <v>125.72874396324765</v>
      </c>
      <c r="AM411" s="411">
        <f t="shared" si="569"/>
        <v>127.61467512269635</v>
      </c>
      <c r="AN411" s="411">
        <f t="shared" si="569"/>
        <v>129.52889524953679</v>
      </c>
      <c r="AO411" s="411">
        <f t="shared" si="569"/>
        <v>131.47182867827982</v>
      </c>
      <c r="AP411" s="411">
        <f t="shared" si="569"/>
        <v>133.443906108454</v>
      </c>
      <c r="AQ411" s="411">
        <f t="shared" si="569"/>
        <v>135.44556470008078</v>
      </c>
      <c r="AR411" s="411">
        <f t="shared" si="569"/>
        <v>137.47724817058199</v>
      </c>
      <c r="AS411" s="411">
        <f t="shared" si="569"/>
        <v>139.53940689314072</v>
      </c>
      <c r="AT411" s="411">
        <f t="shared" si="569"/>
        <v>141.63249799653784</v>
      </c>
      <c r="AU411" s="411">
        <f t="shared" si="569"/>
        <v>143.75698546648587</v>
      </c>
      <c r="AV411" s="411">
        <f t="shared" si="569"/>
        <v>145.91334024848314</v>
      </c>
      <c r="AW411" s="411">
        <f t="shared" si="569"/>
        <v>148.10204035221034</v>
      </c>
      <c r="AX411" s="411">
        <f t="shared" si="569"/>
        <v>150.32357095749347</v>
      </c>
      <c r="AY411" s="411">
        <f t="shared" si="569"/>
        <v>152.57842452185585</v>
      </c>
      <c r="AZ411" s="411">
        <f t="shared" si="569"/>
        <v>154.86710088968366</v>
      </c>
      <c r="BA411" s="411">
        <f t="shared" si="569"/>
        <v>157.19010740302889</v>
      </c>
      <c r="BB411" s="411">
        <f t="shared" si="569"/>
        <v>159.23357879926826</v>
      </c>
      <c r="BC411" s="411">
        <f t="shared" si="569"/>
        <v>161.14438174485949</v>
      </c>
      <c r="BD411" s="411">
        <f t="shared" si="569"/>
        <v>162.91696994405294</v>
      </c>
      <c r="BE411" s="411">
        <f t="shared" si="569"/>
        <v>164.54613964349346</v>
      </c>
      <c r="BF411" s="411">
        <f t="shared" si="569"/>
        <v>166.1916010399284</v>
      </c>
    </row>
    <row r="412" spans="1:58" ht="12" hidden="1" customHeight="1" outlineLevel="2" x14ac:dyDescent="0.3">
      <c r="A412" s="224"/>
      <c r="B412" s="224"/>
      <c r="C412" s="224"/>
      <c r="D412" s="224"/>
      <c r="E412" s="224"/>
      <c r="F412" s="224"/>
      <c r="G412" s="224"/>
      <c r="H412" s="224"/>
      <c r="I412" s="224"/>
      <c r="J412" s="224"/>
      <c r="K412" s="224"/>
      <c r="L412" s="117"/>
      <c r="M412" s="213" t="s">
        <v>968</v>
      </c>
      <c r="N412" s="244" t="s">
        <v>77</v>
      </c>
      <c r="O412" s="150">
        <v>210.00000000000003</v>
      </c>
      <c r="P412" s="150">
        <v>212.5</v>
      </c>
      <c r="Q412" s="150">
        <v>241.66666666666669</v>
      </c>
      <c r="R412" s="150">
        <v>239.99999999999997</v>
      </c>
      <c r="S412" s="150">
        <v>194.72222222222223</v>
      </c>
      <c r="T412" s="150">
        <v>180</v>
      </c>
      <c r="U412" s="150">
        <v>203.33333333333331</v>
      </c>
      <c r="V412" s="150">
        <v>178.88888888888889</v>
      </c>
      <c r="W412" s="150">
        <v>199.16666666666666</v>
      </c>
      <c r="X412" s="150">
        <v>129.16666666666669</v>
      </c>
      <c r="Y412" s="394"/>
      <c r="Z412" s="246"/>
      <c r="AA412" s="246"/>
      <c r="AB412" s="150">
        <v>110.83333333333333</v>
      </c>
      <c r="AC412" s="153">
        <v>168.33333333333334</v>
      </c>
      <c r="AD412" s="412"/>
      <c r="AE412" s="412"/>
      <c r="AF412" s="412"/>
      <c r="AG412" s="412"/>
      <c r="AH412" s="412"/>
      <c r="AI412" s="412"/>
      <c r="AJ412" s="412"/>
      <c r="AK412" s="412"/>
      <c r="AL412" s="412"/>
      <c r="AM412" s="412"/>
      <c r="AN412" s="412"/>
      <c r="AO412" s="412"/>
      <c r="AP412" s="412"/>
      <c r="AQ412" s="412"/>
      <c r="AR412" s="412"/>
      <c r="AS412" s="412"/>
      <c r="AT412" s="412"/>
      <c r="AU412" s="412"/>
      <c r="AV412" s="412"/>
      <c r="AW412" s="412"/>
      <c r="AX412" s="412"/>
      <c r="AY412" s="412"/>
      <c r="AZ412" s="412"/>
      <c r="BA412" s="412"/>
      <c r="BB412" s="412"/>
      <c r="BC412" s="412"/>
      <c r="BD412" s="412"/>
      <c r="BE412" s="412"/>
      <c r="BF412" s="412"/>
    </row>
    <row r="413" spans="1:58" ht="12" hidden="1" customHeight="1" outlineLevel="2" x14ac:dyDescent="0.3">
      <c r="A413" s="224"/>
      <c r="B413" s="224"/>
      <c r="C413" s="224"/>
      <c r="D413" s="224"/>
      <c r="E413" s="224"/>
      <c r="F413" s="224"/>
      <c r="G413" s="224"/>
      <c r="H413" s="224"/>
      <c r="I413" s="224"/>
      <c r="J413" s="224"/>
      <c r="K413" s="224"/>
      <c r="L413" s="117"/>
      <c r="M413" s="213" t="s">
        <v>969</v>
      </c>
      <c r="N413" s="244" t="s">
        <v>77</v>
      </c>
      <c r="O413" s="150">
        <v>0</v>
      </c>
      <c r="P413" s="150">
        <v>0</v>
      </c>
      <c r="Q413" s="150">
        <v>0</v>
      </c>
      <c r="R413" s="150">
        <v>0</v>
      </c>
      <c r="S413" s="150">
        <v>0</v>
      </c>
      <c r="T413" s="150">
        <v>0</v>
      </c>
      <c r="U413" s="150">
        <v>0</v>
      </c>
      <c r="V413" s="150">
        <v>0</v>
      </c>
      <c r="W413" s="150">
        <v>0</v>
      </c>
      <c r="X413" s="150">
        <v>0</v>
      </c>
      <c r="Y413" s="394"/>
      <c r="Z413" s="246"/>
      <c r="AA413" s="246"/>
      <c r="AB413" s="150">
        <v>0</v>
      </c>
      <c r="AC413" s="153">
        <v>0</v>
      </c>
      <c r="AD413" s="412"/>
      <c r="AE413" s="412"/>
      <c r="AF413" s="412"/>
      <c r="AG413" s="412"/>
      <c r="AH413" s="412"/>
      <c r="AI413" s="412"/>
      <c r="AJ413" s="412"/>
      <c r="AK413" s="412"/>
      <c r="AL413" s="412"/>
      <c r="AM413" s="412"/>
      <c r="AN413" s="412"/>
      <c r="AO413" s="412"/>
      <c r="AP413" s="412"/>
      <c r="AQ413" s="412"/>
      <c r="AR413" s="412"/>
      <c r="AS413" s="412"/>
      <c r="AT413" s="412"/>
      <c r="AU413" s="412"/>
      <c r="AV413" s="412"/>
      <c r="AW413" s="412"/>
      <c r="AX413" s="412"/>
      <c r="AY413" s="412"/>
      <c r="AZ413" s="412"/>
      <c r="BA413" s="412"/>
      <c r="BB413" s="412"/>
      <c r="BC413" s="412"/>
      <c r="BD413" s="412"/>
      <c r="BE413" s="412"/>
      <c r="BF413" s="412"/>
    </row>
    <row r="414" spans="1:58" ht="12" hidden="1" customHeight="1" outlineLevel="2" x14ac:dyDescent="0.3">
      <c r="A414" s="224"/>
      <c r="B414" s="224"/>
      <c r="C414" s="224"/>
      <c r="D414" s="224"/>
      <c r="E414" s="224"/>
      <c r="F414" s="224"/>
      <c r="G414" s="224"/>
      <c r="H414" s="224"/>
      <c r="I414" s="224"/>
      <c r="J414" s="224"/>
      <c r="K414" s="224"/>
      <c r="L414" s="117"/>
      <c r="M414" s="210" t="s">
        <v>1030</v>
      </c>
      <c r="N414" s="244" t="s">
        <v>77</v>
      </c>
      <c r="O414" s="409">
        <f>SUM(O415:O418)</f>
        <v>851.94444444444446</v>
      </c>
      <c r="P414" s="409">
        <f t="shared" ref="P414" si="570">SUM(P415:P418)</f>
        <v>1023.611111111111</v>
      </c>
      <c r="Q414" s="409">
        <f t="shared" ref="Q414" si="571">SUM(Q415:Q418)</f>
        <v>868.88888888888891</v>
      </c>
      <c r="R414" s="409">
        <f t="shared" ref="R414" si="572">SUM(R415:R418)</f>
        <v>1451.9444444444443</v>
      </c>
      <c r="S414" s="409">
        <f t="shared" ref="S414" si="573">SUM(S415:S418)</f>
        <v>1073.6111111111111</v>
      </c>
      <c r="T414" s="409">
        <f t="shared" ref="T414" si="574">SUM(T415:T418)</f>
        <v>558.88888888888891</v>
      </c>
      <c r="U414" s="409">
        <f t="shared" ref="U414" si="575">SUM(U415:U418)</f>
        <v>456.11111111111114</v>
      </c>
      <c r="V414" s="409">
        <f t="shared" ref="V414" si="576">SUM(V415:V418)</f>
        <v>631.66666666666652</v>
      </c>
      <c r="W414" s="409">
        <f t="shared" ref="W414" si="577">SUM(W415:W418)</f>
        <v>630.83333333333326</v>
      </c>
      <c r="X414" s="409">
        <f t="shared" ref="X414" si="578">SUM(X415:X418)</f>
        <v>747.5</v>
      </c>
      <c r="Y414" s="394"/>
      <c r="Z414" s="220"/>
      <c r="AA414" s="220"/>
      <c r="AB414" s="409">
        <f t="shared" ref="AB414" si="579">SUM(AB415:AB418)</f>
        <v>119.72222222222221</v>
      </c>
      <c r="AC414" s="410">
        <f t="shared" ref="AC414" si="580">SUM(AC415:AC418)</f>
        <v>0.55555555555555558</v>
      </c>
      <c r="AD414" s="411">
        <f>AB414*AD$260/$AB$260</f>
        <v>120.91944444444444</v>
      </c>
      <c r="AE414" s="411">
        <f>AD414*AE$260/AD$260</f>
        <v>122.37047777777777</v>
      </c>
      <c r="AF414" s="411">
        <f t="shared" ref="AF414:BF414" si="581">AE414*AF$260/AE$260</f>
        <v>124.20603494444441</v>
      </c>
      <c r="AG414" s="411">
        <f t="shared" si="581"/>
        <v>126.06912546861106</v>
      </c>
      <c r="AH414" s="411">
        <f t="shared" si="581"/>
        <v>127.96016235064022</v>
      </c>
      <c r="AI414" s="411">
        <f t="shared" si="581"/>
        <v>129.87956478589982</v>
      </c>
      <c r="AJ414" s="411">
        <f t="shared" si="581"/>
        <v>131.82775825768829</v>
      </c>
      <c r="AK414" s="411">
        <f t="shared" si="581"/>
        <v>133.8051746315536</v>
      </c>
      <c r="AL414" s="411">
        <f t="shared" si="581"/>
        <v>135.81225225102691</v>
      </c>
      <c r="AM414" s="411">
        <f t="shared" si="581"/>
        <v>137.84943603479229</v>
      </c>
      <c r="AN414" s="411">
        <f t="shared" si="581"/>
        <v>139.91717757531416</v>
      </c>
      <c r="AO414" s="411">
        <f t="shared" si="581"/>
        <v>142.01593523894385</v>
      </c>
      <c r="AP414" s="411">
        <f t="shared" si="581"/>
        <v>144.14617426752801</v>
      </c>
      <c r="AQ414" s="411">
        <f t="shared" si="581"/>
        <v>146.30836688154091</v>
      </c>
      <c r="AR414" s="411">
        <f t="shared" si="581"/>
        <v>148.50299238476401</v>
      </c>
      <c r="AS414" s="411">
        <f t="shared" si="581"/>
        <v>150.73053727053545</v>
      </c>
      <c r="AT414" s="411">
        <f t="shared" si="581"/>
        <v>152.9914953295935</v>
      </c>
      <c r="AU414" s="411">
        <f t="shared" si="581"/>
        <v>155.2863677595374</v>
      </c>
      <c r="AV414" s="411">
        <f t="shared" si="581"/>
        <v>157.61566327593044</v>
      </c>
      <c r="AW414" s="411">
        <f t="shared" si="581"/>
        <v>159.97989822506938</v>
      </c>
      <c r="AX414" s="411">
        <f t="shared" si="581"/>
        <v>162.3795966984454</v>
      </c>
      <c r="AY414" s="411">
        <f t="shared" si="581"/>
        <v>164.81529064892203</v>
      </c>
      <c r="AZ414" s="411">
        <f t="shared" si="581"/>
        <v>167.28752000865586</v>
      </c>
      <c r="BA414" s="411">
        <f t="shared" si="581"/>
        <v>169.79683280878567</v>
      </c>
      <c r="BB414" s="411">
        <f t="shared" si="581"/>
        <v>172.00419163529989</v>
      </c>
      <c r="BC414" s="411">
        <f t="shared" si="581"/>
        <v>174.06824193492349</v>
      </c>
      <c r="BD414" s="411">
        <f t="shared" si="581"/>
        <v>175.98299259620765</v>
      </c>
      <c r="BE414" s="411">
        <f t="shared" si="581"/>
        <v>177.74282252216975</v>
      </c>
      <c r="BF414" s="411">
        <f t="shared" si="581"/>
        <v>179.52025074739146</v>
      </c>
    </row>
    <row r="415" spans="1:58" ht="12" hidden="1" customHeight="1" outlineLevel="2" x14ac:dyDescent="0.3">
      <c r="A415" s="224"/>
      <c r="B415" s="224"/>
      <c r="C415" s="224"/>
      <c r="D415" s="224"/>
      <c r="E415" s="224"/>
      <c r="F415" s="224"/>
      <c r="G415" s="224"/>
      <c r="H415" s="224"/>
      <c r="I415" s="224"/>
      <c r="J415" s="224"/>
      <c r="K415" s="224"/>
      <c r="L415" s="117"/>
      <c r="M415" s="213" t="s">
        <v>971</v>
      </c>
      <c r="N415" s="244" t="s">
        <v>77</v>
      </c>
      <c r="O415" s="150">
        <v>339.44444444444446</v>
      </c>
      <c r="P415" s="150">
        <v>416.3888888888888</v>
      </c>
      <c r="Q415" s="150">
        <v>386.11111111111114</v>
      </c>
      <c r="R415" s="150">
        <v>316.66666666666669</v>
      </c>
      <c r="S415" s="150">
        <v>482.77777777777771</v>
      </c>
      <c r="T415" s="150">
        <v>165.83333333333334</v>
      </c>
      <c r="U415" s="150">
        <v>150.83333333333334</v>
      </c>
      <c r="V415" s="150">
        <v>207.77777777777774</v>
      </c>
      <c r="W415" s="150">
        <v>268.88888888888886</v>
      </c>
      <c r="X415" s="150">
        <v>316.66666666666669</v>
      </c>
      <c r="Y415" s="394"/>
      <c r="Z415" s="246"/>
      <c r="AA415" s="246"/>
      <c r="AB415" s="150">
        <v>59.722222222222221</v>
      </c>
      <c r="AC415" s="153">
        <v>0</v>
      </c>
      <c r="AD415" s="412"/>
      <c r="AE415" s="412"/>
      <c r="AF415" s="412"/>
      <c r="AG415" s="412"/>
      <c r="AH415" s="412"/>
      <c r="AI415" s="412"/>
      <c r="AJ415" s="412"/>
      <c r="AK415" s="412"/>
      <c r="AL415" s="412"/>
      <c r="AM415" s="412"/>
      <c r="AN415" s="412"/>
      <c r="AO415" s="412"/>
      <c r="AP415" s="412"/>
      <c r="AQ415" s="412"/>
      <c r="AR415" s="412"/>
      <c r="AS415" s="412"/>
      <c r="AT415" s="412"/>
      <c r="AU415" s="412"/>
      <c r="AV415" s="412"/>
      <c r="AW415" s="412"/>
      <c r="AX415" s="412"/>
      <c r="AY415" s="412"/>
      <c r="AZ415" s="412"/>
      <c r="BA415" s="412"/>
      <c r="BB415" s="412"/>
      <c r="BC415" s="412"/>
      <c r="BD415" s="412"/>
      <c r="BE415" s="412"/>
      <c r="BF415" s="412"/>
    </row>
    <row r="416" spans="1:58" ht="12" hidden="1" customHeight="1" outlineLevel="2" x14ac:dyDescent="0.3">
      <c r="A416" s="224"/>
      <c r="B416" s="224"/>
      <c r="C416" s="224"/>
      <c r="D416" s="224"/>
      <c r="E416" s="224"/>
      <c r="F416" s="224"/>
      <c r="G416" s="224"/>
      <c r="H416" s="224"/>
      <c r="I416" s="224"/>
      <c r="J416" s="224"/>
      <c r="K416" s="224"/>
      <c r="L416" s="117"/>
      <c r="M416" s="213" t="s">
        <v>985</v>
      </c>
      <c r="N416" s="244" t="s">
        <v>77</v>
      </c>
      <c r="O416" s="150">
        <v>512.5</v>
      </c>
      <c r="P416" s="150">
        <v>607.22222222222217</v>
      </c>
      <c r="Q416" s="150">
        <v>482.77777777777771</v>
      </c>
      <c r="R416" s="150">
        <v>421.94444444444446</v>
      </c>
      <c r="S416" s="150">
        <v>394.44444444444446</v>
      </c>
      <c r="T416" s="150">
        <v>173.88888888888889</v>
      </c>
      <c r="U416" s="150">
        <v>113.33333333333334</v>
      </c>
      <c r="V416" s="150">
        <v>232.5</v>
      </c>
      <c r="W416" s="150">
        <v>260.83333333333331</v>
      </c>
      <c r="X416" s="150">
        <v>231.11111111111111</v>
      </c>
      <c r="Y416" s="394"/>
      <c r="Z416" s="246"/>
      <c r="AA416" s="246"/>
      <c r="AB416" s="150">
        <v>16.111111111111107</v>
      </c>
      <c r="AC416" s="153">
        <v>0</v>
      </c>
      <c r="AD416" s="412"/>
      <c r="AE416" s="412"/>
      <c r="AF416" s="412"/>
      <c r="AG416" s="412"/>
      <c r="AH416" s="412"/>
      <c r="AI416" s="412"/>
      <c r="AJ416" s="412"/>
      <c r="AK416" s="412"/>
      <c r="AL416" s="412"/>
      <c r="AM416" s="412"/>
      <c r="AN416" s="412"/>
      <c r="AO416" s="412"/>
      <c r="AP416" s="412"/>
      <c r="AQ416" s="412"/>
      <c r="AR416" s="412"/>
      <c r="AS416" s="412"/>
      <c r="AT416" s="412"/>
      <c r="AU416" s="412"/>
      <c r="AV416" s="412"/>
      <c r="AW416" s="412"/>
      <c r="AX416" s="412"/>
      <c r="AY416" s="412"/>
      <c r="AZ416" s="412"/>
      <c r="BA416" s="412"/>
      <c r="BB416" s="412"/>
      <c r="BC416" s="412"/>
      <c r="BD416" s="412"/>
      <c r="BE416" s="412"/>
      <c r="BF416" s="412"/>
    </row>
    <row r="417" spans="1:58" ht="12" hidden="1" customHeight="1" outlineLevel="2" x14ac:dyDescent="0.3">
      <c r="A417" s="224"/>
      <c r="B417" s="224"/>
      <c r="C417" s="224"/>
      <c r="D417" s="224"/>
      <c r="E417" s="224"/>
      <c r="F417" s="224"/>
      <c r="G417" s="224"/>
      <c r="H417" s="224"/>
      <c r="I417" s="224"/>
      <c r="J417" s="224"/>
      <c r="K417" s="224"/>
      <c r="L417" s="117"/>
      <c r="M417" s="213" t="s">
        <v>973</v>
      </c>
      <c r="N417" s="244" t="s">
        <v>77</v>
      </c>
      <c r="O417" s="150">
        <v>0</v>
      </c>
      <c r="P417" s="150">
        <v>0</v>
      </c>
      <c r="Q417" s="150">
        <v>0</v>
      </c>
      <c r="R417" s="150">
        <v>39.722222222222221</v>
      </c>
      <c r="S417" s="150">
        <v>0</v>
      </c>
      <c r="T417" s="150">
        <v>0</v>
      </c>
      <c r="U417" s="150">
        <v>0</v>
      </c>
      <c r="V417" s="150">
        <v>0</v>
      </c>
      <c r="W417" s="150">
        <v>0</v>
      </c>
      <c r="X417" s="150">
        <v>0</v>
      </c>
      <c r="Y417" s="394"/>
      <c r="Z417" s="246"/>
      <c r="AA417" s="246"/>
      <c r="AB417" s="150">
        <v>0</v>
      </c>
      <c r="AC417" s="153">
        <v>0</v>
      </c>
      <c r="AD417" s="412"/>
      <c r="AE417" s="412"/>
      <c r="AF417" s="412"/>
      <c r="AG417" s="412"/>
      <c r="AH417" s="412"/>
      <c r="AI417" s="412"/>
      <c r="AJ417" s="412"/>
      <c r="AK417" s="412"/>
      <c r="AL417" s="412"/>
      <c r="AM417" s="412"/>
      <c r="AN417" s="412"/>
      <c r="AO417" s="412"/>
      <c r="AP417" s="412"/>
      <c r="AQ417" s="412"/>
      <c r="AR417" s="412"/>
      <c r="AS417" s="412"/>
      <c r="AT417" s="412"/>
      <c r="AU417" s="412"/>
      <c r="AV417" s="412"/>
      <c r="AW417" s="412"/>
      <c r="AX417" s="412"/>
      <c r="AY417" s="412"/>
      <c r="AZ417" s="412"/>
      <c r="BA417" s="412"/>
      <c r="BB417" s="412"/>
      <c r="BC417" s="412"/>
      <c r="BD417" s="412"/>
      <c r="BE417" s="412"/>
      <c r="BF417" s="412"/>
    </row>
    <row r="418" spans="1:58" ht="12" hidden="1" customHeight="1" outlineLevel="2" x14ac:dyDescent="0.3">
      <c r="A418" s="224"/>
      <c r="B418" s="224"/>
      <c r="C418" s="224"/>
      <c r="D418" s="224"/>
      <c r="E418" s="224"/>
      <c r="F418" s="224"/>
      <c r="G418" s="224"/>
      <c r="H418" s="224"/>
      <c r="I418" s="224"/>
      <c r="J418" s="224"/>
      <c r="K418" s="224"/>
      <c r="L418" s="117"/>
      <c r="M418" s="213" t="s">
        <v>974</v>
      </c>
      <c r="N418" s="244" t="s">
        <v>77</v>
      </c>
      <c r="O418" s="150">
        <v>0</v>
      </c>
      <c r="P418" s="150">
        <v>0</v>
      </c>
      <c r="Q418" s="150">
        <v>0</v>
      </c>
      <c r="R418" s="150">
        <v>673.61111111111109</v>
      </c>
      <c r="S418" s="150">
        <v>196.38888888888889</v>
      </c>
      <c r="T418" s="150">
        <v>219.16666666666666</v>
      </c>
      <c r="U418" s="150">
        <v>191.94444444444446</v>
      </c>
      <c r="V418" s="150">
        <v>191.38888888888886</v>
      </c>
      <c r="W418" s="150">
        <v>101.11111111111111</v>
      </c>
      <c r="X418" s="150">
        <v>199.72222222222223</v>
      </c>
      <c r="Y418" s="394"/>
      <c r="Z418" s="246"/>
      <c r="AA418" s="246"/>
      <c r="AB418" s="150">
        <v>43.888888888888886</v>
      </c>
      <c r="AC418" s="153">
        <v>0.55555555555555558</v>
      </c>
      <c r="AD418" s="412"/>
      <c r="AE418" s="412"/>
      <c r="AF418" s="412"/>
      <c r="AG418" s="412"/>
      <c r="AH418" s="412"/>
      <c r="AI418" s="412"/>
      <c r="AJ418" s="412"/>
      <c r="AK418" s="412"/>
      <c r="AL418" s="412"/>
      <c r="AM418" s="412"/>
      <c r="AN418" s="412"/>
      <c r="AO418" s="412"/>
      <c r="AP418" s="412"/>
      <c r="AQ418" s="412"/>
      <c r="AR418" s="412"/>
      <c r="AS418" s="412"/>
      <c r="AT418" s="412"/>
      <c r="AU418" s="412"/>
      <c r="AV418" s="412"/>
      <c r="AW418" s="412"/>
      <c r="AX418" s="412"/>
      <c r="AY418" s="412"/>
      <c r="AZ418" s="412"/>
      <c r="BA418" s="412"/>
      <c r="BB418" s="412"/>
      <c r="BC418" s="412"/>
      <c r="BD418" s="412"/>
      <c r="BE418" s="412"/>
      <c r="BF418" s="412"/>
    </row>
    <row r="419" spans="1:58" ht="12" hidden="1" customHeight="1" outlineLevel="2" x14ac:dyDescent="0.3">
      <c r="A419" s="224"/>
      <c r="B419" s="224"/>
      <c r="C419" s="224"/>
      <c r="D419" s="224"/>
      <c r="E419" s="224"/>
      <c r="F419" s="224"/>
      <c r="G419" s="224"/>
      <c r="H419" s="224"/>
      <c r="I419" s="224"/>
      <c r="J419" s="224"/>
      <c r="K419" s="224"/>
      <c r="L419" s="117"/>
      <c r="M419" s="210" t="s">
        <v>1031</v>
      </c>
      <c r="N419" s="244" t="s">
        <v>77</v>
      </c>
      <c r="O419" s="150">
        <v>12.222222222222221</v>
      </c>
      <c r="P419" s="150">
        <v>14.999999999999998</v>
      </c>
      <c r="Q419" s="150">
        <v>16.666666666666668</v>
      </c>
      <c r="R419" s="150">
        <v>13.055555555555557</v>
      </c>
      <c r="S419" s="150">
        <v>14.722222222222221</v>
      </c>
      <c r="T419" s="150">
        <v>16.666666666666668</v>
      </c>
      <c r="U419" s="150">
        <v>22.5</v>
      </c>
      <c r="V419" s="150">
        <v>20</v>
      </c>
      <c r="W419" s="150">
        <v>26.388888888888889</v>
      </c>
      <c r="X419" s="150">
        <v>22.222222222222221</v>
      </c>
      <c r="Y419" s="394"/>
      <c r="Z419" s="246"/>
      <c r="AA419" s="246"/>
      <c r="AB419" s="150">
        <v>19.444444444444443</v>
      </c>
      <c r="AC419" s="153">
        <v>21.388888888888889</v>
      </c>
      <c r="AD419" s="411">
        <f>AB419*AD$260/$AB$260</f>
        <v>19.638888888888889</v>
      </c>
      <c r="AE419" s="411">
        <f>AD419*AE$260/AD$260</f>
        <v>19.874555555555556</v>
      </c>
      <c r="AF419" s="411">
        <f t="shared" ref="AF419:BF419" si="582">AE419*AF$260/AE$260</f>
        <v>20.172673888888887</v>
      </c>
      <c r="AG419" s="411">
        <f t="shared" si="582"/>
        <v>20.475263997222218</v>
      </c>
      <c r="AH419" s="411">
        <f t="shared" si="582"/>
        <v>20.782392957180548</v>
      </c>
      <c r="AI419" s="411">
        <f t="shared" si="582"/>
        <v>21.094128851538255</v>
      </c>
      <c r="AJ419" s="411">
        <f t="shared" si="582"/>
        <v>21.410540784311326</v>
      </c>
      <c r="AK419" s="411">
        <f t="shared" si="582"/>
        <v>21.731698896075997</v>
      </c>
      <c r="AL419" s="411">
        <f t="shared" si="582"/>
        <v>22.057674379517135</v>
      </c>
      <c r="AM419" s="411">
        <f t="shared" si="582"/>
        <v>22.388539495209891</v>
      </c>
      <c r="AN419" s="411">
        <f t="shared" si="582"/>
        <v>22.724367587638035</v>
      </c>
      <c r="AO419" s="411">
        <f t="shared" si="582"/>
        <v>23.065233101452606</v>
      </c>
      <c r="AP419" s="411">
        <f t="shared" si="582"/>
        <v>23.411211597974393</v>
      </c>
      <c r="AQ419" s="411">
        <f t="shared" si="582"/>
        <v>23.762379771944005</v>
      </c>
      <c r="AR419" s="411">
        <f t="shared" si="582"/>
        <v>24.118815468523163</v>
      </c>
      <c r="AS419" s="411">
        <f t="shared" si="582"/>
        <v>24.480597700551009</v>
      </c>
      <c r="AT419" s="411">
        <f t="shared" si="582"/>
        <v>24.847806666059274</v>
      </c>
      <c r="AU419" s="411">
        <f t="shared" si="582"/>
        <v>25.22052376605016</v>
      </c>
      <c r="AV419" s="411">
        <f t="shared" si="582"/>
        <v>25.59883162254091</v>
      </c>
      <c r="AW419" s="411">
        <f t="shared" si="582"/>
        <v>25.982814096879022</v>
      </c>
      <c r="AX419" s="411">
        <f t="shared" si="582"/>
        <v>26.372556308332204</v>
      </c>
      <c r="AY419" s="411">
        <f t="shared" si="582"/>
        <v>26.768144652957183</v>
      </c>
      <c r="AZ419" s="411">
        <f t="shared" si="582"/>
        <v>27.169666822751537</v>
      </c>
      <c r="BA419" s="411">
        <f t="shared" si="582"/>
        <v>27.577211825092803</v>
      </c>
      <c r="BB419" s="411">
        <f t="shared" si="582"/>
        <v>27.935715578819007</v>
      </c>
      <c r="BC419" s="411">
        <f t="shared" si="582"/>
        <v>28.270944165764838</v>
      </c>
      <c r="BD419" s="411">
        <f t="shared" si="582"/>
        <v>28.581924551588251</v>
      </c>
      <c r="BE419" s="411">
        <f t="shared" si="582"/>
        <v>28.867743797104133</v>
      </c>
      <c r="BF419" s="411">
        <f t="shared" si="582"/>
        <v>29.156421235075175</v>
      </c>
    </row>
    <row r="420" spans="1:58" ht="12" hidden="1" customHeight="1" outlineLevel="2" x14ac:dyDescent="0.3">
      <c r="A420" s="224"/>
      <c r="B420" s="224"/>
      <c r="C420" s="224"/>
      <c r="D420" s="224"/>
      <c r="E420" s="224"/>
      <c r="F420" s="224"/>
      <c r="G420" s="224"/>
      <c r="H420" s="224"/>
      <c r="I420" s="224"/>
      <c r="J420" s="224"/>
      <c r="K420" s="224"/>
      <c r="L420" s="117"/>
      <c r="M420" s="210" t="s">
        <v>1032</v>
      </c>
      <c r="N420" s="244" t="s">
        <v>77</v>
      </c>
      <c r="O420" s="150">
        <v>210.00000000000003</v>
      </c>
      <c r="P420" s="150">
        <v>201.94444444444443</v>
      </c>
      <c r="Q420" s="150">
        <v>206.11111111111111</v>
      </c>
      <c r="R420" s="150">
        <v>193.88888888888889</v>
      </c>
      <c r="S420" s="150">
        <v>208.88888888888891</v>
      </c>
      <c r="T420" s="150">
        <v>158.88888888888889</v>
      </c>
      <c r="U420" s="150">
        <v>161.11111111111111</v>
      </c>
      <c r="V420" s="150">
        <v>150</v>
      </c>
      <c r="W420" s="150">
        <v>193.88888888888889</v>
      </c>
      <c r="X420" s="150">
        <v>186.11111111111111</v>
      </c>
      <c r="Y420" s="394"/>
      <c r="Z420" s="246"/>
      <c r="AA420" s="246"/>
      <c r="AB420" s="150">
        <v>133.05555555555554</v>
      </c>
      <c r="AC420" s="153">
        <v>174.44444444444443</v>
      </c>
      <c r="AD420" s="411">
        <f>AB420*AD$260/$AB$260</f>
        <v>134.38611111111109</v>
      </c>
      <c r="AE420" s="411">
        <f>AD420*AE$260/AD$260</f>
        <v>135.99874444444444</v>
      </c>
      <c r="AF420" s="411">
        <f t="shared" ref="AF420:BF420" si="583">AE420*AF$260/AE$260</f>
        <v>138.03872561111109</v>
      </c>
      <c r="AG420" s="411">
        <f t="shared" si="583"/>
        <v>140.10930649527774</v>
      </c>
      <c r="AH420" s="411">
        <f t="shared" si="583"/>
        <v>142.21094609270688</v>
      </c>
      <c r="AI420" s="411">
        <f t="shared" si="583"/>
        <v>144.34411028409747</v>
      </c>
      <c r="AJ420" s="411">
        <f t="shared" si="583"/>
        <v>146.50927193835892</v>
      </c>
      <c r="AK420" s="411">
        <f t="shared" si="583"/>
        <v>148.70691101743429</v>
      </c>
      <c r="AL420" s="411">
        <f t="shared" si="583"/>
        <v>150.93751468269579</v>
      </c>
      <c r="AM420" s="411">
        <f t="shared" si="583"/>
        <v>153.20157740293624</v>
      </c>
      <c r="AN420" s="411">
        <f t="shared" si="583"/>
        <v>155.49960106398024</v>
      </c>
      <c r="AO420" s="411">
        <f t="shared" si="583"/>
        <v>157.83209507993993</v>
      </c>
      <c r="AP420" s="411">
        <f t="shared" si="583"/>
        <v>160.19957650613901</v>
      </c>
      <c r="AQ420" s="411">
        <f t="shared" si="583"/>
        <v>162.60257015373108</v>
      </c>
      <c r="AR420" s="411">
        <f t="shared" si="583"/>
        <v>165.04160870603704</v>
      </c>
      <c r="AS420" s="411">
        <f t="shared" si="583"/>
        <v>167.51723283662758</v>
      </c>
      <c r="AT420" s="411">
        <f t="shared" si="583"/>
        <v>170.02999132917702</v>
      </c>
      <c r="AU420" s="411">
        <f t="shared" si="583"/>
        <v>172.58044119911466</v>
      </c>
      <c r="AV420" s="411">
        <f t="shared" si="583"/>
        <v>175.16914781710136</v>
      </c>
      <c r="AW420" s="411">
        <f t="shared" si="583"/>
        <v>177.79668503435786</v>
      </c>
      <c r="AX420" s="411">
        <f t="shared" si="583"/>
        <v>180.46363530987321</v>
      </c>
      <c r="AY420" s="411">
        <f t="shared" si="583"/>
        <v>183.17058983952126</v>
      </c>
      <c r="AZ420" s="411">
        <f t="shared" si="583"/>
        <v>185.91814868711404</v>
      </c>
      <c r="BA420" s="411">
        <f t="shared" si="583"/>
        <v>188.70692091742072</v>
      </c>
      <c r="BB420" s="411">
        <f t="shared" si="583"/>
        <v>191.16011088934718</v>
      </c>
      <c r="BC420" s="411">
        <f t="shared" si="583"/>
        <v>193.45403222001934</v>
      </c>
      <c r="BD420" s="411">
        <f t="shared" si="583"/>
        <v>195.58202657443954</v>
      </c>
      <c r="BE420" s="411">
        <f t="shared" si="583"/>
        <v>197.53784684018393</v>
      </c>
      <c r="BF420" s="411">
        <f t="shared" si="583"/>
        <v>199.51322530858579</v>
      </c>
    </row>
    <row r="421" spans="1:58" ht="12" hidden="1" customHeight="1" outlineLevel="2" x14ac:dyDescent="0.3">
      <c r="A421" s="224"/>
      <c r="B421" s="224"/>
      <c r="C421" s="224"/>
      <c r="D421" s="224"/>
      <c r="E421" s="224"/>
      <c r="F421" s="224"/>
      <c r="G421" s="224"/>
      <c r="H421" s="224"/>
      <c r="I421" s="224"/>
      <c r="J421" s="224"/>
      <c r="K421" s="224"/>
      <c r="L421" s="117"/>
      <c r="M421" s="210" t="s">
        <v>1033</v>
      </c>
      <c r="N421" s="244" t="s">
        <v>77</v>
      </c>
      <c r="O421" s="150">
        <v>2.7777777777777777</v>
      </c>
      <c r="P421" s="150">
        <v>1.9444444444444444</v>
      </c>
      <c r="Q421" s="150">
        <v>2.2222222222222223</v>
      </c>
      <c r="R421" s="150">
        <v>2.5</v>
      </c>
      <c r="S421" s="150">
        <v>0.55555555555555558</v>
      </c>
      <c r="T421" s="150">
        <v>61.944444444444443</v>
      </c>
      <c r="U421" s="150">
        <v>8.6111111111111125</v>
      </c>
      <c r="V421" s="150">
        <v>120.27777777777776</v>
      </c>
      <c r="W421" s="150">
        <v>184.16666666666666</v>
      </c>
      <c r="X421" s="150">
        <v>34.44444444444445</v>
      </c>
      <c r="Y421" s="394"/>
      <c r="Z421" s="246"/>
      <c r="AA421" s="246"/>
      <c r="AB421" s="150">
        <v>8.8888888888888893</v>
      </c>
      <c r="AC421" s="153">
        <v>2.5</v>
      </c>
      <c r="AD421" s="411">
        <f>AB421*AD$260/$AB$260</f>
        <v>8.9777777777777779</v>
      </c>
      <c r="AE421" s="411">
        <f>AD421*AE$260/AD$260</f>
        <v>9.0855111111111118</v>
      </c>
      <c r="AF421" s="411">
        <f t="shared" ref="AF421:BF421" si="584">AE421*AF$260/AE$260</f>
        <v>9.2217937777777763</v>
      </c>
      <c r="AG421" s="411">
        <f t="shared" si="584"/>
        <v>9.3601206844444409</v>
      </c>
      <c r="AH421" s="411">
        <f t="shared" si="584"/>
        <v>9.500522494711106</v>
      </c>
      <c r="AI421" s="411">
        <f t="shared" si="584"/>
        <v>9.6430303321317705</v>
      </c>
      <c r="AJ421" s="411">
        <f t="shared" si="584"/>
        <v>9.7876757871137468</v>
      </c>
      <c r="AK421" s="411">
        <f t="shared" si="584"/>
        <v>9.9344909239204515</v>
      </c>
      <c r="AL421" s="411">
        <f t="shared" si="584"/>
        <v>10.083508287779258</v>
      </c>
      <c r="AM421" s="411">
        <f t="shared" si="584"/>
        <v>10.234760912095947</v>
      </c>
      <c r="AN421" s="411">
        <f t="shared" si="584"/>
        <v>10.388282325777384</v>
      </c>
      <c r="AO421" s="411">
        <f t="shared" si="584"/>
        <v>10.544106560664044</v>
      </c>
      <c r="AP421" s="411">
        <f t="shared" si="584"/>
        <v>10.702268159074004</v>
      </c>
      <c r="AQ421" s="411">
        <f t="shared" si="584"/>
        <v>10.862802181460111</v>
      </c>
      <c r="AR421" s="411">
        <f t="shared" si="584"/>
        <v>11.025744214182012</v>
      </c>
      <c r="AS421" s="411">
        <f t="shared" si="584"/>
        <v>11.191130377394741</v>
      </c>
      <c r="AT421" s="411">
        <f t="shared" si="584"/>
        <v>11.358997333055662</v>
      </c>
      <c r="AU421" s="411">
        <f t="shared" si="584"/>
        <v>11.529382293051496</v>
      </c>
      <c r="AV421" s="411">
        <f t="shared" si="584"/>
        <v>11.702323027447267</v>
      </c>
      <c r="AW421" s="411">
        <f t="shared" si="584"/>
        <v>11.877857872858975</v>
      </c>
      <c r="AX421" s="411">
        <f t="shared" si="584"/>
        <v>12.056025740951858</v>
      </c>
      <c r="AY421" s="411">
        <f t="shared" si="584"/>
        <v>12.236866127066135</v>
      </c>
      <c r="AZ421" s="411">
        <f t="shared" si="584"/>
        <v>12.420419118972125</v>
      </c>
      <c r="BA421" s="411">
        <f t="shared" si="584"/>
        <v>12.606725405756706</v>
      </c>
      <c r="BB421" s="411">
        <f t="shared" si="584"/>
        <v>12.770612836031543</v>
      </c>
      <c r="BC421" s="411">
        <f t="shared" si="584"/>
        <v>12.92386019006392</v>
      </c>
      <c r="BD421" s="411">
        <f t="shared" si="584"/>
        <v>13.066022652154622</v>
      </c>
      <c r="BE421" s="411">
        <f t="shared" si="584"/>
        <v>13.196682878676169</v>
      </c>
      <c r="BF421" s="411">
        <f t="shared" si="584"/>
        <v>13.328649707462933</v>
      </c>
    </row>
    <row r="422" spans="1:58" ht="12" hidden="1" customHeight="1" outlineLevel="2" x14ac:dyDescent="0.3">
      <c r="A422" s="224"/>
      <c r="B422" s="224" t="s">
        <v>1034</v>
      </c>
      <c r="C422" s="224"/>
      <c r="D422" s="224" t="s">
        <v>885</v>
      </c>
      <c r="E422" s="224"/>
      <c r="F422" s="224"/>
      <c r="G422" s="224"/>
      <c r="H422" s="224"/>
      <c r="I422" s="224"/>
      <c r="J422" s="224"/>
      <c r="K422" s="224"/>
      <c r="L422" s="117"/>
      <c r="M422" s="214" t="s">
        <v>1035</v>
      </c>
      <c r="N422" s="247" t="s">
        <v>77</v>
      </c>
      <c r="O422" s="413">
        <f t="shared" ref="O422:X422" si="585">O407+O411+O414+O419+O420+O421</f>
        <v>1321.6666666666667</v>
      </c>
      <c r="P422" s="413">
        <f t="shared" si="585"/>
        <v>1489.4444444444441</v>
      </c>
      <c r="Q422" s="413">
        <f t="shared" si="585"/>
        <v>1358.0555555555557</v>
      </c>
      <c r="R422" s="413">
        <f t="shared" si="585"/>
        <v>1923.8888888888889</v>
      </c>
      <c r="S422" s="413">
        <f t="shared" si="585"/>
        <v>1504.1666666666667</v>
      </c>
      <c r="T422" s="413">
        <f t="shared" si="585"/>
        <v>988.05555555555554</v>
      </c>
      <c r="U422" s="413">
        <f t="shared" si="585"/>
        <v>863.33333333333326</v>
      </c>
      <c r="V422" s="413">
        <f t="shared" si="585"/>
        <v>1112.4999999999998</v>
      </c>
      <c r="W422" s="413">
        <f t="shared" si="585"/>
        <v>1246.1111111111111</v>
      </c>
      <c r="X422" s="413">
        <f t="shared" si="585"/>
        <v>1121.6666666666665</v>
      </c>
      <c r="Y422" s="394"/>
      <c r="Z422" s="246"/>
      <c r="AA422" s="246"/>
      <c r="AB422" s="413">
        <f>AB407+AB411+AB414+AB419+AB420+AB421</f>
        <v>392.22222222222223</v>
      </c>
      <c r="AC422" s="414">
        <f>AC407+AC411+AC414+AC419+AC420+AC421</f>
        <v>367.5</v>
      </c>
      <c r="AD422" s="411">
        <f>SUM(AD407:AD421)</f>
        <v>396.14444444444439</v>
      </c>
      <c r="AE422" s="411">
        <f>SUM(AE407:AE421)</f>
        <v>400.89817777777773</v>
      </c>
      <c r="AF422" s="411">
        <f t="shared" ref="AF422:BF422" si="586">SUM(AF407:AF421)</f>
        <v>406.91165044444438</v>
      </c>
      <c r="AG422" s="411">
        <f t="shared" si="586"/>
        <v>413.01532520111095</v>
      </c>
      <c r="AH422" s="411">
        <f t="shared" si="586"/>
        <v>419.21055507912757</v>
      </c>
      <c r="AI422" s="411">
        <f t="shared" si="586"/>
        <v>425.4987134053145</v>
      </c>
      <c r="AJ422" s="411">
        <f t="shared" si="586"/>
        <v>431.88119410639416</v>
      </c>
      <c r="AK422" s="411">
        <f t="shared" si="586"/>
        <v>438.35941201799</v>
      </c>
      <c r="AL422" s="411">
        <f t="shared" si="586"/>
        <v>444.93480319825983</v>
      </c>
      <c r="AM422" s="411">
        <f t="shared" si="586"/>
        <v>451.60882524623372</v>
      </c>
      <c r="AN422" s="411">
        <f t="shared" si="586"/>
        <v>458.38295762492714</v>
      </c>
      <c r="AO422" s="411">
        <f t="shared" si="586"/>
        <v>465.25870198930096</v>
      </c>
      <c r="AP422" s="411">
        <f t="shared" si="586"/>
        <v>472.23758251914046</v>
      </c>
      <c r="AQ422" s="411">
        <f t="shared" si="586"/>
        <v>479.32114625692748</v>
      </c>
      <c r="AR422" s="411">
        <f t="shared" si="586"/>
        <v>486.51096345078139</v>
      </c>
      <c r="AS422" s="411">
        <f t="shared" si="586"/>
        <v>493.80862790254309</v>
      </c>
      <c r="AT422" s="411">
        <f t="shared" si="586"/>
        <v>501.21575732108124</v>
      </c>
      <c r="AU422" s="411">
        <f t="shared" si="586"/>
        <v>508.73399368089747</v>
      </c>
      <c r="AV422" s="411">
        <f t="shared" si="586"/>
        <v>516.36500358611079</v>
      </c>
      <c r="AW422" s="411">
        <f t="shared" si="586"/>
        <v>524.11047863990234</v>
      </c>
      <c r="AX422" s="411">
        <f t="shared" si="586"/>
        <v>531.97213581950098</v>
      </c>
      <c r="AY422" s="411">
        <f t="shared" si="586"/>
        <v>539.95171785679327</v>
      </c>
      <c r="AZ422" s="411">
        <f t="shared" si="586"/>
        <v>548.05099362464512</v>
      </c>
      <c r="BA422" s="411">
        <f t="shared" si="586"/>
        <v>556.27175852901473</v>
      </c>
      <c r="BB422" s="411">
        <f t="shared" si="586"/>
        <v>563.50329138989184</v>
      </c>
      <c r="BC422" s="411">
        <f t="shared" si="586"/>
        <v>570.26533088657061</v>
      </c>
      <c r="BD422" s="411">
        <f t="shared" si="586"/>
        <v>576.53824952632283</v>
      </c>
      <c r="BE422" s="411">
        <f t="shared" si="586"/>
        <v>582.30363202158605</v>
      </c>
      <c r="BF422" s="411">
        <f t="shared" si="586"/>
        <v>588.12666834180197</v>
      </c>
    </row>
    <row r="423" spans="1:58" ht="12" hidden="1" customHeight="1" outlineLevel="2" x14ac:dyDescent="0.3">
      <c r="A423" s="224"/>
      <c r="B423" s="224"/>
      <c r="C423" s="224"/>
      <c r="D423" s="224"/>
      <c r="E423" s="224"/>
      <c r="F423" s="224"/>
      <c r="G423" s="224"/>
      <c r="H423" s="224"/>
      <c r="I423" s="224"/>
      <c r="J423" s="224"/>
      <c r="K423" s="224"/>
      <c r="L423" s="117"/>
      <c r="M423" s="223" t="s">
        <v>980</v>
      </c>
      <c r="N423" s="216" t="s">
        <v>68</v>
      </c>
      <c r="O423" s="415">
        <f t="shared" ref="O423:X423" si="587">IFERROR((O408+O409+O410+O412+O413+O415+O416+O417+O418+O419+O420+O421)/O422,"")</f>
        <v>1</v>
      </c>
      <c r="P423" s="415">
        <f t="shared" si="587"/>
        <v>1</v>
      </c>
      <c r="Q423" s="415">
        <f t="shared" si="587"/>
        <v>1</v>
      </c>
      <c r="R423" s="415">
        <f t="shared" si="587"/>
        <v>1.0000000000000002</v>
      </c>
      <c r="S423" s="415">
        <f>IFERROR((S408+S409+S410+S412+S413+S415+S416+S417+S418+S419+S420+S421)/S422,"")</f>
        <v>1</v>
      </c>
      <c r="T423" s="415">
        <f>IFERROR((T408+T409+T410+T412+T413+T415+T416+T417+T418+T419+T420+T421)/T422,"")</f>
        <v>1</v>
      </c>
      <c r="U423" s="415">
        <f t="shared" si="587"/>
        <v>1</v>
      </c>
      <c r="V423" s="415">
        <f t="shared" si="587"/>
        <v>1.0000000000000002</v>
      </c>
      <c r="W423" s="415">
        <f t="shared" si="587"/>
        <v>1</v>
      </c>
      <c r="X423" s="415">
        <f t="shared" si="587"/>
        <v>1</v>
      </c>
      <c r="Y423" s="394"/>
      <c r="Z423" s="210"/>
      <c r="AA423" s="210"/>
      <c r="AB423" s="415">
        <f>IFERROR((AB408+AB409+AB410+AB412+AB413+AB415+AB416+AB417+AB418+AB419+AB420+AB421)/AB422,"")</f>
        <v>1</v>
      </c>
      <c r="AC423" s="415">
        <f>IFERROR((AC408+AC409+AC410+AC412+AC413+AC415+AC416+AC417+AC418+AC419+AC420+AC421)/AC422,"")</f>
        <v>1</v>
      </c>
      <c r="AD423" s="224"/>
      <c r="AE423" s="224"/>
      <c r="AF423" s="224"/>
      <c r="AG423" s="224"/>
      <c r="AH423" s="224"/>
      <c r="AI423" s="224"/>
      <c r="AJ423" s="224"/>
      <c r="AK423" s="224"/>
      <c r="AL423" s="224"/>
      <c r="AM423" s="224"/>
      <c r="AN423" s="224"/>
      <c r="AO423" s="224"/>
      <c r="AP423" s="224"/>
      <c r="AQ423" s="224"/>
      <c r="AR423" s="224"/>
      <c r="AS423" s="224"/>
      <c r="AT423" s="224"/>
      <c r="AU423" s="224"/>
      <c r="AV423" s="224"/>
      <c r="AW423" s="224"/>
      <c r="AX423" s="224"/>
      <c r="AY423" s="224"/>
      <c r="AZ423" s="224"/>
      <c r="BA423" s="224"/>
      <c r="BB423" s="224"/>
      <c r="BC423" s="224"/>
      <c r="BD423" s="224"/>
      <c r="BE423" s="224"/>
      <c r="BF423" s="224"/>
    </row>
    <row r="424" spans="1:58" ht="12" hidden="1" customHeight="1" outlineLevel="2" x14ac:dyDescent="0.3">
      <c r="A424" s="224"/>
      <c r="B424" s="224"/>
      <c r="C424" s="224"/>
      <c r="D424" s="224"/>
      <c r="E424" s="224"/>
      <c r="F424" s="224"/>
      <c r="G424" s="224"/>
      <c r="H424" s="224"/>
      <c r="I424" s="224"/>
      <c r="J424" s="224"/>
      <c r="K424" s="224"/>
      <c r="L424" s="117"/>
      <c r="M424" s="210"/>
      <c r="N424" s="210"/>
      <c r="O424" s="415">
        <f t="shared" ref="O424:X424" si="588">IFERROR((O407+O411+O414+O419+O420+O421)/O422,"")</f>
        <v>1</v>
      </c>
      <c r="P424" s="415">
        <f t="shared" si="588"/>
        <v>1</v>
      </c>
      <c r="Q424" s="415">
        <f t="shared" si="588"/>
        <v>1</v>
      </c>
      <c r="R424" s="415">
        <f t="shared" si="588"/>
        <v>1</v>
      </c>
      <c r="S424" s="415">
        <f t="shared" si="588"/>
        <v>1</v>
      </c>
      <c r="T424" s="415">
        <f t="shared" si="588"/>
        <v>1</v>
      </c>
      <c r="U424" s="415">
        <f t="shared" si="588"/>
        <v>1</v>
      </c>
      <c r="V424" s="415">
        <f t="shared" si="588"/>
        <v>1</v>
      </c>
      <c r="W424" s="415">
        <f t="shared" si="588"/>
        <v>1</v>
      </c>
      <c r="X424" s="415">
        <f t="shared" si="588"/>
        <v>1</v>
      </c>
      <c r="Y424" s="394"/>
      <c r="Z424" s="210"/>
      <c r="AA424" s="210"/>
      <c r="AB424" s="415">
        <f>IFERROR((AB407+AB411+AB414+AB419+AB420+AB421)/AB422,"")</f>
        <v>1</v>
      </c>
      <c r="AC424" s="415">
        <f>IFERROR((AC407+AC411+AC414+AC419+AC420+AC421)/AC422,"")</f>
        <v>1</v>
      </c>
      <c r="AD424" s="224"/>
      <c r="AE424" s="224"/>
      <c r="AF424" s="224"/>
      <c r="AG424" s="224"/>
      <c r="AH424" s="224"/>
      <c r="AI424" s="224"/>
      <c r="AJ424" s="224"/>
      <c r="AK424" s="224"/>
      <c r="AL424" s="224"/>
      <c r="AM424" s="224"/>
      <c r="AN424" s="224"/>
      <c r="AO424" s="224"/>
      <c r="AP424" s="224"/>
      <c r="AQ424" s="224"/>
      <c r="AR424" s="224"/>
      <c r="AS424" s="224"/>
      <c r="AT424" s="224"/>
      <c r="AU424" s="224"/>
      <c r="AV424" s="224"/>
      <c r="AW424" s="224"/>
      <c r="AX424" s="224"/>
      <c r="AY424" s="224"/>
      <c r="AZ424" s="224"/>
      <c r="BA424" s="224"/>
      <c r="BB424" s="224"/>
      <c r="BC424" s="224"/>
      <c r="BD424" s="224"/>
      <c r="BE424" s="224"/>
      <c r="BF424" s="224"/>
    </row>
    <row r="425" spans="1:58" ht="12" hidden="1" customHeight="1" outlineLevel="2" x14ac:dyDescent="0.3">
      <c r="A425" s="224"/>
      <c r="B425" s="224"/>
      <c r="C425" s="224"/>
      <c r="D425" s="224"/>
      <c r="E425" s="224"/>
      <c r="F425" s="224"/>
      <c r="G425" s="224"/>
      <c r="H425" s="224"/>
      <c r="I425" s="224"/>
      <c r="J425" s="224"/>
      <c r="K425" s="224"/>
      <c r="L425" s="117"/>
      <c r="M425" s="211" t="s">
        <v>1036</v>
      </c>
      <c r="N425" s="210"/>
      <c r="O425" s="210"/>
      <c r="P425" s="210"/>
      <c r="Q425" s="210"/>
      <c r="R425" s="210"/>
      <c r="S425" s="210"/>
      <c r="T425" s="210"/>
      <c r="U425" s="210"/>
      <c r="V425" s="210"/>
      <c r="W425" s="210"/>
      <c r="X425" s="210"/>
      <c r="Y425" s="394"/>
      <c r="Z425" s="210"/>
      <c r="AA425" s="210"/>
      <c r="AB425" s="210"/>
      <c r="AC425" s="210"/>
      <c r="AD425" s="224"/>
      <c r="AE425" s="224"/>
      <c r="AF425" s="224"/>
      <c r="AG425" s="224"/>
      <c r="AH425" s="224"/>
      <c r="AI425" s="224"/>
      <c r="AJ425" s="224"/>
      <c r="AK425" s="224"/>
      <c r="AL425" s="224"/>
      <c r="AM425" s="224"/>
      <c r="AN425" s="224"/>
      <c r="AO425" s="224"/>
      <c r="AP425" s="224"/>
      <c r="AQ425" s="224"/>
      <c r="AR425" s="224"/>
      <c r="AS425" s="224"/>
      <c r="AT425" s="224"/>
      <c r="AU425" s="224"/>
      <c r="AV425" s="224"/>
      <c r="AW425" s="224"/>
      <c r="AX425" s="224"/>
      <c r="AY425" s="224"/>
      <c r="AZ425" s="224"/>
      <c r="BA425" s="224"/>
      <c r="BB425" s="224"/>
      <c r="BC425" s="224"/>
      <c r="BD425" s="224"/>
      <c r="BE425" s="224"/>
      <c r="BF425" s="224"/>
    </row>
    <row r="426" spans="1:58" ht="12" hidden="1" customHeight="1" outlineLevel="2" x14ac:dyDescent="0.3">
      <c r="A426" s="224"/>
      <c r="B426" s="224"/>
      <c r="C426" s="224"/>
      <c r="D426" s="224"/>
      <c r="E426" s="224"/>
      <c r="F426" s="224"/>
      <c r="G426" s="224"/>
      <c r="H426" s="224"/>
      <c r="I426" s="224"/>
      <c r="J426" s="224"/>
      <c r="K426" s="224"/>
      <c r="L426" s="117"/>
      <c r="M426" s="210" t="s">
        <v>1037</v>
      </c>
      <c r="N426" s="244" t="s">
        <v>77</v>
      </c>
      <c r="O426" s="409">
        <f>SUM(O427:O429)</f>
        <v>0</v>
      </c>
      <c r="P426" s="409">
        <f t="shared" ref="P426" si="589">SUM(P427:P429)</f>
        <v>0</v>
      </c>
      <c r="Q426" s="409">
        <f t="shared" ref="Q426" si="590">SUM(Q427:Q429)</f>
        <v>0</v>
      </c>
      <c r="R426" s="409">
        <f t="shared" ref="R426" si="591">SUM(R427:R429)</f>
        <v>0</v>
      </c>
      <c r="S426" s="409">
        <f t="shared" ref="S426" si="592">SUM(S427:S429)</f>
        <v>0</v>
      </c>
      <c r="T426" s="409">
        <f t="shared" ref="T426" si="593">SUM(T427:T429)</f>
        <v>0</v>
      </c>
      <c r="U426" s="409">
        <f t="shared" ref="U426" si="594">SUM(U427:U429)</f>
        <v>0</v>
      </c>
      <c r="V426" s="409">
        <f t="shared" ref="V426" si="595">SUM(V427:V429)</f>
        <v>0</v>
      </c>
      <c r="W426" s="409">
        <f t="shared" ref="W426" si="596">SUM(W427:W429)</f>
        <v>0</v>
      </c>
      <c r="X426" s="409">
        <f t="shared" ref="X426" si="597">SUM(X427:X429)</f>
        <v>0</v>
      </c>
      <c r="Y426" s="394"/>
      <c r="Z426" s="210"/>
      <c r="AA426" s="210"/>
      <c r="AB426" s="409">
        <f t="shared" ref="AB426" si="598">SUM(AB427:AB429)</f>
        <v>0</v>
      </c>
      <c r="AC426" s="410">
        <f t="shared" ref="AC426" si="599">SUM(AC427:AC429)</f>
        <v>0</v>
      </c>
      <c r="AD426" s="411">
        <f>AB426*AD$261/$AB$261</f>
        <v>0</v>
      </c>
      <c r="AE426" s="411">
        <f>AD426*AE$261/AD$261</f>
        <v>0</v>
      </c>
      <c r="AF426" s="411">
        <f t="shared" ref="AF426:BF426" si="600">AE426*AF$261/AE$261</f>
        <v>0</v>
      </c>
      <c r="AG426" s="411">
        <f t="shared" si="600"/>
        <v>0</v>
      </c>
      <c r="AH426" s="411">
        <f t="shared" si="600"/>
        <v>0</v>
      </c>
      <c r="AI426" s="411">
        <f t="shared" si="600"/>
        <v>0</v>
      </c>
      <c r="AJ426" s="411">
        <f t="shared" si="600"/>
        <v>0</v>
      </c>
      <c r="AK426" s="411">
        <f t="shared" si="600"/>
        <v>0</v>
      </c>
      <c r="AL426" s="411">
        <f t="shared" si="600"/>
        <v>0</v>
      </c>
      <c r="AM426" s="411">
        <f t="shared" si="600"/>
        <v>0</v>
      </c>
      <c r="AN426" s="411">
        <f t="shared" si="600"/>
        <v>0</v>
      </c>
      <c r="AO426" s="411">
        <f t="shared" si="600"/>
        <v>0</v>
      </c>
      <c r="AP426" s="411">
        <f t="shared" si="600"/>
        <v>0</v>
      </c>
      <c r="AQ426" s="411">
        <f t="shared" si="600"/>
        <v>0</v>
      </c>
      <c r="AR426" s="411">
        <f t="shared" si="600"/>
        <v>0</v>
      </c>
      <c r="AS426" s="411">
        <f t="shared" si="600"/>
        <v>0</v>
      </c>
      <c r="AT426" s="411">
        <f t="shared" si="600"/>
        <v>0</v>
      </c>
      <c r="AU426" s="411">
        <f t="shared" si="600"/>
        <v>0</v>
      </c>
      <c r="AV426" s="411">
        <f t="shared" si="600"/>
        <v>0</v>
      </c>
      <c r="AW426" s="411">
        <f t="shared" si="600"/>
        <v>0</v>
      </c>
      <c r="AX426" s="411">
        <f t="shared" si="600"/>
        <v>0</v>
      </c>
      <c r="AY426" s="411">
        <f t="shared" si="600"/>
        <v>0</v>
      </c>
      <c r="AZ426" s="411">
        <f t="shared" si="600"/>
        <v>0</v>
      </c>
      <c r="BA426" s="411">
        <f t="shared" si="600"/>
        <v>0</v>
      </c>
      <c r="BB426" s="411">
        <f t="shared" si="600"/>
        <v>0</v>
      </c>
      <c r="BC426" s="411">
        <f t="shared" si="600"/>
        <v>0</v>
      </c>
      <c r="BD426" s="411">
        <f t="shared" si="600"/>
        <v>0</v>
      </c>
      <c r="BE426" s="411">
        <f t="shared" si="600"/>
        <v>0</v>
      </c>
      <c r="BF426" s="411">
        <f t="shared" si="600"/>
        <v>0</v>
      </c>
    </row>
    <row r="427" spans="1:58" ht="12" hidden="1" customHeight="1" outlineLevel="2" x14ac:dyDescent="0.3">
      <c r="A427" s="224"/>
      <c r="B427" s="224"/>
      <c r="C427" s="224"/>
      <c r="D427" s="224"/>
      <c r="E427" s="224"/>
      <c r="F427" s="224"/>
      <c r="G427" s="224"/>
      <c r="H427" s="224"/>
      <c r="I427" s="224"/>
      <c r="J427" s="224"/>
      <c r="K427" s="224"/>
      <c r="L427" s="117"/>
      <c r="M427" s="213" t="s">
        <v>964</v>
      </c>
      <c r="N427" s="244" t="s">
        <v>77</v>
      </c>
      <c r="O427" s="150">
        <v>0</v>
      </c>
      <c r="P427" s="150">
        <v>0</v>
      </c>
      <c r="Q427" s="150">
        <v>0</v>
      </c>
      <c r="R427" s="150">
        <v>0</v>
      </c>
      <c r="S427" s="150">
        <v>0</v>
      </c>
      <c r="T427" s="150">
        <v>0</v>
      </c>
      <c r="U427" s="150">
        <v>0</v>
      </c>
      <c r="V427" s="150">
        <v>0</v>
      </c>
      <c r="W427" s="150">
        <v>0</v>
      </c>
      <c r="X427" s="150">
        <v>0</v>
      </c>
      <c r="Y427" s="394"/>
      <c r="Z427" s="246"/>
      <c r="AA427" s="246"/>
      <c r="AB427" s="150">
        <v>0</v>
      </c>
      <c r="AC427" s="153">
        <v>0</v>
      </c>
      <c r="AD427" s="412"/>
      <c r="AE427" s="412"/>
      <c r="AF427" s="412"/>
      <c r="AG427" s="412"/>
      <c r="AH427" s="412"/>
      <c r="AI427" s="412"/>
      <c r="AJ427" s="412"/>
      <c r="AK427" s="412"/>
      <c r="AL427" s="412"/>
      <c r="AM427" s="412"/>
      <c r="AN427" s="412"/>
      <c r="AO427" s="412"/>
      <c r="AP427" s="412"/>
      <c r="AQ427" s="412"/>
      <c r="AR427" s="412"/>
      <c r="AS427" s="412"/>
      <c r="AT427" s="412"/>
      <c r="AU427" s="412"/>
      <c r="AV427" s="412"/>
      <c r="AW427" s="412"/>
      <c r="AX427" s="412"/>
      <c r="AY427" s="412"/>
      <c r="AZ427" s="412"/>
      <c r="BA427" s="412"/>
      <c r="BB427" s="412"/>
      <c r="BC427" s="412"/>
      <c r="BD427" s="412"/>
      <c r="BE427" s="412"/>
      <c r="BF427" s="412"/>
    </row>
    <row r="428" spans="1:58" ht="12" hidden="1" customHeight="1" outlineLevel="2" x14ac:dyDescent="0.3">
      <c r="A428" s="224"/>
      <c r="B428" s="224"/>
      <c r="C428" s="224"/>
      <c r="D428" s="224"/>
      <c r="E428" s="224"/>
      <c r="F428" s="224"/>
      <c r="G428" s="224"/>
      <c r="H428" s="224"/>
      <c r="I428" s="224"/>
      <c r="J428" s="224"/>
      <c r="K428" s="224"/>
      <c r="L428" s="117"/>
      <c r="M428" s="213" t="s">
        <v>965</v>
      </c>
      <c r="N428" s="244" t="s">
        <v>77</v>
      </c>
      <c r="O428" s="150">
        <v>0</v>
      </c>
      <c r="P428" s="150">
        <v>0</v>
      </c>
      <c r="Q428" s="150">
        <v>0</v>
      </c>
      <c r="R428" s="150">
        <v>0</v>
      </c>
      <c r="S428" s="150">
        <v>0</v>
      </c>
      <c r="T428" s="150">
        <v>0</v>
      </c>
      <c r="U428" s="150">
        <v>0</v>
      </c>
      <c r="V428" s="150">
        <v>0</v>
      </c>
      <c r="W428" s="150">
        <v>0</v>
      </c>
      <c r="X428" s="150">
        <v>0</v>
      </c>
      <c r="Y428" s="394"/>
      <c r="Z428" s="246"/>
      <c r="AA428" s="246"/>
      <c r="AB428" s="150">
        <v>0</v>
      </c>
      <c r="AC428" s="153">
        <v>0</v>
      </c>
      <c r="AD428" s="412"/>
      <c r="AE428" s="412"/>
      <c r="AF428" s="412"/>
      <c r="AG428" s="412"/>
      <c r="AH428" s="412"/>
      <c r="AI428" s="412"/>
      <c r="AJ428" s="412"/>
      <c r="AK428" s="412"/>
      <c r="AL428" s="412"/>
      <c r="AM428" s="412"/>
      <c r="AN428" s="412"/>
      <c r="AO428" s="412"/>
      <c r="AP428" s="412"/>
      <c r="AQ428" s="412"/>
      <c r="AR428" s="412"/>
      <c r="AS428" s="412"/>
      <c r="AT428" s="412"/>
      <c r="AU428" s="412"/>
      <c r="AV428" s="412"/>
      <c r="AW428" s="412"/>
      <c r="AX428" s="412"/>
      <c r="AY428" s="412"/>
      <c r="AZ428" s="412"/>
      <c r="BA428" s="412"/>
      <c r="BB428" s="412"/>
      <c r="BC428" s="412"/>
      <c r="BD428" s="412"/>
      <c r="BE428" s="412"/>
      <c r="BF428" s="412"/>
    </row>
    <row r="429" spans="1:58" ht="12" hidden="1" customHeight="1" outlineLevel="2" x14ac:dyDescent="0.3">
      <c r="A429" s="224"/>
      <c r="B429" s="224"/>
      <c r="C429" s="224"/>
      <c r="D429" s="224"/>
      <c r="E429" s="224"/>
      <c r="F429" s="224"/>
      <c r="G429" s="224"/>
      <c r="H429" s="224"/>
      <c r="I429" s="224"/>
      <c r="J429" s="224"/>
      <c r="K429" s="224"/>
      <c r="L429" s="117"/>
      <c r="M429" s="213" t="s">
        <v>966</v>
      </c>
      <c r="N429" s="244" t="s">
        <v>77</v>
      </c>
      <c r="O429" s="150">
        <v>0</v>
      </c>
      <c r="P429" s="150">
        <v>0</v>
      </c>
      <c r="Q429" s="150">
        <v>0</v>
      </c>
      <c r="R429" s="150">
        <v>0</v>
      </c>
      <c r="S429" s="150">
        <v>0</v>
      </c>
      <c r="T429" s="150">
        <v>0</v>
      </c>
      <c r="U429" s="150">
        <v>0</v>
      </c>
      <c r="V429" s="150">
        <v>0</v>
      </c>
      <c r="W429" s="150">
        <v>0</v>
      </c>
      <c r="X429" s="150">
        <v>0</v>
      </c>
      <c r="Y429" s="394"/>
      <c r="Z429" s="246"/>
      <c r="AA429" s="246"/>
      <c r="AB429" s="150">
        <v>0</v>
      </c>
      <c r="AC429" s="153">
        <v>0</v>
      </c>
      <c r="AD429" s="412"/>
      <c r="AE429" s="412"/>
      <c r="AF429" s="412"/>
      <c r="AG429" s="412"/>
      <c r="AH429" s="412"/>
      <c r="AI429" s="412"/>
      <c r="AJ429" s="412"/>
      <c r="AK429" s="412"/>
      <c r="AL429" s="412"/>
      <c r="AM429" s="412"/>
      <c r="AN429" s="412"/>
      <c r="AO429" s="412"/>
      <c r="AP429" s="412"/>
      <c r="AQ429" s="412"/>
      <c r="AR429" s="412"/>
      <c r="AS429" s="412"/>
      <c r="AT429" s="412"/>
      <c r="AU429" s="412"/>
      <c r="AV429" s="412"/>
      <c r="AW429" s="412"/>
      <c r="AX429" s="412"/>
      <c r="AY429" s="412"/>
      <c r="AZ429" s="412"/>
      <c r="BA429" s="412"/>
      <c r="BB429" s="412"/>
      <c r="BC429" s="412"/>
      <c r="BD429" s="412"/>
      <c r="BE429" s="412"/>
      <c r="BF429" s="412"/>
    </row>
    <row r="430" spans="1:58" ht="12" hidden="1" customHeight="1" outlineLevel="2" x14ac:dyDescent="0.3">
      <c r="A430" s="224"/>
      <c r="B430" s="224"/>
      <c r="C430" s="224"/>
      <c r="D430" s="224"/>
      <c r="E430" s="224"/>
      <c r="F430" s="224"/>
      <c r="G430" s="224"/>
      <c r="H430" s="224"/>
      <c r="I430" s="224"/>
      <c r="J430" s="224"/>
      <c r="K430" s="224"/>
      <c r="L430" s="117"/>
      <c r="M430" s="210" t="s">
        <v>1038</v>
      </c>
      <c r="N430" s="244" t="s">
        <v>77</v>
      </c>
      <c r="O430" s="409">
        <f>SUM(O431:O432)</f>
        <v>1.3888888888888888</v>
      </c>
      <c r="P430" s="409">
        <f t="shared" ref="P430" si="601">SUM(P431:P432)</f>
        <v>1.3888888888888888</v>
      </c>
      <c r="Q430" s="409">
        <f t="shared" ref="Q430" si="602">SUM(Q431:Q432)</f>
        <v>0.83333333333333326</v>
      </c>
      <c r="R430" s="409">
        <f t="shared" ref="R430" si="603">SUM(R431:R432)</f>
        <v>0.83333333333333326</v>
      </c>
      <c r="S430" s="409">
        <f t="shared" ref="S430" si="604">SUM(S431:S432)</f>
        <v>0.55555555555555558</v>
      </c>
      <c r="T430" s="409">
        <f t="shared" ref="T430" si="605">SUM(T431:T432)</f>
        <v>0.27777777777777779</v>
      </c>
      <c r="U430" s="409">
        <f t="shared" ref="U430" si="606">SUM(U431:U432)</f>
        <v>3.6111111111111112</v>
      </c>
      <c r="V430" s="409">
        <f t="shared" ref="V430" si="607">SUM(V431:V432)</f>
        <v>3.0555555555555554</v>
      </c>
      <c r="W430" s="409">
        <f t="shared" ref="W430" si="608">SUM(W431:W432)</f>
        <v>3.8888888888888888</v>
      </c>
      <c r="X430" s="409">
        <f t="shared" ref="X430" si="609">SUM(X431:X432)</f>
        <v>5</v>
      </c>
      <c r="Y430" s="394"/>
      <c r="Z430" s="220"/>
      <c r="AA430" s="220"/>
      <c r="AB430" s="409">
        <f t="shared" ref="AB430" si="610">SUM(AB431:AB432)</f>
        <v>2.5</v>
      </c>
      <c r="AC430" s="410">
        <f t="shared" ref="AC430" si="611">SUM(AC431:AC432)</f>
        <v>3.6111111111111112</v>
      </c>
      <c r="AD430" s="411">
        <f>AB430*AD$261/$AB$261</f>
        <v>2.5249999999999999</v>
      </c>
      <c r="AE430" s="411">
        <f>AD430*AE$261/AD$261</f>
        <v>2.5552999999999999</v>
      </c>
      <c r="AF430" s="411">
        <f t="shared" ref="AF430:BF430" si="612">AE430*AF$261/AE$261</f>
        <v>2.5936294999999996</v>
      </c>
      <c r="AG430" s="411">
        <f t="shared" si="612"/>
        <v>2.6325339424999989</v>
      </c>
      <c r="AH430" s="411">
        <f t="shared" si="612"/>
        <v>2.6720219516374986</v>
      </c>
      <c r="AI430" s="411">
        <f t="shared" si="612"/>
        <v>2.7121022809120605</v>
      </c>
      <c r="AJ430" s="411">
        <f t="shared" si="612"/>
        <v>2.7527838151257411</v>
      </c>
      <c r="AK430" s="411">
        <f t="shared" si="612"/>
        <v>2.7940755723526274</v>
      </c>
      <c r="AL430" s="411">
        <f t="shared" si="612"/>
        <v>2.8359867059379162</v>
      </c>
      <c r="AM430" s="411">
        <f t="shared" si="612"/>
        <v>2.8785265065269847</v>
      </c>
      <c r="AN430" s="411">
        <f t="shared" si="612"/>
        <v>2.9217044041248892</v>
      </c>
      <c r="AO430" s="411">
        <f t="shared" si="612"/>
        <v>2.9655299701867621</v>
      </c>
      <c r="AP430" s="411">
        <f t="shared" si="612"/>
        <v>3.0100129197395633</v>
      </c>
      <c r="AQ430" s="411">
        <f t="shared" si="612"/>
        <v>3.0551631135356563</v>
      </c>
      <c r="AR430" s="411">
        <f t="shared" si="612"/>
        <v>3.1009905602386909</v>
      </c>
      <c r="AS430" s="411">
        <f t="shared" si="612"/>
        <v>3.1475054186422708</v>
      </c>
      <c r="AT430" s="411">
        <f t="shared" si="612"/>
        <v>3.1947179999219046</v>
      </c>
      <c r="AU430" s="411">
        <f t="shared" si="612"/>
        <v>3.2426387699207329</v>
      </c>
      <c r="AV430" s="411">
        <f t="shared" si="612"/>
        <v>3.2912783514695434</v>
      </c>
      <c r="AW430" s="411">
        <f t="shared" si="612"/>
        <v>3.3406475267415865</v>
      </c>
      <c r="AX430" s="411">
        <f t="shared" si="612"/>
        <v>3.3907572396427099</v>
      </c>
      <c r="AY430" s="411">
        <f t="shared" si="612"/>
        <v>3.4416185982373499</v>
      </c>
      <c r="AZ430" s="411">
        <f t="shared" si="612"/>
        <v>3.4932428772109096</v>
      </c>
      <c r="BA430" s="411">
        <f t="shared" si="612"/>
        <v>3.5456415203690734</v>
      </c>
      <c r="BB430" s="411">
        <f t="shared" si="612"/>
        <v>3.591734860133871</v>
      </c>
      <c r="BC430" s="411">
        <f t="shared" si="612"/>
        <v>3.6348356784554774</v>
      </c>
      <c r="BD430" s="411">
        <f t="shared" si="612"/>
        <v>3.6748188709184872</v>
      </c>
      <c r="BE430" s="411">
        <f t="shared" si="612"/>
        <v>3.7115670596276722</v>
      </c>
      <c r="BF430" s="411">
        <f t="shared" si="612"/>
        <v>3.7486827302239489</v>
      </c>
    </row>
    <row r="431" spans="1:58" ht="12" hidden="1" customHeight="1" outlineLevel="2" x14ac:dyDescent="0.3">
      <c r="A431" s="224"/>
      <c r="B431" s="224"/>
      <c r="C431" s="224"/>
      <c r="D431" s="224"/>
      <c r="E431" s="224"/>
      <c r="F431" s="224"/>
      <c r="G431" s="224"/>
      <c r="H431" s="224"/>
      <c r="I431" s="224"/>
      <c r="J431" s="224"/>
      <c r="K431" s="224"/>
      <c r="L431" s="117"/>
      <c r="M431" s="213" t="s">
        <v>968</v>
      </c>
      <c r="N431" s="244" t="s">
        <v>77</v>
      </c>
      <c r="O431" s="150">
        <v>1.3888888888888888</v>
      </c>
      <c r="P431" s="150">
        <v>1.3888888888888888</v>
      </c>
      <c r="Q431" s="150">
        <v>0.83333333333333326</v>
      </c>
      <c r="R431" s="150">
        <v>0.83333333333333326</v>
      </c>
      <c r="S431" s="150">
        <v>0.55555555555555558</v>
      </c>
      <c r="T431" s="150">
        <v>0.27777777777777779</v>
      </c>
      <c r="U431" s="150">
        <v>3.6111111111111112</v>
      </c>
      <c r="V431" s="150">
        <v>3.0555555555555554</v>
      </c>
      <c r="W431" s="150">
        <v>3.8888888888888888</v>
      </c>
      <c r="X431" s="150">
        <v>5</v>
      </c>
      <c r="Y431" s="394"/>
      <c r="Z431" s="246"/>
      <c r="AA431" s="246"/>
      <c r="AB431" s="150">
        <v>2.5</v>
      </c>
      <c r="AC431" s="153">
        <v>3.6111111111111112</v>
      </c>
      <c r="AD431" s="412"/>
      <c r="AE431" s="412"/>
      <c r="AF431" s="412"/>
      <c r="AG431" s="412"/>
      <c r="AH431" s="412"/>
      <c r="AI431" s="412"/>
      <c r="AJ431" s="412"/>
      <c r="AK431" s="412"/>
      <c r="AL431" s="412"/>
      <c r="AM431" s="412"/>
      <c r="AN431" s="412"/>
      <c r="AO431" s="412"/>
      <c r="AP431" s="412"/>
      <c r="AQ431" s="412"/>
      <c r="AR431" s="412"/>
      <c r="AS431" s="412"/>
      <c r="AT431" s="412"/>
      <c r="AU431" s="412"/>
      <c r="AV431" s="412"/>
      <c r="AW431" s="412"/>
      <c r="AX431" s="412"/>
      <c r="AY431" s="412"/>
      <c r="AZ431" s="412"/>
      <c r="BA431" s="412"/>
      <c r="BB431" s="412"/>
      <c r="BC431" s="412"/>
      <c r="BD431" s="412"/>
      <c r="BE431" s="412"/>
      <c r="BF431" s="412"/>
    </row>
    <row r="432" spans="1:58" ht="12" hidden="1" customHeight="1" outlineLevel="2" x14ac:dyDescent="0.3">
      <c r="A432" s="224"/>
      <c r="B432" s="224"/>
      <c r="C432" s="224"/>
      <c r="D432" s="224"/>
      <c r="E432" s="224"/>
      <c r="F432" s="224"/>
      <c r="G432" s="224"/>
      <c r="H432" s="224"/>
      <c r="I432" s="224"/>
      <c r="J432" s="224"/>
      <c r="K432" s="224"/>
      <c r="L432" s="117"/>
      <c r="M432" s="213" t="s">
        <v>969</v>
      </c>
      <c r="N432" s="244" t="s">
        <v>77</v>
      </c>
      <c r="O432" s="150">
        <v>0</v>
      </c>
      <c r="P432" s="150">
        <v>0</v>
      </c>
      <c r="Q432" s="150">
        <v>0</v>
      </c>
      <c r="R432" s="150">
        <v>0</v>
      </c>
      <c r="S432" s="150">
        <v>0</v>
      </c>
      <c r="T432" s="150">
        <v>0</v>
      </c>
      <c r="U432" s="150">
        <v>0</v>
      </c>
      <c r="V432" s="150">
        <v>0</v>
      </c>
      <c r="W432" s="150">
        <v>0</v>
      </c>
      <c r="X432" s="150">
        <v>0</v>
      </c>
      <c r="Y432" s="394"/>
      <c r="Z432" s="246"/>
      <c r="AA432" s="246"/>
      <c r="AB432" s="150">
        <v>0</v>
      </c>
      <c r="AC432" s="153">
        <v>0</v>
      </c>
      <c r="AD432" s="412"/>
      <c r="AE432" s="412"/>
      <c r="AF432" s="412"/>
      <c r="AG432" s="412"/>
      <c r="AH432" s="412"/>
      <c r="AI432" s="412"/>
      <c r="AJ432" s="412"/>
      <c r="AK432" s="412"/>
      <c r="AL432" s="412"/>
      <c r="AM432" s="412"/>
      <c r="AN432" s="412"/>
      <c r="AO432" s="412"/>
      <c r="AP432" s="412"/>
      <c r="AQ432" s="412"/>
      <c r="AR432" s="412"/>
      <c r="AS432" s="412"/>
      <c r="AT432" s="412"/>
      <c r="AU432" s="412"/>
      <c r="AV432" s="412"/>
      <c r="AW432" s="412"/>
      <c r="AX432" s="412"/>
      <c r="AY432" s="412"/>
      <c r="AZ432" s="412"/>
      <c r="BA432" s="412"/>
      <c r="BB432" s="412"/>
      <c r="BC432" s="412"/>
      <c r="BD432" s="412"/>
      <c r="BE432" s="412"/>
      <c r="BF432" s="412"/>
    </row>
    <row r="433" spans="1:58" ht="12" hidden="1" customHeight="1" outlineLevel="2" x14ac:dyDescent="0.3">
      <c r="A433" s="224"/>
      <c r="B433" s="224"/>
      <c r="C433" s="224"/>
      <c r="D433" s="224"/>
      <c r="E433" s="224"/>
      <c r="F433" s="224"/>
      <c r="G433" s="224"/>
      <c r="H433" s="224"/>
      <c r="I433" s="224"/>
      <c r="J433" s="224"/>
      <c r="K433" s="224"/>
      <c r="L433" s="117"/>
      <c r="M433" s="210" t="s">
        <v>1039</v>
      </c>
      <c r="N433" s="244" t="s">
        <v>77</v>
      </c>
      <c r="O433" s="409">
        <f>SUM(O434:O437)</f>
        <v>0</v>
      </c>
      <c r="P433" s="409">
        <f t="shared" ref="P433" si="613">SUM(P434:P437)</f>
        <v>0</v>
      </c>
      <c r="Q433" s="409">
        <f t="shared" ref="Q433" si="614">SUM(Q434:Q437)</f>
        <v>0</v>
      </c>
      <c r="R433" s="409">
        <f t="shared" ref="R433" si="615">SUM(R434:R437)</f>
        <v>0</v>
      </c>
      <c r="S433" s="409">
        <f t="shared" ref="S433" si="616">SUM(S434:S437)</f>
        <v>0</v>
      </c>
      <c r="T433" s="409">
        <f t="shared" ref="T433" si="617">SUM(T434:T437)</f>
        <v>0</v>
      </c>
      <c r="U433" s="409">
        <f t="shared" ref="U433" si="618">SUM(U434:U437)</f>
        <v>0</v>
      </c>
      <c r="V433" s="409">
        <f t="shared" ref="V433" si="619">SUM(V434:V437)</f>
        <v>0</v>
      </c>
      <c r="W433" s="409">
        <f t="shared" ref="W433" si="620">SUM(W434:W437)</f>
        <v>0</v>
      </c>
      <c r="X433" s="409">
        <f t="shared" ref="X433" si="621">SUM(X434:X437)</f>
        <v>0</v>
      </c>
      <c r="Y433" s="394"/>
      <c r="Z433" s="220"/>
      <c r="AA433" s="220"/>
      <c r="AB433" s="409">
        <f t="shared" ref="AB433" si="622">SUM(AB434:AB437)</f>
        <v>0</v>
      </c>
      <c r="AC433" s="410">
        <f t="shared" ref="AC433" si="623">SUM(AC434:AC437)</f>
        <v>0</v>
      </c>
      <c r="AD433" s="411">
        <f>AB433*AD$261/$AB$261</f>
        <v>0</v>
      </c>
      <c r="AE433" s="411">
        <f>AD433*AE$261/AD$261</f>
        <v>0</v>
      </c>
      <c r="AF433" s="411">
        <f t="shared" ref="AF433:BF433" si="624">AE433*AF$261/AE$261</f>
        <v>0</v>
      </c>
      <c r="AG433" s="411">
        <f t="shared" si="624"/>
        <v>0</v>
      </c>
      <c r="AH433" s="411">
        <f t="shared" si="624"/>
        <v>0</v>
      </c>
      <c r="AI433" s="411">
        <f t="shared" si="624"/>
        <v>0</v>
      </c>
      <c r="AJ433" s="411">
        <f t="shared" si="624"/>
        <v>0</v>
      </c>
      <c r="AK433" s="411">
        <f t="shared" si="624"/>
        <v>0</v>
      </c>
      <c r="AL433" s="411">
        <f t="shared" si="624"/>
        <v>0</v>
      </c>
      <c r="AM433" s="411">
        <f t="shared" si="624"/>
        <v>0</v>
      </c>
      <c r="AN433" s="411">
        <f t="shared" si="624"/>
        <v>0</v>
      </c>
      <c r="AO433" s="411">
        <f t="shared" si="624"/>
        <v>0</v>
      </c>
      <c r="AP433" s="411">
        <f t="shared" si="624"/>
        <v>0</v>
      </c>
      <c r="AQ433" s="411">
        <f t="shared" si="624"/>
        <v>0</v>
      </c>
      <c r="AR433" s="411">
        <f t="shared" si="624"/>
        <v>0</v>
      </c>
      <c r="AS433" s="411">
        <f t="shared" si="624"/>
        <v>0</v>
      </c>
      <c r="AT433" s="411">
        <f t="shared" si="624"/>
        <v>0</v>
      </c>
      <c r="AU433" s="411">
        <f t="shared" si="624"/>
        <v>0</v>
      </c>
      <c r="AV433" s="411">
        <f t="shared" si="624"/>
        <v>0</v>
      </c>
      <c r="AW433" s="411">
        <f t="shared" si="624"/>
        <v>0</v>
      </c>
      <c r="AX433" s="411">
        <f t="shared" si="624"/>
        <v>0</v>
      </c>
      <c r="AY433" s="411">
        <f t="shared" si="624"/>
        <v>0</v>
      </c>
      <c r="AZ433" s="411">
        <f t="shared" si="624"/>
        <v>0</v>
      </c>
      <c r="BA433" s="411">
        <f t="shared" si="624"/>
        <v>0</v>
      </c>
      <c r="BB433" s="411">
        <f t="shared" si="624"/>
        <v>0</v>
      </c>
      <c r="BC433" s="411">
        <f t="shared" si="624"/>
        <v>0</v>
      </c>
      <c r="BD433" s="411">
        <f t="shared" si="624"/>
        <v>0</v>
      </c>
      <c r="BE433" s="411">
        <f t="shared" si="624"/>
        <v>0</v>
      </c>
      <c r="BF433" s="411">
        <f t="shared" si="624"/>
        <v>0</v>
      </c>
    </row>
    <row r="434" spans="1:58" ht="12" hidden="1" customHeight="1" outlineLevel="2" x14ac:dyDescent="0.3">
      <c r="A434" s="224"/>
      <c r="B434" s="224"/>
      <c r="C434" s="224"/>
      <c r="D434" s="224"/>
      <c r="E434" s="224"/>
      <c r="F434" s="224"/>
      <c r="G434" s="224"/>
      <c r="H434" s="224"/>
      <c r="I434" s="224"/>
      <c r="J434" s="224"/>
      <c r="K434" s="224"/>
      <c r="L434" s="117"/>
      <c r="M434" s="213" t="s">
        <v>971</v>
      </c>
      <c r="N434" s="244" t="s">
        <v>77</v>
      </c>
      <c r="O434" s="150">
        <v>0</v>
      </c>
      <c r="P434" s="150">
        <v>0</v>
      </c>
      <c r="Q434" s="150">
        <v>0</v>
      </c>
      <c r="R434" s="150">
        <v>0</v>
      </c>
      <c r="S434" s="150">
        <v>0</v>
      </c>
      <c r="T434" s="150">
        <v>0</v>
      </c>
      <c r="U434" s="150">
        <v>0</v>
      </c>
      <c r="V434" s="150">
        <v>0</v>
      </c>
      <c r="W434" s="150">
        <v>0</v>
      </c>
      <c r="X434" s="150">
        <v>0</v>
      </c>
      <c r="Y434" s="394"/>
      <c r="Z434" s="246"/>
      <c r="AA434" s="246"/>
      <c r="AB434" s="150">
        <v>0</v>
      </c>
      <c r="AC434" s="153">
        <v>0</v>
      </c>
      <c r="AD434" s="412"/>
      <c r="AE434" s="412"/>
      <c r="AF434" s="412"/>
      <c r="AG434" s="412"/>
      <c r="AH434" s="412"/>
      <c r="AI434" s="412"/>
      <c r="AJ434" s="412"/>
      <c r="AK434" s="412"/>
      <c r="AL434" s="412"/>
      <c r="AM434" s="412"/>
      <c r="AN434" s="412"/>
      <c r="AO434" s="412"/>
      <c r="AP434" s="412"/>
      <c r="AQ434" s="412"/>
      <c r="AR434" s="412"/>
      <c r="AS434" s="412"/>
      <c r="AT434" s="412"/>
      <c r="AU434" s="412"/>
      <c r="AV434" s="412"/>
      <c r="AW434" s="412"/>
      <c r="AX434" s="412"/>
      <c r="AY434" s="412"/>
      <c r="AZ434" s="412"/>
      <c r="BA434" s="412"/>
      <c r="BB434" s="412"/>
      <c r="BC434" s="412"/>
      <c r="BD434" s="412"/>
      <c r="BE434" s="412"/>
      <c r="BF434" s="412"/>
    </row>
    <row r="435" spans="1:58" ht="12" hidden="1" customHeight="1" outlineLevel="2" x14ac:dyDescent="0.3">
      <c r="A435" s="224"/>
      <c r="B435" s="224"/>
      <c r="C435" s="224"/>
      <c r="D435" s="224"/>
      <c r="E435" s="224"/>
      <c r="F435" s="224"/>
      <c r="G435" s="224"/>
      <c r="H435" s="224"/>
      <c r="I435" s="224"/>
      <c r="J435" s="224"/>
      <c r="K435" s="224"/>
      <c r="L435" s="117"/>
      <c r="M435" s="213" t="s">
        <v>985</v>
      </c>
      <c r="N435" s="244" t="s">
        <v>77</v>
      </c>
      <c r="O435" s="150">
        <v>0</v>
      </c>
      <c r="P435" s="150">
        <v>0</v>
      </c>
      <c r="Q435" s="150">
        <v>0</v>
      </c>
      <c r="R435" s="150">
        <v>0</v>
      </c>
      <c r="S435" s="150">
        <v>0</v>
      </c>
      <c r="T435" s="150">
        <v>0</v>
      </c>
      <c r="U435" s="150">
        <v>0</v>
      </c>
      <c r="V435" s="150">
        <v>0</v>
      </c>
      <c r="W435" s="150">
        <v>0</v>
      </c>
      <c r="X435" s="150">
        <v>0</v>
      </c>
      <c r="Y435" s="394"/>
      <c r="Z435" s="246"/>
      <c r="AA435" s="246"/>
      <c r="AB435" s="150">
        <v>0</v>
      </c>
      <c r="AC435" s="153">
        <v>0</v>
      </c>
      <c r="AD435" s="412"/>
      <c r="AE435" s="412"/>
      <c r="AF435" s="412"/>
      <c r="AG435" s="412"/>
      <c r="AH435" s="412"/>
      <c r="AI435" s="412"/>
      <c r="AJ435" s="412"/>
      <c r="AK435" s="412"/>
      <c r="AL435" s="412"/>
      <c r="AM435" s="412"/>
      <c r="AN435" s="412"/>
      <c r="AO435" s="412"/>
      <c r="AP435" s="412"/>
      <c r="AQ435" s="412"/>
      <c r="AR435" s="412"/>
      <c r="AS435" s="412"/>
      <c r="AT435" s="412"/>
      <c r="AU435" s="412"/>
      <c r="AV435" s="412"/>
      <c r="AW435" s="412"/>
      <c r="AX435" s="412"/>
      <c r="AY435" s="412"/>
      <c r="AZ435" s="412"/>
      <c r="BA435" s="412"/>
      <c r="BB435" s="412"/>
      <c r="BC435" s="412"/>
      <c r="BD435" s="412"/>
      <c r="BE435" s="412"/>
      <c r="BF435" s="412"/>
    </row>
    <row r="436" spans="1:58" ht="12" hidden="1" customHeight="1" outlineLevel="2" x14ac:dyDescent="0.3">
      <c r="A436" s="224"/>
      <c r="B436" s="224"/>
      <c r="C436" s="224"/>
      <c r="D436" s="224"/>
      <c r="E436" s="224"/>
      <c r="F436" s="224"/>
      <c r="G436" s="224"/>
      <c r="H436" s="224"/>
      <c r="I436" s="224"/>
      <c r="J436" s="224"/>
      <c r="K436" s="224"/>
      <c r="L436" s="117"/>
      <c r="M436" s="213" t="s">
        <v>973</v>
      </c>
      <c r="N436" s="244" t="s">
        <v>77</v>
      </c>
      <c r="O436" s="150">
        <v>0</v>
      </c>
      <c r="P436" s="150">
        <v>0</v>
      </c>
      <c r="Q436" s="150">
        <v>0</v>
      </c>
      <c r="R436" s="150">
        <v>0</v>
      </c>
      <c r="S436" s="150">
        <v>0</v>
      </c>
      <c r="T436" s="150">
        <v>0</v>
      </c>
      <c r="U436" s="150">
        <v>0</v>
      </c>
      <c r="V436" s="150">
        <v>0</v>
      </c>
      <c r="W436" s="150">
        <v>0</v>
      </c>
      <c r="X436" s="150">
        <v>0</v>
      </c>
      <c r="Y436" s="394"/>
      <c r="Z436" s="246"/>
      <c r="AA436" s="246"/>
      <c r="AB436" s="150">
        <v>0</v>
      </c>
      <c r="AC436" s="153">
        <v>0</v>
      </c>
      <c r="AD436" s="412"/>
      <c r="AE436" s="412"/>
      <c r="AF436" s="412"/>
      <c r="AG436" s="412"/>
      <c r="AH436" s="412"/>
      <c r="AI436" s="412"/>
      <c r="AJ436" s="412"/>
      <c r="AK436" s="412"/>
      <c r="AL436" s="412"/>
      <c r="AM436" s="412"/>
      <c r="AN436" s="412"/>
      <c r="AO436" s="412"/>
      <c r="AP436" s="412"/>
      <c r="AQ436" s="412"/>
      <c r="AR436" s="412"/>
      <c r="AS436" s="412"/>
      <c r="AT436" s="412"/>
      <c r="AU436" s="412"/>
      <c r="AV436" s="412"/>
      <c r="AW436" s="412"/>
      <c r="AX436" s="412"/>
      <c r="AY436" s="412"/>
      <c r="AZ436" s="412"/>
      <c r="BA436" s="412"/>
      <c r="BB436" s="412"/>
      <c r="BC436" s="412"/>
      <c r="BD436" s="412"/>
      <c r="BE436" s="412"/>
      <c r="BF436" s="412"/>
    </row>
    <row r="437" spans="1:58" ht="12" hidden="1" customHeight="1" outlineLevel="2" x14ac:dyDescent="0.3">
      <c r="A437" s="224"/>
      <c r="B437" s="224"/>
      <c r="C437" s="224"/>
      <c r="D437" s="224"/>
      <c r="E437" s="224"/>
      <c r="F437" s="224"/>
      <c r="G437" s="224"/>
      <c r="H437" s="224"/>
      <c r="I437" s="224"/>
      <c r="J437" s="224"/>
      <c r="K437" s="224"/>
      <c r="L437" s="117"/>
      <c r="M437" s="213" t="s">
        <v>974</v>
      </c>
      <c r="N437" s="244" t="s">
        <v>77</v>
      </c>
      <c r="O437" s="150">
        <v>0</v>
      </c>
      <c r="P437" s="150">
        <v>0</v>
      </c>
      <c r="Q437" s="150">
        <v>0</v>
      </c>
      <c r="R437" s="150">
        <v>0</v>
      </c>
      <c r="S437" s="150">
        <v>0</v>
      </c>
      <c r="T437" s="150">
        <v>0</v>
      </c>
      <c r="U437" s="150">
        <v>0</v>
      </c>
      <c r="V437" s="150">
        <v>0</v>
      </c>
      <c r="W437" s="150">
        <v>0</v>
      </c>
      <c r="X437" s="150">
        <v>0</v>
      </c>
      <c r="Y437" s="394"/>
      <c r="Z437" s="246"/>
      <c r="AA437" s="246"/>
      <c r="AB437" s="150">
        <v>0</v>
      </c>
      <c r="AC437" s="153">
        <v>0</v>
      </c>
      <c r="AD437" s="412"/>
      <c r="AE437" s="412"/>
      <c r="AF437" s="412"/>
      <c r="AG437" s="412"/>
      <c r="AH437" s="412"/>
      <c r="AI437" s="412"/>
      <c r="AJ437" s="412"/>
      <c r="AK437" s="412"/>
      <c r="AL437" s="412"/>
      <c r="AM437" s="412"/>
      <c r="AN437" s="412"/>
      <c r="AO437" s="412"/>
      <c r="AP437" s="412"/>
      <c r="AQ437" s="412"/>
      <c r="AR437" s="412"/>
      <c r="AS437" s="412"/>
      <c r="AT437" s="412"/>
      <c r="AU437" s="412"/>
      <c r="AV437" s="412"/>
      <c r="AW437" s="412"/>
      <c r="AX437" s="412"/>
      <c r="AY437" s="412"/>
      <c r="AZ437" s="412"/>
      <c r="BA437" s="412"/>
      <c r="BB437" s="412"/>
      <c r="BC437" s="412"/>
      <c r="BD437" s="412"/>
      <c r="BE437" s="412"/>
      <c r="BF437" s="412"/>
    </row>
    <row r="438" spans="1:58" ht="12" hidden="1" customHeight="1" outlineLevel="2" x14ac:dyDescent="0.3">
      <c r="A438" s="224"/>
      <c r="B438" s="224"/>
      <c r="C438" s="224"/>
      <c r="D438" s="224"/>
      <c r="E438" s="224"/>
      <c r="F438" s="224"/>
      <c r="G438" s="224"/>
      <c r="H438" s="224"/>
      <c r="I438" s="224"/>
      <c r="J438" s="224"/>
      <c r="K438" s="224"/>
      <c r="L438" s="117"/>
      <c r="M438" s="210" t="s">
        <v>1040</v>
      </c>
      <c r="N438" s="244" t="s">
        <v>77</v>
      </c>
      <c r="O438" s="150">
        <v>0.27777777777777779</v>
      </c>
      <c r="P438" s="150">
        <v>0</v>
      </c>
      <c r="Q438" s="150">
        <v>0</v>
      </c>
      <c r="R438" s="150">
        <v>0</v>
      </c>
      <c r="S438" s="150">
        <v>0</v>
      </c>
      <c r="T438" s="150">
        <v>0</v>
      </c>
      <c r="U438" s="150">
        <v>0</v>
      </c>
      <c r="V438" s="150">
        <v>0</v>
      </c>
      <c r="W438" s="150">
        <v>0</v>
      </c>
      <c r="X438" s="150">
        <v>0</v>
      </c>
      <c r="Y438" s="394"/>
      <c r="Z438" s="246"/>
      <c r="AA438" s="246"/>
      <c r="AB438" s="150">
        <v>0</v>
      </c>
      <c r="AC438" s="153">
        <v>0</v>
      </c>
      <c r="AD438" s="411">
        <f>AB438*AD$261/$AB$261</f>
        <v>0</v>
      </c>
      <c r="AE438" s="411">
        <f>AD438*AE$261/AD$261</f>
        <v>0</v>
      </c>
      <c r="AF438" s="411">
        <f t="shared" ref="AF438:BF438" si="625">AE438*AF$261/AE$261</f>
        <v>0</v>
      </c>
      <c r="AG438" s="411">
        <f t="shared" si="625"/>
        <v>0</v>
      </c>
      <c r="AH438" s="411">
        <f t="shared" si="625"/>
        <v>0</v>
      </c>
      <c r="AI438" s="411">
        <f t="shared" si="625"/>
        <v>0</v>
      </c>
      <c r="AJ438" s="411">
        <f t="shared" si="625"/>
        <v>0</v>
      </c>
      <c r="AK438" s="411">
        <f t="shared" si="625"/>
        <v>0</v>
      </c>
      <c r="AL438" s="411">
        <f t="shared" si="625"/>
        <v>0</v>
      </c>
      <c r="AM438" s="411">
        <f t="shared" si="625"/>
        <v>0</v>
      </c>
      <c r="AN438" s="411">
        <f t="shared" si="625"/>
        <v>0</v>
      </c>
      <c r="AO438" s="411">
        <f t="shared" si="625"/>
        <v>0</v>
      </c>
      <c r="AP438" s="411">
        <f t="shared" si="625"/>
        <v>0</v>
      </c>
      <c r="AQ438" s="411">
        <f t="shared" si="625"/>
        <v>0</v>
      </c>
      <c r="AR438" s="411">
        <f t="shared" si="625"/>
        <v>0</v>
      </c>
      <c r="AS438" s="411">
        <f t="shared" si="625"/>
        <v>0</v>
      </c>
      <c r="AT438" s="411">
        <f t="shared" si="625"/>
        <v>0</v>
      </c>
      <c r="AU438" s="411">
        <f t="shared" si="625"/>
        <v>0</v>
      </c>
      <c r="AV438" s="411">
        <f t="shared" si="625"/>
        <v>0</v>
      </c>
      <c r="AW438" s="411">
        <f t="shared" si="625"/>
        <v>0</v>
      </c>
      <c r="AX438" s="411">
        <f t="shared" si="625"/>
        <v>0</v>
      </c>
      <c r="AY438" s="411">
        <f t="shared" si="625"/>
        <v>0</v>
      </c>
      <c r="AZ438" s="411">
        <f t="shared" si="625"/>
        <v>0</v>
      </c>
      <c r="BA438" s="411">
        <f t="shared" si="625"/>
        <v>0</v>
      </c>
      <c r="BB438" s="411">
        <f t="shared" si="625"/>
        <v>0</v>
      </c>
      <c r="BC438" s="411">
        <f t="shared" si="625"/>
        <v>0</v>
      </c>
      <c r="BD438" s="411">
        <f t="shared" si="625"/>
        <v>0</v>
      </c>
      <c r="BE438" s="411">
        <f t="shared" si="625"/>
        <v>0</v>
      </c>
      <c r="BF438" s="411">
        <f t="shared" si="625"/>
        <v>0</v>
      </c>
    </row>
    <row r="439" spans="1:58" ht="12" hidden="1" customHeight="1" outlineLevel="2" x14ac:dyDescent="0.3">
      <c r="A439" s="224"/>
      <c r="B439" s="224"/>
      <c r="C439" s="224"/>
      <c r="D439" s="224"/>
      <c r="E439" s="224"/>
      <c r="F439" s="224"/>
      <c r="G439" s="224"/>
      <c r="H439" s="224"/>
      <c r="I439" s="224"/>
      <c r="J439" s="224"/>
      <c r="K439" s="224"/>
      <c r="L439" s="117"/>
      <c r="M439" s="210" t="s">
        <v>1041</v>
      </c>
      <c r="N439" s="244" t="s">
        <v>77</v>
      </c>
      <c r="O439" s="150">
        <v>3.0555555555555554</v>
      </c>
      <c r="P439" s="150">
        <v>3.0555555555555554</v>
      </c>
      <c r="Q439" s="150">
        <v>1.1111111111111112</v>
      </c>
      <c r="R439" s="150">
        <v>1.1111111111111112</v>
      </c>
      <c r="S439" s="150">
        <v>1.1111111111111112</v>
      </c>
      <c r="T439" s="150">
        <v>1.1111111111111112</v>
      </c>
      <c r="U439" s="150">
        <v>1.1111111111111112</v>
      </c>
      <c r="V439" s="150">
        <v>1.9444444444444444</v>
      </c>
      <c r="W439" s="150">
        <v>3.0555555555555554</v>
      </c>
      <c r="X439" s="150">
        <v>8.0555555555555536</v>
      </c>
      <c r="Y439" s="394"/>
      <c r="Z439" s="246"/>
      <c r="AA439" s="246"/>
      <c r="AB439" s="150">
        <v>8.3333333333333339</v>
      </c>
      <c r="AC439" s="153">
        <v>10.277777777777777</v>
      </c>
      <c r="AD439" s="411">
        <f>AB439*AD$261/$AB$261</f>
        <v>8.4166666666666679</v>
      </c>
      <c r="AE439" s="411">
        <f>AD439*AE$261/AD$261</f>
        <v>8.5176666666666687</v>
      </c>
      <c r="AF439" s="411">
        <f t="shared" ref="AF439:BF439" si="626">AE439*AF$261/AE$261</f>
        <v>8.6454316666666688</v>
      </c>
      <c r="AG439" s="411">
        <f t="shared" si="626"/>
        <v>8.7751131416666688</v>
      </c>
      <c r="AH439" s="411">
        <f t="shared" si="626"/>
        <v>8.906739838791669</v>
      </c>
      <c r="AI439" s="411">
        <f t="shared" si="626"/>
        <v>9.0403409363735427</v>
      </c>
      <c r="AJ439" s="411">
        <f t="shared" si="626"/>
        <v>9.1759460504191441</v>
      </c>
      <c r="AK439" s="411">
        <f t="shared" si="626"/>
        <v>9.3135852411754314</v>
      </c>
      <c r="AL439" s="411">
        <f t="shared" si="626"/>
        <v>9.4532890197930612</v>
      </c>
      <c r="AM439" s="411">
        <f t="shared" si="626"/>
        <v>9.5950883550899562</v>
      </c>
      <c r="AN439" s="411">
        <f t="shared" si="626"/>
        <v>9.7390146804163056</v>
      </c>
      <c r="AO439" s="411">
        <f t="shared" si="626"/>
        <v>9.8850999006225493</v>
      </c>
      <c r="AP439" s="411">
        <f t="shared" si="626"/>
        <v>10.033376399131887</v>
      </c>
      <c r="AQ439" s="411">
        <f t="shared" si="626"/>
        <v>10.183877045118864</v>
      </c>
      <c r="AR439" s="411">
        <f t="shared" si="626"/>
        <v>10.336635200795646</v>
      </c>
      <c r="AS439" s="411">
        <f t="shared" si="626"/>
        <v>10.491684728807579</v>
      </c>
      <c r="AT439" s="411">
        <f t="shared" si="626"/>
        <v>10.649059999739691</v>
      </c>
      <c r="AU439" s="411">
        <f t="shared" si="626"/>
        <v>10.808795899735786</v>
      </c>
      <c r="AV439" s="411">
        <f t="shared" si="626"/>
        <v>10.970927838231821</v>
      </c>
      <c r="AW439" s="411">
        <f t="shared" si="626"/>
        <v>11.135491755805299</v>
      </c>
      <c r="AX439" s="411">
        <f t="shared" si="626"/>
        <v>11.302524132142377</v>
      </c>
      <c r="AY439" s="411">
        <f t="shared" si="626"/>
        <v>11.472061994124511</v>
      </c>
      <c r="AZ439" s="411">
        <f t="shared" si="626"/>
        <v>11.644142924036377</v>
      </c>
      <c r="BA439" s="411">
        <f t="shared" si="626"/>
        <v>11.818805067896921</v>
      </c>
      <c r="BB439" s="411">
        <f t="shared" si="626"/>
        <v>11.972449533779578</v>
      </c>
      <c r="BC439" s="411">
        <f t="shared" si="626"/>
        <v>12.116118928184932</v>
      </c>
      <c r="BD439" s="411">
        <f t="shared" si="626"/>
        <v>12.249396236394963</v>
      </c>
      <c r="BE439" s="411">
        <f t="shared" si="626"/>
        <v>12.371890198758914</v>
      </c>
      <c r="BF439" s="411">
        <f t="shared" si="626"/>
        <v>12.495609100746503</v>
      </c>
    </row>
    <row r="440" spans="1:58" ht="12" hidden="1" customHeight="1" outlineLevel="2" x14ac:dyDescent="0.3">
      <c r="A440" s="224"/>
      <c r="B440" s="224"/>
      <c r="C440" s="224"/>
      <c r="D440" s="224"/>
      <c r="E440" s="224"/>
      <c r="F440" s="224"/>
      <c r="G440" s="224"/>
      <c r="H440" s="224"/>
      <c r="I440" s="224"/>
      <c r="J440" s="224"/>
      <c r="K440" s="224"/>
      <c r="L440" s="117"/>
      <c r="M440" s="210" t="s">
        <v>1042</v>
      </c>
      <c r="N440" s="244" t="s">
        <v>77</v>
      </c>
      <c r="O440" s="150">
        <v>0</v>
      </c>
      <c r="P440" s="150">
        <v>0.27777777777777779</v>
      </c>
      <c r="Q440" s="150">
        <v>0.27777777777777779</v>
      </c>
      <c r="R440" s="150">
        <v>0.27777777777777779</v>
      </c>
      <c r="S440" s="150">
        <v>0</v>
      </c>
      <c r="T440" s="150">
        <v>0</v>
      </c>
      <c r="U440" s="150">
        <v>0</v>
      </c>
      <c r="V440" s="150">
        <v>0</v>
      </c>
      <c r="W440" s="150">
        <v>0</v>
      </c>
      <c r="X440" s="150">
        <v>0</v>
      </c>
      <c r="Y440" s="394"/>
      <c r="Z440" s="246"/>
      <c r="AA440" s="246"/>
      <c r="AB440" s="150">
        <v>0</v>
      </c>
      <c r="AC440" s="153">
        <v>0</v>
      </c>
      <c r="AD440" s="411">
        <f>AB440*AD$261/$AB$261</f>
        <v>0</v>
      </c>
      <c r="AE440" s="411">
        <f>AD440*AE$261/AD$261</f>
        <v>0</v>
      </c>
      <c r="AF440" s="411">
        <f t="shared" ref="AF440:BF440" si="627">AE440*AF$261/AE$261</f>
        <v>0</v>
      </c>
      <c r="AG440" s="411">
        <f t="shared" si="627"/>
        <v>0</v>
      </c>
      <c r="AH440" s="411">
        <f t="shared" si="627"/>
        <v>0</v>
      </c>
      <c r="AI440" s="411">
        <f t="shared" si="627"/>
        <v>0</v>
      </c>
      <c r="AJ440" s="411">
        <f t="shared" si="627"/>
        <v>0</v>
      </c>
      <c r="AK440" s="411">
        <f t="shared" si="627"/>
        <v>0</v>
      </c>
      <c r="AL440" s="411">
        <f t="shared" si="627"/>
        <v>0</v>
      </c>
      <c r="AM440" s="411">
        <f t="shared" si="627"/>
        <v>0</v>
      </c>
      <c r="AN440" s="411">
        <f t="shared" si="627"/>
        <v>0</v>
      </c>
      <c r="AO440" s="411">
        <f t="shared" si="627"/>
        <v>0</v>
      </c>
      <c r="AP440" s="411">
        <f t="shared" si="627"/>
        <v>0</v>
      </c>
      <c r="AQ440" s="411">
        <f t="shared" si="627"/>
        <v>0</v>
      </c>
      <c r="AR440" s="411">
        <f t="shared" si="627"/>
        <v>0</v>
      </c>
      <c r="AS440" s="411">
        <f t="shared" si="627"/>
        <v>0</v>
      </c>
      <c r="AT440" s="411">
        <f t="shared" si="627"/>
        <v>0</v>
      </c>
      <c r="AU440" s="411">
        <f t="shared" si="627"/>
        <v>0</v>
      </c>
      <c r="AV440" s="411">
        <f t="shared" si="627"/>
        <v>0</v>
      </c>
      <c r="AW440" s="411">
        <f t="shared" si="627"/>
        <v>0</v>
      </c>
      <c r="AX440" s="411">
        <f t="shared" si="627"/>
        <v>0</v>
      </c>
      <c r="AY440" s="411">
        <f t="shared" si="627"/>
        <v>0</v>
      </c>
      <c r="AZ440" s="411">
        <f t="shared" si="627"/>
        <v>0</v>
      </c>
      <c r="BA440" s="411">
        <f t="shared" si="627"/>
        <v>0</v>
      </c>
      <c r="BB440" s="411">
        <f t="shared" si="627"/>
        <v>0</v>
      </c>
      <c r="BC440" s="411">
        <f t="shared" si="627"/>
        <v>0</v>
      </c>
      <c r="BD440" s="411">
        <f t="shared" si="627"/>
        <v>0</v>
      </c>
      <c r="BE440" s="411">
        <f t="shared" si="627"/>
        <v>0</v>
      </c>
      <c r="BF440" s="411">
        <f t="shared" si="627"/>
        <v>0</v>
      </c>
    </row>
    <row r="441" spans="1:58" ht="12" hidden="1" customHeight="1" outlineLevel="2" x14ac:dyDescent="0.3">
      <c r="A441" s="224"/>
      <c r="B441" s="224" t="s">
        <v>1043</v>
      </c>
      <c r="C441" s="224"/>
      <c r="D441" s="224" t="s">
        <v>885</v>
      </c>
      <c r="E441" s="224"/>
      <c r="F441" s="224"/>
      <c r="G441" s="224"/>
      <c r="H441" s="224"/>
      <c r="I441" s="224"/>
      <c r="J441" s="224"/>
      <c r="K441" s="224"/>
      <c r="L441" s="117"/>
      <c r="M441" s="214" t="s">
        <v>1044</v>
      </c>
      <c r="N441" s="247" t="s">
        <v>77</v>
      </c>
      <c r="O441" s="413">
        <f t="shared" ref="O441:X441" si="628">O426+O430+O433+O438+O439+O440</f>
        <v>4.7222222222222214</v>
      </c>
      <c r="P441" s="413">
        <f t="shared" si="628"/>
        <v>4.7222222222222223</v>
      </c>
      <c r="Q441" s="413">
        <f t="shared" si="628"/>
        <v>2.2222222222222223</v>
      </c>
      <c r="R441" s="413">
        <f t="shared" si="628"/>
        <v>2.2222222222222223</v>
      </c>
      <c r="S441" s="413">
        <f t="shared" si="628"/>
        <v>1.6666666666666667</v>
      </c>
      <c r="T441" s="413">
        <f t="shared" si="628"/>
        <v>1.3888888888888888</v>
      </c>
      <c r="U441" s="413">
        <f t="shared" si="628"/>
        <v>4.7222222222222223</v>
      </c>
      <c r="V441" s="413">
        <f t="shared" si="628"/>
        <v>5</v>
      </c>
      <c r="W441" s="413">
        <f t="shared" si="628"/>
        <v>6.9444444444444446</v>
      </c>
      <c r="X441" s="413">
        <f t="shared" si="628"/>
        <v>13.055555555555554</v>
      </c>
      <c r="Y441" s="394"/>
      <c r="Z441" s="246"/>
      <c r="AA441" s="246"/>
      <c r="AB441" s="413">
        <f>AB426+AB430+AB433+AB438+AB439+AB440</f>
        <v>10.833333333333334</v>
      </c>
      <c r="AC441" s="414">
        <f>AC426+AC430+AC433+AC438+AC439+AC440</f>
        <v>13.888888888888888</v>
      </c>
      <c r="AD441" s="411">
        <f>SUM(AD426:AD440)</f>
        <v>10.941666666666668</v>
      </c>
      <c r="AE441" s="411">
        <f>SUM(AE426:AE440)</f>
        <v>11.07296666666667</v>
      </c>
      <c r="AF441" s="411">
        <f t="shared" ref="AF441:BF441" si="629">SUM(AF426:AF440)</f>
        <v>11.239061166666669</v>
      </c>
      <c r="AG441" s="411">
        <f t="shared" si="629"/>
        <v>11.407647084166667</v>
      </c>
      <c r="AH441" s="411">
        <f t="shared" si="629"/>
        <v>11.578761790429168</v>
      </c>
      <c r="AI441" s="411">
        <f t="shared" si="629"/>
        <v>11.752443217285602</v>
      </c>
      <c r="AJ441" s="411">
        <f t="shared" si="629"/>
        <v>11.928729865544884</v>
      </c>
      <c r="AK441" s="411">
        <f t="shared" si="629"/>
        <v>12.107660813528058</v>
      </c>
      <c r="AL441" s="411">
        <f t="shared" si="629"/>
        <v>12.289275725730977</v>
      </c>
      <c r="AM441" s="411">
        <f t="shared" si="629"/>
        <v>12.473614861616941</v>
      </c>
      <c r="AN441" s="411">
        <f t="shared" si="629"/>
        <v>12.660719084541196</v>
      </c>
      <c r="AO441" s="411">
        <f t="shared" si="629"/>
        <v>12.850629870809311</v>
      </c>
      <c r="AP441" s="411">
        <f t="shared" si="629"/>
        <v>13.043389318871451</v>
      </c>
      <c r="AQ441" s="411">
        <f t="shared" si="629"/>
        <v>13.23904015865452</v>
      </c>
      <c r="AR441" s="411">
        <f t="shared" si="629"/>
        <v>13.437625761034337</v>
      </c>
      <c r="AS441" s="411">
        <f t="shared" si="629"/>
        <v>13.639190147449849</v>
      </c>
      <c r="AT441" s="411">
        <f t="shared" si="629"/>
        <v>13.843777999661596</v>
      </c>
      <c r="AU441" s="411">
        <f t="shared" si="629"/>
        <v>14.051434669656519</v>
      </c>
      <c r="AV441" s="411">
        <f t="shared" si="629"/>
        <v>14.262206189701365</v>
      </c>
      <c r="AW441" s="411">
        <f t="shared" si="629"/>
        <v>14.476139282546885</v>
      </c>
      <c r="AX441" s="411">
        <f t="shared" si="629"/>
        <v>14.693281371785087</v>
      </c>
      <c r="AY441" s="411">
        <f t="shared" si="629"/>
        <v>14.91368059236186</v>
      </c>
      <c r="AZ441" s="411">
        <f t="shared" si="629"/>
        <v>15.137385801247287</v>
      </c>
      <c r="BA441" s="411">
        <f t="shared" si="629"/>
        <v>15.364446588265995</v>
      </c>
      <c r="BB441" s="411">
        <f t="shared" si="629"/>
        <v>15.564184393913449</v>
      </c>
      <c r="BC441" s="411">
        <f t="shared" si="629"/>
        <v>15.750954606640409</v>
      </c>
      <c r="BD441" s="411">
        <f t="shared" si="629"/>
        <v>15.924215107313451</v>
      </c>
      <c r="BE441" s="411">
        <f t="shared" si="629"/>
        <v>16.083457258386588</v>
      </c>
      <c r="BF441" s="411">
        <f t="shared" si="629"/>
        <v>16.24429183097045</v>
      </c>
    </row>
    <row r="442" spans="1:58" ht="12" hidden="1" customHeight="1" outlineLevel="2" x14ac:dyDescent="0.3">
      <c r="A442" s="224"/>
      <c r="B442" s="224"/>
      <c r="C442" s="224"/>
      <c r="D442" s="224"/>
      <c r="E442" s="224"/>
      <c r="F442" s="224"/>
      <c r="G442" s="224"/>
      <c r="H442" s="224"/>
      <c r="I442" s="224"/>
      <c r="J442" s="224"/>
      <c r="K442" s="224"/>
      <c r="L442" s="117"/>
      <c r="M442" s="223" t="s">
        <v>980</v>
      </c>
      <c r="N442" s="216" t="s">
        <v>68</v>
      </c>
      <c r="O442" s="415">
        <f t="shared" ref="O442:X442" si="630">IFERROR((O427+O428+O429+O431+O432+O434+O435+O436+O437+O438+O439+O440)/O441,"")</f>
        <v>1</v>
      </c>
      <c r="P442" s="415">
        <f t="shared" si="630"/>
        <v>1</v>
      </c>
      <c r="Q442" s="415">
        <f t="shared" si="630"/>
        <v>1</v>
      </c>
      <c r="R442" s="415">
        <f t="shared" si="630"/>
        <v>1</v>
      </c>
      <c r="S442" s="415">
        <f t="shared" si="630"/>
        <v>1</v>
      </c>
      <c r="T442" s="415">
        <f t="shared" si="630"/>
        <v>1</v>
      </c>
      <c r="U442" s="415">
        <f t="shared" si="630"/>
        <v>1</v>
      </c>
      <c r="V442" s="415">
        <f t="shared" si="630"/>
        <v>1</v>
      </c>
      <c r="W442" s="415">
        <f t="shared" si="630"/>
        <v>1</v>
      </c>
      <c r="X442" s="415">
        <f t="shared" si="630"/>
        <v>1</v>
      </c>
      <c r="Y442" s="394"/>
      <c r="Z442" s="210"/>
      <c r="AA442" s="210"/>
      <c r="AB442" s="415">
        <f>IFERROR((AB427+AB428+AB429+AB431+AB432+AB434+AB435+AB436+AB437+AB438+AB439+AB440)/AB441,"")</f>
        <v>1</v>
      </c>
      <c r="AC442" s="415">
        <f>IFERROR((AC427+AC428+AC429+AC431+AC432+AC434+AC435+AC436+AC437+AC438+AC439+AC440)/AC441,"")</f>
        <v>1</v>
      </c>
      <c r="AD442" s="224"/>
      <c r="AE442" s="224"/>
      <c r="AF442" s="224"/>
      <c r="AG442" s="224"/>
      <c r="AH442" s="224"/>
      <c r="AI442" s="224"/>
      <c r="AJ442" s="224"/>
      <c r="AK442" s="224"/>
      <c r="AL442" s="224"/>
      <c r="AM442" s="224"/>
      <c r="AN442" s="224"/>
      <c r="AO442" s="224"/>
      <c r="AP442" s="224"/>
      <c r="AQ442" s="224"/>
      <c r="AR442" s="224"/>
      <c r="AS442" s="224"/>
      <c r="AT442" s="224"/>
      <c r="AU442" s="224"/>
      <c r="AV442" s="224"/>
      <c r="AW442" s="224"/>
      <c r="AX442" s="224"/>
      <c r="AY442" s="224"/>
      <c r="AZ442" s="224"/>
      <c r="BA442" s="224"/>
      <c r="BB442" s="224"/>
      <c r="BC442" s="224"/>
      <c r="BD442" s="224"/>
      <c r="BE442" s="224"/>
      <c r="BF442" s="224"/>
    </row>
    <row r="443" spans="1:58" ht="12" hidden="1" customHeight="1" outlineLevel="2" x14ac:dyDescent="0.3">
      <c r="A443" s="224"/>
      <c r="B443" s="224"/>
      <c r="C443" s="224"/>
      <c r="D443" s="224"/>
      <c r="E443" s="224"/>
      <c r="F443" s="224"/>
      <c r="G443" s="224"/>
      <c r="H443" s="224"/>
      <c r="I443" s="224"/>
      <c r="J443" s="224"/>
      <c r="K443" s="224"/>
      <c r="L443" s="117"/>
      <c r="M443" s="210"/>
      <c r="N443" s="210"/>
      <c r="O443" s="415">
        <f t="shared" ref="O443:X443" si="631">IFERROR((O426+O430+O433+O438+O439+O440)/O441,"")</f>
        <v>1</v>
      </c>
      <c r="P443" s="415">
        <f t="shared" si="631"/>
        <v>1</v>
      </c>
      <c r="Q443" s="415">
        <f t="shared" si="631"/>
        <v>1</v>
      </c>
      <c r="R443" s="415">
        <f t="shared" si="631"/>
        <v>1</v>
      </c>
      <c r="S443" s="415">
        <f t="shared" si="631"/>
        <v>1</v>
      </c>
      <c r="T443" s="415">
        <f t="shared" si="631"/>
        <v>1</v>
      </c>
      <c r="U443" s="415">
        <f t="shared" si="631"/>
        <v>1</v>
      </c>
      <c r="V443" s="415">
        <f t="shared" si="631"/>
        <v>1</v>
      </c>
      <c r="W443" s="415">
        <f t="shared" si="631"/>
        <v>1</v>
      </c>
      <c r="X443" s="415">
        <f t="shared" si="631"/>
        <v>1</v>
      </c>
      <c r="Y443" s="394"/>
      <c r="Z443" s="210"/>
      <c r="AA443" s="210"/>
      <c r="AB443" s="415">
        <f>IFERROR((AB426+AB430+AB433+AB438+AB439+AB440)/AB441,"")</f>
        <v>1</v>
      </c>
      <c r="AC443" s="415">
        <f>IFERROR((AC426+AC430+AC433+AC438+AC439+AC440)/AC441,"")</f>
        <v>1</v>
      </c>
      <c r="AD443" s="224"/>
      <c r="AE443" s="224"/>
      <c r="AF443" s="224"/>
      <c r="AG443" s="224"/>
      <c r="AH443" s="224"/>
      <c r="AI443" s="224"/>
      <c r="AJ443" s="224"/>
      <c r="AK443" s="224"/>
      <c r="AL443" s="224"/>
      <c r="AM443" s="224"/>
      <c r="AN443" s="224"/>
      <c r="AO443" s="224"/>
      <c r="AP443" s="224"/>
      <c r="AQ443" s="224"/>
      <c r="AR443" s="224"/>
      <c r="AS443" s="224"/>
      <c r="AT443" s="224"/>
      <c r="AU443" s="224"/>
      <c r="AV443" s="224"/>
      <c r="AW443" s="224"/>
      <c r="AX443" s="224"/>
      <c r="AY443" s="224"/>
      <c r="AZ443" s="224"/>
      <c r="BA443" s="224"/>
      <c r="BB443" s="224"/>
      <c r="BC443" s="224"/>
      <c r="BD443" s="224"/>
      <c r="BE443" s="224"/>
      <c r="BF443" s="224"/>
    </row>
    <row r="444" spans="1:58" ht="12" hidden="1" customHeight="1" outlineLevel="2" x14ac:dyDescent="0.3">
      <c r="A444" s="224"/>
      <c r="B444" s="224"/>
      <c r="C444" s="224"/>
      <c r="D444" s="224"/>
      <c r="E444" s="224"/>
      <c r="F444" s="224"/>
      <c r="G444" s="224"/>
      <c r="H444" s="224"/>
      <c r="I444" s="224"/>
      <c r="J444" s="224"/>
      <c r="K444" s="224"/>
      <c r="L444" s="117"/>
      <c r="M444" s="211" t="s">
        <v>1045</v>
      </c>
      <c r="N444" s="210"/>
      <c r="O444" s="210"/>
      <c r="P444" s="210"/>
      <c r="Q444" s="210"/>
      <c r="R444" s="210"/>
      <c r="S444" s="210"/>
      <c r="T444" s="210"/>
      <c r="U444" s="210"/>
      <c r="V444" s="210"/>
      <c r="W444" s="210"/>
      <c r="X444" s="210"/>
      <c r="Y444" s="394"/>
      <c r="Z444" s="210"/>
      <c r="AA444" s="210"/>
      <c r="AB444" s="210"/>
      <c r="AC444" s="210"/>
      <c r="AD444" s="224"/>
      <c r="AE444" s="224"/>
      <c r="AF444" s="224"/>
      <c r="AG444" s="224"/>
      <c r="AH444" s="224"/>
      <c r="AI444" s="224"/>
      <c r="AJ444" s="224"/>
      <c r="AK444" s="224"/>
      <c r="AL444" s="224"/>
      <c r="AM444" s="224"/>
      <c r="AN444" s="224"/>
      <c r="AO444" s="224"/>
      <c r="AP444" s="224"/>
      <c r="AQ444" s="224"/>
      <c r="AR444" s="224"/>
      <c r="AS444" s="224"/>
      <c r="AT444" s="224"/>
      <c r="AU444" s="224"/>
      <c r="AV444" s="224"/>
      <c r="AW444" s="224"/>
      <c r="AX444" s="224"/>
      <c r="AY444" s="224"/>
      <c r="AZ444" s="224"/>
      <c r="BA444" s="224"/>
      <c r="BB444" s="224"/>
      <c r="BC444" s="224"/>
      <c r="BD444" s="224"/>
      <c r="BE444" s="224"/>
      <c r="BF444" s="224"/>
    </row>
    <row r="445" spans="1:58" ht="12" hidden="1" customHeight="1" outlineLevel="2" x14ac:dyDescent="0.3">
      <c r="A445" s="224"/>
      <c r="B445" s="224"/>
      <c r="C445" s="224"/>
      <c r="D445" s="224"/>
      <c r="E445" s="224"/>
      <c r="F445" s="224"/>
      <c r="G445" s="224"/>
      <c r="H445" s="224"/>
      <c r="I445" s="224"/>
      <c r="J445" s="224"/>
      <c r="K445" s="224"/>
      <c r="L445" s="117"/>
      <c r="M445" s="210" t="s">
        <v>1046</v>
      </c>
      <c r="N445" s="244" t="s">
        <v>77</v>
      </c>
      <c r="O445" s="409">
        <f>SUM(O446:O448)</f>
        <v>0</v>
      </c>
      <c r="P445" s="409">
        <f t="shared" ref="P445" si="632">SUM(P446:P448)</f>
        <v>0</v>
      </c>
      <c r="Q445" s="409">
        <f t="shared" ref="Q445" si="633">SUM(Q446:Q448)</f>
        <v>0</v>
      </c>
      <c r="R445" s="409">
        <f t="shared" ref="R445" si="634">SUM(R446:R448)</f>
        <v>0</v>
      </c>
      <c r="S445" s="409">
        <f t="shared" ref="S445" si="635">SUM(S446:S448)</f>
        <v>0</v>
      </c>
      <c r="T445" s="409">
        <f t="shared" ref="T445" si="636">SUM(T446:T448)</f>
        <v>0</v>
      </c>
      <c r="U445" s="409">
        <f t="shared" ref="U445" si="637">SUM(U446:U448)</f>
        <v>0</v>
      </c>
      <c r="V445" s="409">
        <f t="shared" ref="V445" si="638">SUM(V446:V448)</f>
        <v>0</v>
      </c>
      <c r="W445" s="409">
        <f t="shared" ref="W445" si="639">SUM(W446:W448)</f>
        <v>0</v>
      </c>
      <c r="X445" s="409">
        <f t="shared" ref="X445" si="640">SUM(X446:X448)</f>
        <v>0</v>
      </c>
      <c r="Y445" s="394"/>
      <c r="Z445" s="210"/>
      <c r="AA445" s="210"/>
      <c r="AB445" s="409">
        <f t="shared" ref="AB445" si="641">SUM(AB446:AB448)</f>
        <v>0</v>
      </c>
      <c r="AC445" s="410">
        <f t="shared" ref="AC445" si="642">SUM(AC446:AC448)</f>
        <v>0</v>
      </c>
      <c r="AD445" s="411">
        <f>AB445*AD$261/$AB$261</f>
        <v>0</v>
      </c>
      <c r="AE445" s="411">
        <f>AD445*AE$261/AD$261</f>
        <v>0</v>
      </c>
      <c r="AF445" s="411">
        <f t="shared" ref="AF445:BF445" si="643">AE445*AF$261/AE$261</f>
        <v>0</v>
      </c>
      <c r="AG445" s="411">
        <f t="shared" si="643"/>
        <v>0</v>
      </c>
      <c r="AH445" s="411">
        <f t="shared" si="643"/>
        <v>0</v>
      </c>
      <c r="AI445" s="411">
        <f t="shared" si="643"/>
        <v>0</v>
      </c>
      <c r="AJ445" s="411">
        <f t="shared" si="643"/>
        <v>0</v>
      </c>
      <c r="AK445" s="411">
        <f t="shared" si="643"/>
        <v>0</v>
      </c>
      <c r="AL445" s="411">
        <f t="shared" si="643"/>
        <v>0</v>
      </c>
      <c r="AM445" s="411">
        <f t="shared" si="643"/>
        <v>0</v>
      </c>
      <c r="AN445" s="411">
        <f t="shared" si="643"/>
        <v>0</v>
      </c>
      <c r="AO445" s="411">
        <f t="shared" si="643"/>
        <v>0</v>
      </c>
      <c r="AP445" s="411">
        <f t="shared" si="643"/>
        <v>0</v>
      </c>
      <c r="AQ445" s="411">
        <f t="shared" si="643"/>
        <v>0</v>
      </c>
      <c r="AR445" s="411">
        <f t="shared" si="643"/>
        <v>0</v>
      </c>
      <c r="AS445" s="411">
        <f t="shared" si="643"/>
        <v>0</v>
      </c>
      <c r="AT445" s="411">
        <f t="shared" si="643"/>
        <v>0</v>
      </c>
      <c r="AU445" s="411">
        <f t="shared" si="643"/>
        <v>0</v>
      </c>
      <c r="AV445" s="411">
        <f t="shared" si="643"/>
        <v>0</v>
      </c>
      <c r="AW445" s="411">
        <f t="shared" si="643"/>
        <v>0</v>
      </c>
      <c r="AX445" s="411">
        <f t="shared" si="643"/>
        <v>0</v>
      </c>
      <c r="AY445" s="411">
        <f t="shared" si="643"/>
        <v>0</v>
      </c>
      <c r="AZ445" s="411">
        <f t="shared" si="643"/>
        <v>0</v>
      </c>
      <c r="BA445" s="411">
        <f t="shared" si="643"/>
        <v>0</v>
      </c>
      <c r="BB445" s="411">
        <f t="shared" si="643"/>
        <v>0</v>
      </c>
      <c r="BC445" s="411">
        <f t="shared" si="643"/>
        <v>0</v>
      </c>
      <c r="BD445" s="411">
        <f t="shared" si="643"/>
        <v>0</v>
      </c>
      <c r="BE445" s="411">
        <f t="shared" si="643"/>
        <v>0</v>
      </c>
      <c r="BF445" s="411">
        <f t="shared" si="643"/>
        <v>0</v>
      </c>
    </row>
    <row r="446" spans="1:58" ht="12" hidden="1" customHeight="1" outlineLevel="2" x14ac:dyDescent="0.3">
      <c r="A446" s="224"/>
      <c r="B446" s="224"/>
      <c r="C446" s="224"/>
      <c r="D446" s="224"/>
      <c r="E446" s="224"/>
      <c r="F446" s="224"/>
      <c r="G446" s="224"/>
      <c r="H446" s="224"/>
      <c r="I446" s="224"/>
      <c r="J446" s="224"/>
      <c r="K446" s="224"/>
      <c r="L446" s="117"/>
      <c r="M446" s="213" t="s">
        <v>964</v>
      </c>
      <c r="N446" s="244" t="s">
        <v>77</v>
      </c>
      <c r="O446" s="150">
        <v>0</v>
      </c>
      <c r="P446" s="150">
        <v>0</v>
      </c>
      <c r="Q446" s="150">
        <v>0</v>
      </c>
      <c r="R446" s="150">
        <v>0</v>
      </c>
      <c r="S446" s="150">
        <v>0</v>
      </c>
      <c r="T446" s="150">
        <v>0</v>
      </c>
      <c r="U446" s="150">
        <v>0</v>
      </c>
      <c r="V446" s="150">
        <v>0</v>
      </c>
      <c r="W446" s="150">
        <v>0</v>
      </c>
      <c r="X446" s="150">
        <v>0</v>
      </c>
      <c r="Y446" s="394"/>
      <c r="Z446" s="246"/>
      <c r="AA446" s="246"/>
      <c r="AB446" s="150">
        <v>0</v>
      </c>
      <c r="AC446" s="153">
        <v>0</v>
      </c>
      <c r="AD446" s="412"/>
      <c r="AE446" s="412"/>
      <c r="AF446" s="412"/>
      <c r="AG446" s="412"/>
      <c r="AH446" s="412"/>
      <c r="AI446" s="412"/>
      <c r="AJ446" s="412"/>
      <c r="AK446" s="412"/>
      <c r="AL446" s="412"/>
      <c r="AM446" s="412"/>
      <c r="AN446" s="412"/>
      <c r="AO446" s="412"/>
      <c r="AP446" s="412"/>
      <c r="AQ446" s="412"/>
      <c r="AR446" s="412"/>
      <c r="AS446" s="412"/>
      <c r="AT446" s="412"/>
      <c r="AU446" s="412"/>
      <c r="AV446" s="412"/>
      <c r="AW446" s="412"/>
      <c r="AX446" s="412"/>
      <c r="AY446" s="412"/>
      <c r="AZ446" s="412"/>
      <c r="BA446" s="412"/>
      <c r="BB446" s="412"/>
      <c r="BC446" s="412"/>
      <c r="BD446" s="412"/>
      <c r="BE446" s="412"/>
      <c r="BF446" s="412"/>
    </row>
    <row r="447" spans="1:58" ht="12" hidden="1" customHeight="1" outlineLevel="2" x14ac:dyDescent="0.3">
      <c r="A447" s="224"/>
      <c r="B447" s="224"/>
      <c r="C447" s="224"/>
      <c r="D447" s="224"/>
      <c r="E447" s="224"/>
      <c r="F447" s="224"/>
      <c r="G447" s="224"/>
      <c r="H447" s="224"/>
      <c r="I447" s="224"/>
      <c r="J447" s="224"/>
      <c r="K447" s="224"/>
      <c r="L447" s="117"/>
      <c r="M447" s="213" t="s">
        <v>965</v>
      </c>
      <c r="N447" s="244" t="s">
        <v>77</v>
      </c>
      <c r="O447" s="150">
        <v>0</v>
      </c>
      <c r="P447" s="150">
        <v>0</v>
      </c>
      <c r="Q447" s="150">
        <v>0</v>
      </c>
      <c r="R447" s="150">
        <v>0</v>
      </c>
      <c r="S447" s="150">
        <v>0</v>
      </c>
      <c r="T447" s="150">
        <v>0</v>
      </c>
      <c r="U447" s="150">
        <v>0</v>
      </c>
      <c r="V447" s="150">
        <v>0</v>
      </c>
      <c r="W447" s="150">
        <v>0</v>
      </c>
      <c r="X447" s="150">
        <v>0</v>
      </c>
      <c r="Y447" s="394"/>
      <c r="Z447" s="246"/>
      <c r="AA447" s="246"/>
      <c r="AB447" s="150">
        <v>0</v>
      </c>
      <c r="AC447" s="153">
        <v>0</v>
      </c>
      <c r="AD447" s="412"/>
      <c r="AE447" s="412"/>
      <c r="AF447" s="412"/>
      <c r="AG447" s="412"/>
      <c r="AH447" s="412"/>
      <c r="AI447" s="412"/>
      <c r="AJ447" s="412"/>
      <c r="AK447" s="412"/>
      <c r="AL447" s="412"/>
      <c r="AM447" s="412"/>
      <c r="AN447" s="412"/>
      <c r="AO447" s="412"/>
      <c r="AP447" s="412"/>
      <c r="AQ447" s="412"/>
      <c r="AR447" s="412"/>
      <c r="AS447" s="412"/>
      <c r="AT447" s="412"/>
      <c r="AU447" s="412"/>
      <c r="AV447" s="412"/>
      <c r="AW447" s="412"/>
      <c r="AX447" s="412"/>
      <c r="AY447" s="412"/>
      <c r="AZ447" s="412"/>
      <c r="BA447" s="412"/>
      <c r="BB447" s="412"/>
      <c r="BC447" s="412"/>
      <c r="BD447" s="412"/>
      <c r="BE447" s="412"/>
      <c r="BF447" s="412"/>
    </row>
    <row r="448" spans="1:58" ht="12" hidden="1" customHeight="1" outlineLevel="2" x14ac:dyDescent="0.3">
      <c r="A448" s="224"/>
      <c r="B448" s="224"/>
      <c r="C448" s="224"/>
      <c r="D448" s="224"/>
      <c r="E448" s="224"/>
      <c r="F448" s="224"/>
      <c r="G448" s="224"/>
      <c r="H448" s="224"/>
      <c r="I448" s="224"/>
      <c r="J448" s="224"/>
      <c r="K448" s="224"/>
      <c r="L448" s="117"/>
      <c r="M448" s="213" t="s">
        <v>966</v>
      </c>
      <c r="N448" s="244" t="s">
        <v>77</v>
      </c>
      <c r="O448" s="150">
        <v>0</v>
      </c>
      <c r="P448" s="150">
        <v>0</v>
      </c>
      <c r="Q448" s="150">
        <v>0</v>
      </c>
      <c r="R448" s="150">
        <v>0</v>
      </c>
      <c r="S448" s="150">
        <v>0</v>
      </c>
      <c r="T448" s="150">
        <v>0</v>
      </c>
      <c r="U448" s="150">
        <v>0</v>
      </c>
      <c r="V448" s="150">
        <v>0</v>
      </c>
      <c r="W448" s="150">
        <v>0</v>
      </c>
      <c r="X448" s="150">
        <v>0</v>
      </c>
      <c r="Y448" s="394"/>
      <c r="Z448" s="246"/>
      <c r="AA448" s="246"/>
      <c r="AB448" s="150">
        <v>0</v>
      </c>
      <c r="AC448" s="153">
        <v>0</v>
      </c>
      <c r="AD448" s="412"/>
      <c r="AE448" s="412"/>
      <c r="AF448" s="412"/>
      <c r="AG448" s="412"/>
      <c r="AH448" s="412"/>
      <c r="AI448" s="412"/>
      <c r="AJ448" s="412"/>
      <c r="AK448" s="412"/>
      <c r="AL448" s="412"/>
      <c r="AM448" s="412"/>
      <c r="AN448" s="412"/>
      <c r="AO448" s="412"/>
      <c r="AP448" s="412"/>
      <c r="AQ448" s="412"/>
      <c r="AR448" s="412"/>
      <c r="AS448" s="412"/>
      <c r="AT448" s="412"/>
      <c r="AU448" s="412"/>
      <c r="AV448" s="412"/>
      <c r="AW448" s="412"/>
      <c r="AX448" s="412"/>
      <c r="AY448" s="412"/>
      <c r="AZ448" s="412"/>
      <c r="BA448" s="412"/>
      <c r="BB448" s="412"/>
      <c r="BC448" s="412"/>
      <c r="BD448" s="412"/>
      <c r="BE448" s="412"/>
      <c r="BF448" s="412"/>
    </row>
    <row r="449" spans="1:58" ht="12" hidden="1" customHeight="1" outlineLevel="2" x14ac:dyDescent="0.3">
      <c r="A449" s="224"/>
      <c r="B449" s="224"/>
      <c r="C449" s="224"/>
      <c r="D449" s="224"/>
      <c r="E449" s="224"/>
      <c r="F449" s="224"/>
      <c r="G449" s="224"/>
      <c r="H449" s="224"/>
      <c r="I449" s="224"/>
      <c r="J449" s="224"/>
      <c r="K449" s="224"/>
      <c r="L449" s="117"/>
      <c r="M449" s="210" t="s">
        <v>1047</v>
      </c>
      <c r="N449" s="244" t="s">
        <v>77</v>
      </c>
      <c r="O449" s="409">
        <f>SUM(O450:O451)</f>
        <v>15.361639432092151</v>
      </c>
      <c r="P449" s="409">
        <f t="shared" ref="P449" si="644">SUM(P450:P451)</f>
        <v>0</v>
      </c>
      <c r="Q449" s="409">
        <f t="shared" ref="Q449" si="645">SUM(Q450:Q451)</f>
        <v>22.026451395722194</v>
      </c>
      <c r="R449" s="409">
        <f t="shared" ref="R449" si="646">SUM(R450:R451)</f>
        <v>15.563507905657403</v>
      </c>
      <c r="S449" s="409">
        <f t="shared" ref="S449" si="647">SUM(S450:S451)</f>
        <v>15.749999999999998</v>
      </c>
      <c r="T449" s="409">
        <f t="shared" ref="T449" si="648">SUM(T450:T451)</f>
        <v>11.250162064047711</v>
      </c>
      <c r="U449" s="409">
        <f t="shared" ref="U449" si="649">SUM(U450:U451)</f>
        <v>13.170419385871401</v>
      </c>
      <c r="V449" s="409">
        <f t="shared" ref="V449" si="650">SUM(V450:V451)</f>
        <v>12.200534062784941</v>
      </c>
      <c r="W449" s="409">
        <f t="shared" ref="W449" si="651">SUM(W450:W451)</f>
        <v>12.496752481483959</v>
      </c>
      <c r="X449" s="409">
        <f t="shared" ref="X449" si="652">SUM(X450:X451)</f>
        <v>4.9987009925935846</v>
      </c>
      <c r="Y449" s="394"/>
      <c r="Z449" s="220"/>
      <c r="AA449" s="220"/>
      <c r="AB449" s="409">
        <f t="shared" ref="AB449" si="653">SUM(AB450:AB451)</f>
        <v>6.3888888888888884</v>
      </c>
      <c r="AC449" s="410">
        <f t="shared" ref="AC449" si="654">SUM(AC450:AC451)</f>
        <v>2.5</v>
      </c>
      <c r="AD449" s="411">
        <f>AB449*AD$261/$AB$261</f>
        <v>6.4527777777777775</v>
      </c>
      <c r="AE449" s="411">
        <f>AD449*AE$261/AD$261</f>
        <v>6.530211111111111</v>
      </c>
      <c r="AF449" s="411">
        <f t="shared" ref="AF449:BF449" si="655">AE449*AF$261/AE$261</f>
        <v>6.6281642777777767</v>
      </c>
      <c r="AG449" s="411">
        <f t="shared" si="655"/>
        <v>6.7275867419444433</v>
      </c>
      <c r="AH449" s="411">
        <f t="shared" si="655"/>
        <v>6.8285005430736092</v>
      </c>
      <c r="AI449" s="411">
        <f t="shared" si="655"/>
        <v>6.9309280512197127</v>
      </c>
      <c r="AJ449" s="411">
        <f t="shared" si="655"/>
        <v>7.0348919719880083</v>
      </c>
      <c r="AK449" s="411">
        <f t="shared" si="655"/>
        <v>7.1404153515678281</v>
      </c>
      <c r="AL449" s="411">
        <f t="shared" si="655"/>
        <v>7.2475215818413448</v>
      </c>
      <c r="AM449" s="411">
        <f t="shared" si="655"/>
        <v>7.3562344055689648</v>
      </c>
      <c r="AN449" s="411">
        <f t="shared" si="655"/>
        <v>7.4665779216524992</v>
      </c>
      <c r="AO449" s="411">
        <f t="shared" si="655"/>
        <v>7.5785765904772857</v>
      </c>
      <c r="AP449" s="411">
        <f t="shared" si="655"/>
        <v>7.6922552393344432</v>
      </c>
      <c r="AQ449" s="411">
        <f t="shared" si="655"/>
        <v>7.8076390679244589</v>
      </c>
      <c r="AR449" s="411">
        <f t="shared" si="655"/>
        <v>7.9247536539433252</v>
      </c>
      <c r="AS449" s="411">
        <f t="shared" si="655"/>
        <v>8.0436249587524742</v>
      </c>
      <c r="AT449" s="411">
        <f t="shared" si="655"/>
        <v>8.1642793331337593</v>
      </c>
      <c r="AU449" s="411">
        <f t="shared" si="655"/>
        <v>8.2867435231307649</v>
      </c>
      <c r="AV449" s="411">
        <f t="shared" si="655"/>
        <v>8.4110446759777258</v>
      </c>
      <c r="AW449" s="411">
        <f t="shared" si="655"/>
        <v>8.5372103461173907</v>
      </c>
      <c r="AX449" s="411">
        <f t="shared" si="655"/>
        <v>8.6652685013091499</v>
      </c>
      <c r="AY449" s="411">
        <f t="shared" si="655"/>
        <v>8.7952475288287868</v>
      </c>
      <c r="AZ449" s="411">
        <f t="shared" si="655"/>
        <v>8.9271762417612184</v>
      </c>
      <c r="BA449" s="411">
        <f t="shared" si="655"/>
        <v>9.0610838853876352</v>
      </c>
      <c r="BB449" s="411">
        <f t="shared" si="655"/>
        <v>9.1788779758976737</v>
      </c>
      <c r="BC449" s="411">
        <f t="shared" si="655"/>
        <v>9.2890245116084458</v>
      </c>
      <c r="BD449" s="411">
        <f t="shared" si="655"/>
        <v>9.391203781236138</v>
      </c>
      <c r="BE449" s="411">
        <f t="shared" si="655"/>
        <v>9.4851158190485005</v>
      </c>
      <c r="BF449" s="411">
        <f t="shared" si="655"/>
        <v>9.5799669772389855</v>
      </c>
    </row>
    <row r="450" spans="1:58" ht="12" hidden="1" customHeight="1" outlineLevel="2" x14ac:dyDescent="0.3">
      <c r="A450" s="224"/>
      <c r="B450" s="224"/>
      <c r="C450" s="224"/>
      <c r="D450" s="224"/>
      <c r="E450" s="224"/>
      <c r="F450" s="224"/>
      <c r="G450" s="224"/>
      <c r="H450" s="224"/>
      <c r="I450" s="224"/>
      <c r="J450" s="224"/>
      <c r="K450" s="224"/>
      <c r="L450" s="117"/>
      <c r="M450" s="213" t="s">
        <v>968</v>
      </c>
      <c r="N450" s="244" t="s">
        <v>77</v>
      </c>
      <c r="O450" s="150">
        <v>15.361639432092151</v>
      </c>
      <c r="P450" s="150">
        <v>0</v>
      </c>
      <c r="Q450" s="150">
        <v>22.026451395722194</v>
      </c>
      <c r="R450" s="150">
        <v>15.563507905657403</v>
      </c>
      <c r="S450" s="150">
        <v>15.749999999999998</v>
      </c>
      <c r="T450" s="150">
        <v>11.250162064047711</v>
      </c>
      <c r="U450" s="150">
        <v>13.170419385871401</v>
      </c>
      <c r="V450" s="150">
        <v>12.200534062784941</v>
      </c>
      <c r="W450" s="150">
        <v>12.496752481483959</v>
      </c>
      <c r="X450" s="150">
        <v>4.9987009925935846</v>
      </c>
      <c r="Y450" s="394"/>
      <c r="Z450" s="246"/>
      <c r="AA450" s="246"/>
      <c r="AB450" s="150">
        <v>6.3888888888888884</v>
      </c>
      <c r="AC450" s="153">
        <v>2.5</v>
      </c>
      <c r="AD450" s="412"/>
      <c r="AE450" s="412"/>
      <c r="AF450" s="412"/>
      <c r="AG450" s="412"/>
      <c r="AH450" s="412"/>
      <c r="AI450" s="412"/>
      <c r="AJ450" s="412"/>
      <c r="AK450" s="412"/>
      <c r="AL450" s="412"/>
      <c r="AM450" s="412"/>
      <c r="AN450" s="412"/>
      <c r="AO450" s="412"/>
      <c r="AP450" s="412"/>
      <c r="AQ450" s="412"/>
      <c r="AR450" s="412"/>
      <c r="AS450" s="412"/>
      <c r="AT450" s="412"/>
      <c r="AU450" s="412"/>
      <c r="AV450" s="412"/>
      <c r="AW450" s="412"/>
      <c r="AX450" s="412"/>
      <c r="AY450" s="412"/>
      <c r="AZ450" s="412"/>
      <c r="BA450" s="412"/>
      <c r="BB450" s="412"/>
      <c r="BC450" s="412"/>
      <c r="BD450" s="412"/>
      <c r="BE450" s="412"/>
      <c r="BF450" s="412"/>
    </row>
    <row r="451" spans="1:58" ht="12" hidden="1" customHeight="1" outlineLevel="2" x14ac:dyDescent="0.3">
      <c r="A451" s="224"/>
      <c r="B451" s="224"/>
      <c r="C451" s="224"/>
      <c r="D451" s="224"/>
      <c r="E451" s="224"/>
      <c r="F451" s="224"/>
      <c r="G451" s="224"/>
      <c r="H451" s="224"/>
      <c r="I451" s="224"/>
      <c r="J451" s="224"/>
      <c r="K451" s="224"/>
      <c r="L451" s="117"/>
      <c r="M451" s="213" t="s">
        <v>969</v>
      </c>
      <c r="N451" s="244" t="s">
        <v>77</v>
      </c>
      <c r="O451" s="150">
        <v>0</v>
      </c>
      <c r="P451" s="150">
        <v>0</v>
      </c>
      <c r="Q451" s="150">
        <v>0</v>
      </c>
      <c r="R451" s="150">
        <v>0</v>
      </c>
      <c r="S451" s="150">
        <v>0</v>
      </c>
      <c r="T451" s="150">
        <v>0</v>
      </c>
      <c r="U451" s="150">
        <v>0</v>
      </c>
      <c r="V451" s="150">
        <v>0</v>
      </c>
      <c r="W451" s="150">
        <v>0</v>
      </c>
      <c r="X451" s="150">
        <v>0</v>
      </c>
      <c r="Y451" s="394"/>
      <c r="Z451" s="246"/>
      <c r="AA451" s="246"/>
      <c r="AB451" s="150">
        <v>0</v>
      </c>
      <c r="AC451" s="153">
        <v>0</v>
      </c>
      <c r="AD451" s="412"/>
      <c r="AE451" s="412"/>
      <c r="AF451" s="412"/>
      <c r="AG451" s="412"/>
      <c r="AH451" s="412"/>
      <c r="AI451" s="412"/>
      <c r="AJ451" s="412"/>
      <c r="AK451" s="412"/>
      <c r="AL451" s="412"/>
      <c r="AM451" s="412"/>
      <c r="AN451" s="412"/>
      <c r="AO451" s="412"/>
      <c r="AP451" s="412"/>
      <c r="AQ451" s="412"/>
      <c r="AR451" s="412"/>
      <c r="AS451" s="412"/>
      <c r="AT451" s="412"/>
      <c r="AU451" s="412"/>
      <c r="AV451" s="412"/>
      <c r="AW451" s="412"/>
      <c r="AX451" s="412"/>
      <c r="AY451" s="412"/>
      <c r="AZ451" s="412"/>
      <c r="BA451" s="412"/>
      <c r="BB451" s="412"/>
      <c r="BC451" s="412"/>
      <c r="BD451" s="412"/>
      <c r="BE451" s="412"/>
      <c r="BF451" s="412"/>
    </row>
    <row r="452" spans="1:58" ht="12" hidden="1" customHeight="1" outlineLevel="2" x14ac:dyDescent="0.3">
      <c r="A452" s="224"/>
      <c r="B452" s="224"/>
      <c r="C452" s="224"/>
      <c r="D452" s="224"/>
      <c r="E452" s="224"/>
      <c r="F452" s="224"/>
      <c r="G452" s="224"/>
      <c r="H452" s="224"/>
      <c r="I452" s="224"/>
      <c r="J452" s="224"/>
      <c r="K452" s="224"/>
      <c r="L452" s="117"/>
      <c r="M452" s="210" t="s">
        <v>1048</v>
      </c>
      <c r="N452" s="244" t="s">
        <v>77</v>
      </c>
      <c r="O452" s="409">
        <f>SUM(O453:O456)</f>
        <v>7.5444444444444434</v>
      </c>
      <c r="P452" s="409">
        <f t="shared" ref="P452" si="656">SUM(P453:P456)</f>
        <v>7.5686111111111112</v>
      </c>
      <c r="Q452" s="409">
        <f t="shared" ref="Q452" si="657">SUM(Q453:Q456)</f>
        <v>7.5686111111111112</v>
      </c>
      <c r="R452" s="409">
        <f t="shared" ref="R452" si="658">SUM(R453:R456)</f>
        <v>7.5413888888888891</v>
      </c>
      <c r="S452" s="409">
        <f t="shared" ref="S452" si="659">SUM(S453:S456)</f>
        <v>7.5427777777777774</v>
      </c>
      <c r="T452" s="409">
        <f t="shared" ref="T452" si="660">SUM(T453:T456)</f>
        <v>0</v>
      </c>
      <c r="U452" s="409">
        <f t="shared" ref="U452" si="661">SUM(U453:U456)</f>
        <v>0</v>
      </c>
      <c r="V452" s="409">
        <f t="shared" ref="V452" si="662">SUM(V453:V456)</f>
        <v>0.54999999999999993</v>
      </c>
      <c r="W452" s="409">
        <f t="shared" ref="W452" si="663">SUM(W453:W456)</f>
        <v>0</v>
      </c>
      <c r="X452" s="409">
        <f t="shared" ref="X452" si="664">SUM(X453:X456)</f>
        <v>0</v>
      </c>
      <c r="Y452" s="394"/>
      <c r="Z452" s="220"/>
      <c r="AA452" s="220"/>
      <c r="AB452" s="409">
        <f t="shared" ref="AB452" si="665">SUM(AB453:AB456)</f>
        <v>0</v>
      </c>
      <c r="AC452" s="410">
        <f t="shared" ref="AC452" si="666">SUM(AC453:AC456)</f>
        <v>0</v>
      </c>
      <c r="AD452" s="411">
        <f>AB452*AD$261/$AB$261</f>
        <v>0</v>
      </c>
      <c r="AE452" s="411">
        <f>AD452*AE$261/AD$261</f>
        <v>0</v>
      </c>
      <c r="AF452" s="411">
        <f t="shared" ref="AF452:BF452" si="667">AE452*AF$261/AE$261</f>
        <v>0</v>
      </c>
      <c r="AG452" s="411">
        <f t="shared" si="667"/>
        <v>0</v>
      </c>
      <c r="AH452" s="411">
        <f t="shared" si="667"/>
        <v>0</v>
      </c>
      <c r="AI452" s="411">
        <f t="shared" si="667"/>
        <v>0</v>
      </c>
      <c r="AJ452" s="411">
        <f t="shared" si="667"/>
        <v>0</v>
      </c>
      <c r="AK452" s="411">
        <f t="shared" si="667"/>
        <v>0</v>
      </c>
      <c r="AL452" s="411">
        <f t="shared" si="667"/>
        <v>0</v>
      </c>
      <c r="AM452" s="411">
        <f t="shared" si="667"/>
        <v>0</v>
      </c>
      <c r="AN452" s="411">
        <f t="shared" si="667"/>
        <v>0</v>
      </c>
      <c r="AO452" s="411">
        <f t="shared" si="667"/>
        <v>0</v>
      </c>
      <c r="AP452" s="411">
        <f t="shared" si="667"/>
        <v>0</v>
      </c>
      <c r="AQ452" s="411">
        <f t="shared" si="667"/>
        <v>0</v>
      </c>
      <c r="AR452" s="411">
        <f t="shared" si="667"/>
        <v>0</v>
      </c>
      <c r="AS452" s="411">
        <f t="shared" si="667"/>
        <v>0</v>
      </c>
      <c r="AT452" s="411">
        <f t="shared" si="667"/>
        <v>0</v>
      </c>
      <c r="AU452" s="411">
        <f t="shared" si="667"/>
        <v>0</v>
      </c>
      <c r="AV452" s="411">
        <f t="shared" si="667"/>
        <v>0</v>
      </c>
      <c r="AW452" s="411">
        <f t="shared" si="667"/>
        <v>0</v>
      </c>
      <c r="AX452" s="411">
        <f t="shared" si="667"/>
        <v>0</v>
      </c>
      <c r="AY452" s="411">
        <f t="shared" si="667"/>
        <v>0</v>
      </c>
      <c r="AZ452" s="411">
        <f t="shared" si="667"/>
        <v>0</v>
      </c>
      <c r="BA452" s="411">
        <f t="shared" si="667"/>
        <v>0</v>
      </c>
      <c r="BB452" s="411">
        <f t="shared" si="667"/>
        <v>0</v>
      </c>
      <c r="BC452" s="411">
        <f t="shared" si="667"/>
        <v>0</v>
      </c>
      <c r="BD452" s="411">
        <f t="shared" si="667"/>
        <v>0</v>
      </c>
      <c r="BE452" s="411">
        <f t="shared" si="667"/>
        <v>0</v>
      </c>
      <c r="BF452" s="411">
        <f t="shared" si="667"/>
        <v>0</v>
      </c>
    </row>
    <row r="453" spans="1:58" ht="12" hidden="1" customHeight="1" outlineLevel="2" x14ac:dyDescent="0.3">
      <c r="A453" s="224"/>
      <c r="B453" s="224"/>
      <c r="C453" s="224"/>
      <c r="D453" s="224"/>
      <c r="E453" s="224"/>
      <c r="F453" s="224"/>
      <c r="G453" s="224"/>
      <c r="H453" s="224"/>
      <c r="I453" s="224"/>
      <c r="J453" s="224"/>
      <c r="K453" s="224"/>
      <c r="L453" s="117"/>
      <c r="M453" s="213" t="s">
        <v>971</v>
      </c>
      <c r="N453" s="244" t="s">
        <v>77</v>
      </c>
      <c r="O453" s="150">
        <v>7.5444444444444434</v>
      </c>
      <c r="P453" s="150">
        <v>7.5686111111111112</v>
      </c>
      <c r="Q453" s="150">
        <v>7.5686111111111112</v>
      </c>
      <c r="R453" s="150">
        <v>7.5413888888888891</v>
      </c>
      <c r="S453" s="150">
        <v>7.5427777777777774</v>
      </c>
      <c r="T453" s="150">
        <v>0</v>
      </c>
      <c r="U453" s="150">
        <v>0</v>
      </c>
      <c r="V453" s="150">
        <v>0.54999999999999993</v>
      </c>
      <c r="W453" s="150">
        <v>0</v>
      </c>
      <c r="X453" s="150">
        <v>0</v>
      </c>
      <c r="Y453" s="394"/>
      <c r="Z453" s="246"/>
      <c r="AA453" s="246"/>
      <c r="AB453" s="150">
        <v>0</v>
      </c>
      <c r="AC453" s="153">
        <v>0</v>
      </c>
      <c r="AD453" s="412"/>
      <c r="AE453" s="412"/>
      <c r="AF453" s="412"/>
      <c r="AG453" s="412"/>
      <c r="AH453" s="412"/>
      <c r="AI453" s="412"/>
      <c r="AJ453" s="412"/>
      <c r="AK453" s="412"/>
      <c r="AL453" s="412"/>
      <c r="AM453" s="412"/>
      <c r="AN453" s="412"/>
      <c r="AO453" s="412"/>
      <c r="AP453" s="412"/>
      <c r="AQ453" s="412"/>
      <c r="AR453" s="412"/>
      <c r="AS453" s="412"/>
      <c r="AT453" s="412"/>
      <c r="AU453" s="412"/>
      <c r="AV453" s="412"/>
      <c r="AW453" s="412"/>
      <c r="AX453" s="412"/>
      <c r="AY453" s="412"/>
      <c r="AZ453" s="412"/>
      <c r="BA453" s="412"/>
      <c r="BB453" s="412"/>
      <c r="BC453" s="412"/>
      <c r="BD453" s="412"/>
      <c r="BE453" s="412"/>
      <c r="BF453" s="412"/>
    </row>
    <row r="454" spans="1:58" ht="12" hidden="1" customHeight="1" outlineLevel="2" x14ac:dyDescent="0.3">
      <c r="A454" s="224"/>
      <c r="B454" s="224"/>
      <c r="C454" s="224"/>
      <c r="D454" s="224"/>
      <c r="E454" s="224"/>
      <c r="F454" s="224"/>
      <c r="G454" s="224"/>
      <c r="H454" s="224"/>
      <c r="I454" s="224"/>
      <c r="J454" s="224"/>
      <c r="K454" s="224"/>
      <c r="L454" s="117"/>
      <c r="M454" s="213" t="s">
        <v>985</v>
      </c>
      <c r="N454" s="244" t="s">
        <v>77</v>
      </c>
      <c r="O454" s="150">
        <v>0</v>
      </c>
      <c r="P454" s="150">
        <v>0</v>
      </c>
      <c r="Q454" s="150">
        <v>0</v>
      </c>
      <c r="R454" s="150">
        <v>0</v>
      </c>
      <c r="S454" s="150">
        <v>0</v>
      </c>
      <c r="T454" s="150">
        <v>0</v>
      </c>
      <c r="U454" s="150">
        <v>0</v>
      </c>
      <c r="V454" s="150">
        <v>0</v>
      </c>
      <c r="W454" s="150">
        <v>0</v>
      </c>
      <c r="X454" s="150">
        <v>0</v>
      </c>
      <c r="Y454" s="394"/>
      <c r="Z454" s="246"/>
      <c r="AA454" s="246"/>
      <c r="AB454" s="150">
        <v>0</v>
      </c>
      <c r="AC454" s="153">
        <v>0</v>
      </c>
      <c r="AD454" s="412"/>
      <c r="AE454" s="412"/>
      <c r="AF454" s="412"/>
      <c r="AG454" s="412"/>
      <c r="AH454" s="412"/>
      <c r="AI454" s="412"/>
      <c r="AJ454" s="412"/>
      <c r="AK454" s="412"/>
      <c r="AL454" s="412"/>
      <c r="AM454" s="412"/>
      <c r="AN454" s="412"/>
      <c r="AO454" s="412"/>
      <c r="AP454" s="412"/>
      <c r="AQ454" s="412"/>
      <c r="AR454" s="412"/>
      <c r="AS454" s="412"/>
      <c r="AT454" s="412"/>
      <c r="AU454" s="412"/>
      <c r="AV454" s="412"/>
      <c r="AW454" s="412"/>
      <c r="AX454" s="412"/>
      <c r="AY454" s="412"/>
      <c r="AZ454" s="412"/>
      <c r="BA454" s="412"/>
      <c r="BB454" s="412"/>
      <c r="BC454" s="412"/>
      <c r="BD454" s="412"/>
      <c r="BE454" s="412"/>
      <c r="BF454" s="412"/>
    </row>
    <row r="455" spans="1:58" ht="12" hidden="1" customHeight="1" outlineLevel="2" x14ac:dyDescent="0.3">
      <c r="A455" s="224"/>
      <c r="B455" s="224"/>
      <c r="C455" s="224"/>
      <c r="D455" s="224"/>
      <c r="E455" s="224"/>
      <c r="F455" s="224"/>
      <c r="G455" s="224"/>
      <c r="H455" s="224"/>
      <c r="I455" s="224"/>
      <c r="J455" s="224"/>
      <c r="K455" s="224"/>
      <c r="L455" s="117"/>
      <c r="M455" s="213" t="s">
        <v>973</v>
      </c>
      <c r="N455" s="244" t="s">
        <v>77</v>
      </c>
      <c r="O455" s="150">
        <v>0</v>
      </c>
      <c r="P455" s="150">
        <v>0</v>
      </c>
      <c r="Q455" s="150">
        <v>0</v>
      </c>
      <c r="R455" s="150">
        <v>0</v>
      </c>
      <c r="S455" s="150">
        <v>0</v>
      </c>
      <c r="T455" s="150">
        <v>0</v>
      </c>
      <c r="U455" s="150">
        <v>0</v>
      </c>
      <c r="V455" s="150">
        <v>0</v>
      </c>
      <c r="W455" s="150">
        <v>0</v>
      </c>
      <c r="X455" s="150">
        <v>0</v>
      </c>
      <c r="Y455" s="394"/>
      <c r="Z455" s="246"/>
      <c r="AA455" s="246"/>
      <c r="AB455" s="150">
        <v>0</v>
      </c>
      <c r="AC455" s="153">
        <v>0</v>
      </c>
      <c r="AD455" s="412"/>
      <c r="AE455" s="412"/>
      <c r="AF455" s="412"/>
      <c r="AG455" s="412"/>
      <c r="AH455" s="412"/>
      <c r="AI455" s="412"/>
      <c r="AJ455" s="412"/>
      <c r="AK455" s="412"/>
      <c r="AL455" s="412"/>
      <c r="AM455" s="412"/>
      <c r="AN455" s="412"/>
      <c r="AO455" s="412"/>
      <c r="AP455" s="412"/>
      <c r="AQ455" s="412"/>
      <c r="AR455" s="412"/>
      <c r="AS455" s="412"/>
      <c r="AT455" s="412"/>
      <c r="AU455" s="412"/>
      <c r="AV455" s="412"/>
      <c r="AW455" s="412"/>
      <c r="AX455" s="412"/>
      <c r="AY455" s="412"/>
      <c r="AZ455" s="412"/>
      <c r="BA455" s="412"/>
      <c r="BB455" s="412"/>
      <c r="BC455" s="412"/>
      <c r="BD455" s="412"/>
      <c r="BE455" s="412"/>
      <c r="BF455" s="412"/>
    </row>
    <row r="456" spans="1:58" ht="12" hidden="1" customHeight="1" outlineLevel="2" x14ac:dyDescent="0.3">
      <c r="A456" s="224"/>
      <c r="B456" s="224"/>
      <c r="C456" s="224"/>
      <c r="D456" s="224"/>
      <c r="E456" s="224"/>
      <c r="F456" s="224"/>
      <c r="G456" s="224"/>
      <c r="H456" s="224"/>
      <c r="I456" s="224"/>
      <c r="J456" s="224"/>
      <c r="K456" s="224"/>
      <c r="L456" s="117"/>
      <c r="M456" s="213" t="s">
        <v>974</v>
      </c>
      <c r="N456" s="244" t="s">
        <v>77</v>
      </c>
      <c r="O456" s="150">
        <v>0</v>
      </c>
      <c r="P456" s="150">
        <v>0</v>
      </c>
      <c r="Q456" s="150">
        <v>0</v>
      </c>
      <c r="R456" s="150">
        <v>0</v>
      </c>
      <c r="S456" s="150">
        <v>0</v>
      </c>
      <c r="T456" s="150">
        <v>0</v>
      </c>
      <c r="U456" s="150">
        <v>0</v>
      </c>
      <c r="V456" s="150">
        <v>0</v>
      </c>
      <c r="W456" s="150">
        <v>0</v>
      </c>
      <c r="X456" s="150">
        <v>0</v>
      </c>
      <c r="Y456" s="394"/>
      <c r="Z456" s="246"/>
      <c r="AA456" s="246"/>
      <c r="AB456" s="150">
        <v>0</v>
      </c>
      <c r="AC456" s="153">
        <v>0</v>
      </c>
      <c r="AD456" s="412"/>
      <c r="AE456" s="412"/>
      <c r="AF456" s="412"/>
      <c r="AG456" s="412"/>
      <c r="AH456" s="412"/>
      <c r="AI456" s="412"/>
      <c r="AJ456" s="412"/>
      <c r="AK456" s="412"/>
      <c r="AL456" s="412"/>
      <c r="AM456" s="412"/>
      <c r="AN456" s="412"/>
      <c r="AO456" s="412"/>
      <c r="AP456" s="412"/>
      <c r="AQ456" s="412"/>
      <c r="AR456" s="412"/>
      <c r="AS456" s="412"/>
      <c r="AT456" s="412"/>
      <c r="AU456" s="412"/>
      <c r="AV456" s="412"/>
      <c r="AW456" s="412"/>
      <c r="AX456" s="412"/>
      <c r="AY456" s="412"/>
      <c r="AZ456" s="412"/>
      <c r="BA456" s="412"/>
      <c r="BB456" s="412"/>
      <c r="BC456" s="412"/>
      <c r="BD456" s="412"/>
      <c r="BE456" s="412"/>
      <c r="BF456" s="412"/>
    </row>
    <row r="457" spans="1:58" ht="12" hidden="1" customHeight="1" outlineLevel="2" x14ac:dyDescent="0.3">
      <c r="A457" s="224"/>
      <c r="B457" s="224"/>
      <c r="C457" s="224"/>
      <c r="D457" s="224"/>
      <c r="E457" s="224"/>
      <c r="F457" s="224"/>
      <c r="G457" s="224"/>
      <c r="H457" s="224"/>
      <c r="I457" s="224"/>
      <c r="J457" s="224"/>
      <c r="K457" s="224"/>
      <c r="L457" s="117"/>
      <c r="M457" s="210" t="s">
        <v>1049</v>
      </c>
      <c r="N457" s="244" t="s">
        <v>77</v>
      </c>
      <c r="O457" s="150">
        <v>1.1111111111111112</v>
      </c>
      <c r="P457" s="150">
        <v>0.83333333333333326</v>
      </c>
      <c r="Q457" s="150">
        <v>0.27777777777777779</v>
      </c>
      <c r="R457" s="150">
        <v>0.27777777777777779</v>
      </c>
      <c r="S457" s="150">
        <v>0</v>
      </c>
      <c r="T457" s="150">
        <v>0</v>
      </c>
      <c r="U457" s="150">
        <v>0</v>
      </c>
      <c r="V457" s="150">
        <v>0</v>
      </c>
      <c r="W457" s="150">
        <v>0</v>
      </c>
      <c r="X457" s="150">
        <v>0</v>
      </c>
      <c r="Y457" s="394"/>
      <c r="Z457" s="246"/>
      <c r="AA457" s="246"/>
      <c r="AB457" s="150">
        <v>0</v>
      </c>
      <c r="AC457" s="153">
        <v>0</v>
      </c>
      <c r="AD457" s="411">
        <f>AB457*AD$261/$AB$261</f>
        <v>0</v>
      </c>
      <c r="AE457" s="411">
        <f>AD457*AE$261/AD$261</f>
        <v>0</v>
      </c>
      <c r="AF457" s="411">
        <f t="shared" ref="AF457:BF457" si="668">AE457*AF$261/AE$261</f>
        <v>0</v>
      </c>
      <c r="AG457" s="411">
        <f t="shared" si="668"/>
        <v>0</v>
      </c>
      <c r="AH457" s="411">
        <f t="shared" si="668"/>
        <v>0</v>
      </c>
      <c r="AI457" s="411">
        <f t="shared" si="668"/>
        <v>0</v>
      </c>
      <c r="AJ457" s="411">
        <f t="shared" si="668"/>
        <v>0</v>
      </c>
      <c r="AK457" s="411">
        <f t="shared" si="668"/>
        <v>0</v>
      </c>
      <c r="AL457" s="411">
        <f t="shared" si="668"/>
        <v>0</v>
      </c>
      <c r="AM457" s="411">
        <f t="shared" si="668"/>
        <v>0</v>
      </c>
      <c r="AN457" s="411">
        <f t="shared" si="668"/>
        <v>0</v>
      </c>
      <c r="AO457" s="411">
        <f t="shared" si="668"/>
        <v>0</v>
      </c>
      <c r="AP457" s="411">
        <f t="shared" si="668"/>
        <v>0</v>
      </c>
      <c r="AQ457" s="411">
        <f t="shared" si="668"/>
        <v>0</v>
      </c>
      <c r="AR457" s="411">
        <f t="shared" si="668"/>
        <v>0</v>
      </c>
      <c r="AS457" s="411">
        <f t="shared" si="668"/>
        <v>0</v>
      </c>
      <c r="AT457" s="411">
        <f t="shared" si="668"/>
        <v>0</v>
      </c>
      <c r="AU457" s="411">
        <f t="shared" si="668"/>
        <v>0</v>
      </c>
      <c r="AV457" s="411">
        <f t="shared" si="668"/>
        <v>0</v>
      </c>
      <c r="AW457" s="411">
        <f t="shared" si="668"/>
        <v>0</v>
      </c>
      <c r="AX457" s="411">
        <f t="shared" si="668"/>
        <v>0</v>
      </c>
      <c r="AY457" s="411">
        <f t="shared" si="668"/>
        <v>0</v>
      </c>
      <c r="AZ457" s="411">
        <f t="shared" si="668"/>
        <v>0</v>
      </c>
      <c r="BA457" s="411">
        <f t="shared" si="668"/>
        <v>0</v>
      </c>
      <c r="BB457" s="411">
        <f t="shared" si="668"/>
        <v>0</v>
      </c>
      <c r="BC457" s="411">
        <f t="shared" si="668"/>
        <v>0</v>
      </c>
      <c r="BD457" s="411">
        <f t="shared" si="668"/>
        <v>0</v>
      </c>
      <c r="BE457" s="411">
        <f t="shared" si="668"/>
        <v>0</v>
      </c>
      <c r="BF457" s="411">
        <f t="shared" si="668"/>
        <v>0</v>
      </c>
    </row>
    <row r="458" spans="1:58" ht="12" hidden="1" customHeight="1" outlineLevel="2" x14ac:dyDescent="0.3">
      <c r="A458" s="224"/>
      <c r="B458" s="224"/>
      <c r="C458" s="224"/>
      <c r="D458" s="224"/>
      <c r="E458" s="224"/>
      <c r="F458" s="224"/>
      <c r="G458" s="224"/>
      <c r="H458" s="224"/>
      <c r="I458" s="224"/>
      <c r="J458" s="224"/>
      <c r="K458" s="224"/>
      <c r="L458" s="117"/>
      <c r="M458" s="210" t="s">
        <v>1050</v>
      </c>
      <c r="N458" s="244" t="s">
        <v>77</v>
      </c>
      <c r="O458" s="150">
        <v>10</v>
      </c>
      <c r="P458" s="150">
        <v>7</v>
      </c>
      <c r="Q458" s="150">
        <v>9</v>
      </c>
      <c r="R458" s="150">
        <v>5</v>
      </c>
      <c r="S458" s="150">
        <v>5</v>
      </c>
      <c r="T458" s="150">
        <v>4</v>
      </c>
      <c r="U458" s="150">
        <v>5</v>
      </c>
      <c r="V458" s="150">
        <v>0</v>
      </c>
      <c r="W458" s="150">
        <v>3</v>
      </c>
      <c r="X458" s="150">
        <v>2.7</v>
      </c>
      <c r="Y458" s="394"/>
      <c r="Z458" s="246"/>
      <c r="AA458" s="246"/>
      <c r="AB458" s="150">
        <v>3.0555555555555554</v>
      </c>
      <c r="AC458" s="153">
        <v>3.333333333333333</v>
      </c>
      <c r="AD458" s="411">
        <f>AB458*AD$261/$AB$261</f>
        <v>3.0861111111111112</v>
      </c>
      <c r="AE458" s="411">
        <f>AD458*AE$261/AD$261</f>
        <v>3.1231444444444447</v>
      </c>
      <c r="AF458" s="411">
        <f t="shared" ref="AF458:BF458" si="669">AE458*AF$261/AE$261</f>
        <v>3.1699916111111115</v>
      </c>
      <c r="AG458" s="411">
        <f t="shared" si="669"/>
        <v>3.2175414852777777</v>
      </c>
      <c r="AH458" s="411">
        <f t="shared" si="669"/>
        <v>3.2658046075569445</v>
      </c>
      <c r="AI458" s="411">
        <f t="shared" si="669"/>
        <v>3.3147916766702985</v>
      </c>
      <c r="AJ458" s="411">
        <f t="shared" si="669"/>
        <v>3.3645135518203531</v>
      </c>
      <c r="AK458" s="411">
        <f t="shared" si="669"/>
        <v>3.4149812550976582</v>
      </c>
      <c r="AL458" s="411">
        <f t="shared" si="669"/>
        <v>3.4662059739241222</v>
      </c>
      <c r="AM458" s="411">
        <f t="shared" si="669"/>
        <v>3.5181990635329834</v>
      </c>
      <c r="AN458" s="411">
        <f t="shared" si="669"/>
        <v>3.5709720494859782</v>
      </c>
      <c r="AO458" s="411">
        <f t="shared" si="669"/>
        <v>3.6245366302282673</v>
      </c>
      <c r="AP458" s="411">
        <f t="shared" si="669"/>
        <v>3.6789046796816911</v>
      </c>
      <c r="AQ458" s="411">
        <f t="shared" si="669"/>
        <v>3.7340882498769163</v>
      </c>
      <c r="AR458" s="411">
        <f t="shared" si="669"/>
        <v>3.7900995736250693</v>
      </c>
      <c r="AS458" s="411">
        <f t="shared" si="669"/>
        <v>3.8469510672294449</v>
      </c>
      <c r="AT458" s="411">
        <f t="shared" si="669"/>
        <v>3.9046553332378862</v>
      </c>
      <c r="AU458" s="411">
        <f t="shared" si="669"/>
        <v>3.9632251632364541</v>
      </c>
      <c r="AV458" s="411">
        <f t="shared" si="669"/>
        <v>4.022673540685</v>
      </c>
      <c r="AW458" s="411">
        <f t="shared" si="669"/>
        <v>4.0830136437952742</v>
      </c>
      <c r="AX458" s="411">
        <f t="shared" si="669"/>
        <v>4.1442588484522025</v>
      </c>
      <c r="AY458" s="411">
        <f t="shared" si="669"/>
        <v>4.2064227311789848</v>
      </c>
      <c r="AZ458" s="411">
        <f t="shared" si="669"/>
        <v>4.2695190721466689</v>
      </c>
      <c r="BA458" s="411">
        <f t="shared" si="669"/>
        <v>4.3335618582288689</v>
      </c>
      <c r="BB458" s="411">
        <f t="shared" si="669"/>
        <v>4.389898162385844</v>
      </c>
      <c r="BC458" s="411">
        <f t="shared" si="669"/>
        <v>4.4425769403344741</v>
      </c>
      <c r="BD458" s="411">
        <f t="shared" si="669"/>
        <v>4.4914452866781529</v>
      </c>
      <c r="BE458" s="411">
        <f t="shared" si="669"/>
        <v>4.5363597395449347</v>
      </c>
      <c r="BF458" s="411">
        <f t="shared" si="669"/>
        <v>4.5817233369403843</v>
      </c>
    </row>
    <row r="459" spans="1:58" ht="12" hidden="1" customHeight="1" outlineLevel="2" x14ac:dyDescent="0.3">
      <c r="A459" s="224"/>
      <c r="B459" s="224"/>
      <c r="C459" s="224"/>
      <c r="D459" s="224"/>
      <c r="E459" s="224"/>
      <c r="F459" s="224"/>
      <c r="G459" s="224"/>
      <c r="H459" s="224"/>
      <c r="I459" s="224"/>
      <c r="J459" s="224"/>
      <c r="K459" s="224"/>
      <c r="L459" s="117"/>
      <c r="M459" s="210" t="s">
        <v>1051</v>
      </c>
      <c r="N459" s="244" t="s">
        <v>77</v>
      </c>
      <c r="O459" s="150">
        <v>0</v>
      </c>
      <c r="P459" s="150">
        <v>0</v>
      </c>
      <c r="Q459" s="150">
        <v>0</v>
      </c>
      <c r="R459" s="150">
        <v>0</v>
      </c>
      <c r="S459" s="150">
        <v>0</v>
      </c>
      <c r="T459" s="150">
        <v>0</v>
      </c>
      <c r="U459" s="150">
        <v>0</v>
      </c>
      <c r="V459" s="150">
        <v>0</v>
      </c>
      <c r="W459" s="150">
        <v>0</v>
      </c>
      <c r="X459" s="150">
        <v>0</v>
      </c>
      <c r="Y459" s="394"/>
      <c r="Z459" s="246"/>
      <c r="AA459" s="246"/>
      <c r="AB459" s="150">
        <v>0</v>
      </c>
      <c r="AC459" s="153">
        <v>0</v>
      </c>
      <c r="AD459" s="411">
        <f>AB459*AD$261/$AB$261</f>
        <v>0</v>
      </c>
      <c r="AE459" s="411">
        <f>AD459*AE$261/AD$261</f>
        <v>0</v>
      </c>
      <c r="AF459" s="411">
        <f t="shared" ref="AF459:BF459" si="670">AE459*AF$261/AE$261</f>
        <v>0</v>
      </c>
      <c r="AG459" s="411">
        <f t="shared" si="670"/>
        <v>0</v>
      </c>
      <c r="AH459" s="411">
        <f t="shared" si="670"/>
        <v>0</v>
      </c>
      <c r="AI459" s="411">
        <f t="shared" si="670"/>
        <v>0</v>
      </c>
      <c r="AJ459" s="411">
        <f t="shared" si="670"/>
        <v>0</v>
      </c>
      <c r="AK459" s="411">
        <f t="shared" si="670"/>
        <v>0</v>
      </c>
      <c r="AL459" s="411">
        <f t="shared" si="670"/>
        <v>0</v>
      </c>
      <c r="AM459" s="411">
        <f t="shared" si="670"/>
        <v>0</v>
      </c>
      <c r="AN459" s="411">
        <f t="shared" si="670"/>
        <v>0</v>
      </c>
      <c r="AO459" s="411">
        <f t="shared" si="670"/>
        <v>0</v>
      </c>
      <c r="AP459" s="411">
        <f t="shared" si="670"/>
        <v>0</v>
      </c>
      <c r="AQ459" s="411">
        <f t="shared" si="670"/>
        <v>0</v>
      </c>
      <c r="AR459" s="411">
        <f t="shared" si="670"/>
        <v>0</v>
      </c>
      <c r="AS459" s="411">
        <f t="shared" si="670"/>
        <v>0</v>
      </c>
      <c r="AT459" s="411">
        <f t="shared" si="670"/>
        <v>0</v>
      </c>
      <c r="AU459" s="411">
        <f t="shared" si="670"/>
        <v>0</v>
      </c>
      <c r="AV459" s="411">
        <f t="shared" si="670"/>
        <v>0</v>
      </c>
      <c r="AW459" s="411">
        <f t="shared" si="670"/>
        <v>0</v>
      </c>
      <c r="AX459" s="411">
        <f t="shared" si="670"/>
        <v>0</v>
      </c>
      <c r="AY459" s="411">
        <f t="shared" si="670"/>
        <v>0</v>
      </c>
      <c r="AZ459" s="411">
        <f t="shared" si="670"/>
        <v>0</v>
      </c>
      <c r="BA459" s="411">
        <f t="shared" si="670"/>
        <v>0</v>
      </c>
      <c r="BB459" s="411">
        <f t="shared" si="670"/>
        <v>0</v>
      </c>
      <c r="BC459" s="411">
        <f t="shared" si="670"/>
        <v>0</v>
      </c>
      <c r="BD459" s="411">
        <f t="shared" si="670"/>
        <v>0</v>
      </c>
      <c r="BE459" s="411">
        <f t="shared" si="670"/>
        <v>0</v>
      </c>
      <c r="BF459" s="411">
        <f t="shared" si="670"/>
        <v>0</v>
      </c>
    </row>
    <row r="460" spans="1:58" ht="12" hidden="1" customHeight="1" outlineLevel="2" x14ac:dyDescent="0.3">
      <c r="A460" s="224"/>
      <c r="B460" s="224" t="s">
        <v>1052</v>
      </c>
      <c r="C460" s="224"/>
      <c r="D460" s="224" t="s">
        <v>885</v>
      </c>
      <c r="E460" s="224"/>
      <c r="F460" s="224"/>
      <c r="G460" s="224"/>
      <c r="H460" s="224"/>
      <c r="I460" s="224"/>
      <c r="J460" s="224"/>
      <c r="K460" s="224"/>
      <c r="L460" s="117"/>
      <c r="M460" s="214" t="s">
        <v>1053</v>
      </c>
      <c r="N460" s="247" t="s">
        <v>77</v>
      </c>
      <c r="O460" s="413">
        <f t="shared" ref="O460:X460" si="671">O445+O449+O452+O457+O458+O459</f>
        <v>34.017194987647706</v>
      </c>
      <c r="P460" s="413">
        <f t="shared" si="671"/>
        <v>15.401944444444444</v>
      </c>
      <c r="Q460" s="413">
        <f t="shared" si="671"/>
        <v>38.872840284611087</v>
      </c>
      <c r="R460" s="413">
        <f t="shared" si="671"/>
        <v>28.382674572324071</v>
      </c>
      <c r="S460" s="413">
        <f t="shared" si="671"/>
        <v>28.292777777777776</v>
      </c>
      <c r="T460" s="413">
        <f t="shared" si="671"/>
        <v>15.250162064047711</v>
      </c>
      <c r="U460" s="413">
        <f t="shared" si="671"/>
        <v>18.170419385871401</v>
      </c>
      <c r="V460" s="413">
        <f t="shared" si="671"/>
        <v>12.750534062784942</v>
      </c>
      <c r="W460" s="413">
        <f t="shared" si="671"/>
        <v>15.496752481483959</v>
      </c>
      <c r="X460" s="413">
        <f t="shared" si="671"/>
        <v>7.6987009925935848</v>
      </c>
      <c r="Y460" s="394"/>
      <c r="Z460" s="246"/>
      <c r="AA460" s="246"/>
      <c r="AB460" s="413">
        <f>AB445+AB449+AB452+AB457+AB458+AB459</f>
        <v>9.4444444444444429</v>
      </c>
      <c r="AC460" s="414">
        <f>AC445+AC449+AC452+AC457+AC458+AC459</f>
        <v>5.833333333333333</v>
      </c>
      <c r="AD460" s="411">
        <f>SUM(AD445:AD459)</f>
        <v>9.5388888888888879</v>
      </c>
      <c r="AE460" s="411">
        <f>SUM(AE445:AE459)</f>
        <v>9.6533555555555566</v>
      </c>
      <c r="AF460" s="411">
        <f t="shared" ref="AF460:BF460" si="672">SUM(AF445:AF459)</f>
        <v>9.7981558888888891</v>
      </c>
      <c r="AG460" s="411">
        <f t="shared" si="672"/>
        <v>9.9451282272222201</v>
      </c>
      <c r="AH460" s="411">
        <f t="shared" si="672"/>
        <v>10.094305150630554</v>
      </c>
      <c r="AI460" s="411">
        <f t="shared" si="672"/>
        <v>10.245719727890011</v>
      </c>
      <c r="AJ460" s="411">
        <f t="shared" si="672"/>
        <v>10.399405523808362</v>
      </c>
      <c r="AK460" s="411">
        <f t="shared" si="672"/>
        <v>10.555396606665486</v>
      </c>
      <c r="AL460" s="411">
        <f t="shared" si="672"/>
        <v>10.713727555765466</v>
      </c>
      <c r="AM460" s="411">
        <f t="shared" si="672"/>
        <v>10.874433469101948</v>
      </c>
      <c r="AN460" s="411">
        <f t="shared" si="672"/>
        <v>11.037549971138478</v>
      </c>
      <c r="AO460" s="411">
        <f t="shared" si="672"/>
        <v>11.203113220705553</v>
      </c>
      <c r="AP460" s="411">
        <f t="shared" si="672"/>
        <v>11.371159919016135</v>
      </c>
      <c r="AQ460" s="411">
        <f t="shared" si="672"/>
        <v>11.541727317801374</v>
      </c>
      <c r="AR460" s="411">
        <f t="shared" si="672"/>
        <v>11.714853227568394</v>
      </c>
      <c r="AS460" s="411">
        <f t="shared" si="672"/>
        <v>11.890576025981918</v>
      </c>
      <c r="AT460" s="411">
        <f t="shared" si="672"/>
        <v>12.068934666371646</v>
      </c>
      <c r="AU460" s="411">
        <f t="shared" si="672"/>
        <v>12.249968686367218</v>
      </c>
      <c r="AV460" s="411">
        <f t="shared" si="672"/>
        <v>12.433718216662726</v>
      </c>
      <c r="AW460" s="411">
        <f t="shared" si="672"/>
        <v>12.620223989912665</v>
      </c>
      <c r="AX460" s="411">
        <f t="shared" si="672"/>
        <v>12.809527349761353</v>
      </c>
      <c r="AY460" s="411">
        <f t="shared" si="672"/>
        <v>13.001670260007771</v>
      </c>
      <c r="AZ460" s="411">
        <f t="shared" si="672"/>
        <v>13.196695313907888</v>
      </c>
      <c r="BA460" s="411">
        <f t="shared" si="672"/>
        <v>13.394645743616504</v>
      </c>
      <c r="BB460" s="411">
        <f t="shared" si="672"/>
        <v>13.568776138283518</v>
      </c>
      <c r="BC460" s="411">
        <f t="shared" si="672"/>
        <v>13.73160145194292</v>
      </c>
      <c r="BD460" s="411">
        <f t="shared" si="672"/>
        <v>13.88264906791429</v>
      </c>
      <c r="BE460" s="411">
        <f t="shared" si="672"/>
        <v>14.021475558593435</v>
      </c>
      <c r="BF460" s="411">
        <f t="shared" si="672"/>
        <v>14.161690314179371</v>
      </c>
    </row>
    <row r="461" spans="1:58" ht="12" hidden="1" customHeight="1" outlineLevel="2" x14ac:dyDescent="0.3">
      <c r="A461" s="224"/>
      <c r="B461" s="224"/>
      <c r="C461" s="224"/>
      <c r="D461" s="224"/>
      <c r="E461" s="224"/>
      <c r="F461" s="224"/>
      <c r="G461" s="224"/>
      <c r="H461" s="224"/>
      <c r="I461" s="224"/>
      <c r="J461" s="224"/>
      <c r="K461" s="224"/>
      <c r="L461" s="117"/>
      <c r="M461" s="223" t="s">
        <v>980</v>
      </c>
      <c r="N461" s="216" t="s">
        <v>68</v>
      </c>
      <c r="O461" s="415">
        <f t="shared" ref="O461:X461" si="673">IFERROR((O446+O447+O448+O450+O451+O453+O454+O455+O456+O457+O458+O459)/O460,"")</f>
        <v>1</v>
      </c>
      <c r="P461" s="415">
        <f t="shared" si="673"/>
        <v>1</v>
      </c>
      <c r="Q461" s="415">
        <f t="shared" si="673"/>
        <v>1</v>
      </c>
      <c r="R461" s="415">
        <f t="shared" si="673"/>
        <v>1</v>
      </c>
      <c r="S461" s="415">
        <f t="shared" si="673"/>
        <v>1</v>
      </c>
      <c r="T461" s="415">
        <f t="shared" si="673"/>
        <v>1</v>
      </c>
      <c r="U461" s="415">
        <f t="shared" si="673"/>
        <v>1</v>
      </c>
      <c r="V461" s="415">
        <f t="shared" si="673"/>
        <v>1</v>
      </c>
      <c r="W461" s="415">
        <f t="shared" si="673"/>
        <v>1</v>
      </c>
      <c r="X461" s="415">
        <f t="shared" si="673"/>
        <v>1</v>
      </c>
      <c r="Y461" s="394"/>
      <c r="Z461" s="210"/>
      <c r="AA461" s="210"/>
      <c r="AB461" s="415">
        <f>IFERROR((AB446+AB447+AB448+AB450+AB451+AB453+AB454+AB455+AB456+AB457+AB458+AB459)/AB460,"")</f>
        <v>1</v>
      </c>
      <c r="AC461" s="415">
        <f>IFERROR((AC446+AC447+AC448+AC450+AC451+AC453+AC454+AC455+AC456+AC457+AC458+AC459)/AC460,"")</f>
        <v>1</v>
      </c>
      <c r="AD461" s="224"/>
      <c r="AE461" s="224"/>
      <c r="AF461" s="224"/>
      <c r="AG461" s="224"/>
      <c r="AH461" s="224"/>
      <c r="AI461" s="224"/>
      <c r="AJ461" s="224"/>
      <c r="AK461" s="224"/>
      <c r="AL461" s="224"/>
      <c r="AM461" s="224"/>
      <c r="AN461" s="224"/>
      <c r="AO461" s="224"/>
      <c r="AP461" s="224"/>
      <c r="AQ461" s="224"/>
      <c r="AR461" s="224"/>
      <c r="AS461" s="224"/>
      <c r="AT461" s="224"/>
      <c r="AU461" s="224"/>
      <c r="AV461" s="224"/>
      <c r="AW461" s="224"/>
      <c r="AX461" s="224"/>
      <c r="AY461" s="224"/>
      <c r="AZ461" s="224"/>
      <c r="BA461" s="224"/>
      <c r="BB461" s="224"/>
      <c r="BC461" s="224"/>
      <c r="BD461" s="224"/>
      <c r="BE461" s="224"/>
      <c r="BF461" s="224"/>
    </row>
    <row r="462" spans="1:58" ht="12" hidden="1" customHeight="1" outlineLevel="2" x14ac:dyDescent="0.3">
      <c r="A462" s="224"/>
      <c r="B462" s="224"/>
      <c r="C462" s="224"/>
      <c r="D462" s="224"/>
      <c r="E462" s="224"/>
      <c r="F462" s="224"/>
      <c r="G462" s="224"/>
      <c r="H462" s="224"/>
      <c r="I462" s="224"/>
      <c r="J462" s="224"/>
      <c r="K462" s="224"/>
      <c r="L462" s="117"/>
      <c r="M462" s="210"/>
      <c r="N462" s="210"/>
      <c r="O462" s="415">
        <f t="shared" ref="O462:X462" si="674">IFERROR((O445+O449+O452+O457+O458+O459)/O460,"")</f>
        <v>1</v>
      </c>
      <c r="P462" s="415">
        <f t="shared" si="674"/>
        <v>1</v>
      </c>
      <c r="Q462" s="415">
        <f t="shared" si="674"/>
        <v>1</v>
      </c>
      <c r="R462" s="415">
        <f t="shared" si="674"/>
        <v>1</v>
      </c>
      <c r="S462" s="415">
        <f t="shared" si="674"/>
        <v>1</v>
      </c>
      <c r="T462" s="415">
        <f t="shared" si="674"/>
        <v>1</v>
      </c>
      <c r="U462" s="415">
        <f t="shared" si="674"/>
        <v>1</v>
      </c>
      <c r="V462" s="415">
        <f t="shared" si="674"/>
        <v>1</v>
      </c>
      <c r="W462" s="415">
        <f t="shared" si="674"/>
        <v>1</v>
      </c>
      <c r="X462" s="415">
        <f t="shared" si="674"/>
        <v>1</v>
      </c>
      <c r="Y462" s="394"/>
      <c r="Z462" s="210"/>
      <c r="AA462" s="210"/>
      <c r="AB462" s="415">
        <f>IFERROR((AB445+AB449+AB452+AB457+AB458+AB459)/AB460,"")</f>
        <v>1</v>
      </c>
      <c r="AC462" s="415">
        <f>IFERROR((AC445+AC449+AC452+AC457+AC458+AC459)/AC460,"")</f>
        <v>1</v>
      </c>
      <c r="AD462" s="224"/>
      <c r="AE462" s="224"/>
      <c r="AF462" s="224"/>
      <c r="AG462" s="224"/>
      <c r="AH462" s="224"/>
      <c r="AI462" s="224"/>
      <c r="AJ462" s="224"/>
      <c r="AK462" s="224"/>
      <c r="AL462" s="224"/>
      <c r="AM462" s="224"/>
      <c r="AN462" s="224"/>
      <c r="AO462" s="224"/>
      <c r="AP462" s="224"/>
      <c r="AQ462" s="224"/>
      <c r="AR462" s="224"/>
      <c r="AS462" s="224"/>
      <c r="AT462" s="224"/>
      <c r="AU462" s="224"/>
      <c r="AV462" s="224"/>
      <c r="AW462" s="224"/>
      <c r="AX462" s="224"/>
      <c r="AY462" s="224"/>
      <c r="AZ462" s="224"/>
      <c r="BA462" s="224"/>
      <c r="BB462" s="224"/>
      <c r="BC462" s="224"/>
      <c r="BD462" s="224"/>
      <c r="BE462" s="224"/>
      <c r="BF462" s="224"/>
    </row>
    <row r="463" spans="1:58" ht="12" hidden="1" customHeight="1" outlineLevel="2" x14ac:dyDescent="0.3">
      <c r="A463" s="224"/>
      <c r="B463" s="224"/>
      <c r="C463" s="224"/>
      <c r="D463" s="224"/>
      <c r="E463" s="224"/>
      <c r="F463" s="224"/>
      <c r="G463" s="224"/>
      <c r="H463" s="224"/>
      <c r="I463" s="224"/>
      <c r="J463" s="224"/>
      <c r="K463" s="224"/>
      <c r="L463" s="117"/>
      <c r="M463" s="211" t="s">
        <v>1054</v>
      </c>
      <c r="N463" s="210"/>
      <c r="O463" s="210"/>
      <c r="P463" s="210"/>
      <c r="Q463" s="210"/>
      <c r="R463" s="210"/>
      <c r="S463" s="210"/>
      <c r="T463" s="210"/>
      <c r="U463" s="210"/>
      <c r="V463" s="210"/>
      <c r="W463" s="210"/>
      <c r="X463" s="210"/>
      <c r="Y463" s="394"/>
      <c r="Z463" s="210"/>
      <c r="AA463" s="210"/>
      <c r="AB463" s="210"/>
      <c r="AC463" s="210"/>
      <c r="AD463" s="224"/>
      <c r="AE463" s="224"/>
      <c r="AF463" s="224"/>
      <c r="AG463" s="224"/>
      <c r="AH463" s="224"/>
      <c r="AI463" s="224"/>
      <c r="AJ463" s="224"/>
      <c r="AK463" s="224"/>
      <c r="AL463" s="224"/>
      <c r="AM463" s="224"/>
      <c r="AN463" s="224"/>
      <c r="AO463" s="224"/>
      <c r="AP463" s="224"/>
      <c r="AQ463" s="224"/>
      <c r="AR463" s="224"/>
      <c r="AS463" s="224"/>
      <c r="AT463" s="224"/>
      <c r="AU463" s="224"/>
      <c r="AV463" s="224"/>
      <c r="AW463" s="224"/>
      <c r="AX463" s="224"/>
      <c r="AY463" s="224"/>
      <c r="AZ463" s="224"/>
      <c r="BA463" s="224"/>
      <c r="BB463" s="224"/>
      <c r="BC463" s="224"/>
      <c r="BD463" s="224"/>
      <c r="BE463" s="224"/>
      <c r="BF463" s="224"/>
    </row>
    <row r="464" spans="1:58" ht="12" hidden="1" customHeight="1" outlineLevel="2" x14ac:dyDescent="0.3">
      <c r="A464" s="224"/>
      <c r="B464" s="224"/>
      <c r="C464" s="224"/>
      <c r="D464" s="224"/>
      <c r="E464" s="224"/>
      <c r="F464" s="224"/>
      <c r="G464" s="224"/>
      <c r="H464" s="224"/>
      <c r="I464" s="224"/>
      <c r="J464" s="224"/>
      <c r="K464" s="224"/>
      <c r="L464" s="117"/>
      <c r="M464" s="210" t="s">
        <v>1055</v>
      </c>
      <c r="N464" s="244" t="s">
        <v>77</v>
      </c>
      <c r="O464" s="409">
        <f>SUM(O465:O467)</f>
        <v>47.166666666666657</v>
      </c>
      <c r="P464" s="409">
        <f t="shared" ref="P464" si="675">SUM(P465:P467)</f>
        <v>0</v>
      </c>
      <c r="Q464" s="409">
        <f t="shared" ref="Q464" si="676">SUM(Q465:Q467)</f>
        <v>24.388888888888886</v>
      </c>
      <c r="R464" s="409">
        <f t="shared" ref="R464" si="677">SUM(R465:R467)</f>
        <v>25.277777777777779</v>
      </c>
      <c r="S464" s="409">
        <f t="shared" ref="S464" si="678">SUM(S465:S467)</f>
        <v>12.638888888888889</v>
      </c>
      <c r="T464" s="409">
        <f t="shared" ref="T464" si="679">SUM(T465:T467)</f>
        <v>12.638888888888889</v>
      </c>
      <c r="U464" s="409">
        <f t="shared" ref="U464" si="680">SUM(U465:U467)</f>
        <v>12.638888888888889</v>
      </c>
      <c r="V464" s="409">
        <f t="shared" ref="V464" si="681">SUM(V465:V467)</f>
        <v>12.638888888888889</v>
      </c>
      <c r="W464" s="409">
        <f t="shared" ref="W464" si="682">SUM(W465:W467)</f>
        <v>12.638888888888889</v>
      </c>
      <c r="X464" s="409">
        <f t="shared" ref="X464" si="683">SUM(X465:X467)</f>
        <v>39.022222222222226</v>
      </c>
      <c r="Y464" s="394"/>
      <c r="Z464" s="210"/>
      <c r="AA464" s="210"/>
      <c r="AB464" s="409">
        <f t="shared" ref="AB464" si="684">SUM(AB465:AB467)</f>
        <v>21.111111111111111</v>
      </c>
      <c r="AC464" s="410">
        <f t="shared" ref="AC464" si="685">SUM(AC465:AC467)</f>
        <v>13.888888888888888</v>
      </c>
      <c r="AD464" s="411">
        <f>AB464*AD$262/$AB$262</f>
        <v>21.322222222222223</v>
      </c>
      <c r="AE464" s="411">
        <f>AD464*AE$262/AD$262</f>
        <v>21.578088888888889</v>
      </c>
      <c r="AF464" s="411">
        <f t="shared" ref="AF464:BF464" si="686">AE464*AF$262/AE$262</f>
        <v>21.901760222222219</v>
      </c>
      <c r="AG464" s="411">
        <f t="shared" si="686"/>
        <v>22.23028662555555</v>
      </c>
      <c r="AH464" s="411">
        <f t="shared" si="686"/>
        <v>22.56374092493888</v>
      </c>
      <c r="AI464" s="411">
        <f t="shared" si="686"/>
        <v>22.902197038812965</v>
      </c>
      <c r="AJ464" s="411">
        <f t="shared" si="686"/>
        <v>23.245729994395155</v>
      </c>
      <c r="AK464" s="411">
        <f t="shared" si="686"/>
        <v>23.594415944311081</v>
      </c>
      <c r="AL464" s="411">
        <f t="shared" si="686"/>
        <v>23.948332183475742</v>
      </c>
      <c r="AM464" s="411">
        <f t="shared" si="686"/>
        <v>24.307557166227877</v>
      </c>
      <c r="AN464" s="411">
        <f t="shared" si="686"/>
        <v>24.672170523721292</v>
      </c>
      <c r="AO464" s="411">
        <f t="shared" si="686"/>
        <v>25.042253081577105</v>
      </c>
      <c r="AP464" s="411">
        <f t="shared" si="686"/>
        <v>25.417886877800758</v>
      </c>
      <c r="AQ464" s="411">
        <f t="shared" si="686"/>
        <v>25.799155180967769</v>
      </c>
      <c r="AR464" s="411">
        <f t="shared" si="686"/>
        <v>26.186142508682284</v>
      </c>
      <c r="AS464" s="411">
        <f t="shared" si="686"/>
        <v>26.578934646312518</v>
      </c>
      <c r="AT464" s="411">
        <f t="shared" si="686"/>
        <v>26.977618666007206</v>
      </c>
      <c r="AU464" s="411">
        <f t="shared" si="686"/>
        <v>27.382282945997314</v>
      </c>
      <c r="AV464" s="411">
        <f t="shared" si="686"/>
        <v>27.793017190187275</v>
      </c>
      <c r="AW464" s="411">
        <f t="shared" si="686"/>
        <v>28.209912448040079</v>
      </c>
      <c r="AX464" s="411">
        <f t="shared" si="686"/>
        <v>28.633061134760677</v>
      </c>
      <c r="AY464" s="411">
        <f t="shared" si="686"/>
        <v>29.062557051782083</v>
      </c>
      <c r="AZ464" s="411">
        <f t="shared" si="686"/>
        <v>29.49849540755881</v>
      </c>
      <c r="BA464" s="411">
        <f t="shared" si="686"/>
        <v>29.940972838672188</v>
      </c>
      <c r="BB464" s="411">
        <f t="shared" si="686"/>
        <v>30.330205485574922</v>
      </c>
      <c r="BC464" s="411">
        <f t="shared" si="686"/>
        <v>30.694167951401823</v>
      </c>
      <c r="BD464" s="411">
        <f t="shared" si="686"/>
        <v>31.031803798867241</v>
      </c>
      <c r="BE464" s="411">
        <f t="shared" si="686"/>
        <v>31.342121836855917</v>
      </c>
      <c r="BF464" s="411">
        <f t="shared" si="686"/>
        <v>31.655543055224477</v>
      </c>
    </row>
    <row r="465" spans="1:58" ht="12" hidden="1" customHeight="1" outlineLevel="2" x14ac:dyDescent="0.3">
      <c r="A465" s="224"/>
      <c r="B465" s="224"/>
      <c r="C465" s="224"/>
      <c r="D465" s="224"/>
      <c r="E465" s="224"/>
      <c r="F465" s="224"/>
      <c r="G465" s="224"/>
      <c r="H465" s="224"/>
      <c r="I465" s="224"/>
      <c r="J465" s="224"/>
      <c r="K465" s="224"/>
      <c r="L465" s="117"/>
      <c r="M465" s="213" t="s">
        <v>964</v>
      </c>
      <c r="N465" s="244" t="s">
        <v>77</v>
      </c>
      <c r="O465" s="150">
        <v>23.499999999999996</v>
      </c>
      <c r="P465" s="150">
        <v>0</v>
      </c>
      <c r="Q465" s="150">
        <v>11.749999999999998</v>
      </c>
      <c r="R465" s="150">
        <v>0</v>
      </c>
      <c r="S465" s="150">
        <v>0</v>
      </c>
      <c r="T465" s="150">
        <v>0</v>
      </c>
      <c r="U465" s="150">
        <v>0</v>
      </c>
      <c r="V465" s="150">
        <v>0</v>
      </c>
      <c r="W465" s="150">
        <v>0</v>
      </c>
      <c r="X465" s="150">
        <v>18.8</v>
      </c>
      <c r="Y465" s="394"/>
      <c r="Z465" s="246"/>
      <c r="AA465" s="246"/>
      <c r="AB465" s="150">
        <v>1.1111111111111112</v>
      </c>
      <c r="AC465" s="153">
        <v>1.1111111111111112</v>
      </c>
      <c r="AD465" s="412"/>
      <c r="AE465" s="412"/>
      <c r="AF465" s="412"/>
      <c r="AG465" s="412"/>
      <c r="AH465" s="412"/>
      <c r="AI465" s="412"/>
      <c r="AJ465" s="412"/>
      <c r="AK465" s="412"/>
      <c r="AL465" s="412"/>
      <c r="AM465" s="412"/>
      <c r="AN465" s="412"/>
      <c r="AO465" s="412"/>
      <c r="AP465" s="412"/>
      <c r="AQ465" s="412"/>
      <c r="AR465" s="412"/>
      <c r="AS465" s="412"/>
      <c r="AT465" s="412"/>
      <c r="AU465" s="412"/>
      <c r="AV465" s="412"/>
      <c r="AW465" s="412"/>
      <c r="AX465" s="412"/>
      <c r="AY465" s="412"/>
      <c r="AZ465" s="412"/>
      <c r="BA465" s="412"/>
      <c r="BB465" s="412"/>
      <c r="BC465" s="412"/>
      <c r="BD465" s="412"/>
      <c r="BE465" s="412"/>
      <c r="BF465" s="412"/>
    </row>
    <row r="466" spans="1:58" ht="12" hidden="1" customHeight="1" outlineLevel="2" x14ac:dyDescent="0.3">
      <c r="A466" s="224"/>
      <c r="B466" s="224"/>
      <c r="C466" s="224"/>
      <c r="D466" s="224"/>
      <c r="E466" s="224"/>
      <c r="F466" s="224"/>
      <c r="G466" s="224"/>
      <c r="H466" s="224"/>
      <c r="I466" s="224"/>
      <c r="J466" s="224"/>
      <c r="K466" s="224"/>
      <c r="L466" s="117"/>
      <c r="M466" s="213" t="s">
        <v>965</v>
      </c>
      <c r="N466" s="244" t="s">
        <v>77</v>
      </c>
      <c r="O466" s="150">
        <v>11.027777777777779</v>
      </c>
      <c r="P466" s="150">
        <v>0</v>
      </c>
      <c r="Q466" s="150">
        <v>0</v>
      </c>
      <c r="R466" s="150">
        <v>0</v>
      </c>
      <c r="S466" s="150">
        <v>0</v>
      </c>
      <c r="T466" s="150">
        <v>0</v>
      </c>
      <c r="U466" s="150">
        <v>0</v>
      </c>
      <c r="V466" s="150">
        <v>0</v>
      </c>
      <c r="W466" s="150">
        <v>0</v>
      </c>
      <c r="X466" s="150">
        <v>0</v>
      </c>
      <c r="Y466" s="394"/>
      <c r="Z466" s="246"/>
      <c r="AA466" s="246"/>
      <c r="AB466" s="150">
        <v>0</v>
      </c>
      <c r="AC466" s="153">
        <v>0</v>
      </c>
      <c r="AD466" s="412"/>
      <c r="AE466" s="412"/>
      <c r="AF466" s="412"/>
      <c r="AG466" s="412"/>
      <c r="AH466" s="412"/>
      <c r="AI466" s="412"/>
      <c r="AJ466" s="412"/>
      <c r="AK466" s="412"/>
      <c r="AL466" s="412"/>
      <c r="AM466" s="412"/>
      <c r="AN466" s="412"/>
      <c r="AO466" s="412"/>
      <c r="AP466" s="412"/>
      <c r="AQ466" s="412"/>
      <c r="AR466" s="412"/>
      <c r="AS466" s="412"/>
      <c r="AT466" s="412"/>
      <c r="AU466" s="412"/>
      <c r="AV466" s="412"/>
      <c r="AW466" s="412"/>
      <c r="AX466" s="412"/>
      <c r="AY466" s="412"/>
      <c r="AZ466" s="412"/>
      <c r="BA466" s="412"/>
      <c r="BB466" s="412"/>
      <c r="BC466" s="412"/>
      <c r="BD466" s="412"/>
      <c r="BE466" s="412"/>
      <c r="BF466" s="412"/>
    </row>
    <row r="467" spans="1:58" ht="12" hidden="1" customHeight="1" outlineLevel="2" x14ac:dyDescent="0.3">
      <c r="A467" s="224"/>
      <c r="B467" s="224"/>
      <c r="C467" s="224"/>
      <c r="D467" s="224"/>
      <c r="E467" s="224"/>
      <c r="F467" s="224"/>
      <c r="G467" s="224"/>
      <c r="H467" s="224"/>
      <c r="I467" s="224"/>
      <c r="J467" s="224"/>
      <c r="K467" s="224"/>
      <c r="L467" s="117"/>
      <c r="M467" s="213" t="s">
        <v>966</v>
      </c>
      <c r="N467" s="244" t="s">
        <v>77</v>
      </c>
      <c r="O467" s="150">
        <v>12.638888888888889</v>
      </c>
      <c r="P467" s="150">
        <v>0</v>
      </c>
      <c r="Q467" s="150">
        <v>12.638888888888889</v>
      </c>
      <c r="R467" s="150">
        <v>25.277777777777779</v>
      </c>
      <c r="S467" s="150">
        <v>12.638888888888889</v>
      </c>
      <c r="T467" s="150">
        <v>12.638888888888889</v>
      </c>
      <c r="U467" s="150">
        <v>12.638888888888889</v>
      </c>
      <c r="V467" s="150">
        <v>12.638888888888889</v>
      </c>
      <c r="W467" s="150">
        <v>12.638888888888889</v>
      </c>
      <c r="X467" s="150">
        <v>20.222222222222221</v>
      </c>
      <c r="Y467" s="394"/>
      <c r="Z467" s="246"/>
      <c r="AA467" s="246"/>
      <c r="AB467" s="150">
        <v>20</v>
      </c>
      <c r="AC467" s="153">
        <v>12.777777777777777</v>
      </c>
      <c r="AD467" s="412"/>
      <c r="AE467" s="412"/>
      <c r="AF467" s="412"/>
      <c r="AG467" s="412"/>
      <c r="AH467" s="412"/>
      <c r="AI467" s="412"/>
      <c r="AJ467" s="412"/>
      <c r="AK467" s="412"/>
      <c r="AL467" s="412"/>
      <c r="AM467" s="412"/>
      <c r="AN467" s="412"/>
      <c r="AO467" s="412"/>
      <c r="AP467" s="412"/>
      <c r="AQ467" s="412"/>
      <c r="AR467" s="412"/>
      <c r="AS467" s="412"/>
      <c r="AT467" s="412"/>
      <c r="AU467" s="412"/>
      <c r="AV467" s="412"/>
      <c r="AW467" s="412"/>
      <c r="AX467" s="412"/>
      <c r="AY467" s="412"/>
      <c r="AZ467" s="412"/>
      <c r="BA467" s="412"/>
      <c r="BB467" s="412"/>
      <c r="BC467" s="412"/>
      <c r="BD467" s="412"/>
      <c r="BE467" s="412"/>
      <c r="BF467" s="412"/>
    </row>
    <row r="468" spans="1:58" ht="12" hidden="1" customHeight="1" outlineLevel="2" x14ac:dyDescent="0.3">
      <c r="A468" s="224"/>
      <c r="B468" s="224"/>
      <c r="C468" s="224"/>
      <c r="D468" s="224"/>
      <c r="E468" s="224"/>
      <c r="F468" s="224"/>
      <c r="G468" s="224"/>
      <c r="H468" s="224"/>
      <c r="I468" s="224"/>
      <c r="J468" s="224"/>
      <c r="K468" s="224"/>
      <c r="L468" s="117"/>
      <c r="M468" s="210" t="s">
        <v>1056</v>
      </c>
      <c r="N468" s="244" t="s">
        <v>77</v>
      </c>
      <c r="O468" s="409">
        <f>SUM(O469:O470)</f>
        <v>61.234083951332096</v>
      </c>
      <c r="P468" s="409">
        <f t="shared" ref="P468" si="687">SUM(P469:P470)</f>
        <v>113.22057155083036</v>
      </c>
      <c r="Q468" s="409">
        <f t="shared" ref="Q468" si="688">SUM(Q469:Q470)</f>
        <v>103.72304016246049</v>
      </c>
      <c r="R468" s="409">
        <f t="shared" ref="R468" si="689">SUM(R469:R470)</f>
        <v>91.226288335658026</v>
      </c>
      <c r="S468" s="409">
        <f t="shared" ref="S468" si="690">SUM(S469:S470)</f>
        <v>72.731095631990357</v>
      </c>
      <c r="T468" s="409">
        <f t="shared" ref="T468" si="691">SUM(T469:T470)</f>
        <v>69.981810230093828</v>
      </c>
      <c r="U468" s="409">
        <f t="shared" ref="U468" si="692">SUM(U469:U470)</f>
        <v>60.234343805187905</v>
      </c>
      <c r="V468" s="409">
        <f t="shared" ref="V468" si="693">SUM(V469:V470)</f>
        <v>45.988046722633086</v>
      </c>
      <c r="W468" s="409">
        <f t="shared" ref="W468" si="694">SUM(W469:W470)</f>
        <v>38.167079559347023</v>
      </c>
      <c r="X468" s="409">
        <f t="shared" ref="X468" si="695">SUM(X469:X470)</f>
        <v>39.339774750774161</v>
      </c>
      <c r="Y468" s="394"/>
      <c r="Z468" s="220"/>
      <c r="AA468" s="220"/>
      <c r="AB468" s="409">
        <f t="shared" ref="AB468" si="696">SUM(AB469:AB470)</f>
        <v>35.277777777777779</v>
      </c>
      <c r="AC468" s="410">
        <f t="shared" ref="AC468" si="697">SUM(AC469:AC470)</f>
        <v>48.055555555555564</v>
      </c>
      <c r="AD468" s="411">
        <f>AB468*AD$262/$AB$262</f>
        <v>35.63055555555556</v>
      </c>
      <c r="AE468" s="411">
        <f>AD468*AE$262/AD$262</f>
        <v>36.058122222222224</v>
      </c>
      <c r="AF468" s="411">
        <f t="shared" ref="AF468:BF468" si="698">AE468*AF$262/AE$262</f>
        <v>36.598994055555551</v>
      </c>
      <c r="AG468" s="411">
        <f t="shared" si="698"/>
        <v>37.147978966388884</v>
      </c>
      <c r="AH468" s="411">
        <f t="shared" si="698"/>
        <v>37.705198650884711</v>
      </c>
      <c r="AI468" s="411">
        <f t="shared" si="698"/>
        <v>38.27077663064798</v>
      </c>
      <c r="AJ468" s="411">
        <f t="shared" si="698"/>
        <v>38.844838280107695</v>
      </c>
      <c r="AK468" s="411">
        <f t="shared" si="698"/>
        <v>39.427510854309304</v>
      </c>
      <c r="AL468" s="411">
        <f t="shared" si="698"/>
        <v>40.018923517123937</v>
      </c>
      <c r="AM468" s="411">
        <f t="shared" si="698"/>
        <v>40.61920736988079</v>
      </c>
      <c r="AN468" s="411">
        <f t="shared" si="698"/>
        <v>41.228495480428997</v>
      </c>
      <c r="AO468" s="411">
        <f t="shared" si="698"/>
        <v>41.846922912635421</v>
      </c>
      <c r="AP468" s="411">
        <f t="shared" si="698"/>
        <v>42.474626756324945</v>
      </c>
      <c r="AQ468" s="411">
        <f t="shared" si="698"/>
        <v>43.111746157669813</v>
      </c>
      <c r="AR468" s="411">
        <f t="shared" si="698"/>
        <v>43.758422350034856</v>
      </c>
      <c r="AS468" s="411">
        <f t="shared" si="698"/>
        <v>44.414798685285376</v>
      </c>
      <c r="AT468" s="411">
        <f t="shared" si="698"/>
        <v>45.081020665564651</v>
      </c>
      <c r="AU468" s="411">
        <f t="shared" si="698"/>
        <v>45.757235975548113</v>
      </c>
      <c r="AV468" s="411">
        <f t="shared" si="698"/>
        <v>46.443594515181339</v>
      </c>
      <c r="AW468" s="411">
        <f t="shared" si="698"/>
        <v>47.140248432909047</v>
      </c>
      <c r="AX468" s="411">
        <f t="shared" si="698"/>
        <v>47.847352159402682</v>
      </c>
      <c r="AY468" s="411">
        <f t="shared" si="698"/>
        <v>48.565062441793714</v>
      </c>
      <c r="AZ468" s="411">
        <f t="shared" si="698"/>
        <v>49.293538378420621</v>
      </c>
      <c r="BA468" s="411">
        <f t="shared" si="698"/>
        <v>50.032941454096928</v>
      </c>
      <c r="BB468" s="411">
        <f t="shared" si="698"/>
        <v>50.683369693000188</v>
      </c>
      <c r="BC468" s="411">
        <f t="shared" si="698"/>
        <v>51.291570129316185</v>
      </c>
      <c r="BD468" s="411">
        <f t="shared" si="698"/>
        <v>51.855777400738653</v>
      </c>
      <c r="BE468" s="411">
        <f t="shared" si="698"/>
        <v>52.374335174746044</v>
      </c>
      <c r="BF468" s="411">
        <f t="shared" si="698"/>
        <v>52.898078526493507</v>
      </c>
    </row>
    <row r="469" spans="1:58" ht="12" hidden="1" customHeight="1" outlineLevel="2" x14ac:dyDescent="0.3">
      <c r="A469" s="224"/>
      <c r="B469" s="224"/>
      <c r="C469" s="224"/>
      <c r="D469" s="224"/>
      <c r="E469" s="224"/>
      <c r="F469" s="224"/>
      <c r="G469" s="224"/>
      <c r="H469" s="224"/>
      <c r="I469" s="224"/>
      <c r="J469" s="224"/>
      <c r="K469" s="224"/>
      <c r="L469" s="117"/>
      <c r="M469" s="213" t="s">
        <v>968</v>
      </c>
      <c r="N469" s="244" t="s">
        <v>77</v>
      </c>
      <c r="O469" s="150">
        <v>61.234083951332096</v>
      </c>
      <c r="P469" s="150">
        <v>113.22057155083036</v>
      </c>
      <c r="Q469" s="150">
        <v>103.72304016246049</v>
      </c>
      <c r="R469" s="150">
        <v>91.226288335658026</v>
      </c>
      <c r="S469" s="150">
        <v>72.731095631990357</v>
      </c>
      <c r="T469" s="150">
        <v>69.981810230093828</v>
      </c>
      <c r="U469" s="150">
        <v>60.234343805187905</v>
      </c>
      <c r="V469" s="150">
        <v>45.988046722633086</v>
      </c>
      <c r="W469" s="150">
        <v>38.167079559347023</v>
      </c>
      <c r="X469" s="150">
        <v>39.339774750774161</v>
      </c>
      <c r="Y469" s="394"/>
      <c r="Z469" s="246"/>
      <c r="AA469" s="246"/>
      <c r="AB469" s="150">
        <v>35.277777777777779</v>
      </c>
      <c r="AC469" s="153">
        <v>48.055555555555564</v>
      </c>
      <c r="AD469" s="412"/>
      <c r="AE469" s="412"/>
      <c r="AF469" s="412"/>
      <c r="AG469" s="412"/>
      <c r="AH469" s="412"/>
      <c r="AI469" s="412"/>
      <c r="AJ469" s="412"/>
      <c r="AK469" s="412"/>
      <c r="AL469" s="412"/>
      <c r="AM469" s="412"/>
      <c r="AN469" s="412"/>
      <c r="AO469" s="412"/>
      <c r="AP469" s="412"/>
      <c r="AQ469" s="412"/>
      <c r="AR469" s="412"/>
      <c r="AS469" s="412"/>
      <c r="AT469" s="412"/>
      <c r="AU469" s="412"/>
      <c r="AV469" s="412"/>
      <c r="AW469" s="412"/>
      <c r="AX469" s="412"/>
      <c r="AY469" s="412"/>
      <c r="AZ469" s="412"/>
      <c r="BA469" s="412"/>
      <c r="BB469" s="412"/>
      <c r="BC469" s="412"/>
      <c r="BD469" s="412"/>
      <c r="BE469" s="412"/>
      <c r="BF469" s="412"/>
    </row>
    <row r="470" spans="1:58" ht="12" hidden="1" customHeight="1" outlineLevel="2" x14ac:dyDescent="0.3">
      <c r="A470" s="224"/>
      <c r="B470" s="224"/>
      <c r="C470" s="224"/>
      <c r="D470" s="224"/>
      <c r="E470" s="224"/>
      <c r="F470" s="224"/>
      <c r="G470" s="224"/>
      <c r="H470" s="224"/>
      <c r="I470" s="224"/>
      <c r="J470" s="224"/>
      <c r="K470" s="224"/>
      <c r="L470" s="117"/>
      <c r="M470" s="213" t="s">
        <v>969</v>
      </c>
      <c r="N470" s="244" t="s">
        <v>77</v>
      </c>
      <c r="O470" s="150">
        <v>0</v>
      </c>
      <c r="P470" s="150">
        <v>0</v>
      </c>
      <c r="Q470" s="150">
        <v>0</v>
      </c>
      <c r="R470" s="150">
        <v>0</v>
      </c>
      <c r="S470" s="150">
        <v>0</v>
      </c>
      <c r="T470" s="150">
        <v>0</v>
      </c>
      <c r="U470" s="150">
        <v>0</v>
      </c>
      <c r="V470" s="150">
        <v>0</v>
      </c>
      <c r="W470" s="150">
        <v>0</v>
      </c>
      <c r="X470" s="150">
        <v>0</v>
      </c>
      <c r="Y470" s="394"/>
      <c r="Z470" s="246"/>
      <c r="AA470" s="246"/>
      <c r="AB470" s="150">
        <v>0</v>
      </c>
      <c r="AC470" s="153">
        <v>0</v>
      </c>
      <c r="AD470" s="412"/>
      <c r="AE470" s="412"/>
      <c r="AF470" s="412"/>
      <c r="AG470" s="412"/>
      <c r="AH470" s="412"/>
      <c r="AI470" s="412"/>
      <c r="AJ470" s="412"/>
      <c r="AK470" s="412"/>
      <c r="AL470" s="412"/>
      <c r="AM470" s="412"/>
      <c r="AN470" s="412"/>
      <c r="AO470" s="412"/>
      <c r="AP470" s="412"/>
      <c r="AQ470" s="412"/>
      <c r="AR470" s="412"/>
      <c r="AS470" s="412"/>
      <c r="AT470" s="412"/>
      <c r="AU470" s="412"/>
      <c r="AV470" s="412"/>
      <c r="AW470" s="412"/>
      <c r="AX470" s="412"/>
      <c r="AY470" s="412"/>
      <c r="AZ470" s="412"/>
      <c r="BA470" s="412"/>
      <c r="BB470" s="412"/>
      <c r="BC470" s="412"/>
      <c r="BD470" s="412"/>
      <c r="BE470" s="412"/>
      <c r="BF470" s="412"/>
    </row>
    <row r="471" spans="1:58" ht="12" hidden="1" customHeight="1" outlineLevel="2" x14ac:dyDescent="0.3">
      <c r="A471" s="224"/>
      <c r="B471" s="224"/>
      <c r="C471" s="224"/>
      <c r="D471" s="224"/>
      <c r="E471" s="224"/>
      <c r="F471" s="224"/>
      <c r="G471" s="224"/>
      <c r="H471" s="224"/>
      <c r="I471" s="224"/>
      <c r="J471" s="224"/>
      <c r="K471" s="224"/>
      <c r="L471" s="117"/>
      <c r="M471" s="210" t="s">
        <v>1057</v>
      </c>
      <c r="N471" s="244" t="s">
        <v>77</v>
      </c>
      <c r="O471" s="409">
        <f>SUM(O472:O475)</f>
        <v>0</v>
      </c>
      <c r="P471" s="409">
        <f t="shared" ref="P471" si="699">SUM(P472:P475)</f>
        <v>0</v>
      </c>
      <c r="Q471" s="409">
        <f t="shared" ref="Q471" si="700">SUM(Q472:Q475)</f>
        <v>0</v>
      </c>
      <c r="R471" s="409">
        <f t="shared" ref="R471" si="701">SUM(R472:R475)</f>
        <v>0</v>
      </c>
      <c r="S471" s="409">
        <f t="shared" ref="S471" si="702">SUM(S472:S475)</f>
        <v>0</v>
      </c>
      <c r="T471" s="409">
        <f t="shared" ref="T471" si="703">SUM(T472:T475)</f>
        <v>0</v>
      </c>
      <c r="U471" s="409">
        <f t="shared" ref="U471" si="704">SUM(U472:U475)</f>
        <v>0</v>
      </c>
      <c r="V471" s="409">
        <f t="shared" ref="V471" si="705">SUM(V472:V475)</f>
        <v>0</v>
      </c>
      <c r="W471" s="409">
        <f t="shared" ref="W471" si="706">SUM(W472:W475)</f>
        <v>0</v>
      </c>
      <c r="X471" s="409">
        <f t="shared" ref="X471" si="707">SUM(X472:X475)</f>
        <v>0</v>
      </c>
      <c r="Y471" s="394"/>
      <c r="Z471" s="220"/>
      <c r="AA471" s="220"/>
      <c r="AB471" s="409">
        <f t="shared" ref="AB471" si="708">SUM(AB472:AB475)</f>
        <v>0</v>
      </c>
      <c r="AC471" s="410">
        <f t="shared" ref="AC471" si="709">SUM(AC472:AC475)</f>
        <v>0</v>
      </c>
      <c r="AD471" s="411">
        <f>AB471*AD$262/$AB$262</f>
        <v>0</v>
      </c>
      <c r="AE471" s="411">
        <f>AD471*AE$262/AD$262</f>
        <v>0</v>
      </c>
      <c r="AF471" s="411">
        <f t="shared" ref="AF471:BF471" si="710">AE471*AF$262/AE$262</f>
        <v>0</v>
      </c>
      <c r="AG471" s="411">
        <f t="shared" si="710"/>
        <v>0</v>
      </c>
      <c r="AH471" s="411">
        <f t="shared" si="710"/>
        <v>0</v>
      </c>
      <c r="AI471" s="411">
        <f t="shared" si="710"/>
        <v>0</v>
      </c>
      <c r="AJ471" s="411">
        <f t="shared" si="710"/>
        <v>0</v>
      </c>
      <c r="AK471" s="411">
        <f t="shared" si="710"/>
        <v>0</v>
      </c>
      <c r="AL471" s="411">
        <f t="shared" si="710"/>
        <v>0</v>
      </c>
      <c r="AM471" s="411">
        <f t="shared" si="710"/>
        <v>0</v>
      </c>
      <c r="AN471" s="411">
        <f t="shared" si="710"/>
        <v>0</v>
      </c>
      <c r="AO471" s="411">
        <f t="shared" si="710"/>
        <v>0</v>
      </c>
      <c r="AP471" s="411">
        <f t="shared" si="710"/>
        <v>0</v>
      </c>
      <c r="AQ471" s="411">
        <f t="shared" si="710"/>
        <v>0</v>
      </c>
      <c r="AR471" s="411">
        <f t="shared" si="710"/>
        <v>0</v>
      </c>
      <c r="AS471" s="411">
        <f t="shared" si="710"/>
        <v>0</v>
      </c>
      <c r="AT471" s="411">
        <f t="shared" si="710"/>
        <v>0</v>
      </c>
      <c r="AU471" s="411">
        <f t="shared" si="710"/>
        <v>0</v>
      </c>
      <c r="AV471" s="411">
        <f t="shared" si="710"/>
        <v>0</v>
      </c>
      <c r="AW471" s="411">
        <f t="shared" si="710"/>
        <v>0</v>
      </c>
      <c r="AX471" s="411">
        <f t="shared" si="710"/>
        <v>0</v>
      </c>
      <c r="AY471" s="411">
        <f t="shared" si="710"/>
        <v>0</v>
      </c>
      <c r="AZ471" s="411">
        <f t="shared" si="710"/>
        <v>0</v>
      </c>
      <c r="BA471" s="411">
        <f t="shared" si="710"/>
        <v>0</v>
      </c>
      <c r="BB471" s="411">
        <f t="shared" si="710"/>
        <v>0</v>
      </c>
      <c r="BC471" s="411">
        <f t="shared" si="710"/>
        <v>0</v>
      </c>
      <c r="BD471" s="411">
        <f t="shared" si="710"/>
        <v>0</v>
      </c>
      <c r="BE471" s="411">
        <f t="shared" si="710"/>
        <v>0</v>
      </c>
      <c r="BF471" s="411">
        <f t="shared" si="710"/>
        <v>0</v>
      </c>
    </row>
    <row r="472" spans="1:58" ht="12" hidden="1" customHeight="1" outlineLevel="2" x14ac:dyDescent="0.3">
      <c r="A472" s="224"/>
      <c r="B472" s="224"/>
      <c r="C472" s="224"/>
      <c r="D472" s="224"/>
      <c r="E472" s="224"/>
      <c r="F472" s="224"/>
      <c r="G472" s="224"/>
      <c r="H472" s="224"/>
      <c r="I472" s="224"/>
      <c r="J472" s="224"/>
      <c r="K472" s="224"/>
      <c r="L472" s="117"/>
      <c r="M472" s="213" t="s">
        <v>971</v>
      </c>
      <c r="N472" s="244" t="s">
        <v>77</v>
      </c>
      <c r="O472" s="150">
        <v>0</v>
      </c>
      <c r="P472" s="150">
        <v>0</v>
      </c>
      <c r="Q472" s="150">
        <v>0</v>
      </c>
      <c r="R472" s="150">
        <v>0</v>
      </c>
      <c r="S472" s="150">
        <v>0</v>
      </c>
      <c r="T472" s="150">
        <v>0</v>
      </c>
      <c r="U472" s="150">
        <v>0</v>
      </c>
      <c r="V472" s="150">
        <v>0</v>
      </c>
      <c r="W472" s="150">
        <v>0</v>
      </c>
      <c r="X472" s="150">
        <v>0</v>
      </c>
      <c r="Y472" s="394"/>
      <c r="Z472" s="246"/>
      <c r="AA472" s="246"/>
      <c r="AB472" s="150">
        <v>0</v>
      </c>
      <c r="AC472" s="153">
        <v>0</v>
      </c>
      <c r="AD472" s="412"/>
      <c r="AE472" s="412"/>
      <c r="AF472" s="412"/>
      <c r="AG472" s="412"/>
      <c r="AH472" s="412"/>
      <c r="AI472" s="412"/>
      <c r="AJ472" s="412"/>
      <c r="AK472" s="412"/>
      <c r="AL472" s="412"/>
      <c r="AM472" s="412"/>
      <c r="AN472" s="412"/>
      <c r="AO472" s="412"/>
      <c r="AP472" s="412"/>
      <c r="AQ472" s="412"/>
      <c r="AR472" s="412"/>
      <c r="AS472" s="412"/>
      <c r="AT472" s="412"/>
      <c r="AU472" s="412"/>
      <c r="AV472" s="412"/>
      <c r="AW472" s="412"/>
      <c r="AX472" s="412"/>
      <c r="AY472" s="412"/>
      <c r="AZ472" s="412"/>
      <c r="BA472" s="412"/>
      <c r="BB472" s="412"/>
      <c r="BC472" s="412"/>
      <c r="BD472" s="412"/>
      <c r="BE472" s="412"/>
      <c r="BF472" s="412"/>
    </row>
    <row r="473" spans="1:58" ht="12" hidden="1" customHeight="1" outlineLevel="2" x14ac:dyDescent="0.3">
      <c r="A473" s="224"/>
      <c r="B473" s="224"/>
      <c r="C473" s="224"/>
      <c r="D473" s="224"/>
      <c r="E473" s="224"/>
      <c r="F473" s="224"/>
      <c r="G473" s="224"/>
      <c r="H473" s="224"/>
      <c r="I473" s="224"/>
      <c r="J473" s="224"/>
      <c r="K473" s="224"/>
      <c r="L473" s="117"/>
      <c r="M473" s="213" t="s">
        <v>985</v>
      </c>
      <c r="N473" s="244" t="s">
        <v>77</v>
      </c>
      <c r="O473" s="150">
        <v>0</v>
      </c>
      <c r="P473" s="150">
        <v>0</v>
      </c>
      <c r="Q473" s="150">
        <v>0</v>
      </c>
      <c r="R473" s="150">
        <v>0</v>
      </c>
      <c r="S473" s="150">
        <v>0</v>
      </c>
      <c r="T473" s="150">
        <v>0</v>
      </c>
      <c r="U473" s="150">
        <v>0</v>
      </c>
      <c r="V473" s="150">
        <v>0</v>
      </c>
      <c r="W473" s="150">
        <v>0</v>
      </c>
      <c r="X473" s="150">
        <v>0</v>
      </c>
      <c r="Y473" s="394"/>
      <c r="Z473" s="246"/>
      <c r="AA473" s="246"/>
      <c r="AB473" s="150">
        <v>0</v>
      </c>
      <c r="AC473" s="153">
        <v>0</v>
      </c>
      <c r="AD473" s="412"/>
      <c r="AE473" s="412"/>
      <c r="AF473" s="412"/>
      <c r="AG473" s="412"/>
      <c r="AH473" s="412"/>
      <c r="AI473" s="412"/>
      <c r="AJ473" s="412"/>
      <c r="AK473" s="412"/>
      <c r="AL473" s="412"/>
      <c r="AM473" s="412"/>
      <c r="AN473" s="412"/>
      <c r="AO473" s="412"/>
      <c r="AP473" s="412"/>
      <c r="AQ473" s="412"/>
      <c r="AR473" s="412"/>
      <c r="AS473" s="412"/>
      <c r="AT473" s="412"/>
      <c r="AU473" s="412"/>
      <c r="AV473" s="412"/>
      <c r="AW473" s="412"/>
      <c r="AX473" s="412"/>
      <c r="AY473" s="412"/>
      <c r="AZ473" s="412"/>
      <c r="BA473" s="412"/>
      <c r="BB473" s="412"/>
      <c r="BC473" s="412"/>
      <c r="BD473" s="412"/>
      <c r="BE473" s="412"/>
      <c r="BF473" s="412"/>
    </row>
    <row r="474" spans="1:58" ht="12" hidden="1" customHeight="1" outlineLevel="2" x14ac:dyDescent="0.3">
      <c r="A474" s="224"/>
      <c r="B474" s="224"/>
      <c r="C474" s="224"/>
      <c r="D474" s="224"/>
      <c r="E474" s="224"/>
      <c r="F474" s="224"/>
      <c r="G474" s="224"/>
      <c r="H474" s="224"/>
      <c r="I474" s="224"/>
      <c r="J474" s="224"/>
      <c r="K474" s="224"/>
      <c r="L474" s="117"/>
      <c r="M474" s="213" t="s">
        <v>973</v>
      </c>
      <c r="N474" s="244" t="s">
        <v>77</v>
      </c>
      <c r="O474" s="150">
        <v>0</v>
      </c>
      <c r="P474" s="150">
        <v>0</v>
      </c>
      <c r="Q474" s="150">
        <v>0</v>
      </c>
      <c r="R474" s="150">
        <v>0</v>
      </c>
      <c r="S474" s="150">
        <v>0</v>
      </c>
      <c r="T474" s="150">
        <v>0</v>
      </c>
      <c r="U474" s="150">
        <v>0</v>
      </c>
      <c r="V474" s="150">
        <v>0</v>
      </c>
      <c r="W474" s="150">
        <v>0</v>
      </c>
      <c r="X474" s="150">
        <v>0</v>
      </c>
      <c r="Y474" s="394"/>
      <c r="Z474" s="246"/>
      <c r="AA474" s="246"/>
      <c r="AB474" s="150">
        <v>0</v>
      </c>
      <c r="AC474" s="153">
        <v>0</v>
      </c>
      <c r="AD474" s="412"/>
      <c r="AE474" s="412"/>
      <c r="AF474" s="412"/>
      <c r="AG474" s="412"/>
      <c r="AH474" s="412"/>
      <c r="AI474" s="412"/>
      <c r="AJ474" s="412"/>
      <c r="AK474" s="412"/>
      <c r="AL474" s="412"/>
      <c r="AM474" s="412"/>
      <c r="AN474" s="412"/>
      <c r="AO474" s="412"/>
      <c r="AP474" s="412"/>
      <c r="AQ474" s="412"/>
      <c r="AR474" s="412"/>
      <c r="AS474" s="412"/>
      <c r="AT474" s="412"/>
      <c r="AU474" s="412"/>
      <c r="AV474" s="412"/>
      <c r="AW474" s="412"/>
      <c r="AX474" s="412"/>
      <c r="AY474" s="412"/>
      <c r="AZ474" s="412"/>
      <c r="BA474" s="412"/>
      <c r="BB474" s="412"/>
      <c r="BC474" s="412"/>
      <c r="BD474" s="412"/>
      <c r="BE474" s="412"/>
      <c r="BF474" s="412"/>
    </row>
    <row r="475" spans="1:58" ht="12" hidden="1" customHeight="1" outlineLevel="2" x14ac:dyDescent="0.3">
      <c r="A475" s="224"/>
      <c r="B475" s="224"/>
      <c r="C475" s="224"/>
      <c r="D475" s="224"/>
      <c r="E475" s="224"/>
      <c r="F475" s="224"/>
      <c r="G475" s="224"/>
      <c r="H475" s="224"/>
      <c r="I475" s="224"/>
      <c r="J475" s="224"/>
      <c r="K475" s="224"/>
      <c r="L475" s="117"/>
      <c r="M475" s="213" t="s">
        <v>974</v>
      </c>
      <c r="N475" s="244" t="s">
        <v>77</v>
      </c>
      <c r="O475" s="150">
        <v>0</v>
      </c>
      <c r="P475" s="150">
        <v>0</v>
      </c>
      <c r="Q475" s="150">
        <v>0</v>
      </c>
      <c r="R475" s="150">
        <v>0</v>
      </c>
      <c r="S475" s="150">
        <v>0</v>
      </c>
      <c r="T475" s="150">
        <v>0</v>
      </c>
      <c r="U475" s="150">
        <v>0</v>
      </c>
      <c r="V475" s="150">
        <v>0</v>
      </c>
      <c r="W475" s="150">
        <v>0</v>
      </c>
      <c r="X475" s="150">
        <v>0</v>
      </c>
      <c r="Y475" s="394"/>
      <c r="Z475" s="246"/>
      <c r="AA475" s="246"/>
      <c r="AB475" s="150">
        <v>0</v>
      </c>
      <c r="AC475" s="153">
        <v>0</v>
      </c>
      <c r="AD475" s="412"/>
      <c r="AE475" s="412"/>
      <c r="AF475" s="412"/>
      <c r="AG475" s="412"/>
      <c r="AH475" s="412"/>
      <c r="AI475" s="412"/>
      <c r="AJ475" s="412"/>
      <c r="AK475" s="412"/>
      <c r="AL475" s="412"/>
      <c r="AM475" s="412"/>
      <c r="AN475" s="412"/>
      <c r="AO475" s="412"/>
      <c r="AP475" s="412"/>
      <c r="AQ475" s="412"/>
      <c r="AR475" s="412"/>
      <c r="AS475" s="412"/>
      <c r="AT475" s="412"/>
      <c r="AU475" s="412"/>
      <c r="AV475" s="412"/>
      <c r="AW475" s="412"/>
      <c r="AX475" s="412"/>
      <c r="AY475" s="412"/>
      <c r="AZ475" s="412"/>
      <c r="BA475" s="412"/>
      <c r="BB475" s="412"/>
      <c r="BC475" s="412"/>
      <c r="BD475" s="412"/>
      <c r="BE475" s="412"/>
      <c r="BF475" s="412"/>
    </row>
    <row r="476" spans="1:58" ht="12" hidden="1" customHeight="1" outlineLevel="2" x14ac:dyDescent="0.3">
      <c r="A476" s="224"/>
      <c r="B476" s="224"/>
      <c r="C476" s="224"/>
      <c r="D476" s="224"/>
      <c r="E476" s="224"/>
      <c r="F476" s="224"/>
      <c r="G476" s="224"/>
      <c r="H476" s="224"/>
      <c r="I476" s="224"/>
      <c r="J476" s="224"/>
      <c r="K476" s="224"/>
      <c r="L476" s="117"/>
      <c r="M476" s="210" t="s">
        <v>1058</v>
      </c>
      <c r="N476" s="244" t="s">
        <v>77</v>
      </c>
      <c r="O476" s="150">
        <v>60.555555555555564</v>
      </c>
      <c r="P476" s="150">
        <v>68.6111111111111</v>
      </c>
      <c r="Q476" s="150">
        <v>80.555555555555557</v>
      </c>
      <c r="R476" s="150">
        <v>81.944444444444443</v>
      </c>
      <c r="S476" s="150">
        <v>91.111111111111114</v>
      </c>
      <c r="T476" s="150">
        <v>62.777777777777779</v>
      </c>
      <c r="U476" s="150">
        <v>59.166666666666664</v>
      </c>
      <c r="V476" s="150">
        <v>59.999999999999993</v>
      </c>
      <c r="W476" s="150">
        <v>60.833333333333343</v>
      </c>
      <c r="X476" s="150">
        <v>52.777777777777779</v>
      </c>
      <c r="Y476" s="394"/>
      <c r="Z476" s="246"/>
      <c r="AA476" s="246"/>
      <c r="AB476" s="150">
        <v>69.444444444444443</v>
      </c>
      <c r="AC476" s="153">
        <v>108.33333333333333</v>
      </c>
      <c r="AD476" s="411">
        <f>AB476*AD$262/$AB$262</f>
        <v>70.138888888888886</v>
      </c>
      <c r="AE476" s="411">
        <f>AD476*AE$262/AD$262</f>
        <v>70.980555555555554</v>
      </c>
      <c r="AF476" s="411">
        <f t="shared" ref="AF476:BF476" si="711">AE476*AF$262/AE$262</f>
        <v>72.045263888888883</v>
      </c>
      <c r="AG476" s="411">
        <f t="shared" si="711"/>
        <v>73.125942847222206</v>
      </c>
      <c r="AH476" s="411">
        <f t="shared" si="711"/>
        <v>74.222831989930526</v>
      </c>
      <c r="AI476" s="411">
        <f t="shared" si="711"/>
        <v>75.336174469779479</v>
      </c>
      <c r="AJ476" s="411">
        <f t="shared" si="711"/>
        <v>76.466217086826163</v>
      </c>
      <c r="AK476" s="411">
        <f t="shared" si="711"/>
        <v>77.613210343128557</v>
      </c>
      <c r="AL476" s="411">
        <f t="shared" si="711"/>
        <v>78.777408498275477</v>
      </c>
      <c r="AM476" s="411">
        <f t="shared" si="711"/>
        <v>79.959069625749606</v>
      </c>
      <c r="AN476" s="411">
        <f t="shared" si="711"/>
        <v>81.158455670135851</v>
      </c>
      <c r="AO476" s="411">
        <f t="shared" si="711"/>
        <v>82.375832505187873</v>
      </c>
      <c r="AP476" s="411">
        <f t="shared" si="711"/>
        <v>83.611469992765677</v>
      </c>
      <c r="AQ476" s="411">
        <f t="shared" si="711"/>
        <v>84.865642042657157</v>
      </c>
      <c r="AR476" s="411">
        <f t="shared" si="711"/>
        <v>86.138626673297011</v>
      </c>
      <c r="AS476" s="411">
        <f t="shared" si="711"/>
        <v>87.430706073396465</v>
      </c>
      <c r="AT476" s="411">
        <f t="shared" si="711"/>
        <v>88.742166664497418</v>
      </c>
      <c r="AU476" s="411">
        <f t="shared" si="711"/>
        <v>90.073299164464885</v>
      </c>
      <c r="AV476" s="411">
        <f t="shared" si="711"/>
        <v>91.424398651931853</v>
      </c>
      <c r="AW476" s="411">
        <f t="shared" si="711"/>
        <v>92.795764631710824</v>
      </c>
      <c r="AX476" s="411">
        <f t="shared" si="711"/>
        <v>94.187701101186477</v>
      </c>
      <c r="AY476" s="411">
        <f t="shared" si="711"/>
        <v>95.600516617704258</v>
      </c>
      <c r="AZ476" s="411">
        <f t="shared" si="711"/>
        <v>97.034524366969819</v>
      </c>
      <c r="BA476" s="411">
        <f t="shared" si="711"/>
        <v>98.490042232474352</v>
      </c>
      <c r="BB476" s="411">
        <f t="shared" si="711"/>
        <v>99.770412781496503</v>
      </c>
      <c r="BC476" s="411">
        <f t="shared" si="711"/>
        <v>100.96765773487446</v>
      </c>
      <c r="BD476" s="411">
        <f t="shared" si="711"/>
        <v>102.07830196995808</v>
      </c>
      <c r="BE476" s="411">
        <f t="shared" si="711"/>
        <v>103.09908498965765</v>
      </c>
      <c r="BF476" s="411">
        <f t="shared" si="711"/>
        <v>104.13007583955424</v>
      </c>
    </row>
    <row r="477" spans="1:58" ht="12" hidden="1" customHeight="1" outlineLevel="2" x14ac:dyDescent="0.3">
      <c r="A477" s="224"/>
      <c r="B477" s="224"/>
      <c r="C477" s="224"/>
      <c r="D477" s="224"/>
      <c r="E477" s="224"/>
      <c r="F477" s="224"/>
      <c r="G477" s="224"/>
      <c r="H477" s="224"/>
      <c r="I477" s="224"/>
      <c r="J477" s="224"/>
      <c r="K477" s="224"/>
      <c r="L477" s="117"/>
      <c r="M477" s="210" t="s">
        <v>1059</v>
      </c>
      <c r="N477" s="244" t="s">
        <v>77</v>
      </c>
      <c r="O477" s="150">
        <v>294</v>
      </c>
      <c r="P477" s="150">
        <v>293</v>
      </c>
      <c r="Q477" s="150">
        <v>285</v>
      </c>
      <c r="R477" s="150">
        <v>260</v>
      </c>
      <c r="S477" s="150">
        <v>248</v>
      </c>
      <c r="T477" s="150">
        <v>250</v>
      </c>
      <c r="U477" s="150">
        <v>294</v>
      </c>
      <c r="V477" s="150">
        <v>302</v>
      </c>
      <c r="W477" s="150">
        <v>320</v>
      </c>
      <c r="X477" s="150">
        <v>225.8</v>
      </c>
      <c r="Y477" s="394"/>
      <c r="Z477" s="246"/>
      <c r="AA477" s="246"/>
      <c r="AB477" s="150">
        <v>223.88888888888886</v>
      </c>
      <c r="AC477" s="153">
        <v>273.61111111111109</v>
      </c>
      <c r="AD477" s="411">
        <f>AB477*AD$262/$AB$262</f>
        <v>226.12777777777774</v>
      </c>
      <c r="AE477" s="411">
        <f>AD477*AE$262/AD$262</f>
        <v>228.84131111111105</v>
      </c>
      <c r="AF477" s="411">
        <f t="shared" ref="AF477:BF477" si="712">AE477*AF$262/AE$262</f>
        <v>232.27393077777768</v>
      </c>
      <c r="AG477" s="411">
        <f t="shared" si="712"/>
        <v>235.75803973944431</v>
      </c>
      <c r="AH477" s="411">
        <f t="shared" si="712"/>
        <v>239.29441033553593</v>
      </c>
      <c r="AI477" s="411">
        <f t="shared" si="712"/>
        <v>242.88382649056894</v>
      </c>
      <c r="AJ477" s="411">
        <f t="shared" si="712"/>
        <v>246.52708388792743</v>
      </c>
      <c r="AK477" s="411">
        <f t="shared" si="712"/>
        <v>250.22499014624631</v>
      </c>
      <c r="AL477" s="411">
        <f t="shared" si="712"/>
        <v>253.97836499843999</v>
      </c>
      <c r="AM477" s="411">
        <f t="shared" si="712"/>
        <v>257.78804047341657</v>
      </c>
      <c r="AN477" s="411">
        <f t="shared" si="712"/>
        <v>261.65486108051778</v>
      </c>
      <c r="AO477" s="411">
        <f t="shared" si="712"/>
        <v>265.57968399672546</v>
      </c>
      <c r="AP477" s="411">
        <f t="shared" si="712"/>
        <v>269.56337925667628</v>
      </c>
      <c r="AQ477" s="411">
        <f t="shared" si="712"/>
        <v>273.60682994552639</v>
      </c>
      <c r="AR477" s="411">
        <f t="shared" si="712"/>
        <v>277.71093239470923</v>
      </c>
      <c r="AS477" s="411">
        <f t="shared" si="712"/>
        <v>281.87659638062985</v>
      </c>
      <c r="AT477" s="411">
        <f t="shared" si="712"/>
        <v>286.10474532633924</v>
      </c>
      <c r="AU477" s="411">
        <f t="shared" si="712"/>
        <v>290.39631650623431</v>
      </c>
      <c r="AV477" s="411">
        <f t="shared" si="712"/>
        <v>294.75226125382778</v>
      </c>
      <c r="AW477" s="411">
        <f t="shared" si="712"/>
        <v>299.17354517263516</v>
      </c>
      <c r="AX477" s="411">
        <f t="shared" si="712"/>
        <v>303.66114835022461</v>
      </c>
      <c r="AY477" s="411">
        <f t="shared" si="712"/>
        <v>308.21606557547796</v>
      </c>
      <c r="AZ477" s="411">
        <f t="shared" si="712"/>
        <v>312.83930655911007</v>
      </c>
      <c r="BA477" s="411">
        <f t="shared" si="712"/>
        <v>317.53189615749665</v>
      </c>
      <c r="BB477" s="411">
        <f t="shared" si="712"/>
        <v>321.65981080754409</v>
      </c>
      <c r="BC477" s="411">
        <f t="shared" si="712"/>
        <v>325.51972853723464</v>
      </c>
      <c r="BD477" s="411">
        <f t="shared" si="712"/>
        <v>329.10044555114422</v>
      </c>
      <c r="BE477" s="411">
        <f t="shared" si="712"/>
        <v>332.39145000665565</v>
      </c>
      <c r="BF477" s="411">
        <f t="shared" si="712"/>
        <v>335.71536450672221</v>
      </c>
    </row>
    <row r="478" spans="1:58" ht="12" hidden="1" customHeight="1" outlineLevel="2" x14ac:dyDescent="0.3">
      <c r="A478" s="224"/>
      <c r="B478" s="224"/>
      <c r="C478" s="224"/>
      <c r="D478" s="224"/>
      <c r="E478" s="224"/>
      <c r="F478" s="224"/>
      <c r="G478" s="224"/>
      <c r="H478" s="224"/>
      <c r="I478" s="224"/>
      <c r="J478" s="224"/>
      <c r="K478" s="224"/>
      <c r="L478" s="117"/>
      <c r="M478" s="210" t="s">
        <v>1060</v>
      </c>
      <c r="N478" s="244" t="s">
        <v>77</v>
      </c>
      <c r="O478" s="150">
        <v>7.2222222222222223</v>
      </c>
      <c r="P478" s="150">
        <v>14.444444444444445</v>
      </c>
      <c r="Q478" s="150">
        <v>8.6111111111111125</v>
      </c>
      <c r="R478" s="150">
        <v>8.6111111111111125</v>
      </c>
      <c r="S478" s="150">
        <v>8.8888888888888893</v>
      </c>
      <c r="T478" s="150">
        <v>9.7222222222222214</v>
      </c>
      <c r="U478" s="150">
        <v>12.777777777777777</v>
      </c>
      <c r="V478" s="150">
        <v>11.944444444444443</v>
      </c>
      <c r="W478" s="150">
        <v>15.555555555555555</v>
      </c>
      <c r="X478" s="150">
        <v>13.888888888888889</v>
      </c>
      <c r="Y478" s="394"/>
      <c r="Z478" s="246"/>
      <c r="AA478" s="246"/>
      <c r="AB478" s="150">
        <v>12.5</v>
      </c>
      <c r="AC478" s="153">
        <v>8.8888888888888893</v>
      </c>
      <c r="AD478" s="411">
        <f>AB478*AD$262/$AB$262</f>
        <v>12.625</v>
      </c>
      <c r="AE478" s="411">
        <f>AD478*AE$262/AD$262</f>
        <v>12.7765</v>
      </c>
      <c r="AF478" s="411">
        <f t="shared" ref="AF478:BF478" si="713">AE478*AF$262/AE$262</f>
        <v>12.968147499999999</v>
      </c>
      <c r="AG478" s="411">
        <f t="shared" si="713"/>
        <v>13.162669712499998</v>
      </c>
      <c r="AH478" s="411">
        <f t="shared" si="713"/>
        <v>13.360109758187496</v>
      </c>
      <c r="AI478" s="411">
        <f t="shared" si="713"/>
        <v>13.560511404560309</v>
      </c>
      <c r="AJ478" s="411">
        <f t="shared" si="713"/>
        <v>13.763919075628712</v>
      </c>
      <c r="AK478" s="411">
        <f t="shared" si="713"/>
        <v>13.970377861763142</v>
      </c>
      <c r="AL478" s="411">
        <f t="shared" si="713"/>
        <v>14.179933529689588</v>
      </c>
      <c r="AM478" s="411">
        <f t="shared" si="713"/>
        <v>14.392632532634932</v>
      </c>
      <c r="AN478" s="411">
        <f t="shared" si="713"/>
        <v>14.608522020624456</v>
      </c>
      <c r="AO478" s="411">
        <f t="shared" si="713"/>
        <v>14.82764985093382</v>
      </c>
      <c r="AP478" s="411">
        <f t="shared" si="713"/>
        <v>15.050064598697825</v>
      </c>
      <c r="AQ478" s="411">
        <f t="shared" si="713"/>
        <v>15.275815567678292</v>
      </c>
      <c r="AR478" s="411">
        <f t="shared" si="713"/>
        <v>15.504952801193465</v>
      </c>
      <c r="AS478" s="411">
        <f t="shared" si="713"/>
        <v>15.737527093211366</v>
      </c>
      <c r="AT478" s="411">
        <f t="shared" si="713"/>
        <v>15.973589999609535</v>
      </c>
      <c r="AU478" s="411">
        <f t="shared" si="713"/>
        <v>16.213193849603677</v>
      </c>
      <c r="AV478" s="411">
        <f t="shared" si="713"/>
        <v>16.456391757347731</v>
      </c>
      <c r="AW478" s="411">
        <f t="shared" si="713"/>
        <v>16.703237633707943</v>
      </c>
      <c r="AX478" s="411">
        <f t="shared" si="713"/>
        <v>16.95378619821356</v>
      </c>
      <c r="AY478" s="411">
        <f t="shared" si="713"/>
        <v>17.20809299118676</v>
      </c>
      <c r="AZ478" s="411">
        <f t="shared" si="713"/>
        <v>17.46621438605456</v>
      </c>
      <c r="BA478" s="411">
        <f t="shared" si="713"/>
        <v>17.728207601845376</v>
      </c>
      <c r="BB478" s="411">
        <f t="shared" si="713"/>
        <v>17.958674300669365</v>
      </c>
      <c r="BC478" s="411">
        <f t="shared" si="713"/>
        <v>18.174178392277398</v>
      </c>
      <c r="BD478" s="411">
        <f t="shared" si="713"/>
        <v>18.374094354592447</v>
      </c>
      <c r="BE478" s="411">
        <f t="shared" si="713"/>
        <v>18.557835298138372</v>
      </c>
      <c r="BF478" s="411">
        <f t="shared" si="713"/>
        <v>18.743413651119756</v>
      </c>
    </row>
    <row r="479" spans="1:58" ht="12" hidden="1" customHeight="1" outlineLevel="2" x14ac:dyDescent="0.3">
      <c r="A479" s="224"/>
      <c r="B479" s="224" t="s">
        <v>1061</v>
      </c>
      <c r="C479" s="224"/>
      <c r="D479" s="224" t="s">
        <v>885</v>
      </c>
      <c r="E479" s="224"/>
      <c r="F479" s="224"/>
      <c r="G479" s="224"/>
      <c r="H479" s="224"/>
      <c r="I479" s="224"/>
      <c r="J479" s="224"/>
      <c r="K479" s="224"/>
      <c r="L479" s="117"/>
      <c r="M479" s="214" t="s">
        <v>1062</v>
      </c>
      <c r="N479" s="247" t="s">
        <v>77</v>
      </c>
      <c r="O479" s="413">
        <f t="shared" ref="O479:X479" si="714">O464+O468+O471+O476+O477+O478</f>
        <v>470.17852839577654</v>
      </c>
      <c r="P479" s="413">
        <f t="shared" si="714"/>
        <v>489.2761271063859</v>
      </c>
      <c r="Q479" s="413">
        <f t="shared" si="714"/>
        <v>502.27859571801599</v>
      </c>
      <c r="R479" s="413">
        <f t="shared" si="714"/>
        <v>467.05962166899133</v>
      </c>
      <c r="S479" s="413">
        <f t="shared" si="714"/>
        <v>433.36998452087926</v>
      </c>
      <c r="T479" s="413">
        <f t="shared" si="714"/>
        <v>405.12069911898271</v>
      </c>
      <c r="U479" s="413">
        <f t="shared" si="714"/>
        <v>438.81767713852122</v>
      </c>
      <c r="V479" s="413">
        <f t="shared" si="714"/>
        <v>432.57138005596642</v>
      </c>
      <c r="W479" s="413">
        <f t="shared" si="714"/>
        <v>447.1948573371248</v>
      </c>
      <c r="X479" s="413">
        <f t="shared" si="714"/>
        <v>370.82866363966309</v>
      </c>
      <c r="Y479" s="394"/>
      <c r="Z479" s="246"/>
      <c r="AA479" s="246"/>
      <c r="AB479" s="413">
        <f>AB464+AB468+AB471+AB476+AB477+AB478</f>
        <v>362.22222222222217</v>
      </c>
      <c r="AC479" s="414">
        <f>AC464+AC468+AC471+AC476+AC477+AC478</f>
        <v>452.77777777777777</v>
      </c>
      <c r="AD479" s="411">
        <f>SUM(AD464:AD478)</f>
        <v>365.84444444444443</v>
      </c>
      <c r="AE479" s="411">
        <f>SUM(AE464:AE478)</f>
        <v>370.2345777777777</v>
      </c>
      <c r="AF479" s="411">
        <f t="shared" ref="AF479:BF479" si="715">SUM(AF464:AF478)</f>
        <v>375.78809644444436</v>
      </c>
      <c r="AG479" s="411">
        <f t="shared" si="715"/>
        <v>381.42491789111097</v>
      </c>
      <c r="AH479" s="411">
        <f t="shared" si="715"/>
        <v>387.14629165947753</v>
      </c>
      <c r="AI479" s="411">
        <f t="shared" si="715"/>
        <v>392.95348603436969</v>
      </c>
      <c r="AJ479" s="411">
        <f t="shared" si="715"/>
        <v>398.84778832488519</v>
      </c>
      <c r="AK479" s="411">
        <f t="shared" si="715"/>
        <v>404.83050514975844</v>
      </c>
      <c r="AL479" s="411">
        <f t="shared" si="715"/>
        <v>410.90296272700476</v>
      </c>
      <c r="AM479" s="411">
        <f t="shared" si="715"/>
        <v>417.06650716790978</v>
      </c>
      <c r="AN479" s="411">
        <f t="shared" si="715"/>
        <v>423.32250477542834</v>
      </c>
      <c r="AO479" s="411">
        <f t="shared" si="715"/>
        <v>429.67234234705967</v>
      </c>
      <c r="AP479" s="411">
        <f t="shared" si="715"/>
        <v>436.1174274822655</v>
      </c>
      <c r="AQ479" s="411">
        <f t="shared" si="715"/>
        <v>442.65918889449944</v>
      </c>
      <c r="AR479" s="411">
        <f t="shared" si="715"/>
        <v>449.29907672791683</v>
      </c>
      <c r="AS479" s="411">
        <f t="shared" si="715"/>
        <v>456.03856287883559</v>
      </c>
      <c r="AT479" s="411">
        <f t="shared" si="715"/>
        <v>462.87914132201809</v>
      </c>
      <c r="AU479" s="411">
        <f t="shared" si="715"/>
        <v>469.8223284418483</v>
      </c>
      <c r="AV479" s="411">
        <f t="shared" si="715"/>
        <v>476.86966336847598</v>
      </c>
      <c r="AW479" s="411">
        <f t="shared" si="715"/>
        <v>484.02270831900302</v>
      </c>
      <c r="AX479" s="411">
        <f t="shared" si="715"/>
        <v>491.283048943788</v>
      </c>
      <c r="AY479" s="411">
        <f t="shared" si="715"/>
        <v>498.65229467794472</v>
      </c>
      <c r="AZ479" s="411">
        <f t="shared" si="715"/>
        <v>506.13207909811388</v>
      </c>
      <c r="BA479" s="411">
        <f t="shared" si="715"/>
        <v>513.72406028458545</v>
      </c>
      <c r="BB479" s="411">
        <f t="shared" si="715"/>
        <v>520.40247306828508</v>
      </c>
      <c r="BC479" s="411">
        <f t="shared" si="715"/>
        <v>526.64730274510453</v>
      </c>
      <c r="BD479" s="411">
        <f t="shared" si="715"/>
        <v>532.4404230753006</v>
      </c>
      <c r="BE479" s="411">
        <f t="shared" si="715"/>
        <v>537.76482730605358</v>
      </c>
      <c r="BF479" s="411">
        <f t="shared" si="715"/>
        <v>543.14247557911415</v>
      </c>
    </row>
    <row r="480" spans="1:58" ht="12" hidden="1" customHeight="1" outlineLevel="2" x14ac:dyDescent="0.3">
      <c r="A480" s="224"/>
      <c r="B480" s="224"/>
      <c r="C480" s="224"/>
      <c r="D480" s="224"/>
      <c r="E480" s="224"/>
      <c r="F480" s="224"/>
      <c r="G480" s="224"/>
      <c r="H480" s="224"/>
      <c r="I480" s="224"/>
      <c r="J480" s="224"/>
      <c r="K480" s="224"/>
      <c r="L480" s="117"/>
      <c r="M480" s="223" t="s">
        <v>980</v>
      </c>
      <c r="N480" s="216" t="s">
        <v>68</v>
      </c>
      <c r="O480" s="415">
        <f t="shared" ref="O480:X480" si="716">IFERROR((O465+O466+O467+O469+O470+O472+O473+O474+O475+O476+O477+O478)/O479,"")</f>
        <v>1</v>
      </c>
      <c r="P480" s="415">
        <f t="shared" si="716"/>
        <v>1</v>
      </c>
      <c r="Q480" s="415">
        <f t="shared" si="716"/>
        <v>1</v>
      </c>
      <c r="R480" s="415">
        <f t="shared" si="716"/>
        <v>1</v>
      </c>
      <c r="S480" s="415">
        <f t="shared" si="716"/>
        <v>1</v>
      </c>
      <c r="T480" s="415">
        <f t="shared" si="716"/>
        <v>1</v>
      </c>
      <c r="U480" s="415">
        <f t="shared" si="716"/>
        <v>1</v>
      </c>
      <c r="V480" s="415">
        <f t="shared" si="716"/>
        <v>1</v>
      </c>
      <c r="W480" s="415">
        <f t="shared" si="716"/>
        <v>1</v>
      </c>
      <c r="X480" s="415">
        <f t="shared" si="716"/>
        <v>1</v>
      </c>
      <c r="Y480" s="394"/>
      <c r="Z480" s="210"/>
      <c r="AA480" s="210"/>
      <c r="AB480" s="415">
        <f>IFERROR((AB465+AB466+AB467+AB469+AB470+AB472+AB473+AB474+AB475+AB476+AB477+AB478)/AB479,"")</f>
        <v>1</v>
      </c>
      <c r="AC480" s="415">
        <f>IFERROR((AC465+AC466+AC467+AC469+AC470+AC472+AC473+AC474+AC475+AC476+AC477+AC478)/AC479,"")</f>
        <v>1</v>
      </c>
      <c r="AD480" s="224"/>
      <c r="AE480" s="224"/>
      <c r="AF480" s="224"/>
      <c r="AG480" s="224"/>
      <c r="AH480" s="224"/>
      <c r="AI480" s="224"/>
      <c r="AJ480" s="224"/>
      <c r="AK480" s="224"/>
      <c r="AL480" s="224"/>
      <c r="AM480" s="224"/>
      <c r="AN480" s="224"/>
      <c r="AO480" s="224"/>
      <c r="AP480" s="224"/>
      <c r="AQ480" s="224"/>
      <c r="AR480" s="224"/>
      <c r="AS480" s="224"/>
      <c r="AT480" s="224"/>
      <c r="AU480" s="224"/>
      <c r="AV480" s="224"/>
      <c r="AW480" s="224"/>
      <c r="AX480" s="224"/>
      <c r="AY480" s="224"/>
      <c r="AZ480" s="224"/>
      <c r="BA480" s="224"/>
      <c r="BB480" s="224"/>
      <c r="BC480" s="224"/>
      <c r="BD480" s="224"/>
      <c r="BE480" s="224"/>
      <c r="BF480" s="224"/>
    </row>
    <row r="481" spans="1:58" ht="12" hidden="1" customHeight="1" outlineLevel="2" x14ac:dyDescent="0.3">
      <c r="A481" s="224"/>
      <c r="B481" s="224"/>
      <c r="C481" s="224"/>
      <c r="D481" s="224"/>
      <c r="E481" s="224"/>
      <c r="F481" s="224"/>
      <c r="G481" s="224"/>
      <c r="H481" s="224"/>
      <c r="I481" s="224"/>
      <c r="J481" s="224"/>
      <c r="K481" s="224"/>
      <c r="L481" s="117"/>
      <c r="M481" s="210"/>
      <c r="N481" s="210"/>
      <c r="O481" s="415">
        <f t="shared" ref="O481:X481" si="717">IFERROR((O464+O468+O471+O476+O477+O478)/O479,"")</f>
        <v>1</v>
      </c>
      <c r="P481" s="415">
        <f t="shared" si="717"/>
        <v>1</v>
      </c>
      <c r="Q481" s="415">
        <f t="shared" si="717"/>
        <v>1</v>
      </c>
      <c r="R481" s="415">
        <f t="shared" si="717"/>
        <v>1</v>
      </c>
      <c r="S481" s="415">
        <f t="shared" si="717"/>
        <v>1</v>
      </c>
      <c r="T481" s="415">
        <f t="shared" si="717"/>
        <v>1</v>
      </c>
      <c r="U481" s="415">
        <f t="shared" si="717"/>
        <v>1</v>
      </c>
      <c r="V481" s="415">
        <f t="shared" si="717"/>
        <v>1</v>
      </c>
      <c r="W481" s="415">
        <f t="shared" si="717"/>
        <v>1</v>
      </c>
      <c r="X481" s="415">
        <f t="shared" si="717"/>
        <v>1</v>
      </c>
      <c r="Y481" s="394"/>
      <c r="Z481" s="210"/>
      <c r="AA481" s="210"/>
      <c r="AB481" s="415">
        <f>IFERROR((AB464+AB468+AB471+AB476+AB477+AB478)/AB479,"")</f>
        <v>1</v>
      </c>
      <c r="AC481" s="415">
        <f>IFERROR((AC464+AC468+AC471+AC476+AC477+AC478)/AC479,"")</f>
        <v>1</v>
      </c>
      <c r="AD481" s="224"/>
      <c r="AE481" s="224"/>
      <c r="AF481" s="224"/>
      <c r="AG481" s="224"/>
      <c r="AH481" s="224"/>
      <c r="AI481" s="224"/>
      <c r="AJ481" s="224"/>
      <c r="AK481" s="224"/>
      <c r="AL481" s="224"/>
      <c r="AM481" s="224"/>
      <c r="AN481" s="224"/>
      <c r="AO481" s="224"/>
      <c r="AP481" s="224"/>
      <c r="AQ481" s="224"/>
      <c r="AR481" s="224"/>
      <c r="AS481" s="224"/>
      <c r="AT481" s="224"/>
      <c r="AU481" s="224"/>
      <c r="AV481" s="224"/>
      <c r="AW481" s="224"/>
      <c r="AX481" s="224"/>
      <c r="AY481" s="224"/>
      <c r="AZ481" s="224"/>
      <c r="BA481" s="224"/>
      <c r="BB481" s="224"/>
      <c r="BC481" s="224"/>
      <c r="BD481" s="224"/>
      <c r="BE481" s="224"/>
      <c r="BF481" s="224"/>
    </row>
    <row r="482" spans="1:58" ht="12" hidden="1" customHeight="1" outlineLevel="2" x14ac:dyDescent="0.3">
      <c r="A482" s="224"/>
      <c r="B482" s="224"/>
      <c r="C482" s="224"/>
      <c r="D482" s="224"/>
      <c r="E482" s="224"/>
      <c r="F482" s="224"/>
      <c r="G482" s="224"/>
      <c r="H482" s="224"/>
      <c r="I482" s="224"/>
      <c r="J482" s="224"/>
      <c r="K482" s="224"/>
      <c r="L482" s="117"/>
      <c r="M482" s="211" t="s">
        <v>1063</v>
      </c>
      <c r="N482" s="210"/>
      <c r="O482" s="210"/>
      <c r="P482" s="210"/>
      <c r="Q482" s="210"/>
      <c r="R482" s="210"/>
      <c r="S482" s="210"/>
      <c r="T482" s="210"/>
      <c r="U482" s="210"/>
      <c r="V482" s="210"/>
      <c r="W482" s="210"/>
      <c r="X482" s="210"/>
      <c r="Y482" s="394"/>
      <c r="Z482" s="210"/>
      <c r="AA482" s="210"/>
      <c r="AB482" s="210"/>
      <c r="AC482" s="210"/>
      <c r="AD482" s="224"/>
      <c r="AE482" s="224"/>
      <c r="AF482" s="224"/>
      <c r="AG482" s="224"/>
      <c r="AH482" s="224"/>
      <c r="AI482" s="224"/>
      <c r="AJ482" s="224"/>
      <c r="AK482" s="224"/>
      <c r="AL482" s="224"/>
      <c r="AM482" s="224"/>
      <c r="AN482" s="224"/>
      <c r="AO482" s="224"/>
      <c r="AP482" s="224"/>
      <c r="AQ482" s="224"/>
      <c r="AR482" s="224"/>
      <c r="AS482" s="224"/>
      <c r="AT482" s="224"/>
      <c r="AU482" s="224"/>
      <c r="AV482" s="224"/>
      <c r="AW482" s="224"/>
      <c r="AX482" s="224"/>
      <c r="AY482" s="224"/>
      <c r="AZ482" s="224"/>
      <c r="BA482" s="224"/>
      <c r="BB482" s="224"/>
      <c r="BC482" s="224"/>
      <c r="BD482" s="224"/>
      <c r="BE482" s="224"/>
      <c r="BF482" s="224"/>
    </row>
    <row r="483" spans="1:58" ht="12" hidden="1" customHeight="1" outlineLevel="2" x14ac:dyDescent="0.3">
      <c r="A483" s="224"/>
      <c r="B483" s="224"/>
      <c r="C483" s="224"/>
      <c r="D483" s="224"/>
      <c r="E483" s="224"/>
      <c r="F483" s="224"/>
      <c r="G483" s="224"/>
      <c r="H483" s="224"/>
      <c r="I483" s="224"/>
      <c r="J483" s="224"/>
      <c r="K483" s="224"/>
      <c r="L483" s="117"/>
      <c r="M483" s="210" t="s">
        <v>1064</v>
      </c>
      <c r="N483" s="244" t="s">
        <v>77</v>
      </c>
      <c r="O483" s="409">
        <f>SUM(O484:O486)</f>
        <v>11.749999999999998</v>
      </c>
      <c r="P483" s="409">
        <f t="shared" ref="P483" si="718">SUM(P484:P486)</f>
        <v>10.894444444444444</v>
      </c>
      <c r="Q483" s="409">
        <f t="shared" ref="Q483" si="719">SUM(Q484:Q486)</f>
        <v>22.644444444444442</v>
      </c>
      <c r="R483" s="409">
        <f t="shared" ref="R483" si="720">SUM(R484:R486)</f>
        <v>22.644444444444442</v>
      </c>
      <c r="S483" s="409">
        <f t="shared" ref="S483" si="721">SUM(S484:S486)</f>
        <v>11.749999999999998</v>
      </c>
      <c r="T483" s="409">
        <f t="shared" ref="T483" si="722">SUM(T484:T486)</f>
        <v>11.749999999999998</v>
      </c>
      <c r="U483" s="409">
        <f t="shared" ref="U483" si="723">SUM(U484:U486)</f>
        <v>11.749999999999998</v>
      </c>
      <c r="V483" s="409">
        <f t="shared" ref="V483" si="724">SUM(V484:V486)</f>
        <v>11.749999999999998</v>
      </c>
      <c r="W483" s="409">
        <f t="shared" ref="W483" si="725">SUM(W484:W486)</f>
        <v>11.749999999999998</v>
      </c>
      <c r="X483" s="409">
        <f t="shared" ref="X483" si="726">SUM(X484:X486)</f>
        <v>1.175</v>
      </c>
      <c r="Y483" s="394"/>
      <c r="Z483" s="210"/>
      <c r="AA483" s="210"/>
      <c r="AB483" s="409">
        <f t="shared" ref="AB483" si="727">SUM(AB484:AB486)</f>
        <v>0.83333333333333326</v>
      </c>
      <c r="AC483" s="410">
        <f t="shared" ref="AC483" si="728">SUM(AC484:AC486)</f>
        <v>0.83333333333333326</v>
      </c>
      <c r="AD483" s="411">
        <f>AB483*AD$264/$AB$264</f>
        <v>0.84166666666666667</v>
      </c>
      <c r="AE483" s="411">
        <f>AD483*AE$264/AD$264</f>
        <v>0.85176666666666678</v>
      </c>
      <c r="AF483" s="411">
        <f t="shared" ref="AF483:BF483" si="729">AE483*AF$264/AE$264</f>
        <v>0.86454316666666675</v>
      </c>
      <c r="AG483" s="411">
        <f t="shared" si="729"/>
        <v>0.87751131416666661</v>
      </c>
      <c r="AH483" s="411">
        <f t="shared" si="729"/>
        <v>0.89067398387916652</v>
      </c>
      <c r="AI483" s="411">
        <f t="shared" si="729"/>
        <v>0.90403409363735387</v>
      </c>
      <c r="AJ483" s="411">
        <f t="shared" si="729"/>
        <v>0.91759460504191415</v>
      </c>
      <c r="AK483" s="411">
        <f t="shared" si="729"/>
        <v>0.93135852411754272</v>
      </c>
      <c r="AL483" s="411">
        <f t="shared" si="729"/>
        <v>0.94532890197930564</v>
      </c>
      <c r="AM483" s="411">
        <f t="shared" si="729"/>
        <v>0.95950883550899513</v>
      </c>
      <c r="AN483" s="411">
        <f t="shared" si="729"/>
        <v>0.97390146804163003</v>
      </c>
      <c r="AO483" s="411">
        <f t="shared" si="729"/>
        <v>0.98850999006225448</v>
      </c>
      <c r="AP483" s="411">
        <f t="shared" si="729"/>
        <v>1.0033376399131884</v>
      </c>
      <c r="AQ483" s="411">
        <f t="shared" si="729"/>
        <v>1.0183877045118861</v>
      </c>
      <c r="AR483" s="411">
        <f t="shared" si="729"/>
        <v>1.0336635200795643</v>
      </c>
      <c r="AS483" s="411">
        <f t="shared" si="729"/>
        <v>1.0491684728807578</v>
      </c>
      <c r="AT483" s="411">
        <f t="shared" si="729"/>
        <v>1.064905999973969</v>
      </c>
      <c r="AU483" s="411">
        <f t="shared" si="729"/>
        <v>1.0808795899735784</v>
      </c>
      <c r="AV483" s="411">
        <f t="shared" si="729"/>
        <v>1.0970927838231819</v>
      </c>
      <c r="AW483" s="411">
        <f t="shared" si="729"/>
        <v>1.1135491755805296</v>
      </c>
      <c r="AX483" s="411">
        <f t="shared" si="729"/>
        <v>1.1302524132142375</v>
      </c>
      <c r="AY483" s="411">
        <f t="shared" si="729"/>
        <v>1.1472061994124509</v>
      </c>
      <c r="AZ483" s="411">
        <f t="shared" si="729"/>
        <v>1.1644142924036376</v>
      </c>
      <c r="BA483" s="411">
        <f t="shared" si="729"/>
        <v>1.181880506789692</v>
      </c>
      <c r="BB483" s="411">
        <f t="shared" si="729"/>
        <v>1.1972449533779579</v>
      </c>
      <c r="BC483" s="411">
        <f t="shared" si="729"/>
        <v>1.2116118928184934</v>
      </c>
      <c r="BD483" s="411">
        <f t="shared" si="729"/>
        <v>1.2249396236394967</v>
      </c>
      <c r="BE483" s="411">
        <f t="shared" si="729"/>
        <v>1.2371890198758917</v>
      </c>
      <c r="BF483" s="411">
        <f t="shared" si="729"/>
        <v>1.2495609100746505</v>
      </c>
    </row>
    <row r="484" spans="1:58" ht="12" hidden="1" customHeight="1" outlineLevel="2" x14ac:dyDescent="0.3">
      <c r="A484" s="224"/>
      <c r="B484" s="224"/>
      <c r="C484" s="224"/>
      <c r="D484" s="224"/>
      <c r="E484" s="224"/>
      <c r="F484" s="224"/>
      <c r="G484" s="224"/>
      <c r="H484" s="224"/>
      <c r="I484" s="224"/>
      <c r="J484" s="224"/>
      <c r="K484" s="224"/>
      <c r="L484" s="117"/>
      <c r="M484" s="213" t="s">
        <v>964</v>
      </c>
      <c r="N484" s="244" t="s">
        <v>77</v>
      </c>
      <c r="O484" s="150">
        <v>11.749999999999998</v>
      </c>
      <c r="P484" s="150">
        <v>0</v>
      </c>
      <c r="Q484" s="150">
        <v>11.749999999999998</v>
      </c>
      <c r="R484" s="150">
        <v>11.749999999999998</v>
      </c>
      <c r="S484" s="150">
        <v>11.749999999999998</v>
      </c>
      <c r="T484" s="150">
        <v>11.749999999999998</v>
      </c>
      <c r="U484" s="150">
        <v>11.749999999999998</v>
      </c>
      <c r="V484" s="150">
        <v>11.749999999999998</v>
      </c>
      <c r="W484" s="150">
        <v>11.749999999999998</v>
      </c>
      <c r="X484" s="150">
        <v>1.175</v>
      </c>
      <c r="Y484" s="394"/>
      <c r="Z484" s="246"/>
      <c r="AA484" s="246"/>
      <c r="AB484" s="150">
        <v>0.83333333333333326</v>
      </c>
      <c r="AC484" s="153">
        <v>0.83333333333333326</v>
      </c>
      <c r="AD484" s="412"/>
      <c r="AE484" s="412"/>
      <c r="AF484" s="412"/>
      <c r="AG484" s="412"/>
      <c r="AH484" s="412"/>
      <c r="AI484" s="412"/>
      <c r="AJ484" s="412"/>
      <c r="AK484" s="412"/>
      <c r="AL484" s="412"/>
      <c r="AM484" s="412"/>
      <c r="AN484" s="412"/>
      <c r="AO484" s="412"/>
      <c r="AP484" s="412"/>
      <c r="AQ484" s="412"/>
      <c r="AR484" s="412"/>
      <c r="AS484" s="412"/>
      <c r="AT484" s="412"/>
      <c r="AU484" s="412"/>
      <c r="AV484" s="412"/>
      <c r="AW484" s="412"/>
      <c r="AX484" s="412"/>
      <c r="AY484" s="412"/>
      <c r="AZ484" s="412"/>
      <c r="BA484" s="412"/>
      <c r="BB484" s="412"/>
      <c r="BC484" s="412"/>
      <c r="BD484" s="412"/>
      <c r="BE484" s="412"/>
      <c r="BF484" s="412"/>
    </row>
    <row r="485" spans="1:58" ht="12" hidden="1" customHeight="1" outlineLevel="2" x14ac:dyDescent="0.3">
      <c r="A485" s="224"/>
      <c r="B485" s="224"/>
      <c r="C485" s="224"/>
      <c r="D485" s="224"/>
      <c r="E485" s="224"/>
      <c r="F485" s="224"/>
      <c r="G485" s="224"/>
      <c r="H485" s="224"/>
      <c r="I485" s="224"/>
      <c r="J485" s="224"/>
      <c r="K485" s="224"/>
      <c r="L485" s="117"/>
      <c r="M485" s="213" t="s">
        <v>965</v>
      </c>
      <c r="N485" s="244" t="s">
        <v>77</v>
      </c>
      <c r="O485" s="150">
        <v>0</v>
      </c>
      <c r="P485" s="150">
        <v>10.894444444444444</v>
      </c>
      <c r="Q485" s="150">
        <v>10.894444444444444</v>
      </c>
      <c r="R485" s="150">
        <v>10.894444444444444</v>
      </c>
      <c r="S485" s="150">
        <v>0</v>
      </c>
      <c r="T485" s="150">
        <v>0</v>
      </c>
      <c r="U485" s="150">
        <v>0</v>
      </c>
      <c r="V485" s="150">
        <v>0</v>
      </c>
      <c r="W485" s="150">
        <v>0</v>
      </c>
      <c r="X485" s="150">
        <v>0</v>
      </c>
      <c r="Y485" s="394"/>
      <c r="Z485" s="246"/>
      <c r="AA485" s="246"/>
      <c r="AB485" s="150">
        <v>0</v>
      </c>
      <c r="AC485" s="153">
        <v>0</v>
      </c>
      <c r="AD485" s="412"/>
      <c r="AE485" s="412"/>
      <c r="AF485" s="412"/>
      <c r="AG485" s="412"/>
      <c r="AH485" s="412"/>
      <c r="AI485" s="412"/>
      <c r="AJ485" s="412"/>
      <c r="AK485" s="412"/>
      <c r="AL485" s="412"/>
      <c r="AM485" s="412"/>
      <c r="AN485" s="412"/>
      <c r="AO485" s="412"/>
      <c r="AP485" s="412"/>
      <c r="AQ485" s="412"/>
      <c r="AR485" s="412"/>
      <c r="AS485" s="412"/>
      <c r="AT485" s="412"/>
      <c r="AU485" s="412"/>
      <c r="AV485" s="412"/>
      <c r="AW485" s="412"/>
      <c r="AX485" s="412"/>
      <c r="AY485" s="412"/>
      <c r="AZ485" s="412"/>
      <c r="BA485" s="412"/>
      <c r="BB485" s="412"/>
      <c r="BC485" s="412"/>
      <c r="BD485" s="412"/>
      <c r="BE485" s="412"/>
      <c r="BF485" s="412"/>
    </row>
    <row r="486" spans="1:58" ht="12" hidden="1" customHeight="1" outlineLevel="2" x14ac:dyDescent="0.3">
      <c r="A486" s="224"/>
      <c r="B486" s="224"/>
      <c r="C486" s="224"/>
      <c r="D486" s="224"/>
      <c r="E486" s="224"/>
      <c r="F486" s="224"/>
      <c r="G486" s="224"/>
      <c r="H486" s="224"/>
      <c r="I486" s="224"/>
      <c r="J486" s="224"/>
      <c r="K486" s="224"/>
      <c r="L486" s="117"/>
      <c r="M486" s="213" t="s">
        <v>966</v>
      </c>
      <c r="N486" s="244" t="s">
        <v>77</v>
      </c>
      <c r="O486" s="150">
        <v>0</v>
      </c>
      <c r="P486" s="150">
        <v>0</v>
      </c>
      <c r="Q486" s="150">
        <v>0</v>
      </c>
      <c r="R486" s="150">
        <v>0</v>
      </c>
      <c r="S486" s="150">
        <v>0</v>
      </c>
      <c r="T486" s="150">
        <v>0</v>
      </c>
      <c r="U486" s="150">
        <v>0</v>
      </c>
      <c r="V486" s="150">
        <v>0</v>
      </c>
      <c r="W486" s="150">
        <v>0</v>
      </c>
      <c r="X486" s="150">
        <v>0</v>
      </c>
      <c r="Y486" s="394"/>
      <c r="Z486" s="246"/>
      <c r="AA486" s="246"/>
      <c r="AB486" s="150">
        <v>0</v>
      </c>
      <c r="AC486" s="153">
        <v>0</v>
      </c>
      <c r="AD486" s="412"/>
      <c r="AE486" s="412"/>
      <c r="AF486" s="412"/>
      <c r="AG486" s="412"/>
      <c r="AH486" s="412"/>
      <c r="AI486" s="412"/>
      <c r="AJ486" s="412"/>
      <c r="AK486" s="412"/>
      <c r="AL486" s="412"/>
      <c r="AM486" s="412"/>
      <c r="AN486" s="412"/>
      <c r="AO486" s="412"/>
      <c r="AP486" s="412"/>
      <c r="AQ486" s="412"/>
      <c r="AR486" s="412"/>
      <c r="AS486" s="412"/>
      <c r="AT486" s="412"/>
      <c r="AU486" s="412"/>
      <c r="AV486" s="412"/>
      <c r="AW486" s="412"/>
      <c r="AX486" s="412"/>
      <c r="AY486" s="412"/>
      <c r="AZ486" s="412"/>
      <c r="BA486" s="412"/>
      <c r="BB486" s="412"/>
      <c r="BC486" s="412"/>
      <c r="BD486" s="412"/>
      <c r="BE486" s="412"/>
      <c r="BF486" s="412"/>
    </row>
    <row r="487" spans="1:58" ht="12" hidden="1" customHeight="1" outlineLevel="2" x14ac:dyDescent="0.3">
      <c r="A487" s="224"/>
      <c r="B487" s="224"/>
      <c r="C487" s="224"/>
      <c r="D487" s="224"/>
      <c r="E487" s="224"/>
      <c r="F487" s="224"/>
      <c r="G487" s="224"/>
      <c r="H487" s="224"/>
      <c r="I487" s="224"/>
      <c r="J487" s="224"/>
      <c r="K487" s="224"/>
      <c r="L487" s="117"/>
      <c r="M487" s="210" t="s">
        <v>1065</v>
      </c>
      <c r="N487" s="244" t="s">
        <v>77</v>
      </c>
      <c r="O487" s="409">
        <f>SUM(O488:O489)</f>
        <v>14.269937226185252</v>
      </c>
      <c r="P487" s="409">
        <f t="shared" ref="P487" si="730">SUM(P488:P489)</f>
        <v>15.020986553879212</v>
      </c>
      <c r="Q487" s="409">
        <f t="shared" ref="Q487" si="731">SUM(Q488:Q489)</f>
        <v>18.525883416451027</v>
      </c>
      <c r="R487" s="409">
        <f t="shared" ref="R487" si="732">SUM(R488:R489)</f>
        <v>23.032179382614796</v>
      </c>
      <c r="S487" s="409">
        <f t="shared" ref="S487" si="733">SUM(S488:S489)</f>
        <v>21.530080727226874</v>
      </c>
      <c r="T487" s="409">
        <f t="shared" ref="T487" si="734">SUM(T488:T489)</f>
        <v>24.283928262104727</v>
      </c>
      <c r="U487" s="409">
        <f t="shared" ref="U487" si="735">SUM(U488:U489)</f>
        <v>23.032179382614796</v>
      </c>
      <c r="V487" s="409">
        <f t="shared" ref="V487" si="736">SUM(V488:V489)</f>
        <v>22.030780279022842</v>
      </c>
      <c r="W487" s="409">
        <f t="shared" ref="W487" si="737">SUM(W488:W489)</f>
        <v>19.539171351278732</v>
      </c>
      <c r="X487" s="409">
        <f t="shared" ref="X487" si="738">SUM(X488:X489)</f>
        <v>12.771680366992122</v>
      </c>
      <c r="Y487" s="394"/>
      <c r="Z487" s="220"/>
      <c r="AA487" s="220"/>
      <c r="AB487" s="409">
        <f t="shared" ref="AB487" si="739">SUM(AB488:AB489)</f>
        <v>8.6111111111111125</v>
      </c>
      <c r="AC487" s="410">
        <f t="shared" ref="AC487" si="740">SUM(AC488:AC489)</f>
        <v>9.7222222222222214</v>
      </c>
      <c r="AD487" s="411">
        <f>AB487*AD$264/$AB$264</f>
        <v>8.6972222222222246</v>
      </c>
      <c r="AE487" s="411">
        <f>AD487*AE$264/AD$264</f>
        <v>8.801588888888892</v>
      </c>
      <c r="AF487" s="411">
        <f t="shared" ref="AF487:BF487" si="741">AE487*AF$264/AE$264</f>
        <v>8.9336127222222252</v>
      </c>
      <c r="AG487" s="411">
        <f t="shared" si="741"/>
        <v>9.0676169130555575</v>
      </c>
      <c r="AH487" s="411">
        <f t="shared" si="741"/>
        <v>9.2036311667513893</v>
      </c>
      <c r="AI487" s="411">
        <f t="shared" si="741"/>
        <v>9.3416856342526593</v>
      </c>
      <c r="AJ487" s="411">
        <f t="shared" si="741"/>
        <v>9.481810918766449</v>
      </c>
      <c r="AK487" s="411">
        <f t="shared" si="741"/>
        <v>9.6240380825479459</v>
      </c>
      <c r="AL487" s="411">
        <f t="shared" si="741"/>
        <v>9.7683986537861625</v>
      </c>
      <c r="AM487" s="411">
        <f t="shared" si="741"/>
        <v>9.9149246335929533</v>
      </c>
      <c r="AN487" s="411">
        <f t="shared" si="741"/>
        <v>10.063648503096847</v>
      </c>
      <c r="AO487" s="411">
        <f t="shared" si="741"/>
        <v>10.214603230643299</v>
      </c>
      <c r="AP487" s="411">
        <f t="shared" si="741"/>
        <v>10.367822279102946</v>
      </c>
      <c r="AQ487" s="411">
        <f t="shared" si="741"/>
        <v>10.52333961328949</v>
      </c>
      <c r="AR487" s="411">
        <f t="shared" si="741"/>
        <v>10.681189707488832</v>
      </c>
      <c r="AS487" s="411">
        <f t="shared" si="741"/>
        <v>10.841407553101163</v>
      </c>
      <c r="AT487" s="411">
        <f t="shared" si="741"/>
        <v>11.00402866639768</v>
      </c>
      <c r="AU487" s="411">
        <f t="shared" si="741"/>
        <v>11.169089096393645</v>
      </c>
      <c r="AV487" s="411">
        <f t="shared" si="741"/>
        <v>11.336625432839547</v>
      </c>
      <c r="AW487" s="411">
        <f t="shared" si="741"/>
        <v>11.506674814332138</v>
      </c>
      <c r="AX487" s="411">
        <f t="shared" si="741"/>
        <v>11.67927493654712</v>
      </c>
      <c r="AY487" s="411">
        <f t="shared" si="741"/>
        <v>11.854464060595328</v>
      </c>
      <c r="AZ487" s="411">
        <f t="shared" si="741"/>
        <v>12.032281021504257</v>
      </c>
      <c r="BA487" s="411">
        <f t="shared" si="741"/>
        <v>12.212765236826819</v>
      </c>
      <c r="BB487" s="411">
        <f t="shared" si="741"/>
        <v>12.371531184905566</v>
      </c>
      <c r="BC487" s="411">
        <f t="shared" si="741"/>
        <v>12.519989559124433</v>
      </c>
      <c r="BD487" s="411">
        <f t="shared" si="741"/>
        <v>12.657709444274801</v>
      </c>
      <c r="BE487" s="411">
        <f t="shared" si="741"/>
        <v>12.784286538717547</v>
      </c>
      <c r="BF487" s="411">
        <f t="shared" si="741"/>
        <v>12.912129404104721</v>
      </c>
    </row>
    <row r="488" spans="1:58" ht="12" hidden="1" customHeight="1" outlineLevel="2" x14ac:dyDescent="0.3">
      <c r="A488" s="224"/>
      <c r="B488" s="224"/>
      <c r="C488" s="224"/>
      <c r="D488" s="224"/>
      <c r="E488" s="224"/>
      <c r="F488" s="224"/>
      <c r="G488" s="224"/>
      <c r="H488" s="224"/>
      <c r="I488" s="224"/>
      <c r="J488" s="224"/>
      <c r="K488" s="224"/>
      <c r="L488" s="117"/>
      <c r="M488" s="213" t="s">
        <v>968</v>
      </c>
      <c r="N488" s="244" t="s">
        <v>77</v>
      </c>
      <c r="O488" s="150">
        <v>14.269937226185252</v>
      </c>
      <c r="P488" s="150">
        <v>15.020986553879212</v>
      </c>
      <c r="Q488" s="150">
        <v>18.525883416451027</v>
      </c>
      <c r="R488" s="150">
        <v>23.032179382614796</v>
      </c>
      <c r="S488" s="150">
        <v>21.530080727226874</v>
      </c>
      <c r="T488" s="150">
        <v>24.283928262104727</v>
      </c>
      <c r="U488" s="150">
        <v>23.032179382614796</v>
      </c>
      <c r="V488" s="150">
        <v>22.030780279022842</v>
      </c>
      <c r="W488" s="150">
        <v>19.539171351278732</v>
      </c>
      <c r="X488" s="150">
        <v>12.771680366992122</v>
      </c>
      <c r="Y488" s="394"/>
      <c r="Z488" s="246"/>
      <c r="AA488" s="246"/>
      <c r="AB488" s="150">
        <v>8.6111111111111125</v>
      </c>
      <c r="AC488" s="153">
        <v>9.7222222222222214</v>
      </c>
      <c r="AD488" s="412"/>
      <c r="AE488" s="412"/>
      <c r="AF488" s="412"/>
      <c r="AG488" s="412"/>
      <c r="AH488" s="412"/>
      <c r="AI488" s="412"/>
      <c r="AJ488" s="412"/>
      <c r="AK488" s="412"/>
      <c r="AL488" s="412"/>
      <c r="AM488" s="412"/>
      <c r="AN488" s="412"/>
      <c r="AO488" s="412"/>
      <c r="AP488" s="412"/>
      <c r="AQ488" s="412"/>
      <c r="AR488" s="412"/>
      <c r="AS488" s="412"/>
      <c r="AT488" s="412"/>
      <c r="AU488" s="412"/>
      <c r="AV488" s="412"/>
      <c r="AW488" s="412"/>
      <c r="AX488" s="412"/>
      <c r="AY488" s="412"/>
      <c r="AZ488" s="412"/>
      <c r="BA488" s="412"/>
      <c r="BB488" s="412"/>
      <c r="BC488" s="412"/>
      <c r="BD488" s="412"/>
      <c r="BE488" s="412"/>
      <c r="BF488" s="412"/>
    </row>
    <row r="489" spans="1:58" ht="12" hidden="1" customHeight="1" outlineLevel="2" x14ac:dyDescent="0.3">
      <c r="A489" s="224"/>
      <c r="B489" s="224"/>
      <c r="C489" s="224"/>
      <c r="D489" s="224"/>
      <c r="E489" s="224"/>
      <c r="F489" s="224"/>
      <c r="G489" s="224"/>
      <c r="H489" s="224"/>
      <c r="I489" s="224"/>
      <c r="J489" s="224"/>
      <c r="K489" s="224"/>
      <c r="L489" s="117"/>
      <c r="M489" s="213" t="s">
        <v>969</v>
      </c>
      <c r="N489" s="244" t="s">
        <v>77</v>
      </c>
      <c r="O489" s="150">
        <v>0</v>
      </c>
      <c r="P489" s="150">
        <v>0</v>
      </c>
      <c r="Q489" s="150">
        <v>0</v>
      </c>
      <c r="R489" s="150">
        <v>0</v>
      </c>
      <c r="S489" s="150">
        <v>0</v>
      </c>
      <c r="T489" s="150">
        <v>0</v>
      </c>
      <c r="U489" s="150">
        <v>0</v>
      </c>
      <c r="V489" s="150">
        <v>0</v>
      </c>
      <c r="W489" s="150">
        <v>0</v>
      </c>
      <c r="X489" s="150">
        <v>0</v>
      </c>
      <c r="Y489" s="394"/>
      <c r="Z489" s="246"/>
      <c r="AA489" s="246"/>
      <c r="AB489" s="150">
        <v>0</v>
      </c>
      <c r="AC489" s="153">
        <v>0</v>
      </c>
      <c r="AD489" s="412"/>
      <c r="AE489" s="412"/>
      <c r="AF489" s="412"/>
      <c r="AG489" s="412"/>
      <c r="AH489" s="412"/>
      <c r="AI489" s="412"/>
      <c r="AJ489" s="412"/>
      <c r="AK489" s="412"/>
      <c r="AL489" s="412"/>
      <c r="AM489" s="412"/>
      <c r="AN489" s="412"/>
      <c r="AO489" s="412"/>
      <c r="AP489" s="412"/>
      <c r="AQ489" s="412"/>
      <c r="AR489" s="412"/>
      <c r="AS489" s="412"/>
      <c r="AT489" s="412"/>
      <c r="AU489" s="412"/>
      <c r="AV489" s="412"/>
      <c r="AW489" s="412"/>
      <c r="AX489" s="412"/>
      <c r="AY489" s="412"/>
      <c r="AZ489" s="412"/>
      <c r="BA489" s="412"/>
      <c r="BB489" s="412"/>
      <c r="BC489" s="412"/>
      <c r="BD489" s="412"/>
      <c r="BE489" s="412"/>
      <c r="BF489" s="412"/>
    </row>
    <row r="490" spans="1:58" ht="12" hidden="1" customHeight="1" outlineLevel="2" x14ac:dyDescent="0.3">
      <c r="A490" s="224"/>
      <c r="B490" s="224"/>
      <c r="C490" s="224"/>
      <c r="D490" s="224"/>
      <c r="E490" s="224"/>
      <c r="F490" s="224"/>
      <c r="G490" s="224"/>
      <c r="H490" s="224"/>
      <c r="I490" s="224"/>
      <c r="J490" s="224"/>
      <c r="K490" s="224"/>
      <c r="L490" s="117"/>
      <c r="M490" s="210" t="s">
        <v>1066</v>
      </c>
      <c r="N490" s="244" t="s">
        <v>77</v>
      </c>
      <c r="O490" s="409">
        <f>SUM(O491:O494)</f>
        <v>0</v>
      </c>
      <c r="P490" s="409">
        <f t="shared" ref="P490" si="742">SUM(P491:P494)</f>
        <v>0</v>
      </c>
      <c r="Q490" s="409">
        <f t="shared" ref="Q490" si="743">SUM(Q491:Q494)</f>
        <v>0</v>
      </c>
      <c r="R490" s="409">
        <f t="shared" ref="R490" si="744">SUM(R491:R494)</f>
        <v>0</v>
      </c>
      <c r="S490" s="409">
        <f t="shared" ref="S490" si="745">SUM(S491:S494)</f>
        <v>0</v>
      </c>
      <c r="T490" s="409">
        <f t="shared" ref="T490" si="746">SUM(T491:T494)</f>
        <v>0</v>
      </c>
      <c r="U490" s="409">
        <f t="shared" ref="U490" si="747">SUM(U491:U494)</f>
        <v>0</v>
      </c>
      <c r="V490" s="409">
        <f t="shared" ref="V490" si="748">SUM(V491:V494)</f>
        <v>0</v>
      </c>
      <c r="W490" s="409">
        <f t="shared" ref="W490" si="749">SUM(W491:W494)</f>
        <v>0</v>
      </c>
      <c r="X490" s="409">
        <f t="shared" ref="X490" si="750">SUM(X491:X494)</f>
        <v>0</v>
      </c>
      <c r="Y490" s="394"/>
      <c r="Z490" s="220"/>
      <c r="AA490" s="220"/>
      <c r="AB490" s="409">
        <f t="shared" ref="AB490" si="751">SUM(AB491:AB494)</f>
        <v>0</v>
      </c>
      <c r="AC490" s="410">
        <f t="shared" ref="AC490" si="752">SUM(AC491:AC494)</f>
        <v>0</v>
      </c>
      <c r="AD490" s="411">
        <f>AB490*AD$264/$AB$264</f>
        <v>0</v>
      </c>
      <c r="AE490" s="411">
        <f>AD490*AE$264/AD$264</f>
        <v>0</v>
      </c>
      <c r="AF490" s="411">
        <f t="shared" ref="AF490:BF490" si="753">AE490*AF$264/AE$264</f>
        <v>0</v>
      </c>
      <c r="AG490" s="411">
        <f t="shared" si="753"/>
        <v>0</v>
      </c>
      <c r="AH490" s="411">
        <f t="shared" si="753"/>
        <v>0</v>
      </c>
      <c r="AI490" s="411">
        <f t="shared" si="753"/>
        <v>0</v>
      </c>
      <c r="AJ490" s="411">
        <f t="shared" si="753"/>
        <v>0</v>
      </c>
      <c r="AK490" s="411">
        <f t="shared" si="753"/>
        <v>0</v>
      </c>
      <c r="AL490" s="411">
        <f t="shared" si="753"/>
        <v>0</v>
      </c>
      <c r="AM490" s="411">
        <f t="shared" si="753"/>
        <v>0</v>
      </c>
      <c r="AN490" s="411">
        <f t="shared" si="753"/>
        <v>0</v>
      </c>
      <c r="AO490" s="411">
        <f t="shared" si="753"/>
        <v>0</v>
      </c>
      <c r="AP490" s="411">
        <f t="shared" si="753"/>
        <v>0</v>
      </c>
      <c r="AQ490" s="411">
        <f t="shared" si="753"/>
        <v>0</v>
      </c>
      <c r="AR490" s="411">
        <f t="shared" si="753"/>
        <v>0</v>
      </c>
      <c r="AS490" s="411">
        <f t="shared" si="753"/>
        <v>0</v>
      </c>
      <c r="AT490" s="411">
        <f t="shared" si="753"/>
        <v>0</v>
      </c>
      <c r="AU490" s="411">
        <f t="shared" si="753"/>
        <v>0</v>
      </c>
      <c r="AV490" s="411">
        <f t="shared" si="753"/>
        <v>0</v>
      </c>
      <c r="AW490" s="411">
        <f t="shared" si="753"/>
        <v>0</v>
      </c>
      <c r="AX490" s="411">
        <f t="shared" si="753"/>
        <v>0</v>
      </c>
      <c r="AY490" s="411">
        <f t="shared" si="753"/>
        <v>0</v>
      </c>
      <c r="AZ490" s="411">
        <f t="shared" si="753"/>
        <v>0</v>
      </c>
      <c r="BA490" s="411">
        <f t="shared" si="753"/>
        <v>0</v>
      </c>
      <c r="BB490" s="411">
        <f t="shared" si="753"/>
        <v>0</v>
      </c>
      <c r="BC490" s="411">
        <f t="shared" si="753"/>
        <v>0</v>
      </c>
      <c r="BD490" s="411">
        <f t="shared" si="753"/>
        <v>0</v>
      </c>
      <c r="BE490" s="411">
        <f t="shared" si="753"/>
        <v>0</v>
      </c>
      <c r="BF490" s="411">
        <f t="shared" si="753"/>
        <v>0</v>
      </c>
    </row>
    <row r="491" spans="1:58" ht="12" hidden="1" customHeight="1" outlineLevel="2" x14ac:dyDescent="0.3">
      <c r="A491" s="224"/>
      <c r="B491" s="224"/>
      <c r="C491" s="224"/>
      <c r="D491" s="224"/>
      <c r="E491" s="224"/>
      <c r="F491" s="224"/>
      <c r="G491" s="224"/>
      <c r="H491" s="224"/>
      <c r="I491" s="224"/>
      <c r="J491" s="224"/>
      <c r="K491" s="224"/>
      <c r="L491" s="117"/>
      <c r="M491" s="213" t="s">
        <v>971</v>
      </c>
      <c r="N491" s="244" t="s">
        <v>77</v>
      </c>
      <c r="O491" s="150">
        <v>0</v>
      </c>
      <c r="P491" s="150">
        <v>0</v>
      </c>
      <c r="Q491" s="150">
        <v>0</v>
      </c>
      <c r="R491" s="150">
        <v>0</v>
      </c>
      <c r="S491" s="150">
        <v>0</v>
      </c>
      <c r="T491" s="150">
        <v>0</v>
      </c>
      <c r="U491" s="150">
        <v>0</v>
      </c>
      <c r="V491" s="150">
        <v>0</v>
      </c>
      <c r="W491" s="150">
        <v>0</v>
      </c>
      <c r="X491" s="150">
        <v>0</v>
      </c>
      <c r="Y491" s="394"/>
      <c r="Z491" s="246"/>
      <c r="AA491" s="246"/>
      <c r="AB491" s="150">
        <v>0</v>
      </c>
      <c r="AC491" s="153">
        <v>0</v>
      </c>
      <c r="AD491" s="412"/>
      <c r="AE491" s="412"/>
      <c r="AF491" s="412"/>
      <c r="AG491" s="412"/>
      <c r="AH491" s="412"/>
      <c r="AI491" s="412"/>
      <c r="AJ491" s="412"/>
      <c r="AK491" s="412"/>
      <c r="AL491" s="412"/>
      <c r="AM491" s="412"/>
      <c r="AN491" s="412"/>
      <c r="AO491" s="412"/>
      <c r="AP491" s="412"/>
      <c r="AQ491" s="412"/>
      <c r="AR491" s="412"/>
      <c r="AS491" s="412"/>
      <c r="AT491" s="412"/>
      <c r="AU491" s="412"/>
      <c r="AV491" s="412"/>
      <c r="AW491" s="412"/>
      <c r="AX491" s="412"/>
      <c r="AY491" s="412"/>
      <c r="AZ491" s="412"/>
      <c r="BA491" s="412"/>
      <c r="BB491" s="412"/>
      <c r="BC491" s="412"/>
      <c r="BD491" s="412"/>
      <c r="BE491" s="412"/>
      <c r="BF491" s="412"/>
    </row>
    <row r="492" spans="1:58" ht="12" hidden="1" customHeight="1" outlineLevel="2" x14ac:dyDescent="0.3">
      <c r="A492" s="224"/>
      <c r="B492" s="224"/>
      <c r="C492" s="224"/>
      <c r="D492" s="224"/>
      <c r="E492" s="224"/>
      <c r="F492" s="224"/>
      <c r="G492" s="224"/>
      <c r="H492" s="224"/>
      <c r="I492" s="224"/>
      <c r="J492" s="224"/>
      <c r="K492" s="224"/>
      <c r="L492" s="117"/>
      <c r="M492" s="213" t="s">
        <v>985</v>
      </c>
      <c r="N492" s="244" t="s">
        <v>77</v>
      </c>
      <c r="O492" s="150">
        <v>0</v>
      </c>
      <c r="P492" s="150">
        <v>0</v>
      </c>
      <c r="Q492" s="150">
        <v>0</v>
      </c>
      <c r="R492" s="150">
        <v>0</v>
      </c>
      <c r="S492" s="150">
        <v>0</v>
      </c>
      <c r="T492" s="150">
        <v>0</v>
      </c>
      <c r="U492" s="150">
        <v>0</v>
      </c>
      <c r="V492" s="150">
        <v>0</v>
      </c>
      <c r="W492" s="150">
        <v>0</v>
      </c>
      <c r="X492" s="150">
        <v>0</v>
      </c>
      <c r="Y492" s="394"/>
      <c r="Z492" s="246"/>
      <c r="AA492" s="246"/>
      <c r="AB492" s="150">
        <v>0</v>
      </c>
      <c r="AC492" s="153">
        <v>0</v>
      </c>
      <c r="AD492" s="412"/>
      <c r="AE492" s="412"/>
      <c r="AF492" s="412"/>
      <c r="AG492" s="412"/>
      <c r="AH492" s="412"/>
      <c r="AI492" s="412"/>
      <c r="AJ492" s="412"/>
      <c r="AK492" s="412"/>
      <c r="AL492" s="412"/>
      <c r="AM492" s="412"/>
      <c r="AN492" s="412"/>
      <c r="AO492" s="412"/>
      <c r="AP492" s="412"/>
      <c r="AQ492" s="412"/>
      <c r="AR492" s="412"/>
      <c r="AS492" s="412"/>
      <c r="AT492" s="412"/>
      <c r="AU492" s="412"/>
      <c r="AV492" s="412"/>
      <c r="AW492" s="412"/>
      <c r="AX492" s="412"/>
      <c r="AY492" s="412"/>
      <c r="AZ492" s="412"/>
      <c r="BA492" s="412"/>
      <c r="BB492" s="412"/>
      <c r="BC492" s="412"/>
      <c r="BD492" s="412"/>
      <c r="BE492" s="412"/>
      <c r="BF492" s="412"/>
    </row>
    <row r="493" spans="1:58" ht="12" hidden="1" customHeight="1" outlineLevel="2" x14ac:dyDescent="0.3">
      <c r="A493" s="224"/>
      <c r="B493" s="224"/>
      <c r="C493" s="224"/>
      <c r="D493" s="224"/>
      <c r="E493" s="224"/>
      <c r="F493" s="224"/>
      <c r="G493" s="224"/>
      <c r="H493" s="224"/>
      <c r="I493" s="224"/>
      <c r="J493" s="224"/>
      <c r="K493" s="224"/>
      <c r="L493" s="117"/>
      <c r="M493" s="213" t="s">
        <v>973</v>
      </c>
      <c r="N493" s="244" t="s">
        <v>77</v>
      </c>
      <c r="O493" s="150">
        <v>0</v>
      </c>
      <c r="P493" s="150">
        <v>0</v>
      </c>
      <c r="Q493" s="150">
        <v>0</v>
      </c>
      <c r="R493" s="150">
        <v>0</v>
      </c>
      <c r="S493" s="150">
        <v>0</v>
      </c>
      <c r="T493" s="150">
        <v>0</v>
      </c>
      <c r="U493" s="150">
        <v>0</v>
      </c>
      <c r="V493" s="150">
        <v>0</v>
      </c>
      <c r="W493" s="150">
        <v>0</v>
      </c>
      <c r="X493" s="150">
        <v>0</v>
      </c>
      <c r="Y493" s="394"/>
      <c r="Z493" s="246"/>
      <c r="AA493" s="246"/>
      <c r="AB493" s="150">
        <v>0</v>
      </c>
      <c r="AC493" s="153">
        <v>0</v>
      </c>
      <c r="AD493" s="412"/>
      <c r="AE493" s="412"/>
      <c r="AF493" s="412"/>
      <c r="AG493" s="412"/>
      <c r="AH493" s="412"/>
      <c r="AI493" s="412"/>
      <c r="AJ493" s="412"/>
      <c r="AK493" s="412"/>
      <c r="AL493" s="412"/>
      <c r="AM493" s="412"/>
      <c r="AN493" s="412"/>
      <c r="AO493" s="412"/>
      <c r="AP493" s="412"/>
      <c r="AQ493" s="412"/>
      <c r="AR493" s="412"/>
      <c r="AS493" s="412"/>
      <c r="AT493" s="412"/>
      <c r="AU493" s="412"/>
      <c r="AV493" s="412"/>
      <c r="AW493" s="412"/>
      <c r="AX493" s="412"/>
      <c r="AY493" s="412"/>
      <c r="AZ493" s="412"/>
      <c r="BA493" s="412"/>
      <c r="BB493" s="412"/>
      <c r="BC493" s="412"/>
      <c r="BD493" s="412"/>
      <c r="BE493" s="412"/>
      <c r="BF493" s="412"/>
    </row>
    <row r="494" spans="1:58" ht="12" hidden="1" customHeight="1" outlineLevel="2" x14ac:dyDescent="0.3">
      <c r="A494" s="224"/>
      <c r="B494" s="224"/>
      <c r="C494" s="224"/>
      <c r="D494" s="224"/>
      <c r="E494" s="224"/>
      <c r="F494" s="224"/>
      <c r="G494" s="224"/>
      <c r="H494" s="224"/>
      <c r="I494" s="224"/>
      <c r="J494" s="224"/>
      <c r="K494" s="224"/>
      <c r="L494" s="117"/>
      <c r="M494" s="213" t="s">
        <v>974</v>
      </c>
      <c r="N494" s="244" t="s">
        <v>77</v>
      </c>
      <c r="O494" s="150">
        <v>0</v>
      </c>
      <c r="P494" s="150">
        <v>0</v>
      </c>
      <c r="Q494" s="150">
        <v>0</v>
      </c>
      <c r="R494" s="150">
        <v>0</v>
      </c>
      <c r="S494" s="150">
        <v>0</v>
      </c>
      <c r="T494" s="150">
        <v>0</v>
      </c>
      <c r="U494" s="150">
        <v>0</v>
      </c>
      <c r="V494" s="150">
        <v>0</v>
      </c>
      <c r="W494" s="150">
        <v>0</v>
      </c>
      <c r="X494" s="150">
        <v>0</v>
      </c>
      <c r="Y494" s="394"/>
      <c r="Z494" s="246"/>
      <c r="AA494" s="246"/>
      <c r="AB494" s="150">
        <v>0</v>
      </c>
      <c r="AC494" s="153">
        <v>0</v>
      </c>
      <c r="AD494" s="412"/>
      <c r="AE494" s="412"/>
      <c r="AF494" s="412"/>
      <c r="AG494" s="412"/>
      <c r="AH494" s="412"/>
      <c r="AI494" s="412"/>
      <c r="AJ494" s="412"/>
      <c r="AK494" s="412"/>
      <c r="AL494" s="412"/>
      <c r="AM494" s="412"/>
      <c r="AN494" s="412"/>
      <c r="AO494" s="412"/>
      <c r="AP494" s="412"/>
      <c r="AQ494" s="412"/>
      <c r="AR494" s="412"/>
      <c r="AS494" s="412"/>
      <c r="AT494" s="412"/>
      <c r="AU494" s="412"/>
      <c r="AV494" s="412"/>
      <c r="AW494" s="412"/>
      <c r="AX494" s="412"/>
      <c r="AY494" s="412"/>
      <c r="AZ494" s="412"/>
      <c r="BA494" s="412"/>
      <c r="BB494" s="412"/>
      <c r="BC494" s="412"/>
      <c r="BD494" s="412"/>
      <c r="BE494" s="412"/>
      <c r="BF494" s="412"/>
    </row>
    <row r="495" spans="1:58" ht="12" hidden="1" customHeight="1" outlineLevel="2" x14ac:dyDescent="0.3">
      <c r="A495" s="224"/>
      <c r="B495" s="224"/>
      <c r="C495" s="224"/>
      <c r="D495" s="224"/>
      <c r="E495" s="224"/>
      <c r="F495" s="224"/>
      <c r="G495" s="224"/>
      <c r="H495" s="224"/>
      <c r="I495" s="224"/>
      <c r="J495" s="224"/>
      <c r="K495" s="224"/>
      <c r="L495" s="117"/>
      <c r="M495" s="210" t="s">
        <v>1067</v>
      </c>
      <c r="N495" s="244" t="s">
        <v>77</v>
      </c>
      <c r="O495" s="150">
        <v>17.5</v>
      </c>
      <c r="P495" s="150">
        <v>10</v>
      </c>
      <c r="Q495" s="150">
        <v>17.5</v>
      </c>
      <c r="R495" s="150">
        <v>20.555555555555554</v>
      </c>
      <c r="S495" s="150">
        <v>22.222222222222221</v>
      </c>
      <c r="T495" s="150">
        <v>17.222222222222225</v>
      </c>
      <c r="U495" s="150">
        <v>17.777777777777779</v>
      </c>
      <c r="V495" s="150">
        <v>17.5</v>
      </c>
      <c r="W495" s="150">
        <v>22.5</v>
      </c>
      <c r="X495" s="150">
        <v>19.444444444444443</v>
      </c>
      <c r="Y495" s="394"/>
      <c r="Z495" s="246"/>
      <c r="AA495" s="246"/>
      <c r="AB495" s="150">
        <v>20</v>
      </c>
      <c r="AC495" s="153">
        <v>22.777777777777779</v>
      </c>
      <c r="AD495" s="411">
        <f>AB495*AD$264/$AB$264</f>
        <v>20.200000000000003</v>
      </c>
      <c r="AE495" s="411">
        <f>AD495*AE$264/AD$264</f>
        <v>20.442400000000003</v>
      </c>
      <c r="AF495" s="411">
        <f t="shared" ref="AF495:BF495" si="754">AE495*AF$264/AE$264</f>
        <v>20.749036</v>
      </c>
      <c r="AG495" s="411">
        <f t="shared" si="754"/>
        <v>21.060271539999999</v>
      </c>
      <c r="AH495" s="411">
        <f t="shared" si="754"/>
        <v>21.376175613099996</v>
      </c>
      <c r="AI495" s="411">
        <f t="shared" si="754"/>
        <v>21.696818247296491</v>
      </c>
      <c r="AJ495" s="411">
        <f t="shared" si="754"/>
        <v>22.02227052100594</v>
      </c>
      <c r="AK495" s="411">
        <f t="shared" si="754"/>
        <v>22.352604578821026</v>
      </c>
      <c r="AL495" s="411">
        <f t="shared" si="754"/>
        <v>22.687893647503337</v>
      </c>
      <c r="AM495" s="411">
        <f t="shared" si="754"/>
        <v>23.028212052215881</v>
      </c>
      <c r="AN495" s="411">
        <f t="shared" si="754"/>
        <v>23.373635232999121</v>
      </c>
      <c r="AO495" s="411">
        <f t="shared" si="754"/>
        <v>23.724239761494108</v>
      </c>
      <c r="AP495" s="411">
        <f t="shared" si="754"/>
        <v>24.080103357916517</v>
      </c>
      <c r="AQ495" s="411">
        <f t="shared" si="754"/>
        <v>24.441304908285264</v>
      </c>
      <c r="AR495" s="411">
        <f t="shared" si="754"/>
        <v>24.807924481909541</v>
      </c>
      <c r="AS495" s="411">
        <f t="shared" si="754"/>
        <v>25.180043349138181</v>
      </c>
      <c r="AT495" s="411">
        <f t="shared" si="754"/>
        <v>25.557743999375248</v>
      </c>
      <c r="AU495" s="411">
        <f t="shared" si="754"/>
        <v>25.94111015936587</v>
      </c>
      <c r="AV495" s="411">
        <f t="shared" si="754"/>
        <v>26.330226811756358</v>
      </c>
      <c r="AW495" s="411">
        <f t="shared" si="754"/>
        <v>26.725180213932699</v>
      </c>
      <c r="AX495" s="411">
        <f t="shared" si="754"/>
        <v>27.12605791714169</v>
      </c>
      <c r="AY495" s="411">
        <f t="shared" si="754"/>
        <v>27.532948785898814</v>
      </c>
      <c r="AZ495" s="411">
        <f t="shared" si="754"/>
        <v>27.945943017687295</v>
      </c>
      <c r="BA495" s="411">
        <f t="shared" si="754"/>
        <v>28.365132162952598</v>
      </c>
      <c r="BB495" s="411">
        <f t="shared" si="754"/>
        <v>28.733878881070979</v>
      </c>
      <c r="BC495" s="411">
        <f t="shared" si="754"/>
        <v>29.078685427643826</v>
      </c>
      <c r="BD495" s="411">
        <f t="shared" si="754"/>
        <v>29.398550967347909</v>
      </c>
      <c r="BE495" s="411">
        <f t="shared" si="754"/>
        <v>29.692536477021388</v>
      </c>
      <c r="BF495" s="411">
        <f t="shared" si="754"/>
        <v>29.989461841791602</v>
      </c>
    </row>
    <row r="496" spans="1:58" ht="12" hidden="1" customHeight="1" outlineLevel="2" x14ac:dyDescent="0.3">
      <c r="A496" s="224"/>
      <c r="B496" s="224"/>
      <c r="C496" s="224"/>
      <c r="D496" s="224"/>
      <c r="E496" s="224"/>
      <c r="F496" s="224"/>
      <c r="G496" s="224"/>
      <c r="H496" s="224"/>
      <c r="I496" s="224"/>
      <c r="J496" s="224"/>
      <c r="K496" s="224"/>
      <c r="L496" s="117"/>
      <c r="M496" s="210" t="s">
        <v>1068</v>
      </c>
      <c r="N496" s="244" t="s">
        <v>77</v>
      </c>
      <c r="O496" s="150">
        <v>40</v>
      </c>
      <c r="P496" s="150">
        <v>44</v>
      </c>
      <c r="Q496" s="150">
        <v>61</v>
      </c>
      <c r="R496" s="150">
        <v>70</v>
      </c>
      <c r="S496" s="150">
        <v>61</v>
      </c>
      <c r="T496" s="150">
        <v>65</v>
      </c>
      <c r="U496" s="150">
        <v>67</v>
      </c>
      <c r="V496" s="150">
        <v>72</v>
      </c>
      <c r="W496" s="150">
        <v>82</v>
      </c>
      <c r="X496" s="150">
        <v>59.3</v>
      </c>
      <c r="Y496" s="394"/>
      <c r="Z496" s="246"/>
      <c r="AA496" s="246"/>
      <c r="AB496" s="150">
        <v>58.888888888888886</v>
      </c>
      <c r="AC496" s="153">
        <v>57.222222222222221</v>
      </c>
      <c r="AD496" s="411">
        <f>AB496*AD$264/$AB$264</f>
        <v>59.477777777777774</v>
      </c>
      <c r="AE496" s="411">
        <f>AD496*AE$264/AD$264</f>
        <v>60.191511111111105</v>
      </c>
      <c r="AF496" s="411">
        <f t="shared" ref="AF496:BF496" si="755">AE496*AF$264/AE$264</f>
        <v>61.094383777777765</v>
      </c>
      <c r="AG496" s="411">
        <f t="shared" si="755"/>
        <v>62.010799534444423</v>
      </c>
      <c r="AH496" s="411">
        <f t="shared" si="755"/>
        <v>62.940961527461084</v>
      </c>
      <c r="AI496" s="411">
        <f t="shared" si="755"/>
        <v>63.885075950372993</v>
      </c>
      <c r="AJ496" s="411">
        <f t="shared" si="755"/>
        <v>64.843352089628581</v>
      </c>
      <c r="AK496" s="411">
        <f t="shared" si="755"/>
        <v>65.816002370972996</v>
      </c>
      <c r="AL496" s="411">
        <f t="shared" si="755"/>
        <v>66.803242406537592</v>
      </c>
      <c r="AM496" s="411">
        <f t="shared" si="755"/>
        <v>67.805291042635645</v>
      </c>
      <c r="AN496" s="411">
        <f t="shared" si="755"/>
        <v>68.822370408275177</v>
      </c>
      <c r="AO496" s="411">
        <f t="shared" si="755"/>
        <v>69.854705964399301</v>
      </c>
      <c r="AP496" s="411">
        <f t="shared" si="755"/>
        <v>70.902526553865272</v>
      </c>
      <c r="AQ496" s="411">
        <f t="shared" si="755"/>
        <v>71.966064452173256</v>
      </c>
      <c r="AR496" s="411">
        <f t="shared" si="755"/>
        <v>73.045555418955857</v>
      </c>
      <c r="AS496" s="411">
        <f t="shared" si="755"/>
        <v>74.141238750240177</v>
      </c>
      <c r="AT496" s="411">
        <f t="shared" si="755"/>
        <v>75.25335733149376</v>
      </c>
      <c r="AU496" s="411">
        <f t="shared" si="755"/>
        <v>76.382157691466148</v>
      </c>
      <c r="AV496" s="411">
        <f t="shared" si="755"/>
        <v>77.527890056838132</v>
      </c>
      <c r="AW496" s="411">
        <f t="shared" si="755"/>
        <v>78.690808407690696</v>
      </c>
      <c r="AX496" s="411">
        <f t="shared" si="755"/>
        <v>79.871170533806051</v>
      </c>
      <c r="AY496" s="411">
        <f t="shared" si="755"/>
        <v>81.069238091813148</v>
      </c>
      <c r="AZ496" s="411">
        <f t="shared" si="755"/>
        <v>82.285276663190331</v>
      </c>
      <c r="BA496" s="411">
        <f t="shared" si="755"/>
        <v>83.519555813138169</v>
      </c>
      <c r="BB496" s="411">
        <f t="shared" si="755"/>
        <v>84.60531003870895</v>
      </c>
      <c r="BC496" s="411">
        <f t="shared" si="755"/>
        <v>85.620573759173453</v>
      </c>
      <c r="BD496" s="411">
        <f t="shared" si="755"/>
        <v>86.562400070524362</v>
      </c>
      <c r="BE496" s="411">
        <f t="shared" si="755"/>
        <v>87.428024071229601</v>
      </c>
      <c r="BF496" s="411">
        <f t="shared" si="755"/>
        <v>88.302304311941896</v>
      </c>
    </row>
    <row r="497" spans="1:58" ht="12" hidden="1" customHeight="1" outlineLevel="2" x14ac:dyDescent="0.3">
      <c r="A497" s="224"/>
      <c r="B497" s="224"/>
      <c r="C497" s="224"/>
      <c r="D497" s="224"/>
      <c r="E497" s="224"/>
      <c r="F497" s="224"/>
      <c r="G497" s="224"/>
      <c r="H497" s="224"/>
      <c r="I497" s="224"/>
      <c r="J497" s="224"/>
      <c r="K497" s="224"/>
      <c r="L497" s="117"/>
      <c r="M497" s="210" t="s">
        <v>1069</v>
      </c>
      <c r="N497" s="244" t="s">
        <v>77</v>
      </c>
      <c r="O497" s="150">
        <v>2.2222222222222223</v>
      </c>
      <c r="P497" s="150">
        <v>1.3888888888888888</v>
      </c>
      <c r="Q497" s="150">
        <v>1.6666666666666665</v>
      </c>
      <c r="R497" s="150">
        <v>3.333333333333333</v>
      </c>
      <c r="S497" s="150">
        <v>3.333333333333333</v>
      </c>
      <c r="T497" s="150">
        <v>4.166666666666667</v>
      </c>
      <c r="U497" s="150">
        <v>4.4444444444444446</v>
      </c>
      <c r="V497" s="150">
        <v>3.8888888888888888</v>
      </c>
      <c r="W497" s="150">
        <v>1.9444444444444444</v>
      </c>
      <c r="X497" s="150">
        <v>4.7777777777777777</v>
      </c>
      <c r="Y497" s="394"/>
      <c r="Z497" s="246"/>
      <c r="AA497" s="246"/>
      <c r="AB497" s="150">
        <v>4.166666666666667</v>
      </c>
      <c r="AC497" s="153">
        <v>5.2777777777777777</v>
      </c>
      <c r="AD497" s="411">
        <f>AB497*AD$264/$AB$264</f>
        <v>4.2083333333333339</v>
      </c>
      <c r="AE497" s="411">
        <f>AD497*AE$264/AD$264</f>
        <v>4.2588333333333344</v>
      </c>
      <c r="AF497" s="411">
        <f t="shared" ref="AF497:BF497" si="756">AE497*AF$264/AE$264</f>
        <v>4.3227158333333335</v>
      </c>
      <c r="AG497" s="411">
        <f t="shared" si="756"/>
        <v>4.3875565708333335</v>
      </c>
      <c r="AH497" s="411">
        <f t="shared" si="756"/>
        <v>4.4533699193958336</v>
      </c>
      <c r="AI497" s="411">
        <f t="shared" si="756"/>
        <v>4.5201704681867705</v>
      </c>
      <c r="AJ497" s="411">
        <f t="shared" si="756"/>
        <v>4.5879730252095712</v>
      </c>
      <c r="AK497" s="411">
        <f t="shared" si="756"/>
        <v>4.6567926205877139</v>
      </c>
      <c r="AL497" s="411">
        <f t="shared" si="756"/>
        <v>4.7266445098965288</v>
      </c>
      <c r="AM497" s="411">
        <f t="shared" si="756"/>
        <v>4.7975441775449763</v>
      </c>
      <c r="AN497" s="411">
        <f t="shared" si="756"/>
        <v>4.8695073402081501</v>
      </c>
      <c r="AO497" s="411">
        <f t="shared" si="756"/>
        <v>4.942549950311272</v>
      </c>
      <c r="AP497" s="411">
        <f t="shared" si="756"/>
        <v>5.01668819956594</v>
      </c>
      <c r="AQ497" s="411">
        <f t="shared" si="756"/>
        <v>5.0919385225594294</v>
      </c>
      <c r="AR497" s="411">
        <f t="shared" si="756"/>
        <v>5.1683176003978204</v>
      </c>
      <c r="AS497" s="411">
        <f t="shared" si="756"/>
        <v>5.2458423644037868</v>
      </c>
      <c r="AT497" s="411">
        <f t="shared" si="756"/>
        <v>5.324529999869843</v>
      </c>
      <c r="AU497" s="411">
        <f t="shared" si="756"/>
        <v>5.4043979498678905</v>
      </c>
      <c r="AV497" s="411">
        <f t="shared" si="756"/>
        <v>5.485463919115908</v>
      </c>
      <c r="AW497" s="411">
        <f t="shared" si="756"/>
        <v>5.5677458779026461</v>
      </c>
      <c r="AX497" s="411">
        <f t="shared" si="756"/>
        <v>5.6512620660711859</v>
      </c>
      <c r="AY497" s="411">
        <f t="shared" si="756"/>
        <v>5.7360309970622536</v>
      </c>
      <c r="AZ497" s="411">
        <f t="shared" si="756"/>
        <v>5.8220714620181875</v>
      </c>
      <c r="BA497" s="411">
        <f t="shared" si="756"/>
        <v>5.9094025339484597</v>
      </c>
      <c r="BB497" s="411">
        <f t="shared" si="756"/>
        <v>5.986224766889789</v>
      </c>
      <c r="BC497" s="411">
        <f t="shared" si="756"/>
        <v>6.0580594640924659</v>
      </c>
      <c r="BD497" s="411">
        <f t="shared" si="756"/>
        <v>6.1246981181974824</v>
      </c>
      <c r="BE497" s="411">
        <f t="shared" si="756"/>
        <v>6.1859450993794578</v>
      </c>
      <c r="BF497" s="411">
        <f t="shared" si="756"/>
        <v>6.2478045503732513</v>
      </c>
    </row>
    <row r="498" spans="1:58" ht="12" hidden="1" customHeight="1" outlineLevel="2" x14ac:dyDescent="0.3">
      <c r="A498" s="224"/>
      <c r="B498" s="224" t="s">
        <v>1070</v>
      </c>
      <c r="C498" s="224"/>
      <c r="D498" s="224" t="s">
        <v>885</v>
      </c>
      <c r="E498" s="224"/>
      <c r="F498" s="224"/>
      <c r="G498" s="224"/>
      <c r="H498" s="224"/>
      <c r="I498" s="224"/>
      <c r="J498" s="224"/>
      <c r="K498" s="224"/>
      <c r="L498" s="117"/>
      <c r="M498" s="214" t="s">
        <v>1071</v>
      </c>
      <c r="N498" s="247" t="s">
        <v>77</v>
      </c>
      <c r="O498" s="413">
        <f t="shared" ref="O498:X498" si="757">O483+O487+O490+O495+O496+O497</f>
        <v>85.742159448407477</v>
      </c>
      <c r="P498" s="413">
        <f t="shared" si="757"/>
        <v>81.304319887212543</v>
      </c>
      <c r="Q498" s="413">
        <f t="shared" si="757"/>
        <v>121.33699452756214</v>
      </c>
      <c r="R498" s="413">
        <f t="shared" si="757"/>
        <v>139.56551271594813</v>
      </c>
      <c r="S498" s="413">
        <f t="shared" si="757"/>
        <v>119.83563628278243</v>
      </c>
      <c r="T498" s="413">
        <f t="shared" si="757"/>
        <v>122.42281715099362</v>
      </c>
      <c r="U498" s="413">
        <f t="shared" si="757"/>
        <v>124.00440160483701</v>
      </c>
      <c r="V498" s="413">
        <f t="shared" si="757"/>
        <v>127.16966916791174</v>
      </c>
      <c r="W498" s="413">
        <f t="shared" si="757"/>
        <v>137.73361579572318</v>
      </c>
      <c r="X498" s="413">
        <f t="shared" si="757"/>
        <v>97.468902589214338</v>
      </c>
      <c r="Y498" s="394"/>
      <c r="Z498" s="246"/>
      <c r="AA498" s="246"/>
      <c r="AB498" s="413">
        <f>AB483+AB487+AB490+AB495+AB496+AB497</f>
        <v>92.5</v>
      </c>
      <c r="AC498" s="414">
        <f>AC483+AC487+AC490+AC495+AC496+AC497</f>
        <v>95.833333333333329</v>
      </c>
      <c r="AD498" s="411">
        <f>SUM(AD483:AD497)</f>
        <v>93.424999999999997</v>
      </c>
      <c r="AE498" s="411">
        <f>SUM(AE483:AE497)</f>
        <v>94.546099999999996</v>
      </c>
      <c r="AF498" s="411">
        <f t="shared" ref="AF498:BF498" si="758">SUM(AF483:AF497)</f>
        <v>95.964291499999987</v>
      </c>
      <c r="AG498" s="411">
        <f t="shared" si="758"/>
        <v>97.403755872499985</v>
      </c>
      <c r="AH498" s="411">
        <f t="shared" si="758"/>
        <v>98.864812210587473</v>
      </c>
      <c r="AI498" s="411">
        <f t="shared" si="758"/>
        <v>100.34778439374627</v>
      </c>
      <c r="AJ498" s="411">
        <f t="shared" si="758"/>
        <v>101.85300115965245</v>
      </c>
      <c r="AK498" s="411">
        <f t="shared" si="758"/>
        <v>103.38079617704722</v>
      </c>
      <c r="AL498" s="411">
        <f t="shared" si="758"/>
        <v>104.93150811970293</v>
      </c>
      <c r="AM498" s="411">
        <f t="shared" si="758"/>
        <v>106.50548074149845</v>
      </c>
      <c r="AN498" s="411">
        <f t="shared" si="758"/>
        <v>108.10306295262092</v>
      </c>
      <c r="AO498" s="411">
        <f t="shared" si="758"/>
        <v>109.72460889691024</v>
      </c>
      <c r="AP498" s="411">
        <f t="shared" si="758"/>
        <v>111.37047803036386</v>
      </c>
      <c r="AQ498" s="411">
        <f t="shared" si="758"/>
        <v>113.04103520081934</v>
      </c>
      <c r="AR498" s="411">
        <f t="shared" si="758"/>
        <v>114.73665072883162</v>
      </c>
      <c r="AS498" s="411">
        <f t="shared" si="758"/>
        <v>116.45770048976406</v>
      </c>
      <c r="AT498" s="411">
        <f t="shared" si="758"/>
        <v>118.20456599711049</v>
      </c>
      <c r="AU498" s="411">
        <f t="shared" si="758"/>
        <v>119.97763448706714</v>
      </c>
      <c r="AV498" s="411">
        <f t="shared" si="758"/>
        <v>121.77729900437313</v>
      </c>
      <c r="AW498" s="411">
        <f t="shared" si="758"/>
        <v>123.60395848943871</v>
      </c>
      <c r="AX498" s="411">
        <f t="shared" si="758"/>
        <v>125.45801786678028</v>
      </c>
      <c r="AY498" s="411">
        <f t="shared" si="758"/>
        <v>127.339888134782</v>
      </c>
      <c r="AZ498" s="411">
        <f t="shared" si="758"/>
        <v>129.24998645680373</v>
      </c>
      <c r="BA498" s="411">
        <f t="shared" si="758"/>
        <v>131.18873625365575</v>
      </c>
      <c r="BB498" s="411">
        <f t="shared" si="758"/>
        <v>132.89418982495323</v>
      </c>
      <c r="BC498" s="411">
        <f t="shared" si="758"/>
        <v>134.48892010285266</v>
      </c>
      <c r="BD498" s="411">
        <f t="shared" si="758"/>
        <v>135.96829822398402</v>
      </c>
      <c r="BE498" s="411">
        <f t="shared" si="758"/>
        <v>137.32798120622391</v>
      </c>
      <c r="BF498" s="411">
        <f t="shared" si="758"/>
        <v>138.70126101828612</v>
      </c>
    </row>
    <row r="499" spans="1:58" ht="12" hidden="1" customHeight="1" outlineLevel="2" x14ac:dyDescent="0.3">
      <c r="A499" s="224"/>
      <c r="B499" s="224"/>
      <c r="C499" s="224"/>
      <c r="D499" s="224"/>
      <c r="E499" s="224"/>
      <c r="F499" s="224"/>
      <c r="G499" s="224"/>
      <c r="H499" s="224"/>
      <c r="I499" s="224"/>
      <c r="J499" s="224"/>
      <c r="K499" s="224"/>
      <c r="L499" s="117"/>
      <c r="M499" s="223" t="s">
        <v>980</v>
      </c>
      <c r="N499" s="216" t="s">
        <v>68</v>
      </c>
      <c r="O499" s="415">
        <f t="shared" ref="O499:X499" si="759">IFERROR((O484+O485+O486+O488+O489+O491+O492+O493+O494+O495+O496+O497)/O498,"")</f>
        <v>1</v>
      </c>
      <c r="P499" s="415">
        <f t="shared" si="759"/>
        <v>1</v>
      </c>
      <c r="Q499" s="415">
        <f t="shared" si="759"/>
        <v>1</v>
      </c>
      <c r="R499" s="415">
        <f t="shared" si="759"/>
        <v>1</v>
      </c>
      <c r="S499" s="415">
        <f t="shared" si="759"/>
        <v>1</v>
      </c>
      <c r="T499" s="415">
        <f t="shared" si="759"/>
        <v>1</v>
      </c>
      <c r="U499" s="415">
        <f t="shared" si="759"/>
        <v>1</v>
      </c>
      <c r="V499" s="415">
        <f t="shared" si="759"/>
        <v>1</v>
      </c>
      <c r="W499" s="415">
        <f t="shared" si="759"/>
        <v>1</v>
      </c>
      <c r="X499" s="415">
        <f t="shared" si="759"/>
        <v>1</v>
      </c>
      <c r="Y499" s="394"/>
      <c r="Z499" s="210"/>
      <c r="AA499" s="210"/>
      <c r="AB499" s="415">
        <f>IFERROR((AB484+AB485+AB486+AB488+AB489+AB491+AB492+AB493+AB494+AB495+AB496+AB497)/AB498,"")</f>
        <v>1</v>
      </c>
      <c r="AC499" s="415">
        <f>IFERROR((AC484+AC485+AC486+AC488+AC489+AC491+AC492+AC493+AC494+AC495+AC496+AC497)/AC498,"")</f>
        <v>1</v>
      </c>
      <c r="AD499" s="224"/>
      <c r="AE499" s="224"/>
      <c r="AF499" s="224"/>
      <c r="AG499" s="224"/>
      <c r="AH499" s="224"/>
      <c r="AI499" s="224"/>
      <c r="AJ499" s="224"/>
      <c r="AK499" s="224"/>
      <c r="AL499" s="224"/>
      <c r="AM499" s="224"/>
      <c r="AN499" s="224"/>
      <c r="AO499" s="224"/>
      <c r="AP499" s="224"/>
      <c r="AQ499" s="224"/>
      <c r="AR499" s="224"/>
      <c r="AS499" s="224"/>
      <c r="AT499" s="224"/>
      <c r="AU499" s="224"/>
      <c r="AV499" s="224"/>
      <c r="AW499" s="224"/>
      <c r="AX499" s="224"/>
      <c r="AY499" s="224"/>
      <c r="AZ499" s="224"/>
      <c r="BA499" s="224"/>
      <c r="BB499" s="224"/>
      <c r="BC499" s="224"/>
      <c r="BD499" s="224"/>
      <c r="BE499" s="224"/>
      <c r="BF499" s="224"/>
    </row>
    <row r="500" spans="1:58" ht="12" hidden="1" customHeight="1" outlineLevel="2" x14ac:dyDescent="0.3">
      <c r="A500" s="224"/>
      <c r="B500" s="224"/>
      <c r="C500" s="224"/>
      <c r="D500" s="224"/>
      <c r="E500" s="224"/>
      <c r="F500" s="224"/>
      <c r="G500" s="224"/>
      <c r="H500" s="224"/>
      <c r="I500" s="224"/>
      <c r="J500" s="224"/>
      <c r="K500" s="224"/>
      <c r="L500" s="117"/>
      <c r="M500" s="210"/>
      <c r="N500" s="210"/>
      <c r="O500" s="415">
        <f t="shared" ref="O500:X500" si="760">IFERROR((O483+O487+O490+O495+O496+O497)/O498,"")</f>
        <v>1</v>
      </c>
      <c r="P500" s="415">
        <f t="shared" si="760"/>
        <v>1</v>
      </c>
      <c r="Q500" s="415">
        <f t="shared" si="760"/>
        <v>1</v>
      </c>
      <c r="R500" s="415">
        <f t="shared" si="760"/>
        <v>1</v>
      </c>
      <c r="S500" s="415">
        <f t="shared" si="760"/>
        <v>1</v>
      </c>
      <c r="T500" s="415">
        <f t="shared" si="760"/>
        <v>1</v>
      </c>
      <c r="U500" s="415">
        <f t="shared" si="760"/>
        <v>1</v>
      </c>
      <c r="V500" s="415">
        <f t="shared" si="760"/>
        <v>1</v>
      </c>
      <c r="W500" s="415">
        <f t="shared" si="760"/>
        <v>1</v>
      </c>
      <c r="X500" s="415">
        <f t="shared" si="760"/>
        <v>1</v>
      </c>
      <c r="Y500" s="394"/>
      <c r="Z500" s="210"/>
      <c r="AA500" s="210"/>
      <c r="AB500" s="415">
        <f>IFERROR((AB483+AB487+AB490+AB495+AB496+AB497)/AB498,"")</f>
        <v>1</v>
      </c>
      <c r="AC500" s="415">
        <f>IFERROR((AC483+AC487+AC490+AC495+AC496+AC497)/AC498,"")</f>
        <v>1</v>
      </c>
      <c r="AD500" s="224"/>
      <c r="AE500" s="224"/>
      <c r="AF500" s="224"/>
      <c r="AG500" s="224"/>
      <c r="AH500" s="224"/>
      <c r="AI500" s="224"/>
      <c r="AJ500" s="224"/>
      <c r="AK500" s="224"/>
      <c r="AL500" s="224"/>
      <c r="AM500" s="224"/>
      <c r="AN500" s="224"/>
      <c r="AO500" s="224"/>
      <c r="AP500" s="224"/>
      <c r="AQ500" s="224"/>
      <c r="AR500" s="224"/>
      <c r="AS500" s="224"/>
      <c r="AT500" s="224"/>
      <c r="AU500" s="224"/>
      <c r="AV500" s="224"/>
      <c r="AW500" s="224"/>
      <c r="AX500" s="224"/>
      <c r="AY500" s="224"/>
      <c r="AZ500" s="224"/>
      <c r="BA500" s="224"/>
      <c r="BB500" s="224"/>
      <c r="BC500" s="224"/>
      <c r="BD500" s="224"/>
      <c r="BE500" s="224"/>
      <c r="BF500" s="224"/>
    </row>
    <row r="501" spans="1:58" ht="12" hidden="1" customHeight="1" outlineLevel="2" x14ac:dyDescent="0.3">
      <c r="A501" s="224"/>
      <c r="B501" s="224"/>
      <c r="C501" s="224"/>
      <c r="D501" s="224"/>
      <c r="E501" s="224"/>
      <c r="F501" s="224"/>
      <c r="G501" s="224"/>
      <c r="H501" s="224"/>
      <c r="I501" s="224"/>
      <c r="J501" s="224"/>
      <c r="K501" s="224"/>
      <c r="L501" s="117"/>
      <c r="M501" s="211" t="s">
        <v>1072</v>
      </c>
      <c r="N501" s="210"/>
      <c r="O501" s="210"/>
      <c r="P501" s="210"/>
      <c r="Q501" s="210"/>
      <c r="R501" s="210"/>
      <c r="S501" s="210"/>
      <c r="T501" s="210"/>
      <c r="U501" s="210"/>
      <c r="V501" s="210"/>
      <c r="W501" s="210"/>
      <c r="X501" s="210"/>
      <c r="Y501" s="394"/>
      <c r="Z501" s="210"/>
      <c r="AA501" s="210"/>
      <c r="AB501" s="210"/>
      <c r="AC501" s="210"/>
      <c r="AD501" s="224"/>
      <c r="AE501" s="224"/>
      <c r="AF501" s="224"/>
      <c r="AG501" s="224"/>
      <c r="AH501" s="224"/>
      <c r="AI501" s="224"/>
      <c r="AJ501" s="224"/>
      <c r="AK501" s="224"/>
      <c r="AL501" s="224"/>
      <c r="AM501" s="224"/>
      <c r="AN501" s="224"/>
      <c r="AO501" s="224"/>
      <c r="AP501" s="224"/>
      <c r="AQ501" s="224"/>
      <c r="AR501" s="224"/>
      <c r="AS501" s="224"/>
      <c r="AT501" s="224"/>
      <c r="AU501" s="224"/>
      <c r="AV501" s="224"/>
      <c r="AW501" s="224"/>
      <c r="AX501" s="224"/>
      <c r="AY501" s="224"/>
      <c r="AZ501" s="224"/>
      <c r="BA501" s="224"/>
      <c r="BB501" s="224"/>
      <c r="BC501" s="224"/>
      <c r="BD501" s="224"/>
      <c r="BE501" s="224"/>
      <c r="BF501" s="224"/>
    </row>
    <row r="502" spans="1:58" ht="12" hidden="1" customHeight="1" outlineLevel="2" x14ac:dyDescent="0.3">
      <c r="A502" s="224"/>
      <c r="B502" s="224"/>
      <c r="C502" s="224"/>
      <c r="D502" s="224"/>
      <c r="E502" s="224"/>
      <c r="F502" s="224"/>
      <c r="G502" s="224"/>
      <c r="H502" s="224"/>
      <c r="I502" s="224"/>
      <c r="J502" s="224"/>
      <c r="K502" s="224"/>
      <c r="L502" s="117"/>
      <c r="M502" s="210" t="s">
        <v>1064</v>
      </c>
      <c r="N502" s="244" t="s">
        <v>77</v>
      </c>
      <c r="O502" s="409">
        <f>SUM(O503:O505)</f>
        <v>23.499999999999996</v>
      </c>
      <c r="P502" s="409">
        <f t="shared" ref="P502" si="761">SUM(P503:P505)</f>
        <v>0</v>
      </c>
      <c r="Q502" s="409">
        <f t="shared" ref="Q502" si="762">SUM(Q503:Q505)</f>
        <v>47.888888888888886</v>
      </c>
      <c r="R502" s="409">
        <f t="shared" ref="R502" si="763">SUM(R503:R505)</f>
        <v>11.749999999999998</v>
      </c>
      <c r="S502" s="409">
        <f t="shared" ref="S502" si="764">SUM(S503:S505)</f>
        <v>11.749999999999998</v>
      </c>
      <c r="T502" s="409">
        <f t="shared" ref="T502" si="765">SUM(T503:T505)</f>
        <v>24.389444444444443</v>
      </c>
      <c r="U502" s="409">
        <f t="shared" ref="U502" si="766">SUM(U503:U505)</f>
        <v>11.749999999999998</v>
      </c>
      <c r="V502" s="409">
        <f t="shared" ref="V502" si="767">SUM(V503:V505)</f>
        <v>24.388888888888886</v>
      </c>
      <c r="W502" s="409">
        <f t="shared" ref="W502" si="768">SUM(W503:W505)</f>
        <v>24.388888888888886</v>
      </c>
      <c r="X502" s="409">
        <f t="shared" ref="X502" si="769">SUM(X503:X505)</f>
        <v>13.81388888888889</v>
      </c>
      <c r="Y502" s="394"/>
      <c r="Z502" s="246"/>
      <c r="AA502" s="246"/>
      <c r="AB502" s="409">
        <f t="shared" ref="AB502" si="770">SUM(AB503:AB505)</f>
        <v>7.2222222222222223</v>
      </c>
      <c r="AC502" s="410">
        <f t="shared" ref="AC502" si="771">SUM(AC503:AC505)</f>
        <v>0</v>
      </c>
      <c r="AD502" s="411">
        <f>AB502*AD$265/$AB$265</f>
        <v>7.2944444444444443</v>
      </c>
      <c r="AE502" s="411">
        <f>AD502*AE$265/AD$265</f>
        <v>7.3819777777777782</v>
      </c>
      <c r="AF502" s="411">
        <f t="shared" ref="AF502:BF502" si="772">AE502*AF$265/AE$265</f>
        <v>7.4927074444444441</v>
      </c>
      <c r="AG502" s="411">
        <f t="shared" si="772"/>
        <v>7.6050980561111103</v>
      </c>
      <c r="AH502" s="411">
        <f t="shared" si="772"/>
        <v>7.7191745269527763</v>
      </c>
      <c r="AI502" s="411">
        <f t="shared" si="772"/>
        <v>7.8349621448570677</v>
      </c>
      <c r="AJ502" s="411">
        <f t="shared" si="772"/>
        <v>7.9524865770299229</v>
      </c>
      <c r="AK502" s="411">
        <f t="shared" si="772"/>
        <v>8.0717738756853699</v>
      </c>
      <c r="AL502" s="411">
        <f t="shared" si="772"/>
        <v>8.1928504838206511</v>
      </c>
      <c r="AM502" s="411">
        <f t="shared" si="772"/>
        <v>8.3157432410779606</v>
      </c>
      <c r="AN502" s="411">
        <f t="shared" si="772"/>
        <v>8.4404793896941293</v>
      </c>
      <c r="AO502" s="411">
        <f t="shared" si="772"/>
        <v>8.5670865805395398</v>
      </c>
      <c r="AP502" s="411">
        <f t="shared" si="772"/>
        <v>8.6955928792476325</v>
      </c>
      <c r="AQ502" s="411">
        <f t="shared" si="772"/>
        <v>8.8260267724363466</v>
      </c>
      <c r="AR502" s="411">
        <f t="shared" si="772"/>
        <v>8.9584171740228911</v>
      </c>
      <c r="AS502" s="411">
        <f t="shared" si="772"/>
        <v>9.0927934316332326</v>
      </c>
      <c r="AT502" s="411">
        <f t="shared" si="772"/>
        <v>9.2291853331077309</v>
      </c>
      <c r="AU502" s="411">
        <f t="shared" si="772"/>
        <v>9.3676231131043455</v>
      </c>
      <c r="AV502" s="411">
        <f t="shared" si="772"/>
        <v>9.5081374598009116</v>
      </c>
      <c r="AW502" s="411">
        <f t="shared" si="772"/>
        <v>9.6507595216979247</v>
      </c>
      <c r="AX502" s="411">
        <f t="shared" si="772"/>
        <v>9.7955209145233919</v>
      </c>
      <c r="AY502" s="411">
        <f t="shared" si="772"/>
        <v>9.942453728241242</v>
      </c>
      <c r="AZ502" s="411">
        <f t="shared" si="772"/>
        <v>10.09159053416486</v>
      </c>
      <c r="BA502" s="411">
        <f t="shared" si="772"/>
        <v>10.242964392177331</v>
      </c>
      <c r="BB502" s="411">
        <f t="shared" si="772"/>
        <v>10.376122929275635</v>
      </c>
      <c r="BC502" s="411">
        <f t="shared" si="772"/>
        <v>10.500636404426944</v>
      </c>
      <c r="BD502" s="411">
        <f t="shared" si="772"/>
        <v>10.61614340487564</v>
      </c>
      <c r="BE502" s="411">
        <f t="shared" si="772"/>
        <v>10.722304838924396</v>
      </c>
      <c r="BF502" s="411">
        <f t="shared" si="772"/>
        <v>10.829527887313642</v>
      </c>
    </row>
    <row r="503" spans="1:58" ht="12" hidden="1" customHeight="1" outlineLevel="2" x14ac:dyDescent="0.3">
      <c r="A503" s="224"/>
      <c r="B503" s="224"/>
      <c r="C503" s="224"/>
      <c r="D503" s="224"/>
      <c r="E503" s="224"/>
      <c r="F503" s="224"/>
      <c r="G503" s="224"/>
      <c r="H503" s="224"/>
      <c r="I503" s="224"/>
      <c r="J503" s="224"/>
      <c r="K503" s="224"/>
      <c r="L503" s="117"/>
      <c r="M503" s="213" t="s">
        <v>964</v>
      </c>
      <c r="N503" s="244" t="s">
        <v>77</v>
      </c>
      <c r="O503" s="150">
        <v>23.499999999999996</v>
      </c>
      <c r="P503" s="150">
        <v>0</v>
      </c>
      <c r="Q503" s="150">
        <v>35.25</v>
      </c>
      <c r="R503" s="150">
        <v>11.749999999999998</v>
      </c>
      <c r="S503" s="150">
        <v>11.749999999999998</v>
      </c>
      <c r="T503" s="150">
        <v>11.750277777777779</v>
      </c>
      <c r="U503" s="150">
        <v>11.749999999999998</v>
      </c>
      <c r="V503" s="150">
        <v>11.749999999999998</v>
      </c>
      <c r="W503" s="150">
        <v>11.749999999999998</v>
      </c>
      <c r="X503" s="150">
        <v>1.175</v>
      </c>
      <c r="Y503" s="394"/>
      <c r="Z503" s="246"/>
      <c r="AA503" s="246"/>
      <c r="AB503" s="150">
        <v>2.5</v>
      </c>
      <c r="AC503" s="153">
        <v>0</v>
      </c>
      <c r="AD503" s="412"/>
      <c r="AE503" s="412"/>
      <c r="AF503" s="412"/>
      <c r="AG503" s="412"/>
      <c r="AH503" s="412"/>
      <c r="AI503" s="412"/>
      <c r="AJ503" s="412"/>
      <c r="AK503" s="412"/>
      <c r="AL503" s="412"/>
      <c r="AM503" s="412"/>
      <c r="AN503" s="412"/>
      <c r="AO503" s="412"/>
      <c r="AP503" s="412"/>
      <c r="AQ503" s="412"/>
      <c r="AR503" s="412"/>
      <c r="AS503" s="412"/>
      <c r="AT503" s="412"/>
      <c r="AU503" s="412"/>
      <c r="AV503" s="412"/>
      <c r="AW503" s="412"/>
      <c r="AX503" s="412"/>
      <c r="AY503" s="412"/>
      <c r="AZ503" s="412"/>
      <c r="BA503" s="412"/>
      <c r="BB503" s="412"/>
      <c r="BC503" s="412"/>
      <c r="BD503" s="412"/>
      <c r="BE503" s="412"/>
      <c r="BF503" s="412"/>
    </row>
    <row r="504" spans="1:58" ht="12" hidden="1" customHeight="1" outlineLevel="2" x14ac:dyDescent="0.3">
      <c r="A504" s="224"/>
      <c r="B504" s="224"/>
      <c r="C504" s="224"/>
      <c r="D504" s="224"/>
      <c r="E504" s="224"/>
      <c r="F504" s="224"/>
      <c r="G504" s="224"/>
      <c r="H504" s="224"/>
      <c r="I504" s="224"/>
      <c r="J504" s="224"/>
      <c r="K504" s="224"/>
      <c r="L504" s="117"/>
      <c r="M504" s="213" t="s">
        <v>965</v>
      </c>
      <c r="N504" s="244" t="s">
        <v>77</v>
      </c>
      <c r="O504" s="150">
        <v>0</v>
      </c>
      <c r="P504" s="150">
        <v>0</v>
      </c>
      <c r="Q504" s="150">
        <v>0</v>
      </c>
      <c r="R504" s="150">
        <v>0</v>
      </c>
      <c r="S504" s="150">
        <v>0</v>
      </c>
      <c r="T504" s="150">
        <v>0</v>
      </c>
      <c r="U504" s="150">
        <v>0</v>
      </c>
      <c r="V504" s="150">
        <v>0</v>
      </c>
      <c r="W504" s="150">
        <v>0</v>
      </c>
      <c r="X504" s="150">
        <v>0</v>
      </c>
      <c r="Y504" s="394"/>
      <c r="Z504" s="246"/>
      <c r="AA504" s="246"/>
      <c r="AB504" s="150">
        <v>0</v>
      </c>
      <c r="AC504" s="153">
        <v>0</v>
      </c>
      <c r="AD504" s="412"/>
      <c r="AE504" s="412"/>
      <c r="AF504" s="412"/>
      <c r="AG504" s="412"/>
      <c r="AH504" s="412"/>
      <c r="AI504" s="412"/>
      <c r="AJ504" s="412"/>
      <c r="AK504" s="412"/>
      <c r="AL504" s="412"/>
      <c r="AM504" s="412"/>
      <c r="AN504" s="412"/>
      <c r="AO504" s="412"/>
      <c r="AP504" s="412"/>
      <c r="AQ504" s="412"/>
      <c r="AR504" s="412"/>
      <c r="AS504" s="412"/>
      <c r="AT504" s="412"/>
      <c r="AU504" s="412"/>
      <c r="AV504" s="412"/>
      <c r="AW504" s="412"/>
      <c r="AX504" s="412"/>
      <c r="AY504" s="412"/>
      <c r="AZ504" s="412"/>
      <c r="BA504" s="412"/>
      <c r="BB504" s="412"/>
      <c r="BC504" s="412"/>
      <c r="BD504" s="412"/>
      <c r="BE504" s="412"/>
      <c r="BF504" s="412"/>
    </row>
    <row r="505" spans="1:58" ht="12" hidden="1" customHeight="1" outlineLevel="2" x14ac:dyDescent="0.3">
      <c r="A505" s="224"/>
      <c r="B505" s="224"/>
      <c r="C505" s="224"/>
      <c r="D505" s="224"/>
      <c r="E505" s="224"/>
      <c r="F505" s="224"/>
      <c r="G505" s="224"/>
      <c r="H505" s="224"/>
      <c r="I505" s="224"/>
      <c r="J505" s="224"/>
      <c r="K505" s="224"/>
      <c r="L505" s="117"/>
      <c r="M505" s="213" t="s">
        <v>966</v>
      </c>
      <c r="N505" s="244" t="s">
        <v>77</v>
      </c>
      <c r="O505" s="150">
        <v>0</v>
      </c>
      <c r="P505" s="150">
        <v>0</v>
      </c>
      <c r="Q505" s="150">
        <v>12.638888888888889</v>
      </c>
      <c r="R505" s="150">
        <v>0</v>
      </c>
      <c r="S505" s="150">
        <v>0</v>
      </c>
      <c r="T505" s="150">
        <v>12.639166666666666</v>
      </c>
      <c r="U505" s="150">
        <v>0</v>
      </c>
      <c r="V505" s="150">
        <v>12.638888888888889</v>
      </c>
      <c r="W505" s="150">
        <v>12.638888888888889</v>
      </c>
      <c r="X505" s="150">
        <v>12.638888888888889</v>
      </c>
      <c r="Y505" s="394"/>
      <c r="Z505" s="220"/>
      <c r="AA505" s="220"/>
      <c r="AB505" s="150">
        <v>4.7222222222222223</v>
      </c>
      <c r="AC505" s="153">
        <v>0</v>
      </c>
      <c r="AD505" s="412"/>
      <c r="AE505" s="412"/>
      <c r="AF505" s="412"/>
      <c r="AG505" s="412"/>
      <c r="AH505" s="412"/>
      <c r="AI505" s="412"/>
      <c r="AJ505" s="412"/>
      <c r="AK505" s="412"/>
      <c r="AL505" s="412"/>
      <c r="AM505" s="412"/>
      <c r="AN505" s="412"/>
      <c r="AO505" s="412"/>
      <c r="AP505" s="412"/>
      <c r="AQ505" s="412"/>
      <c r="AR505" s="412"/>
      <c r="AS505" s="412"/>
      <c r="AT505" s="412"/>
      <c r="AU505" s="412"/>
      <c r="AV505" s="412"/>
      <c r="AW505" s="412"/>
      <c r="AX505" s="412"/>
      <c r="AY505" s="412"/>
      <c r="AZ505" s="412"/>
      <c r="BA505" s="412"/>
      <c r="BB505" s="412"/>
      <c r="BC505" s="412"/>
      <c r="BD505" s="412"/>
      <c r="BE505" s="412"/>
      <c r="BF505" s="412"/>
    </row>
    <row r="506" spans="1:58" ht="12" hidden="1" customHeight="1" outlineLevel="2" x14ac:dyDescent="0.3">
      <c r="A506" s="224"/>
      <c r="B506" s="224"/>
      <c r="C506" s="224"/>
      <c r="D506" s="224"/>
      <c r="E506" s="224"/>
      <c r="F506" s="224"/>
      <c r="G506" s="224"/>
      <c r="H506" s="224"/>
      <c r="I506" s="224"/>
      <c r="J506" s="224"/>
      <c r="K506" s="224"/>
      <c r="L506" s="117"/>
      <c r="M506" s="210" t="s">
        <v>1065</v>
      </c>
      <c r="N506" s="244" t="s">
        <v>77</v>
      </c>
      <c r="O506" s="409">
        <f>SUM(O507:O508)</f>
        <v>44.988306576488881</v>
      </c>
      <c r="P506" s="409">
        <f t="shared" ref="P506" si="773">SUM(P507:P508)</f>
        <v>60.984148914796037</v>
      </c>
      <c r="Q506" s="409">
        <f t="shared" ref="Q506" si="774">SUM(Q507:Q508)</f>
        <v>68.732135047413564</v>
      </c>
      <c r="R506" s="409">
        <f t="shared" ref="R506" si="775">SUM(R507:R508)</f>
        <v>68.232264974341476</v>
      </c>
      <c r="S506" s="409">
        <f t="shared" ref="S506" si="776">SUM(S507:S508)</f>
        <v>42.988826284200492</v>
      </c>
      <c r="T506" s="409">
        <f t="shared" ref="T506" si="777">SUM(T507:T508)</f>
        <v>36.740450370799259</v>
      </c>
      <c r="U506" s="409">
        <f t="shared" ref="U506" si="778">SUM(U507:U508)</f>
        <v>45.238241613024933</v>
      </c>
      <c r="V506" s="409">
        <f t="shared" ref="V506" si="779">SUM(V507:V508)</f>
        <v>34.740970078510863</v>
      </c>
      <c r="W506" s="409">
        <f t="shared" ref="W506" si="780">SUM(W507:W508)</f>
        <v>44.077043433278455</v>
      </c>
      <c r="X506" s="409">
        <f t="shared" ref="X506" si="781">SUM(X507:X508)</f>
        <v>38.814911174048468</v>
      </c>
      <c r="Y506" s="394"/>
      <c r="Z506" s="246"/>
      <c r="AA506" s="246"/>
      <c r="AB506" s="409">
        <f t="shared" ref="AB506" si="782">SUM(AB507:AB508)</f>
        <v>6.3888888888888884</v>
      </c>
      <c r="AC506" s="410">
        <f t="shared" ref="AC506" si="783">SUM(AC507:AC508)</f>
        <v>19.444444444444443</v>
      </c>
      <c r="AD506" s="411">
        <f>AB506*AD$265/$AB$265</f>
        <v>6.4527777777777766</v>
      </c>
      <c r="AE506" s="411">
        <f>AD506*AE$265/AD$265</f>
        <v>6.5302111111111092</v>
      </c>
      <c r="AF506" s="411">
        <f t="shared" ref="AF506:BF506" si="784">AE506*AF$265/AE$265</f>
        <v>6.6281642777777758</v>
      </c>
      <c r="AG506" s="411">
        <f t="shared" si="784"/>
        <v>6.7275867419444415</v>
      </c>
      <c r="AH506" s="411">
        <f t="shared" si="784"/>
        <v>6.8285005430736074</v>
      </c>
      <c r="AI506" s="411">
        <f t="shared" si="784"/>
        <v>6.9309280512197109</v>
      </c>
      <c r="AJ506" s="411">
        <f t="shared" si="784"/>
        <v>7.0348919719880056</v>
      </c>
      <c r="AK506" s="411">
        <f t="shared" si="784"/>
        <v>7.1404153515678237</v>
      </c>
      <c r="AL506" s="411">
        <f t="shared" si="784"/>
        <v>7.2475215818413412</v>
      </c>
      <c r="AM506" s="411">
        <f t="shared" si="784"/>
        <v>7.3562344055689604</v>
      </c>
      <c r="AN506" s="411">
        <f t="shared" si="784"/>
        <v>7.4665779216524939</v>
      </c>
      <c r="AO506" s="411">
        <f t="shared" si="784"/>
        <v>7.5785765904772804</v>
      </c>
      <c r="AP506" s="411">
        <f t="shared" si="784"/>
        <v>7.6922552393344379</v>
      </c>
      <c r="AQ506" s="411">
        <f t="shared" si="784"/>
        <v>7.8076390679244536</v>
      </c>
      <c r="AR506" s="411">
        <f t="shared" si="784"/>
        <v>7.9247536539433199</v>
      </c>
      <c r="AS506" s="411">
        <f t="shared" si="784"/>
        <v>8.0436249587524689</v>
      </c>
      <c r="AT506" s="411">
        <f t="shared" si="784"/>
        <v>8.1642793331337558</v>
      </c>
      <c r="AU506" s="411">
        <f t="shared" si="784"/>
        <v>8.2867435231307596</v>
      </c>
      <c r="AV506" s="411">
        <f t="shared" si="784"/>
        <v>8.4110446759777204</v>
      </c>
      <c r="AW506" s="411">
        <f t="shared" si="784"/>
        <v>8.5372103461173854</v>
      </c>
      <c r="AX506" s="411">
        <f t="shared" si="784"/>
        <v>8.6652685013091446</v>
      </c>
      <c r="AY506" s="411">
        <f t="shared" si="784"/>
        <v>8.7952475288287815</v>
      </c>
      <c r="AZ506" s="411">
        <f t="shared" si="784"/>
        <v>8.927176241761213</v>
      </c>
      <c r="BA506" s="411">
        <f t="shared" si="784"/>
        <v>9.0610838853876299</v>
      </c>
      <c r="BB506" s="411">
        <f t="shared" si="784"/>
        <v>9.1788779758976684</v>
      </c>
      <c r="BC506" s="411">
        <f t="shared" si="784"/>
        <v>9.2890245116084404</v>
      </c>
      <c r="BD506" s="411">
        <f t="shared" si="784"/>
        <v>9.3912037812361326</v>
      </c>
      <c r="BE506" s="411">
        <f t="shared" si="784"/>
        <v>9.4851158190484952</v>
      </c>
      <c r="BF506" s="411">
        <f t="shared" si="784"/>
        <v>9.5799669772389819</v>
      </c>
    </row>
    <row r="507" spans="1:58" ht="12" hidden="1" customHeight="1" outlineLevel="2" x14ac:dyDescent="0.3">
      <c r="A507" s="224"/>
      <c r="B507" s="224"/>
      <c r="C507" s="224"/>
      <c r="D507" s="224"/>
      <c r="E507" s="224"/>
      <c r="F507" s="224"/>
      <c r="G507" s="224"/>
      <c r="H507" s="224"/>
      <c r="I507" s="224"/>
      <c r="J507" s="224"/>
      <c r="K507" s="224"/>
      <c r="L507" s="117"/>
      <c r="M507" s="213" t="s">
        <v>968</v>
      </c>
      <c r="N507" s="244" t="s">
        <v>77</v>
      </c>
      <c r="O507" s="150">
        <v>44.988306576488881</v>
      </c>
      <c r="P507" s="150">
        <v>60.984148914796037</v>
      </c>
      <c r="Q507" s="150">
        <v>68.732135047413564</v>
      </c>
      <c r="R507" s="150">
        <v>68.232264974341476</v>
      </c>
      <c r="S507" s="150">
        <v>42.988826284200492</v>
      </c>
      <c r="T507" s="150">
        <v>36.740450370799259</v>
      </c>
      <c r="U507" s="150">
        <v>45.238241613024933</v>
      </c>
      <c r="V507" s="150">
        <v>34.740970078510863</v>
      </c>
      <c r="W507" s="150">
        <v>44.077043433278455</v>
      </c>
      <c r="X507" s="150">
        <v>38.814911174048468</v>
      </c>
      <c r="Y507" s="394"/>
      <c r="Z507" s="246"/>
      <c r="AA507" s="246"/>
      <c r="AB507" s="150">
        <v>6.3888888888888884</v>
      </c>
      <c r="AC507" s="153">
        <v>19.444444444444443</v>
      </c>
      <c r="AD507" s="412"/>
      <c r="AE507" s="412"/>
      <c r="AF507" s="412"/>
      <c r="AG507" s="412"/>
      <c r="AH507" s="412"/>
      <c r="AI507" s="412"/>
      <c r="AJ507" s="412"/>
      <c r="AK507" s="412"/>
      <c r="AL507" s="412"/>
      <c r="AM507" s="412"/>
      <c r="AN507" s="412"/>
      <c r="AO507" s="412"/>
      <c r="AP507" s="412"/>
      <c r="AQ507" s="412"/>
      <c r="AR507" s="412"/>
      <c r="AS507" s="412"/>
      <c r="AT507" s="412"/>
      <c r="AU507" s="412"/>
      <c r="AV507" s="412"/>
      <c r="AW507" s="412"/>
      <c r="AX507" s="412"/>
      <c r="AY507" s="412"/>
      <c r="AZ507" s="412"/>
      <c r="BA507" s="412"/>
      <c r="BB507" s="412"/>
      <c r="BC507" s="412"/>
      <c r="BD507" s="412"/>
      <c r="BE507" s="412"/>
      <c r="BF507" s="412"/>
    </row>
    <row r="508" spans="1:58" ht="12" hidden="1" customHeight="1" outlineLevel="2" x14ac:dyDescent="0.3">
      <c r="A508" s="224"/>
      <c r="B508" s="224"/>
      <c r="C508" s="224"/>
      <c r="D508" s="224"/>
      <c r="E508" s="224"/>
      <c r="F508" s="224"/>
      <c r="G508" s="224"/>
      <c r="H508" s="224"/>
      <c r="I508" s="224"/>
      <c r="J508" s="224"/>
      <c r="K508" s="224"/>
      <c r="L508" s="117"/>
      <c r="M508" s="213" t="s">
        <v>969</v>
      </c>
      <c r="N508" s="244" t="s">
        <v>77</v>
      </c>
      <c r="O508" s="150">
        <v>0</v>
      </c>
      <c r="P508" s="150">
        <v>0</v>
      </c>
      <c r="Q508" s="150">
        <v>0</v>
      </c>
      <c r="R508" s="150">
        <v>0</v>
      </c>
      <c r="S508" s="150">
        <v>0</v>
      </c>
      <c r="T508" s="150">
        <v>0</v>
      </c>
      <c r="U508" s="150">
        <v>0</v>
      </c>
      <c r="V508" s="150">
        <v>0</v>
      </c>
      <c r="W508" s="150">
        <v>0</v>
      </c>
      <c r="X508" s="150">
        <v>0</v>
      </c>
      <c r="Y508" s="394"/>
      <c r="Z508" s="220"/>
      <c r="AA508" s="220"/>
      <c r="AB508" s="150">
        <v>0</v>
      </c>
      <c r="AC508" s="153">
        <v>0</v>
      </c>
      <c r="AD508" s="412"/>
      <c r="AE508" s="412"/>
      <c r="AF508" s="412"/>
      <c r="AG508" s="412"/>
      <c r="AH508" s="412"/>
      <c r="AI508" s="412"/>
      <c r="AJ508" s="412"/>
      <c r="AK508" s="412"/>
      <c r="AL508" s="412"/>
      <c r="AM508" s="412"/>
      <c r="AN508" s="412"/>
      <c r="AO508" s="412"/>
      <c r="AP508" s="412"/>
      <c r="AQ508" s="412"/>
      <c r="AR508" s="412"/>
      <c r="AS508" s="412"/>
      <c r="AT508" s="412"/>
      <c r="AU508" s="412"/>
      <c r="AV508" s="412"/>
      <c r="AW508" s="412"/>
      <c r="AX508" s="412"/>
      <c r="AY508" s="412"/>
      <c r="AZ508" s="412"/>
      <c r="BA508" s="412"/>
      <c r="BB508" s="412"/>
      <c r="BC508" s="412"/>
      <c r="BD508" s="412"/>
      <c r="BE508" s="412"/>
      <c r="BF508" s="412"/>
    </row>
    <row r="509" spans="1:58" ht="12" hidden="1" customHeight="1" outlineLevel="2" x14ac:dyDescent="0.3">
      <c r="A509" s="224"/>
      <c r="B509" s="224"/>
      <c r="C509" s="224"/>
      <c r="D509" s="224"/>
      <c r="E509" s="224"/>
      <c r="F509" s="224"/>
      <c r="G509" s="224"/>
      <c r="H509" s="224"/>
      <c r="I509" s="224"/>
      <c r="J509" s="224"/>
      <c r="K509" s="224"/>
      <c r="L509" s="117"/>
      <c r="M509" s="210" t="s">
        <v>1066</v>
      </c>
      <c r="N509" s="244" t="s">
        <v>77</v>
      </c>
      <c r="O509" s="409">
        <f>SUM(O510:O513)</f>
        <v>0</v>
      </c>
      <c r="P509" s="409">
        <f t="shared" ref="P509" si="785">SUM(P510:P513)</f>
        <v>0</v>
      </c>
      <c r="Q509" s="409">
        <f t="shared" ref="Q509" si="786">SUM(Q510:Q513)</f>
        <v>0</v>
      </c>
      <c r="R509" s="409">
        <f t="shared" ref="R509" si="787">SUM(R510:R513)</f>
        <v>0</v>
      </c>
      <c r="S509" s="409">
        <f t="shared" ref="S509" si="788">SUM(S510:S513)</f>
        <v>0</v>
      </c>
      <c r="T509" s="409">
        <f t="shared" ref="T509" si="789">SUM(T510:T513)</f>
        <v>0</v>
      </c>
      <c r="U509" s="409">
        <f t="shared" ref="U509" si="790">SUM(U510:U513)</f>
        <v>0</v>
      </c>
      <c r="V509" s="409">
        <f t="shared" ref="V509" si="791">SUM(V510:V513)</f>
        <v>0</v>
      </c>
      <c r="W509" s="409">
        <f t="shared" ref="W509" si="792">SUM(W510:W513)</f>
        <v>0</v>
      </c>
      <c r="X509" s="409">
        <f t="shared" ref="X509" si="793">SUM(X510:X513)</f>
        <v>0</v>
      </c>
      <c r="Y509" s="394"/>
      <c r="Z509" s="246"/>
      <c r="AA509" s="246"/>
      <c r="AB509" s="409">
        <f t="shared" ref="AB509" si="794">SUM(AB510:AB513)</f>
        <v>0</v>
      </c>
      <c r="AC509" s="410">
        <f t="shared" ref="AC509" si="795">SUM(AC510:AC513)</f>
        <v>0</v>
      </c>
      <c r="AD509" s="411">
        <f>AB509*AD$265/$AB$265</f>
        <v>0</v>
      </c>
      <c r="AE509" s="411">
        <f>AD509*AE$265/AD$265</f>
        <v>0</v>
      </c>
      <c r="AF509" s="411">
        <f t="shared" ref="AF509:BF509" si="796">AE509*AF$265/AE$265</f>
        <v>0</v>
      </c>
      <c r="AG509" s="411">
        <f t="shared" si="796"/>
        <v>0</v>
      </c>
      <c r="AH509" s="411">
        <f t="shared" si="796"/>
        <v>0</v>
      </c>
      <c r="AI509" s="411">
        <f t="shared" si="796"/>
        <v>0</v>
      </c>
      <c r="AJ509" s="411">
        <f t="shared" si="796"/>
        <v>0</v>
      </c>
      <c r="AK509" s="411">
        <f t="shared" si="796"/>
        <v>0</v>
      </c>
      <c r="AL509" s="411">
        <f t="shared" si="796"/>
        <v>0</v>
      </c>
      <c r="AM509" s="411">
        <f t="shared" si="796"/>
        <v>0</v>
      </c>
      <c r="AN509" s="411">
        <f t="shared" si="796"/>
        <v>0</v>
      </c>
      <c r="AO509" s="411">
        <f t="shared" si="796"/>
        <v>0</v>
      </c>
      <c r="AP509" s="411">
        <f t="shared" si="796"/>
        <v>0</v>
      </c>
      <c r="AQ509" s="411">
        <f t="shared" si="796"/>
        <v>0</v>
      </c>
      <c r="AR509" s="411">
        <f t="shared" si="796"/>
        <v>0</v>
      </c>
      <c r="AS509" s="411">
        <f t="shared" si="796"/>
        <v>0</v>
      </c>
      <c r="AT509" s="411">
        <f t="shared" si="796"/>
        <v>0</v>
      </c>
      <c r="AU509" s="411">
        <f t="shared" si="796"/>
        <v>0</v>
      </c>
      <c r="AV509" s="411">
        <f t="shared" si="796"/>
        <v>0</v>
      </c>
      <c r="AW509" s="411">
        <f t="shared" si="796"/>
        <v>0</v>
      </c>
      <c r="AX509" s="411">
        <f t="shared" si="796"/>
        <v>0</v>
      </c>
      <c r="AY509" s="411">
        <f t="shared" si="796"/>
        <v>0</v>
      </c>
      <c r="AZ509" s="411">
        <f t="shared" si="796"/>
        <v>0</v>
      </c>
      <c r="BA509" s="411">
        <f t="shared" si="796"/>
        <v>0</v>
      </c>
      <c r="BB509" s="411">
        <f t="shared" si="796"/>
        <v>0</v>
      </c>
      <c r="BC509" s="411">
        <f t="shared" si="796"/>
        <v>0</v>
      </c>
      <c r="BD509" s="411">
        <f t="shared" si="796"/>
        <v>0</v>
      </c>
      <c r="BE509" s="411">
        <f t="shared" si="796"/>
        <v>0</v>
      </c>
      <c r="BF509" s="411">
        <f t="shared" si="796"/>
        <v>0</v>
      </c>
    </row>
    <row r="510" spans="1:58" ht="12" hidden="1" customHeight="1" outlineLevel="2" x14ac:dyDescent="0.3">
      <c r="A510" s="224"/>
      <c r="B510" s="224"/>
      <c r="C510" s="224"/>
      <c r="D510" s="224"/>
      <c r="E510" s="224"/>
      <c r="F510" s="224"/>
      <c r="G510" s="224"/>
      <c r="H510" s="224"/>
      <c r="I510" s="224"/>
      <c r="J510" s="224"/>
      <c r="K510" s="224"/>
      <c r="L510" s="117"/>
      <c r="M510" s="213" t="s">
        <v>971</v>
      </c>
      <c r="N510" s="244" t="s">
        <v>77</v>
      </c>
      <c r="O510" s="150">
        <v>0</v>
      </c>
      <c r="P510" s="150">
        <v>0</v>
      </c>
      <c r="Q510" s="150">
        <v>0</v>
      </c>
      <c r="R510" s="150">
        <v>0</v>
      </c>
      <c r="S510" s="150">
        <v>0</v>
      </c>
      <c r="T510" s="150">
        <v>0</v>
      </c>
      <c r="U510" s="150">
        <v>0</v>
      </c>
      <c r="V510" s="150">
        <v>0</v>
      </c>
      <c r="W510" s="150">
        <v>0</v>
      </c>
      <c r="X510" s="150">
        <v>0</v>
      </c>
      <c r="Y510" s="394"/>
      <c r="Z510" s="246"/>
      <c r="AA510" s="246"/>
      <c r="AB510" s="150">
        <v>0</v>
      </c>
      <c r="AC510" s="153">
        <v>0</v>
      </c>
      <c r="AD510" s="412"/>
      <c r="AE510" s="412"/>
      <c r="AF510" s="412"/>
      <c r="AG510" s="412"/>
      <c r="AH510" s="412"/>
      <c r="AI510" s="412"/>
      <c r="AJ510" s="412"/>
      <c r="AK510" s="412"/>
      <c r="AL510" s="412"/>
      <c r="AM510" s="412"/>
      <c r="AN510" s="412"/>
      <c r="AO510" s="412"/>
      <c r="AP510" s="412"/>
      <c r="AQ510" s="412"/>
      <c r="AR510" s="412"/>
      <c r="AS510" s="412"/>
      <c r="AT510" s="412"/>
      <c r="AU510" s="412"/>
      <c r="AV510" s="412"/>
      <c r="AW510" s="412"/>
      <c r="AX510" s="412"/>
      <c r="AY510" s="412"/>
      <c r="AZ510" s="412"/>
      <c r="BA510" s="412"/>
      <c r="BB510" s="412"/>
      <c r="BC510" s="412"/>
      <c r="BD510" s="412"/>
      <c r="BE510" s="412"/>
      <c r="BF510" s="412"/>
    </row>
    <row r="511" spans="1:58" ht="12" hidden="1" customHeight="1" outlineLevel="2" x14ac:dyDescent="0.3">
      <c r="A511" s="224"/>
      <c r="B511" s="224"/>
      <c r="C511" s="224"/>
      <c r="D511" s="224"/>
      <c r="E511" s="224"/>
      <c r="F511" s="224"/>
      <c r="G511" s="224"/>
      <c r="H511" s="224"/>
      <c r="I511" s="224"/>
      <c r="J511" s="224"/>
      <c r="K511" s="224"/>
      <c r="L511" s="117"/>
      <c r="M511" s="213" t="s">
        <v>985</v>
      </c>
      <c r="N511" s="244" t="s">
        <v>77</v>
      </c>
      <c r="O511" s="150">
        <v>0</v>
      </c>
      <c r="P511" s="150">
        <v>0</v>
      </c>
      <c r="Q511" s="150">
        <v>0</v>
      </c>
      <c r="R511" s="150">
        <v>0</v>
      </c>
      <c r="S511" s="150">
        <v>0</v>
      </c>
      <c r="T511" s="150">
        <v>0</v>
      </c>
      <c r="U511" s="150">
        <v>0</v>
      </c>
      <c r="V511" s="150">
        <v>0</v>
      </c>
      <c r="W511" s="150">
        <v>0</v>
      </c>
      <c r="X511" s="150">
        <v>0</v>
      </c>
      <c r="Y511" s="394"/>
      <c r="Z511" s="246"/>
      <c r="AA511" s="246"/>
      <c r="AB511" s="150">
        <v>0</v>
      </c>
      <c r="AC511" s="153">
        <v>0</v>
      </c>
      <c r="AD511" s="412"/>
      <c r="AE511" s="412"/>
      <c r="AF511" s="412"/>
      <c r="AG511" s="412"/>
      <c r="AH511" s="412"/>
      <c r="AI511" s="412"/>
      <c r="AJ511" s="412"/>
      <c r="AK511" s="412"/>
      <c r="AL511" s="412"/>
      <c r="AM511" s="412"/>
      <c r="AN511" s="412"/>
      <c r="AO511" s="412"/>
      <c r="AP511" s="412"/>
      <c r="AQ511" s="412"/>
      <c r="AR511" s="412"/>
      <c r="AS511" s="412"/>
      <c r="AT511" s="412"/>
      <c r="AU511" s="412"/>
      <c r="AV511" s="412"/>
      <c r="AW511" s="412"/>
      <c r="AX511" s="412"/>
      <c r="AY511" s="412"/>
      <c r="AZ511" s="412"/>
      <c r="BA511" s="412"/>
      <c r="BB511" s="412"/>
      <c r="BC511" s="412"/>
      <c r="BD511" s="412"/>
      <c r="BE511" s="412"/>
      <c r="BF511" s="412"/>
    </row>
    <row r="512" spans="1:58" ht="12" hidden="1" customHeight="1" outlineLevel="2" x14ac:dyDescent="0.3">
      <c r="A512" s="224"/>
      <c r="B512" s="224"/>
      <c r="C512" s="224"/>
      <c r="D512" s="224"/>
      <c r="E512" s="224"/>
      <c r="F512" s="224"/>
      <c r="G512" s="224"/>
      <c r="H512" s="224"/>
      <c r="I512" s="224"/>
      <c r="J512" s="224"/>
      <c r="K512" s="224"/>
      <c r="L512" s="117"/>
      <c r="M512" s="213" t="s">
        <v>973</v>
      </c>
      <c r="N512" s="244" t="s">
        <v>77</v>
      </c>
      <c r="O512" s="150">
        <v>0</v>
      </c>
      <c r="P512" s="150">
        <v>0</v>
      </c>
      <c r="Q512" s="150">
        <v>0</v>
      </c>
      <c r="R512" s="150">
        <v>0</v>
      </c>
      <c r="S512" s="150">
        <v>0</v>
      </c>
      <c r="T512" s="150">
        <v>0</v>
      </c>
      <c r="U512" s="150">
        <v>0</v>
      </c>
      <c r="V512" s="150">
        <v>0</v>
      </c>
      <c r="W512" s="150">
        <v>0</v>
      </c>
      <c r="X512" s="150">
        <v>0</v>
      </c>
      <c r="Y512" s="394"/>
      <c r="Z512" s="246"/>
      <c r="AA512" s="246"/>
      <c r="AB512" s="150">
        <v>0</v>
      </c>
      <c r="AC512" s="153">
        <v>0</v>
      </c>
      <c r="AD512" s="412"/>
      <c r="AE512" s="412"/>
      <c r="AF512" s="412"/>
      <c r="AG512" s="412"/>
      <c r="AH512" s="412"/>
      <c r="AI512" s="412"/>
      <c r="AJ512" s="412"/>
      <c r="AK512" s="412"/>
      <c r="AL512" s="412"/>
      <c r="AM512" s="412"/>
      <c r="AN512" s="412"/>
      <c r="AO512" s="412"/>
      <c r="AP512" s="412"/>
      <c r="AQ512" s="412"/>
      <c r="AR512" s="412"/>
      <c r="AS512" s="412"/>
      <c r="AT512" s="412"/>
      <c r="AU512" s="412"/>
      <c r="AV512" s="412"/>
      <c r="AW512" s="412"/>
      <c r="AX512" s="412"/>
      <c r="AY512" s="412"/>
      <c r="AZ512" s="412"/>
      <c r="BA512" s="412"/>
      <c r="BB512" s="412"/>
      <c r="BC512" s="412"/>
      <c r="BD512" s="412"/>
      <c r="BE512" s="412"/>
      <c r="BF512" s="412"/>
    </row>
    <row r="513" spans="1:58" ht="12" hidden="1" customHeight="1" outlineLevel="2" x14ac:dyDescent="0.3">
      <c r="A513" s="224"/>
      <c r="B513" s="224"/>
      <c r="C513" s="224"/>
      <c r="D513" s="224"/>
      <c r="E513" s="224"/>
      <c r="F513" s="224"/>
      <c r="G513" s="224"/>
      <c r="H513" s="224"/>
      <c r="I513" s="224"/>
      <c r="J513" s="224"/>
      <c r="K513" s="224"/>
      <c r="L513" s="117"/>
      <c r="M513" s="213" t="s">
        <v>974</v>
      </c>
      <c r="N513" s="244" t="s">
        <v>77</v>
      </c>
      <c r="O513" s="150">
        <v>0</v>
      </c>
      <c r="P513" s="150">
        <v>0</v>
      </c>
      <c r="Q513" s="150">
        <v>0</v>
      </c>
      <c r="R513" s="150">
        <v>0</v>
      </c>
      <c r="S513" s="150">
        <v>0</v>
      </c>
      <c r="T513" s="150">
        <v>0</v>
      </c>
      <c r="U513" s="150">
        <v>0</v>
      </c>
      <c r="V513" s="150">
        <v>0</v>
      </c>
      <c r="W513" s="150">
        <v>0</v>
      </c>
      <c r="X513" s="150">
        <v>0</v>
      </c>
      <c r="Y513" s="394"/>
      <c r="Z513" s="246"/>
      <c r="AA513" s="246"/>
      <c r="AB513" s="150">
        <v>0</v>
      </c>
      <c r="AC513" s="153">
        <v>0</v>
      </c>
      <c r="AD513" s="412"/>
      <c r="AE513" s="412"/>
      <c r="AF513" s="412"/>
      <c r="AG513" s="412"/>
      <c r="AH513" s="412"/>
      <c r="AI513" s="412"/>
      <c r="AJ513" s="412"/>
      <c r="AK513" s="412"/>
      <c r="AL513" s="412"/>
      <c r="AM513" s="412"/>
      <c r="AN513" s="412"/>
      <c r="AO513" s="412"/>
      <c r="AP513" s="412"/>
      <c r="AQ513" s="412"/>
      <c r="AR513" s="412"/>
      <c r="AS513" s="412"/>
      <c r="AT513" s="412"/>
      <c r="AU513" s="412"/>
      <c r="AV513" s="412"/>
      <c r="AW513" s="412"/>
      <c r="AX513" s="412"/>
      <c r="AY513" s="412"/>
      <c r="AZ513" s="412"/>
      <c r="BA513" s="412"/>
      <c r="BB513" s="412"/>
      <c r="BC513" s="412"/>
      <c r="BD513" s="412"/>
      <c r="BE513" s="412"/>
      <c r="BF513" s="412"/>
    </row>
    <row r="514" spans="1:58" ht="12" hidden="1" customHeight="1" outlineLevel="2" x14ac:dyDescent="0.3">
      <c r="A514" s="224"/>
      <c r="B514" s="224"/>
      <c r="C514" s="224"/>
      <c r="D514" s="224"/>
      <c r="E514" s="224"/>
      <c r="F514" s="224"/>
      <c r="G514" s="224"/>
      <c r="H514" s="224"/>
      <c r="I514" s="224"/>
      <c r="J514" s="224"/>
      <c r="K514" s="224"/>
      <c r="L514" s="117"/>
      <c r="M514" s="210" t="s">
        <v>1067</v>
      </c>
      <c r="N514" s="244" t="s">
        <v>77</v>
      </c>
      <c r="O514" s="150">
        <v>66.666666666666671</v>
      </c>
      <c r="P514" s="150">
        <v>30.555555555555554</v>
      </c>
      <c r="Q514" s="150">
        <v>16.388888888888889</v>
      </c>
      <c r="R514" s="150">
        <v>11.111111111111111</v>
      </c>
      <c r="S514" s="150">
        <v>17.222222222222225</v>
      </c>
      <c r="T514" s="150">
        <v>26.666666666666664</v>
      </c>
      <c r="U514" s="150">
        <v>31.388888888888889</v>
      </c>
      <c r="V514" s="150">
        <v>29.166666666666664</v>
      </c>
      <c r="W514" s="150">
        <v>25.277777777777779</v>
      </c>
      <c r="X514" s="150">
        <v>25.833333333333329</v>
      </c>
      <c r="Y514" s="394"/>
      <c r="Z514" s="246"/>
      <c r="AA514" s="246"/>
      <c r="AB514" s="150">
        <v>25</v>
      </c>
      <c r="AC514" s="153">
        <v>7.2222222222222223</v>
      </c>
      <c r="AD514" s="411">
        <f>AB514*AD$265/$AB$265</f>
        <v>25.25</v>
      </c>
      <c r="AE514" s="411">
        <f>AD514*AE$265/AD$265</f>
        <v>25.553000000000001</v>
      </c>
      <c r="AF514" s="411">
        <f t="shared" ref="AF514:BF514" si="797">AE514*AF$265/AE$265</f>
        <v>25.936295000000001</v>
      </c>
      <c r="AG514" s="411">
        <f t="shared" si="797"/>
        <v>26.325339424999999</v>
      </c>
      <c r="AH514" s="411">
        <f t="shared" si="797"/>
        <v>26.720219516375</v>
      </c>
      <c r="AI514" s="411">
        <f t="shared" si="797"/>
        <v>27.121022809120621</v>
      </c>
      <c r="AJ514" s="411">
        <f t="shared" si="797"/>
        <v>27.527838151257424</v>
      </c>
      <c r="AK514" s="411">
        <f t="shared" si="797"/>
        <v>27.94075572352628</v>
      </c>
      <c r="AL514" s="411">
        <f t="shared" si="797"/>
        <v>28.359867059379173</v>
      </c>
      <c r="AM514" s="411">
        <f t="shared" si="797"/>
        <v>28.785265065269858</v>
      </c>
      <c r="AN514" s="411">
        <f t="shared" si="797"/>
        <v>29.217044041248904</v>
      </c>
      <c r="AO514" s="411">
        <f t="shared" si="797"/>
        <v>29.655299701867634</v>
      </c>
      <c r="AP514" s="411">
        <f t="shared" si="797"/>
        <v>30.100129197395638</v>
      </c>
      <c r="AQ514" s="411">
        <f t="shared" si="797"/>
        <v>30.551631135356573</v>
      </c>
      <c r="AR514" s="411">
        <f t="shared" si="797"/>
        <v>31.009905602386922</v>
      </c>
      <c r="AS514" s="411">
        <f t="shared" si="797"/>
        <v>31.475054186422721</v>
      </c>
      <c r="AT514" s="411">
        <f t="shared" si="797"/>
        <v>31.947179999219063</v>
      </c>
      <c r="AU514" s="411">
        <f t="shared" si="797"/>
        <v>32.426387699207346</v>
      </c>
      <c r="AV514" s="411">
        <f t="shared" si="797"/>
        <v>32.912783514695455</v>
      </c>
      <c r="AW514" s="411">
        <f t="shared" si="797"/>
        <v>33.406475267415892</v>
      </c>
      <c r="AX514" s="411">
        <f t="shared" si="797"/>
        <v>33.907572396427128</v>
      </c>
      <c r="AY514" s="411">
        <f t="shared" si="797"/>
        <v>34.416185982373534</v>
      </c>
      <c r="AZ514" s="411">
        <f t="shared" si="797"/>
        <v>34.932428772109134</v>
      </c>
      <c r="BA514" s="411">
        <f t="shared" si="797"/>
        <v>35.456415203690767</v>
      </c>
      <c r="BB514" s="411">
        <f t="shared" si="797"/>
        <v>35.917348601338745</v>
      </c>
      <c r="BC514" s="411">
        <f t="shared" si="797"/>
        <v>36.348356784554809</v>
      </c>
      <c r="BD514" s="411">
        <f t="shared" si="797"/>
        <v>36.748188709184909</v>
      </c>
      <c r="BE514" s="411">
        <f t="shared" si="797"/>
        <v>37.115670596276757</v>
      </c>
      <c r="BF514" s="411">
        <f t="shared" si="797"/>
        <v>37.486827302239526</v>
      </c>
    </row>
    <row r="515" spans="1:58" ht="12" hidden="1" customHeight="1" outlineLevel="2" x14ac:dyDescent="0.3">
      <c r="A515" s="224"/>
      <c r="B515" s="224"/>
      <c r="C515" s="224"/>
      <c r="D515" s="224"/>
      <c r="E515" s="224"/>
      <c r="F515" s="224"/>
      <c r="G515" s="224"/>
      <c r="H515" s="224"/>
      <c r="I515" s="224"/>
      <c r="J515" s="224"/>
      <c r="K515" s="224"/>
      <c r="L515" s="117"/>
      <c r="M515" s="210" t="s">
        <v>1068</v>
      </c>
      <c r="N515" s="244" t="s">
        <v>77</v>
      </c>
      <c r="O515" s="150">
        <v>179</v>
      </c>
      <c r="P515" s="150">
        <v>195</v>
      </c>
      <c r="Q515" s="150">
        <v>209</v>
      </c>
      <c r="R515" s="150">
        <v>177</v>
      </c>
      <c r="S515" s="150">
        <v>181</v>
      </c>
      <c r="T515" s="150">
        <v>185</v>
      </c>
      <c r="U515" s="150">
        <v>200</v>
      </c>
      <c r="V515" s="150">
        <v>192</v>
      </c>
      <c r="W515" s="150">
        <v>179</v>
      </c>
      <c r="X515" s="150">
        <v>158.19999999999999</v>
      </c>
      <c r="Y515" s="394"/>
      <c r="Z515" s="246"/>
      <c r="AA515" s="246"/>
      <c r="AB515" s="150">
        <v>163.61111111111111</v>
      </c>
      <c r="AC515" s="153">
        <v>183.61111111111111</v>
      </c>
      <c r="AD515" s="411">
        <f>AB515*AD$265/$AB$265</f>
        <v>165.24722222222221</v>
      </c>
      <c r="AE515" s="411">
        <f>AD515*AE$265/AD$265</f>
        <v>167.23018888888888</v>
      </c>
      <c r="AF515" s="411">
        <f t="shared" ref="AF515:BF515" si="798">AE515*AF$265/AE$265</f>
        <v>169.73864172222218</v>
      </c>
      <c r="AG515" s="411">
        <f t="shared" si="798"/>
        <v>172.28472134805551</v>
      </c>
      <c r="AH515" s="411">
        <f t="shared" si="798"/>
        <v>174.86899216827632</v>
      </c>
      <c r="AI515" s="411">
        <f t="shared" si="798"/>
        <v>177.49202705080043</v>
      </c>
      <c r="AJ515" s="411">
        <f t="shared" si="798"/>
        <v>180.15440745656241</v>
      </c>
      <c r="AK515" s="411">
        <f t="shared" si="798"/>
        <v>182.85672356841081</v>
      </c>
      <c r="AL515" s="411">
        <f t="shared" si="798"/>
        <v>185.59957442193698</v>
      </c>
      <c r="AM515" s="411">
        <f t="shared" si="798"/>
        <v>188.38356803826602</v>
      </c>
      <c r="AN515" s="411">
        <f t="shared" si="798"/>
        <v>191.20932155884</v>
      </c>
      <c r="AO515" s="411">
        <f t="shared" si="798"/>
        <v>194.07746138222257</v>
      </c>
      <c r="AP515" s="411">
        <f t="shared" si="798"/>
        <v>196.98862330295589</v>
      </c>
      <c r="AQ515" s="411">
        <f t="shared" si="798"/>
        <v>199.94345265250021</v>
      </c>
      <c r="AR515" s="411">
        <f t="shared" si="798"/>
        <v>202.94260444228772</v>
      </c>
      <c r="AS515" s="411">
        <f t="shared" si="798"/>
        <v>205.98674350892199</v>
      </c>
      <c r="AT515" s="411">
        <f t="shared" si="798"/>
        <v>209.0765446615558</v>
      </c>
      <c r="AU515" s="411">
        <f t="shared" si="798"/>
        <v>212.2126928314791</v>
      </c>
      <c r="AV515" s="411">
        <f t="shared" si="798"/>
        <v>215.3958832239513</v>
      </c>
      <c r="AW515" s="411">
        <f t="shared" si="798"/>
        <v>218.62682147231055</v>
      </c>
      <c r="AX515" s="411">
        <f t="shared" si="798"/>
        <v>221.9062237943952</v>
      </c>
      <c r="AY515" s="411">
        <f t="shared" si="798"/>
        <v>225.23481715131112</v>
      </c>
      <c r="AZ515" s="411">
        <f t="shared" si="798"/>
        <v>228.6133394085808</v>
      </c>
      <c r="BA515" s="411">
        <f t="shared" si="798"/>
        <v>232.04253949970951</v>
      </c>
      <c r="BB515" s="411">
        <f t="shared" si="798"/>
        <v>235.05909251320568</v>
      </c>
      <c r="BC515" s="411">
        <f t="shared" si="798"/>
        <v>237.87980162336416</v>
      </c>
      <c r="BD515" s="411">
        <f t="shared" si="798"/>
        <v>240.49647944122117</v>
      </c>
      <c r="BE515" s="411">
        <f t="shared" si="798"/>
        <v>242.90144423563339</v>
      </c>
      <c r="BF515" s="411">
        <f t="shared" si="798"/>
        <v>245.33045867798972</v>
      </c>
    </row>
    <row r="516" spans="1:58" ht="12" hidden="1" customHeight="1" outlineLevel="2" x14ac:dyDescent="0.3">
      <c r="A516" s="224"/>
      <c r="B516" s="224"/>
      <c r="C516" s="224"/>
      <c r="D516" s="224"/>
      <c r="E516" s="224"/>
      <c r="F516" s="224"/>
      <c r="G516" s="224"/>
      <c r="H516" s="224"/>
      <c r="I516" s="224"/>
      <c r="J516" s="224"/>
      <c r="K516" s="224"/>
      <c r="L516" s="117"/>
      <c r="M516" s="210" t="s">
        <v>1069</v>
      </c>
      <c r="N516" s="244" t="s">
        <v>77</v>
      </c>
      <c r="O516" s="150">
        <v>225.00000000000003</v>
      </c>
      <c r="P516" s="150">
        <v>235.27777777777777</v>
      </c>
      <c r="Q516" s="150">
        <v>137.5</v>
      </c>
      <c r="R516" s="150">
        <v>50.277777777777779</v>
      </c>
      <c r="S516" s="150">
        <v>55.555555555555557</v>
      </c>
      <c r="T516" s="150">
        <v>125</v>
      </c>
      <c r="U516" s="150">
        <v>5.2777777777777777</v>
      </c>
      <c r="V516" s="150">
        <v>5.5555555555555554</v>
      </c>
      <c r="W516" s="150">
        <v>4.7222222222222223</v>
      </c>
      <c r="X516" s="150">
        <v>5.3888888888888884</v>
      </c>
      <c r="Y516" s="394"/>
      <c r="Z516" s="246"/>
      <c r="AA516" s="246"/>
      <c r="AB516" s="150">
        <v>6.9444444444444446</v>
      </c>
      <c r="AC516" s="153">
        <v>13.888888888888889</v>
      </c>
      <c r="AD516" s="411">
        <f>AB516*AD$265/$AB$265</f>
        <v>7.0138888888888884</v>
      </c>
      <c r="AE516" s="411">
        <f>AD516*AE$265/AD$265</f>
        <v>7.0980555555555549</v>
      </c>
      <c r="AF516" s="411">
        <f t="shared" ref="AF516:BF516" si="799">AE516*AF$265/AE$265</f>
        <v>7.2045263888888877</v>
      </c>
      <c r="AG516" s="411">
        <f t="shared" si="799"/>
        <v>7.3125942847222198</v>
      </c>
      <c r="AH516" s="411">
        <f t="shared" si="799"/>
        <v>7.4222831989930533</v>
      </c>
      <c r="AI516" s="411">
        <f t="shared" si="799"/>
        <v>7.5336174469779484</v>
      </c>
      <c r="AJ516" s="411">
        <f t="shared" si="799"/>
        <v>7.6466217086826171</v>
      </c>
      <c r="AK516" s="411">
        <f t="shared" si="799"/>
        <v>7.7613210343128545</v>
      </c>
      <c r="AL516" s="411">
        <f t="shared" si="799"/>
        <v>7.8777408498275472</v>
      </c>
      <c r="AM516" s="411">
        <f t="shared" si="799"/>
        <v>7.9959069625749608</v>
      </c>
      <c r="AN516" s="411">
        <f t="shared" si="799"/>
        <v>8.1158455670135847</v>
      </c>
      <c r="AO516" s="411">
        <f t="shared" si="799"/>
        <v>8.2375832505187887</v>
      </c>
      <c r="AP516" s="411">
        <f t="shared" si="799"/>
        <v>8.3611469992765688</v>
      </c>
      <c r="AQ516" s="411">
        <f t="shared" si="799"/>
        <v>8.4865642042657168</v>
      </c>
      <c r="AR516" s="411">
        <f t="shared" si="799"/>
        <v>8.6138626673297018</v>
      </c>
      <c r="AS516" s="411">
        <f t="shared" si="799"/>
        <v>8.7430706073396447</v>
      </c>
      <c r="AT516" s="411">
        <f t="shared" si="799"/>
        <v>8.8742166664497386</v>
      </c>
      <c r="AU516" s="411">
        <f t="shared" si="799"/>
        <v>9.0073299164464835</v>
      </c>
      <c r="AV516" s="411">
        <f t="shared" si="799"/>
        <v>9.1424398651931806</v>
      </c>
      <c r="AW516" s="411">
        <f t="shared" si="799"/>
        <v>9.2795764631710771</v>
      </c>
      <c r="AX516" s="411">
        <f t="shared" si="799"/>
        <v>9.4187701101186416</v>
      </c>
      <c r="AY516" s="411">
        <f t="shared" si="799"/>
        <v>9.5600516617704212</v>
      </c>
      <c r="AZ516" s="411">
        <f t="shared" si="799"/>
        <v>9.7034524366969759</v>
      </c>
      <c r="BA516" s="411">
        <f t="shared" si="799"/>
        <v>9.8490042232474302</v>
      </c>
      <c r="BB516" s="411">
        <f t="shared" si="799"/>
        <v>9.9770412781496454</v>
      </c>
      <c r="BC516" s="411">
        <f t="shared" si="799"/>
        <v>10.096765773487443</v>
      </c>
      <c r="BD516" s="411">
        <f t="shared" si="799"/>
        <v>10.207830196995802</v>
      </c>
      <c r="BE516" s="411">
        <f t="shared" si="799"/>
        <v>10.309908498965761</v>
      </c>
      <c r="BF516" s="411">
        <f t="shared" si="799"/>
        <v>10.413007583955419</v>
      </c>
    </row>
    <row r="517" spans="1:58" ht="12" hidden="1" customHeight="1" outlineLevel="2" x14ac:dyDescent="0.3">
      <c r="A517" s="224"/>
      <c r="B517" s="224" t="s">
        <v>1073</v>
      </c>
      <c r="C517" s="224"/>
      <c r="D517" s="224" t="s">
        <v>885</v>
      </c>
      <c r="E517" s="224"/>
      <c r="F517" s="224"/>
      <c r="G517" s="224"/>
      <c r="H517" s="224"/>
      <c r="I517" s="224"/>
      <c r="J517" s="224"/>
      <c r="K517" s="224"/>
      <c r="L517" s="117"/>
      <c r="M517" s="214" t="s">
        <v>1074</v>
      </c>
      <c r="N517" s="247" t="s">
        <v>77</v>
      </c>
      <c r="O517" s="413">
        <f t="shared" ref="O517:X517" si="800">O502+O506+O509+O514+O515+O516</f>
        <v>539.15497324315561</v>
      </c>
      <c r="P517" s="413">
        <f t="shared" si="800"/>
        <v>521.81748224812941</v>
      </c>
      <c r="Q517" s="413">
        <f t="shared" si="800"/>
        <v>479.50991282519135</v>
      </c>
      <c r="R517" s="413">
        <f t="shared" si="800"/>
        <v>318.37115386323035</v>
      </c>
      <c r="S517" s="413">
        <f t="shared" si="800"/>
        <v>308.51660406197828</v>
      </c>
      <c r="T517" s="413">
        <f t="shared" si="800"/>
        <v>397.79656148191037</v>
      </c>
      <c r="U517" s="413">
        <f t="shared" si="800"/>
        <v>293.6549082796916</v>
      </c>
      <c r="V517" s="413">
        <f t="shared" si="800"/>
        <v>285.85208118962197</v>
      </c>
      <c r="W517" s="413">
        <f t="shared" si="800"/>
        <v>277.46593232216736</v>
      </c>
      <c r="X517" s="413">
        <f t="shared" si="800"/>
        <v>242.05102228515958</v>
      </c>
      <c r="Y517" s="394"/>
      <c r="Z517" s="210"/>
      <c r="AA517" s="210"/>
      <c r="AB517" s="413">
        <f>AB502+AB506+AB509+AB514+AB515+AB516</f>
        <v>209.16666666666669</v>
      </c>
      <c r="AC517" s="414">
        <f>AC502+AC506+AC509+AC514+AC515+AC516</f>
        <v>224.16666666666666</v>
      </c>
      <c r="AD517" s="411">
        <f>SUM(AD502:AD516)</f>
        <v>211.2583333333333</v>
      </c>
      <c r="AE517" s="411">
        <f>SUM(AE502:AE516)</f>
        <v>213.79343333333333</v>
      </c>
      <c r="AF517" s="411">
        <f t="shared" ref="AF517:BF517" si="801">SUM(AF502:AF516)</f>
        <v>217.00033483333328</v>
      </c>
      <c r="AG517" s="411">
        <f t="shared" si="801"/>
        <v>220.25533985583328</v>
      </c>
      <c r="AH517" s="411">
        <f t="shared" si="801"/>
        <v>223.55916995367076</v>
      </c>
      <c r="AI517" s="411">
        <f t="shared" si="801"/>
        <v>226.91255750297577</v>
      </c>
      <c r="AJ517" s="411">
        <f t="shared" si="801"/>
        <v>230.31624586552039</v>
      </c>
      <c r="AK517" s="411">
        <f t="shared" si="801"/>
        <v>233.77098955350314</v>
      </c>
      <c r="AL517" s="411">
        <f t="shared" si="801"/>
        <v>237.2775543968057</v>
      </c>
      <c r="AM517" s="411">
        <f t="shared" si="801"/>
        <v>240.83671771275777</v>
      </c>
      <c r="AN517" s="411">
        <f t="shared" si="801"/>
        <v>244.44926847844914</v>
      </c>
      <c r="AO517" s="411">
        <f t="shared" si="801"/>
        <v>248.11600750562579</v>
      </c>
      <c r="AP517" s="411">
        <f t="shared" si="801"/>
        <v>251.83774761821016</v>
      </c>
      <c r="AQ517" s="411">
        <f t="shared" si="801"/>
        <v>255.61531383248328</v>
      </c>
      <c r="AR517" s="411">
        <f t="shared" si="801"/>
        <v>259.44954353997059</v>
      </c>
      <c r="AS517" s="411">
        <f t="shared" si="801"/>
        <v>263.34128669307006</v>
      </c>
      <c r="AT517" s="411">
        <f t="shared" si="801"/>
        <v>267.29140599346607</v>
      </c>
      <c r="AU517" s="411">
        <f t="shared" si="801"/>
        <v>271.30077708336808</v>
      </c>
      <c r="AV517" s="411">
        <f t="shared" si="801"/>
        <v>275.37028873961856</v>
      </c>
      <c r="AW517" s="411">
        <f t="shared" si="801"/>
        <v>279.50084307071279</v>
      </c>
      <c r="AX517" s="411">
        <f t="shared" si="801"/>
        <v>283.69335571677351</v>
      </c>
      <c r="AY517" s="411">
        <f t="shared" si="801"/>
        <v>287.94875605252514</v>
      </c>
      <c r="AZ517" s="411">
        <f t="shared" si="801"/>
        <v>292.26798739331298</v>
      </c>
      <c r="BA517" s="411">
        <f t="shared" si="801"/>
        <v>296.65200720421268</v>
      </c>
      <c r="BB517" s="411">
        <f t="shared" si="801"/>
        <v>300.50848329786737</v>
      </c>
      <c r="BC517" s="411">
        <f t="shared" si="801"/>
        <v>304.11458509744182</v>
      </c>
      <c r="BD517" s="411">
        <f t="shared" si="801"/>
        <v>307.45984553351366</v>
      </c>
      <c r="BE517" s="411">
        <f t="shared" si="801"/>
        <v>310.53444398884875</v>
      </c>
      <c r="BF517" s="411">
        <f t="shared" si="801"/>
        <v>313.63978842873723</v>
      </c>
    </row>
    <row r="518" spans="1:58" ht="12" hidden="1" customHeight="1" outlineLevel="2" x14ac:dyDescent="0.3">
      <c r="A518" s="224"/>
      <c r="B518" s="224"/>
      <c r="C518" s="224"/>
      <c r="D518" s="224"/>
      <c r="E518" s="224"/>
      <c r="F518" s="224"/>
      <c r="G518" s="224"/>
      <c r="H518" s="224"/>
      <c r="I518" s="224"/>
      <c r="J518" s="224"/>
      <c r="K518" s="224"/>
      <c r="L518" s="117"/>
      <c r="M518" s="223" t="s">
        <v>980</v>
      </c>
      <c r="N518" s="216" t="s">
        <v>68</v>
      </c>
      <c r="O518" s="415">
        <f t="shared" ref="O518:X518" si="802">IFERROR((O503+O504+O505+O507+O508+O510+O511+O512+O513+O514+O515+O516)/O517,"")</f>
        <v>1</v>
      </c>
      <c r="P518" s="415">
        <f t="shared" si="802"/>
        <v>1</v>
      </c>
      <c r="Q518" s="415">
        <f t="shared" si="802"/>
        <v>1</v>
      </c>
      <c r="R518" s="415">
        <f t="shared" si="802"/>
        <v>1</v>
      </c>
      <c r="S518" s="415">
        <f t="shared" si="802"/>
        <v>1</v>
      </c>
      <c r="T518" s="415">
        <f t="shared" si="802"/>
        <v>1</v>
      </c>
      <c r="U518" s="415">
        <f t="shared" si="802"/>
        <v>1</v>
      </c>
      <c r="V518" s="415">
        <f t="shared" si="802"/>
        <v>1</v>
      </c>
      <c r="W518" s="415">
        <f t="shared" si="802"/>
        <v>1</v>
      </c>
      <c r="X518" s="415">
        <f t="shared" si="802"/>
        <v>1</v>
      </c>
      <c r="Y518" s="394"/>
      <c r="Z518" s="210"/>
      <c r="AA518" s="210"/>
      <c r="AB518" s="415">
        <f>IFERROR((AB503+AB504+AB505+AB507+AB508+AB510+AB511+AB512+AB513+AB514+AB515+AB516)/AB517,"")</f>
        <v>1</v>
      </c>
      <c r="AC518" s="415">
        <f>IFERROR((AC503+AC504+AC505+AC507+AC508+AC510+AC511+AC512+AC513+AC514+AC515+AC516)/AC517,"")</f>
        <v>1</v>
      </c>
      <c r="AD518" s="224"/>
      <c r="AE518" s="224"/>
      <c r="AF518" s="224"/>
      <c r="AG518" s="224"/>
      <c r="AH518" s="224"/>
      <c r="AI518" s="224"/>
      <c r="AJ518" s="224"/>
      <c r="AK518" s="224"/>
      <c r="AL518" s="224"/>
      <c r="AM518" s="224"/>
      <c r="AN518" s="224"/>
      <c r="AO518" s="224"/>
      <c r="AP518" s="224"/>
      <c r="AQ518" s="224"/>
      <c r="AR518" s="224"/>
      <c r="AS518" s="224"/>
      <c r="AT518" s="224"/>
      <c r="AU518" s="224"/>
      <c r="AV518" s="224"/>
      <c r="AW518" s="224"/>
      <c r="AX518" s="224"/>
      <c r="AY518" s="224"/>
      <c r="AZ518" s="224"/>
      <c r="BA518" s="224"/>
      <c r="BB518" s="224"/>
      <c r="BC518" s="224"/>
      <c r="BD518" s="224"/>
      <c r="BE518" s="224"/>
      <c r="BF518" s="224"/>
    </row>
    <row r="519" spans="1:58" ht="12" hidden="1" customHeight="1" outlineLevel="2" x14ac:dyDescent="0.3">
      <c r="A519" s="224"/>
      <c r="B519" s="224"/>
      <c r="C519" s="224"/>
      <c r="D519" s="224"/>
      <c r="E519" s="224"/>
      <c r="F519" s="224"/>
      <c r="G519" s="224"/>
      <c r="H519" s="224"/>
      <c r="I519" s="224"/>
      <c r="J519" s="224"/>
      <c r="K519" s="224"/>
      <c r="L519" s="117"/>
      <c r="M519" s="210"/>
      <c r="N519" s="210"/>
      <c r="O519" s="415">
        <f t="shared" ref="O519:X519" si="803">IFERROR((O502+O506+O509+O514+O515+O516)/O517,"")</f>
        <v>1</v>
      </c>
      <c r="P519" s="415">
        <f t="shared" si="803"/>
        <v>1</v>
      </c>
      <c r="Q519" s="415">
        <f t="shared" si="803"/>
        <v>1</v>
      </c>
      <c r="R519" s="415">
        <f t="shared" si="803"/>
        <v>1</v>
      </c>
      <c r="S519" s="415">
        <f t="shared" si="803"/>
        <v>1</v>
      </c>
      <c r="T519" s="415">
        <f t="shared" si="803"/>
        <v>1</v>
      </c>
      <c r="U519" s="415">
        <f t="shared" si="803"/>
        <v>1</v>
      </c>
      <c r="V519" s="415">
        <f t="shared" si="803"/>
        <v>1</v>
      </c>
      <c r="W519" s="415">
        <f t="shared" si="803"/>
        <v>1</v>
      </c>
      <c r="X519" s="415">
        <f t="shared" si="803"/>
        <v>1</v>
      </c>
      <c r="Y519" s="394"/>
      <c r="Z519" s="210"/>
      <c r="AA519" s="210"/>
      <c r="AB519" s="415">
        <f>IFERROR((AB502+AB506+AB509+AB514+AB515+AB516)/AB517,"")</f>
        <v>1</v>
      </c>
      <c r="AC519" s="415">
        <f>IFERROR((AC502+AC506+AC509+AC514+AC515+AC516)/AC517,"")</f>
        <v>1</v>
      </c>
      <c r="AD519" s="224"/>
      <c r="AE519" s="224"/>
      <c r="AF519" s="224"/>
      <c r="AG519" s="224"/>
      <c r="AH519" s="224"/>
      <c r="AI519" s="224"/>
      <c r="AJ519" s="224"/>
      <c r="AK519" s="224"/>
      <c r="AL519" s="224"/>
      <c r="AM519" s="224"/>
      <c r="AN519" s="224"/>
      <c r="AO519" s="224"/>
      <c r="AP519" s="224"/>
      <c r="AQ519" s="224"/>
      <c r="AR519" s="224"/>
      <c r="AS519" s="224"/>
      <c r="AT519" s="224"/>
      <c r="AU519" s="224"/>
      <c r="AV519" s="224"/>
      <c r="AW519" s="224"/>
      <c r="AX519" s="224"/>
      <c r="AY519" s="224"/>
      <c r="AZ519" s="224"/>
      <c r="BA519" s="224"/>
      <c r="BB519" s="224"/>
      <c r="BC519" s="224"/>
      <c r="BD519" s="224"/>
      <c r="BE519" s="224"/>
      <c r="BF519" s="224"/>
    </row>
    <row r="520" spans="1:58" ht="12" hidden="1" customHeight="1" outlineLevel="1" collapsed="1" x14ac:dyDescent="0.3">
      <c r="A520" s="224"/>
      <c r="B520" s="224"/>
      <c r="C520" s="224"/>
      <c r="D520" s="224"/>
      <c r="E520" s="224"/>
      <c r="F520" s="224"/>
      <c r="G520" s="224"/>
      <c r="H520" s="224"/>
      <c r="I520" s="224"/>
      <c r="J520" s="224"/>
      <c r="K520" s="224"/>
      <c r="L520" s="117"/>
      <c r="M520" s="210"/>
      <c r="N520" s="210"/>
      <c r="O520" s="210"/>
      <c r="P520" s="210"/>
      <c r="Q520" s="210"/>
      <c r="R520" s="210"/>
      <c r="S520" s="210"/>
      <c r="T520" s="210"/>
      <c r="U520" s="210"/>
      <c r="V520" s="210"/>
      <c r="W520" s="210"/>
      <c r="X520" s="210"/>
      <c r="Y520" s="394"/>
      <c r="Z520" s="210"/>
      <c r="AA520" s="210"/>
      <c r="AB520" s="210"/>
      <c r="AC520" s="210"/>
      <c r="AD520" s="224"/>
      <c r="AE520" s="224"/>
      <c r="AF520" s="224"/>
      <c r="AG520" s="224"/>
      <c r="AH520" s="224"/>
      <c r="AI520" s="224"/>
      <c r="AJ520" s="224"/>
      <c r="AK520" s="224"/>
      <c r="AL520" s="224"/>
      <c r="AM520" s="224"/>
      <c r="AN520" s="224"/>
      <c r="AO520" s="224"/>
      <c r="AP520" s="224"/>
      <c r="AQ520" s="224"/>
      <c r="AR520" s="224"/>
      <c r="AS520" s="224"/>
      <c r="AT520" s="224"/>
      <c r="AU520" s="224"/>
      <c r="AV520" s="224"/>
      <c r="AW520" s="224"/>
      <c r="AX520" s="224"/>
      <c r="AY520" s="224"/>
      <c r="AZ520" s="224"/>
      <c r="BA520" s="224"/>
      <c r="BB520" s="224"/>
      <c r="BC520" s="224"/>
      <c r="BD520" s="224"/>
      <c r="BE520" s="224"/>
      <c r="BF520" s="224"/>
    </row>
    <row r="521" spans="1:58" ht="12" hidden="1" customHeight="1" outlineLevel="1" x14ac:dyDescent="0.3">
      <c r="A521" s="224"/>
      <c r="B521" s="224"/>
      <c r="C521" s="224"/>
      <c r="D521" s="224"/>
      <c r="E521" s="224"/>
      <c r="F521" s="224"/>
      <c r="G521" s="224"/>
      <c r="H521" s="224"/>
      <c r="I521" s="224"/>
      <c r="J521" s="224"/>
      <c r="K521" s="224"/>
      <c r="L521" s="117"/>
      <c r="M521" s="241" t="s">
        <v>1075</v>
      </c>
      <c r="N521" s="241"/>
      <c r="O521" s="242"/>
      <c r="P521" s="242"/>
      <c r="Q521" s="242"/>
      <c r="R521" s="242"/>
      <c r="S521" s="242"/>
      <c r="T521" s="242"/>
      <c r="U521" s="242"/>
      <c r="V521" s="242"/>
      <c r="W521" s="242"/>
      <c r="X521" s="242"/>
      <c r="Y521" s="394"/>
      <c r="Z521" s="243"/>
      <c r="AA521" s="243"/>
      <c r="AB521" s="242"/>
      <c r="AC521" s="242"/>
      <c r="AD521" s="242"/>
      <c r="AE521" s="242"/>
      <c r="AF521" s="242"/>
      <c r="AG521" s="242"/>
      <c r="AH521" s="242"/>
      <c r="AI521" s="242"/>
      <c r="AJ521" s="242"/>
      <c r="AK521" s="242"/>
      <c r="AL521" s="242"/>
      <c r="AM521" s="242"/>
      <c r="AN521" s="242"/>
      <c r="AO521" s="242"/>
      <c r="AP521" s="242"/>
      <c r="AQ521" s="242"/>
      <c r="AR521" s="242"/>
      <c r="AS521" s="242"/>
      <c r="AT521" s="242"/>
      <c r="AU521" s="242"/>
      <c r="AV521" s="242"/>
      <c r="AW521" s="242"/>
      <c r="AX521" s="242"/>
      <c r="AY521" s="242"/>
      <c r="AZ521" s="242"/>
      <c r="BA521" s="242"/>
      <c r="BB521" s="242"/>
      <c r="BC521" s="242"/>
      <c r="BD521" s="242"/>
      <c r="BE521" s="242"/>
      <c r="BF521" s="242"/>
    </row>
    <row r="522" spans="1:58" ht="12" hidden="1" customHeight="1" outlineLevel="1" x14ac:dyDescent="0.3">
      <c r="A522" s="224"/>
      <c r="B522" s="224"/>
      <c r="C522" s="224"/>
      <c r="D522" s="224"/>
      <c r="E522" s="224"/>
      <c r="F522" s="224"/>
      <c r="G522" s="224"/>
      <c r="H522" s="224"/>
      <c r="I522" s="224"/>
      <c r="J522" s="224"/>
      <c r="K522" s="224"/>
      <c r="L522" s="117"/>
      <c r="M522" s="210"/>
      <c r="N522" s="210"/>
      <c r="O522" s="210"/>
      <c r="P522" s="210"/>
      <c r="Q522" s="210"/>
      <c r="R522" s="210"/>
      <c r="S522" s="210"/>
      <c r="T522" s="210"/>
      <c r="U522" s="210"/>
      <c r="V522" s="210"/>
      <c r="W522" s="210"/>
      <c r="X522" s="210"/>
      <c r="Y522" s="394"/>
      <c r="Z522" s="210"/>
      <c r="AA522" s="210"/>
      <c r="AB522" s="210"/>
      <c r="AC522" s="210"/>
      <c r="AD522" s="224"/>
      <c r="AE522" s="224"/>
      <c r="AF522" s="224"/>
      <c r="AG522" s="224"/>
      <c r="AH522" s="224"/>
      <c r="AI522" s="224"/>
      <c r="AJ522" s="224"/>
      <c r="AK522" s="224"/>
      <c r="AL522" s="224"/>
      <c r="AM522" s="224"/>
      <c r="AN522" s="224"/>
      <c r="AO522" s="224"/>
      <c r="AP522" s="224"/>
      <c r="AQ522" s="224"/>
      <c r="AR522" s="224"/>
      <c r="AS522" s="224"/>
      <c r="AT522" s="224"/>
      <c r="AU522" s="224"/>
      <c r="AV522" s="224"/>
      <c r="AW522" s="224"/>
      <c r="AX522" s="224"/>
      <c r="AY522" s="224"/>
      <c r="AZ522" s="224"/>
      <c r="BA522" s="224"/>
      <c r="BB522" s="224"/>
      <c r="BC522" s="224"/>
      <c r="BD522" s="224"/>
      <c r="BE522" s="224"/>
      <c r="BF522" s="224"/>
    </row>
    <row r="523" spans="1:58" ht="12" hidden="1" customHeight="1" outlineLevel="1" x14ac:dyDescent="0.3">
      <c r="A523" s="224"/>
      <c r="B523" s="224"/>
      <c r="C523" s="224"/>
      <c r="D523" s="224"/>
      <c r="E523" s="224"/>
      <c r="F523" s="224"/>
      <c r="G523" s="224"/>
      <c r="H523" s="224"/>
      <c r="I523" s="224"/>
      <c r="J523" s="224"/>
      <c r="K523" s="224"/>
      <c r="L523" s="117"/>
      <c r="M523" s="211" t="s">
        <v>1076</v>
      </c>
      <c r="N523" s="210"/>
      <c r="O523" s="210"/>
      <c r="P523" s="210"/>
      <c r="Q523" s="210"/>
      <c r="R523" s="210"/>
      <c r="S523" s="210"/>
      <c r="T523" s="210"/>
      <c r="U523" s="210"/>
      <c r="V523" s="210"/>
      <c r="W523" s="210"/>
      <c r="X523" s="210"/>
      <c r="Y523" s="394"/>
      <c r="Z523" s="210"/>
      <c r="AA523" s="210"/>
      <c r="AB523" s="210"/>
      <c r="AC523" s="210"/>
      <c r="AD523" s="224"/>
      <c r="AE523" s="224"/>
      <c r="AF523" s="224"/>
      <c r="AG523" s="224"/>
      <c r="AH523" s="224"/>
      <c r="AI523" s="224"/>
      <c r="AJ523" s="224"/>
      <c r="AK523" s="224"/>
      <c r="AL523" s="224"/>
      <c r="AM523" s="224"/>
      <c r="AN523" s="224"/>
      <c r="AO523" s="224"/>
      <c r="AP523" s="224"/>
      <c r="AQ523" s="224"/>
      <c r="AR523" s="224"/>
      <c r="AS523" s="224"/>
      <c r="AT523" s="224"/>
      <c r="AU523" s="224"/>
      <c r="AV523" s="224"/>
      <c r="AW523" s="224"/>
      <c r="AX523" s="224"/>
      <c r="AY523" s="224"/>
      <c r="AZ523" s="224"/>
      <c r="BA523" s="224"/>
      <c r="BB523" s="224"/>
      <c r="BC523" s="224"/>
      <c r="BD523" s="224"/>
      <c r="BE523" s="224"/>
      <c r="BF523" s="224"/>
    </row>
    <row r="524" spans="1:58" ht="12" hidden="1" customHeight="1" outlineLevel="1" x14ac:dyDescent="0.3">
      <c r="A524" s="224"/>
      <c r="B524" s="224"/>
      <c r="C524" s="224"/>
      <c r="D524" s="224"/>
      <c r="E524" s="224"/>
      <c r="F524" s="224"/>
      <c r="G524" s="224"/>
      <c r="H524" s="224"/>
      <c r="I524" s="224"/>
      <c r="J524" s="224"/>
      <c r="K524" s="224"/>
      <c r="L524" s="117"/>
      <c r="M524" s="210" t="s">
        <v>1077</v>
      </c>
      <c r="N524" s="244" t="s">
        <v>77</v>
      </c>
      <c r="O524" s="409">
        <f>SUM(O525:O527)</f>
        <v>46.999999999999993</v>
      </c>
      <c r="P524" s="409">
        <f t="shared" ref="P524" si="804">SUM(P525:P527)</f>
        <v>46.999999999999993</v>
      </c>
      <c r="Q524" s="409">
        <f t="shared" ref="Q524" si="805">SUM(Q525:Q527)</f>
        <v>70.5</v>
      </c>
      <c r="R524" s="409">
        <f t="shared" ref="R524" si="806">SUM(R525:R527)</f>
        <v>70.5</v>
      </c>
      <c r="S524" s="409">
        <f t="shared" ref="S524" si="807">SUM(S525:S527)</f>
        <v>58.75</v>
      </c>
      <c r="T524" s="409">
        <f t="shared" ref="T524" si="808">SUM(T525:T527)</f>
        <v>58.751388888888883</v>
      </c>
      <c r="U524" s="409">
        <f t="shared" ref="U524" si="809">SUM(U525:U527)</f>
        <v>58.75</v>
      </c>
      <c r="V524" s="409">
        <f t="shared" ref="V524" si="810">SUM(V525:V527)</f>
        <v>47.001111111111115</v>
      </c>
      <c r="W524" s="409">
        <f t="shared" ref="W524" si="811">SUM(W525:W527)</f>
        <v>35.250833333333333</v>
      </c>
      <c r="X524" s="409">
        <f t="shared" ref="X524" si="812">SUM(X525:X527)</f>
        <v>11.838888888888889</v>
      </c>
      <c r="Y524" s="394"/>
      <c r="Z524" s="246"/>
      <c r="AA524" s="246"/>
      <c r="AB524" s="409">
        <f t="shared" ref="AB524" si="813">SUM(AB525:AB527)</f>
        <v>5.5555555555555554</v>
      </c>
      <c r="AC524" s="410">
        <f t="shared" ref="AC524" si="814">SUM(AC525:AC527)</f>
        <v>6.1111111111111107</v>
      </c>
      <c r="AD524" s="411">
        <f>AB524*AD$270/$AB$270</f>
        <v>5.6111111111111107</v>
      </c>
      <c r="AE524" s="411">
        <f>AD524*AE$270/AD$270</f>
        <v>5.6784444444444446</v>
      </c>
      <c r="AF524" s="411">
        <f t="shared" ref="AF524:BF524" si="815">AE524*AF$270/AE$270</f>
        <v>5.7636211111111111</v>
      </c>
      <c r="AG524" s="411">
        <f t="shared" si="815"/>
        <v>5.850075427777778</v>
      </c>
      <c r="AH524" s="411">
        <f t="shared" si="815"/>
        <v>5.9378265591944439</v>
      </c>
      <c r="AI524" s="411">
        <f t="shared" si="815"/>
        <v>6.0268939575823604</v>
      </c>
      <c r="AJ524" s="411">
        <f t="shared" si="815"/>
        <v>6.1172973669460955</v>
      </c>
      <c r="AK524" s="411">
        <f t="shared" si="815"/>
        <v>6.2090568274502864</v>
      </c>
      <c r="AL524" s="411">
        <f t="shared" si="815"/>
        <v>6.3021926798620402</v>
      </c>
      <c r="AM524" s="411">
        <f t="shared" si="815"/>
        <v>6.3967255700599699</v>
      </c>
      <c r="AN524" s="411">
        <f t="shared" si="815"/>
        <v>6.4926764536108683</v>
      </c>
      <c r="AO524" s="411">
        <f t="shared" si="815"/>
        <v>6.5900666004150308</v>
      </c>
      <c r="AP524" s="411">
        <f t="shared" si="815"/>
        <v>6.6889175994212549</v>
      </c>
      <c r="AQ524" s="411">
        <f t="shared" si="815"/>
        <v>6.7892513634125731</v>
      </c>
      <c r="AR524" s="411">
        <f t="shared" si="815"/>
        <v>6.8910901338637611</v>
      </c>
      <c r="AS524" s="411">
        <f t="shared" si="815"/>
        <v>6.9944564858717175</v>
      </c>
      <c r="AT524" s="411">
        <f t="shared" si="815"/>
        <v>7.099373333159793</v>
      </c>
      <c r="AU524" s="411">
        <f t="shared" si="815"/>
        <v>7.2058639331571896</v>
      </c>
      <c r="AV524" s="411">
        <f t="shared" si="815"/>
        <v>7.3139518921545461</v>
      </c>
      <c r="AW524" s="411">
        <f t="shared" si="815"/>
        <v>7.4236611705368638</v>
      </c>
      <c r="AX524" s="411">
        <f t="shared" si="815"/>
        <v>7.535016088094916</v>
      </c>
      <c r="AY524" s="411">
        <f t="shared" si="815"/>
        <v>7.6480413294163396</v>
      </c>
      <c r="AZ524" s="411">
        <f t="shared" si="815"/>
        <v>7.7627619493575848</v>
      </c>
      <c r="BA524" s="411">
        <f t="shared" si="815"/>
        <v>7.8792033785979472</v>
      </c>
      <c r="BB524" s="411">
        <f t="shared" si="815"/>
        <v>7.9816330225197207</v>
      </c>
      <c r="BC524" s="411">
        <f t="shared" si="815"/>
        <v>8.0774126187899569</v>
      </c>
      <c r="BD524" s="411">
        <f t="shared" si="815"/>
        <v>8.1662641575966468</v>
      </c>
      <c r="BE524" s="411">
        <f t="shared" si="815"/>
        <v>8.247926799172614</v>
      </c>
      <c r="BF524" s="411">
        <f t="shared" si="815"/>
        <v>8.3304060671643398</v>
      </c>
    </row>
    <row r="525" spans="1:58" ht="12" hidden="1" customHeight="1" outlineLevel="1" x14ac:dyDescent="0.3">
      <c r="A525" s="224"/>
      <c r="B525" s="224"/>
      <c r="C525" s="224"/>
      <c r="D525" s="224"/>
      <c r="E525" s="224"/>
      <c r="F525" s="224"/>
      <c r="G525" s="224"/>
      <c r="H525" s="224"/>
      <c r="I525" s="224"/>
      <c r="J525" s="224"/>
      <c r="K525" s="224"/>
      <c r="L525" s="117"/>
      <c r="M525" s="213" t="s">
        <v>964</v>
      </c>
      <c r="N525" s="244" t="s">
        <v>77</v>
      </c>
      <c r="O525" s="150">
        <v>46.999999999999993</v>
      </c>
      <c r="P525" s="150">
        <v>46.999999999999993</v>
      </c>
      <c r="Q525" s="150">
        <v>70.5</v>
      </c>
      <c r="R525" s="150">
        <v>70.5</v>
      </c>
      <c r="S525" s="150">
        <v>58.75</v>
      </c>
      <c r="T525" s="150">
        <v>58.751388888888883</v>
      </c>
      <c r="U525" s="150">
        <v>58.75</v>
      </c>
      <c r="V525" s="150">
        <v>47.001111111111115</v>
      </c>
      <c r="W525" s="150">
        <v>35.250833333333333</v>
      </c>
      <c r="X525" s="150">
        <v>10.574999999999999</v>
      </c>
      <c r="Y525" s="394"/>
      <c r="Z525" s="246"/>
      <c r="AA525" s="246"/>
      <c r="AB525" s="150">
        <v>4.166666666666667</v>
      </c>
      <c r="AC525" s="153">
        <v>4.7222222222222223</v>
      </c>
      <c r="AD525" s="412"/>
      <c r="AE525" s="412"/>
      <c r="AF525" s="412"/>
      <c r="AG525" s="412"/>
      <c r="AH525" s="412"/>
      <c r="AI525" s="412"/>
      <c r="AJ525" s="412"/>
      <c r="AK525" s="412"/>
      <c r="AL525" s="412"/>
      <c r="AM525" s="412"/>
      <c r="AN525" s="412"/>
      <c r="AO525" s="412"/>
      <c r="AP525" s="412"/>
      <c r="AQ525" s="412"/>
      <c r="AR525" s="412"/>
      <c r="AS525" s="412"/>
      <c r="AT525" s="412"/>
      <c r="AU525" s="412"/>
      <c r="AV525" s="412"/>
      <c r="AW525" s="412"/>
      <c r="AX525" s="412"/>
      <c r="AY525" s="412"/>
      <c r="AZ525" s="412"/>
      <c r="BA525" s="412"/>
      <c r="BB525" s="412"/>
      <c r="BC525" s="412"/>
      <c r="BD525" s="412"/>
      <c r="BE525" s="412"/>
      <c r="BF525" s="412"/>
    </row>
    <row r="526" spans="1:58" ht="12" hidden="1" customHeight="1" outlineLevel="1" x14ac:dyDescent="0.3">
      <c r="A526" s="224"/>
      <c r="B526" s="224"/>
      <c r="C526" s="224"/>
      <c r="D526" s="224"/>
      <c r="E526" s="224"/>
      <c r="F526" s="224"/>
      <c r="G526" s="224"/>
      <c r="H526" s="224"/>
      <c r="I526" s="224"/>
      <c r="J526" s="224"/>
      <c r="K526" s="224"/>
      <c r="L526" s="117"/>
      <c r="M526" s="213" t="s">
        <v>965</v>
      </c>
      <c r="N526" s="244" t="s">
        <v>77</v>
      </c>
      <c r="O526" s="150">
        <v>0</v>
      </c>
      <c r="P526" s="150">
        <v>0</v>
      </c>
      <c r="Q526" s="150">
        <v>0</v>
      </c>
      <c r="R526" s="150">
        <v>0</v>
      </c>
      <c r="S526" s="150">
        <v>0</v>
      </c>
      <c r="T526" s="150">
        <v>0</v>
      </c>
      <c r="U526" s="150">
        <v>0</v>
      </c>
      <c r="V526" s="150">
        <v>0</v>
      </c>
      <c r="W526" s="150">
        <v>0</v>
      </c>
      <c r="X526" s="150">
        <v>0</v>
      </c>
      <c r="Y526" s="394"/>
      <c r="Z526" s="246"/>
      <c r="AA526" s="246"/>
      <c r="AB526" s="150">
        <v>0</v>
      </c>
      <c r="AC526" s="153">
        <v>0</v>
      </c>
      <c r="AD526" s="412"/>
      <c r="AE526" s="412"/>
      <c r="AF526" s="412"/>
      <c r="AG526" s="412"/>
      <c r="AH526" s="412"/>
      <c r="AI526" s="412"/>
      <c r="AJ526" s="412"/>
      <c r="AK526" s="412"/>
      <c r="AL526" s="412"/>
      <c r="AM526" s="412"/>
      <c r="AN526" s="412"/>
      <c r="AO526" s="412"/>
      <c r="AP526" s="412"/>
      <c r="AQ526" s="412"/>
      <c r="AR526" s="412"/>
      <c r="AS526" s="412"/>
      <c r="AT526" s="412"/>
      <c r="AU526" s="412"/>
      <c r="AV526" s="412"/>
      <c r="AW526" s="412"/>
      <c r="AX526" s="412"/>
      <c r="AY526" s="412"/>
      <c r="AZ526" s="412"/>
      <c r="BA526" s="412"/>
      <c r="BB526" s="412"/>
      <c r="BC526" s="412"/>
      <c r="BD526" s="412"/>
      <c r="BE526" s="412"/>
      <c r="BF526" s="412"/>
    </row>
    <row r="527" spans="1:58" ht="12" hidden="1" customHeight="1" outlineLevel="1" x14ac:dyDescent="0.3">
      <c r="A527" s="224"/>
      <c r="B527" s="224"/>
      <c r="C527" s="224"/>
      <c r="D527" s="224"/>
      <c r="E527" s="224"/>
      <c r="F527" s="224"/>
      <c r="G527" s="224"/>
      <c r="H527" s="224"/>
      <c r="I527" s="224"/>
      <c r="J527" s="224"/>
      <c r="K527" s="224"/>
      <c r="L527" s="117"/>
      <c r="M527" s="213" t="s">
        <v>966</v>
      </c>
      <c r="N527" s="244" t="s">
        <v>77</v>
      </c>
      <c r="O527" s="150">
        <v>0</v>
      </c>
      <c r="P527" s="150">
        <v>0</v>
      </c>
      <c r="Q527" s="150">
        <v>0</v>
      </c>
      <c r="R527" s="150">
        <v>0</v>
      </c>
      <c r="S527" s="150">
        <v>0</v>
      </c>
      <c r="T527" s="150">
        <v>0</v>
      </c>
      <c r="U527" s="150">
        <v>0</v>
      </c>
      <c r="V527" s="150">
        <v>0</v>
      </c>
      <c r="W527" s="150">
        <v>0</v>
      </c>
      <c r="X527" s="150">
        <v>1.2638888888888888</v>
      </c>
      <c r="Y527" s="394"/>
      <c r="Z527" s="220"/>
      <c r="AA527" s="220"/>
      <c r="AB527" s="150">
        <v>1.3888888888888888</v>
      </c>
      <c r="AC527" s="153">
        <v>1.3888888888888888</v>
      </c>
      <c r="AD527" s="412"/>
      <c r="AE527" s="412"/>
      <c r="AF527" s="412"/>
      <c r="AG527" s="412"/>
      <c r="AH527" s="412"/>
      <c r="AI527" s="412"/>
      <c r="AJ527" s="412"/>
      <c r="AK527" s="412"/>
      <c r="AL527" s="412"/>
      <c r="AM527" s="412"/>
      <c r="AN527" s="412"/>
      <c r="AO527" s="412"/>
      <c r="AP527" s="412"/>
      <c r="AQ527" s="412"/>
      <c r="AR527" s="412"/>
      <c r="AS527" s="412"/>
      <c r="AT527" s="412"/>
      <c r="AU527" s="412"/>
      <c r="AV527" s="412"/>
      <c r="AW527" s="412"/>
      <c r="AX527" s="412"/>
      <c r="AY527" s="412"/>
      <c r="AZ527" s="412"/>
      <c r="BA527" s="412"/>
      <c r="BB527" s="412"/>
      <c r="BC527" s="412"/>
      <c r="BD527" s="412"/>
      <c r="BE527" s="412"/>
      <c r="BF527" s="412"/>
    </row>
    <row r="528" spans="1:58" ht="12" hidden="1" customHeight="1" outlineLevel="1" x14ac:dyDescent="0.3">
      <c r="A528" s="224"/>
      <c r="B528" s="224"/>
      <c r="C528" s="224"/>
      <c r="D528" s="224"/>
      <c r="E528" s="224"/>
      <c r="F528" s="224"/>
      <c r="G528" s="224"/>
      <c r="H528" s="224"/>
      <c r="I528" s="224"/>
      <c r="J528" s="224"/>
      <c r="K528" s="224"/>
      <c r="L528" s="117"/>
      <c r="M528" s="210" t="s">
        <v>1078</v>
      </c>
      <c r="N528" s="244" t="s">
        <v>77</v>
      </c>
      <c r="O528" s="409">
        <f>SUM(O529:O530)</f>
        <v>41.23928102844814</v>
      </c>
      <c r="P528" s="409">
        <f t="shared" ref="P528" si="816">SUM(P529:P530)</f>
        <v>54.235902928322702</v>
      </c>
      <c r="Q528" s="409">
        <f t="shared" ref="Q528" si="817">SUM(Q529:Q530)</f>
        <v>65.732914608980977</v>
      </c>
      <c r="R528" s="409">
        <f t="shared" ref="R528" si="818">SUM(R529:R530)</f>
        <v>74.730575924278767</v>
      </c>
      <c r="S528" s="409">
        <f t="shared" ref="S528" si="819">SUM(S529:S530)</f>
        <v>57.485058403291347</v>
      </c>
      <c r="T528" s="409">
        <f t="shared" ref="T528" si="820">SUM(T529:T530)</f>
        <v>49.737072270673828</v>
      </c>
      <c r="U528" s="409">
        <f t="shared" ref="U528" si="821">SUM(U529:U530)</f>
        <v>63.733434316692581</v>
      </c>
      <c r="V528" s="409">
        <f t="shared" ref="V528" si="822">SUM(V529:V530)</f>
        <v>49.987007307209872</v>
      </c>
      <c r="W528" s="409">
        <f t="shared" ref="W528" si="823">SUM(W529:W530)</f>
        <v>57.250619339020545</v>
      </c>
      <c r="X528" s="409">
        <f t="shared" ref="X528" si="824">SUM(X529:X530)</f>
        <v>60.059389279612667</v>
      </c>
      <c r="Y528" s="394"/>
      <c r="Z528" s="246"/>
      <c r="AA528" s="246"/>
      <c r="AB528" s="409">
        <f t="shared" ref="AB528" si="825">SUM(AB529:AB530)</f>
        <v>31.388888888888889</v>
      </c>
      <c r="AC528" s="410">
        <f t="shared" ref="AC528" si="826">SUM(AC529:AC530)</f>
        <v>44.722222222222221</v>
      </c>
      <c r="AD528" s="411">
        <f>AB528*AD$270/$AB$270</f>
        <v>31.702777777777779</v>
      </c>
      <c r="AE528" s="411">
        <f>AD528*AE$270/AD$270</f>
        <v>32.083211111111112</v>
      </c>
      <c r="AF528" s="411">
        <f t="shared" ref="AF528:BF528" si="827">AE528*AF$270/AE$270</f>
        <v>32.564459277777779</v>
      </c>
      <c r="AG528" s="411">
        <f t="shared" si="827"/>
        <v>33.052926166944445</v>
      </c>
      <c r="AH528" s="411">
        <f t="shared" si="827"/>
        <v>33.548720059448613</v>
      </c>
      <c r="AI528" s="411">
        <f t="shared" si="827"/>
        <v>34.051950860340341</v>
      </c>
      <c r="AJ528" s="411">
        <f t="shared" si="827"/>
        <v>34.562730123245444</v>
      </c>
      <c r="AK528" s="411">
        <f t="shared" si="827"/>
        <v>35.081171075094126</v>
      </c>
      <c r="AL528" s="411">
        <f t="shared" si="827"/>
        <v>35.607388641220531</v>
      </c>
      <c r="AM528" s="411">
        <f t="shared" si="827"/>
        <v>36.141499470838831</v>
      </c>
      <c r="AN528" s="411">
        <f t="shared" si="827"/>
        <v>36.683621962901412</v>
      </c>
      <c r="AO528" s="411">
        <f t="shared" si="827"/>
        <v>37.233876292344931</v>
      </c>
      <c r="AP528" s="411">
        <f t="shared" si="827"/>
        <v>37.792384436730096</v>
      </c>
      <c r="AQ528" s="411">
        <f t="shared" si="827"/>
        <v>38.359270203281049</v>
      </c>
      <c r="AR528" s="411">
        <f t="shared" si="827"/>
        <v>38.934659256330264</v>
      </c>
      <c r="AS528" s="411">
        <f t="shared" si="827"/>
        <v>39.51867914517522</v>
      </c>
      <c r="AT528" s="411">
        <f t="shared" si="827"/>
        <v>40.111459332352844</v>
      </c>
      <c r="AU528" s="411">
        <f t="shared" si="827"/>
        <v>40.713131222338134</v>
      </c>
      <c r="AV528" s="411">
        <f t="shared" si="827"/>
        <v>41.323828190673197</v>
      </c>
      <c r="AW528" s="411">
        <f t="shared" si="827"/>
        <v>41.94368561353329</v>
      </c>
      <c r="AX528" s="411">
        <f t="shared" si="827"/>
        <v>42.572840897736285</v>
      </c>
      <c r="AY528" s="411">
        <f t="shared" si="827"/>
        <v>43.21143351120233</v>
      </c>
      <c r="AZ528" s="411">
        <f t="shared" si="827"/>
        <v>43.859605013870365</v>
      </c>
      <c r="BA528" s="411">
        <f t="shared" si="827"/>
        <v>44.51749908907842</v>
      </c>
      <c r="BB528" s="411">
        <f t="shared" si="827"/>
        <v>45.096226577236443</v>
      </c>
      <c r="BC528" s="411">
        <f t="shared" si="827"/>
        <v>45.637381296163284</v>
      </c>
      <c r="BD528" s="411">
        <f t="shared" si="827"/>
        <v>46.139392490421073</v>
      </c>
      <c r="BE528" s="411">
        <f t="shared" si="827"/>
        <v>46.600786415325288</v>
      </c>
      <c r="BF528" s="411">
        <f t="shared" si="827"/>
        <v>47.066794279478543</v>
      </c>
    </row>
    <row r="529" spans="1:58" ht="12" hidden="1" customHeight="1" outlineLevel="1" x14ac:dyDescent="0.3">
      <c r="A529" s="224"/>
      <c r="B529" s="224"/>
      <c r="C529" s="224"/>
      <c r="D529" s="224"/>
      <c r="E529" s="224"/>
      <c r="F529" s="224"/>
      <c r="G529" s="224"/>
      <c r="H529" s="224"/>
      <c r="I529" s="224"/>
      <c r="J529" s="224"/>
      <c r="K529" s="224"/>
      <c r="L529" s="117"/>
      <c r="M529" s="213" t="s">
        <v>968</v>
      </c>
      <c r="N529" s="244" t="s">
        <v>77</v>
      </c>
      <c r="O529" s="150">
        <v>41.23928102844814</v>
      </c>
      <c r="P529" s="150">
        <v>54.235902928322702</v>
      </c>
      <c r="Q529" s="150">
        <v>65.732914608980977</v>
      </c>
      <c r="R529" s="150">
        <v>74.730575924278767</v>
      </c>
      <c r="S529" s="150">
        <v>57.485058403291347</v>
      </c>
      <c r="T529" s="150">
        <v>49.737072270673828</v>
      </c>
      <c r="U529" s="150">
        <v>63.733434316692581</v>
      </c>
      <c r="V529" s="150">
        <v>49.987007307209872</v>
      </c>
      <c r="W529" s="150">
        <v>57.250619339020545</v>
      </c>
      <c r="X529" s="150">
        <v>60.059389279612667</v>
      </c>
      <c r="Y529" s="394"/>
      <c r="Z529" s="246"/>
      <c r="AA529" s="246"/>
      <c r="AB529" s="150">
        <v>31.388888888888889</v>
      </c>
      <c r="AC529" s="153">
        <v>44.722222222222221</v>
      </c>
      <c r="AD529" s="412"/>
      <c r="AE529" s="412"/>
      <c r="AF529" s="412"/>
      <c r="AG529" s="412"/>
      <c r="AH529" s="412"/>
      <c r="AI529" s="412"/>
      <c r="AJ529" s="412"/>
      <c r="AK529" s="412"/>
      <c r="AL529" s="412"/>
      <c r="AM529" s="412"/>
      <c r="AN529" s="412"/>
      <c r="AO529" s="412"/>
      <c r="AP529" s="412"/>
      <c r="AQ529" s="412"/>
      <c r="AR529" s="412"/>
      <c r="AS529" s="412"/>
      <c r="AT529" s="412"/>
      <c r="AU529" s="412"/>
      <c r="AV529" s="412"/>
      <c r="AW529" s="412"/>
      <c r="AX529" s="412"/>
      <c r="AY529" s="412"/>
      <c r="AZ529" s="412"/>
      <c r="BA529" s="412"/>
      <c r="BB529" s="412"/>
      <c r="BC529" s="412"/>
      <c r="BD529" s="412"/>
      <c r="BE529" s="412"/>
      <c r="BF529" s="412"/>
    </row>
    <row r="530" spans="1:58" ht="12" hidden="1" customHeight="1" outlineLevel="1" x14ac:dyDescent="0.3">
      <c r="A530" s="224"/>
      <c r="B530" s="224"/>
      <c r="C530" s="224"/>
      <c r="D530" s="224"/>
      <c r="E530" s="224"/>
      <c r="F530" s="224"/>
      <c r="G530" s="224"/>
      <c r="H530" s="224"/>
      <c r="I530" s="224"/>
      <c r="J530" s="224"/>
      <c r="K530" s="224"/>
      <c r="L530" s="117"/>
      <c r="M530" s="213" t="s">
        <v>969</v>
      </c>
      <c r="N530" s="244" t="s">
        <v>77</v>
      </c>
      <c r="O530" s="150">
        <v>0</v>
      </c>
      <c r="P530" s="150">
        <v>0</v>
      </c>
      <c r="Q530" s="150">
        <v>0</v>
      </c>
      <c r="R530" s="150">
        <v>0</v>
      </c>
      <c r="S530" s="150">
        <v>0</v>
      </c>
      <c r="T530" s="150">
        <v>0</v>
      </c>
      <c r="U530" s="150">
        <v>0</v>
      </c>
      <c r="V530" s="150">
        <v>0</v>
      </c>
      <c r="W530" s="150">
        <v>0</v>
      </c>
      <c r="X530" s="150">
        <v>0</v>
      </c>
      <c r="Y530" s="394"/>
      <c r="Z530" s="220"/>
      <c r="AA530" s="220"/>
      <c r="AB530" s="150">
        <v>0</v>
      </c>
      <c r="AC530" s="153">
        <v>0</v>
      </c>
      <c r="AD530" s="412"/>
      <c r="AE530" s="412"/>
      <c r="AF530" s="412"/>
      <c r="AG530" s="412"/>
      <c r="AH530" s="412"/>
      <c r="AI530" s="412"/>
      <c r="AJ530" s="412"/>
      <c r="AK530" s="412"/>
      <c r="AL530" s="412"/>
      <c r="AM530" s="412"/>
      <c r="AN530" s="412"/>
      <c r="AO530" s="412"/>
      <c r="AP530" s="412"/>
      <c r="AQ530" s="412"/>
      <c r="AR530" s="412"/>
      <c r="AS530" s="412"/>
      <c r="AT530" s="412"/>
      <c r="AU530" s="412"/>
      <c r="AV530" s="412"/>
      <c r="AW530" s="412"/>
      <c r="AX530" s="412"/>
      <c r="AY530" s="412"/>
      <c r="AZ530" s="412"/>
      <c r="BA530" s="412"/>
      <c r="BB530" s="412"/>
      <c r="BC530" s="412"/>
      <c r="BD530" s="412"/>
      <c r="BE530" s="412"/>
      <c r="BF530" s="412"/>
    </row>
    <row r="531" spans="1:58" ht="12" hidden="1" customHeight="1" outlineLevel="1" x14ac:dyDescent="0.3">
      <c r="A531" s="224"/>
      <c r="B531" s="224"/>
      <c r="C531" s="224"/>
      <c r="D531" s="224"/>
      <c r="E531" s="224"/>
      <c r="F531" s="224"/>
      <c r="G531" s="224"/>
      <c r="H531" s="224"/>
      <c r="I531" s="224"/>
      <c r="J531" s="224"/>
      <c r="K531" s="224"/>
      <c r="L531" s="117"/>
      <c r="M531" s="210" t="s">
        <v>1079</v>
      </c>
      <c r="N531" s="244" t="s">
        <v>77</v>
      </c>
      <c r="O531" s="409">
        <f>SUM(O532:O535)</f>
        <v>0</v>
      </c>
      <c r="P531" s="409">
        <f t="shared" ref="P531" si="828">SUM(P532:P535)</f>
        <v>0</v>
      </c>
      <c r="Q531" s="409">
        <f t="shared" ref="Q531" si="829">SUM(Q532:Q535)</f>
        <v>0</v>
      </c>
      <c r="R531" s="409">
        <f t="shared" ref="R531" si="830">SUM(R532:R535)</f>
        <v>0</v>
      </c>
      <c r="S531" s="409">
        <f t="shared" ref="S531" si="831">SUM(S532:S535)</f>
        <v>0</v>
      </c>
      <c r="T531" s="409">
        <f t="shared" ref="T531" si="832">SUM(T532:T535)</f>
        <v>0</v>
      </c>
      <c r="U531" s="409">
        <f t="shared" ref="U531" si="833">SUM(U532:U535)</f>
        <v>0</v>
      </c>
      <c r="V531" s="409">
        <f t="shared" ref="V531" si="834">SUM(V532:V535)</f>
        <v>0</v>
      </c>
      <c r="W531" s="409">
        <f t="shared" ref="W531" si="835">SUM(W532:W535)</f>
        <v>0</v>
      </c>
      <c r="X531" s="409">
        <f t="shared" ref="X531" si="836">SUM(X532:X535)</f>
        <v>0</v>
      </c>
      <c r="Y531" s="394"/>
      <c r="Z531" s="246"/>
      <c r="AA531" s="246"/>
      <c r="AB531" s="409">
        <f t="shared" ref="AB531" si="837">SUM(AB532:AB535)</f>
        <v>0</v>
      </c>
      <c r="AC531" s="410">
        <f t="shared" ref="AC531" si="838">SUM(AC532:AC535)</f>
        <v>0</v>
      </c>
      <c r="AD531" s="411">
        <f>AB531*AD$270/$AB$270</f>
        <v>0</v>
      </c>
      <c r="AE531" s="411">
        <f>AD531*AE$270/AD$270</f>
        <v>0</v>
      </c>
      <c r="AF531" s="411">
        <f t="shared" ref="AF531:BF531" si="839">AE531*AF$270/AE$270</f>
        <v>0</v>
      </c>
      <c r="AG531" s="411">
        <f t="shared" si="839"/>
        <v>0</v>
      </c>
      <c r="AH531" s="411">
        <f t="shared" si="839"/>
        <v>0</v>
      </c>
      <c r="AI531" s="411">
        <f t="shared" si="839"/>
        <v>0</v>
      </c>
      <c r="AJ531" s="411">
        <f t="shared" si="839"/>
        <v>0</v>
      </c>
      <c r="AK531" s="411">
        <f t="shared" si="839"/>
        <v>0</v>
      </c>
      <c r="AL531" s="411">
        <f t="shared" si="839"/>
        <v>0</v>
      </c>
      <c r="AM531" s="411">
        <f t="shared" si="839"/>
        <v>0</v>
      </c>
      <c r="AN531" s="411">
        <f t="shared" si="839"/>
        <v>0</v>
      </c>
      <c r="AO531" s="411">
        <f t="shared" si="839"/>
        <v>0</v>
      </c>
      <c r="AP531" s="411">
        <f t="shared" si="839"/>
        <v>0</v>
      </c>
      <c r="AQ531" s="411">
        <f t="shared" si="839"/>
        <v>0</v>
      </c>
      <c r="AR531" s="411">
        <f t="shared" si="839"/>
        <v>0</v>
      </c>
      <c r="AS531" s="411">
        <f t="shared" si="839"/>
        <v>0</v>
      </c>
      <c r="AT531" s="411">
        <f t="shared" si="839"/>
        <v>0</v>
      </c>
      <c r="AU531" s="411">
        <f t="shared" si="839"/>
        <v>0</v>
      </c>
      <c r="AV531" s="411">
        <f t="shared" si="839"/>
        <v>0</v>
      </c>
      <c r="AW531" s="411">
        <f t="shared" si="839"/>
        <v>0</v>
      </c>
      <c r="AX531" s="411">
        <f t="shared" si="839"/>
        <v>0</v>
      </c>
      <c r="AY531" s="411">
        <f t="shared" si="839"/>
        <v>0</v>
      </c>
      <c r="AZ531" s="411">
        <f t="shared" si="839"/>
        <v>0</v>
      </c>
      <c r="BA531" s="411">
        <f t="shared" si="839"/>
        <v>0</v>
      </c>
      <c r="BB531" s="411">
        <f t="shared" si="839"/>
        <v>0</v>
      </c>
      <c r="BC531" s="411">
        <f t="shared" si="839"/>
        <v>0</v>
      </c>
      <c r="BD531" s="411">
        <f t="shared" si="839"/>
        <v>0</v>
      </c>
      <c r="BE531" s="411">
        <f t="shared" si="839"/>
        <v>0</v>
      </c>
      <c r="BF531" s="411">
        <f t="shared" si="839"/>
        <v>0</v>
      </c>
    </row>
    <row r="532" spans="1:58" ht="12" hidden="1" customHeight="1" outlineLevel="1" x14ac:dyDescent="0.3">
      <c r="A532" s="224"/>
      <c r="B532" s="224"/>
      <c r="C532" s="224"/>
      <c r="D532" s="224"/>
      <c r="E532" s="224"/>
      <c r="F532" s="224"/>
      <c r="G532" s="224"/>
      <c r="H532" s="224"/>
      <c r="I532" s="224"/>
      <c r="J532" s="224"/>
      <c r="K532" s="224"/>
      <c r="L532" s="117"/>
      <c r="M532" s="213" t="s">
        <v>971</v>
      </c>
      <c r="N532" s="244" t="s">
        <v>77</v>
      </c>
      <c r="O532" s="150">
        <v>0</v>
      </c>
      <c r="P532" s="150">
        <v>0</v>
      </c>
      <c r="Q532" s="150">
        <v>0</v>
      </c>
      <c r="R532" s="150">
        <v>0</v>
      </c>
      <c r="S532" s="150">
        <v>0</v>
      </c>
      <c r="T532" s="150">
        <v>0</v>
      </c>
      <c r="U532" s="150">
        <v>0</v>
      </c>
      <c r="V532" s="150">
        <v>0</v>
      </c>
      <c r="W532" s="150">
        <v>0</v>
      </c>
      <c r="X532" s="150">
        <v>0</v>
      </c>
      <c r="Y532" s="394"/>
      <c r="Z532" s="246"/>
      <c r="AA532" s="246"/>
      <c r="AB532" s="150">
        <v>0</v>
      </c>
      <c r="AC532" s="153">
        <v>0</v>
      </c>
      <c r="AD532" s="412"/>
      <c r="AE532" s="412"/>
      <c r="AF532" s="412"/>
      <c r="AG532" s="412"/>
      <c r="AH532" s="412"/>
      <c r="AI532" s="412"/>
      <c r="AJ532" s="412"/>
      <c r="AK532" s="412"/>
      <c r="AL532" s="412"/>
      <c r="AM532" s="412"/>
      <c r="AN532" s="412"/>
      <c r="AO532" s="412"/>
      <c r="AP532" s="412"/>
      <c r="AQ532" s="412"/>
      <c r="AR532" s="412"/>
      <c r="AS532" s="412"/>
      <c r="AT532" s="412"/>
      <c r="AU532" s="412"/>
      <c r="AV532" s="412"/>
      <c r="AW532" s="412"/>
      <c r="AX532" s="412"/>
      <c r="AY532" s="412"/>
      <c r="AZ532" s="412"/>
      <c r="BA532" s="412"/>
      <c r="BB532" s="412"/>
      <c r="BC532" s="412"/>
      <c r="BD532" s="412"/>
      <c r="BE532" s="412"/>
      <c r="BF532" s="412"/>
    </row>
    <row r="533" spans="1:58" ht="12" hidden="1" customHeight="1" outlineLevel="1" x14ac:dyDescent="0.3">
      <c r="A533" s="224"/>
      <c r="B533" s="224"/>
      <c r="C533" s="224"/>
      <c r="D533" s="224"/>
      <c r="E533" s="224"/>
      <c r="F533" s="224"/>
      <c r="G533" s="224"/>
      <c r="H533" s="224"/>
      <c r="I533" s="224"/>
      <c r="J533" s="224"/>
      <c r="K533" s="224"/>
      <c r="L533" s="117"/>
      <c r="M533" s="213" t="s">
        <v>985</v>
      </c>
      <c r="N533" s="244" t="s">
        <v>77</v>
      </c>
      <c r="O533" s="150">
        <v>0</v>
      </c>
      <c r="P533" s="150">
        <v>0</v>
      </c>
      <c r="Q533" s="150">
        <v>0</v>
      </c>
      <c r="R533" s="150">
        <v>0</v>
      </c>
      <c r="S533" s="150">
        <v>0</v>
      </c>
      <c r="T533" s="150">
        <v>0</v>
      </c>
      <c r="U533" s="150">
        <v>0</v>
      </c>
      <c r="V533" s="150">
        <v>0</v>
      </c>
      <c r="W533" s="150">
        <v>0</v>
      </c>
      <c r="X533" s="150">
        <v>0</v>
      </c>
      <c r="Y533" s="394"/>
      <c r="Z533" s="246"/>
      <c r="AA533" s="246"/>
      <c r="AB533" s="150">
        <v>0</v>
      </c>
      <c r="AC533" s="153">
        <v>0</v>
      </c>
      <c r="AD533" s="412"/>
      <c r="AE533" s="412"/>
      <c r="AF533" s="412"/>
      <c r="AG533" s="412"/>
      <c r="AH533" s="412"/>
      <c r="AI533" s="412"/>
      <c r="AJ533" s="412"/>
      <c r="AK533" s="412"/>
      <c r="AL533" s="412"/>
      <c r="AM533" s="412"/>
      <c r="AN533" s="412"/>
      <c r="AO533" s="412"/>
      <c r="AP533" s="412"/>
      <c r="AQ533" s="412"/>
      <c r="AR533" s="412"/>
      <c r="AS533" s="412"/>
      <c r="AT533" s="412"/>
      <c r="AU533" s="412"/>
      <c r="AV533" s="412"/>
      <c r="AW533" s="412"/>
      <c r="AX533" s="412"/>
      <c r="AY533" s="412"/>
      <c r="AZ533" s="412"/>
      <c r="BA533" s="412"/>
      <c r="BB533" s="412"/>
      <c r="BC533" s="412"/>
      <c r="BD533" s="412"/>
      <c r="BE533" s="412"/>
      <c r="BF533" s="412"/>
    </row>
    <row r="534" spans="1:58" ht="12" hidden="1" customHeight="1" outlineLevel="1" x14ac:dyDescent="0.3">
      <c r="A534" s="224"/>
      <c r="B534" s="224"/>
      <c r="C534" s="224"/>
      <c r="D534" s="224"/>
      <c r="E534" s="224"/>
      <c r="F534" s="224"/>
      <c r="G534" s="224"/>
      <c r="H534" s="224"/>
      <c r="I534" s="224"/>
      <c r="J534" s="224"/>
      <c r="K534" s="224"/>
      <c r="L534" s="117"/>
      <c r="M534" s="213" t="s">
        <v>973</v>
      </c>
      <c r="N534" s="244" t="s">
        <v>77</v>
      </c>
      <c r="O534" s="150">
        <v>0</v>
      </c>
      <c r="P534" s="150">
        <v>0</v>
      </c>
      <c r="Q534" s="150">
        <v>0</v>
      </c>
      <c r="R534" s="150">
        <v>0</v>
      </c>
      <c r="S534" s="150">
        <v>0</v>
      </c>
      <c r="T534" s="150">
        <v>0</v>
      </c>
      <c r="U534" s="150">
        <v>0</v>
      </c>
      <c r="V534" s="150">
        <v>0</v>
      </c>
      <c r="W534" s="150">
        <v>0</v>
      </c>
      <c r="X534" s="150">
        <v>0</v>
      </c>
      <c r="Y534" s="394"/>
      <c r="Z534" s="246"/>
      <c r="AA534" s="246"/>
      <c r="AB534" s="150">
        <v>0</v>
      </c>
      <c r="AC534" s="153">
        <v>0</v>
      </c>
      <c r="AD534" s="412"/>
      <c r="AE534" s="412"/>
      <c r="AF534" s="412"/>
      <c r="AG534" s="412"/>
      <c r="AH534" s="412"/>
      <c r="AI534" s="412"/>
      <c r="AJ534" s="412"/>
      <c r="AK534" s="412"/>
      <c r="AL534" s="412"/>
      <c r="AM534" s="412"/>
      <c r="AN534" s="412"/>
      <c r="AO534" s="412"/>
      <c r="AP534" s="412"/>
      <c r="AQ534" s="412"/>
      <c r="AR534" s="412"/>
      <c r="AS534" s="412"/>
      <c r="AT534" s="412"/>
      <c r="AU534" s="412"/>
      <c r="AV534" s="412"/>
      <c r="AW534" s="412"/>
      <c r="AX534" s="412"/>
      <c r="AY534" s="412"/>
      <c r="AZ534" s="412"/>
      <c r="BA534" s="412"/>
      <c r="BB534" s="412"/>
      <c r="BC534" s="412"/>
      <c r="BD534" s="412"/>
      <c r="BE534" s="412"/>
      <c r="BF534" s="412"/>
    </row>
    <row r="535" spans="1:58" ht="12" hidden="1" customHeight="1" outlineLevel="1" x14ac:dyDescent="0.3">
      <c r="A535" s="224"/>
      <c r="B535" s="224"/>
      <c r="C535" s="224"/>
      <c r="D535" s="224"/>
      <c r="E535" s="224"/>
      <c r="F535" s="224"/>
      <c r="G535" s="224"/>
      <c r="H535" s="224"/>
      <c r="I535" s="224"/>
      <c r="J535" s="224"/>
      <c r="K535" s="224"/>
      <c r="L535" s="117"/>
      <c r="M535" s="213" t="s">
        <v>974</v>
      </c>
      <c r="N535" s="244" t="s">
        <v>77</v>
      </c>
      <c r="O535" s="150">
        <v>0</v>
      </c>
      <c r="P535" s="150">
        <v>0</v>
      </c>
      <c r="Q535" s="150">
        <v>0</v>
      </c>
      <c r="R535" s="150">
        <v>0</v>
      </c>
      <c r="S535" s="150">
        <v>0</v>
      </c>
      <c r="T535" s="150">
        <v>0</v>
      </c>
      <c r="U535" s="150">
        <v>0</v>
      </c>
      <c r="V535" s="150">
        <v>0</v>
      </c>
      <c r="W535" s="150">
        <v>0</v>
      </c>
      <c r="X535" s="150">
        <v>0</v>
      </c>
      <c r="Y535" s="394"/>
      <c r="Z535" s="246"/>
      <c r="AA535" s="246"/>
      <c r="AB535" s="150">
        <v>0</v>
      </c>
      <c r="AC535" s="153">
        <v>0</v>
      </c>
      <c r="AD535" s="412"/>
      <c r="AE535" s="412"/>
      <c r="AF535" s="412"/>
      <c r="AG535" s="412"/>
      <c r="AH535" s="412"/>
      <c r="AI535" s="412"/>
      <c r="AJ535" s="412"/>
      <c r="AK535" s="412"/>
      <c r="AL535" s="412"/>
      <c r="AM535" s="412"/>
      <c r="AN535" s="412"/>
      <c r="AO535" s="412"/>
      <c r="AP535" s="412"/>
      <c r="AQ535" s="412"/>
      <c r="AR535" s="412"/>
      <c r="AS535" s="412"/>
      <c r="AT535" s="412"/>
      <c r="AU535" s="412"/>
      <c r="AV535" s="412"/>
      <c r="AW535" s="412"/>
      <c r="AX535" s="412"/>
      <c r="AY535" s="412"/>
      <c r="AZ535" s="412"/>
      <c r="BA535" s="412"/>
      <c r="BB535" s="412"/>
      <c r="BC535" s="412"/>
      <c r="BD535" s="412"/>
      <c r="BE535" s="412"/>
      <c r="BF535" s="412"/>
    </row>
    <row r="536" spans="1:58" ht="12" hidden="1" customHeight="1" outlineLevel="1" x14ac:dyDescent="0.3">
      <c r="A536" s="224"/>
      <c r="B536" s="224"/>
      <c r="C536" s="224"/>
      <c r="D536" s="224"/>
      <c r="E536" s="224"/>
      <c r="F536" s="224"/>
      <c r="G536" s="224"/>
      <c r="H536" s="224"/>
      <c r="I536" s="224"/>
      <c r="J536" s="224"/>
      <c r="K536" s="224"/>
      <c r="L536" s="117"/>
      <c r="M536" s="210" t="s">
        <v>1080</v>
      </c>
      <c r="N536" s="244" t="s">
        <v>77</v>
      </c>
      <c r="O536" s="150">
        <v>1.3888888888888888</v>
      </c>
      <c r="P536" s="150">
        <v>0.83333333333333326</v>
      </c>
      <c r="Q536" s="150">
        <v>0.83333333333333326</v>
      </c>
      <c r="R536" s="150">
        <v>0.83333333333333326</v>
      </c>
      <c r="S536" s="150">
        <v>0.55555555555555558</v>
      </c>
      <c r="T536" s="150">
        <v>0.55555555555555558</v>
      </c>
      <c r="U536" s="150">
        <v>0.83333333333333326</v>
      </c>
      <c r="V536" s="150">
        <v>0.83333333333333326</v>
      </c>
      <c r="W536" s="150">
        <v>0.83333333333333326</v>
      </c>
      <c r="X536" s="150">
        <v>1.1111111111111112</v>
      </c>
      <c r="Y536" s="394"/>
      <c r="Z536" s="246"/>
      <c r="AA536" s="246"/>
      <c r="AB536" s="150">
        <v>0</v>
      </c>
      <c r="AC536" s="153">
        <v>0</v>
      </c>
      <c r="AD536" s="411">
        <f>AB536*AD$270/$AB$270</f>
        <v>0</v>
      </c>
      <c r="AE536" s="411">
        <f>AD536*AE$270/AD$270</f>
        <v>0</v>
      </c>
      <c r="AF536" s="411">
        <f t="shared" ref="AF536:BF536" si="840">AE536*AF$270/AE$270</f>
        <v>0</v>
      </c>
      <c r="AG536" s="411">
        <f t="shared" si="840"/>
        <v>0</v>
      </c>
      <c r="AH536" s="411">
        <f t="shared" si="840"/>
        <v>0</v>
      </c>
      <c r="AI536" s="411">
        <f t="shared" si="840"/>
        <v>0</v>
      </c>
      <c r="AJ536" s="411">
        <f t="shared" si="840"/>
        <v>0</v>
      </c>
      <c r="AK536" s="411">
        <f t="shared" si="840"/>
        <v>0</v>
      </c>
      <c r="AL536" s="411">
        <f t="shared" si="840"/>
        <v>0</v>
      </c>
      <c r="AM536" s="411">
        <f t="shared" si="840"/>
        <v>0</v>
      </c>
      <c r="AN536" s="411">
        <f t="shared" si="840"/>
        <v>0</v>
      </c>
      <c r="AO536" s="411">
        <f t="shared" si="840"/>
        <v>0</v>
      </c>
      <c r="AP536" s="411">
        <f t="shared" si="840"/>
        <v>0</v>
      </c>
      <c r="AQ536" s="411">
        <f t="shared" si="840"/>
        <v>0</v>
      </c>
      <c r="AR536" s="411">
        <f t="shared" si="840"/>
        <v>0</v>
      </c>
      <c r="AS536" s="411">
        <f t="shared" si="840"/>
        <v>0</v>
      </c>
      <c r="AT536" s="411">
        <f t="shared" si="840"/>
        <v>0</v>
      </c>
      <c r="AU536" s="411">
        <f t="shared" si="840"/>
        <v>0</v>
      </c>
      <c r="AV536" s="411">
        <f t="shared" si="840"/>
        <v>0</v>
      </c>
      <c r="AW536" s="411">
        <f t="shared" si="840"/>
        <v>0</v>
      </c>
      <c r="AX536" s="411">
        <f t="shared" si="840"/>
        <v>0</v>
      </c>
      <c r="AY536" s="411">
        <f t="shared" si="840"/>
        <v>0</v>
      </c>
      <c r="AZ536" s="411">
        <f t="shared" si="840"/>
        <v>0</v>
      </c>
      <c r="BA536" s="411">
        <f t="shared" si="840"/>
        <v>0</v>
      </c>
      <c r="BB536" s="411">
        <f t="shared" si="840"/>
        <v>0</v>
      </c>
      <c r="BC536" s="411">
        <f t="shared" si="840"/>
        <v>0</v>
      </c>
      <c r="BD536" s="411">
        <f t="shared" si="840"/>
        <v>0</v>
      </c>
      <c r="BE536" s="411">
        <f t="shared" si="840"/>
        <v>0</v>
      </c>
      <c r="BF536" s="411">
        <f t="shared" si="840"/>
        <v>0</v>
      </c>
    </row>
    <row r="537" spans="1:58" ht="12" hidden="1" customHeight="1" outlineLevel="1" x14ac:dyDescent="0.3">
      <c r="A537" s="224"/>
      <c r="B537" s="224"/>
      <c r="C537" s="224"/>
      <c r="D537" s="224"/>
      <c r="E537" s="224"/>
      <c r="F537" s="224"/>
      <c r="G537" s="224"/>
      <c r="H537" s="224"/>
      <c r="I537" s="224"/>
      <c r="J537" s="224"/>
      <c r="K537" s="224"/>
      <c r="L537" s="117"/>
      <c r="M537" s="210" t="s">
        <v>1081</v>
      </c>
      <c r="N537" s="244" t="s">
        <v>77</v>
      </c>
      <c r="O537" s="150">
        <v>14.999999999999998</v>
      </c>
      <c r="P537" s="150">
        <v>16</v>
      </c>
      <c r="Q537" s="150">
        <v>19</v>
      </c>
      <c r="R537" s="150">
        <v>19</v>
      </c>
      <c r="S537" s="150">
        <v>18</v>
      </c>
      <c r="T537" s="150">
        <v>18</v>
      </c>
      <c r="U537" s="150">
        <v>18</v>
      </c>
      <c r="V537" s="150">
        <v>10</v>
      </c>
      <c r="W537" s="150">
        <v>20</v>
      </c>
      <c r="X537" s="150">
        <v>17.8</v>
      </c>
      <c r="Y537" s="394"/>
      <c r="Z537" s="246"/>
      <c r="AA537" s="246"/>
      <c r="AB537" s="150">
        <v>16.666666666666668</v>
      </c>
      <c r="AC537" s="153">
        <v>15.833333333333332</v>
      </c>
      <c r="AD537" s="411">
        <f>AB537*AD$270/$AB$270</f>
        <v>16.833333333333332</v>
      </c>
      <c r="AE537" s="411">
        <f>AD537*AE$270/AD$270</f>
        <v>17.035333333333334</v>
      </c>
      <c r="AF537" s="411">
        <f t="shared" ref="AF537:BF537" si="841">AE537*AF$270/AE$270</f>
        <v>17.290863333333334</v>
      </c>
      <c r="AG537" s="411">
        <f t="shared" si="841"/>
        <v>17.550226283333334</v>
      </c>
      <c r="AH537" s="411">
        <f t="shared" si="841"/>
        <v>17.813479677583334</v>
      </c>
      <c r="AI537" s="411">
        <f t="shared" si="841"/>
        <v>18.080681872747085</v>
      </c>
      <c r="AJ537" s="411">
        <f t="shared" si="841"/>
        <v>18.351892100838292</v>
      </c>
      <c r="AK537" s="411">
        <f t="shared" si="841"/>
        <v>18.627170482350866</v>
      </c>
      <c r="AL537" s="411">
        <f t="shared" si="841"/>
        <v>18.90657803958613</v>
      </c>
      <c r="AM537" s="411">
        <f t="shared" si="841"/>
        <v>19.190176710179919</v>
      </c>
      <c r="AN537" s="411">
        <f t="shared" si="841"/>
        <v>19.478029360832615</v>
      </c>
      <c r="AO537" s="411">
        <f t="shared" si="841"/>
        <v>19.770199801245106</v>
      </c>
      <c r="AP537" s="411">
        <f t="shared" si="841"/>
        <v>20.066752798263781</v>
      </c>
      <c r="AQ537" s="411">
        <f t="shared" si="841"/>
        <v>20.367754090237735</v>
      </c>
      <c r="AR537" s="411">
        <f t="shared" si="841"/>
        <v>20.673270401591299</v>
      </c>
      <c r="AS537" s="411">
        <f t="shared" si="841"/>
        <v>20.983369457615169</v>
      </c>
      <c r="AT537" s="411">
        <f t="shared" si="841"/>
        <v>21.298119999479397</v>
      </c>
      <c r="AU537" s="411">
        <f t="shared" si="841"/>
        <v>21.617591799471587</v>
      </c>
      <c r="AV537" s="411">
        <f t="shared" si="841"/>
        <v>21.941855676463657</v>
      </c>
      <c r="AW537" s="411">
        <f t="shared" si="841"/>
        <v>22.270983511610613</v>
      </c>
      <c r="AX537" s="411">
        <f t="shared" si="841"/>
        <v>22.605048264284768</v>
      </c>
      <c r="AY537" s="411">
        <f t="shared" si="841"/>
        <v>22.944123988249039</v>
      </c>
      <c r="AZ537" s="411">
        <f t="shared" si="841"/>
        <v>23.288285848072775</v>
      </c>
      <c r="BA537" s="411">
        <f t="shared" si="841"/>
        <v>23.637610135793867</v>
      </c>
      <c r="BB537" s="411">
        <f t="shared" si="841"/>
        <v>23.944899067559188</v>
      </c>
      <c r="BC537" s="411">
        <f t="shared" si="841"/>
        <v>24.232237856369899</v>
      </c>
      <c r="BD537" s="411">
        <f t="shared" si="841"/>
        <v>24.498792472789969</v>
      </c>
      <c r="BE537" s="411">
        <f t="shared" si="841"/>
        <v>24.74378039751787</v>
      </c>
      <c r="BF537" s="411">
        <f t="shared" si="841"/>
        <v>24.991218201493048</v>
      </c>
    </row>
    <row r="538" spans="1:58" ht="12" hidden="1" customHeight="1" outlineLevel="1" x14ac:dyDescent="0.3">
      <c r="A538" s="224"/>
      <c r="B538" s="224"/>
      <c r="C538" s="224"/>
      <c r="D538" s="224"/>
      <c r="E538" s="224"/>
      <c r="F538" s="224"/>
      <c r="G538" s="224"/>
      <c r="H538" s="224"/>
      <c r="I538" s="224"/>
      <c r="J538" s="224"/>
      <c r="K538" s="224"/>
      <c r="L538" s="117"/>
      <c r="M538" s="210" t="s">
        <v>1082</v>
      </c>
      <c r="N538" s="244" t="s">
        <v>77</v>
      </c>
      <c r="O538" s="150">
        <v>0.27777777777777779</v>
      </c>
      <c r="P538" s="150">
        <v>0</v>
      </c>
      <c r="Q538" s="150">
        <v>0.27777777777777779</v>
      </c>
      <c r="R538" s="150">
        <v>0.27777777777777779</v>
      </c>
      <c r="S538" s="150">
        <v>0</v>
      </c>
      <c r="T538" s="150">
        <v>0</v>
      </c>
      <c r="U538" s="150">
        <v>0</v>
      </c>
      <c r="V538" s="150">
        <v>0</v>
      </c>
      <c r="W538" s="150">
        <v>0</v>
      </c>
      <c r="X538" s="150">
        <v>0</v>
      </c>
      <c r="Y538" s="394"/>
      <c r="Z538" s="246"/>
      <c r="AA538" s="246"/>
      <c r="AB538" s="150">
        <v>0</v>
      </c>
      <c r="AC538" s="153">
        <v>0</v>
      </c>
      <c r="AD538" s="411">
        <f>AB538*AD$270/$AB$270</f>
        <v>0</v>
      </c>
      <c r="AE538" s="411">
        <f>AD538*AE$270/AD$270</f>
        <v>0</v>
      </c>
      <c r="AF538" s="411">
        <f t="shared" ref="AF538:BF538" si="842">AE538*AF$270/AE$270</f>
        <v>0</v>
      </c>
      <c r="AG538" s="411">
        <f t="shared" si="842"/>
        <v>0</v>
      </c>
      <c r="AH538" s="411">
        <f t="shared" si="842"/>
        <v>0</v>
      </c>
      <c r="AI538" s="411">
        <f t="shared" si="842"/>
        <v>0</v>
      </c>
      <c r="AJ538" s="411">
        <f t="shared" si="842"/>
        <v>0</v>
      </c>
      <c r="AK538" s="411">
        <f t="shared" si="842"/>
        <v>0</v>
      </c>
      <c r="AL538" s="411">
        <f t="shared" si="842"/>
        <v>0</v>
      </c>
      <c r="AM538" s="411">
        <f t="shared" si="842"/>
        <v>0</v>
      </c>
      <c r="AN538" s="411">
        <f t="shared" si="842"/>
        <v>0</v>
      </c>
      <c r="AO538" s="411">
        <f t="shared" si="842"/>
        <v>0</v>
      </c>
      <c r="AP538" s="411">
        <f t="shared" si="842"/>
        <v>0</v>
      </c>
      <c r="AQ538" s="411">
        <f t="shared" si="842"/>
        <v>0</v>
      </c>
      <c r="AR538" s="411">
        <f t="shared" si="842"/>
        <v>0</v>
      </c>
      <c r="AS538" s="411">
        <f t="shared" si="842"/>
        <v>0</v>
      </c>
      <c r="AT538" s="411">
        <f t="shared" si="842"/>
        <v>0</v>
      </c>
      <c r="AU538" s="411">
        <f t="shared" si="842"/>
        <v>0</v>
      </c>
      <c r="AV538" s="411">
        <f t="shared" si="842"/>
        <v>0</v>
      </c>
      <c r="AW538" s="411">
        <f t="shared" si="842"/>
        <v>0</v>
      </c>
      <c r="AX538" s="411">
        <f t="shared" si="842"/>
        <v>0</v>
      </c>
      <c r="AY538" s="411">
        <f t="shared" si="842"/>
        <v>0</v>
      </c>
      <c r="AZ538" s="411">
        <f t="shared" si="842"/>
        <v>0</v>
      </c>
      <c r="BA538" s="411">
        <f t="shared" si="842"/>
        <v>0</v>
      </c>
      <c r="BB538" s="411">
        <f t="shared" si="842"/>
        <v>0</v>
      </c>
      <c r="BC538" s="411">
        <f t="shared" si="842"/>
        <v>0</v>
      </c>
      <c r="BD538" s="411">
        <f t="shared" si="842"/>
        <v>0</v>
      </c>
      <c r="BE538" s="411">
        <f t="shared" si="842"/>
        <v>0</v>
      </c>
      <c r="BF538" s="411">
        <f t="shared" si="842"/>
        <v>0</v>
      </c>
    </row>
    <row r="539" spans="1:58" ht="12" hidden="1" customHeight="1" outlineLevel="1" x14ac:dyDescent="0.3">
      <c r="A539" s="224"/>
      <c r="B539" s="224" t="s">
        <v>1083</v>
      </c>
      <c r="C539" s="224"/>
      <c r="D539" s="224" t="s">
        <v>885</v>
      </c>
      <c r="E539" s="224"/>
      <c r="F539" s="224"/>
      <c r="G539" s="224"/>
      <c r="H539" s="224"/>
      <c r="I539" s="224"/>
      <c r="J539" s="224"/>
      <c r="K539" s="224"/>
      <c r="L539" s="117"/>
      <c r="M539" s="214" t="s">
        <v>1084</v>
      </c>
      <c r="N539" s="247" t="s">
        <v>77</v>
      </c>
      <c r="O539" s="413">
        <f t="shared" ref="O539:X539" si="843">O524+O528+O531+O536+O537+O538</f>
        <v>104.90594769511479</v>
      </c>
      <c r="P539" s="413">
        <f t="shared" si="843"/>
        <v>118.06923626165603</v>
      </c>
      <c r="Q539" s="413">
        <f t="shared" si="843"/>
        <v>156.34402572009211</v>
      </c>
      <c r="R539" s="413">
        <f t="shared" si="843"/>
        <v>165.34168703538987</v>
      </c>
      <c r="S539" s="413">
        <f t="shared" si="843"/>
        <v>134.7906139588469</v>
      </c>
      <c r="T539" s="413">
        <f t="shared" si="843"/>
        <v>127.04401671511827</v>
      </c>
      <c r="U539" s="413">
        <f t="shared" si="843"/>
        <v>141.31676765002589</v>
      </c>
      <c r="V539" s="413">
        <f t="shared" si="843"/>
        <v>107.82145175165432</v>
      </c>
      <c r="W539" s="413">
        <f t="shared" si="843"/>
        <v>113.33478600568721</v>
      </c>
      <c r="X539" s="413">
        <f t="shared" si="843"/>
        <v>90.80938927961266</v>
      </c>
      <c r="Y539" s="394"/>
      <c r="Z539" s="210"/>
      <c r="AA539" s="210"/>
      <c r="AB539" s="413">
        <f>AB524+AB528+AB531+AB536+AB537+AB538</f>
        <v>53.611111111111114</v>
      </c>
      <c r="AC539" s="414">
        <f>AC524+AC528+AC531+AC536+AC537+AC538</f>
        <v>66.666666666666657</v>
      </c>
      <c r="AD539" s="411">
        <f>SUM(AD524:AD538)</f>
        <v>54.147222222222226</v>
      </c>
      <c r="AE539" s="411">
        <f>SUM(AE524:AE538)</f>
        <v>54.79698888888889</v>
      </c>
      <c r="AF539" s="411">
        <f t="shared" ref="AF539:BF539" si="844">SUM(AF524:AF538)</f>
        <v>55.618943722222227</v>
      </c>
      <c r="AG539" s="411">
        <f t="shared" si="844"/>
        <v>56.453227878055557</v>
      </c>
      <c r="AH539" s="411">
        <f t="shared" si="844"/>
        <v>57.300026296226392</v>
      </c>
      <c r="AI539" s="411">
        <f t="shared" si="844"/>
        <v>58.159526690669786</v>
      </c>
      <c r="AJ539" s="411">
        <f t="shared" si="844"/>
        <v>59.031919591029833</v>
      </c>
      <c r="AK539" s="411">
        <f t="shared" si="844"/>
        <v>59.917398384895279</v>
      </c>
      <c r="AL539" s="411">
        <f t="shared" si="844"/>
        <v>60.816159360668699</v>
      </c>
      <c r="AM539" s="411">
        <f t="shared" si="844"/>
        <v>61.728401751078721</v>
      </c>
      <c r="AN539" s="411">
        <f t="shared" si="844"/>
        <v>62.654327777344896</v>
      </c>
      <c r="AO539" s="411">
        <f t="shared" si="844"/>
        <v>63.594142694005065</v>
      </c>
      <c r="AP539" s="411">
        <f t="shared" si="844"/>
        <v>64.548054834415126</v>
      </c>
      <c r="AQ539" s="411">
        <f t="shared" si="844"/>
        <v>65.516275656931356</v>
      </c>
      <c r="AR539" s="411">
        <f t="shared" si="844"/>
        <v>66.499019791785329</v>
      </c>
      <c r="AS539" s="411">
        <f t="shared" si="844"/>
        <v>67.496505088662104</v>
      </c>
      <c r="AT539" s="411">
        <f t="shared" si="844"/>
        <v>68.508952664992037</v>
      </c>
      <c r="AU539" s="411">
        <f t="shared" si="844"/>
        <v>69.536586954966907</v>
      </c>
      <c r="AV539" s="411">
        <f t="shared" si="844"/>
        <v>70.579635759291406</v>
      </c>
      <c r="AW539" s="411">
        <f t="shared" si="844"/>
        <v>71.63833029568076</v>
      </c>
      <c r="AX539" s="411">
        <f t="shared" si="844"/>
        <v>72.712905250115966</v>
      </c>
      <c r="AY539" s="411">
        <f t="shared" si="844"/>
        <v>73.803598828867706</v>
      </c>
      <c r="AZ539" s="411">
        <f t="shared" si="844"/>
        <v>74.910652811300722</v>
      </c>
      <c r="BA539" s="411">
        <f t="shared" si="844"/>
        <v>76.034312603470241</v>
      </c>
      <c r="BB539" s="411">
        <f t="shared" si="844"/>
        <v>77.022758667315358</v>
      </c>
      <c r="BC539" s="411">
        <f t="shared" si="844"/>
        <v>77.94703177132314</v>
      </c>
      <c r="BD539" s="411">
        <f t="shared" si="844"/>
        <v>78.804449120807689</v>
      </c>
      <c r="BE539" s="411">
        <f t="shared" si="844"/>
        <v>79.592493612015772</v>
      </c>
      <c r="BF539" s="411">
        <f t="shared" si="844"/>
        <v>80.388418548135931</v>
      </c>
    </row>
    <row r="540" spans="1:58" ht="12" hidden="1" customHeight="1" outlineLevel="1" x14ac:dyDescent="0.3">
      <c r="A540" s="224"/>
      <c r="B540" s="224"/>
      <c r="C540" s="224"/>
      <c r="D540" s="224"/>
      <c r="E540" s="224"/>
      <c r="F540" s="224"/>
      <c r="G540" s="224"/>
      <c r="H540" s="224"/>
      <c r="I540" s="224"/>
      <c r="J540" s="224"/>
      <c r="K540" s="224"/>
      <c r="L540" s="117"/>
      <c r="M540" s="223" t="s">
        <v>980</v>
      </c>
      <c r="N540" s="216" t="s">
        <v>68</v>
      </c>
      <c r="O540" s="415">
        <f t="shared" ref="O540:X540" si="845">IFERROR((O525+O526+O527+O529+O530+O532+O533+O534+O535+O536+O537+O538)/O539,"")</f>
        <v>1</v>
      </c>
      <c r="P540" s="415">
        <f t="shared" si="845"/>
        <v>1</v>
      </c>
      <c r="Q540" s="415">
        <f t="shared" si="845"/>
        <v>1</v>
      </c>
      <c r="R540" s="415">
        <f t="shared" si="845"/>
        <v>1</v>
      </c>
      <c r="S540" s="415">
        <f t="shared" si="845"/>
        <v>1</v>
      </c>
      <c r="T540" s="415">
        <f t="shared" si="845"/>
        <v>1</v>
      </c>
      <c r="U540" s="415">
        <f t="shared" si="845"/>
        <v>1</v>
      </c>
      <c r="V540" s="415">
        <f t="shared" si="845"/>
        <v>1</v>
      </c>
      <c r="W540" s="415">
        <f t="shared" si="845"/>
        <v>1</v>
      </c>
      <c r="X540" s="415">
        <f t="shared" si="845"/>
        <v>1</v>
      </c>
      <c r="Y540" s="394"/>
      <c r="Z540" s="210"/>
      <c r="AA540" s="210"/>
      <c r="AB540" s="415">
        <f>IFERROR((AB525+AB526+AB527+AB529+AB530+AB532+AB533+AB534+AB535+AB536+AB537+AB538)/AB539,"")</f>
        <v>1</v>
      </c>
      <c r="AC540" s="415">
        <f>IFERROR((AC525+AC526+AC527+AC529+AC530+AC532+AC533+AC534+AC535+AC536+AC537+AC538)/AC539,"")</f>
        <v>1</v>
      </c>
      <c r="AD540" s="224"/>
      <c r="AE540" s="224"/>
      <c r="AF540" s="224"/>
      <c r="AG540" s="224"/>
      <c r="AH540" s="224"/>
      <c r="AI540" s="224"/>
      <c r="AJ540" s="224"/>
      <c r="AK540" s="224"/>
      <c r="AL540" s="224"/>
      <c r="AM540" s="224"/>
      <c r="AN540" s="224"/>
      <c r="AO540" s="224"/>
      <c r="AP540" s="224"/>
      <c r="AQ540" s="224"/>
      <c r="AR540" s="224"/>
      <c r="AS540" s="224"/>
      <c r="AT540" s="224"/>
      <c r="AU540" s="224"/>
      <c r="AV540" s="224"/>
      <c r="AW540" s="224"/>
      <c r="AX540" s="224"/>
      <c r="AY540" s="224"/>
      <c r="AZ540" s="224"/>
      <c r="BA540" s="224"/>
      <c r="BB540" s="224"/>
      <c r="BC540" s="224"/>
      <c r="BD540" s="224"/>
      <c r="BE540" s="224"/>
      <c r="BF540" s="224"/>
    </row>
    <row r="541" spans="1:58" ht="12" hidden="1" customHeight="1" outlineLevel="1" x14ac:dyDescent="0.3">
      <c r="A541" s="224"/>
      <c r="B541" s="224"/>
      <c r="C541" s="224"/>
      <c r="D541" s="224"/>
      <c r="E541" s="224"/>
      <c r="F541" s="224"/>
      <c r="G541" s="224"/>
      <c r="H541" s="224"/>
      <c r="I541" s="224"/>
      <c r="J541" s="224"/>
      <c r="K541" s="224"/>
      <c r="L541" s="117"/>
      <c r="M541" s="210"/>
      <c r="N541" s="210"/>
      <c r="O541" s="415">
        <f t="shared" ref="O541:X541" si="846">IFERROR((O524+O528+O531+O536+O537+O538)/O539,"")</f>
        <v>1</v>
      </c>
      <c r="P541" s="415">
        <f t="shared" si="846"/>
        <v>1</v>
      </c>
      <c r="Q541" s="415">
        <f t="shared" si="846"/>
        <v>1</v>
      </c>
      <c r="R541" s="415">
        <f t="shared" si="846"/>
        <v>1</v>
      </c>
      <c r="S541" s="415">
        <f t="shared" si="846"/>
        <v>1</v>
      </c>
      <c r="T541" s="415">
        <f t="shared" si="846"/>
        <v>1</v>
      </c>
      <c r="U541" s="415">
        <f t="shared" si="846"/>
        <v>1</v>
      </c>
      <c r="V541" s="415">
        <f t="shared" si="846"/>
        <v>1</v>
      </c>
      <c r="W541" s="415">
        <f t="shared" si="846"/>
        <v>1</v>
      </c>
      <c r="X541" s="415">
        <f t="shared" si="846"/>
        <v>1</v>
      </c>
      <c r="Y541" s="394"/>
      <c r="Z541" s="210"/>
      <c r="AA541" s="210"/>
      <c r="AB541" s="415">
        <f>IFERROR((AB524+AB528+AB531+AB536+AB537+AB538)/AB539,"")</f>
        <v>1</v>
      </c>
      <c r="AC541" s="415">
        <f>IFERROR((AC524+AC528+AC531+AC536+AC537+AC538)/AC539,"")</f>
        <v>1</v>
      </c>
      <c r="AD541" s="224"/>
      <c r="AE541" s="224"/>
      <c r="AF541" s="224"/>
      <c r="AG541" s="224"/>
      <c r="AH541" s="224"/>
      <c r="AI541" s="224"/>
      <c r="AJ541" s="224"/>
      <c r="AK541" s="224"/>
      <c r="AL541" s="224"/>
      <c r="AM541" s="224"/>
      <c r="AN541" s="224"/>
      <c r="AO541" s="224"/>
      <c r="AP541" s="224"/>
      <c r="AQ541" s="224"/>
      <c r="AR541" s="224"/>
      <c r="AS541" s="224"/>
      <c r="AT541" s="224"/>
      <c r="AU541" s="224"/>
      <c r="AV541" s="224"/>
      <c r="AW541" s="224"/>
      <c r="AX541" s="224"/>
      <c r="AY541" s="224"/>
      <c r="AZ541" s="224"/>
      <c r="BA541" s="224"/>
      <c r="BB541" s="224"/>
      <c r="BC541" s="224"/>
      <c r="BD541" s="224"/>
      <c r="BE541" s="224"/>
      <c r="BF541" s="224"/>
    </row>
    <row r="542" spans="1:58" ht="12" hidden="1" customHeight="1" outlineLevel="1" x14ac:dyDescent="0.3">
      <c r="A542" s="224"/>
      <c r="B542" s="224"/>
      <c r="C542" s="224"/>
      <c r="D542" s="224"/>
      <c r="E542" s="224"/>
      <c r="F542" s="224"/>
      <c r="G542" s="224"/>
      <c r="H542" s="224"/>
      <c r="I542" s="224"/>
      <c r="J542" s="224"/>
      <c r="K542" s="224"/>
      <c r="L542" s="117"/>
      <c r="M542" s="210"/>
      <c r="N542" s="210"/>
      <c r="O542" s="210"/>
      <c r="P542" s="210"/>
      <c r="Q542" s="210"/>
      <c r="R542" s="210"/>
      <c r="S542" s="210"/>
      <c r="T542" s="210"/>
      <c r="U542" s="210"/>
      <c r="V542" s="210"/>
      <c r="W542" s="210"/>
      <c r="X542" s="210"/>
      <c r="Y542" s="394"/>
      <c r="Z542" s="210"/>
      <c r="AA542" s="210"/>
      <c r="AB542" s="210"/>
      <c r="AC542" s="210"/>
      <c r="AD542" s="224"/>
      <c r="AE542" s="224"/>
      <c r="AF542" s="224"/>
      <c r="AG542" s="224"/>
      <c r="AH542" s="224"/>
      <c r="AI542" s="224"/>
      <c r="AJ542" s="224"/>
      <c r="AK542" s="224"/>
      <c r="AL542" s="224"/>
      <c r="AM542" s="224"/>
      <c r="AN542" s="224"/>
      <c r="AO542" s="224"/>
      <c r="AP542" s="224"/>
      <c r="AQ542" s="224"/>
      <c r="AR542" s="224"/>
      <c r="AS542" s="224"/>
      <c r="AT542" s="224"/>
      <c r="AU542" s="224"/>
      <c r="AV542" s="224"/>
      <c r="AW542" s="224"/>
      <c r="AX542" s="224"/>
      <c r="AY542" s="224"/>
      <c r="AZ542" s="224"/>
      <c r="BA542" s="224"/>
      <c r="BB542" s="224"/>
      <c r="BC542" s="224"/>
      <c r="BD542" s="224"/>
      <c r="BE542" s="224"/>
      <c r="BF542" s="224"/>
    </row>
    <row r="543" spans="1:58" ht="12" hidden="1" customHeight="1" outlineLevel="1" x14ac:dyDescent="0.3">
      <c r="A543" s="224"/>
      <c r="B543" s="224"/>
      <c r="C543" s="224"/>
      <c r="D543" s="224"/>
      <c r="E543" s="224"/>
      <c r="F543" s="224"/>
      <c r="G543" s="224"/>
      <c r="H543" s="224"/>
      <c r="I543" s="224"/>
      <c r="J543" s="224"/>
      <c r="K543" s="224"/>
      <c r="L543" s="117"/>
      <c r="M543" s="211" t="s">
        <v>1085</v>
      </c>
      <c r="N543" s="210"/>
      <c r="O543" s="210"/>
      <c r="P543" s="210"/>
      <c r="Q543" s="210"/>
      <c r="R543" s="210"/>
      <c r="S543" s="210"/>
      <c r="T543" s="210"/>
      <c r="U543" s="210"/>
      <c r="V543" s="210"/>
      <c r="W543" s="210"/>
      <c r="X543" s="210"/>
      <c r="Y543" s="394"/>
      <c r="Z543" s="210"/>
      <c r="AA543" s="210"/>
      <c r="AB543" s="210"/>
      <c r="AC543" s="210"/>
      <c r="AD543" s="224"/>
      <c r="AE543" s="224"/>
      <c r="AF543" s="224"/>
      <c r="AG543" s="224"/>
      <c r="AH543" s="224"/>
      <c r="AI543" s="224"/>
      <c r="AJ543" s="224"/>
      <c r="AK543" s="224"/>
      <c r="AL543" s="224"/>
      <c r="AM543" s="224"/>
      <c r="AN543" s="224"/>
      <c r="AO543" s="224"/>
      <c r="AP543" s="224"/>
      <c r="AQ543" s="224"/>
      <c r="AR543" s="224"/>
      <c r="AS543" s="224"/>
      <c r="AT543" s="224"/>
      <c r="AU543" s="224"/>
      <c r="AV543" s="224"/>
      <c r="AW543" s="224"/>
      <c r="AX543" s="224"/>
      <c r="AY543" s="224"/>
      <c r="AZ543" s="224"/>
      <c r="BA543" s="224"/>
      <c r="BB543" s="224"/>
      <c r="BC543" s="224"/>
      <c r="BD543" s="224"/>
      <c r="BE543" s="224"/>
      <c r="BF543" s="224"/>
    </row>
    <row r="544" spans="1:58" ht="12" hidden="1" customHeight="1" outlineLevel="1" x14ac:dyDescent="0.3">
      <c r="A544" s="224"/>
      <c r="B544" s="224" t="s">
        <v>1086</v>
      </c>
      <c r="C544" s="224"/>
      <c r="D544" s="224" t="s">
        <v>885</v>
      </c>
      <c r="E544" s="224"/>
      <c r="F544" s="224"/>
      <c r="G544" s="224"/>
      <c r="H544" s="224"/>
      <c r="I544" s="224"/>
      <c r="J544" s="224"/>
      <c r="K544" s="224"/>
      <c r="L544" s="117"/>
      <c r="M544" s="214" t="s">
        <v>1087</v>
      </c>
      <c r="N544" s="245" t="s">
        <v>77</v>
      </c>
      <c r="O544" s="150"/>
      <c r="P544" s="150"/>
      <c r="Q544" s="150"/>
      <c r="R544" s="150"/>
      <c r="S544" s="150"/>
      <c r="T544" s="150"/>
      <c r="U544" s="150"/>
      <c r="V544" s="150"/>
      <c r="W544" s="150"/>
      <c r="X544" s="150"/>
      <c r="Y544" s="394"/>
      <c r="Z544" s="210"/>
      <c r="AA544" s="210"/>
      <c r="AB544" s="150"/>
      <c r="AC544" s="150"/>
      <c r="AD544" s="412"/>
      <c r="AE544" s="412"/>
      <c r="AF544" s="412"/>
      <c r="AG544" s="412"/>
      <c r="AH544" s="412"/>
      <c r="AI544" s="412"/>
      <c r="AJ544" s="412"/>
      <c r="AK544" s="412"/>
      <c r="AL544" s="412"/>
      <c r="AM544" s="412"/>
      <c r="AN544" s="412"/>
      <c r="AO544" s="412"/>
      <c r="AP544" s="412"/>
      <c r="AQ544" s="412"/>
      <c r="AR544" s="412"/>
      <c r="AS544" s="412"/>
      <c r="AT544" s="412"/>
      <c r="AU544" s="412"/>
      <c r="AV544" s="412"/>
      <c r="AW544" s="412"/>
      <c r="AX544" s="412"/>
      <c r="AY544" s="412"/>
      <c r="AZ544" s="412"/>
      <c r="BA544" s="412"/>
      <c r="BB544" s="412"/>
      <c r="BC544" s="412"/>
      <c r="BD544" s="412"/>
      <c r="BE544" s="412"/>
      <c r="BF544" s="412"/>
    </row>
    <row r="545" spans="1:58" ht="12" hidden="1" customHeight="1" outlineLevel="1" x14ac:dyDescent="0.3">
      <c r="A545" s="224"/>
      <c r="B545" s="224"/>
      <c r="C545" s="224"/>
      <c r="D545" s="224"/>
      <c r="E545" s="224"/>
      <c r="F545" s="224"/>
      <c r="G545" s="224"/>
      <c r="H545" s="224"/>
      <c r="I545" s="224"/>
      <c r="J545" s="224"/>
      <c r="K545" s="224"/>
      <c r="L545" s="117"/>
      <c r="M545" s="210"/>
      <c r="N545" s="210"/>
      <c r="O545" s="210"/>
      <c r="P545" s="210"/>
      <c r="Q545" s="210"/>
      <c r="R545" s="210"/>
      <c r="S545" s="210"/>
      <c r="T545" s="210"/>
      <c r="U545" s="210"/>
      <c r="V545" s="210"/>
      <c r="W545" s="210"/>
      <c r="X545" s="210"/>
      <c r="Y545" s="394"/>
      <c r="Z545" s="210"/>
      <c r="AA545" s="210"/>
      <c r="AB545" s="210"/>
      <c r="AC545" s="210"/>
      <c r="AD545" s="224"/>
      <c r="AE545" s="224"/>
      <c r="AF545" s="224"/>
      <c r="AG545" s="224"/>
      <c r="AH545" s="224"/>
      <c r="AI545" s="224"/>
      <c r="AJ545" s="224"/>
      <c r="AK545" s="224"/>
      <c r="AL545" s="224"/>
      <c r="AM545" s="224"/>
      <c r="AN545" s="224"/>
      <c r="AO545" s="224"/>
      <c r="AP545" s="224"/>
      <c r="AQ545" s="224"/>
      <c r="AR545" s="224"/>
      <c r="AS545" s="224"/>
      <c r="AT545" s="224"/>
      <c r="AU545" s="224"/>
      <c r="AV545" s="224"/>
      <c r="AW545" s="224"/>
      <c r="AX545" s="224"/>
      <c r="AY545" s="224"/>
      <c r="AZ545" s="224"/>
      <c r="BA545" s="224"/>
      <c r="BB545" s="224"/>
      <c r="BC545" s="224"/>
      <c r="BD545" s="224"/>
      <c r="BE545" s="224"/>
      <c r="BF545" s="224"/>
    </row>
    <row r="546" spans="1:58" ht="12" hidden="1" customHeight="1" outlineLevel="1" x14ac:dyDescent="0.3">
      <c r="A546" s="224"/>
      <c r="B546" s="224"/>
      <c r="C546" s="224"/>
      <c r="D546" s="224"/>
      <c r="E546" s="224"/>
      <c r="F546" s="224"/>
      <c r="G546" s="224"/>
      <c r="H546" s="224"/>
      <c r="I546" s="224"/>
      <c r="J546" s="224"/>
      <c r="K546" s="224"/>
      <c r="L546" s="117"/>
      <c r="M546" s="211" t="s">
        <v>1088</v>
      </c>
      <c r="N546" s="210"/>
      <c r="O546" s="210"/>
      <c r="P546" s="210"/>
      <c r="Q546" s="210"/>
      <c r="R546" s="210"/>
      <c r="S546" s="210"/>
      <c r="T546" s="210"/>
      <c r="U546" s="210"/>
      <c r="V546" s="210"/>
      <c r="W546" s="210"/>
      <c r="X546" s="210"/>
      <c r="Y546" s="394"/>
      <c r="Z546" s="210"/>
      <c r="AA546" s="210"/>
      <c r="AB546" s="210"/>
      <c r="AC546" s="210"/>
      <c r="AD546" s="224"/>
      <c r="AE546" s="224"/>
      <c r="AF546" s="224"/>
      <c r="AG546" s="224"/>
      <c r="AH546" s="224"/>
      <c r="AI546" s="224"/>
      <c r="AJ546" s="224"/>
      <c r="AK546" s="224"/>
      <c r="AL546" s="224"/>
      <c r="AM546" s="224"/>
      <c r="AN546" s="224"/>
      <c r="AO546" s="224"/>
      <c r="AP546" s="224"/>
      <c r="AQ546" s="224"/>
      <c r="AR546" s="224"/>
      <c r="AS546" s="224"/>
      <c r="AT546" s="224"/>
      <c r="AU546" s="224"/>
      <c r="AV546" s="224"/>
      <c r="AW546" s="224"/>
      <c r="AX546" s="224"/>
      <c r="AY546" s="224"/>
      <c r="AZ546" s="224"/>
      <c r="BA546" s="224"/>
      <c r="BB546" s="224"/>
      <c r="BC546" s="224"/>
      <c r="BD546" s="224"/>
      <c r="BE546" s="224"/>
      <c r="BF546" s="224"/>
    </row>
    <row r="547" spans="1:58" ht="12" hidden="1" customHeight="1" outlineLevel="1" x14ac:dyDescent="0.3">
      <c r="A547" s="224"/>
      <c r="B547" s="224"/>
      <c r="C547" s="224"/>
      <c r="D547" s="224"/>
      <c r="E547" s="224"/>
      <c r="F547" s="224"/>
      <c r="G547" s="224"/>
      <c r="H547" s="224"/>
      <c r="I547" s="224"/>
      <c r="J547" s="224"/>
      <c r="K547" s="224"/>
      <c r="L547" s="117"/>
      <c r="M547" s="210" t="s">
        <v>1089</v>
      </c>
      <c r="N547" s="244" t="s">
        <v>77</v>
      </c>
      <c r="O547" s="409">
        <f>SUM(O548:O550)</f>
        <v>290.86111111111109</v>
      </c>
      <c r="P547" s="409">
        <f t="shared" ref="P547" si="847">SUM(P548:P550)</f>
        <v>409.44444444444446</v>
      </c>
      <c r="Q547" s="409">
        <f t="shared" ref="Q547" si="848">SUM(Q548:Q550)</f>
        <v>422.64999999999992</v>
      </c>
      <c r="R547" s="409">
        <f t="shared" ref="R547" si="849">SUM(R548:R550)</f>
        <v>387.4</v>
      </c>
      <c r="S547" s="409">
        <f t="shared" ref="S547" si="850">SUM(S548:S550)</f>
        <v>397.40555555555557</v>
      </c>
      <c r="T547" s="409">
        <f t="shared" ref="T547" si="851">SUM(T548:T550)</f>
        <v>374.79444444444437</v>
      </c>
      <c r="U547" s="409">
        <f t="shared" ref="U547" si="852">SUM(U548:U550)</f>
        <v>493.71111111111111</v>
      </c>
      <c r="V547" s="409">
        <f t="shared" ref="V547" si="853">SUM(V548:V550)</f>
        <v>387.49055555555555</v>
      </c>
      <c r="W547" s="409">
        <f t="shared" ref="W547" si="854">SUM(W548:W550)</f>
        <v>435.61555277777768</v>
      </c>
      <c r="X547" s="409">
        <f t="shared" ref="X547" si="855">SUM(X548:X550)</f>
        <v>422.08083333333332</v>
      </c>
      <c r="Y547" s="394"/>
      <c r="Z547" s="246"/>
      <c r="AA547" s="246"/>
      <c r="AB547" s="409">
        <f t="shared" ref="AB547" si="856">SUM(AB548:AB550)</f>
        <v>470.5555555555556</v>
      </c>
      <c r="AC547" s="410">
        <f t="shared" ref="AC547" si="857">SUM(AC548:AC550)</f>
        <v>220</v>
      </c>
      <c r="AD547" s="411">
        <f>AB547*AD$271/$AB$271</f>
        <v>475.26111111111118</v>
      </c>
      <c r="AE547" s="411">
        <f>AD547*AE$271/AD$271</f>
        <v>480.96424444444455</v>
      </c>
      <c r="AF547" s="411">
        <f t="shared" ref="AF547:BF547" si="858">AE547*AF$271/AE$271</f>
        <v>488.17870811111118</v>
      </c>
      <c r="AG547" s="411">
        <f t="shared" si="858"/>
        <v>495.5013887327778</v>
      </c>
      <c r="AH547" s="411">
        <f t="shared" si="858"/>
        <v>502.93390956376942</v>
      </c>
      <c r="AI547" s="411">
        <f t="shared" si="858"/>
        <v>510.47791820722585</v>
      </c>
      <c r="AJ547" s="411">
        <f t="shared" si="858"/>
        <v>518.13508698033411</v>
      </c>
      <c r="AK547" s="411">
        <f t="shared" si="858"/>
        <v>525.90711328503903</v>
      </c>
      <c r="AL547" s="411">
        <f t="shared" si="858"/>
        <v>533.79571998431447</v>
      </c>
      <c r="AM547" s="411">
        <f t="shared" si="858"/>
        <v>541.80265578407909</v>
      </c>
      <c r="AN547" s="411">
        <f t="shared" si="858"/>
        <v>549.92969562084022</v>
      </c>
      <c r="AO547" s="411">
        <f t="shared" si="858"/>
        <v>558.17864105515275</v>
      </c>
      <c r="AP547" s="411">
        <f t="shared" si="858"/>
        <v>566.55132067098009</v>
      </c>
      <c r="AQ547" s="411">
        <f t="shared" si="858"/>
        <v>575.04959048104479</v>
      </c>
      <c r="AR547" s="411">
        <f t="shared" si="858"/>
        <v>583.67533433826043</v>
      </c>
      <c r="AS547" s="411">
        <f t="shared" si="858"/>
        <v>592.43046435333429</v>
      </c>
      <c r="AT547" s="411">
        <f t="shared" si="858"/>
        <v>601.31692131863429</v>
      </c>
      <c r="AU547" s="411">
        <f t="shared" si="858"/>
        <v>610.33667513841374</v>
      </c>
      <c r="AV547" s="411">
        <f t="shared" si="858"/>
        <v>619.49172526548989</v>
      </c>
      <c r="AW547" s="411">
        <f t="shared" si="858"/>
        <v>628.78410114447217</v>
      </c>
      <c r="AX547" s="411">
        <f t="shared" si="858"/>
        <v>638.21586266163922</v>
      </c>
      <c r="AY547" s="411">
        <f t="shared" si="858"/>
        <v>647.78910060156386</v>
      </c>
      <c r="AZ547" s="411">
        <f t="shared" si="858"/>
        <v>657.50593711058718</v>
      </c>
      <c r="BA547" s="411">
        <f t="shared" si="858"/>
        <v>667.36852616724582</v>
      </c>
      <c r="BB547" s="411">
        <f t="shared" si="858"/>
        <v>676.04431700741986</v>
      </c>
      <c r="BC547" s="411">
        <f t="shared" si="858"/>
        <v>684.15684881150889</v>
      </c>
      <c r="BD547" s="411">
        <f t="shared" si="858"/>
        <v>691.68257414843538</v>
      </c>
      <c r="BE547" s="411">
        <f t="shared" si="858"/>
        <v>698.59939988991982</v>
      </c>
      <c r="BF547" s="411">
        <f t="shared" si="858"/>
        <v>705.585393888819</v>
      </c>
    </row>
    <row r="548" spans="1:58" ht="12" hidden="1" customHeight="1" outlineLevel="1" x14ac:dyDescent="0.3">
      <c r="A548" s="224"/>
      <c r="B548" s="224"/>
      <c r="C548" s="224"/>
      <c r="D548" s="224"/>
      <c r="E548" s="224"/>
      <c r="F548" s="224"/>
      <c r="G548" s="224"/>
      <c r="H548" s="224"/>
      <c r="I548" s="224"/>
      <c r="J548" s="224"/>
      <c r="K548" s="224"/>
      <c r="L548" s="117"/>
      <c r="M548" s="213" t="s">
        <v>964</v>
      </c>
      <c r="N548" s="244" t="s">
        <v>77</v>
      </c>
      <c r="O548" s="150">
        <v>246.74999999999997</v>
      </c>
      <c r="P548" s="150">
        <v>387.77777777777777</v>
      </c>
      <c r="Q548" s="150">
        <v>375.99999999999994</v>
      </c>
      <c r="R548" s="150">
        <v>340.75</v>
      </c>
      <c r="S548" s="150">
        <v>352.5</v>
      </c>
      <c r="T548" s="150">
        <v>317.24999999999994</v>
      </c>
      <c r="U548" s="150">
        <v>399.5</v>
      </c>
      <c r="V548" s="150">
        <v>305.5</v>
      </c>
      <c r="W548" s="150">
        <v>375.99999999999994</v>
      </c>
      <c r="X548" s="150">
        <v>331.34999999999997</v>
      </c>
      <c r="Y548" s="394"/>
      <c r="Z548" s="246"/>
      <c r="AA548" s="246"/>
      <c r="AB548" s="150">
        <v>364.16666666666669</v>
      </c>
      <c r="AC548" s="153">
        <v>129.16666666666669</v>
      </c>
      <c r="AD548" s="412"/>
      <c r="AE548" s="412"/>
      <c r="AF548" s="412"/>
      <c r="AG548" s="412"/>
      <c r="AH548" s="412"/>
      <c r="AI548" s="412"/>
      <c r="AJ548" s="412"/>
      <c r="AK548" s="412"/>
      <c r="AL548" s="412"/>
      <c r="AM548" s="412"/>
      <c r="AN548" s="412"/>
      <c r="AO548" s="412"/>
      <c r="AP548" s="412"/>
      <c r="AQ548" s="412"/>
      <c r="AR548" s="412"/>
      <c r="AS548" s="412"/>
      <c r="AT548" s="412"/>
      <c r="AU548" s="412"/>
      <c r="AV548" s="412"/>
      <c r="AW548" s="412"/>
      <c r="AX548" s="412"/>
      <c r="AY548" s="412"/>
      <c r="AZ548" s="412"/>
      <c r="BA548" s="412"/>
      <c r="BB548" s="412"/>
      <c r="BC548" s="412"/>
      <c r="BD548" s="412"/>
      <c r="BE548" s="412"/>
      <c r="BF548" s="412"/>
    </row>
    <row r="549" spans="1:58" ht="12" hidden="1" customHeight="1" outlineLevel="1" x14ac:dyDescent="0.3">
      <c r="A549" s="224"/>
      <c r="B549" s="224"/>
      <c r="C549" s="224"/>
      <c r="D549" s="224"/>
      <c r="E549" s="224"/>
      <c r="F549" s="224"/>
      <c r="G549" s="224"/>
      <c r="H549" s="224"/>
      <c r="I549" s="224"/>
      <c r="J549" s="224"/>
      <c r="K549" s="224"/>
      <c r="L549" s="117"/>
      <c r="M549" s="213" t="s">
        <v>965</v>
      </c>
      <c r="N549" s="244" t="s">
        <v>77</v>
      </c>
      <c r="O549" s="150">
        <v>44.111111111111114</v>
      </c>
      <c r="P549" s="150">
        <v>21.666666666666668</v>
      </c>
      <c r="Q549" s="150">
        <v>21.788888888888888</v>
      </c>
      <c r="R549" s="150">
        <v>21.788888888888888</v>
      </c>
      <c r="S549" s="150">
        <v>32.68333333333333</v>
      </c>
      <c r="T549" s="150">
        <v>32.68333333333333</v>
      </c>
      <c r="U549" s="150">
        <v>32.68333333333333</v>
      </c>
      <c r="V549" s="150">
        <v>32.68416666666667</v>
      </c>
      <c r="W549" s="150">
        <v>34.754163888888883</v>
      </c>
      <c r="X549" s="150">
        <v>59.54999999999999</v>
      </c>
      <c r="Y549" s="394"/>
      <c r="Z549" s="246"/>
      <c r="AA549" s="246"/>
      <c r="AB549" s="150">
        <v>79.444444444444443</v>
      </c>
      <c r="AC549" s="153">
        <v>70.833333333333329</v>
      </c>
      <c r="AD549" s="412"/>
      <c r="AE549" s="412"/>
      <c r="AF549" s="412"/>
      <c r="AG549" s="412"/>
      <c r="AH549" s="412"/>
      <c r="AI549" s="412"/>
      <c r="AJ549" s="412"/>
      <c r="AK549" s="412"/>
      <c r="AL549" s="412"/>
      <c r="AM549" s="412"/>
      <c r="AN549" s="412"/>
      <c r="AO549" s="412"/>
      <c r="AP549" s="412"/>
      <c r="AQ549" s="412"/>
      <c r="AR549" s="412"/>
      <c r="AS549" s="412"/>
      <c r="AT549" s="412"/>
      <c r="AU549" s="412"/>
      <c r="AV549" s="412"/>
      <c r="AW549" s="412"/>
      <c r="AX549" s="412"/>
      <c r="AY549" s="412"/>
      <c r="AZ549" s="412"/>
      <c r="BA549" s="412"/>
      <c r="BB549" s="412"/>
      <c r="BC549" s="412"/>
      <c r="BD549" s="412"/>
      <c r="BE549" s="412"/>
      <c r="BF549" s="412"/>
    </row>
    <row r="550" spans="1:58" ht="12" hidden="1" customHeight="1" outlineLevel="1" x14ac:dyDescent="0.3">
      <c r="A550" s="224"/>
      <c r="B550" s="224"/>
      <c r="C550" s="224"/>
      <c r="D550" s="224"/>
      <c r="E550" s="224"/>
      <c r="F550" s="224"/>
      <c r="G550" s="224"/>
      <c r="H550" s="224"/>
      <c r="I550" s="224"/>
      <c r="J550" s="224"/>
      <c r="K550" s="224"/>
      <c r="L550" s="117"/>
      <c r="M550" s="213" t="s">
        <v>966</v>
      </c>
      <c r="N550" s="244" t="s">
        <v>77</v>
      </c>
      <c r="O550" s="150">
        <v>0</v>
      </c>
      <c r="P550" s="150">
        <v>0</v>
      </c>
      <c r="Q550" s="150">
        <v>24.861111111111111</v>
      </c>
      <c r="R550" s="150">
        <v>24.861111111111111</v>
      </c>
      <c r="S550" s="150">
        <v>12.222222222222221</v>
      </c>
      <c r="T550" s="150">
        <v>24.861111111111111</v>
      </c>
      <c r="U550" s="150">
        <v>61.527777777777779</v>
      </c>
      <c r="V550" s="150">
        <v>49.306388888888883</v>
      </c>
      <c r="W550" s="150">
        <v>24.861388888888886</v>
      </c>
      <c r="X550" s="150">
        <v>31.180833333333332</v>
      </c>
      <c r="Y550" s="394"/>
      <c r="Z550" s="246"/>
      <c r="AA550" s="246"/>
      <c r="AB550" s="150">
        <v>26.944444444444443</v>
      </c>
      <c r="AC550" s="153">
        <v>20</v>
      </c>
      <c r="AD550" s="412"/>
      <c r="AE550" s="412"/>
      <c r="AF550" s="412"/>
      <c r="AG550" s="412"/>
      <c r="AH550" s="412"/>
      <c r="AI550" s="412"/>
      <c r="AJ550" s="412"/>
      <c r="AK550" s="412"/>
      <c r="AL550" s="412"/>
      <c r="AM550" s="412"/>
      <c r="AN550" s="412"/>
      <c r="AO550" s="412"/>
      <c r="AP550" s="412"/>
      <c r="AQ550" s="412"/>
      <c r="AR550" s="412"/>
      <c r="AS550" s="412"/>
      <c r="AT550" s="412"/>
      <c r="AU550" s="412"/>
      <c r="AV550" s="412"/>
      <c r="AW550" s="412"/>
      <c r="AX550" s="412"/>
      <c r="AY550" s="412"/>
      <c r="AZ550" s="412"/>
      <c r="BA550" s="412"/>
      <c r="BB550" s="412"/>
      <c r="BC550" s="412"/>
      <c r="BD550" s="412"/>
      <c r="BE550" s="412"/>
      <c r="BF550" s="412"/>
    </row>
    <row r="551" spans="1:58" ht="12" hidden="1" customHeight="1" outlineLevel="1" x14ac:dyDescent="0.3">
      <c r="A551" s="224"/>
      <c r="B551" s="224"/>
      <c r="C551" s="224"/>
      <c r="D551" s="224"/>
      <c r="E551" s="224"/>
      <c r="F551" s="224"/>
      <c r="G551" s="224"/>
      <c r="H551" s="224"/>
      <c r="I551" s="224"/>
      <c r="J551" s="224"/>
      <c r="K551" s="224"/>
      <c r="L551" s="117"/>
      <c r="M551" s="210" t="s">
        <v>1090</v>
      </c>
      <c r="N551" s="244" t="s">
        <v>77</v>
      </c>
      <c r="O551" s="409">
        <f>SUM(O552:O553)</f>
        <v>41.489216064984191</v>
      </c>
      <c r="P551" s="409">
        <f t="shared" ref="P551" si="859">SUM(P552:P553)</f>
        <v>45.555555555555557</v>
      </c>
      <c r="Q551" s="409">
        <f t="shared" ref="Q551" si="860">SUM(Q552:Q553)</f>
        <v>55.485578111002951</v>
      </c>
      <c r="R551" s="409">
        <f t="shared" ref="R551" si="861">SUM(R552:R553)</f>
        <v>54.495350859431575</v>
      </c>
      <c r="S551" s="409">
        <f t="shared" ref="S551" si="862">SUM(S552:S553)</f>
        <v>61.983889060940243</v>
      </c>
      <c r="T551" s="409">
        <f t="shared" ref="T551" si="863">SUM(T552:T553)</f>
        <v>72.981030668526429</v>
      </c>
      <c r="U551" s="409">
        <f t="shared" ref="U551" si="864">SUM(U552:U553)</f>
        <v>84.727977385720735</v>
      </c>
      <c r="V551" s="409">
        <f t="shared" ref="V551" si="865">SUM(V552:V553)</f>
        <v>82.750148838999948</v>
      </c>
      <c r="W551" s="409">
        <f t="shared" ref="W551" si="866">SUM(W552:W553)</f>
        <v>72.702353102788706</v>
      </c>
      <c r="X551" s="409">
        <f t="shared" ref="X551" si="867">SUM(X552:X553)</f>
        <v>51.511611030079777</v>
      </c>
      <c r="Y551" s="394"/>
      <c r="Z551" s="246"/>
      <c r="AA551" s="246"/>
      <c r="AB551" s="409">
        <f t="shared" ref="AB551" si="868">SUM(AB552:AB553)</f>
        <v>42.777777777777779</v>
      </c>
      <c r="AC551" s="410">
        <f t="shared" ref="AC551" si="869">SUM(AC552:AC553)</f>
        <v>59.999999999999993</v>
      </c>
      <c r="AD551" s="411">
        <f>AB551*AD$271/$AB$271</f>
        <v>43.205555555555556</v>
      </c>
      <c r="AE551" s="411">
        <f>AD551*AE$271/AD$271</f>
        <v>43.724022222222224</v>
      </c>
      <c r="AF551" s="411">
        <f t="shared" ref="AF551:BF551" si="870">AE551*AF$271/AE$271</f>
        <v>44.379882555555554</v>
      </c>
      <c r="AG551" s="411">
        <f t="shared" si="870"/>
        <v>45.045580793888881</v>
      </c>
      <c r="AH551" s="411">
        <f t="shared" si="870"/>
        <v>45.721264505797215</v>
      </c>
      <c r="AI551" s="411">
        <f t="shared" si="870"/>
        <v>46.407083473384169</v>
      </c>
      <c r="AJ551" s="411">
        <f t="shared" si="870"/>
        <v>47.103189725484931</v>
      </c>
      <c r="AK551" s="411">
        <f t="shared" si="870"/>
        <v>47.809737571367201</v>
      </c>
      <c r="AL551" s="411">
        <f t="shared" si="870"/>
        <v>48.526883634937697</v>
      </c>
      <c r="AM551" s="411">
        <f t="shared" si="870"/>
        <v>49.254786889461755</v>
      </c>
      <c r="AN551" s="411">
        <f t="shared" si="870"/>
        <v>49.993608692803676</v>
      </c>
      <c r="AO551" s="411">
        <f t="shared" si="870"/>
        <v>50.743512823195729</v>
      </c>
      <c r="AP551" s="411">
        <f t="shared" si="870"/>
        <v>51.504665515543664</v>
      </c>
      <c r="AQ551" s="411">
        <f t="shared" si="870"/>
        <v>52.277235498276816</v>
      </c>
      <c r="AR551" s="411">
        <f t="shared" si="870"/>
        <v>53.061394030750961</v>
      </c>
      <c r="AS551" s="411">
        <f t="shared" si="870"/>
        <v>53.857314941212216</v>
      </c>
      <c r="AT551" s="411">
        <f t="shared" si="870"/>
        <v>54.66517466533039</v>
      </c>
      <c r="AU551" s="411">
        <f t="shared" si="870"/>
        <v>55.485152285310342</v>
      </c>
      <c r="AV551" s="411">
        <f t="shared" si="870"/>
        <v>56.317429569589997</v>
      </c>
      <c r="AW551" s="411">
        <f t="shared" si="870"/>
        <v>57.162191013133835</v>
      </c>
      <c r="AX551" s="411">
        <f t="shared" si="870"/>
        <v>58.01962387833084</v>
      </c>
      <c r="AY551" s="411">
        <f t="shared" si="870"/>
        <v>58.8899182365058</v>
      </c>
      <c r="AZ551" s="411">
        <f t="shared" si="870"/>
        <v>59.773267010053381</v>
      </c>
      <c r="BA551" s="411">
        <f t="shared" si="870"/>
        <v>60.669866015204171</v>
      </c>
      <c r="BB551" s="411">
        <f t="shared" si="870"/>
        <v>61.458574273401815</v>
      </c>
      <c r="BC551" s="411">
        <f t="shared" si="870"/>
        <v>62.196077164682642</v>
      </c>
      <c r="BD551" s="411">
        <f t="shared" si="870"/>
        <v>62.880234013494146</v>
      </c>
      <c r="BE551" s="411">
        <f t="shared" si="870"/>
        <v>63.509036353629099</v>
      </c>
      <c r="BF551" s="411">
        <f t="shared" si="870"/>
        <v>64.144126717165406</v>
      </c>
    </row>
    <row r="552" spans="1:58" ht="12" hidden="1" customHeight="1" outlineLevel="1" x14ac:dyDescent="0.3">
      <c r="A552" s="224"/>
      <c r="B552" s="224"/>
      <c r="C552" s="224"/>
      <c r="D552" s="224"/>
      <c r="E552" s="224"/>
      <c r="F552" s="224"/>
      <c r="G552" s="224"/>
      <c r="H552" s="224"/>
      <c r="I552" s="224"/>
      <c r="J552" s="224"/>
      <c r="K552" s="224"/>
      <c r="L552" s="117"/>
      <c r="M552" s="213" t="s">
        <v>968</v>
      </c>
      <c r="N552" s="244" t="s">
        <v>77</v>
      </c>
      <c r="O552" s="150">
        <v>41.489216064984191</v>
      </c>
      <c r="P552" s="150">
        <v>45.555555555555557</v>
      </c>
      <c r="Q552" s="150">
        <v>55.485578111002951</v>
      </c>
      <c r="R552" s="150">
        <v>54.495350859431575</v>
      </c>
      <c r="S552" s="150">
        <v>61.983889060940243</v>
      </c>
      <c r="T552" s="150">
        <v>72.981030668526429</v>
      </c>
      <c r="U552" s="150">
        <v>84.727977385720735</v>
      </c>
      <c r="V552" s="150">
        <v>82.750148838999948</v>
      </c>
      <c r="W552" s="150">
        <v>72.702353102788706</v>
      </c>
      <c r="X552" s="150">
        <v>51.511611030079777</v>
      </c>
      <c r="Y552" s="394"/>
      <c r="Z552" s="246"/>
      <c r="AA552" s="246"/>
      <c r="AB552" s="150">
        <v>42.777777777777779</v>
      </c>
      <c r="AC552" s="153">
        <v>59.999999999999993</v>
      </c>
      <c r="AD552" s="412"/>
      <c r="AE552" s="412"/>
      <c r="AF552" s="412"/>
      <c r="AG552" s="412"/>
      <c r="AH552" s="412"/>
      <c r="AI552" s="412"/>
      <c r="AJ552" s="412"/>
      <c r="AK552" s="412"/>
      <c r="AL552" s="412"/>
      <c r="AM552" s="412"/>
      <c r="AN552" s="412"/>
      <c r="AO552" s="412"/>
      <c r="AP552" s="412"/>
      <c r="AQ552" s="412"/>
      <c r="AR552" s="412"/>
      <c r="AS552" s="412"/>
      <c r="AT552" s="412"/>
      <c r="AU552" s="412"/>
      <c r="AV552" s="412"/>
      <c r="AW552" s="412"/>
      <c r="AX552" s="412"/>
      <c r="AY552" s="412"/>
      <c r="AZ552" s="412"/>
      <c r="BA552" s="412"/>
      <c r="BB552" s="412"/>
      <c r="BC552" s="412"/>
      <c r="BD552" s="412"/>
      <c r="BE552" s="412"/>
      <c r="BF552" s="412"/>
    </row>
    <row r="553" spans="1:58" ht="12" hidden="1" customHeight="1" outlineLevel="1" x14ac:dyDescent="0.3">
      <c r="A553" s="224"/>
      <c r="B553" s="224"/>
      <c r="C553" s="224"/>
      <c r="D553" s="224"/>
      <c r="E553" s="224"/>
      <c r="F553" s="224"/>
      <c r="G553" s="224"/>
      <c r="H553" s="224"/>
      <c r="I553" s="224"/>
      <c r="J553" s="224"/>
      <c r="K553" s="224"/>
      <c r="L553" s="117"/>
      <c r="M553" s="213" t="s">
        <v>969</v>
      </c>
      <c r="N553" s="244" t="s">
        <v>77</v>
      </c>
      <c r="O553" s="150">
        <v>0</v>
      </c>
      <c r="P553" s="150">
        <v>0</v>
      </c>
      <c r="Q553" s="150">
        <v>0</v>
      </c>
      <c r="R553" s="150">
        <v>0</v>
      </c>
      <c r="S553" s="150">
        <v>0</v>
      </c>
      <c r="T553" s="150">
        <v>0</v>
      </c>
      <c r="U553" s="150">
        <v>0</v>
      </c>
      <c r="V553" s="150">
        <v>0</v>
      </c>
      <c r="W553" s="150">
        <v>0</v>
      </c>
      <c r="X553" s="150">
        <v>0</v>
      </c>
      <c r="Y553" s="394"/>
      <c r="Z553" s="220"/>
      <c r="AA553" s="220"/>
      <c r="AB553" s="150">
        <v>0</v>
      </c>
      <c r="AC553" s="153">
        <v>0</v>
      </c>
      <c r="AD553" s="412"/>
      <c r="AE553" s="412"/>
      <c r="AF553" s="412"/>
      <c r="AG553" s="412"/>
      <c r="AH553" s="412"/>
      <c r="AI553" s="412"/>
      <c r="AJ553" s="412"/>
      <c r="AK553" s="412"/>
      <c r="AL553" s="412"/>
      <c r="AM553" s="412"/>
      <c r="AN553" s="412"/>
      <c r="AO553" s="412"/>
      <c r="AP553" s="412"/>
      <c r="AQ553" s="412"/>
      <c r="AR553" s="412"/>
      <c r="AS553" s="412"/>
      <c r="AT553" s="412"/>
      <c r="AU553" s="412"/>
      <c r="AV553" s="412"/>
      <c r="AW553" s="412"/>
      <c r="AX553" s="412"/>
      <c r="AY553" s="412"/>
      <c r="AZ553" s="412"/>
      <c r="BA553" s="412"/>
      <c r="BB553" s="412"/>
      <c r="BC553" s="412"/>
      <c r="BD553" s="412"/>
      <c r="BE553" s="412"/>
      <c r="BF553" s="412"/>
    </row>
    <row r="554" spans="1:58" ht="12" hidden="1" customHeight="1" outlineLevel="1" x14ac:dyDescent="0.3">
      <c r="A554" s="224"/>
      <c r="B554" s="224"/>
      <c r="C554" s="224"/>
      <c r="D554" s="224"/>
      <c r="E554" s="224"/>
      <c r="F554" s="224"/>
      <c r="G554" s="224"/>
      <c r="H554" s="224"/>
      <c r="I554" s="224"/>
      <c r="J554" s="224"/>
      <c r="K554" s="224"/>
      <c r="L554" s="117"/>
      <c r="M554" s="210" t="s">
        <v>1091</v>
      </c>
      <c r="N554" s="244" t="s">
        <v>77</v>
      </c>
      <c r="O554" s="409">
        <f>SUM(O555:O558)</f>
        <v>0</v>
      </c>
      <c r="P554" s="409">
        <f t="shared" ref="P554" si="871">SUM(P555:P558)</f>
        <v>4.4444444444444446</v>
      </c>
      <c r="Q554" s="409">
        <f t="shared" ref="Q554" si="872">SUM(Q555:Q558)</f>
        <v>0</v>
      </c>
      <c r="R554" s="409">
        <f t="shared" ref="R554" si="873">SUM(R555:R558)</f>
        <v>0</v>
      </c>
      <c r="S554" s="409">
        <f t="shared" ref="S554" si="874">SUM(S555:S558)</f>
        <v>0</v>
      </c>
      <c r="T554" s="409">
        <f t="shared" ref="T554" si="875">SUM(T555:T558)</f>
        <v>0</v>
      </c>
      <c r="U554" s="409">
        <f t="shared" ref="U554" si="876">SUM(U555:U558)</f>
        <v>0</v>
      </c>
      <c r="V554" s="409">
        <f t="shared" ref="V554" si="877">SUM(V555:V558)</f>
        <v>0</v>
      </c>
      <c r="W554" s="409">
        <f t="shared" ref="W554" si="878">SUM(W555:W558)</f>
        <v>6.1111111111111107</v>
      </c>
      <c r="X554" s="409">
        <f t="shared" ref="X554" si="879">SUM(X555:X558)</f>
        <v>3.0555555555555554</v>
      </c>
      <c r="Y554" s="394"/>
      <c r="Z554" s="246"/>
      <c r="AA554" s="246"/>
      <c r="AB554" s="409">
        <f t="shared" ref="AB554" si="880">SUM(AB555:AB558)</f>
        <v>0.55555555555555558</v>
      </c>
      <c r="AC554" s="410">
        <f t="shared" ref="AC554" si="881">SUM(AC555:AC558)</f>
        <v>1.9444444444444444</v>
      </c>
      <c r="AD554" s="411">
        <f>AB554*AD$271/$AB$271</f>
        <v>0.56111111111111112</v>
      </c>
      <c r="AE554" s="411">
        <f>AD554*AE$271/AD$271</f>
        <v>0.56784444444444448</v>
      </c>
      <c r="AF554" s="411">
        <f t="shared" ref="AF554:BF554" si="882">AE554*AF$271/AE$271</f>
        <v>0.57636211111111113</v>
      </c>
      <c r="AG554" s="411">
        <f t="shared" si="882"/>
        <v>0.58500754277777767</v>
      </c>
      <c r="AH554" s="411">
        <f t="shared" si="882"/>
        <v>0.59378265591944424</v>
      </c>
      <c r="AI554" s="411">
        <f t="shared" si="882"/>
        <v>0.60268939575823577</v>
      </c>
      <c r="AJ554" s="411">
        <f t="shared" si="882"/>
        <v>0.61172973669460917</v>
      </c>
      <c r="AK554" s="411">
        <f t="shared" si="882"/>
        <v>0.62090568274502833</v>
      </c>
      <c r="AL554" s="411">
        <f t="shared" si="882"/>
        <v>0.63021926798620365</v>
      </c>
      <c r="AM554" s="411">
        <f t="shared" si="882"/>
        <v>0.63967255700599668</v>
      </c>
      <c r="AN554" s="411">
        <f t="shared" si="882"/>
        <v>0.64926764536108661</v>
      </c>
      <c r="AO554" s="411">
        <f t="shared" si="882"/>
        <v>0.65900666004150288</v>
      </c>
      <c r="AP554" s="411">
        <f t="shared" si="882"/>
        <v>0.66889175994212535</v>
      </c>
      <c r="AQ554" s="411">
        <f t="shared" si="882"/>
        <v>0.67892513634125717</v>
      </c>
      <c r="AR554" s="411">
        <f t="shared" si="882"/>
        <v>0.68910901338637598</v>
      </c>
      <c r="AS554" s="411">
        <f t="shared" si="882"/>
        <v>0.69944564858717151</v>
      </c>
      <c r="AT554" s="411">
        <f t="shared" si="882"/>
        <v>0.70993733331597897</v>
      </c>
      <c r="AU554" s="411">
        <f t="shared" si="882"/>
        <v>0.72058639331571861</v>
      </c>
      <c r="AV554" s="411">
        <f t="shared" si="882"/>
        <v>0.73139518921545432</v>
      </c>
      <c r="AW554" s="411">
        <f t="shared" si="882"/>
        <v>0.74236611705368605</v>
      </c>
      <c r="AX554" s="411">
        <f t="shared" si="882"/>
        <v>0.75350160880949135</v>
      </c>
      <c r="AY554" s="411">
        <f t="shared" si="882"/>
        <v>0.76480413294163374</v>
      </c>
      <c r="AZ554" s="411">
        <f t="shared" si="882"/>
        <v>0.77627619493575817</v>
      </c>
      <c r="BA554" s="411">
        <f t="shared" si="882"/>
        <v>0.78792033785979443</v>
      </c>
      <c r="BB554" s="411">
        <f t="shared" si="882"/>
        <v>0.79816330225197174</v>
      </c>
      <c r="BC554" s="411">
        <f t="shared" si="882"/>
        <v>0.80774126187899542</v>
      </c>
      <c r="BD554" s="411">
        <f t="shared" si="882"/>
        <v>0.81662641575966433</v>
      </c>
      <c r="BE554" s="411">
        <f t="shared" si="882"/>
        <v>0.82479267991726102</v>
      </c>
      <c r="BF554" s="411">
        <f t="shared" si="882"/>
        <v>0.83304060671643365</v>
      </c>
    </row>
    <row r="555" spans="1:58" ht="12" hidden="1" customHeight="1" outlineLevel="1" x14ac:dyDescent="0.3">
      <c r="A555" s="224"/>
      <c r="B555" s="224"/>
      <c r="C555" s="224"/>
      <c r="D555" s="224"/>
      <c r="E555" s="224"/>
      <c r="F555" s="224"/>
      <c r="G555" s="224"/>
      <c r="H555" s="224"/>
      <c r="I555" s="224"/>
      <c r="J555" s="224"/>
      <c r="K555" s="224"/>
      <c r="L555" s="117"/>
      <c r="M555" s="213" t="s">
        <v>971</v>
      </c>
      <c r="N555" s="244" t="s">
        <v>77</v>
      </c>
      <c r="O555" s="150">
        <v>0</v>
      </c>
      <c r="P555" s="150">
        <v>0</v>
      </c>
      <c r="Q555" s="150">
        <v>0</v>
      </c>
      <c r="R555" s="150">
        <v>0</v>
      </c>
      <c r="S555" s="150">
        <v>0</v>
      </c>
      <c r="T555" s="150">
        <v>0</v>
      </c>
      <c r="U555" s="150">
        <v>0</v>
      </c>
      <c r="V555" s="150">
        <v>0</v>
      </c>
      <c r="W555" s="150">
        <v>6.1111111111111107</v>
      </c>
      <c r="X555" s="150">
        <v>3.0555555555555554</v>
      </c>
      <c r="Y555" s="394"/>
      <c r="Z555" s="246"/>
      <c r="AA555" s="246"/>
      <c r="AB555" s="150">
        <v>0.55555555555555558</v>
      </c>
      <c r="AC555" s="153">
        <v>1.9444444444444444</v>
      </c>
      <c r="AD555" s="412"/>
      <c r="AE555" s="412"/>
      <c r="AF555" s="412"/>
      <c r="AG555" s="412"/>
      <c r="AH555" s="412"/>
      <c r="AI555" s="412"/>
      <c r="AJ555" s="412"/>
      <c r="AK555" s="412"/>
      <c r="AL555" s="412"/>
      <c r="AM555" s="412"/>
      <c r="AN555" s="412"/>
      <c r="AO555" s="412"/>
      <c r="AP555" s="412"/>
      <c r="AQ555" s="412"/>
      <c r="AR555" s="412"/>
      <c r="AS555" s="412"/>
      <c r="AT555" s="412"/>
      <c r="AU555" s="412"/>
      <c r="AV555" s="412"/>
      <c r="AW555" s="412"/>
      <c r="AX555" s="412"/>
      <c r="AY555" s="412"/>
      <c r="AZ555" s="412"/>
      <c r="BA555" s="412"/>
      <c r="BB555" s="412"/>
      <c r="BC555" s="412"/>
      <c r="BD555" s="412"/>
      <c r="BE555" s="412"/>
      <c r="BF555" s="412"/>
    </row>
    <row r="556" spans="1:58" ht="12" hidden="1" customHeight="1" outlineLevel="1" x14ac:dyDescent="0.3">
      <c r="A556" s="224"/>
      <c r="B556" s="224"/>
      <c r="C556" s="224"/>
      <c r="D556" s="224"/>
      <c r="E556" s="224"/>
      <c r="F556" s="224"/>
      <c r="G556" s="224"/>
      <c r="H556" s="224"/>
      <c r="I556" s="224"/>
      <c r="J556" s="224"/>
      <c r="K556" s="224"/>
      <c r="L556" s="117"/>
      <c r="M556" s="213" t="s">
        <v>985</v>
      </c>
      <c r="N556" s="244" t="s">
        <v>77</v>
      </c>
      <c r="O556" s="150">
        <v>0</v>
      </c>
      <c r="P556" s="150">
        <v>0</v>
      </c>
      <c r="Q556" s="150">
        <v>0</v>
      </c>
      <c r="R556" s="150">
        <v>0</v>
      </c>
      <c r="S556" s="150">
        <v>0</v>
      </c>
      <c r="T556" s="150">
        <v>0</v>
      </c>
      <c r="U556" s="150">
        <v>0</v>
      </c>
      <c r="V556" s="150">
        <v>0</v>
      </c>
      <c r="W556" s="150">
        <v>0</v>
      </c>
      <c r="X556" s="150">
        <v>0</v>
      </c>
      <c r="Y556" s="394"/>
      <c r="Z556" s="246"/>
      <c r="AA556" s="246"/>
      <c r="AB556" s="150">
        <v>0</v>
      </c>
      <c r="AC556" s="153">
        <v>0</v>
      </c>
      <c r="AD556" s="412"/>
      <c r="AE556" s="412"/>
      <c r="AF556" s="412"/>
      <c r="AG556" s="412"/>
      <c r="AH556" s="412"/>
      <c r="AI556" s="412"/>
      <c r="AJ556" s="412"/>
      <c r="AK556" s="412"/>
      <c r="AL556" s="412"/>
      <c r="AM556" s="412"/>
      <c r="AN556" s="412"/>
      <c r="AO556" s="412"/>
      <c r="AP556" s="412"/>
      <c r="AQ556" s="412"/>
      <c r="AR556" s="412"/>
      <c r="AS556" s="412"/>
      <c r="AT556" s="412"/>
      <c r="AU556" s="412"/>
      <c r="AV556" s="412"/>
      <c r="AW556" s="412"/>
      <c r="AX556" s="412"/>
      <c r="AY556" s="412"/>
      <c r="AZ556" s="412"/>
      <c r="BA556" s="412"/>
      <c r="BB556" s="412"/>
      <c r="BC556" s="412"/>
      <c r="BD556" s="412"/>
      <c r="BE556" s="412"/>
      <c r="BF556" s="412"/>
    </row>
    <row r="557" spans="1:58" ht="12" hidden="1" customHeight="1" outlineLevel="1" x14ac:dyDescent="0.3">
      <c r="A557" s="224"/>
      <c r="B557" s="224"/>
      <c r="C557" s="224"/>
      <c r="D557" s="224"/>
      <c r="E557" s="224"/>
      <c r="F557" s="224"/>
      <c r="G557" s="224"/>
      <c r="H557" s="224"/>
      <c r="I557" s="224"/>
      <c r="J557" s="224"/>
      <c r="K557" s="224"/>
      <c r="L557" s="117"/>
      <c r="M557" s="213" t="s">
        <v>973</v>
      </c>
      <c r="N557" s="244" t="s">
        <v>77</v>
      </c>
      <c r="O557" s="150">
        <v>0</v>
      </c>
      <c r="P557" s="150">
        <v>0</v>
      </c>
      <c r="Q557" s="150">
        <v>0</v>
      </c>
      <c r="R557" s="150">
        <v>0</v>
      </c>
      <c r="S557" s="150">
        <v>0</v>
      </c>
      <c r="T557" s="150">
        <v>0</v>
      </c>
      <c r="U557" s="150">
        <v>0</v>
      </c>
      <c r="V557" s="150">
        <v>0</v>
      </c>
      <c r="W557" s="150">
        <v>0</v>
      </c>
      <c r="X557" s="150">
        <v>0</v>
      </c>
      <c r="Y557" s="394"/>
      <c r="Z557" s="246"/>
      <c r="AA557" s="246"/>
      <c r="AB557" s="150">
        <v>0</v>
      </c>
      <c r="AC557" s="153">
        <v>0</v>
      </c>
      <c r="AD557" s="412"/>
      <c r="AE557" s="412"/>
      <c r="AF557" s="412"/>
      <c r="AG557" s="412"/>
      <c r="AH557" s="412"/>
      <c r="AI557" s="412"/>
      <c r="AJ557" s="412"/>
      <c r="AK557" s="412"/>
      <c r="AL557" s="412"/>
      <c r="AM557" s="412"/>
      <c r="AN557" s="412"/>
      <c r="AO557" s="412"/>
      <c r="AP557" s="412"/>
      <c r="AQ557" s="412"/>
      <c r="AR557" s="412"/>
      <c r="AS557" s="412"/>
      <c r="AT557" s="412"/>
      <c r="AU557" s="412"/>
      <c r="AV557" s="412"/>
      <c r="AW557" s="412"/>
      <c r="AX557" s="412"/>
      <c r="AY557" s="412"/>
      <c r="AZ557" s="412"/>
      <c r="BA557" s="412"/>
      <c r="BB557" s="412"/>
      <c r="BC557" s="412"/>
      <c r="BD557" s="412"/>
      <c r="BE557" s="412"/>
      <c r="BF557" s="412"/>
    </row>
    <row r="558" spans="1:58" ht="12" hidden="1" customHeight="1" outlineLevel="1" x14ac:dyDescent="0.3">
      <c r="A558" s="224"/>
      <c r="B558" s="224"/>
      <c r="C558" s="224"/>
      <c r="D558" s="224"/>
      <c r="E558" s="224"/>
      <c r="F558" s="224"/>
      <c r="G558" s="224"/>
      <c r="H558" s="224"/>
      <c r="I558" s="224"/>
      <c r="J558" s="224"/>
      <c r="K558" s="224"/>
      <c r="L558" s="117"/>
      <c r="M558" s="213" t="s">
        <v>974</v>
      </c>
      <c r="N558" s="244" t="s">
        <v>77</v>
      </c>
      <c r="O558" s="150">
        <v>0</v>
      </c>
      <c r="P558" s="150">
        <v>4.4444444444444446</v>
      </c>
      <c r="Q558" s="150">
        <v>0</v>
      </c>
      <c r="R558" s="150">
        <v>0</v>
      </c>
      <c r="S558" s="150">
        <v>0</v>
      </c>
      <c r="T558" s="150">
        <v>0</v>
      </c>
      <c r="U558" s="150">
        <v>0</v>
      </c>
      <c r="V558" s="150">
        <v>0</v>
      </c>
      <c r="W558" s="150">
        <v>0</v>
      </c>
      <c r="X558" s="150">
        <v>0</v>
      </c>
      <c r="Y558" s="394"/>
      <c r="Z558" s="246"/>
      <c r="AA558" s="246"/>
      <c r="AB558" s="150">
        <v>0</v>
      </c>
      <c r="AC558" s="153">
        <v>0</v>
      </c>
      <c r="AD558" s="412"/>
      <c r="AE558" s="412"/>
      <c r="AF558" s="412"/>
      <c r="AG558" s="412"/>
      <c r="AH558" s="412"/>
      <c r="AI558" s="412"/>
      <c r="AJ558" s="412"/>
      <c r="AK558" s="412"/>
      <c r="AL558" s="412"/>
      <c r="AM558" s="412"/>
      <c r="AN558" s="412"/>
      <c r="AO558" s="412"/>
      <c r="AP558" s="412"/>
      <c r="AQ558" s="412"/>
      <c r="AR558" s="412"/>
      <c r="AS558" s="412"/>
      <c r="AT558" s="412"/>
      <c r="AU558" s="412"/>
      <c r="AV558" s="412"/>
      <c r="AW558" s="412"/>
      <c r="AX558" s="412"/>
      <c r="AY558" s="412"/>
      <c r="AZ558" s="412"/>
      <c r="BA558" s="412"/>
      <c r="BB558" s="412"/>
      <c r="BC558" s="412"/>
      <c r="BD558" s="412"/>
      <c r="BE558" s="412"/>
      <c r="BF558" s="412"/>
    </row>
    <row r="559" spans="1:58" ht="12" hidden="1" customHeight="1" outlineLevel="1" x14ac:dyDescent="0.3">
      <c r="A559" s="224"/>
      <c r="B559" s="224"/>
      <c r="C559" s="224"/>
      <c r="D559" s="224"/>
      <c r="E559" s="224"/>
      <c r="F559" s="224"/>
      <c r="G559" s="224"/>
      <c r="H559" s="224"/>
      <c r="I559" s="224"/>
      <c r="J559" s="224"/>
      <c r="K559" s="224"/>
      <c r="L559" s="117"/>
      <c r="M559" s="210" t="s">
        <v>1092</v>
      </c>
      <c r="N559" s="244" t="s">
        <v>77</v>
      </c>
      <c r="O559" s="150">
        <v>25</v>
      </c>
      <c r="P559" s="150">
        <v>11.388888888888889</v>
      </c>
      <c r="Q559" s="150">
        <v>19.722222222222221</v>
      </c>
      <c r="R559" s="150">
        <v>16.944444444444443</v>
      </c>
      <c r="S559" s="150">
        <v>22.777777777777779</v>
      </c>
      <c r="T559" s="150">
        <v>21.388888888888889</v>
      </c>
      <c r="U559" s="150">
        <v>25.277777777777779</v>
      </c>
      <c r="V559" s="150">
        <v>23.055555555555554</v>
      </c>
      <c r="W559" s="150">
        <v>21.388888888888889</v>
      </c>
      <c r="X559" s="150">
        <v>22.222222222222221</v>
      </c>
      <c r="Y559" s="394"/>
      <c r="Z559" s="246"/>
      <c r="AA559" s="246"/>
      <c r="AB559" s="150">
        <v>23.611111111111111</v>
      </c>
      <c r="AC559" s="153">
        <v>21.666666666666668</v>
      </c>
      <c r="AD559" s="411">
        <f>AB559*AD$271/$AB$271</f>
        <v>23.847222222222221</v>
      </c>
      <c r="AE559" s="411">
        <f>AD559*AE$271/AD$271</f>
        <v>24.133388888888888</v>
      </c>
      <c r="AF559" s="411">
        <f t="shared" ref="AF559:BF559" si="883">AE559*AF$271/AE$271</f>
        <v>24.495389722222217</v>
      </c>
      <c r="AG559" s="411">
        <f t="shared" si="883"/>
        <v>24.862820568055547</v>
      </c>
      <c r="AH559" s="411">
        <f t="shared" si="883"/>
        <v>25.235762876576377</v>
      </c>
      <c r="AI559" s="411">
        <f t="shared" si="883"/>
        <v>25.614299319725021</v>
      </c>
      <c r="AJ559" s="411">
        <f t="shared" si="883"/>
        <v>25.998513809520894</v>
      </c>
      <c r="AK559" s="411">
        <f t="shared" si="883"/>
        <v>26.388491516663702</v>
      </c>
      <c r="AL559" s="411">
        <f t="shared" si="883"/>
        <v>26.784318889413655</v>
      </c>
      <c r="AM559" s="411">
        <f t="shared" si="883"/>
        <v>27.186083672754858</v>
      </c>
      <c r="AN559" s="411">
        <f t="shared" si="883"/>
        <v>27.59387492784618</v>
      </c>
      <c r="AO559" s="411">
        <f t="shared" si="883"/>
        <v>28.007783051763873</v>
      </c>
      <c r="AP559" s="411">
        <f t="shared" si="883"/>
        <v>28.427899797540331</v>
      </c>
      <c r="AQ559" s="411">
        <f t="shared" si="883"/>
        <v>28.854318294503436</v>
      </c>
      <c r="AR559" s="411">
        <f t="shared" si="883"/>
        <v>29.287133068920983</v>
      </c>
      <c r="AS559" s="411">
        <f t="shared" si="883"/>
        <v>29.726440064954794</v>
      </c>
      <c r="AT559" s="411">
        <f t="shared" si="883"/>
        <v>30.172336665929112</v>
      </c>
      <c r="AU559" s="411">
        <f t="shared" si="883"/>
        <v>30.624921715918049</v>
      </c>
      <c r="AV559" s="411">
        <f t="shared" si="883"/>
        <v>31.084295541656818</v>
      </c>
      <c r="AW559" s="411">
        <f t="shared" si="883"/>
        <v>31.550559974781667</v>
      </c>
      <c r="AX559" s="411">
        <f t="shared" si="883"/>
        <v>32.02381837440339</v>
      </c>
      <c r="AY559" s="411">
        <f t="shared" si="883"/>
        <v>32.504175650019441</v>
      </c>
      <c r="AZ559" s="411">
        <f t="shared" si="883"/>
        <v>32.991738284769731</v>
      </c>
      <c r="BA559" s="411">
        <f t="shared" si="883"/>
        <v>33.486614359041276</v>
      </c>
      <c r="BB559" s="411">
        <f t="shared" si="883"/>
        <v>33.921940345708812</v>
      </c>
      <c r="BC559" s="411">
        <f t="shared" si="883"/>
        <v>34.329003629857318</v>
      </c>
      <c r="BD559" s="411">
        <f t="shared" si="883"/>
        <v>34.706622669785745</v>
      </c>
      <c r="BE559" s="411">
        <f t="shared" si="883"/>
        <v>35.053688896483607</v>
      </c>
      <c r="BF559" s="411">
        <f t="shared" si="883"/>
        <v>35.404225785448439</v>
      </c>
    </row>
    <row r="560" spans="1:58" ht="12" hidden="1" customHeight="1" outlineLevel="1" x14ac:dyDescent="0.3">
      <c r="A560" s="224"/>
      <c r="B560" s="224"/>
      <c r="C560" s="224"/>
      <c r="D560" s="224"/>
      <c r="E560" s="224"/>
      <c r="F560" s="224"/>
      <c r="G560" s="224"/>
      <c r="H560" s="224"/>
      <c r="I560" s="224"/>
      <c r="J560" s="224"/>
      <c r="K560" s="224"/>
      <c r="L560" s="117"/>
      <c r="M560" s="210" t="s">
        <v>1093</v>
      </c>
      <c r="N560" s="244" t="s">
        <v>77</v>
      </c>
      <c r="O560" s="150">
        <v>62</v>
      </c>
      <c r="P560" s="150">
        <v>71.111111111111114</v>
      </c>
      <c r="Q560" s="150">
        <v>82</v>
      </c>
      <c r="R560" s="150">
        <v>84.000000000000014</v>
      </c>
      <c r="S560" s="150">
        <v>78</v>
      </c>
      <c r="T560" s="150">
        <v>81</v>
      </c>
      <c r="U560" s="150">
        <v>83</v>
      </c>
      <c r="V560" s="150">
        <v>82</v>
      </c>
      <c r="W560" s="150">
        <v>71</v>
      </c>
      <c r="X560" s="150">
        <v>66.400000000000006</v>
      </c>
      <c r="Y560" s="394"/>
      <c r="Z560" s="246"/>
      <c r="AA560" s="246"/>
      <c r="AB560" s="150">
        <v>84.444444444444443</v>
      </c>
      <c r="AC560" s="153">
        <v>54.166666666666664</v>
      </c>
      <c r="AD560" s="411">
        <f>AB560*AD$271/$AB$271</f>
        <v>85.288888888888891</v>
      </c>
      <c r="AE560" s="411">
        <f>AD560*AE$271/AD$271</f>
        <v>86.312355555555555</v>
      </c>
      <c r="AF560" s="411">
        <f t="shared" ref="AF560:BF560" si="884">AE560*AF$271/AE$271</f>
        <v>87.607040888888875</v>
      </c>
      <c r="AG560" s="411">
        <f t="shared" si="884"/>
        <v>88.921146502222214</v>
      </c>
      <c r="AH560" s="411">
        <f t="shared" si="884"/>
        <v>90.25496369975555</v>
      </c>
      <c r="AI560" s="411">
        <f t="shared" si="884"/>
        <v>91.608788155251872</v>
      </c>
      <c r="AJ560" s="411">
        <f t="shared" si="884"/>
        <v>92.98291997758065</v>
      </c>
      <c r="AK560" s="411">
        <f t="shared" si="884"/>
        <v>94.377663777244351</v>
      </c>
      <c r="AL560" s="411">
        <f t="shared" si="884"/>
        <v>95.793328733902996</v>
      </c>
      <c r="AM560" s="411">
        <f t="shared" si="884"/>
        <v>97.230228664911522</v>
      </c>
      <c r="AN560" s="411">
        <f t="shared" si="884"/>
        <v>98.688682094885195</v>
      </c>
      <c r="AO560" s="411">
        <f t="shared" si="884"/>
        <v>100.16901232630846</v>
      </c>
      <c r="AP560" s="411">
        <f t="shared" si="884"/>
        <v>101.67154751120307</v>
      </c>
      <c r="AQ560" s="411">
        <f t="shared" si="884"/>
        <v>103.19662072387112</v>
      </c>
      <c r="AR560" s="411">
        <f t="shared" si="884"/>
        <v>104.74457003472918</v>
      </c>
      <c r="AS560" s="411">
        <f t="shared" si="884"/>
        <v>106.31573858525012</v>
      </c>
      <c r="AT560" s="411">
        <f t="shared" si="884"/>
        <v>107.91047466402885</v>
      </c>
      <c r="AU560" s="411">
        <f t="shared" si="884"/>
        <v>109.52913178398927</v>
      </c>
      <c r="AV560" s="411">
        <f t="shared" si="884"/>
        <v>111.17206876074911</v>
      </c>
      <c r="AW560" s="411">
        <f t="shared" si="884"/>
        <v>112.83964979216034</v>
      </c>
      <c r="AX560" s="411">
        <f t="shared" si="884"/>
        <v>114.53224453904275</v>
      </c>
      <c r="AY560" s="411">
        <f t="shared" si="884"/>
        <v>116.25022820712839</v>
      </c>
      <c r="AZ560" s="411">
        <f t="shared" si="884"/>
        <v>117.9939816302353</v>
      </c>
      <c r="BA560" s="411">
        <f t="shared" si="884"/>
        <v>119.76389135468881</v>
      </c>
      <c r="BB560" s="411">
        <f t="shared" si="884"/>
        <v>121.32082194229974</v>
      </c>
      <c r="BC560" s="411">
        <f t="shared" si="884"/>
        <v>122.77667180560735</v>
      </c>
      <c r="BD560" s="411">
        <f t="shared" si="884"/>
        <v>124.12721519546901</v>
      </c>
      <c r="BE560" s="411">
        <f t="shared" si="884"/>
        <v>125.36848734742371</v>
      </c>
      <c r="BF560" s="411">
        <f t="shared" si="884"/>
        <v>126.62217222089797</v>
      </c>
    </row>
    <row r="561" spans="1:58" ht="12" hidden="1" customHeight="1" outlineLevel="1" x14ac:dyDescent="0.3">
      <c r="A561" s="224"/>
      <c r="B561" s="224"/>
      <c r="C561" s="224"/>
      <c r="D561" s="224"/>
      <c r="E561" s="224"/>
      <c r="F561" s="224"/>
      <c r="G561" s="224"/>
      <c r="H561" s="224"/>
      <c r="I561" s="224"/>
      <c r="J561" s="224"/>
      <c r="K561" s="224"/>
      <c r="L561" s="117"/>
      <c r="M561" s="210" t="s">
        <v>1094</v>
      </c>
      <c r="N561" s="244" t="s">
        <v>77</v>
      </c>
      <c r="O561" s="150">
        <v>2.2222222222222223</v>
      </c>
      <c r="P561" s="150">
        <v>2.5</v>
      </c>
      <c r="Q561" s="150">
        <v>1.9444444444444444</v>
      </c>
      <c r="R561" s="150">
        <v>21.388888888888889</v>
      </c>
      <c r="S561" s="150">
        <v>1.6666666666666665</v>
      </c>
      <c r="T561" s="150">
        <v>2.7777777777777777</v>
      </c>
      <c r="U561" s="150">
        <v>11.111111111111111</v>
      </c>
      <c r="V561" s="150">
        <v>8.3333333333333339</v>
      </c>
      <c r="W561" s="150">
        <v>5.5823999999999998</v>
      </c>
      <c r="X561" s="150">
        <v>8.3333333333333339</v>
      </c>
      <c r="Y561" s="394"/>
      <c r="Z561" s="246"/>
      <c r="AA561" s="246"/>
      <c r="AB561" s="150">
        <v>5</v>
      </c>
      <c r="AC561" s="153">
        <v>6.1111111111111107</v>
      </c>
      <c r="AD561" s="411">
        <f>AB561*AD$271/$AB$271</f>
        <v>5.05</v>
      </c>
      <c r="AE561" s="411">
        <f>AD561*AE$271/AD$271</f>
        <v>5.1105999999999998</v>
      </c>
      <c r="AF561" s="411">
        <f t="shared" ref="AF561:BF561" si="885">AE561*AF$271/AE$271</f>
        <v>5.1872590000000001</v>
      </c>
      <c r="AG561" s="411">
        <f t="shared" si="885"/>
        <v>5.2650678849999997</v>
      </c>
      <c r="AH561" s="411">
        <f t="shared" si="885"/>
        <v>5.3440439032749998</v>
      </c>
      <c r="AI561" s="411">
        <f t="shared" si="885"/>
        <v>5.4242045618241237</v>
      </c>
      <c r="AJ561" s="411">
        <f t="shared" si="885"/>
        <v>5.5055676302514849</v>
      </c>
      <c r="AK561" s="411">
        <f t="shared" si="885"/>
        <v>5.5881511447052565</v>
      </c>
      <c r="AL561" s="411">
        <f t="shared" si="885"/>
        <v>5.6719734118758351</v>
      </c>
      <c r="AM561" s="411">
        <f t="shared" si="885"/>
        <v>5.7570530130539721</v>
      </c>
      <c r="AN561" s="411">
        <f t="shared" si="885"/>
        <v>5.8434088082497819</v>
      </c>
      <c r="AO561" s="411">
        <f t="shared" si="885"/>
        <v>5.9310599403735278</v>
      </c>
      <c r="AP561" s="411">
        <f t="shared" si="885"/>
        <v>6.0200258394791302</v>
      </c>
      <c r="AQ561" s="411">
        <f t="shared" si="885"/>
        <v>6.110326227071317</v>
      </c>
      <c r="AR561" s="411">
        <f t="shared" si="885"/>
        <v>6.2019811204773863</v>
      </c>
      <c r="AS561" s="411">
        <f t="shared" si="885"/>
        <v>6.2950108372845461</v>
      </c>
      <c r="AT561" s="411">
        <f t="shared" si="885"/>
        <v>6.3894359998438128</v>
      </c>
      <c r="AU561" s="411">
        <f t="shared" si="885"/>
        <v>6.4852775398414693</v>
      </c>
      <c r="AV561" s="411">
        <f t="shared" si="885"/>
        <v>6.5825567029390912</v>
      </c>
      <c r="AW561" s="411">
        <f t="shared" si="885"/>
        <v>6.6812950534831765</v>
      </c>
      <c r="AX561" s="411">
        <f t="shared" si="885"/>
        <v>6.7815144792854234</v>
      </c>
      <c r="AY561" s="411">
        <f t="shared" si="885"/>
        <v>6.8832371964747043</v>
      </c>
      <c r="AZ561" s="411">
        <f t="shared" si="885"/>
        <v>6.9864857544218246</v>
      </c>
      <c r="BA561" s="411">
        <f t="shared" si="885"/>
        <v>7.0912830407381513</v>
      </c>
      <c r="BB561" s="411">
        <f t="shared" si="885"/>
        <v>7.1834697202677464</v>
      </c>
      <c r="BC561" s="411">
        <f t="shared" si="885"/>
        <v>7.2696713569109592</v>
      </c>
      <c r="BD561" s="411">
        <f t="shared" si="885"/>
        <v>7.3496377418369789</v>
      </c>
      <c r="BE561" s="411">
        <f t="shared" si="885"/>
        <v>7.4231341192553497</v>
      </c>
      <c r="BF561" s="411">
        <f t="shared" si="885"/>
        <v>7.4973654604479041</v>
      </c>
    </row>
    <row r="562" spans="1:58" ht="12" hidden="1" customHeight="1" outlineLevel="1" x14ac:dyDescent="0.3">
      <c r="A562" s="224"/>
      <c r="B562" s="224" t="s">
        <v>1095</v>
      </c>
      <c r="C562" s="224"/>
      <c r="D562" s="224" t="s">
        <v>885</v>
      </c>
      <c r="E562" s="224"/>
      <c r="F562" s="224"/>
      <c r="G562" s="224"/>
      <c r="H562" s="224"/>
      <c r="I562" s="224"/>
      <c r="J562" s="224"/>
      <c r="K562" s="224"/>
      <c r="L562" s="117"/>
      <c r="M562" s="214" t="s">
        <v>1096</v>
      </c>
      <c r="N562" s="247" t="s">
        <v>77</v>
      </c>
      <c r="O562" s="413">
        <f t="shared" ref="O562:X562" si="886">O547+O551+O554+O559+O560+O561</f>
        <v>421.57254939831751</v>
      </c>
      <c r="P562" s="413">
        <f t="shared" si="886"/>
        <v>544.44444444444446</v>
      </c>
      <c r="Q562" s="413">
        <f t="shared" si="886"/>
        <v>581.80224477766956</v>
      </c>
      <c r="R562" s="413">
        <f t="shared" si="886"/>
        <v>564.22868419276494</v>
      </c>
      <c r="S562" s="413">
        <f t="shared" si="886"/>
        <v>561.83388906094012</v>
      </c>
      <c r="T562" s="413">
        <f t="shared" si="886"/>
        <v>552.9421417796375</v>
      </c>
      <c r="U562" s="413">
        <f t="shared" si="886"/>
        <v>697.82797738572071</v>
      </c>
      <c r="V562" s="413">
        <f t="shared" si="886"/>
        <v>583.62959328344448</v>
      </c>
      <c r="W562" s="413">
        <f t="shared" si="886"/>
        <v>612.40030588056641</v>
      </c>
      <c r="X562" s="413">
        <f t="shared" si="886"/>
        <v>573.60355547452423</v>
      </c>
      <c r="Y562" s="394"/>
      <c r="Z562" s="210"/>
      <c r="AA562" s="210"/>
      <c r="AB562" s="413">
        <f>AB547+AB551+AB554+AB559+AB560+AB561</f>
        <v>626.94444444444446</v>
      </c>
      <c r="AC562" s="414">
        <f>AC547+AC551+AC554+AC559+AC560+AC561</f>
        <v>363.88888888888891</v>
      </c>
      <c r="AD562" s="411">
        <f>SUM(AD547:AD561)</f>
        <v>633.21388888888885</v>
      </c>
      <c r="AE562" s="411">
        <f>SUM(AE547:AE561)</f>
        <v>640.81245555555563</v>
      </c>
      <c r="AF562" s="411">
        <f t="shared" ref="AF562:BF562" si="887">SUM(AF547:AF561)</f>
        <v>650.42464238888897</v>
      </c>
      <c r="AG562" s="411">
        <f t="shared" si="887"/>
        <v>660.18101202472224</v>
      </c>
      <c r="AH562" s="411">
        <f t="shared" si="887"/>
        <v>670.08372720509294</v>
      </c>
      <c r="AI562" s="411">
        <f t="shared" si="887"/>
        <v>680.13498311316926</v>
      </c>
      <c r="AJ562" s="411">
        <f t="shared" si="887"/>
        <v>690.33700785986673</v>
      </c>
      <c r="AK562" s="411">
        <f t="shared" si="887"/>
        <v>700.69206297776475</v>
      </c>
      <c r="AL562" s="411">
        <f t="shared" si="887"/>
        <v>711.20244392243069</v>
      </c>
      <c r="AM562" s="411">
        <f t="shared" si="887"/>
        <v>721.8704805812672</v>
      </c>
      <c r="AN562" s="411">
        <f t="shared" si="887"/>
        <v>732.69853778998618</v>
      </c>
      <c r="AO562" s="411">
        <f t="shared" si="887"/>
        <v>743.68901585683591</v>
      </c>
      <c r="AP562" s="411">
        <f t="shared" si="887"/>
        <v>754.84435109468836</v>
      </c>
      <c r="AQ562" s="411">
        <f t="shared" si="887"/>
        <v>766.16701636110872</v>
      </c>
      <c r="AR562" s="411">
        <f t="shared" si="887"/>
        <v>777.65952160652535</v>
      </c>
      <c r="AS562" s="411">
        <f t="shared" si="887"/>
        <v>789.32441443062294</v>
      </c>
      <c r="AT562" s="411">
        <f t="shared" si="887"/>
        <v>801.16428064708248</v>
      </c>
      <c r="AU562" s="411">
        <f t="shared" si="887"/>
        <v>813.18174485678855</v>
      </c>
      <c r="AV562" s="411">
        <f t="shared" si="887"/>
        <v>825.3794710296404</v>
      </c>
      <c r="AW562" s="411">
        <f t="shared" si="887"/>
        <v>837.76016309508486</v>
      </c>
      <c r="AX562" s="411">
        <f t="shared" si="887"/>
        <v>850.32656554151117</v>
      </c>
      <c r="AY562" s="411">
        <f t="shared" si="887"/>
        <v>863.08146402463387</v>
      </c>
      <c r="AZ562" s="411">
        <f t="shared" si="887"/>
        <v>876.02768598500325</v>
      </c>
      <c r="BA562" s="411">
        <f t="shared" si="887"/>
        <v>889.168101274778</v>
      </c>
      <c r="BB562" s="411">
        <f t="shared" si="887"/>
        <v>900.72728659134998</v>
      </c>
      <c r="BC562" s="411">
        <f t="shared" si="887"/>
        <v>911.53601403044604</v>
      </c>
      <c r="BD562" s="411">
        <f t="shared" si="887"/>
        <v>921.56291018478089</v>
      </c>
      <c r="BE562" s="411">
        <f t="shared" si="887"/>
        <v>930.77853928662876</v>
      </c>
      <c r="BF562" s="411">
        <f t="shared" si="887"/>
        <v>940.08632467949508</v>
      </c>
    </row>
    <row r="563" spans="1:58" ht="12" hidden="1" customHeight="1" outlineLevel="1" x14ac:dyDescent="0.3">
      <c r="A563" s="224"/>
      <c r="B563" s="224"/>
      <c r="C563" s="224"/>
      <c r="D563" s="224"/>
      <c r="E563" s="224"/>
      <c r="F563" s="224"/>
      <c r="G563" s="224"/>
      <c r="H563" s="224"/>
      <c r="I563" s="224"/>
      <c r="J563" s="224"/>
      <c r="K563" s="224"/>
      <c r="L563" s="117"/>
      <c r="M563" s="223" t="s">
        <v>980</v>
      </c>
      <c r="N563" s="216" t="s">
        <v>68</v>
      </c>
      <c r="O563" s="415">
        <f t="shared" ref="O563:X563" si="888">IFERROR((O548+O549+O550+O552+O553+O555+O556+O557+O558+O559+O560+O561)/O562,"")</f>
        <v>1</v>
      </c>
      <c r="P563" s="415">
        <f t="shared" si="888"/>
        <v>1</v>
      </c>
      <c r="Q563" s="415">
        <f t="shared" si="888"/>
        <v>1</v>
      </c>
      <c r="R563" s="415">
        <f t="shared" si="888"/>
        <v>1</v>
      </c>
      <c r="S563" s="415">
        <f t="shared" si="888"/>
        <v>1</v>
      </c>
      <c r="T563" s="415">
        <f t="shared" si="888"/>
        <v>1</v>
      </c>
      <c r="U563" s="415">
        <f t="shared" si="888"/>
        <v>1</v>
      </c>
      <c r="V563" s="415">
        <f t="shared" si="888"/>
        <v>1</v>
      </c>
      <c r="W563" s="415">
        <f t="shared" si="888"/>
        <v>1</v>
      </c>
      <c r="X563" s="415">
        <f t="shared" si="888"/>
        <v>1</v>
      </c>
      <c r="Y563" s="394"/>
      <c r="Z563" s="210"/>
      <c r="AA563" s="210"/>
      <c r="AB563" s="415">
        <f>IFERROR((AB548+AB549+AB550+AB552+AB553+AB555+AB556+AB557+AB558+AB559+AB560+AB561)/AB562,"")</f>
        <v>1</v>
      </c>
      <c r="AC563" s="415">
        <f>IFERROR((AC548+AC549+AC550+AC552+AC553+AC555+AC556+AC557+AC558+AC559+AC560+AC561)/AC562,"")</f>
        <v>1</v>
      </c>
      <c r="AD563" s="224"/>
      <c r="AE563" s="224"/>
      <c r="AF563" s="224"/>
      <c r="AG563" s="224"/>
      <c r="AH563" s="224"/>
      <c r="AI563" s="224"/>
      <c r="AJ563" s="224"/>
      <c r="AK563" s="224"/>
      <c r="AL563" s="224"/>
      <c r="AM563" s="224"/>
      <c r="AN563" s="224"/>
      <c r="AO563" s="224"/>
      <c r="AP563" s="224"/>
      <c r="AQ563" s="224"/>
      <c r="AR563" s="224"/>
      <c r="AS563" s="224"/>
      <c r="AT563" s="224"/>
      <c r="AU563" s="224"/>
      <c r="AV563" s="224"/>
      <c r="AW563" s="224"/>
      <c r="AX563" s="224"/>
      <c r="AY563" s="224"/>
      <c r="AZ563" s="224"/>
      <c r="BA563" s="224"/>
      <c r="BB563" s="224"/>
      <c r="BC563" s="224"/>
      <c r="BD563" s="224"/>
      <c r="BE563" s="224"/>
      <c r="BF563" s="224"/>
    </row>
    <row r="564" spans="1:58" ht="12" hidden="1" customHeight="1" outlineLevel="1" x14ac:dyDescent="0.3">
      <c r="A564" s="224"/>
      <c r="B564" s="224"/>
      <c r="C564" s="224"/>
      <c r="D564" s="224"/>
      <c r="E564" s="224"/>
      <c r="F564" s="224"/>
      <c r="G564" s="224"/>
      <c r="H564" s="224"/>
      <c r="I564" s="224"/>
      <c r="J564" s="224"/>
      <c r="K564" s="224"/>
      <c r="L564" s="117"/>
      <c r="M564" s="210"/>
      <c r="N564" s="210"/>
      <c r="O564" s="415">
        <f t="shared" ref="O564:X564" si="889">IFERROR((O547+O551+O554+O559+O560+O561)/O562,"")</f>
        <v>1</v>
      </c>
      <c r="P564" s="415">
        <f t="shared" si="889"/>
        <v>1</v>
      </c>
      <c r="Q564" s="415">
        <f t="shared" si="889"/>
        <v>1</v>
      </c>
      <c r="R564" s="415">
        <f t="shared" si="889"/>
        <v>1</v>
      </c>
      <c r="S564" s="415">
        <f t="shared" si="889"/>
        <v>1</v>
      </c>
      <c r="T564" s="415">
        <f t="shared" si="889"/>
        <v>1</v>
      </c>
      <c r="U564" s="415">
        <f t="shared" si="889"/>
        <v>1</v>
      </c>
      <c r="V564" s="415">
        <f t="shared" si="889"/>
        <v>1</v>
      </c>
      <c r="W564" s="415">
        <f t="shared" si="889"/>
        <v>1</v>
      </c>
      <c r="X564" s="415">
        <f t="shared" si="889"/>
        <v>1</v>
      </c>
      <c r="Y564" s="394"/>
      <c r="Z564" s="210"/>
      <c r="AA564" s="210"/>
      <c r="AB564" s="415">
        <f>IFERROR((AB547+AB551+AB554+AB559+AB560+AB561)/AB562,"")</f>
        <v>1</v>
      </c>
      <c r="AC564" s="415">
        <f>IFERROR((AC547+AC551+AC554+AC559+AC560+AC561)/AC562,"")</f>
        <v>1</v>
      </c>
      <c r="AD564" s="224"/>
      <c r="AE564" s="224"/>
      <c r="AF564" s="224"/>
      <c r="AG564" s="224"/>
      <c r="AH564" s="224"/>
      <c r="AI564" s="224"/>
      <c r="AJ564" s="224"/>
      <c r="AK564" s="224"/>
      <c r="AL564" s="224"/>
      <c r="AM564" s="224"/>
      <c r="AN564" s="224"/>
      <c r="AO564" s="224"/>
      <c r="AP564" s="224"/>
      <c r="AQ564" s="224"/>
      <c r="AR564" s="224"/>
      <c r="AS564" s="224"/>
      <c r="AT564" s="224"/>
      <c r="AU564" s="224"/>
      <c r="AV564" s="224"/>
      <c r="AW564" s="224"/>
      <c r="AX564" s="224"/>
      <c r="AY564" s="224"/>
      <c r="AZ564" s="224"/>
      <c r="BA564" s="224"/>
      <c r="BB564" s="224"/>
      <c r="BC564" s="224"/>
      <c r="BD564" s="224"/>
      <c r="BE564" s="224"/>
      <c r="BF564" s="224"/>
    </row>
    <row r="565" spans="1:58" ht="12" hidden="1" customHeight="1" outlineLevel="1" x14ac:dyDescent="0.3">
      <c r="A565" s="224"/>
      <c r="B565" s="224"/>
      <c r="C565" s="224"/>
      <c r="D565" s="224"/>
      <c r="E565" s="224"/>
      <c r="F565" s="224"/>
      <c r="G565" s="224"/>
      <c r="H565" s="224"/>
      <c r="I565" s="224"/>
      <c r="J565" s="224"/>
      <c r="K565" s="224"/>
      <c r="L565" s="117"/>
      <c r="M565" s="210"/>
      <c r="N565" s="210"/>
      <c r="O565" s="210"/>
      <c r="P565" s="210"/>
      <c r="Q565" s="210"/>
      <c r="R565" s="210"/>
      <c r="S565" s="210"/>
      <c r="T565" s="210"/>
      <c r="U565" s="210"/>
      <c r="V565" s="210"/>
      <c r="W565" s="210"/>
      <c r="X565" s="210"/>
      <c r="Y565" s="394"/>
      <c r="Z565" s="210"/>
      <c r="AA565" s="210"/>
      <c r="AB565" s="210"/>
      <c r="AC565" s="210"/>
      <c r="AD565" s="224"/>
      <c r="AE565" s="224"/>
      <c r="AF565" s="224"/>
      <c r="AG565" s="224"/>
      <c r="AH565" s="224"/>
      <c r="AI565" s="224"/>
      <c r="AJ565" s="224"/>
      <c r="AK565" s="224"/>
      <c r="AL565" s="224"/>
      <c r="AM565" s="224"/>
      <c r="AN565" s="224"/>
      <c r="AO565" s="224"/>
      <c r="AP565" s="224"/>
      <c r="AQ565" s="224"/>
      <c r="AR565" s="224"/>
      <c r="AS565" s="224"/>
      <c r="AT565" s="224"/>
      <c r="AU565" s="224"/>
      <c r="AV565" s="224"/>
      <c r="AW565" s="224"/>
      <c r="AX565" s="224"/>
      <c r="AY565" s="224"/>
      <c r="AZ565" s="224"/>
      <c r="BA565" s="224"/>
      <c r="BB565" s="224"/>
      <c r="BC565" s="224"/>
      <c r="BD565" s="224"/>
      <c r="BE565" s="224"/>
      <c r="BF565" s="224"/>
    </row>
    <row r="566" spans="1:58" ht="12" hidden="1" customHeight="1" outlineLevel="1" x14ac:dyDescent="0.3">
      <c r="A566" s="224"/>
      <c r="B566" s="224"/>
      <c r="C566" s="224"/>
      <c r="D566" s="224"/>
      <c r="E566" s="224"/>
      <c r="F566" s="224"/>
      <c r="G566" s="224"/>
      <c r="H566" s="224"/>
      <c r="I566" s="224"/>
      <c r="J566" s="224"/>
      <c r="K566" s="224"/>
      <c r="L566" s="117"/>
      <c r="M566" s="241" t="s">
        <v>1097</v>
      </c>
      <c r="N566" s="241"/>
      <c r="O566" s="242"/>
      <c r="P566" s="242"/>
      <c r="Q566" s="242"/>
      <c r="R566" s="242"/>
      <c r="S566" s="242"/>
      <c r="T566" s="242"/>
      <c r="U566" s="242"/>
      <c r="V566" s="242"/>
      <c r="W566" s="242"/>
      <c r="X566" s="242"/>
      <c r="Y566" s="394"/>
      <c r="Z566" s="242"/>
      <c r="AA566" s="242"/>
      <c r="AB566" s="242"/>
      <c r="AC566" s="242"/>
      <c r="AD566" s="242"/>
      <c r="AE566" s="242"/>
      <c r="AF566" s="242"/>
      <c r="AG566" s="242"/>
      <c r="AH566" s="242"/>
      <c r="AI566" s="242"/>
      <c r="AJ566" s="242"/>
      <c r="AK566" s="242"/>
      <c r="AL566" s="242"/>
      <c r="AM566" s="242"/>
      <c r="AN566" s="242"/>
      <c r="AO566" s="242"/>
      <c r="AP566" s="242"/>
      <c r="AQ566" s="242"/>
      <c r="AR566" s="242"/>
      <c r="AS566" s="242"/>
      <c r="AT566" s="242"/>
      <c r="AU566" s="242"/>
      <c r="AV566" s="242"/>
      <c r="AW566" s="242"/>
      <c r="AX566" s="242"/>
      <c r="AY566" s="242"/>
      <c r="AZ566" s="242"/>
      <c r="BA566" s="242"/>
      <c r="BB566" s="242"/>
      <c r="BC566" s="242"/>
      <c r="BD566" s="242"/>
      <c r="BE566" s="242"/>
      <c r="BF566" s="242"/>
    </row>
    <row r="567" spans="1:58" ht="12" hidden="1" customHeight="1" outlineLevel="1" x14ac:dyDescent="0.3">
      <c r="A567" s="224"/>
      <c r="B567" s="224"/>
      <c r="C567" s="224"/>
      <c r="D567" s="224"/>
      <c r="E567" s="224"/>
      <c r="F567" s="224"/>
      <c r="G567" s="224"/>
      <c r="H567" s="224"/>
      <c r="I567" s="224"/>
      <c r="J567" s="224"/>
      <c r="K567" s="224"/>
      <c r="L567" s="117"/>
      <c r="M567" s="210"/>
      <c r="N567" s="219"/>
      <c r="O567" s="219"/>
      <c r="P567" s="219"/>
      <c r="Q567" s="219"/>
      <c r="R567" s="219"/>
      <c r="S567" s="219"/>
      <c r="T567" s="219"/>
      <c r="U567" s="219"/>
      <c r="V567" s="219"/>
      <c r="W567" s="219"/>
      <c r="X567" s="219"/>
      <c r="Y567" s="394"/>
      <c r="Z567" s="210"/>
      <c r="AA567" s="210"/>
      <c r="AB567" s="219"/>
      <c r="AC567" s="219"/>
      <c r="AD567" s="224"/>
      <c r="AE567" s="224"/>
      <c r="AF567" s="224"/>
      <c r="AG567" s="224"/>
      <c r="AH567" s="224"/>
      <c r="AI567" s="224"/>
      <c r="AJ567" s="224"/>
      <c r="AK567" s="224"/>
      <c r="AL567" s="224"/>
      <c r="AM567" s="224"/>
      <c r="AN567" s="224"/>
      <c r="AO567" s="224"/>
      <c r="AP567" s="224"/>
      <c r="AQ567" s="224"/>
      <c r="AR567" s="224"/>
      <c r="AS567" s="224"/>
      <c r="AT567" s="224"/>
      <c r="AU567" s="224"/>
      <c r="AV567" s="224"/>
      <c r="AW567" s="224"/>
      <c r="AX567" s="224"/>
      <c r="AY567" s="224"/>
      <c r="AZ567" s="224"/>
      <c r="BA567" s="224"/>
      <c r="BB567" s="224"/>
      <c r="BC567" s="224"/>
      <c r="BD567" s="224"/>
      <c r="BE567" s="224"/>
      <c r="BF567" s="224"/>
    </row>
    <row r="568" spans="1:58" ht="12" hidden="1" customHeight="1" outlineLevel="1" x14ac:dyDescent="0.3">
      <c r="A568" s="224"/>
      <c r="B568" s="224"/>
      <c r="C568" s="224"/>
      <c r="D568" s="224"/>
      <c r="E568" s="224"/>
      <c r="F568" s="224"/>
      <c r="G568" s="224"/>
      <c r="H568" s="224"/>
      <c r="I568" s="224"/>
      <c r="J568" s="224"/>
      <c r="K568" s="224"/>
      <c r="L568" s="117"/>
      <c r="M568" s="211" t="s">
        <v>1098</v>
      </c>
      <c r="N568" s="219"/>
      <c r="O568" s="219"/>
      <c r="P568" s="219"/>
      <c r="Q568" s="219"/>
      <c r="R568" s="219"/>
      <c r="S568" s="219"/>
      <c r="T568" s="219"/>
      <c r="U568" s="219"/>
      <c r="V568" s="219"/>
      <c r="W568" s="219"/>
      <c r="X568" s="219"/>
      <c r="Y568" s="394"/>
      <c r="Z568" s="210"/>
      <c r="AA568" s="210"/>
      <c r="AB568" s="219"/>
      <c r="AC568" s="219"/>
      <c r="AD568" s="224"/>
      <c r="AE568" s="224"/>
      <c r="AF568" s="224"/>
      <c r="AG568" s="224"/>
      <c r="AH568" s="224"/>
      <c r="AI568" s="224"/>
      <c r="AJ568" s="224"/>
      <c r="AK568" s="224"/>
      <c r="AL568" s="224"/>
      <c r="AM568" s="224"/>
      <c r="AN568" s="224"/>
      <c r="AO568" s="224"/>
      <c r="AP568" s="224"/>
      <c r="AQ568" s="224"/>
      <c r="AR568" s="224"/>
      <c r="AS568" s="224"/>
      <c r="AT568" s="224"/>
      <c r="AU568" s="224"/>
      <c r="AV568" s="224"/>
      <c r="AW568" s="224"/>
      <c r="AX568" s="224"/>
      <c r="AY568" s="224"/>
      <c r="AZ568" s="224"/>
      <c r="BA568" s="224"/>
      <c r="BB568" s="224"/>
      <c r="BC568" s="224"/>
      <c r="BD568" s="224"/>
      <c r="BE568" s="224"/>
      <c r="BF568" s="224"/>
    </row>
    <row r="569" spans="1:58" ht="12" hidden="1" customHeight="1" outlineLevel="1" x14ac:dyDescent="0.3">
      <c r="A569" s="224"/>
      <c r="B569" s="224"/>
      <c r="C569" s="224"/>
      <c r="D569" s="224"/>
      <c r="E569" s="224"/>
      <c r="F569" s="224"/>
      <c r="G569" s="224"/>
      <c r="H569" s="224"/>
      <c r="I569" s="224"/>
      <c r="J569" s="224"/>
      <c r="K569" s="224"/>
      <c r="L569" s="117"/>
      <c r="M569" s="210" t="s">
        <v>1099</v>
      </c>
      <c r="N569" s="244" t="s">
        <v>77</v>
      </c>
      <c r="O569" s="409">
        <f>SUM(O570:O572)</f>
        <v>0</v>
      </c>
      <c r="P569" s="409">
        <f t="shared" ref="P569" si="890">SUM(P570:P572)</f>
        <v>0</v>
      </c>
      <c r="Q569" s="409">
        <f t="shared" ref="Q569" si="891">SUM(Q570:Q572)</f>
        <v>0</v>
      </c>
      <c r="R569" s="409">
        <f t="shared" ref="R569" si="892">SUM(R570:R572)</f>
        <v>0</v>
      </c>
      <c r="S569" s="409">
        <f t="shared" ref="S569" si="893">SUM(S570:S572)</f>
        <v>0</v>
      </c>
      <c r="T569" s="409">
        <f t="shared" ref="T569" si="894">SUM(T570:T572)</f>
        <v>0</v>
      </c>
      <c r="U569" s="409">
        <f t="shared" ref="U569" si="895">SUM(U570:U572)</f>
        <v>0</v>
      </c>
      <c r="V569" s="409">
        <f t="shared" ref="V569" si="896">SUM(V570:V572)</f>
        <v>43.363229611111102</v>
      </c>
      <c r="W569" s="409">
        <f t="shared" ref="W569" si="897">SUM(W570:W572)</f>
        <v>43.363229611111102</v>
      </c>
      <c r="X569" s="409">
        <f t="shared" ref="X569" si="898">SUM(X570:X572)</f>
        <v>2.2590993333333333</v>
      </c>
      <c r="Y569" s="394"/>
      <c r="Z569" s="210"/>
      <c r="AA569" s="210"/>
      <c r="AB569" s="409">
        <f t="shared" ref="AB569" si="899">SUM(AB570:AB572)</f>
        <v>6.6662276666666669</v>
      </c>
      <c r="AC569" s="410">
        <f t="shared" ref="AC569" si="900">SUM(AC570:AC572)</f>
        <v>0</v>
      </c>
      <c r="AD569" s="411">
        <f>AB569*AD$271/$AB$271</f>
        <v>6.7328899433333342</v>
      </c>
      <c r="AE569" s="411">
        <f>AC569*AE$271/$AB$271</f>
        <v>0</v>
      </c>
      <c r="AF569" s="411">
        <f>Y569*AF$271/$AB$271</f>
        <v>0</v>
      </c>
      <c r="AG569" s="411">
        <f>Z569*AG$271/$AB$271</f>
        <v>0</v>
      </c>
      <c r="AH569" s="411">
        <f t="shared" ref="AH569:BF569" si="901">AD569*AH$271/$AB$271</f>
        <v>7.1961718906184124</v>
      </c>
      <c r="AI569" s="411">
        <f t="shared" si="901"/>
        <v>0</v>
      </c>
      <c r="AJ569" s="411">
        <f t="shared" si="901"/>
        <v>0</v>
      </c>
      <c r="AK569" s="411">
        <f t="shared" si="901"/>
        <v>0</v>
      </c>
      <c r="AL569" s="411">
        <f t="shared" si="901"/>
        <v>8.1632991261751773</v>
      </c>
      <c r="AM569" s="411">
        <f t="shared" si="901"/>
        <v>0</v>
      </c>
      <c r="AN569" s="411">
        <f t="shared" si="901"/>
        <v>0</v>
      </c>
      <c r="AO569" s="411">
        <f t="shared" si="901"/>
        <v>0</v>
      </c>
      <c r="AP569" s="411">
        <f t="shared" si="901"/>
        <v>9.8286543349943933</v>
      </c>
      <c r="AQ569" s="411">
        <f t="shared" si="901"/>
        <v>0</v>
      </c>
      <c r="AR569" s="411">
        <f t="shared" si="901"/>
        <v>0</v>
      </c>
      <c r="AS569" s="411">
        <f t="shared" si="901"/>
        <v>0</v>
      </c>
      <c r="AT569" s="411">
        <f t="shared" si="901"/>
        <v>12.559911567606823</v>
      </c>
      <c r="AU569" s="411">
        <f t="shared" si="901"/>
        <v>0</v>
      </c>
      <c r="AV569" s="411">
        <f t="shared" si="901"/>
        <v>0</v>
      </c>
      <c r="AW569" s="411">
        <f t="shared" si="901"/>
        <v>0</v>
      </c>
      <c r="AX569" s="411">
        <f t="shared" si="901"/>
        <v>17.035044430854033</v>
      </c>
      <c r="AY569" s="411">
        <f t="shared" si="901"/>
        <v>0</v>
      </c>
      <c r="AZ569" s="411">
        <f t="shared" si="901"/>
        <v>0</v>
      </c>
      <c r="BA569" s="411">
        <f t="shared" si="901"/>
        <v>0</v>
      </c>
      <c r="BB569" s="411">
        <f t="shared" si="901"/>
        <v>24.474145170491134</v>
      </c>
      <c r="BC569" s="411">
        <f t="shared" si="901"/>
        <v>0</v>
      </c>
      <c r="BD569" s="411">
        <f t="shared" si="901"/>
        <v>0</v>
      </c>
      <c r="BE569" s="411">
        <f t="shared" si="901"/>
        <v>0</v>
      </c>
      <c r="BF569" s="411">
        <f t="shared" si="901"/>
        <v>36.698322135045622</v>
      </c>
    </row>
    <row r="570" spans="1:58" ht="12" hidden="1" customHeight="1" outlineLevel="1" x14ac:dyDescent="0.3">
      <c r="A570" s="224"/>
      <c r="B570" s="224"/>
      <c r="C570" s="224"/>
      <c r="D570" s="224"/>
      <c r="E570" s="224"/>
      <c r="F570" s="224"/>
      <c r="G570" s="224"/>
      <c r="H570" s="224"/>
      <c r="I570" s="224"/>
      <c r="J570" s="224"/>
      <c r="K570" s="224"/>
      <c r="L570" s="117"/>
      <c r="M570" s="213" t="s">
        <v>964</v>
      </c>
      <c r="N570" s="244" t="s">
        <v>77</v>
      </c>
      <c r="O570" s="150">
        <v>0</v>
      </c>
      <c r="P570" s="150">
        <v>0</v>
      </c>
      <c r="Q570" s="150">
        <v>0</v>
      </c>
      <c r="R570" s="150">
        <v>0</v>
      </c>
      <c r="S570" s="150">
        <v>0</v>
      </c>
      <c r="T570" s="150">
        <v>0</v>
      </c>
      <c r="U570" s="150">
        <v>0</v>
      </c>
      <c r="V570" s="150">
        <v>2.2590993333333333</v>
      </c>
      <c r="W570" s="150">
        <v>2.2590993333333333</v>
      </c>
      <c r="X570" s="150">
        <v>2.2590993333333333</v>
      </c>
      <c r="Y570" s="394"/>
      <c r="Z570" s="210"/>
      <c r="AA570" s="210"/>
      <c r="AB570" s="150">
        <v>0.29236666666666672</v>
      </c>
      <c r="AC570" s="153">
        <v>0</v>
      </c>
      <c r="AD570" s="412"/>
      <c r="AE570" s="412"/>
      <c r="AF570" s="412"/>
      <c r="AG570" s="412"/>
      <c r="AH570" s="412"/>
      <c r="AI570" s="412"/>
      <c r="AJ570" s="412"/>
      <c r="AK570" s="412"/>
      <c r="AL570" s="412"/>
      <c r="AM570" s="412"/>
      <c r="AN570" s="412"/>
      <c r="AO570" s="412"/>
      <c r="AP570" s="412"/>
      <c r="AQ570" s="412"/>
      <c r="AR570" s="412"/>
      <c r="AS570" s="412"/>
      <c r="AT570" s="412"/>
      <c r="AU570" s="412"/>
      <c r="AV570" s="412"/>
      <c r="AW570" s="412"/>
      <c r="AX570" s="412"/>
      <c r="AY570" s="412"/>
      <c r="AZ570" s="412"/>
      <c r="BA570" s="412"/>
      <c r="BB570" s="412"/>
      <c r="BC570" s="412"/>
      <c r="BD570" s="412"/>
      <c r="BE570" s="412"/>
      <c r="BF570" s="412"/>
    </row>
    <row r="571" spans="1:58" ht="12" hidden="1" customHeight="1" outlineLevel="1" x14ac:dyDescent="0.3">
      <c r="A571" s="224"/>
      <c r="B571" s="224"/>
      <c r="C571" s="224"/>
      <c r="D571" s="224"/>
      <c r="E571" s="224"/>
      <c r="F571" s="224"/>
      <c r="G571" s="224"/>
      <c r="H571" s="224"/>
      <c r="I571" s="224"/>
      <c r="J571" s="224"/>
      <c r="K571" s="224"/>
      <c r="L571" s="117"/>
      <c r="M571" s="213" t="s">
        <v>965</v>
      </c>
      <c r="N571" s="244" t="s">
        <v>77</v>
      </c>
      <c r="O571" s="150">
        <v>0</v>
      </c>
      <c r="P571" s="150">
        <v>0</v>
      </c>
      <c r="Q571" s="150">
        <v>0</v>
      </c>
      <c r="R571" s="150">
        <v>0</v>
      </c>
      <c r="S571" s="150">
        <v>0</v>
      </c>
      <c r="T571" s="150">
        <v>0</v>
      </c>
      <c r="U571" s="150">
        <v>0</v>
      </c>
      <c r="V571" s="150">
        <v>0</v>
      </c>
      <c r="W571" s="150">
        <v>0</v>
      </c>
      <c r="X571" s="150">
        <v>0</v>
      </c>
      <c r="Y571" s="394"/>
      <c r="Z571" s="210"/>
      <c r="AA571" s="210"/>
      <c r="AB571" s="150">
        <v>0</v>
      </c>
      <c r="AC571" s="153">
        <v>0</v>
      </c>
      <c r="AD571" s="412"/>
      <c r="AE571" s="412"/>
      <c r="AF571" s="412"/>
      <c r="AG571" s="412"/>
      <c r="AH571" s="412"/>
      <c r="AI571" s="412"/>
      <c r="AJ571" s="412"/>
      <c r="AK571" s="412"/>
      <c r="AL571" s="412"/>
      <c r="AM571" s="412"/>
      <c r="AN571" s="412"/>
      <c r="AO571" s="412"/>
      <c r="AP571" s="412"/>
      <c r="AQ571" s="412"/>
      <c r="AR571" s="412"/>
      <c r="AS571" s="412"/>
      <c r="AT571" s="412"/>
      <c r="AU571" s="412"/>
      <c r="AV571" s="412"/>
      <c r="AW571" s="412"/>
      <c r="AX571" s="412"/>
      <c r="AY571" s="412"/>
      <c r="AZ571" s="412"/>
      <c r="BA571" s="412"/>
      <c r="BB571" s="412"/>
      <c r="BC571" s="412"/>
      <c r="BD571" s="412"/>
      <c r="BE571" s="412"/>
      <c r="BF571" s="412"/>
    </row>
    <row r="572" spans="1:58" ht="12" hidden="1" customHeight="1" outlineLevel="1" x14ac:dyDescent="0.3">
      <c r="A572" s="224"/>
      <c r="B572" s="224"/>
      <c r="C572" s="224"/>
      <c r="D572" s="224"/>
      <c r="E572" s="224"/>
      <c r="F572" s="224"/>
      <c r="G572" s="224"/>
      <c r="H572" s="224"/>
      <c r="I572" s="224"/>
      <c r="J572" s="224"/>
      <c r="K572" s="224"/>
      <c r="L572" s="117"/>
      <c r="M572" s="213" t="s">
        <v>966</v>
      </c>
      <c r="N572" s="244" t="s">
        <v>77</v>
      </c>
      <c r="O572" s="150">
        <v>0</v>
      </c>
      <c r="P572" s="150">
        <v>0</v>
      </c>
      <c r="Q572" s="150">
        <v>0</v>
      </c>
      <c r="R572" s="150">
        <v>0</v>
      </c>
      <c r="S572" s="150">
        <v>0</v>
      </c>
      <c r="T572" s="150">
        <v>0</v>
      </c>
      <c r="U572" s="150">
        <v>0</v>
      </c>
      <c r="V572" s="150">
        <v>41.10413027777777</v>
      </c>
      <c r="W572" s="150">
        <v>41.10413027777777</v>
      </c>
      <c r="X572" s="150">
        <v>0</v>
      </c>
      <c r="Y572" s="394"/>
      <c r="Z572" s="210"/>
      <c r="AA572" s="210"/>
      <c r="AB572" s="150">
        <v>6.3738609999999998</v>
      </c>
      <c r="AC572" s="153">
        <v>0</v>
      </c>
      <c r="AD572" s="412"/>
      <c r="AE572" s="412"/>
      <c r="AF572" s="412"/>
      <c r="AG572" s="412"/>
      <c r="AH572" s="412"/>
      <c r="AI572" s="412"/>
      <c r="AJ572" s="412"/>
      <c r="AK572" s="412"/>
      <c r="AL572" s="412"/>
      <c r="AM572" s="412"/>
      <c r="AN572" s="412"/>
      <c r="AO572" s="412"/>
      <c r="AP572" s="412"/>
      <c r="AQ572" s="412"/>
      <c r="AR572" s="412"/>
      <c r="AS572" s="412"/>
      <c r="AT572" s="412"/>
      <c r="AU572" s="412"/>
      <c r="AV572" s="412"/>
      <c r="AW572" s="412"/>
      <c r="AX572" s="412"/>
      <c r="AY572" s="412"/>
      <c r="AZ572" s="412"/>
      <c r="BA572" s="412"/>
      <c r="BB572" s="412"/>
      <c r="BC572" s="412"/>
      <c r="BD572" s="412"/>
      <c r="BE572" s="412"/>
      <c r="BF572" s="412"/>
    </row>
    <row r="573" spans="1:58" ht="12" hidden="1" customHeight="1" outlineLevel="1" x14ac:dyDescent="0.3">
      <c r="A573" s="224"/>
      <c r="B573" s="224"/>
      <c r="C573" s="224"/>
      <c r="D573" s="224"/>
      <c r="E573" s="224"/>
      <c r="F573" s="224"/>
      <c r="G573" s="224"/>
      <c r="H573" s="224"/>
      <c r="I573" s="224"/>
      <c r="J573" s="224"/>
      <c r="K573" s="224"/>
      <c r="L573" s="117"/>
      <c r="M573" s="210" t="s">
        <v>1100</v>
      </c>
      <c r="N573" s="244" t="s">
        <v>77</v>
      </c>
      <c r="O573" s="409">
        <f>SUM(O574:O575)</f>
        <v>0</v>
      </c>
      <c r="P573" s="409">
        <f t="shared" ref="P573" si="902">SUM(P574:P575)</f>
        <v>0</v>
      </c>
      <c r="Q573" s="409">
        <f t="shared" ref="Q573" si="903">SUM(Q574:Q575)</f>
        <v>0</v>
      </c>
      <c r="R573" s="409">
        <f t="shared" ref="R573" si="904">SUM(R574:R575)</f>
        <v>0</v>
      </c>
      <c r="S573" s="409">
        <f t="shared" ref="S573" si="905">SUM(S574:S575)</f>
        <v>0</v>
      </c>
      <c r="T573" s="409">
        <f t="shared" ref="T573" si="906">SUM(T574:T575)</f>
        <v>0</v>
      </c>
      <c r="U573" s="409">
        <f t="shared" ref="U573" si="907">SUM(U574:U575)</f>
        <v>0</v>
      </c>
      <c r="V573" s="409">
        <f t="shared" ref="V573" si="908">SUM(V574:V575)</f>
        <v>0</v>
      </c>
      <c r="W573" s="409">
        <f t="shared" ref="W573" si="909">SUM(W574:W575)</f>
        <v>0</v>
      </c>
      <c r="X573" s="409">
        <f t="shared" ref="X573" si="910">SUM(X574:X575)</f>
        <v>0</v>
      </c>
      <c r="Y573" s="394"/>
      <c r="Z573" s="210"/>
      <c r="AA573" s="210"/>
      <c r="AB573" s="409">
        <f t="shared" ref="AB573" si="911">SUM(AB574:AB575)</f>
        <v>0</v>
      </c>
      <c r="AC573" s="410">
        <f t="shared" ref="AC573" si="912">SUM(AC574:AC575)</f>
        <v>0</v>
      </c>
      <c r="AD573" s="411">
        <f>AB573*AD$271/$AB$271</f>
        <v>0</v>
      </c>
      <c r="AE573" s="411">
        <f>AC573*AE$271/$AB$271</f>
        <v>0</v>
      </c>
      <c r="AF573" s="411">
        <f>Y573*AF$271/$AB$271</f>
        <v>0</v>
      </c>
      <c r="AG573" s="411">
        <f>Z573*AG$271/$AB$271</f>
        <v>0</v>
      </c>
      <c r="AH573" s="411">
        <f t="shared" ref="AH573:BF573" si="913">AD573*AH$271/$AB$271</f>
        <v>0</v>
      </c>
      <c r="AI573" s="411">
        <f t="shared" si="913"/>
        <v>0</v>
      </c>
      <c r="AJ573" s="411">
        <f t="shared" si="913"/>
        <v>0</v>
      </c>
      <c r="AK573" s="411">
        <f t="shared" si="913"/>
        <v>0</v>
      </c>
      <c r="AL573" s="411">
        <f t="shared" si="913"/>
        <v>0</v>
      </c>
      <c r="AM573" s="411">
        <f t="shared" si="913"/>
        <v>0</v>
      </c>
      <c r="AN573" s="411">
        <f t="shared" si="913"/>
        <v>0</v>
      </c>
      <c r="AO573" s="411">
        <f t="shared" si="913"/>
        <v>0</v>
      </c>
      <c r="AP573" s="411">
        <f t="shared" si="913"/>
        <v>0</v>
      </c>
      <c r="AQ573" s="411">
        <f t="shared" si="913"/>
        <v>0</v>
      </c>
      <c r="AR573" s="411">
        <f t="shared" si="913"/>
        <v>0</v>
      </c>
      <c r="AS573" s="411">
        <f t="shared" si="913"/>
        <v>0</v>
      </c>
      <c r="AT573" s="411">
        <f t="shared" si="913"/>
        <v>0</v>
      </c>
      <c r="AU573" s="411">
        <f t="shared" si="913"/>
        <v>0</v>
      </c>
      <c r="AV573" s="411">
        <f t="shared" si="913"/>
        <v>0</v>
      </c>
      <c r="AW573" s="411">
        <f t="shared" si="913"/>
        <v>0</v>
      </c>
      <c r="AX573" s="411">
        <f t="shared" si="913"/>
        <v>0</v>
      </c>
      <c r="AY573" s="411">
        <f t="shared" si="913"/>
        <v>0</v>
      </c>
      <c r="AZ573" s="411">
        <f t="shared" si="913"/>
        <v>0</v>
      </c>
      <c r="BA573" s="411">
        <f t="shared" si="913"/>
        <v>0</v>
      </c>
      <c r="BB573" s="411">
        <f t="shared" si="913"/>
        <v>0</v>
      </c>
      <c r="BC573" s="411">
        <f t="shared" si="913"/>
        <v>0</v>
      </c>
      <c r="BD573" s="411">
        <f t="shared" si="913"/>
        <v>0</v>
      </c>
      <c r="BE573" s="411">
        <f t="shared" si="913"/>
        <v>0</v>
      </c>
      <c r="BF573" s="411">
        <f t="shared" si="913"/>
        <v>0</v>
      </c>
    </row>
    <row r="574" spans="1:58" ht="12" hidden="1" customHeight="1" outlineLevel="1" x14ac:dyDescent="0.3">
      <c r="A574" s="224"/>
      <c r="B574" s="224"/>
      <c r="C574" s="224"/>
      <c r="D574" s="224"/>
      <c r="E574" s="224"/>
      <c r="F574" s="224"/>
      <c r="G574" s="224"/>
      <c r="H574" s="224"/>
      <c r="I574" s="224"/>
      <c r="J574" s="224"/>
      <c r="K574" s="224"/>
      <c r="L574" s="117"/>
      <c r="M574" s="213" t="s">
        <v>968</v>
      </c>
      <c r="N574" s="244" t="s">
        <v>77</v>
      </c>
      <c r="O574" s="150">
        <v>0</v>
      </c>
      <c r="P574" s="150">
        <v>0</v>
      </c>
      <c r="Q574" s="150">
        <v>0</v>
      </c>
      <c r="R574" s="150">
        <v>0</v>
      </c>
      <c r="S574" s="150">
        <v>0</v>
      </c>
      <c r="T574" s="150">
        <v>0</v>
      </c>
      <c r="U574" s="150">
        <v>0</v>
      </c>
      <c r="V574" s="150">
        <v>0</v>
      </c>
      <c r="W574" s="150">
        <v>0</v>
      </c>
      <c r="X574" s="150">
        <v>0</v>
      </c>
      <c r="Y574" s="394"/>
      <c r="Z574" s="210"/>
      <c r="AA574" s="210"/>
      <c r="AB574" s="150">
        <v>0</v>
      </c>
      <c r="AC574" s="153">
        <v>0</v>
      </c>
      <c r="AD574" s="412"/>
      <c r="AE574" s="412"/>
      <c r="AF574" s="412"/>
      <c r="AG574" s="412"/>
      <c r="AH574" s="412"/>
      <c r="AI574" s="412"/>
      <c r="AJ574" s="412"/>
      <c r="AK574" s="412"/>
      <c r="AL574" s="412"/>
      <c r="AM574" s="412"/>
      <c r="AN574" s="412"/>
      <c r="AO574" s="412"/>
      <c r="AP574" s="412"/>
      <c r="AQ574" s="412"/>
      <c r="AR574" s="412"/>
      <c r="AS574" s="412"/>
      <c r="AT574" s="412"/>
      <c r="AU574" s="412"/>
      <c r="AV574" s="412"/>
      <c r="AW574" s="412"/>
      <c r="AX574" s="412"/>
      <c r="AY574" s="412"/>
      <c r="AZ574" s="412"/>
      <c r="BA574" s="412"/>
      <c r="BB574" s="412"/>
      <c r="BC574" s="412"/>
      <c r="BD574" s="412"/>
      <c r="BE574" s="412"/>
      <c r="BF574" s="412"/>
    </row>
    <row r="575" spans="1:58" ht="12" hidden="1" customHeight="1" outlineLevel="1" x14ac:dyDescent="0.3">
      <c r="A575" s="224"/>
      <c r="B575" s="224"/>
      <c r="C575" s="224"/>
      <c r="D575" s="224"/>
      <c r="E575" s="224"/>
      <c r="F575" s="224"/>
      <c r="G575" s="224"/>
      <c r="H575" s="224"/>
      <c r="I575" s="224"/>
      <c r="J575" s="224"/>
      <c r="K575" s="224"/>
      <c r="L575" s="117"/>
      <c r="M575" s="213" t="s">
        <v>969</v>
      </c>
      <c r="N575" s="244" t="s">
        <v>77</v>
      </c>
      <c r="O575" s="150">
        <v>0</v>
      </c>
      <c r="P575" s="150">
        <v>0</v>
      </c>
      <c r="Q575" s="150">
        <v>0</v>
      </c>
      <c r="R575" s="150">
        <v>0</v>
      </c>
      <c r="S575" s="150">
        <v>0</v>
      </c>
      <c r="T575" s="150">
        <v>0</v>
      </c>
      <c r="U575" s="150">
        <v>0</v>
      </c>
      <c r="V575" s="150">
        <v>0</v>
      </c>
      <c r="W575" s="150">
        <v>0</v>
      </c>
      <c r="X575" s="150">
        <v>0</v>
      </c>
      <c r="Y575" s="394"/>
      <c r="Z575" s="210"/>
      <c r="AA575" s="210"/>
      <c r="AB575" s="150">
        <v>0</v>
      </c>
      <c r="AC575" s="153">
        <v>0</v>
      </c>
      <c r="AD575" s="412"/>
      <c r="AE575" s="412"/>
      <c r="AF575" s="412"/>
      <c r="AG575" s="412"/>
      <c r="AH575" s="412"/>
      <c r="AI575" s="412"/>
      <c r="AJ575" s="412"/>
      <c r="AK575" s="412"/>
      <c r="AL575" s="412"/>
      <c r="AM575" s="412"/>
      <c r="AN575" s="412"/>
      <c r="AO575" s="412"/>
      <c r="AP575" s="412"/>
      <c r="AQ575" s="412"/>
      <c r="AR575" s="412"/>
      <c r="AS575" s="412"/>
      <c r="AT575" s="412"/>
      <c r="AU575" s="412"/>
      <c r="AV575" s="412"/>
      <c r="AW575" s="412"/>
      <c r="AX575" s="412"/>
      <c r="AY575" s="412"/>
      <c r="AZ575" s="412"/>
      <c r="BA575" s="412"/>
      <c r="BB575" s="412"/>
      <c r="BC575" s="412"/>
      <c r="BD575" s="412"/>
      <c r="BE575" s="412"/>
      <c r="BF575" s="412"/>
    </row>
    <row r="576" spans="1:58" ht="12" hidden="1" customHeight="1" outlineLevel="1" x14ac:dyDescent="0.3">
      <c r="A576" s="224"/>
      <c r="B576" s="224"/>
      <c r="C576" s="224"/>
      <c r="D576" s="224"/>
      <c r="E576" s="224"/>
      <c r="F576" s="224"/>
      <c r="G576" s="224"/>
      <c r="H576" s="224"/>
      <c r="I576" s="224"/>
      <c r="J576" s="224"/>
      <c r="K576" s="224"/>
      <c r="L576" s="117"/>
      <c r="M576" s="210" t="s">
        <v>1101</v>
      </c>
      <c r="N576" s="244" t="s">
        <v>77</v>
      </c>
      <c r="O576" s="409">
        <f>SUM(O577:O580)</f>
        <v>894.63655555555556</v>
      </c>
      <c r="P576" s="409">
        <f t="shared" ref="P576" si="914">SUM(P577:P580)</f>
        <v>1115.4306527777778</v>
      </c>
      <c r="Q576" s="409">
        <f t="shared" ref="Q576" si="915">SUM(Q577:Q580)</f>
        <v>1080.7481611111111</v>
      </c>
      <c r="R576" s="409">
        <f t="shared" ref="R576" si="916">SUM(R577:R580)</f>
        <v>1035.7194444444444</v>
      </c>
      <c r="S576" s="409">
        <f t="shared" ref="S576" si="917">SUM(S577:S580)</f>
        <v>1080.4544444444443</v>
      </c>
      <c r="T576" s="409">
        <f t="shared" ref="T576" si="918">SUM(T577:T580)</f>
        <v>518.6437222222221</v>
      </c>
      <c r="U576" s="409">
        <f t="shared" ref="U576" si="919">SUM(U577:U580)</f>
        <v>437.78505999999993</v>
      </c>
      <c r="V576" s="409">
        <f t="shared" ref="V576" si="920">SUM(V577:V580)</f>
        <v>804.2779422000001</v>
      </c>
      <c r="W576" s="409">
        <f t="shared" ref="W576" si="921">SUM(W577:W580)</f>
        <v>889.23458203333337</v>
      </c>
      <c r="X576" s="409">
        <f t="shared" ref="X576" si="922">SUM(X577:X580)</f>
        <v>880.63212803333329</v>
      </c>
      <c r="Y576" s="394"/>
      <c r="Z576" s="210"/>
      <c r="AA576" s="210"/>
      <c r="AB576" s="409">
        <f t="shared" ref="AB576" si="923">SUM(AB577:AB580)</f>
        <v>41.456079666666668</v>
      </c>
      <c r="AC576" s="410">
        <f t="shared" ref="AC576" si="924">SUM(AC577:AC580)</f>
        <v>0</v>
      </c>
      <c r="AD576" s="411">
        <f>AB576*AD$271/$AB$271</f>
        <v>41.870640463333331</v>
      </c>
      <c r="AE576" s="411">
        <f>AC576*AE$271/$AB$271</f>
        <v>0</v>
      </c>
      <c r="AF576" s="411">
        <f>Y576*AF$271/$AB$271</f>
        <v>0</v>
      </c>
      <c r="AG576" s="411">
        <f>Z576*AG$271/$AB$271</f>
        <v>0</v>
      </c>
      <c r="AH576" s="411">
        <f t="shared" ref="AH576:BF576" si="925">AD576*AH$271/$AB$271</f>
        <v>44.75170817885919</v>
      </c>
      <c r="AI576" s="411">
        <f t="shared" si="925"/>
        <v>0</v>
      </c>
      <c r="AJ576" s="411">
        <f t="shared" si="925"/>
        <v>0</v>
      </c>
      <c r="AK576" s="411">
        <f t="shared" si="925"/>
        <v>0</v>
      </c>
      <c r="AL576" s="411">
        <f t="shared" si="925"/>
        <v>50.766099785303133</v>
      </c>
      <c r="AM576" s="411">
        <f t="shared" si="925"/>
        <v>0</v>
      </c>
      <c r="AN576" s="411">
        <f t="shared" si="925"/>
        <v>0</v>
      </c>
      <c r="AO576" s="411">
        <f t="shared" si="925"/>
        <v>0</v>
      </c>
      <c r="AP576" s="411">
        <f t="shared" si="925"/>
        <v>61.122646495420149</v>
      </c>
      <c r="AQ576" s="411">
        <f t="shared" si="925"/>
        <v>0</v>
      </c>
      <c r="AR576" s="411">
        <f t="shared" si="925"/>
        <v>0</v>
      </c>
      <c r="AS576" s="411">
        <f t="shared" si="925"/>
        <v>0</v>
      </c>
      <c r="AT576" s="411">
        <f t="shared" si="925"/>
        <v>78.107847584712957</v>
      </c>
      <c r="AU576" s="411">
        <f t="shared" si="925"/>
        <v>0</v>
      </c>
      <c r="AV576" s="411">
        <f t="shared" si="925"/>
        <v>0</v>
      </c>
      <c r="AW576" s="411">
        <f t="shared" si="925"/>
        <v>0</v>
      </c>
      <c r="AX576" s="411">
        <f t="shared" si="925"/>
        <v>105.93789986831</v>
      </c>
      <c r="AY576" s="411">
        <f t="shared" si="925"/>
        <v>0</v>
      </c>
      <c r="AZ576" s="411">
        <f t="shared" si="925"/>
        <v>0</v>
      </c>
      <c r="BA576" s="411">
        <f t="shared" si="925"/>
        <v>0</v>
      </c>
      <c r="BB576" s="411">
        <f t="shared" si="925"/>
        <v>152.20033918655227</v>
      </c>
      <c r="BC576" s="411">
        <f t="shared" si="925"/>
        <v>0</v>
      </c>
      <c r="BD576" s="411">
        <f t="shared" si="925"/>
        <v>0</v>
      </c>
      <c r="BE576" s="411">
        <f t="shared" si="925"/>
        <v>0</v>
      </c>
      <c r="BF576" s="411">
        <f t="shared" si="925"/>
        <v>228.22031321714255</v>
      </c>
    </row>
    <row r="577" spans="1:58" ht="12" hidden="1" customHeight="1" outlineLevel="1" x14ac:dyDescent="0.3">
      <c r="A577" s="224"/>
      <c r="B577" s="224"/>
      <c r="C577" s="224"/>
      <c r="D577" s="224"/>
      <c r="E577" s="224"/>
      <c r="F577" s="224"/>
      <c r="G577" s="224"/>
      <c r="H577" s="224"/>
      <c r="I577" s="224"/>
      <c r="J577" s="224"/>
      <c r="K577" s="224"/>
      <c r="L577" s="117"/>
      <c r="M577" s="213" t="s">
        <v>971</v>
      </c>
      <c r="N577" s="244" t="s">
        <v>77</v>
      </c>
      <c r="O577" s="150">
        <v>314.49527777777774</v>
      </c>
      <c r="P577" s="150">
        <v>361.96023611111116</v>
      </c>
      <c r="Q577" s="150">
        <v>317.06661111111111</v>
      </c>
      <c r="R577" s="150">
        <v>359.9444444444444</v>
      </c>
      <c r="S577" s="150">
        <v>390.19444444444446</v>
      </c>
      <c r="T577" s="150">
        <v>140.02388888888888</v>
      </c>
      <c r="U577" s="150">
        <v>117.18666666666667</v>
      </c>
      <c r="V577" s="150">
        <v>202.84243916666668</v>
      </c>
      <c r="W577" s="150">
        <v>271.83835444444441</v>
      </c>
      <c r="X577" s="150">
        <v>315.22649999999999</v>
      </c>
      <c r="Y577" s="394"/>
      <c r="Z577" s="210"/>
      <c r="AA577" s="210"/>
      <c r="AB577" s="150">
        <v>15.110999999999999</v>
      </c>
      <c r="AC577" s="153">
        <v>0</v>
      </c>
      <c r="AD577" s="412"/>
      <c r="AE577" s="412"/>
      <c r="AF577" s="412"/>
      <c r="AG577" s="412"/>
      <c r="AH577" s="412"/>
      <c r="AI577" s="412"/>
      <c r="AJ577" s="412"/>
      <c r="AK577" s="412"/>
      <c r="AL577" s="412"/>
      <c r="AM577" s="412"/>
      <c r="AN577" s="412"/>
      <c r="AO577" s="412"/>
      <c r="AP577" s="412"/>
      <c r="AQ577" s="412"/>
      <c r="AR577" s="412"/>
      <c r="AS577" s="412"/>
      <c r="AT577" s="412"/>
      <c r="AU577" s="412"/>
      <c r="AV577" s="412"/>
      <c r="AW577" s="412"/>
      <c r="AX577" s="412"/>
      <c r="AY577" s="412"/>
      <c r="AZ577" s="412"/>
      <c r="BA577" s="412"/>
      <c r="BB577" s="412"/>
      <c r="BC577" s="412"/>
      <c r="BD577" s="412"/>
      <c r="BE577" s="412"/>
      <c r="BF577" s="412"/>
    </row>
    <row r="578" spans="1:58" ht="12" hidden="1" customHeight="1" outlineLevel="1" x14ac:dyDescent="0.3">
      <c r="A578" s="224"/>
      <c r="B578" s="224"/>
      <c r="C578" s="224"/>
      <c r="D578" s="224"/>
      <c r="E578" s="224"/>
      <c r="F578" s="224"/>
      <c r="G578" s="224"/>
      <c r="H578" s="224"/>
      <c r="I578" s="224"/>
      <c r="J578" s="224"/>
      <c r="K578" s="224"/>
      <c r="L578" s="117"/>
      <c r="M578" s="213" t="s">
        <v>985</v>
      </c>
      <c r="N578" s="244" t="s">
        <v>77</v>
      </c>
      <c r="O578" s="150">
        <v>485.73777777777781</v>
      </c>
      <c r="P578" s="150">
        <v>578.92666666666662</v>
      </c>
      <c r="Q578" s="150">
        <v>461.27375000000001</v>
      </c>
      <c r="R578" s="150">
        <v>389.37499999999994</v>
      </c>
      <c r="S578" s="150">
        <v>375.29999999999995</v>
      </c>
      <c r="T578" s="150">
        <v>175.5025</v>
      </c>
      <c r="U578" s="150">
        <v>120.78249999999998</v>
      </c>
      <c r="V578" s="150">
        <v>251.568625</v>
      </c>
      <c r="W578" s="150">
        <v>274.79511500000001</v>
      </c>
      <c r="X578" s="150">
        <v>215.53874999999999</v>
      </c>
      <c r="Y578" s="394"/>
      <c r="Z578" s="210"/>
      <c r="AA578" s="210"/>
      <c r="AB578" s="150">
        <v>14.737499999999999</v>
      </c>
      <c r="AC578" s="153">
        <v>0</v>
      </c>
      <c r="AD578" s="412"/>
      <c r="AE578" s="412"/>
      <c r="AF578" s="412"/>
      <c r="AG578" s="412"/>
      <c r="AH578" s="412"/>
      <c r="AI578" s="412"/>
      <c r="AJ578" s="412"/>
      <c r="AK578" s="412"/>
      <c r="AL578" s="412"/>
      <c r="AM578" s="412"/>
      <c r="AN578" s="412"/>
      <c r="AO578" s="412"/>
      <c r="AP578" s="412"/>
      <c r="AQ578" s="412"/>
      <c r="AR578" s="412"/>
      <c r="AS578" s="412"/>
      <c r="AT578" s="412"/>
      <c r="AU578" s="412"/>
      <c r="AV578" s="412"/>
      <c r="AW578" s="412"/>
      <c r="AX578" s="412"/>
      <c r="AY578" s="412"/>
      <c r="AZ578" s="412"/>
      <c r="BA578" s="412"/>
      <c r="BB578" s="412"/>
      <c r="BC578" s="412"/>
      <c r="BD578" s="412"/>
      <c r="BE578" s="412"/>
      <c r="BF578" s="412"/>
    </row>
    <row r="579" spans="1:58" ht="12" hidden="1" customHeight="1" outlineLevel="1" x14ac:dyDescent="0.3">
      <c r="A579" s="224"/>
      <c r="B579" s="224"/>
      <c r="C579" s="224"/>
      <c r="D579" s="224"/>
      <c r="E579" s="224"/>
      <c r="F579" s="224"/>
      <c r="G579" s="224"/>
      <c r="H579" s="224"/>
      <c r="I579" s="224"/>
      <c r="J579" s="224"/>
      <c r="K579" s="224"/>
      <c r="L579" s="117"/>
      <c r="M579" s="213" t="s">
        <v>973</v>
      </c>
      <c r="N579" s="244" t="s">
        <v>77</v>
      </c>
      <c r="O579" s="150">
        <v>0</v>
      </c>
      <c r="P579" s="150">
        <v>0</v>
      </c>
      <c r="Q579" s="150">
        <v>0</v>
      </c>
      <c r="R579" s="150">
        <v>0</v>
      </c>
      <c r="S579" s="150">
        <v>0</v>
      </c>
      <c r="T579" s="150">
        <v>0</v>
      </c>
      <c r="U579" s="150">
        <v>0</v>
      </c>
      <c r="V579" s="150">
        <v>5.3311125888888888</v>
      </c>
      <c r="W579" s="150">
        <v>5.3311125888888888</v>
      </c>
      <c r="X579" s="150">
        <v>5.3311125888888888</v>
      </c>
      <c r="Y579" s="394"/>
      <c r="Z579" s="210"/>
      <c r="AA579" s="210"/>
      <c r="AB579" s="150">
        <v>0</v>
      </c>
      <c r="AC579" s="153">
        <v>0</v>
      </c>
      <c r="AD579" s="412"/>
      <c r="AE579" s="412"/>
      <c r="AF579" s="412"/>
      <c r="AG579" s="412"/>
      <c r="AH579" s="412"/>
      <c r="AI579" s="412"/>
      <c r="AJ579" s="412"/>
      <c r="AK579" s="412"/>
      <c r="AL579" s="412"/>
      <c r="AM579" s="412"/>
      <c r="AN579" s="412"/>
      <c r="AO579" s="412"/>
      <c r="AP579" s="412"/>
      <c r="AQ579" s="412"/>
      <c r="AR579" s="412"/>
      <c r="AS579" s="412"/>
      <c r="AT579" s="412"/>
      <c r="AU579" s="412"/>
      <c r="AV579" s="412"/>
      <c r="AW579" s="412"/>
      <c r="AX579" s="412"/>
      <c r="AY579" s="412"/>
      <c r="AZ579" s="412"/>
      <c r="BA579" s="412"/>
      <c r="BB579" s="412"/>
      <c r="BC579" s="412"/>
      <c r="BD579" s="412"/>
      <c r="BE579" s="412"/>
      <c r="BF579" s="412"/>
    </row>
    <row r="580" spans="1:58" ht="12" hidden="1" customHeight="1" outlineLevel="1" x14ac:dyDescent="0.3">
      <c r="A580" s="224"/>
      <c r="B580" s="224"/>
      <c r="C580" s="224"/>
      <c r="D580" s="224"/>
      <c r="E580" s="224"/>
      <c r="F580" s="224"/>
      <c r="G580" s="224"/>
      <c r="H580" s="224"/>
      <c r="I580" s="224"/>
      <c r="J580" s="224"/>
      <c r="K580" s="224"/>
      <c r="L580" s="117"/>
      <c r="M580" s="213" t="s">
        <v>974</v>
      </c>
      <c r="N580" s="244" t="s">
        <v>77</v>
      </c>
      <c r="O580" s="150">
        <v>94.403500000000008</v>
      </c>
      <c r="P580" s="150">
        <v>174.54375000000002</v>
      </c>
      <c r="Q580" s="150">
        <v>302.40780000000001</v>
      </c>
      <c r="R580" s="150">
        <v>286.39999999999998</v>
      </c>
      <c r="S580" s="150">
        <v>314.95999999999998</v>
      </c>
      <c r="T580" s="150">
        <v>203.11733333333331</v>
      </c>
      <c r="U580" s="150">
        <v>199.81589333333332</v>
      </c>
      <c r="V580" s="150">
        <v>344.53576544444445</v>
      </c>
      <c r="W580" s="150">
        <v>337.27</v>
      </c>
      <c r="X580" s="150">
        <v>344.53576544444445</v>
      </c>
      <c r="Y580" s="394"/>
      <c r="Z580" s="210"/>
      <c r="AA580" s="210"/>
      <c r="AB580" s="150">
        <v>11.607579666666666</v>
      </c>
      <c r="AC580" s="153">
        <v>0</v>
      </c>
      <c r="AD580" s="412"/>
      <c r="AE580" s="412"/>
      <c r="AF580" s="412"/>
      <c r="AG580" s="412"/>
      <c r="AH580" s="412"/>
      <c r="AI580" s="412"/>
      <c r="AJ580" s="412"/>
      <c r="AK580" s="412"/>
      <c r="AL580" s="412"/>
      <c r="AM580" s="412"/>
      <c r="AN580" s="412"/>
      <c r="AO580" s="412"/>
      <c r="AP580" s="412"/>
      <c r="AQ580" s="412"/>
      <c r="AR580" s="412"/>
      <c r="AS580" s="412"/>
      <c r="AT580" s="412"/>
      <c r="AU580" s="412"/>
      <c r="AV580" s="412"/>
      <c r="AW580" s="412"/>
      <c r="AX580" s="412"/>
      <c r="AY580" s="412"/>
      <c r="AZ580" s="412"/>
      <c r="BA580" s="412"/>
      <c r="BB580" s="412"/>
      <c r="BC580" s="412"/>
      <c r="BD580" s="412"/>
      <c r="BE580" s="412"/>
      <c r="BF580" s="412"/>
    </row>
    <row r="581" spans="1:58" ht="12" hidden="1" customHeight="1" outlineLevel="1" x14ac:dyDescent="0.3">
      <c r="A581" s="224"/>
      <c r="B581" s="224"/>
      <c r="C581" s="224"/>
      <c r="D581" s="224"/>
      <c r="E581" s="224"/>
      <c r="F581" s="224"/>
      <c r="G581" s="224"/>
      <c r="H581" s="224"/>
      <c r="I581" s="224"/>
      <c r="J581" s="224"/>
      <c r="K581" s="224"/>
      <c r="L581" s="117"/>
      <c r="M581" s="210" t="s">
        <v>1102</v>
      </c>
      <c r="N581" s="244" t="s">
        <v>77</v>
      </c>
      <c r="O581" s="150">
        <v>0</v>
      </c>
      <c r="P581" s="150">
        <v>0</v>
      </c>
      <c r="Q581" s="150">
        <v>0</v>
      </c>
      <c r="R581" s="150">
        <v>0</v>
      </c>
      <c r="S581" s="150">
        <v>0</v>
      </c>
      <c r="T581" s="150">
        <v>0</v>
      </c>
      <c r="U581" s="150">
        <v>0</v>
      </c>
      <c r="V581" s="150">
        <v>0</v>
      </c>
      <c r="W581" s="150">
        <v>0</v>
      </c>
      <c r="X581" s="150">
        <v>0</v>
      </c>
      <c r="Y581" s="394"/>
      <c r="Z581" s="210"/>
      <c r="AA581" s="210"/>
      <c r="AB581" s="150">
        <v>0</v>
      </c>
      <c r="AC581" s="153">
        <v>0</v>
      </c>
      <c r="AD581" s="411">
        <f t="shared" ref="AD581:AE583" si="926">AB581*AD$271/$AB$271</f>
        <v>0</v>
      </c>
      <c r="AE581" s="411">
        <f t="shared" si="926"/>
        <v>0</v>
      </c>
      <c r="AF581" s="411">
        <f t="shared" ref="AF581:AG583" si="927">Y581*AF$271/$AB$271</f>
        <v>0</v>
      </c>
      <c r="AG581" s="411">
        <f t="shared" si="927"/>
        <v>0</v>
      </c>
      <c r="AH581" s="411">
        <f t="shared" ref="AH581:AQ583" si="928">AD581*AH$271/$AB$271</f>
        <v>0</v>
      </c>
      <c r="AI581" s="411">
        <f t="shared" si="928"/>
        <v>0</v>
      </c>
      <c r="AJ581" s="411">
        <f t="shared" si="928"/>
        <v>0</v>
      </c>
      <c r="AK581" s="411">
        <f t="shared" si="928"/>
        <v>0</v>
      </c>
      <c r="AL581" s="411">
        <f t="shared" si="928"/>
        <v>0</v>
      </c>
      <c r="AM581" s="411">
        <f t="shared" si="928"/>
        <v>0</v>
      </c>
      <c r="AN581" s="411">
        <f t="shared" si="928"/>
        <v>0</v>
      </c>
      <c r="AO581" s="411">
        <f t="shared" si="928"/>
        <v>0</v>
      </c>
      <c r="AP581" s="411">
        <f t="shared" si="928"/>
        <v>0</v>
      </c>
      <c r="AQ581" s="411">
        <f t="shared" si="928"/>
        <v>0</v>
      </c>
      <c r="AR581" s="411">
        <f t="shared" ref="AR581:BA583" si="929">AN581*AR$271/$AB$271</f>
        <v>0</v>
      </c>
      <c r="AS581" s="411">
        <f t="shared" si="929"/>
        <v>0</v>
      </c>
      <c r="AT581" s="411">
        <f t="shared" si="929"/>
        <v>0</v>
      </c>
      <c r="AU581" s="411">
        <f t="shared" si="929"/>
        <v>0</v>
      </c>
      <c r="AV581" s="411">
        <f t="shared" si="929"/>
        <v>0</v>
      </c>
      <c r="AW581" s="411">
        <f t="shared" si="929"/>
        <v>0</v>
      </c>
      <c r="AX581" s="411">
        <f t="shared" si="929"/>
        <v>0</v>
      </c>
      <c r="AY581" s="411">
        <f t="shared" si="929"/>
        <v>0</v>
      </c>
      <c r="AZ581" s="411">
        <f t="shared" si="929"/>
        <v>0</v>
      </c>
      <c r="BA581" s="411">
        <f t="shared" si="929"/>
        <v>0</v>
      </c>
      <c r="BB581" s="411">
        <f t="shared" ref="BB581:BF583" si="930">AX581*BB$271/$AB$271</f>
        <v>0</v>
      </c>
      <c r="BC581" s="411">
        <f t="shared" si="930"/>
        <v>0</v>
      </c>
      <c r="BD581" s="411">
        <f t="shared" si="930"/>
        <v>0</v>
      </c>
      <c r="BE581" s="411">
        <f t="shared" si="930"/>
        <v>0</v>
      </c>
      <c r="BF581" s="411">
        <f t="shared" si="930"/>
        <v>0</v>
      </c>
    </row>
    <row r="582" spans="1:58" ht="12" hidden="1" customHeight="1" outlineLevel="1" x14ac:dyDescent="0.3">
      <c r="A582" s="224"/>
      <c r="B582" s="224"/>
      <c r="C582" s="224"/>
      <c r="D582" s="224"/>
      <c r="E582" s="224"/>
      <c r="F582" s="224"/>
      <c r="G582" s="224"/>
      <c r="H582" s="224"/>
      <c r="I582" s="224"/>
      <c r="J582" s="224"/>
      <c r="K582" s="224"/>
      <c r="L582" s="117"/>
      <c r="M582" s="210" t="s">
        <v>1103</v>
      </c>
      <c r="N582" s="244" t="s">
        <v>77</v>
      </c>
      <c r="O582" s="150">
        <v>54.722222222222221</v>
      </c>
      <c r="P582" s="150">
        <v>104.16666666666669</v>
      </c>
      <c r="Q582" s="150">
        <v>100.83333333333333</v>
      </c>
      <c r="R582" s="150">
        <v>100.55555555555556</v>
      </c>
      <c r="S582" s="150">
        <v>105.00000000000001</v>
      </c>
      <c r="T582" s="150">
        <v>51.944444444444436</v>
      </c>
      <c r="U582" s="150">
        <v>46.388888888888886</v>
      </c>
      <c r="V582" s="150">
        <v>69.400743999999989</v>
      </c>
      <c r="W582" s="150">
        <v>73.768799999999985</v>
      </c>
      <c r="X582" s="150">
        <v>59.232199999999999</v>
      </c>
      <c r="Y582" s="394"/>
      <c r="Z582" s="210"/>
      <c r="AA582" s="210"/>
      <c r="AB582" s="150">
        <v>37.029979999999995</v>
      </c>
      <c r="AC582" s="153">
        <v>30.956831999999999</v>
      </c>
      <c r="AD582" s="411">
        <f t="shared" si="926"/>
        <v>37.400279799999993</v>
      </c>
      <c r="AE582" s="411">
        <f t="shared" si="926"/>
        <v>31.641597123839997</v>
      </c>
      <c r="AF582" s="411">
        <f t="shared" si="927"/>
        <v>0</v>
      </c>
      <c r="AG582" s="411">
        <f t="shared" si="927"/>
        <v>0</v>
      </c>
      <c r="AH582" s="411">
        <f t="shared" si="928"/>
        <v>39.973747449193816</v>
      </c>
      <c r="AI582" s="411">
        <f t="shared" si="928"/>
        <v>34.326099092506794</v>
      </c>
      <c r="AJ582" s="411">
        <f t="shared" si="928"/>
        <v>0</v>
      </c>
      <c r="AK582" s="411">
        <f t="shared" si="928"/>
        <v>0</v>
      </c>
      <c r="AL582" s="411">
        <f t="shared" si="928"/>
        <v>45.346006540973349</v>
      </c>
      <c r="AM582" s="411">
        <f t="shared" si="928"/>
        <v>39.523434441381085</v>
      </c>
      <c r="AN582" s="411">
        <f t="shared" si="928"/>
        <v>0</v>
      </c>
      <c r="AO582" s="411">
        <f t="shared" si="928"/>
        <v>0</v>
      </c>
      <c r="AP582" s="411">
        <f t="shared" si="928"/>
        <v>54.596826218769841</v>
      </c>
      <c r="AQ582" s="411">
        <f t="shared" si="928"/>
        <v>48.300215610220924</v>
      </c>
      <c r="AR582" s="411">
        <f t="shared" si="929"/>
        <v>0</v>
      </c>
      <c r="AS582" s="411">
        <f t="shared" si="929"/>
        <v>0</v>
      </c>
      <c r="AT582" s="411">
        <f t="shared" si="929"/>
        <v>69.768585383884911</v>
      </c>
      <c r="AU582" s="411">
        <f t="shared" si="929"/>
        <v>62.648060693293218</v>
      </c>
      <c r="AV582" s="411">
        <f t="shared" si="929"/>
        <v>0</v>
      </c>
      <c r="AW582" s="411">
        <f t="shared" si="929"/>
        <v>0</v>
      </c>
      <c r="AX582" s="411">
        <f t="shared" si="929"/>
        <v>94.627334396015399</v>
      </c>
      <c r="AY582" s="411">
        <f t="shared" si="929"/>
        <v>86.244292330216155</v>
      </c>
      <c r="AZ582" s="411">
        <f t="shared" si="929"/>
        <v>0</v>
      </c>
      <c r="BA582" s="411">
        <f t="shared" si="929"/>
        <v>0</v>
      </c>
      <c r="BB582" s="411">
        <f t="shared" si="930"/>
        <v>135.95051826868547</v>
      </c>
      <c r="BC582" s="411">
        <f t="shared" si="930"/>
        <v>125.39353233000561</v>
      </c>
      <c r="BD582" s="411">
        <f t="shared" si="930"/>
        <v>0</v>
      </c>
      <c r="BE582" s="411">
        <f t="shared" si="930"/>
        <v>0</v>
      </c>
      <c r="BF582" s="411">
        <f t="shared" si="930"/>
        <v>203.85414399952685</v>
      </c>
    </row>
    <row r="583" spans="1:58" ht="12" hidden="1" customHeight="1" outlineLevel="1" x14ac:dyDescent="0.3">
      <c r="A583" s="224"/>
      <c r="B583" s="224"/>
      <c r="C583" s="224"/>
      <c r="D583" s="224"/>
      <c r="E583" s="224"/>
      <c r="F583" s="224"/>
      <c r="G583" s="224"/>
      <c r="H583" s="224"/>
      <c r="I583" s="224"/>
      <c r="J583" s="224"/>
      <c r="K583" s="224"/>
      <c r="L583" s="117"/>
      <c r="M583" s="210" t="s">
        <v>1104</v>
      </c>
      <c r="N583" s="244" t="s">
        <v>77</v>
      </c>
      <c r="O583" s="150">
        <v>10.489277777777778</v>
      </c>
      <c r="P583" s="150">
        <v>19.393750000000001</v>
      </c>
      <c r="Q583" s="150">
        <v>33.600866666666668</v>
      </c>
      <c r="R583" s="150">
        <v>31.822222222222223</v>
      </c>
      <c r="S583" s="150">
        <v>34.995555555555555</v>
      </c>
      <c r="T583" s="150">
        <v>26.393777777777778</v>
      </c>
      <c r="U583" s="150">
        <v>29.330773333333333</v>
      </c>
      <c r="V583" s="150">
        <v>0</v>
      </c>
      <c r="W583" s="150">
        <v>0</v>
      </c>
      <c r="X583" s="150">
        <v>1.2478644444444447</v>
      </c>
      <c r="Y583" s="394"/>
      <c r="Z583" s="210"/>
      <c r="AA583" s="210"/>
      <c r="AB583" s="150">
        <v>0</v>
      </c>
      <c r="AC583" s="153">
        <v>0</v>
      </c>
      <c r="AD583" s="411">
        <f t="shared" si="926"/>
        <v>0</v>
      </c>
      <c r="AE583" s="411">
        <f t="shared" si="926"/>
        <v>0</v>
      </c>
      <c r="AF583" s="411">
        <f t="shared" si="927"/>
        <v>0</v>
      </c>
      <c r="AG583" s="411">
        <f t="shared" si="927"/>
        <v>0</v>
      </c>
      <c r="AH583" s="411">
        <f t="shared" si="928"/>
        <v>0</v>
      </c>
      <c r="AI583" s="411">
        <f t="shared" si="928"/>
        <v>0</v>
      </c>
      <c r="AJ583" s="411">
        <f t="shared" si="928"/>
        <v>0</v>
      </c>
      <c r="AK583" s="411">
        <f t="shared" si="928"/>
        <v>0</v>
      </c>
      <c r="AL583" s="411">
        <f t="shared" si="928"/>
        <v>0</v>
      </c>
      <c r="AM583" s="411">
        <f t="shared" si="928"/>
        <v>0</v>
      </c>
      <c r="AN583" s="411">
        <f t="shared" si="928"/>
        <v>0</v>
      </c>
      <c r="AO583" s="411">
        <f t="shared" si="928"/>
        <v>0</v>
      </c>
      <c r="AP583" s="411">
        <f t="shared" si="928"/>
        <v>0</v>
      </c>
      <c r="AQ583" s="411">
        <f t="shared" si="928"/>
        <v>0</v>
      </c>
      <c r="AR583" s="411">
        <f t="shared" si="929"/>
        <v>0</v>
      </c>
      <c r="AS583" s="411">
        <f t="shared" si="929"/>
        <v>0</v>
      </c>
      <c r="AT583" s="411">
        <f t="shared" si="929"/>
        <v>0</v>
      </c>
      <c r="AU583" s="411">
        <f t="shared" si="929"/>
        <v>0</v>
      </c>
      <c r="AV583" s="411">
        <f t="shared" si="929"/>
        <v>0</v>
      </c>
      <c r="AW583" s="411">
        <f t="shared" si="929"/>
        <v>0</v>
      </c>
      <c r="AX583" s="411">
        <f t="shared" si="929"/>
        <v>0</v>
      </c>
      <c r="AY583" s="411">
        <f t="shared" si="929"/>
        <v>0</v>
      </c>
      <c r="AZ583" s="411">
        <f t="shared" si="929"/>
        <v>0</v>
      </c>
      <c r="BA583" s="411">
        <f t="shared" si="929"/>
        <v>0</v>
      </c>
      <c r="BB583" s="411">
        <f t="shared" si="930"/>
        <v>0</v>
      </c>
      <c r="BC583" s="411">
        <f t="shared" si="930"/>
        <v>0</v>
      </c>
      <c r="BD583" s="411">
        <f t="shared" si="930"/>
        <v>0</v>
      </c>
      <c r="BE583" s="411">
        <f t="shared" si="930"/>
        <v>0</v>
      </c>
      <c r="BF583" s="411">
        <f t="shared" si="930"/>
        <v>0</v>
      </c>
    </row>
    <row r="584" spans="1:58" ht="12" hidden="1" customHeight="1" outlineLevel="1" x14ac:dyDescent="0.3">
      <c r="A584" s="224"/>
      <c r="B584" s="224" t="s">
        <v>1105</v>
      </c>
      <c r="C584" s="224"/>
      <c r="D584" s="224" t="s">
        <v>885</v>
      </c>
      <c r="E584" s="224"/>
      <c r="F584" s="224"/>
      <c r="G584" s="224"/>
      <c r="H584" s="224"/>
      <c r="I584" s="224"/>
      <c r="J584" s="224"/>
      <c r="K584" s="224"/>
      <c r="L584" s="117"/>
      <c r="M584" s="214" t="s">
        <v>1106</v>
      </c>
      <c r="N584" s="247" t="s">
        <v>77</v>
      </c>
      <c r="O584" s="413">
        <f t="shared" ref="O584:X584" si="931">O569+O573+O576+O581+O582+O583</f>
        <v>959.84805555555556</v>
      </c>
      <c r="P584" s="413">
        <f t="shared" si="931"/>
        <v>1238.9910694444445</v>
      </c>
      <c r="Q584" s="413">
        <f t="shared" si="931"/>
        <v>1215.182361111111</v>
      </c>
      <c r="R584" s="413">
        <f t="shared" si="931"/>
        <v>1168.0972222222224</v>
      </c>
      <c r="S584" s="413">
        <f t="shared" si="931"/>
        <v>1220.4499999999998</v>
      </c>
      <c r="T584" s="413">
        <f t="shared" si="931"/>
        <v>596.98194444444437</v>
      </c>
      <c r="U584" s="413">
        <f t="shared" si="931"/>
        <v>513.5047222222222</v>
      </c>
      <c r="V584" s="413">
        <f t="shared" si="931"/>
        <v>917.04191581111127</v>
      </c>
      <c r="W584" s="413">
        <f t="shared" si="931"/>
        <v>1006.3666116444444</v>
      </c>
      <c r="X584" s="413">
        <f t="shared" si="931"/>
        <v>943.37129181111106</v>
      </c>
      <c r="Y584" s="394"/>
      <c r="Z584" s="210"/>
      <c r="AA584" s="210"/>
      <c r="AB584" s="413">
        <f>AB569+AB573+AB576+AB581+AB582+AB583</f>
        <v>85.152287333333334</v>
      </c>
      <c r="AC584" s="414">
        <f>AC569+AC573+AC576+AC581+AC582+AC583</f>
        <v>30.956831999999999</v>
      </c>
      <c r="AD584" s="411">
        <f>SUM(AD569:AD583)</f>
        <v>86.003810206666657</v>
      </c>
      <c r="AE584" s="411">
        <f t="shared" ref="AE584:BF584" si="932">SUM(AE569:AE583)</f>
        <v>31.641597123839997</v>
      </c>
      <c r="AF584" s="411">
        <f t="shared" si="932"/>
        <v>0</v>
      </c>
      <c r="AG584" s="411">
        <f t="shared" si="932"/>
        <v>0</v>
      </c>
      <c r="AH584" s="411">
        <f t="shared" si="932"/>
        <v>91.921627518671414</v>
      </c>
      <c r="AI584" s="411">
        <f t="shared" si="932"/>
        <v>34.326099092506794</v>
      </c>
      <c r="AJ584" s="411">
        <f t="shared" si="932"/>
        <v>0</v>
      </c>
      <c r="AK584" s="411">
        <f t="shared" si="932"/>
        <v>0</v>
      </c>
      <c r="AL584" s="411">
        <f t="shared" si="932"/>
        <v>104.27540545245165</v>
      </c>
      <c r="AM584" s="411">
        <f t="shared" si="932"/>
        <v>39.523434441381085</v>
      </c>
      <c r="AN584" s="411">
        <f t="shared" si="932"/>
        <v>0</v>
      </c>
      <c r="AO584" s="411">
        <f t="shared" si="932"/>
        <v>0</v>
      </c>
      <c r="AP584" s="411">
        <f t="shared" si="932"/>
        <v>125.54812704918439</v>
      </c>
      <c r="AQ584" s="411">
        <f t="shared" si="932"/>
        <v>48.300215610220924</v>
      </c>
      <c r="AR584" s="411">
        <f t="shared" si="932"/>
        <v>0</v>
      </c>
      <c r="AS584" s="411">
        <f t="shared" si="932"/>
        <v>0</v>
      </c>
      <c r="AT584" s="411">
        <f t="shared" si="932"/>
        <v>160.43634453620467</v>
      </c>
      <c r="AU584" s="411">
        <f t="shared" si="932"/>
        <v>62.648060693293218</v>
      </c>
      <c r="AV584" s="411">
        <f t="shared" si="932"/>
        <v>0</v>
      </c>
      <c r="AW584" s="411">
        <f t="shared" si="932"/>
        <v>0</v>
      </c>
      <c r="AX584" s="411">
        <f t="shared" si="932"/>
        <v>217.60027869517944</v>
      </c>
      <c r="AY584" s="411">
        <f t="shared" si="932"/>
        <v>86.244292330216155</v>
      </c>
      <c r="AZ584" s="411">
        <f t="shared" si="932"/>
        <v>0</v>
      </c>
      <c r="BA584" s="411">
        <f t="shared" si="932"/>
        <v>0</v>
      </c>
      <c r="BB584" s="411">
        <f t="shared" si="932"/>
        <v>312.62500262572888</v>
      </c>
      <c r="BC584" s="411">
        <f t="shared" si="932"/>
        <v>125.39353233000561</v>
      </c>
      <c r="BD584" s="411">
        <f t="shared" si="932"/>
        <v>0</v>
      </c>
      <c r="BE584" s="411">
        <f t="shared" si="932"/>
        <v>0</v>
      </c>
      <c r="BF584" s="411">
        <f t="shared" si="932"/>
        <v>468.77277935171503</v>
      </c>
    </row>
    <row r="585" spans="1:58" ht="12" hidden="1" customHeight="1" outlineLevel="1" x14ac:dyDescent="0.3">
      <c r="A585" s="224"/>
      <c r="B585" s="224"/>
      <c r="C585" s="224"/>
      <c r="D585" s="224"/>
      <c r="E585" s="224"/>
      <c r="F585" s="224"/>
      <c r="G585" s="224"/>
      <c r="H585" s="224"/>
      <c r="I585" s="224"/>
      <c r="J585" s="224"/>
      <c r="K585" s="224"/>
      <c r="L585" s="117"/>
      <c r="M585" s="223" t="s">
        <v>980</v>
      </c>
      <c r="N585" s="216" t="s">
        <v>68</v>
      </c>
      <c r="O585" s="415">
        <f t="shared" ref="O585:X585" si="933">IFERROR((O570+O571+O572+O574+O575+O577+O578+O579+O580+O581+O582+O583)/O584,"")</f>
        <v>1</v>
      </c>
      <c r="P585" s="415">
        <f t="shared" si="933"/>
        <v>1</v>
      </c>
      <c r="Q585" s="415">
        <f t="shared" si="933"/>
        <v>1</v>
      </c>
      <c r="R585" s="415">
        <f t="shared" si="933"/>
        <v>1</v>
      </c>
      <c r="S585" s="415">
        <f t="shared" si="933"/>
        <v>1</v>
      </c>
      <c r="T585" s="415">
        <f t="shared" si="933"/>
        <v>1</v>
      </c>
      <c r="U585" s="415">
        <f t="shared" si="933"/>
        <v>1</v>
      </c>
      <c r="V585" s="415">
        <f t="shared" si="933"/>
        <v>0.99999999999999989</v>
      </c>
      <c r="W585" s="415">
        <f t="shared" si="933"/>
        <v>0.99999999999999989</v>
      </c>
      <c r="X585" s="415">
        <f t="shared" si="933"/>
        <v>1</v>
      </c>
      <c r="Y585" s="394"/>
      <c r="Z585" s="210"/>
      <c r="AA585" s="210"/>
      <c r="AB585" s="415">
        <f>IFERROR((AB570+AB571+AB572+AB574+AB575+AB577+AB578+AB579+AB580+AB581+AB582+AB583)/AB584,"")</f>
        <v>1</v>
      </c>
      <c r="AC585" s="415">
        <f>IFERROR((AC570+AC571+AC572+AC574+AC575+AC577+AC578+AC579+AC580+AC581+AC582+AC583)/AC584,"")</f>
        <v>1</v>
      </c>
      <c r="AD585" s="224"/>
      <c r="AE585" s="224"/>
      <c r="AF585" s="224"/>
      <c r="AG585" s="224"/>
      <c r="AH585" s="224"/>
      <c r="AI585" s="224"/>
      <c r="AJ585" s="224"/>
      <c r="AK585" s="224"/>
      <c r="AL585" s="224"/>
      <c r="AM585" s="224"/>
      <c r="AN585" s="224"/>
      <c r="AO585" s="224"/>
      <c r="AP585" s="224"/>
      <c r="AQ585" s="224"/>
      <c r="AR585" s="224"/>
      <c r="AS585" s="224"/>
      <c r="AT585" s="224"/>
      <c r="AU585" s="224"/>
      <c r="AV585" s="224"/>
      <c r="AW585" s="224"/>
      <c r="AX585" s="224"/>
      <c r="AY585" s="224"/>
      <c r="AZ585" s="224"/>
      <c r="BA585" s="224"/>
      <c r="BB585" s="224"/>
      <c r="BC585" s="224"/>
      <c r="BD585" s="224"/>
      <c r="BE585" s="224"/>
      <c r="BF585" s="224"/>
    </row>
    <row r="586" spans="1:58" ht="12" hidden="1" customHeight="1" outlineLevel="1" collapsed="1" x14ac:dyDescent="0.3">
      <c r="A586" s="224"/>
      <c r="B586" s="224"/>
      <c r="C586" s="224"/>
      <c r="D586" s="224"/>
      <c r="E586" s="224"/>
      <c r="F586" s="224"/>
      <c r="G586" s="224"/>
      <c r="H586" s="224"/>
      <c r="I586" s="224"/>
      <c r="J586" s="224"/>
      <c r="K586" s="224"/>
      <c r="L586" s="117"/>
      <c r="M586" s="210"/>
      <c r="N586" s="219"/>
      <c r="O586" s="415">
        <f t="shared" ref="O586:X586" si="934">IFERROR((O569+O573+O576+O581+O582+O583)/O584,"")</f>
        <v>1</v>
      </c>
      <c r="P586" s="415">
        <f t="shared" si="934"/>
        <v>1</v>
      </c>
      <c r="Q586" s="415">
        <f t="shared" si="934"/>
        <v>1</v>
      </c>
      <c r="R586" s="415">
        <f t="shared" si="934"/>
        <v>1</v>
      </c>
      <c r="S586" s="415">
        <f t="shared" si="934"/>
        <v>1</v>
      </c>
      <c r="T586" s="415">
        <f t="shared" si="934"/>
        <v>1</v>
      </c>
      <c r="U586" s="415">
        <f t="shared" si="934"/>
        <v>1</v>
      </c>
      <c r="V586" s="415">
        <f t="shared" si="934"/>
        <v>1</v>
      </c>
      <c r="W586" s="415">
        <f t="shared" si="934"/>
        <v>1</v>
      </c>
      <c r="X586" s="415">
        <f t="shared" si="934"/>
        <v>1</v>
      </c>
      <c r="Y586" s="394"/>
      <c r="Z586" s="210"/>
      <c r="AA586" s="210"/>
      <c r="AB586" s="415">
        <f>IFERROR((AB569+AB573+AB576+AB581+AB582+AB583)/AB584,"")</f>
        <v>1</v>
      </c>
      <c r="AC586" s="415">
        <f>IFERROR((AC569+AC573+AC576+AC581+AC582+AC583)/AC584,"")</f>
        <v>1</v>
      </c>
      <c r="AD586" s="224"/>
      <c r="AE586" s="224"/>
      <c r="AF586" s="224"/>
      <c r="AG586" s="224"/>
      <c r="AH586" s="224"/>
      <c r="AI586" s="224"/>
      <c r="AJ586" s="224"/>
      <c r="AK586" s="224"/>
      <c r="AL586" s="224"/>
      <c r="AM586" s="224"/>
      <c r="AN586" s="224"/>
      <c r="AO586" s="224"/>
      <c r="AP586" s="224"/>
      <c r="AQ586" s="224"/>
      <c r="AR586" s="224"/>
      <c r="AS586" s="224"/>
      <c r="AT586" s="224"/>
      <c r="AU586" s="224"/>
      <c r="AV586" s="224"/>
      <c r="AW586" s="224"/>
      <c r="AX586" s="224"/>
      <c r="AY586" s="224"/>
      <c r="AZ586" s="224"/>
      <c r="BA586" s="224"/>
      <c r="BB586" s="224"/>
      <c r="BC586" s="224"/>
      <c r="BD586" s="224"/>
      <c r="BE586" s="224"/>
      <c r="BF586" s="224"/>
    </row>
    <row r="587" spans="1:58" collapsed="1" x14ac:dyDescent="0.3">
      <c r="A587" s="224"/>
      <c r="B587" s="224"/>
      <c r="C587" s="224"/>
      <c r="D587" s="224"/>
      <c r="E587" s="224"/>
      <c r="F587" s="224"/>
      <c r="G587" s="224"/>
      <c r="H587" s="224"/>
      <c r="I587" s="224"/>
      <c r="J587" s="224"/>
      <c r="K587" s="224"/>
      <c r="L587" s="117"/>
      <c r="M587" s="211" t="s">
        <v>1107</v>
      </c>
      <c r="N587" s="211"/>
      <c r="O587" s="217"/>
      <c r="P587" s="217"/>
      <c r="Q587" s="217"/>
      <c r="R587" s="217"/>
      <c r="S587" s="217"/>
      <c r="T587" s="217"/>
      <c r="U587" s="217"/>
      <c r="V587" s="217"/>
      <c r="W587" s="217"/>
      <c r="X587" s="217"/>
      <c r="Y587" s="394"/>
      <c r="Z587" s="217"/>
      <c r="AA587" s="217"/>
      <c r="AB587" s="217"/>
      <c r="AC587" s="217"/>
      <c r="AD587" s="224"/>
      <c r="AE587" s="224"/>
      <c r="AF587" s="224"/>
      <c r="AG587" s="224"/>
      <c r="AH587" s="224"/>
      <c r="AI587" s="224"/>
      <c r="AJ587" s="224"/>
      <c r="AK587" s="224"/>
      <c r="AL587" s="224"/>
      <c r="AM587" s="224"/>
      <c r="AN587" s="224"/>
      <c r="AO587" s="224"/>
      <c r="AP587" s="224"/>
      <c r="AQ587" s="224"/>
      <c r="AR587" s="224"/>
      <c r="AS587" s="224"/>
      <c r="AT587" s="224"/>
      <c r="AU587" s="224"/>
      <c r="AV587" s="224"/>
      <c r="AW587" s="224"/>
      <c r="AX587" s="224"/>
      <c r="AY587" s="224"/>
      <c r="AZ587" s="224"/>
      <c r="BA587" s="224"/>
      <c r="BB587" s="224"/>
      <c r="BC587" s="224"/>
      <c r="BD587" s="224"/>
      <c r="BE587" s="224"/>
      <c r="BF587" s="224"/>
    </row>
    <row r="588" spans="1:58" x14ac:dyDescent="0.3">
      <c r="A588" s="224"/>
      <c r="B588" s="224" t="s">
        <v>989</v>
      </c>
      <c r="C588" s="224"/>
      <c r="D588" s="224" t="s">
        <v>885</v>
      </c>
      <c r="E588" s="224"/>
      <c r="F588" s="224"/>
      <c r="G588" s="224"/>
      <c r="H588" s="224"/>
      <c r="I588" s="224"/>
      <c r="J588" s="224"/>
      <c r="K588" s="224"/>
      <c r="L588" s="117"/>
      <c r="M588" s="220" t="s">
        <v>1108</v>
      </c>
      <c r="N588" s="219" t="s">
        <v>77</v>
      </c>
      <c r="O588" s="416" cm="1">
        <f t="array" ref="O588">INDEX(O$292:O$584,MATCH($B588&amp;$D588,$B$292:$B$584&amp;$D$292:$D$584,0))/1000</f>
        <v>0.8075</v>
      </c>
      <c r="P588" s="416" cm="1">
        <f t="array" ref="P588">INDEX(P$292:P$584,MATCH($B588&amp;$D588,$B$292:$B$584&amp;$D$292:$D$584,0))/1000</f>
        <v>0.71472222222222226</v>
      </c>
      <c r="Q588" s="416" cm="1">
        <f t="array" ref="Q588">INDEX(Q$292:Q$584,MATCH($B588&amp;$D588,$B$292:$B$584&amp;$D$292:$D$584,0))/1000</f>
        <v>0.70527777777777767</v>
      </c>
      <c r="R588" s="416" cm="1">
        <f t="array" ref="R588">INDEX(R$292:R$584,MATCH($B588&amp;$D588,$B$292:$B$584&amp;$D$292:$D$584,0))/1000</f>
        <v>0.74444444444444446</v>
      </c>
      <c r="S588" s="416" cm="1">
        <f t="array" ref="S588">INDEX(S$292:S$584,MATCH($B588&amp;$D588,$B$292:$B$584&amp;$D$292:$D$584,0))/1000</f>
        <v>0.73833333333333329</v>
      </c>
      <c r="T588" s="416" cm="1">
        <f t="array" ref="T588">INDEX(T$292:T$584,MATCH($B588&amp;$D588,$B$292:$B$584&amp;$D$292:$D$584,0))/1000</f>
        <v>0.74972222222222229</v>
      </c>
      <c r="U588" s="416" cm="1">
        <f t="array" ref="U588">INDEX(U$292:U$584,MATCH($B588&amp;$D588,$B$292:$B$584&amp;$D$292:$D$584,0))/1000</f>
        <v>0.77888888888888885</v>
      </c>
      <c r="V588" s="416" cm="1">
        <f t="array" ref="V588">INDEX(V$292:V$584,MATCH($B588&amp;$D588,$B$292:$B$584&amp;$D$292:$D$584,0))/1000</f>
        <v>0.66833333333333333</v>
      </c>
      <c r="W588" s="416" cm="1">
        <f t="array" ref="W588">INDEX(W$292:W$584,MATCH($B588&amp;$D588,$B$292:$B$584&amp;$D$292:$D$584,0))/1000</f>
        <v>0.65583333333333327</v>
      </c>
      <c r="X588" s="416" cm="1">
        <f t="array" ref="X588">INDEX(X$292:X$584,MATCH($B588&amp;$D588,$B$292:$B$584&amp;$D$292:$D$584,0))/1000</f>
        <v>0.76277777777777767</v>
      </c>
      <c r="Y588" s="394"/>
      <c r="Z588" s="217"/>
      <c r="AA588" s="217"/>
      <c r="AB588" s="416" cm="1">
        <f t="array" ref="AB588">INDEX(AB$292:AB$584,MATCH($B588&amp;$D588,$B$292:$B$584&amp;$D$292:$D$584,0))</f>
        <v>824.16666666666674</v>
      </c>
      <c r="AC588" s="417" cm="1">
        <f t="array" ref="AC588">INDEX(AC$292:AC$584,MATCH($B588&amp;$D588,$B$292:$B$584&amp;$D$292:$D$584,0))</f>
        <v>768.33333333333337</v>
      </c>
      <c r="AD588" s="416" cm="1">
        <f t="array" ref="AD588">INDEX(AD$292:AD$584,MATCH($B588&amp;$D588,$B$292:$B$584&amp;$D$292:$D$584,0))</f>
        <v>832.40833333333342</v>
      </c>
      <c r="AE588" s="416" cm="1">
        <f t="array" ref="AE588">INDEX(AE$292:AE$584,MATCH($B588&amp;$D588,$B$292:$B$584&amp;$D$292:$D$584,0))</f>
        <v>842.39723333333325</v>
      </c>
      <c r="AF588" s="416" cm="1">
        <f t="array" ref="AF588">INDEX(AF$292:AF$584,MATCH($B588&amp;$D588,$B$292:$B$584&amp;$D$292:$D$584,0))</f>
        <v>855.03319183333326</v>
      </c>
      <c r="AG588" s="416" cm="1">
        <f t="array" ref="AG588">INDEX(AG$292:AG$584,MATCH($B588&amp;$D588,$B$292:$B$584&amp;$D$292:$D$584,0))</f>
        <v>867.85868971083323</v>
      </c>
      <c r="AH588" s="416" cm="1">
        <f t="array" ref="AH588">INDEX(AH$292:AH$584,MATCH($B588&amp;$D588,$B$292:$B$584&amp;$D$292:$D$584,0))</f>
        <v>880.87657005649555</v>
      </c>
      <c r="AI588" s="416" cm="1">
        <f t="array" ref="AI588">INDEX(AI$292:AI$584,MATCH($B588&amp;$D588,$B$292:$B$584&amp;$D$292:$D$584,0))</f>
        <v>894.089718607343</v>
      </c>
      <c r="AJ588" s="416" cm="1">
        <f t="array" ref="AJ588">INDEX(AJ$292:AJ$584,MATCH($B588&amp;$D588,$B$292:$B$584&amp;$D$292:$D$584,0))</f>
        <v>907.50106438645298</v>
      </c>
      <c r="AK588" s="416" cm="1">
        <f t="array" ref="AK588">INDEX(AK$292:AK$584,MATCH($B588&amp;$D588,$B$292:$B$584&amp;$D$292:$D$584,0))</f>
        <v>921.11358035224964</v>
      </c>
      <c r="AL588" s="416" cm="1">
        <f t="array" ref="AL588">INDEX(AL$292:AL$584,MATCH($B588&amp;$D588,$B$292:$B$584&amp;$D$292:$D$584,0))</f>
        <v>934.9302840575333</v>
      </c>
      <c r="AM588" s="416" cm="1">
        <f t="array" ref="AM588">INDEX(AM$292:AM$584,MATCH($B588&amp;$D588,$B$292:$B$584&amp;$D$292:$D$584,0))</f>
        <v>948.95423831839628</v>
      </c>
      <c r="AN588" s="416" cm="1">
        <f t="array" ref="AN588">INDEX(AN$292:AN$584,MATCH($B588&amp;$D588,$B$292:$B$584&amp;$D$292:$D$584,0))</f>
        <v>963.18855189317208</v>
      </c>
      <c r="AO588" s="416" cm="1">
        <f t="array" ref="AO588">INDEX(AO$292:AO$584,MATCH($B588&amp;$D588,$B$292:$B$584&amp;$D$292:$D$584,0))</f>
        <v>977.6363801715695</v>
      </c>
      <c r="AP588" s="416" cm="1">
        <f t="array" ref="AP588">INDEX(AP$292:AP$584,MATCH($B588&amp;$D588,$B$292:$B$584&amp;$D$292:$D$584,0))</f>
        <v>992.30092587414299</v>
      </c>
      <c r="AQ588" s="416" cm="1">
        <f t="array" ref="AQ588">INDEX(AQ$292:AQ$584,MATCH($B588&amp;$D588,$B$292:$B$584&amp;$D$292:$D$584,0))</f>
        <v>1007.1854397622551</v>
      </c>
      <c r="AR588" s="416" cm="1">
        <f t="array" ref="AR588">INDEX(AR$292:AR$584,MATCH($B588&amp;$D588,$B$292:$B$584&amp;$D$292:$D$584,0))</f>
        <v>1022.2932213586889</v>
      </c>
      <c r="AS588" s="416" cm="1">
        <f t="array" ref="AS588">INDEX(AS$292:AS$584,MATCH($B588&amp;$D588,$B$292:$B$584&amp;$D$292:$D$584,0))</f>
        <v>1037.6276196790691</v>
      </c>
      <c r="AT588" s="416" cm="1">
        <f t="array" ref="AT588">INDEX(AT$292:AT$584,MATCH($B588&amp;$D588,$B$292:$B$584&amp;$D$292:$D$584,0))</f>
        <v>1053.1920339742549</v>
      </c>
      <c r="AU588" s="416" cm="1">
        <f t="array" ref="AU588">INDEX(AU$292:AU$584,MATCH($B588&amp;$D588,$B$292:$B$584&amp;$D$292:$D$584,0))</f>
        <v>1068.9899144838685</v>
      </c>
      <c r="AV588" s="416" cm="1">
        <f t="array" ref="AV588">INDEX(AV$292:AV$584,MATCH($B588&amp;$D588,$B$292:$B$584&amp;$D$292:$D$584,0))</f>
        <v>1085.0247632011267</v>
      </c>
      <c r="AW588" s="416" cm="1">
        <f t="array" ref="AW588">INDEX(AW$292:AW$584,MATCH($B588&amp;$D588,$B$292:$B$584&amp;$D$292:$D$584,0))</f>
        <v>1101.3001346491433</v>
      </c>
      <c r="AX588" s="416" cm="1">
        <f t="array" ref="AX588">INDEX(AX$292:AX$584,MATCH($B588&amp;$D588,$B$292:$B$584&amp;$D$292:$D$584,0))</f>
        <v>1117.8196366688803</v>
      </c>
      <c r="AY588" s="416" cm="1">
        <f t="array" ref="AY588">INDEX(AY$292:AY$584,MATCH($B588&amp;$D588,$B$292:$B$584&amp;$D$292:$D$584,0))</f>
        <v>1134.5869312189134</v>
      </c>
      <c r="AZ588" s="416" cm="1">
        <f t="array" ref="AZ588">INDEX(AZ$292:AZ$584,MATCH($B588&amp;$D588,$B$292:$B$584&amp;$D$292:$D$584,0))</f>
        <v>1151.6057351871968</v>
      </c>
      <c r="BA588" s="416" cm="1">
        <f t="array" ref="BA588">INDEX(BA$292:BA$584,MATCH($B588&amp;$D588,$B$292:$B$584&amp;$D$292:$D$584,0))</f>
        <v>1168.8798212150048</v>
      </c>
      <c r="BB588" s="416" cm="1">
        <f t="array" ref="BB588">INDEX(BB$292:BB$584,MATCH($B588&amp;$D588,$B$292:$B$584&amp;$D$292:$D$584,0))</f>
        <v>1184.0752588907999</v>
      </c>
      <c r="BC588" s="416" cm="1">
        <f t="array" ref="BC588">INDEX(BC$292:BC$584,MATCH($B588&amp;$D588,$B$292:$B$584&amp;$D$292:$D$584,0))</f>
        <v>1198.2841619974895</v>
      </c>
      <c r="BD588" s="416" cm="1">
        <f t="array" ref="BD588">INDEX(BD$292:BD$584,MATCH($B588&amp;$D588,$B$292:$B$584&amp;$D$292:$D$584,0))</f>
        <v>1211.4652877794617</v>
      </c>
      <c r="BE588" s="416" cm="1">
        <f t="array" ref="BE588">INDEX(BE$292:BE$584,MATCH($B588&amp;$D588,$B$292:$B$584&amp;$D$292:$D$584,0))</f>
        <v>1223.5799406572564</v>
      </c>
      <c r="BF588" s="416" cm="1">
        <f t="array" ref="BF588">INDEX(BF$292:BF$584,MATCH($B588&amp;$D588,$B$292:$B$584&amp;$D$292:$D$584,0))</f>
        <v>1235.815740063829</v>
      </c>
    </row>
    <row r="589" spans="1:58" x14ac:dyDescent="0.3">
      <c r="A589" s="224"/>
      <c r="B589" s="224" t="s">
        <v>998</v>
      </c>
      <c r="C589" s="224"/>
      <c r="D589" s="224" t="s">
        <v>885</v>
      </c>
      <c r="E589" s="224"/>
      <c r="F589" s="224"/>
      <c r="G589" s="224"/>
      <c r="H589" s="224"/>
      <c r="I589" s="224"/>
      <c r="J589" s="224"/>
      <c r="K589" s="224"/>
      <c r="L589" s="117"/>
      <c r="M589" s="220" t="s">
        <v>1109</v>
      </c>
      <c r="N589" s="219" t="s">
        <v>77</v>
      </c>
      <c r="O589" s="416" cm="1">
        <f t="array" ref="O589">INDEX(O$292:O$584,MATCH($B589&amp;$D589,$B$292:$B$584&amp;$D$292:$D$584,0))/1000</f>
        <v>0.23107235450792568</v>
      </c>
      <c r="P589" s="416" cm="1">
        <f t="array" ref="P589">INDEX(P$292:P$584,MATCH($B589&amp;$D589,$B$292:$B$584&amp;$D$292:$D$584,0))/1000</f>
        <v>0.18949879935530467</v>
      </c>
      <c r="Q589" s="416" cm="1">
        <f t="array" ref="Q589">INDEX(Q$292:Q$584,MATCH($B589&amp;$D589,$B$292:$B$584&amp;$D$292:$D$584,0))/1000</f>
        <v>0.18374873439184075</v>
      </c>
      <c r="R589" s="416" cm="1">
        <f t="array" ref="R589">INDEX(R$292:R$584,MATCH($B589&amp;$D589,$B$292:$B$584&amp;$D$292:$D$584,0))/1000</f>
        <v>0.16213788313458538</v>
      </c>
      <c r="S589" s="416" cm="1">
        <f t="array" ref="S589">INDEX(S$292:S$584,MATCH($B589&amp;$D589,$B$292:$B$584&amp;$D$292:$D$584,0))/1000</f>
        <v>0.17213762328072962</v>
      </c>
      <c r="T589" s="416" cm="1">
        <f t="array" ref="T589">INDEX(T$292:T$584,MATCH($B589&amp;$D589,$B$292:$B$584&amp;$D$292:$D$584,0))/1000</f>
        <v>0.15416637551046669</v>
      </c>
      <c r="U589" s="416" cm="1">
        <f t="array" ref="U589">INDEX(U$292:U$584,MATCH($B589&amp;$D589,$B$292:$B$584&amp;$D$292:$D$584,0))/1000</f>
        <v>0.13260939075870423</v>
      </c>
      <c r="V589" s="416" cm="1">
        <f t="array" ref="V589">INDEX(V$292:V$584,MATCH($B589&amp;$D589,$B$292:$B$584&amp;$D$292:$D$584,0))/1000</f>
        <v>0.10221585580275507</v>
      </c>
      <c r="W589" s="416" cm="1">
        <f t="array" ref="W589">INDEX(W$292:W$584,MATCH($B589&amp;$D589,$B$292:$B$584&amp;$D$292:$D$584,0))/1000</f>
        <v>0.10221574171663923</v>
      </c>
      <c r="X589" s="416" cm="1">
        <f t="array" ref="X589">INDEX(X$292:X$584,MATCH($B589&amp;$D589,$B$292:$B$584&amp;$D$292:$D$584,0))/1000</f>
        <v>0.10449051533426321</v>
      </c>
      <c r="Y589" s="394"/>
      <c r="Z589" s="217"/>
      <c r="AA589" s="217"/>
      <c r="AB589" s="416" cm="1">
        <f t="array" ref="AB589">INDEX(AB$292:AB$584,MATCH($B589&amp;$D589,$B$292:$B$584&amp;$D$292:$D$584,0))</f>
        <v>100.55555555555556</v>
      </c>
      <c r="AC589" s="417" cm="1">
        <f t="array" ref="AC589">INDEX(AC$292:AC$584,MATCH($B589&amp;$D589,$B$292:$B$584&amp;$D$292:$D$584,0))</f>
        <v>127.50000000000001</v>
      </c>
      <c r="AD589" s="416" cm="1">
        <f t="array" ref="AD589">INDEX(AD$292:AD$584,MATCH($B589&amp;$D589,$B$292:$B$584&amp;$D$292:$D$584,0))</f>
        <v>101.56111111111112</v>
      </c>
      <c r="AE589" s="416" cm="1">
        <f t="array" ref="AE589">INDEX(AE$292:AE$584,MATCH($B589&amp;$D589,$B$292:$B$584&amp;$D$292:$D$584,0))</f>
        <v>102.77984444444448</v>
      </c>
      <c r="AF589" s="416" cm="1">
        <f t="array" ref="AF589">INDEX(AF$292:AF$584,MATCH($B589&amp;$D589,$B$292:$B$584&amp;$D$292:$D$584,0))</f>
        <v>104.32154211111111</v>
      </c>
      <c r="AG589" s="416" cm="1">
        <f t="array" ref="AG589">INDEX(AG$292:AG$584,MATCH($B589&amp;$D589,$B$292:$B$584&amp;$D$292:$D$584,0))</f>
        <v>105.88636524277777</v>
      </c>
      <c r="AH589" s="416" cm="1">
        <f t="array" ref="AH589">INDEX(AH$292:AH$584,MATCH($B589&amp;$D589,$B$292:$B$584&amp;$D$292:$D$584,0))</f>
        <v>107.47466072141943</v>
      </c>
      <c r="AI589" s="416" cm="1">
        <f t="array" ref="AI589">INDEX(AI$292:AI$584,MATCH($B589&amp;$D589,$B$292:$B$584&amp;$D$292:$D$584,0))</f>
        <v>109.0867806322407</v>
      </c>
      <c r="AJ589" s="416" cm="1">
        <f t="array" ref="AJ589">INDEX(AJ$292:AJ$584,MATCH($B589&amp;$D589,$B$292:$B$584&amp;$D$292:$D$584,0))</f>
        <v>110.72308234172432</v>
      </c>
      <c r="AK589" s="416" cm="1">
        <f t="array" ref="AK589">INDEX(AK$292:AK$584,MATCH($B589&amp;$D589,$B$292:$B$584&amp;$D$292:$D$584,0))</f>
        <v>112.38392857685017</v>
      </c>
      <c r="AL589" s="416" cm="1">
        <f t="array" ref="AL589">INDEX(AL$292:AL$584,MATCH($B589&amp;$D589,$B$292:$B$584&amp;$D$292:$D$584,0))</f>
        <v>114.06968750550291</v>
      </c>
      <c r="AM589" s="416" cm="1">
        <f t="array" ref="AM589">INDEX(AM$292:AM$584,MATCH($B589&amp;$D589,$B$292:$B$584&amp;$D$292:$D$584,0))</f>
        <v>115.78073281808545</v>
      </c>
      <c r="AN589" s="416" cm="1">
        <f t="array" ref="AN589">INDEX(AN$292:AN$584,MATCH($B589&amp;$D589,$B$292:$B$584&amp;$D$292:$D$584,0))</f>
        <v>117.51744381035671</v>
      </c>
      <c r="AO589" s="416" cm="1">
        <f t="array" ref="AO589">INDEX(AO$292:AO$584,MATCH($B589&amp;$D589,$B$292:$B$584&amp;$D$292:$D$584,0))</f>
        <v>119.28020546751206</v>
      </c>
      <c r="AP589" s="416" cm="1">
        <f t="array" ref="AP589">INDEX(AP$292:AP$584,MATCH($B589&amp;$D589,$B$292:$B$584&amp;$D$292:$D$584,0))</f>
        <v>121.06940854952474</v>
      </c>
      <c r="AQ589" s="416" cm="1">
        <f t="array" ref="AQ589">INDEX(AQ$292:AQ$584,MATCH($B589&amp;$D589,$B$292:$B$584&amp;$D$292:$D$584,0))</f>
        <v>122.88544967776758</v>
      </c>
      <c r="AR589" s="416" cm="1">
        <f t="array" ref="AR589">INDEX(AR$292:AR$584,MATCH($B589&amp;$D589,$B$292:$B$584&amp;$D$292:$D$584,0))</f>
        <v>124.72873142293412</v>
      </c>
      <c r="AS589" s="416" cm="1">
        <f t="array" ref="AS589">INDEX(AS$292:AS$584,MATCH($B589&amp;$D589,$B$292:$B$584&amp;$D$292:$D$584,0))</f>
        <v>126.59966239427813</v>
      </c>
      <c r="AT589" s="416" cm="1">
        <f t="array" ref="AT589">INDEX(AT$292:AT$584,MATCH($B589&amp;$D589,$B$292:$B$584&amp;$D$292:$D$584,0))</f>
        <v>128.49865733019229</v>
      </c>
      <c r="AU589" s="416" cm="1">
        <f t="array" ref="AU589">INDEX(AU$292:AU$584,MATCH($B589&amp;$D589,$B$292:$B$584&amp;$D$292:$D$584,0))</f>
        <v>130.42613719014514</v>
      </c>
      <c r="AV589" s="416" cm="1">
        <f t="array" ref="AV589">INDEX(AV$292:AV$584,MATCH($B589&amp;$D589,$B$292:$B$584&amp;$D$292:$D$584,0))</f>
        <v>132.38252924799733</v>
      </c>
      <c r="AW589" s="416" cm="1">
        <f t="array" ref="AW589">INDEX(AW$292:AW$584,MATCH($B589&amp;$D589,$B$292:$B$584&amp;$D$292:$D$584,0))</f>
        <v>134.36826718671728</v>
      </c>
      <c r="AX589" s="416" cm="1">
        <f t="array" ref="AX589">INDEX(AX$292:AX$584,MATCH($B589&amp;$D589,$B$292:$B$584&amp;$D$292:$D$584,0))</f>
        <v>136.38379119451801</v>
      </c>
      <c r="AY589" s="416" cm="1">
        <f t="array" ref="AY589">INDEX(AY$292:AY$584,MATCH($B589&amp;$D589,$B$292:$B$584&amp;$D$292:$D$584,0))</f>
        <v>138.4295480624358</v>
      </c>
      <c r="AZ589" s="416" cm="1">
        <f t="array" ref="AZ589">INDEX(AZ$292:AZ$584,MATCH($B589&amp;$D589,$B$292:$B$584&amp;$D$292:$D$584,0))</f>
        <v>140.50599128337231</v>
      </c>
      <c r="BA589" s="416" cm="1">
        <f t="array" ref="BA589">INDEX(BA$292:BA$584,MATCH($B589&amp;$D589,$B$292:$B$584&amp;$D$292:$D$584,0))</f>
        <v>142.61358115262283</v>
      </c>
      <c r="BB589" s="416" cm="1">
        <f t="array" ref="BB589">INDEX(BB$292:BB$584,MATCH($B589&amp;$D589,$B$292:$B$584&amp;$D$292:$D$584,0))</f>
        <v>144.46755770760694</v>
      </c>
      <c r="BC589" s="416" cm="1">
        <f t="array" ref="BC589">INDEX(BC$292:BC$584,MATCH($B589&amp;$D589,$B$292:$B$584&amp;$D$292:$D$584,0))</f>
        <v>146.20116840009823</v>
      </c>
      <c r="BD589" s="416" cm="1">
        <f t="array" ref="BD589">INDEX(BD$292:BD$584,MATCH($B589&amp;$D589,$B$292:$B$584&amp;$D$292:$D$584,0))</f>
        <v>147.80938125249929</v>
      </c>
      <c r="BE589" s="416" cm="1">
        <f t="array" ref="BE589">INDEX(BE$292:BE$584,MATCH($B589&amp;$D589,$B$292:$B$584&amp;$D$292:$D$584,0))</f>
        <v>149.28747506502427</v>
      </c>
      <c r="BF589" s="416" cm="1">
        <f t="array" ref="BF589">INDEX(BF$292:BF$584,MATCH($B589&amp;$D589,$B$292:$B$584&amp;$D$292:$D$584,0))</f>
        <v>150.7803498156745</v>
      </c>
    </row>
    <row r="590" spans="1:58" x14ac:dyDescent="0.3">
      <c r="A590" s="224"/>
      <c r="B590" s="224" t="s">
        <v>1007</v>
      </c>
      <c r="C590" s="224"/>
      <c r="D590" s="224" t="s">
        <v>885</v>
      </c>
      <c r="E590" s="224"/>
      <c r="F590" s="224"/>
      <c r="G590" s="224"/>
      <c r="H590" s="224"/>
      <c r="I590" s="224"/>
      <c r="J590" s="224"/>
      <c r="K590" s="224"/>
      <c r="L590" s="117"/>
      <c r="M590" s="220" t="s">
        <v>1110</v>
      </c>
      <c r="N590" s="219" t="s">
        <v>77</v>
      </c>
      <c r="O590" s="416" cm="1">
        <f t="array" ref="O590">INDEX(O$292:O$584,MATCH($B590&amp;$D590,$B$292:$B$584&amp;$D$292:$D$584,0))/1000</f>
        <v>1.3354735422222219</v>
      </c>
      <c r="P590" s="416" cm="1">
        <f t="array" ref="P590">INDEX(P$292:P$584,MATCH($B590&amp;$D590,$B$292:$B$584&amp;$D$292:$D$584,0))/1000</f>
        <v>1.4286375088888887</v>
      </c>
      <c r="Q590" s="416" cm="1">
        <f t="array" ref="Q590">INDEX(Q$292:Q$584,MATCH($B590&amp;$D590,$B$292:$B$584&amp;$D$292:$D$584,0))/1000</f>
        <v>1.1513586511111111</v>
      </c>
      <c r="R590" s="416" cm="1">
        <f t="array" ref="R590">INDEX(R$292:R$584,MATCH($B590&amp;$D590,$B$292:$B$584&amp;$D$292:$D$584,0))/1000</f>
        <v>1.3461927044444446</v>
      </c>
      <c r="S590" s="416" cm="1">
        <f t="array" ref="S590">INDEX(S$292:S$584,MATCH($B590&amp;$D590,$B$292:$B$584&amp;$D$292:$D$584,0))/1000</f>
        <v>1.4154550755555555</v>
      </c>
      <c r="T590" s="416" cm="1">
        <f t="array" ref="T590">INDEX(T$292:T$584,MATCH($B590&amp;$D590,$B$292:$B$584&amp;$D$292:$D$584,0))/1000</f>
        <v>1.5229607555555558</v>
      </c>
      <c r="U590" s="416" cm="1">
        <f t="array" ref="U590">INDEX(U$292:U$584,MATCH($B590&amp;$D590,$B$292:$B$584&amp;$D$292:$D$584,0))/1000</f>
        <v>0.67337458777777781</v>
      </c>
      <c r="V590" s="416" cm="1">
        <f t="array" ref="V590">INDEX(V$292:V$584,MATCH($B590&amp;$D590,$B$292:$B$584&amp;$D$292:$D$584,0))/1000</f>
        <v>0.71477431777777767</v>
      </c>
      <c r="W590" s="416" cm="1">
        <f t="array" ref="W590">INDEX(W$292:W$584,MATCH($B590&amp;$D590,$B$292:$B$584&amp;$D$292:$D$584,0))/1000</f>
        <v>0.76504565888888898</v>
      </c>
      <c r="X590" s="416" cm="1">
        <f t="array" ref="X590">INDEX(X$292:X$584,MATCH($B590&amp;$D590,$B$292:$B$584&amp;$D$292:$D$584,0))/1000</f>
        <v>0.84892369215587549</v>
      </c>
      <c r="Y590" s="394"/>
      <c r="Z590" s="217"/>
      <c r="AA590" s="217"/>
      <c r="AB590" s="416" cm="1">
        <f t="array" ref="AB590">INDEX(AB$292:AB$584,MATCH($B590&amp;$D590,$B$292:$B$584&amp;$D$292:$D$584,0))</f>
        <v>959.44444444444446</v>
      </c>
      <c r="AC590" s="417" cm="1">
        <f t="array" ref="AC590">INDEX(AC$292:AC$584,MATCH($B590&amp;$D590,$B$292:$B$584&amp;$D$292:$D$584,0))</f>
        <v>808.33333333333326</v>
      </c>
      <c r="AD590" s="416" cm="1">
        <f t="array" ref="AD590">INDEX(AD$292:AD$584,MATCH($B590&amp;$D590,$B$292:$B$584&amp;$D$292:$D$584,0))</f>
        <v>969.03888888888889</v>
      </c>
      <c r="AE590" s="416" cm="1">
        <f t="array" ref="AE590">INDEX(AE$292:AE$584,MATCH($B590&amp;$D590,$B$292:$B$584&amp;$D$292:$D$584,0))</f>
        <v>980.66735555555579</v>
      </c>
      <c r="AF590" s="416" cm="1">
        <f t="array" ref="AF590">INDEX(AF$292:AF$584,MATCH($B590&amp;$D590,$B$292:$B$584&amp;$D$292:$D$584,0))</f>
        <v>995.37736588888902</v>
      </c>
      <c r="AG590" s="416" cm="1">
        <f t="array" ref="AG590">INDEX(AG$292:AG$584,MATCH($B590&amp;$D590,$B$292:$B$584&amp;$D$292:$D$584,0))</f>
        <v>1010.3080263772222</v>
      </c>
      <c r="AH590" s="416" cm="1">
        <f t="array" ref="AH590">INDEX(AH$292:AH$584,MATCH($B590&amp;$D590,$B$292:$B$584&amp;$D$292:$D$584,0))</f>
        <v>1025.4626467728804</v>
      </c>
      <c r="AI590" s="416" cm="1">
        <f t="array" ref="AI590">INDEX(AI$292:AI$584,MATCH($B590&amp;$D590,$B$292:$B$584&amp;$D$292:$D$584,0))</f>
        <v>1040.8445864744735</v>
      </c>
      <c r="AJ590" s="416" cm="1">
        <f t="array" ref="AJ590">INDEX(AJ$292:AJ$584,MATCH($B590&amp;$D590,$B$292:$B$584&amp;$D$292:$D$584,0))</f>
        <v>1056.4572552715906</v>
      </c>
      <c r="AK590" s="416" cm="1">
        <f t="array" ref="AK590">INDEX(AK$292:AK$584,MATCH($B590&amp;$D590,$B$292:$B$584&amp;$D$292:$D$584,0))</f>
        <v>1072.3041141006643</v>
      </c>
      <c r="AL590" s="416" cm="1">
        <f t="array" ref="AL590">INDEX(AL$292:AL$584,MATCH($B590&amp;$D590,$B$292:$B$584&amp;$D$292:$D$584,0))</f>
        <v>1088.3886758121741</v>
      </c>
      <c r="AM590" s="416" cm="1">
        <f t="array" ref="AM590">INDEX(AM$292:AM$584,MATCH($B590&amp;$D590,$B$292:$B$584&amp;$D$292:$D$584,0))</f>
        <v>1104.7145059493569</v>
      </c>
      <c r="AN590" s="416" cm="1">
        <f t="array" ref="AN590">INDEX(AN$292:AN$584,MATCH($B590&amp;$D590,$B$292:$B$584&amp;$D$292:$D$584,0))</f>
        <v>1121.2852235385969</v>
      </c>
      <c r="AO590" s="416" cm="1">
        <f t="array" ref="AO590">INDEX(AO$292:AO$584,MATCH($B590&amp;$D590,$B$292:$B$584&amp;$D$292:$D$584,0))</f>
        <v>1138.1045018916757</v>
      </c>
      <c r="AP590" s="416" cm="1">
        <f t="array" ref="AP590">INDEX(AP$292:AP$584,MATCH($B590&amp;$D590,$B$292:$B$584&amp;$D$292:$D$584,0))</f>
        <v>1155.1760694200509</v>
      </c>
      <c r="AQ590" s="416" cm="1">
        <f t="array" ref="AQ590">INDEX(AQ$292:AQ$584,MATCH($B590&amp;$D590,$B$292:$B$584&amp;$D$292:$D$584,0))</f>
        <v>1172.5037104613516</v>
      </c>
      <c r="AR590" s="416" cm="1">
        <f t="array" ref="AR590">INDEX(AR$292:AR$584,MATCH($B590&amp;$D590,$B$292:$B$584&amp;$D$292:$D$584,0))</f>
        <v>1190.0912661182717</v>
      </c>
      <c r="AS590" s="416" cm="1">
        <f t="array" ref="AS590">INDEX(AS$292:AS$584,MATCH($B590&amp;$D590,$B$292:$B$584&amp;$D$292:$D$584,0))</f>
        <v>1207.9426351100456</v>
      </c>
      <c r="AT590" s="416" cm="1">
        <f t="array" ref="AT590">INDEX(AT$292:AT$584,MATCH($B590&amp;$D590,$B$292:$B$584&amp;$D$292:$D$584,0))</f>
        <v>1226.0617746366961</v>
      </c>
      <c r="AU590" s="416" cm="1">
        <f t="array" ref="AU590">INDEX(AU$292:AU$584,MATCH($B590&amp;$D590,$B$292:$B$584&amp;$D$292:$D$584,0))</f>
        <v>1244.4527012562467</v>
      </c>
      <c r="AV590" s="416" cm="1">
        <f t="array" ref="AV590">INDEX(AV$292:AV$584,MATCH($B590&amp;$D590,$B$292:$B$584&amp;$D$292:$D$584,0))</f>
        <v>1263.1194917750904</v>
      </c>
      <c r="AW590" s="416" cm="1">
        <f t="array" ref="AW590">INDEX(AW$292:AW$584,MATCH($B590&amp;$D590,$B$292:$B$584&amp;$D$292:$D$584,0))</f>
        <v>1282.0662841517162</v>
      </c>
      <c r="AX590" s="416" cm="1">
        <f t="array" ref="AX590">INDEX(AX$292:AX$584,MATCH($B590&amp;$D590,$B$292:$B$584&amp;$D$292:$D$584,0))</f>
        <v>1301.297278413992</v>
      </c>
      <c r="AY590" s="416" cm="1">
        <f t="array" ref="AY590">INDEX(AY$292:AY$584,MATCH($B590&amp;$D590,$B$292:$B$584&amp;$D$292:$D$584,0))</f>
        <v>1320.8167375902017</v>
      </c>
      <c r="AZ590" s="416" cm="1">
        <f t="array" ref="AZ590">INDEX(AZ$292:AZ$584,MATCH($B590&amp;$D590,$B$292:$B$584&amp;$D$292:$D$584,0))</f>
        <v>1340.6289886540549</v>
      </c>
      <c r="BA590" s="416" cm="1">
        <f t="array" ref="BA590">INDEX(BA$292:BA$584,MATCH($B590&amp;$D590,$B$292:$B$584&amp;$D$292:$D$584,0))</f>
        <v>1360.7384234838655</v>
      </c>
      <c r="BB590" s="416" cm="1">
        <f t="array" ref="BB590">INDEX(BB$292:BB$584,MATCH($B590&amp;$D590,$B$292:$B$584&amp;$D$292:$D$584,0))</f>
        <v>1378.4280229891556</v>
      </c>
      <c r="BC590" s="416" cm="1">
        <f t="array" ref="BC590">INDEX(BC$292:BC$584,MATCH($B590&amp;$D590,$B$292:$B$584&amp;$D$292:$D$584,0))</f>
        <v>1394.9691592650256</v>
      </c>
      <c r="BD590" s="416" cm="1">
        <f t="array" ref="BD590">INDEX(BD$292:BD$584,MATCH($B590&amp;$D590,$B$292:$B$584&amp;$D$292:$D$584,0))</f>
        <v>1410.3138200169403</v>
      </c>
      <c r="BE590" s="416" cm="1">
        <f t="array" ref="BE590">INDEX(BE$292:BE$584,MATCH($B590&amp;$D590,$B$292:$B$584&amp;$D$292:$D$584,0))</f>
        <v>1424.4169582171098</v>
      </c>
      <c r="BF590" s="416" cm="1">
        <f t="array" ref="BF590">INDEX(BF$292:BF$584,MATCH($B590&amp;$D590,$B$292:$B$584&amp;$D$292:$D$584,0))</f>
        <v>1438.6611277992811</v>
      </c>
    </row>
    <row r="591" spans="1:58" x14ac:dyDescent="0.3">
      <c r="A591" s="224"/>
      <c r="B591" s="224" t="s">
        <v>1016</v>
      </c>
      <c r="C591" s="224"/>
      <c r="D591" s="224" t="s">
        <v>885</v>
      </c>
      <c r="E591" s="224"/>
      <c r="F591" s="224"/>
      <c r="G591" s="224"/>
      <c r="H591" s="224"/>
      <c r="I591" s="224"/>
      <c r="J591" s="224"/>
      <c r="K591" s="224"/>
      <c r="L591" s="117"/>
      <c r="M591" s="220" t="s">
        <v>1111</v>
      </c>
      <c r="N591" s="219" t="s">
        <v>77</v>
      </c>
      <c r="O591" s="416" cm="1">
        <f t="array" ref="O591">INDEX(O$292:O$584,MATCH($B591&amp;$D591,$B$292:$B$584&amp;$D$292:$D$584,0))/1000</f>
        <v>0.78324640861840777</v>
      </c>
      <c r="P591" s="416" cm="1">
        <f t="array" ref="P591">INDEX(P$292:P$584,MATCH($B591&amp;$D591,$B$292:$B$584&amp;$D$292:$D$584,0))/1000</f>
        <v>0.74465129186756052</v>
      </c>
      <c r="Q591" s="416" cm="1">
        <f t="array" ref="Q591">INDEX(Q$292:Q$584,MATCH($B591&amp;$D591,$B$292:$B$584&amp;$D$292:$D$584,0))/1000</f>
        <v>0.73793604546589608</v>
      </c>
      <c r="R591" s="416" cm="1">
        <f t="array" ref="R591">INDEX(R$292:R$584,MATCH($B591&amp;$D591,$B$292:$B$584&amp;$D$292:$D$584,0))/1000</f>
        <v>0.70954730704730695</v>
      </c>
      <c r="S591" s="416" cm="1">
        <f t="array" ref="S591">INDEX(S$292:S$584,MATCH($B591&amp;$D591,$B$292:$B$584&amp;$D$292:$D$584,0))/1000</f>
        <v>0.68999328355298495</v>
      </c>
      <c r="T591" s="416" cm="1">
        <f t="array" ref="T591">INDEX(T$292:T$584,MATCH($B591&amp;$D591,$B$292:$B$584&amp;$D$292:$D$584,0))/1000</f>
        <v>0.69382679471485442</v>
      </c>
      <c r="U591" s="416" cm="1">
        <f t="array" ref="U591">INDEX(U$292:U$584,MATCH($B591&amp;$D591,$B$292:$B$584&amp;$D$292:$D$584,0))/1000</f>
        <v>0.71728544257506677</v>
      </c>
      <c r="V591" s="416" cm="1">
        <f t="array" ref="V591">INDEX(V$292:V$584,MATCH($B591&amp;$D591,$B$292:$B$584&amp;$D$292:$D$584,0))/1000</f>
        <v>0.8417385782242226</v>
      </c>
      <c r="W591" s="416" cm="1">
        <f t="array" ref="W591">INDEX(W$292:W$584,MATCH($B591&amp;$D591,$B$292:$B$584&amp;$D$292:$D$584,0))/1000</f>
        <v>0.89550406330193943</v>
      </c>
      <c r="X591" s="416" cm="1">
        <f t="array" ref="X591">INDEX(X$292:X$584,MATCH($B591&amp;$D591,$B$292:$B$584&amp;$D$292:$D$584,0))/1000</f>
        <v>0.72166666666666668</v>
      </c>
      <c r="Y591" s="394"/>
      <c r="Z591" s="217"/>
      <c r="AA591" s="217"/>
      <c r="AB591" s="416" cm="1">
        <f t="array" ref="AB591">INDEX(AB$292:AB$584,MATCH($B591&amp;$D591,$B$292:$B$584&amp;$D$292:$D$584,0))</f>
        <v>732.77777777777771</v>
      </c>
      <c r="AC591" s="417" cm="1">
        <f t="array" ref="AC591">INDEX(AC$292:AC$584,MATCH($B591&amp;$D591,$B$292:$B$584&amp;$D$292:$D$584,0))</f>
        <v>679.72222222222217</v>
      </c>
      <c r="AD591" s="416" cm="1">
        <f t="array" ref="AD591">INDEX(AD$292:AD$584,MATCH($B591&amp;$D591,$B$292:$B$584&amp;$D$292:$D$584,0))</f>
        <v>740.10555555555561</v>
      </c>
      <c r="AE591" s="416" cm="1">
        <f t="array" ref="AE591">INDEX(AE$292:AE$584,MATCH($B591&amp;$D591,$B$292:$B$584&amp;$D$292:$D$584,0))</f>
        <v>748.98682222222203</v>
      </c>
      <c r="AF591" s="416" cm="1">
        <f t="array" ref="AF591">INDEX(AF$292:AF$584,MATCH($B591&amp;$D591,$B$292:$B$584&amp;$D$292:$D$584,0))</f>
        <v>760.22162455555542</v>
      </c>
      <c r="AG591" s="416" cm="1">
        <f t="array" ref="AG591">INDEX(AG$292:AG$584,MATCH($B591&amp;$D591,$B$292:$B$584&amp;$D$292:$D$584,0))</f>
        <v>771.62494892388872</v>
      </c>
      <c r="AH591" s="416" cm="1">
        <f t="array" ref="AH591">INDEX(AH$292:AH$584,MATCH($B591&amp;$D591,$B$292:$B$584&amp;$D$292:$D$584,0))</f>
        <v>783.1993231577469</v>
      </c>
      <c r="AI591" s="416" cm="1">
        <f t="array" ref="AI591">INDEX(AI$292:AI$584,MATCH($B591&amp;$D591,$B$292:$B$584&amp;$D$292:$D$584,0))</f>
        <v>794.94731300511307</v>
      </c>
      <c r="AJ591" s="416" cm="1">
        <f t="array" ref="AJ591">INDEX(AJ$292:AJ$584,MATCH($B591&amp;$D591,$B$292:$B$584&amp;$D$292:$D$584,0))</f>
        <v>806.87152270018976</v>
      </c>
      <c r="AK591" s="416" cm="1">
        <f t="array" ref="AK591">INDEX(AK$292:AK$584,MATCH($B591&amp;$D591,$B$292:$B$584&amp;$D$292:$D$584,0))</f>
        <v>818.97459554069235</v>
      </c>
      <c r="AL591" s="416" cm="1">
        <f t="array" ref="AL591">INDEX(AL$292:AL$584,MATCH($B591&amp;$D591,$B$292:$B$584&amp;$D$292:$D$584,0))</f>
        <v>831.25921447380279</v>
      </c>
      <c r="AM591" s="416" cm="1">
        <f t="array" ref="AM591">INDEX(AM$292:AM$584,MATCH($B591&amp;$D591,$B$292:$B$584&amp;$D$292:$D$584,0))</f>
        <v>843.72810269090962</v>
      </c>
      <c r="AN591" s="416" cm="1">
        <f t="array" ref="AN591">INDEX(AN$292:AN$584,MATCH($B591&amp;$D591,$B$292:$B$584&amp;$D$292:$D$584,0))</f>
        <v>856.3840242312732</v>
      </c>
      <c r="AO591" s="416" cm="1">
        <f t="array" ref="AO591">INDEX(AO$292:AO$584,MATCH($B591&amp;$D591,$B$292:$B$584&amp;$D$292:$D$584,0))</f>
        <v>869.22978459474234</v>
      </c>
      <c r="AP591" s="416" cm="1">
        <f t="array" ref="AP591">INDEX(AP$292:AP$584,MATCH($B591&amp;$D591,$B$292:$B$584&amp;$D$292:$D$584,0))</f>
        <v>882.26823136366329</v>
      </c>
      <c r="AQ591" s="416" cm="1">
        <f t="array" ref="AQ591">INDEX(AQ$292:AQ$584,MATCH($B591&amp;$D591,$B$292:$B$584&amp;$D$292:$D$584,0))</f>
        <v>895.50225483411828</v>
      </c>
      <c r="AR591" s="416" cm="1">
        <f t="array" ref="AR591">INDEX(AR$292:AR$584,MATCH($B591&amp;$D591,$B$292:$B$584&amp;$D$292:$D$584,0))</f>
        <v>908.93478865662985</v>
      </c>
      <c r="AS591" s="416" cm="1">
        <f t="array" ref="AS591">INDEX(AS$292:AS$584,MATCH($B591&amp;$D591,$B$292:$B$584&amp;$D$292:$D$584,0))</f>
        <v>922.56881048647926</v>
      </c>
      <c r="AT591" s="416" cm="1">
        <f t="array" ref="AT591">INDEX(AT$292:AT$584,MATCH($B591&amp;$D591,$B$292:$B$584&amp;$D$292:$D$584,0))</f>
        <v>936.40734264377636</v>
      </c>
      <c r="AU591" s="416" cm="1">
        <f t="array" ref="AU591">INDEX(AU$292:AU$584,MATCH($B591&amp;$D591,$B$292:$B$584&amp;$D$292:$D$584,0))</f>
        <v>950.45345278343291</v>
      </c>
      <c r="AV591" s="416" cm="1">
        <f t="array" ref="AV591">INDEX(AV$292:AV$584,MATCH($B591&amp;$D591,$B$292:$B$584&amp;$D$292:$D$584,0))</f>
        <v>964.71025457518419</v>
      </c>
      <c r="AW591" s="416" cm="1">
        <f t="array" ref="AW591">INDEX(AW$292:AW$584,MATCH($B591&amp;$D591,$B$292:$B$584&amp;$D$292:$D$584,0))</f>
        <v>979.18090839381193</v>
      </c>
      <c r="AX591" s="416" cm="1">
        <f t="array" ref="AX591">INDEX(AX$292:AX$584,MATCH($B591&amp;$D591,$B$292:$B$584&amp;$D$292:$D$584,0))</f>
        <v>993.86862201971894</v>
      </c>
      <c r="AY591" s="416" cm="1">
        <f t="array" ref="AY591">INDEX(AY$292:AY$584,MATCH($B591&amp;$D591,$B$292:$B$584&amp;$D$292:$D$584,0))</f>
        <v>1008.7766513500146</v>
      </c>
      <c r="AZ591" s="416" cm="1">
        <f t="array" ref="AZ591">INDEX(AZ$292:AZ$584,MATCH($B591&amp;$D591,$B$292:$B$584&amp;$D$292:$D$584,0))</f>
        <v>1023.9083011202646</v>
      </c>
      <c r="BA591" s="416" cm="1">
        <f t="array" ref="BA591">INDEX(BA$292:BA$584,MATCH($B591&amp;$D591,$B$292:$B$584&amp;$D$292:$D$584,0))</f>
        <v>1039.2669256370687</v>
      </c>
      <c r="BB591" s="416" cm="1">
        <f t="array" ref="BB591">INDEX(BB$292:BB$584,MATCH($B591&amp;$D591,$B$292:$B$584&amp;$D$292:$D$584,0))</f>
        <v>1052.7773956703502</v>
      </c>
      <c r="BC591" s="416" cm="1">
        <f t="array" ref="BC591">INDEX(BC$292:BC$584,MATCH($B591&amp;$D591,$B$292:$B$584&amp;$D$292:$D$584,0))</f>
        <v>1065.4107244183945</v>
      </c>
      <c r="BD591" s="416" cm="1">
        <f t="array" ref="BD591">INDEX(BD$292:BD$584,MATCH($B591&amp;$D591,$B$292:$B$584&amp;$D$292:$D$584,0))</f>
        <v>1077.1302423869965</v>
      </c>
      <c r="BE591" s="416" cm="1">
        <f t="array" ref="BE591">INDEX(BE$292:BE$584,MATCH($B591&amp;$D591,$B$292:$B$584&amp;$D$292:$D$584,0))</f>
        <v>1087.9015448108667</v>
      </c>
      <c r="BF591" s="416" cm="1">
        <f t="array" ref="BF591">INDEX(BF$292:BF$584,MATCH($B591&amp;$D591,$B$292:$B$584&amp;$D$292:$D$584,0))</f>
        <v>1098.7805602589751</v>
      </c>
    </row>
    <row r="592" spans="1:58" x14ac:dyDescent="0.3">
      <c r="A592" s="224"/>
      <c r="B592" s="224" t="s">
        <v>1025</v>
      </c>
      <c r="C592" s="224"/>
      <c r="D592" s="224" t="s">
        <v>885</v>
      </c>
      <c r="E592" s="224"/>
      <c r="F592" s="224"/>
      <c r="G592" s="224"/>
      <c r="H592" s="224"/>
      <c r="I592" s="224"/>
      <c r="J592" s="224"/>
      <c r="K592" s="224"/>
      <c r="L592" s="117"/>
      <c r="M592" s="220" t="s">
        <v>1112</v>
      </c>
      <c r="N592" s="219" t="s">
        <v>77</v>
      </c>
      <c r="O592" s="416" cm="1">
        <f t="array" ref="O592">INDEX(O$292:O$584,MATCH($B592&amp;$D592,$B$292:$B$584&amp;$D$292:$D$584,0))/1000</f>
        <v>0.57983187755233334</v>
      </c>
      <c r="P592" s="416" cm="1">
        <f t="array" ref="P592">INDEX(P$292:P$584,MATCH($B592&amp;$D592,$B$292:$B$584&amp;$D$292:$D$584,0))/1000</f>
        <v>0.47425939311747978</v>
      </c>
      <c r="Q592" s="416" cm="1">
        <f t="array" ref="Q592">INDEX(Q$292:Q$584,MATCH($B592&amp;$D592,$B$292:$B$584&amp;$D$292:$D$584,0))/1000</f>
        <v>0.54127041032155832</v>
      </c>
      <c r="R592" s="416" cm="1">
        <f t="array" ref="R592">INDEX(R$292:R$584,MATCH($B592&amp;$D592,$B$292:$B$584&amp;$D$292:$D$584,0))/1000</f>
        <v>0.8672786458905648</v>
      </c>
      <c r="S592" s="416" cm="1">
        <f t="array" ref="S592">INDEX(S$292:S$584,MATCH($B592&amp;$D592,$B$292:$B$584&amp;$D$292:$D$584,0))/1000</f>
        <v>0.35582125012903848</v>
      </c>
      <c r="T592" s="416" cm="1">
        <f t="array" ref="T592">INDEX(T$292:T$584,MATCH($B592&amp;$D592,$B$292:$B$584&amp;$D$292:$D$584,0))/1000</f>
        <v>0.4897956811090351</v>
      </c>
      <c r="U592" s="416" cm="1">
        <f t="array" ref="U592">INDEX(U$292:U$584,MATCH($B592&amp;$D592,$B$292:$B$584&amp;$D$292:$D$584,0))/1000</f>
        <v>0.44026485004845167</v>
      </c>
      <c r="V592" s="416" cm="1">
        <f t="array" ref="V592">INDEX(V$292:V$584,MATCH($B592&amp;$D592,$B$292:$B$584&amp;$D$292:$D$584,0))/1000</f>
        <v>0.42251530479269922</v>
      </c>
      <c r="W592" s="416" cm="1">
        <f t="array" ref="W592">INDEX(W$292:W$584,MATCH($B592&amp;$D592,$B$292:$B$584&amp;$D$292:$D$584,0))/1000</f>
        <v>0.3869035003399684</v>
      </c>
      <c r="X592" s="416" cm="1">
        <f t="array" ref="X592">INDEX(X$292:X$584,MATCH($B592&amp;$D592,$B$292:$B$584&amp;$D$292:$D$584,0))/1000</f>
        <v>0.40328218318031755</v>
      </c>
      <c r="Y592" s="394"/>
      <c r="Z592" s="217"/>
      <c r="AA592" s="217"/>
      <c r="AB592" s="416" cm="1">
        <f t="array" ref="AB592">INDEX(AB$292:AB$584,MATCH($B592&amp;$D592,$B$292:$B$584&amp;$D$292:$D$584,0))</f>
        <v>375.55555555555554</v>
      </c>
      <c r="AC592" s="417" cm="1">
        <f t="array" ref="AC592">INDEX(AC$292:AC$584,MATCH($B592&amp;$D592,$B$292:$B$584&amp;$D$292:$D$584,0))</f>
        <v>424.16666666666663</v>
      </c>
      <c r="AD592" s="416" cm="1">
        <f t="array" ref="AD592">INDEX(AD$292:AD$584,MATCH($B592&amp;$D592,$B$292:$B$584&amp;$D$292:$D$584,0))</f>
        <v>379.31111111111107</v>
      </c>
      <c r="AE592" s="416" cm="1">
        <f t="array" ref="AE592">INDEX(AE$292:AE$584,MATCH($B592&amp;$D592,$B$292:$B$584&amp;$D$292:$D$584,0))</f>
        <v>383.86284444444442</v>
      </c>
      <c r="AF592" s="416" cm="1">
        <f t="array" ref="AF592">INDEX(AF$292:AF$584,MATCH($B592&amp;$D592,$B$292:$B$584&amp;$D$292:$D$584,0))</f>
        <v>389.62078711111099</v>
      </c>
      <c r="AG592" s="416" cm="1">
        <f t="array" ref="AG592">INDEX(AG$292:AG$584,MATCH($B592&amp;$D592,$B$292:$B$584&amp;$D$292:$D$584,0))</f>
        <v>395.46509891777765</v>
      </c>
      <c r="AH592" s="416" cm="1">
        <f t="array" ref="AH592">INDEX(AH$292:AH$584,MATCH($B592&amp;$D592,$B$292:$B$584&amp;$D$292:$D$584,0))</f>
        <v>401.39707540154421</v>
      </c>
      <c r="AI592" s="416" cm="1">
        <f t="array" ref="AI592">INDEX(AI$292:AI$584,MATCH($B592&amp;$D592,$B$292:$B$584&amp;$D$292:$D$584,0))</f>
        <v>407.41803153256734</v>
      </c>
      <c r="AJ592" s="416" cm="1">
        <f t="array" ref="AJ592">INDEX(AJ$292:AJ$584,MATCH($B592&amp;$D592,$B$292:$B$584&amp;$D$292:$D$584,0))</f>
        <v>413.52930200555579</v>
      </c>
      <c r="AK592" s="416" cm="1">
        <f t="array" ref="AK592">INDEX(AK$292:AK$584,MATCH($B592&amp;$D592,$B$292:$B$584&amp;$D$292:$D$584,0))</f>
        <v>419.73224153563905</v>
      </c>
      <c r="AL592" s="416" cm="1">
        <f t="array" ref="AL592">INDEX(AL$292:AL$584,MATCH($B592&amp;$D592,$B$292:$B$584&amp;$D$292:$D$584,0))</f>
        <v>426.02822515867365</v>
      </c>
      <c r="AM592" s="416" cm="1">
        <f t="array" ref="AM592">INDEX(AM$292:AM$584,MATCH($B592&amp;$D592,$B$292:$B$584&amp;$D$292:$D$584,0))</f>
        <v>432.41864853605369</v>
      </c>
      <c r="AN592" s="416" cm="1">
        <f t="array" ref="AN592">INDEX(AN$292:AN$584,MATCH($B592&amp;$D592,$B$292:$B$584&amp;$D$292:$D$584,0))</f>
        <v>438.90492826409445</v>
      </c>
      <c r="AO592" s="416" cm="1">
        <f t="array" ref="AO592">INDEX(AO$292:AO$584,MATCH($B592&amp;$D592,$B$292:$B$584&amp;$D$292:$D$584,0))</f>
        <v>445.48850218805586</v>
      </c>
      <c r="AP592" s="416" cm="1">
        <f t="array" ref="AP592">INDEX(AP$292:AP$584,MATCH($B592&amp;$D592,$B$292:$B$584&amp;$D$292:$D$584,0))</f>
        <v>452.17082972087661</v>
      </c>
      <c r="AQ592" s="416" cm="1">
        <f t="array" ref="AQ592">INDEX(AQ$292:AQ$584,MATCH($B592&amp;$D592,$B$292:$B$584&amp;$D$292:$D$584,0))</f>
        <v>458.95339216668981</v>
      </c>
      <c r="AR592" s="416" cm="1">
        <f t="array" ref="AR592">INDEX(AR$292:AR$584,MATCH($B592&amp;$D592,$B$292:$B$584&amp;$D$292:$D$584,0))</f>
        <v>465.83769304919008</v>
      </c>
      <c r="AS592" s="416" cm="1">
        <f t="array" ref="AS592">INDEX(AS$292:AS$584,MATCH($B592&amp;$D592,$B$292:$B$584&amp;$D$292:$D$584,0))</f>
        <v>472.8252584449279</v>
      </c>
      <c r="AT592" s="416" cm="1">
        <f t="array" ref="AT592">INDEX(AT$292:AT$584,MATCH($B592&amp;$D592,$B$292:$B$584&amp;$D$292:$D$584,0))</f>
        <v>479.91763732160177</v>
      </c>
      <c r="AU592" s="416" cm="1">
        <f t="array" ref="AU592">INDEX(AU$292:AU$584,MATCH($B592&amp;$D592,$B$292:$B$584&amp;$D$292:$D$584,0))</f>
        <v>487.11640188142576</v>
      </c>
      <c r="AV592" s="416" cm="1">
        <f t="array" ref="AV592">INDEX(AV$292:AV$584,MATCH($B592&amp;$D592,$B$292:$B$584&amp;$D$292:$D$584,0))</f>
        <v>494.42314790964701</v>
      </c>
      <c r="AW592" s="416" cm="1">
        <f t="array" ref="AW592">INDEX(AW$292:AW$584,MATCH($B592&amp;$D592,$B$292:$B$584&amp;$D$292:$D$584,0))</f>
        <v>501.83949512829179</v>
      </c>
      <c r="AX592" s="416" cm="1">
        <f t="array" ref="AX592">INDEX(AX$292:AX$584,MATCH($B592&amp;$D592,$B$292:$B$584&amp;$D$292:$D$584,0))</f>
        <v>509.36708755521607</v>
      </c>
      <c r="AY592" s="416" cm="1">
        <f t="array" ref="AY592">INDEX(AY$292:AY$584,MATCH($B592&amp;$D592,$B$292:$B$584&amp;$D$292:$D$584,0))</f>
        <v>517.00759386854418</v>
      </c>
      <c r="AZ592" s="416" cm="1">
        <f t="array" ref="AZ592">INDEX(AZ$292:AZ$584,MATCH($B592&amp;$D592,$B$292:$B$584&amp;$D$292:$D$584,0))</f>
        <v>524.76270777657226</v>
      </c>
      <c r="BA592" s="416" cm="1">
        <f t="array" ref="BA592">INDEX(BA$292:BA$584,MATCH($B592&amp;$D592,$B$292:$B$584&amp;$D$292:$D$584,0))</f>
        <v>532.63414839322081</v>
      </c>
      <c r="BB592" s="416" cm="1">
        <f t="array" ref="BB592">INDEX(BB$292:BB$584,MATCH($B592&amp;$D592,$B$292:$B$584&amp;$D$292:$D$584,0))</f>
        <v>539.55839232233257</v>
      </c>
      <c r="BC592" s="416" cm="1">
        <f t="array" ref="BC592">INDEX(BC$292:BC$584,MATCH($B592&amp;$D592,$B$292:$B$584&amp;$D$292:$D$584,0))</f>
        <v>546.03309303020058</v>
      </c>
      <c r="BD592" s="416" cm="1">
        <f t="array" ref="BD592">INDEX(BD$292:BD$584,MATCH($B592&amp;$D592,$B$292:$B$584&amp;$D$292:$D$584,0))</f>
        <v>552.03945705353283</v>
      </c>
      <c r="BE592" s="416" cm="1">
        <f t="array" ref="BE592">INDEX(BE$292:BE$584,MATCH($B592&amp;$D592,$B$292:$B$584&amp;$D$292:$D$584,0))</f>
        <v>557.55985162406807</v>
      </c>
      <c r="BF592" s="416" cm="1">
        <f t="array" ref="BF592">INDEX(BF$292:BF$584,MATCH($B592&amp;$D592,$B$292:$B$584&amp;$D$292:$D$584,0))</f>
        <v>563.13545014030876</v>
      </c>
    </row>
    <row r="593" spans="1:58" x14ac:dyDescent="0.3">
      <c r="A593" s="224"/>
      <c r="B593" s="224" t="s">
        <v>1034</v>
      </c>
      <c r="C593" s="224"/>
      <c r="D593" s="224" t="s">
        <v>885</v>
      </c>
      <c r="E593" s="224"/>
      <c r="F593" s="224"/>
      <c r="G593" s="224"/>
      <c r="H593" s="224"/>
      <c r="I593" s="224"/>
      <c r="J593" s="224"/>
      <c r="K593" s="224"/>
      <c r="L593" s="117"/>
      <c r="M593" s="220" t="s">
        <v>1113</v>
      </c>
      <c r="N593" s="219" t="s">
        <v>77</v>
      </c>
      <c r="O593" s="416" cm="1">
        <f t="array" ref="O593">INDEX(O$292:O$584,MATCH($B593&amp;$D593,$B$292:$B$584&amp;$D$292:$D$584,0))/1000</f>
        <v>1.3216666666666668</v>
      </c>
      <c r="P593" s="416" cm="1">
        <f t="array" ref="P593">INDEX(P$292:P$584,MATCH($B593&amp;$D593,$B$292:$B$584&amp;$D$292:$D$584,0))/1000</f>
        <v>1.4894444444444441</v>
      </c>
      <c r="Q593" s="416" cm="1">
        <f t="array" ref="Q593">INDEX(Q$292:Q$584,MATCH($B593&amp;$D593,$B$292:$B$584&amp;$D$292:$D$584,0))/1000</f>
        <v>1.3580555555555556</v>
      </c>
      <c r="R593" s="416" cm="1">
        <f t="array" ref="R593">INDEX(R$292:R$584,MATCH($B593&amp;$D593,$B$292:$B$584&amp;$D$292:$D$584,0))/1000</f>
        <v>1.923888888888889</v>
      </c>
      <c r="S593" s="416" cm="1">
        <f t="array" ref="S593">INDEX(S$292:S$584,MATCH($B593&amp;$D593,$B$292:$B$584&amp;$D$292:$D$584,0))/1000</f>
        <v>1.5041666666666667</v>
      </c>
      <c r="T593" s="416" cm="1">
        <f t="array" ref="T593">INDEX(T$292:T$584,MATCH($B593&amp;$D593,$B$292:$B$584&amp;$D$292:$D$584,0))/1000</f>
        <v>0.98805555555555558</v>
      </c>
      <c r="U593" s="416" cm="1">
        <f t="array" ref="U593">INDEX(U$292:U$584,MATCH($B593&amp;$D593,$B$292:$B$584&amp;$D$292:$D$584,0))/1000</f>
        <v>0.86333333333333329</v>
      </c>
      <c r="V593" s="416" cm="1">
        <f t="array" ref="V593">INDEX(V$292:V$584,MATCH($B593&amp;$D593,$B$292:$B$584&amp;$D$292:$D$584,0))/1000</f>
        <v>1.1124999999999998</v>
      </c>
      <c r="W593" s="416" cm="1">
        <f t="array" ref="W593">INDEX(W$292:W$584,MATCH($B593&amp;$D593,$B$292:$B$584&amp;$D$292:$D$584,0))/1000</f>
        <v>1.2461111111111112</v>
      </c>
      <c r="X593" s="416" cm="1">
        <f t="array" ref="X593">INDEX(X$292:X$584,MATCH($B593&amp;$D593,$B$292:$B$584&amp;$D$292:$D$584,0))/1000</f>
        <v>1.1216666666666666</v>
      </c>
      <c r="Y593" s="394"/>
      <c r="Z593" s="217"/>
      <c r="AA593" s="217"/>
      <c r="AB593" s="416" cm="1">
        <f t="array" ref="AB593">INDEX(AB$292:AB$584,MATCH($B593&amp;$D593,$B$292:$B$584&amp;$D$292:$D$584,0))</f>
        <v>392.22222222222223</v>
      </c>
      <c r="AC593" s="417" cm="1">
        <f t="array" ref="AC593">INDEX(AC$292:AC$584,MATCH($B593&amp;$D593,$B$292:$B$584&amp;$D$292:$D$584,0))</f>
        <v>367.5</v>
      </c>
      <c r="AD593" s="416" cm="1">
        <f t="array" ref="AD593">INDEX(AD$292:AD$584,MATCH($B593&amp;$D593,$B$292:$B$584&amp;$D$292:$D$584,0))</f>
        <v>396.14444444444439</v>
      </c>
      <c r="AE593" s="416" cm="1">
        <f t="array" ref="AE593">INDEX(AE$292:AE$584,MATCH($B593&amp;$D593,$B$292:$B$584&amp;$D$292:$D$584,0))</f>
        <v>400.89817777777773</v>
      </c>
      <c r="AF593" s="416" cm="1">
        <f t="array" ref="AF593">INDEX(AF$292:AF$584,MATCH($B593&amp;$D593,$B$292:$B$584&amp;$D$292:$D$584,0))</f>
        <v>406.91165044444438</v>
      </c>
      <c r="AG593" s="416" cm="1">
        <f t="array" ref="AG593">INDEX(AG$292:AG$584,MATCH($B593&amp;$D593,$B$292:$B$584&amp;$D$292:$D$584,0))</f>
        <v>413.01532520111095</v>
      </c>
      <c r="AH593" s="416" cm="1">
        <f t="array" ref="AH593">INDEX(AH$292:AH$584,MATCH($B593&amp;$D593,$B$292:$B$584&amp;$D$292:$D$584,0))</f>
        <v>419.21055507912757</v>
      </c>
      <c r="AI593" s="416" cm="1">
        <f t="array" ref="AI593">INDEX(AI$292:AI$584,MATCH($B593&amp;$D593,$B$292:$B$584&amp;$D$292:$D$584,0))</f>
        <v>425.4987134053145</v>
      </c>
      <c r="AJ593" s="416" cm="1">
        <f t="array" ref="AJ593">INDEX(AJ$292:AJ$584,MATCH($B593&amp;$D593,$B$292:$B$584&amp;$D$292:$D$584,0))</f>
        <v>431.88119410639416</v>
      </c>
      <c r="AK593" s="416" cm="1">
        <f t="array" ref="AK593">INDEX(AK$292:AK$584,MATCH($B593&amp;$D593,$B$292:$B$584&amp;$D$292:$D$584,0))</f>
        <v>438.35941201799</v>
      </c>
      <c r="AL593" s="416" cm="1">
        <f t="array" ref="AL593">INDEX(AL$292:AL$584,MATCH($B593&amp;$D593,$B$292:$B$584&amp;$D$292:$D$584,0))</f>
        <v>444.93480319825983</v>
      </c>
      <c r="AM593" s="416" cm="1">
        <f t="array" ref="AM593">INDEX(AM$292:AM$584,MATCH($B593&amp;$D593,$B$292:$B$584&amp;$D$292:$D$584,0))</f>
        <v>451.60882524623372</v>
      </c>
      <c r="AN593" s="416" cm="1">
        <f t="array" ref="AN593">INDEX(AN$292:AN$584,MATCH($B593&amp;$D593,$B$292:$B$584&amp;$D$292:$D$584,0))</f>
        <v>458.38295762492714</v>
      </c>
      <c r="AO593" s="416" cm="1">
        <f t="array" ref="AO593">INDEX(AO$292:AO$584,MATCH($B593&amp;$D593,$B$292:$B$584&amp;$D$292:$D$584,0))</f>
        <v>465.25870198930096</v>
      </c>
      <c r="AP593" s="416" cm="1">
        <f t="array" ref="AP593">INDEX(AP$292:AP$584,MATCH($B593&amp;$D593,$B$292:$B$584&amp;$D$292:$D$584,0))</f>
        <v>472.23758251914046</v>
      </c>
      <c r="AQ593" s="416" cm="1">
        <f t="array" ref="AQ593">INDEX(AQ$292:AQ$584,MATCH($B593&amp;$D593,$B$292:$B$584&amp;$D$292:$D$584,0))</f>
        <v>479.32114625692748</v>
      </c>
      <c r="AR593" s="416" cm="1">
        <f t="array" ref="AR593">INDEX(AR$292:AR$584,MATCH($B593&amp;$D593,$B$292:$B$584&amp;$D$292:$D$584,0))</f>
        <v>486.51096345078139</v>
      </c>
      <c r="AS593" s="416" cm="1">
        <f t="array" ref="AS593">INDEX(AS$292:AS$584,MATCH($B593&amp;$D593,$B$292:$B$584&amp;$D$292:$D$584,0))</f>
        <v>493.80862790254309</v>
      </c>
      <c r="AT593" s="416" cm="1">
        <f t="array" ref="AT593">INDEX(AT$292:AT$584,MATCH($B593&amp;$D593,$B$292:$B$584&amp;$D$292:$D$584,0))</f>
        <v>501.21575732108124</v>
      </c>
      <c r="AU593" s="416" cm="1">
        <f t="array" ref="AU593">INDEX(AU$292:AU$584,MATCH($B593&amp;$D593,$B$292:$B$584&amp;$D$292:$D$584,0))</f>
        <v>508.73399368089747</v>
      </c>
      <c r="AV593" s="416" cm="1">
        <f t="array" ref="AV593">INDEX(AV$292:AV$584,MATCH($B593&amp;$D593,$B$292:$B$584&amp;$D$292:$D$584,0))</f>
        <v>516.36500358611079</v>
      </c>
      <c r="AW593" s="416" cm="1">
        <f t="array" ref="AW593">INDEX(AW$292:AW$584,MATCH($B593&amp;$D593,$B$292:$B$584&amp;$D$292:$D$584,0))</f>
        <v>524.11047863990234</v>
      </c>
      <c r="AX593" s="416" cm="1">
        <f t="array" ref="AX593">INDEX(AX$292:AX$584,MATCH($B593&amp;$D593,$B$292:$B$584&amp;$D$292:$D$584,0))</f>
        <v>531.97213581950098</v>
      </c>
      <c r="AY593" s="416" cm="1">
        <f t="array" ref="AY593">INDEX(AY$292:AY$584,MATCH($B593&amp;$D593,$B$292:$B$584&amp;$D$292:$D$584,0))</f>
        <v>539.95171785679327</v>
      </c>
      <c r="AZ593" s="416" cm="1">
        <f t="array" ref="AZ593">INDEX(AZ$292:AZ$584,MATCH($B593&amp;$D593,$B$292:$B$584&amp;$D$292:$D$584,0))</f>
        <v>548.05099362464512</v>
      </c>
      <c r="BA593" s="416" cm="1">
        <f t="array" ref="BA593">INDEX(BA$292:BA$584,MATCH($B593&amp;$D593,$B$292:$B$584&amp;$D$292:$D$584,0))</f>
        <v>556.27175852901473</v>
      </c>
      <c r="BB593" s="416" cm="1">
        <f t="array" ref="BB593">INDEX(BB$292:BB$584,MATCH($B593&amp;$D593,$B$292:$B$584&amp;$D$292:$D$584,0))</f>
        <v>563.50329138989184</v>
      </c>
      <c r="BC593" s="416" cm="1">
        <f t="array" ref="BC593">INDEX(BC$292:BC$584,MATCH($B593&amp;$D593,$B$292:$B$584&amp;$D$292:$D$584,0))</f>
        <v>570.26533088657061</v>
      </c>
      <c r="BD593" s="416" cm="1">
        <f t="array" ref="BD593">INDEX(BD$292:BD$584,MATCH($B593&amp;$D593,$B$292:$B$584&amp;$D$292:$D$584,0))</f>
        <v>576.53824952632283</v>
      </c>
      <c r="BE593" s="416" cm="1">
        <f t="array" ref="BE593">INDEX(BE$292:BE$584,MATCH($B593&amp;$D593,$B$292:$B$584&amp;$D$292:$D$584,0))</f>
        <v>582.30363202158605</v>
      </c>
      <c r="BF593" s="416" cm="1">
        <f t="array" ref="BF593">INDEX(BF$292:BF$584,MATCH($B593&amp;$D593,$B$292:$B$584&amp;$D$292:$D$584,0))</f>
        <v>588.12666834180197</v>
      </c>
    </row>
    <row r="594" spans="1:58" x14ac:dyDescent="0.3">
      <c r="A594" s="224"/>
      <c r="B594" s="224" t="s">
        <v>1105</v>
      </c>
      <c r="C594" s="224"/>
      <c r="D594" s="224" t="s">
        <v>885</v>
      </c>
      <c r="E594" s="224"/>
      <c r="F594" s="224"/>
      <c r="G594" s="224"/>
      <c r="H594" s="224"/>
      <c r="I594" s="224"/>
      <c r="J594" s="224"/>
      <c r="K594" s="224"/>
      <c r="L594" s="117"/>
      <c r="M594" s="221" t="s">
        <v>1114</v>
      </c>
      <c r="N594" s="219" t="s">
        <v>77</v>
      </c>
      <c r="O594" s="416" cm="1">
        <f t="array" ref="O594">INDEX(O$292:O$584,MATCH($B594&amp;$D594,$B$292:$B$584&amp;$D$292:$D$584,0))/1000</f>
        <v>0.95984805555555552</v>
      </c>
      <c r="P594" s="416" cm="1">
        <f t="array" ref="P594">INDEX(P$292:P$584,MATCH($B594&amp;$D594,$B$292:$B$584&amp;$D$292:$D$584,0))/1000</f>
        <v>1.2389910694444446</v>
      </c>
      <c r="Q594" s="416" cm="1">
        <f t="array" ref="Q594">INDEX(Q$292:Q$584,MATCH($B594&amp;$D594,$B$292:$B$584&amp;$D$292:$D$584,0))/1000</f>
        <v>1.215182361111111</v>
      </c>
      <c r="R594" s="416" cm="1">
        <f t="array" ref="R594">INDEX(R$292:R$584,MATCH($B594&amp;$D594,$B$292:$B$584&amp;$D$292:$D$584,0))/1000</f>
        <v>1.1680972222222223</v>
      </c>
      <c r="S594" s="416" cm="1">
        <f t="array" ref="S594">INDEX(S$292:S$584,MATCH($B594&amp;$D594,$B$292:$B$584&amp;$D$292:$D$584,0))/1000</f>
        <v>1.2204499999999998</v>
      </c>
      <c r="T594" s="416" cm="1">
        <f t="array" ref="T594">INDEX(T$292:T$584,MATCH($B594&amp;$D594,$B$292:$B$584&amp;$D$292:$D$584,0))/1000</f>
        <v>0.59698194444444441</v>
      </c>
      <c r="U594" s="416" cm="1">
        <f t="array" ref="U594">INDEX(U$292:U$584,MATCH($B594&amp;$D594,$B$292:$B$584&amp;$D$292:$D$584,0))/1000</f>
        <v>0.51350472222222221</v>
      </c>
      <c r="V594" s="416" cm="1">
        <f t="array" ref="V594">INDEX(V$292:V$584,MATCH($B594&amp;$D594,$B$292:$B$584&amp;$D$292:$D$584,0))/1000</f>
        <v>0.91704191581111127</v>
      </c>
      <c r="W594" s="416" cm="1">
        <f t="array" ref="W594">INDEX(W$292:W$584,MATCH($B594&amp;$D594,$B$292:$B$584&amp;$D$292:$D$584,0))/1000</f>
        <v>1.0063666116444445</v>
      </c>
      <c r="X594" s="416" cm="1">
        <f t="array" ref="X594">INDEX(X$292:X$584,MATCH($B594&amp;$D594,$B$292:$B$584&amp;$D$292:$D$584,0))/1000</f>
        <v>0.94337129181111101</v>
      </c>
      <c r="Y594" s="394"/>
      <c r="Z594" s="217"/>
      <c r="AA594" s="217"/>
      <c r="AB594" s="416" cm="1">
        <f t="array" ref="AB594">INDEX(AB$292:AB$584,MATCH($B594&amp;$D594,$B$292:$B$584&amp;$D$292:$D$584,0))</f>
        <v>85.152287333333334</v>
      </c>
      <c r="AC594" s="417" cm="1">
        <f t="array" ref="AC594">INDEX(AC$292:AC$584,MATCH($B594&amp;$D594,$B$292:$B$584&amp;$D$292:$D$584,0))</f>
        <v>30.956831999999999</v>
      </c>
      <c r="AD594" s="90"/>
      <c r="AE594" s="90"/>
      <c r="AF594" s="90"/>
      <c r="AG594" s="90"/>
      <c r="AH594" s="90"/>
      <c r="AI594" s="90"/>
      <c r="AJ594" s="90"/>
      <c r="AK594" s="90"/>
      <c r="AL594" s="90"/>
      <c r="AM594" s="90"/>
      <c r="AN594" s="90"/>
      <c r="AO594" s="90"/>
      <c r="AP594" s="90"/>
      <c r="AQ594" s="90"/>
      <c r="AR594" s="90"/>
      <c r="AS594" s="90"/>
      <c r="AT594" s="90"/>
      <c r="AU594" s="90"/>
      <c r="AV594" s="90"/>
      <c r="AW594" s="90"/>
      <c r="AX594" s="90"/>
      <c r="AY594" s="90"/>
      <c r="AZ594" s="90"/>
      <c r="BA594" s="90"/>
      <c r="BB594" s="90"/>
      <c r="BC594" s="90"/>
      <c r="BD594" s="90"/>
      <c r="BE594" s="90"/>
      <c r="BF594" s="90"/>
    </row>
    <row r="595" spans="1:58" x14ac:dyDescent="0.3">
      <c r="A595" s="224"/>
      <c r="B595" s="224" t="s">
        <v>1043</v>
      </c>
      <c r="C595" s="224"/>
      <c r="D595" s="224" t="s">
        <v>885</v>
      </c>
      <c r="E595" s="224"/>
      <c r="F595" s="224"/>
      <c r="G595" s="224"/>
      <c r="H595" s="224"/>
      <c r="I595" s="224"/>
      <c r="J595" s="224"/>
      <c r="K595" s="224"/>
      <c r="L595" s="117"/>
      <c r="M595" s="220" t="s">
        <v>1115</v>
      </c>
      <c r="N595" s="219" t="s">
        <v>77</v>
      </c>
      <c r="O595" s="416" cm="1">
        <f t="array" ref="O595">INDEX(O$292:O$584,MATCH($B595&amp;$D595,$B$292:$B$584&amp;$D$292:$D$584,0))/1000</f>
        <v>4.7222222222222214E-3</v>
      </c>
      <c r="P595" s="416" cm="1">
        <f t="array" ref="P595">INDEX(P$292:P$584,MATCH($B595&amp;$D595,$B$292:$B$584&amp;$D$292:$D$584,0))/1000</f>
        <v>4.7222222222222223E-3</v>
      </c>
      <c r="Q595" s="416" cm="1">
        <f t="array" ref="Q595">INDEX(Q$292:Q$584,MATCH($B595&amp;$D595,$B$292:$B$584&amp;$D$292:$D$584,0))/1000</f>
        <v>2.2222222222222222E-3</v>
      </c>
      <c r="R595" s="416" cm="1">
        <f t="array" ref="R595">INDEX(R$292:R$584,MATCH($B595&amp;$D595,$B$292:$B$584&amp;$D$292:$D$584,0))/1000</f>
        <v>2.2222222222222222E-3</v>
      </c>
      <c r="S595" s="416" cm="1">
        <f t="array" ref="S595">INDEX(S$292:S$584,MATCH($B595&amp;$D595,$B$292:$B$584&amp;$D$292:$D$584,0))/1000</f>
        <v>1.6666666666666668E-3</v>
      </c>
      <c r="T595" s="416" cm="1">
        <f t="array" ref="T595">INDEX(T$292:T$584,MATCH($B595&amp;$D595,$B$292:$B$584&amp;$D$292:$D$584,0))/1000</f>
        <v>1.3888888888888889E-3</v>
      </c>
      <c r="U595" s="416" cm="1">
        <f t="array" ref="U595">INDEX(U$292:U$584,MATCH($B595&amp;$D595,$B$292:$B$584&amp;$D$292:$D$584,0))/1000</f>
        <v>4.7222222222222223E-3</v>
      </c>
      <c r="V595" s="416" cm="1">
        <f t="array" ref="V595">INDEX(V$292:V$584,MATCH($B595&amp;$D595,$B$292:$B$584&amp;$D$292:$D$584,0))/1000</f>
        <v>5.0000000000000001E-3</v>
      </c>
      <c r="W595" s="416" cm="1">
        <f t="array" ref="W595">INDEX(W$292:W$584,MATCH($B595&amp;$D595,$B$292:$B$584&amp;$D$292:$D$584,0))/1000</f>
        <v>6.9444444444444449E-3</v>
      </c>
      <c r="X595" s="416" cm="1">
        <f t="array" ref="X595">INDEX(X$292:X$584,MATCH($B595&amp;$D595,$B$292:$B$584&amp;$D$292:$D$584,0))/1000</f>
        <v>1.3055555555555553E-2</v>
      </c>
      <c r="Y595" s="394"/>
      <c r="Z595" s="217"/>
      <c r="AA595" s="217"/>
      <c r="AB595" s="416" cm="1">
        <f t="array" ref="AB595">INDEX(AB$292:AB$584,MATCH($B595&amp;$D595,$B$292:$B$584&amp;$D$292:$D$584,0))</f>
        <v>10.833333333333334</v>
      </c>
      <c r="AC595" s="417" cm="1">
        <f t="array" ref="AC595">INDEX(AC$292:AC$584,MATCH($B595&amp;$D595,$B$292:$B$584&amp;$D$292:$D$584,0))</f>
        <v>13.888888888888888</v>
      </c>
      <c r="AD595" s="416" cm="1">
        <f t="array" ref="AD595">INDEX(AD$292:AD$584,MATCH($B595&amp;$D595,$B$292:$B$584&amp;$D$292:$D$584,0))</f>
        <v>10.941666666666668</v>
      </c>
      <c r="AE595" s="416" cm="1">
        <f t="array" ref="AE595">INDEX(AE$292:AE$584,MATCH($B595&amp;$D595,$B$292:$B$584&amp;$D$292:$D$584,0))</f>
        <v>11.07296666666667</v>
      </c>
      <c r="AF595" s="416" cm="1">
        <f t="array" ref="AF595">INDEX(AF$292:AF$584,MATCH($B595&amp;$D595,$B$292:$B$584&amp;$D$292:$D$584,0))</f>
        <v>11.239061166666669</v>
      </c>
      <c r="AG595" s="416" cm="1">
        <f t="array" ref="AG595">INDEX(AG$292:AG$584,MATCH($B595&amp;$D595,$B$292:$B$584&amp;$D$292:$D$584,0))</f>
        <v>11.407647084166667</v>
      </c>
      <c r="AH595" s="416" cm="1">
        <f t="array" ref="AH595">INDEX(AH$292:AH$584,MATCH($B595&amp;$D595,$B$292:$B$584&amp;$D$292:$D$584,0))</f>
        <v>11.578761790429168</v>
      </c>
      <c r="AI595" s="416" cm="1">
        <f t="array" ref="AI595">INDEX(AI$292:AI$584,MATCH($B595&amp;$D595,$B$292:$B$584&amp;$D$292:$D$584,0))</f>
        <v>11.752443217285602</v>
      </c>
      <c r="AJ595" s="416" cm="1">
        <f t="array" ref="AJ595">INDEX(AJ$292:AJ$584,MATCH($B595&amp;$D595,$B$292:$B$584&amp;$D$292:$D$584,0))</f>
        <v>11.928729865544884</v>
      </c>
      <c r="AK595" s="416" cm="1">
        <f t="array" ref="AK595">INDEX(AK$292:AK$584,MATCH($B595&amp;$D595,$B$292:$B$584&amp;$D$292:$D$584,0))</f>
        <v>12.107660813528058</v>
      </c>
      <c r="AL595" s="416" cm="1">
        <f t="array" ref="AL595">INDEX(AL$292:AL$584,MATCH($B595&amp;$D595,$B$292:$B$584&amp;$D$292:$D$584,0))</f>
        <v>12.289275725730977</v>
      </c>
      <c r="AM595" s="416" cm="1">
        <f t="array" ref="AM595">INDEX(AM$292:AM$584,MATCH($B595&amp;$D595,$B$292:$B$584&amp;$D$292:$D$584,0))</f>
        <v>12.473614861616941</v>
      </c>
      <c r="AN595" s="416" cm="1">
        <f t="array" ref="AN595">INDEX(AN$292:AN$584,MATCH($B595&amp;$D595,$B$292:$B$584&amp;$D$292:$D$584,0))</f>
        <v>12.660719084541196</v>
      </c>
      <c r="AO595" s="416" cm="1">
        <f t="array" ref="AO595">INDEX(AO$292:AO$584,MATCH($B595&amp;$D595,$B$292:$B$584&amp;$D$292:$D$584,0))</f>
        <v>12.850629870809311</v>
      </c>
      <c r="AP595" s="416" cm="1">
        <f t="array" ref="AP595">INDEX(AP$292:AP$584,MATCH($B595&amp;$D595,$B$292:$B$584&amp;$D$292:$D$584,0))</f>
        <v>13.043389318871451</v>
      </c>
      <c r="AQ595" s="416" cm="1">
        <f t="array" ref="AQ595">INDEX(AQ$292:AQ$584,MATCH($B595&amp;$D595,$B$292:$B$584&amp;$D$292:$D$584,0))</f>
        <v>13.23904015865452</v>
      </c>
      <c r="AR595" s="416" cm="1">
        <f t="array" ref="AR595">INDEX(AR$292:AR$584,MATCH($B595&amp;$D595,$B$292:$B$584&amp;$D$292:$D$584,0))</f>
        <v>13.437625761034337</v>
      </c>
      <c r="AS595" s="416" cm="1">
        <f t="array" ref="AS595">INDEX(AS$292:AS$584,MATCH($B595&amp;$D595,$B$292:$B$584&amp;$D$292:$D$584,0))</f>
        <v>13.639190147449849</v>
      </c>
      <c r="AT595" s="416" cm="1">
        <f t="array" ref="AT595">INDEX(AT$292:AT$584,MATCH($B595&amp;$D595,$B$292:$B$584&amp;$D$292:$D$584,0))</f>
        <v>13.843777999661596</v>
      </c>
      <c r="AU595" s="416" cm="1">
        <f t="array" ref="AU595">INDEX(AU$292:AU$584,MATCH($B595&amp;$D595,$B$292:$B$584&amp;$D$292:$D$584,0))</f>
        <v>14.051434669656519</v>
      </c>
      <c r="AV595" s="416" cm="1">
        <f t="array" ref="AV595">INDEX(AV$292:AV$584,MATCH($B595&amp;$D595,$B$292:$B$584&amp;$D$292:$D$584,0))</f>
        <v>14.262206189701365</v>
      </c>
      <c r="AW595" s="416" cm="1">
        <f t="array" ref="AW595">INDEX(AW$292:AW$584,MATCH($B595&amp;$D595,$B$292:$B$584&amp;$D$292:$D$584,0))</f>
        <v>14.476139282546885</v>
      </c>
      <c r="AX595" s="416" cm="1">
        <f t="array" ref="AX595">INDEX(AX$292:AX$584,MATCH($B595&amp;$D595,$B$292:$B$584&amp;$D$292:$D$584,0))</f>
        <v>14.693281371785087</v>
      </c>
      <c r="AY595" s="416" cm="1">
        <f t="array" ref="AY595">INDEX(AY$292:AY$584,MATCH($B595&amp;$D595,$B$292:$B$584&amp;$D$292:$D$584,0))</f>
        <v>14.91368059236186</v>
      </c>
      <c r="AZ595" s="416" cm="1">
        <f t="array" ref="AZ595">INDEX(AZ$292:AZ$584,MATCH($B595&amp;$D595,$B$292:$B$584&amp;$D$292:$D$584,0))</f>
        <v>15.137385801247287</v>
      </c>
      <c r="BA595" s="416" cm="1">
        <f t="array" ref="BA595">INDEX(BA$292:BA$584,MATCH($B595&amp;$D595,$B$292:$B$584&amp;$D$292:$D$584,0))</f>
        <v>15.364446588265995</v>
      </c>
      <c r="BB595" s="416" cm="1">
        <f t="array" ref="BB595">INDEX(BB$292:BB$584,MATCH($B595&amp;$D595,$B$292:$B$584&amp;$D$292:$D$584,0))</f>
        <v>15.564184393913449</v>
      </c>
      <c r="BC595" s="416" cm="1">
        <f t="array" ref="BC595">INDEX(BC$292:BC$584,MATCH($B595&amp;$D595,$B$292:$B$584&amp;$D$292:$D$584,0))</f>
        <v>15.750954606640409</v>
      </c>
      <c r="BD595" s="416" cm="1">
        <f t="array" ref="BD595">INDEX(BD$292:BD$584,MATCH($B595&amp;$D595,$B$292:$B$584&amp;$D$292:$D$584,0))</f>
        <v>15.924215107313451</v>
      </c>
      <c r="BE595" s="416" cm="1">
        <f t="array" ref="BE595">INDEX(BE$292:BE$584,MATCH($B595&amp;$D595,$B$292:$B$584&amp;$D$292:$D$584,0))</f>
        <v>16.083457258386588</v>
      </c>
      <c r="BF595" s="416" cm="1">
        <f t="array" ref="BF595">INDEX(BF$292:BF$584,MATCH($B595&amp;$D595,$B$292:$B$584&amp;$D$292:$D$584,0))</f>
        <v>16.24429183097045</v>
      </c>
    </row>
    <row r="596" spans="1:58" x14ac:dyDescent="0.3">
      <c r="A596" s="224"/>
      <c r="B596" s="224" t="s">
        <v>1052</v>
      </c>
      <c r="C596" s="224"/>
      <c r="D596" s="224" t="s">
        <v>885</v>
      </c>
      <c r="E596" s="224"/>
      <c r="F596" s="224"/>
      <c r="G596" s="224"/>
      <c r="H596" s="224"/>
      <c r="I596" s="224"/>
      <c r="J596" s="224"/>
      <c r="K596" s="224"/>
      <c r="L596" s="117"/>
      <c r="M596" s="220" t="s">
        <v>1116</v>
      </c>
      <c r="N596" s="219" t="s">
        <v>77</v>
      </c>
      <c r="O596" s="416" cm="1">
        <f t="array" ref="O596">INDEX(O$292:O$584,MATCH($B596&amp;$D596,$B$292:$B$584&amp;$D$292:$D$584,0))/1000</f>
        <v>3.4017194987647707E-2</v>
      </c>
      <c r="P596" s="416" cm="1">
        <f t="array" ref="P596">INDEX(P$292:P$584,MATCH($B596&amp;$D596,$B$292:$B$584&amp;$D$292:$D$584,0))/1000</f>
        <v>1.5401944444444444E-2</v>
      </c>
      <c r="Q596" s="416" cm="1">
        <f t="array" ref="Q596">INDEX(Q$292:Q$584,MATCH($B596&amp;$D596,$B$292:$B$584&amp;$D$292:$D$584,0))/1000</f>
        <v>3.8872840284611083E-2</v>
      </c>
      <c r="R596" s="416" cm="1">
        <f t="array" ref="R596">INDEX(R$292:R$584,MATCH($B596&amp;$D596,$B$292:$B$584&amp;$D$292:$D$584,0))/1000</f>
        <v>2.838267457232407E-2</v>
      </c>
      <c r="S596" s="416" cm="1">
        <f t="array" ref="S596">INDEX(S$292:S$584,MATCH($B596&amp;$D596,$B$292:$B$584&amp;$D$292:$D$584,0))/1000</f>
        <v>2.8292777777777774E-2</v>
      </c>
      <c r="T596" s="416" cm="1">
        <f t="array" ref="T596">INDEX(T$292:T$584,MATCH($B596&amp;$D596,$B$292:$B$584&amp;$D$292:$D$584,0))/1000</f>
        <v>1.5250162064047711E-2</v>
      </c>
      <c r="U596" s="416" cm="1">
        <f t="array" ref="U596">INDEX(U$292:U$584,MATCH($B596&amp;$D596,$B$292:$B$584&amp;$D$292:$D$584,0))/1000</f>
        <v>1.8170419385871401E-2</v>
      </c>
      <c r="V596" s="416" cm="1">
        <f t="array" ref="V596">INDEX(V$292:V$584,MATCH($B596&amp;$D596,$B$292:$B$584&amp;$D$292:$D$584,0))/1000</f>
        <v>1.2750534062784941E-2</v>
      </c>
      <c r="W596" s="416" cm="1">
        <f t="array" ref="W596">INDEX(W$292:W$584,MATCH($B596&amp;$D596,$B$292:$B$584&amp;$D$292:$D$584,0))/1000</f>
        <v>1.5496752481483959E-2</v>
      </c>
      <c r="X596" s="416" cm="1">
        <f t="array" ref="X596">INDEX(X$292:X$584,MATCH($B596&amp;$D596,$B$292:$B$584&amp;$D$292:$D$584,0))/1000</f>
        <v>7.6987009925935847E-3</v>
      </c>
      <c r="Y596" s="394"/>
      <c r="Z596" s="217"/>
      <c r="AA596" s="217"/>
      <c r="AB596" s="416" cm="1">
        <f t="array" ref="AB596">INDEX(AB$292:AB$584,MATCH($B596&amp;$D596,$B$292:$B$584&amp;$D$292:$D$584,0))</f>
        <v>9.4444444444444429</v>
      </c>
      <c r="AC596" s="417" cm="1">
        <f t="array" ref="AC596">INDEX(AC$292:AC$584,MATCH($B596&amp;$D596,$B$292:$B$584&amp;$D$292:$D$584,0))</f>
        <v>5.833333333333333</v>
      </c>
      <c r="AD596" s="416" cm="1">
        <f t="array" ref="AD596">INDEX(AD$292:AD$584,MATCH($B596&amp;$D596,$B$292:$B$584&amp;$D$292:$D$584,0))</f>
        <v>9.5388888888888879</v>
      </c>
      <c r="AE596" s="416" cm="1">
        <f t="array" ref="AE596">INDEX(AE$292:AE$584,MATCH($B596&amp;$D596,$B$292:$B$584&amp;$D$292:$D$584,0))</f>
        <v>9.6533555555555566</v>
      </c>
      <c r="AF596" s="416" cm="1">
        <f t="array" ref="AF596">INDEX(AF$292:AF$584,MATCH($B596&amp;$D596,$B$292:$B$584&amp;$D$292:$D$584,0))</f>
        <v>9.7981558888888891</v>
      </c>
      <c r="AG596" s="416" cm="1">
        <f t="array" ref="AG596">INDEX(AG$292:AG$584,MATCH($B596&amp;$D596,$B$292:$B$584&amp;$D$292:$D$584,0))</f>
        <v>9.9451282272222201</v>
      </c>
      <c r="AH596" s="416" cm="1">
        <f t="array" ref="AH596">INDEX(AH$292:AH$584,MATCH($B596&amp;$D596,$B$292:$B$584&amp;$D$292:$D$584,0))</f>
        <v>10.094305150630554</v>
      </c>
      <c r="AI596" s="416" cm="1">
        <f t="array" ref="AI596">INDEX(AI$292:AI$584,MATCH($B596&amp;$D596,$B$292:$B$584&amp;$D$292:$D$584,0))</f>
        <v>10.245719727890011</v>
      </c>
      <c r="AJ596" s="416" cm="1">
        <f t="array" ref="AJ596">INDEX(AJ$292:AJ$584,MATCH($B596&amp;$D596,$B$292:$B$584&amp;$D$292:$D$584,0))</f>
        <v>10.399405523808362</v>
      </c>
      <c r="AK596" s="416" cm="1">
        <f t="array" ref="AK596">INDEX(AK$292:AK$584,MATCH($B596&amp;$D596,$B$292:$B$584&amp;$D$292:$D$584,0))</f>
        <v>10.555396606665486</v>
      </c>
      <c r="AL596" s="416" cm="1">
        <f t="array" ref="AL596">INDEX(AL$292:AL$584,MATCH($B596&amp;$D596,$B$292:$B$584&amp;$D$292:$D$584,0))</f>
        <v>10.713727555765466</v>
      </c>
      <c r="AM596" s="416" cm="1">
        <f t="array" ref="AM596">INDEX(AM$292:AM$584,MATCH($B596&amp;$D596,$B$292:$B$584&amp;$D$292:$D$584,0))</f>
        <v>10.874433469101948</v>
      </c>
      <c r="AN596" s="416" cm="1">
        <f t="array" ref="AN596">INDEX(AN$292:AN$584,MATCH($B596&amp;$D596,$B$292:$B$584&amp;$D$292:$D$584,0))</f>
        <v>11.037549971138478</v>
      </c>
      <c r="AO596" s="416" cm="1">
        <f t="array" ref="AO596">INDEX(AO$292:AO$584,MATCH($B596&amp;$D596,$B$292:$B$584&amp;$D$292:$D$584,0))</f>
        <v>11.203113220705553</v>
      </c>
      <c r="AP596" s="416" cm="1">
        <f t="array" ref="AP596">INDEX(AP$292:AP$584,MATCH($B596&amp;$D596,$B$292:$B$584&amp;$D$292:$D$584,0))</f>
        <v>11.371159919016135</v>
      </c>
      <c r="AQ596" s="416" cm="1">
        <f t="array" ref="AQ596">INDEX(AQ$292:AQ$584,MATCH($B596&amp;$D596,$B$292:$B$584&amp;$D$292:$D$584,0))</f>
        <v>11.541727317801374</v>
      </c>
      <c r="AR596" s="416" cm="1">
        <f t="array" ref="AR596">INDEX(AR$292:AR$584,MATCH($B596&amp;$D596,$B$292:$B$584&amp;$D$292:$D$584,0))</f>
        <v>11.714853227568394</v>
      </c>
      <c r="AS596" s="416" cm="1">
        <f t="array" ref="AS596">INDEX(AS$292:AS$584,MATCH($B596&amp;$D596,$B$292:$B$584&amp;$D$292:$D$584,0))</f>
        <v>11.890576025981918</v>
      </c>
      <c r="AT596" s="416" cm="1">
        <f t="array" ref="AT596">INDEX(AT$292:AT$584,MATCH($B596&amp;$D596,$B$292:$B$584&amp;$D$292:$D$584,0))</f>
        <v>12.068934666371646</v>
      </c>
      <c r="AU596" s="416" cm="1">
        <f t="array" ref="AU596">INDEX(AU$292:AU$584,MATCH($B596&amp;$D596,$B$292:$B$584&amp;$D$292:$D$584,0))</f>
        <v>12.249968686367218</v>
      </c>
      <c r="AV596" s="416" cm="1">
        <f t="array" ref="AV596">INDEX(AV$292:AV$584,MATCH($B596&amp;$D596,$B$292:$B$584&amp;$D$292:$D$584,0))</f>
        <v>12.433718216662726</v>
      </c>
      <c r="AW596" s="416" cm="1">
        <f t="array" ref="AW596">INDEX(AW$292:AW$584,MATCH($B596&amp;$D596,$B$292:$B$584&amp;$D$292:$D$584,0))</f>
        <v>12.620223989912665</v>
      </c>
      <c r="AX596" s="416" cm="1">
        <f t="array" ref="AX596">INDEX(AX$292:AX$584,MATCH($B596&amp;$D596,$B$292:$B$584&amp;$D$292:$D$584,0))</f>
        <v>12.809527349761353</v>
      </c>
      <c r="AY596" s="416" cm="1">
        <f t="array" ref="AY596">INDEX(AY$292:AY$584,MATCH($B596&amp;$D596,$B$292:$B$584&amp;$D$292:$D$584,0))</f>
        <v>13.001670260007771</v>
      </c>
      <c r="AZ596" s="416" cm="1">
        <f t="array" ref="AZ596">INDEX(AZ$292:AZ$584,MATCH($B596&amp;$D596,$B$292:$B$584&amp;$D$292:$D$584,0))</f>
        <v>13.196695313907888</v>
      </c>
      <c r="BA596" s="416" cm="1">
        <f t="array" ref="BA596">INDEX(BA$292:BA$584,MATCH($B596&amp;$D596,$B$292:$B$584&amp;$D$292:$D$584,0))</f>
        <v>13.394645743616504</v>
      </c>
      <c r="BB596" s="416" cm="1">
        <f t="array" ref="BB596">INDEX(BB$292:BB$584,MATCH($B596&amp;$D596,$B$292:$B$584&amp;$D$292:$D$584,0))</f>
        <v>13.568776138283518</v>
      </c>
      <c r="BC596" s="416" cm="1">
        <f t="array" ref="BC596">INDEX(BC$292:BC$584,MATCH($B596&amp;$D596,$B$292:$B$584&amp;$D$292:$D$584,0))</f>
        <v>13.73160145194292</v>
      </c>
      <c r="BD596" s="416" cm="1">
        <f t="array" ref="BD596">INDEX(BD$292:BD$584,MATCH($B596&amp;$D596,$B$292:$B$584&amp;$D$292:$D$584,0))</f>
        <v>13.88264906791429</v>
      </c>
      <c r="BE596" s="416" cm="1">
        <f t="array" ref="BE596">INDEX(BE$292:BE$584,MATCH($B596&amp;$D596,$B$292:$B$584&amp;$D$292:$D$584,0))</f>
        <v>14.021475558593435</v>
      </c>
      <c r="BF596" s="416" cm="1">
        <f t="array" ref="BF596">INDEX(BF$292:BF$584,MATCH($B596&amp;$D596,$B$292:$B$584&amp;$D$292:$D$584,0))</f>
        <v>14.161690314179371</v>
      </c>
    </row>
    <row r="597" spans="1:58" x14ac:dyDescent="0.3">
      <c r="A597" s="224"/>
      <c r="B597" s="224" t="s">
        <v>1061</v>
      </c>
      <c r="C597" s="224"/>
      <c r="D597" s="224" t="s">
        <v>885</v>
      </c>
      <c r="E597" s="224"/>
      <c r="F597" s="224"/>
      <c r="G597" s="224"/>
      <c r="H597" s="224"/>
      <c r="I597" s="224"/>
      <c r="J597" s="224"/>
      <c r="K597" s="224"/>
      <c r="L597" s="117"/>
      <c r="M597" s="220" t="s">
        <v>1117</v>
      </c>
      <c r="N597" s="219" t="s">
        <v>77</v>
      </c>
      <c r="O597" s="416" cm="1">
        <f t="array" ref="O597">INDEX(O$292:O$584,MATCH($B597&amp;$D597,$B$292:$B$584&amp;$D$292:$D$584,0))/1000</f>
        <v>0.47017852839577656</v>
      </c>
      <c r="P597" s="416" cm="1">
        <f t="array" ref="P597">INDEX(P$292:P$584,MATCH($B597&amp;$D597,$B$292:$B$584&amp;$D$292:$D$584,0))/1000</f>
        <v>0.48927612710638591</v>
      </c>
      <c r="Q597" s="416" cm="1">
        <f t="array" ref="Q597">INDEX(Q$292:Q$584,MATCH($B597&amp;$D597,$B$292:$B$584&amp;$D$292:$D$584,0))/1000</f>
        <v>0.50227859571801603</v>
      </c>
      <c r="R597" s="416" cm="1">
        <f t="array" ref="R597">INDEX(R$292:R$584,MATCH($B597&amp;$D597,$B$292:$B$584&amp;$D$292:$D$584,0))/1000</f>
        <v>0.46705962166899134</v>
      </c>
      <c r="S597" s="416" cm="1">
        <f t="array" ref="S597">INDEX(S$292:S$584,MATCH($B597&amp;$D597,$B$292:$B$584&amp;$D$292:$D$584,0))/1000</f>
        <v>0.43336998452087927</v>
      </c>
      <c r="T597" s="416" cm="1">
        <f t="array" ref="T597">INDEX(T$292:T$584,MATCH($B597&amp;$D597,$B$292:$B$584&amp;$D$292:$D$584,0))/1000</f>
        <v>0.40512069911898274</v>
      </c>
      <c r="U597" s="416" cm="1">
        <f t="array" ref="U597">INDEX(U$292:U$584,MATCH($B597&amp;$D597,$B$292:$B$584&amp;$D$292:$D$584,0))/1000</f>
        <v>0.43881767713852121</v>
      </c>
      <c r="V597" s="416" cm="1">
        <f t="array" ref="V597">INDEX(V$292:V$584,MATCH($B597&amp;$D597,$B$292:$B$584&amp;$D$292:$D$584,0))/1000</f>
        <v>0.4325713800559664</v>
      </c>
      <c r="W597" s="416" cm="1">
        <f t="array" ref="W597">INDEX(W$292:W$584,MATCH($B597&amp;$D597,$B$292:$B$584&amp;$D$292:$D$584,0))/1000</f>
        <v>0.44719485733712483</v>
      </c>
      <c r="X597" s="416" cm="1">
        <f t="array" ref="X597">INDEX(X$292:X$584,MATCH($B597&amp;$D597,$B$292:$B$584&amp;$D$292:$D$584,0))/1000</f>
        <v>0.3708286636396631</v>
      </c>
      <c r="Y597" s="394"/>
      <c r="Z597" s="217"/>
      <c r="AA597" s="217"/>
      <c r="AB597" s="416" cm="1">
        <f t="array" ref="AB597">INDEX(AB$292:AB$584,MATCH($B597&amp;$D597,$B$292:$B$584&amp;$D$292:$D$584,0))</f>
        <v>362.22222222222217</v>
      </c>
      <c r="AC597" s="417" cm="1">
        <f t="array" ref="AC597">INDEX(AC$292:AC$584,MATCH($B597&amp;$D597,$B$292:$B$584&amp;$D$292:$D$584,0))</f>
        <v>452.77777777777777</v>
      </c>
      <c r="AD597" s="416" cm="1">
        <f t="array" ref="AD597">INDEX(AD$292:AD$584,MATCH($B597&amp;$D597,$B$292:$B$584&amp;$D$292:$D$584,0))</f>
        <v>365.84444444444443</v>
      </c>
      <c r="AE597" s="416" cm="1">
        <f t="array" ref="AE597">INDEX(AE$292:AE$584,MATCH($B597&amp;$D597,$B$292:$B$584&amp;$D$292:$D$584,0))</f>
        <v>370.2345777777777</v>
      </c>
      <c r="AF597" s="416" cm="1">
        <f t="array" ref="AF597">INDEX(AF$292:AF$584,MATCH($B597&amp;$D597,$B$292:$B$584&amp;$D$292:$D$584,0))</f>
        <v>375.78809644444436</v>
      </c>
      <c r="AG597" s="416" cm="1">
        <f t="array" ref="AG597">INDEX(AG$292:AG$584,MATCH($B597&amp;$D597,$B$292:$B$584&amp;$D$292:$D$584,0))</f>
        <v>381.42491789111097</v>
      </c>
      <c r="AH597" s="416" cm="1">
        <f t="array" ref="AH597">INDEX(AH$292:AH$584,MATCH($B597&amp;$D597,$B$292:$B$584&amp;$D$292:$D$584,0))</f>
        <v>387.14629165947753</v>
      </c>
      <c r="AI597" s="416" cm="1">
        <f t="array" ref="AI597">INDEX(AI$292:AI$584,MATCH($B597&amp;$D597,$B$292:$B$584&amp;$D$292:$D$584,0))</f>
        <v>392.95348603436969</v>
      </c>
      <c r="AJ597" s="416" cm="1">
        <f t="array" ref="AJ597">INDEX(AJ$292:AJ$584,MATCH($B597&amp;$D597,$B$292:$B$584&amp;$D$292:$D$584,0))</f>
        <v>398.84778832488519</v>
      </c>
      <c r="AK597" s="416" cm="1">
        <f t="array" ref="AK597">INDEX(AK$292:AK$584,MATCH($B597&amp;$D597,$B$292:$B$584&amp;$D$292:$D$584,0))</f>
        <v>404.83050514975844</v>
      </c>
      <c r="AL597" s="416" cm="1">
        <f t="array" ref="AL597">INDEX(AL$292:AL$584,MATCH($B597&amp;$D597,$B$292:$B$584&amp;$D$292:$D$584,0))</f>
        <v>410.90296272700476</v>
      </c>
      <c r="AM597" s="416" cm="1">
        <f t="array" ref="AM597">INDEX(AM$292:AM$584,MATCH($B597&amp;$D597,$B$292:$B$584&amp;$D$292:$D$584,0))</f>
        <v>417.06650716790978</v>
      </c>
      <c r="AN597" s="416" cm="1">
        <f t="array" ref="AN597">INDEX(AN$292:AN$584,MATCH($B597&amp;$D597,$B$292:$B$584&amp;$D$292:$D$584,0))</f>
        <v>423.32250477542834</v>
      </c>
      <c r="AO597" s="416" cm="1">
        <f t="array" ref="AO597">INDEX(AO$292:AO$584,MATCH($B597&amp;$D597,$B$292:$B$584&amp;$D$292:$D$584,0))</f>
        <v>429.67234234705967</v>
      </c>
      <c r="AP597" s="416" cm="1">
        <f t="array" ref="AP597">INDEX(AP$292:AP$584,MATCH($B597&amp;$D597,$B$292:$B$584&amp;$D$292:$D$584,0))</f>
        <v>436.1174274822655</v>
      </c>
      <c r="AQ597" s="416" cm="1">
        <f t="array" ref="AQ597">INDEX(AQ$292:AQ$584,MATCH($B597&amp;$D597,$B$292:$B$584&amp;$D$292:$D$584,0))</f>
        <v>442.65918889449944</v>
      </c>
      <c r="AR597" s="416" cm="1">
        <f t="array" ref="AR597">INDEX(AR$292:AR$584,MATCH($B597&amp;$D597,$B$292:$B$584&amp;$D$292:$D$584,0))</f>
        <v>449.29907672791683</v>
      </c>
      <c r="AS597" s="416" cm="1">
        <f t="array" ref="AS597">INDEX(AS$292:AS$584,MATCH($B597&amp;$D597,$B$292:$B$584&amp;$D$292:$D$584,0))</f>
        <v>456.03856287883559</v>
      </c>
      <c r="AT597" s="416" cm="1">
        <f t="array" ref="AT597">INDEX(AT$292:AT$584,MATCH($B597&amp;$D597,$B$292:$B$584&amp;$D$292:$D$584,0))</f>
        <v>462.87914132201809</v>
      </c>
      <c r="AU597" s="416" cm="1">
        <f t="array" ref="AU597">INDEX(AU$292:AU$584,MATCH($B597&amp;$D597,$B$292:$B$584&amp;$D$292:$D$584,0))</f>
        <v>469.8223284418483</v>
      </c>
      <c r="AV597" s="416" cm="1">
        <f t="array" ref="AV597">INDEX(AV$292:AV$584,MATCH($B597&amp;$D597,$B$292:$B$584&amp;$D$292:$D$584,0))</f>
        <v>476.86966336847598</v>
      </c>
      <c r="AW597" s="416" cm="1">
        <f t="array" ref="AW597">INDEX(AW$292:AW$584,MATCH($B597&amp;$D597,$B$292:$B$584&amp;$D$292:$D$584,0))</f>
        <v>484.02270831900302</v>
      </c>
      <c r="AX597" s="416" cm="1">
        <f t="array" ref="AX597">INDEX(AX$292:AX$584,MATCH($B597&amp;$D597,$B$292:$B$584&amp;$D$292:$D$584,0))</f>
        <v>491.283048943788</v>
      </c>
      <c r="AY597" s="416" cm="1">
        <f t="array" ref="AY597">INDEX(AY$292:AY$584,MATCH($B597&amp;$D597,$B$292:$B$584&amp;$D$292:$D$584,0))</f>
        <v>498.65229467794472</v>
      </c>
      <c r="AZ597" s="416" cm="1">
        <f t="array" ref="AZ597">INDEX(AZ$292:AZ$584,MATCH($B597&amp;$D597,$B$292:$B$584&amp;$D$292:$D$584,0))</f>
        <v>506.13207909811388</v>
      </c>
      <c r="BA597" s="416" cm="1">
        <f t="array" ref="BA597">INDEX(BA$292:BA$584,MATCH($B597&amp;$D597,$B$292:$B$584&amp;$D$292:$D$584,0))</f>
        <v>513.72406028458545</v>
      </c>
      <c r="BB597" s="416" cm="1">
        <f t="array" ref="BB597">INDEX(BB$292:BB$584,MATCH($B597&amp;$D597,$B$292:$B$584&amp;$D$292:$D$584,0))</f>
        <v>520.40247306828508</v>
      </c>
      <c r="BC597" s="416" cm="1">
        <f t="array" ref="BC597">INDEX(BC$292:BC$584,MATCH($B597&amp;$D597,$B$292:$B$584&amp;$D$292:$D$584,0))</f>
        <v>526.64730274510453</v>
      </c>
      <c r="BD597" s="416" cm="1">
        <f t="array" ref="BD597">INDEX(BD$292:BD$584,MATCH($B597&amp;$D597,$B$292:$B$584&amp;$D$292:$D$584,0))</f>
        <v>532.4404230753006</v>
      </c>
      <c r="BE597" s="416" cm="1">
        <f t="array" ref="BE597">INDEX(BE$292:BE$584,MATCH($B597&amp;$D597,$B$292:$B$584&amp;$D$292:$D$584,0))</f>
        <v>537.76482730605358</v>
      </c>
      <c r="BF597" s="416" cm="1">
        <f t="array" ref="BF597">INDEX(BF$292:BF$584,MATCH($B597&amp;$D597,$B$292:$B$584&amp;$D$292:$D$584,0))</f>
        <v>543.14247557911415</v>
      </c>
    </row>
    <row r="598" spans="1:58" x14ac:dyDescent="0.3">
      <c r="A598" s="224"/>
      <c r="B598" s="224" t="s">
        <v>1118</v>
      </c>
      <c r="C598" s="224"/>
      <c r="D598" s="224" t="s">
        <v>885</v>
      </c>
      <c r="E598" s="224"/>
      <c r="F598" s="224"/>
      <c r="G598" s="224"/>
      <c r="H598" s="224"/>
      <c r="I598" s="224"/>
      <c r="J598" s="224"/>
      <c r="K598" s="224"/>
      <c r="L598" s="117"/>
      <c r="M598" s="221" t="s">
        <v>1119</v>
      </c>
      <c r="N598" s="219" t="s">
        <v>77</v>
      </c>
      <c r="O598" s="418">
        <v>0</v>
      </c>
      <c r="P598" s="418">
        <v>0</v>
      </c>
      <c r="Q598" s="418">
        <v>0</v>
      </c>
      <c r="R598" s="418">
        <v>0</v>
      </c>
      <c r="S598" s="418">
        <v>0</v>
      </c>
      <c r="T598" s="418">
        <v>0</v>
      </c>
      <c r="U598" s="418">
        <v>0</v>
      </c>
      <c r="V598" s="418">
        <v>0</v>
      </c>
      <c r="W598" s="418">
        <v>0</v>
      </c>
      <c r="X598" s="418">
        <v>0</v>
      </c>
      <c r="Y598" s="394"/>
      <c r="Z598" s="217"/>
      <c r="AA598" s="217"/>
      <c r="AB598" s="418">
        <v>0</v>
      </c>
      <c r="AC598" s="419">
        <v>0</v>
      </c>
      <c r="AD598" s="90"/>
      <c r="AE598" s="90"/>
      <c r="AF598" s="90"/>
      <c r="AG598" s="90"/>
      <c r="AH598" s="90"/>
      <c r="AI598" s="90"/>
      <c r="AJ598" s="90"/>
      <c r="AK598" s="90"/>
      <c r="AL598" s="90"/>
      <c r="AM598" s="90"/>
      <c r="AN598" s="90"/>
      <c r="AO598" s="90"/>
      <c r="AP598" s="90"/>
      <c r="AQ598" s="90"/>
      <c r="AR598" s="90"/>
      <c r="AS598" s="90"/>
      <c r="AT598" s="90"/>
      <c r="AU598" s="90"/>
      <c r="AV598" s="90"/>
      <c r="AW598" s="90"/>
      <c r="AX598" s="90"/>
      <c r="AY598" s="90"/>
      <c r="AZ598" s="90"/>
      <c r="BA598" s="90"/>
      <c r="BB598" s="90"/>
      <c r="BC598" s="90"/>
      <c r="BD598" s="90"/>
      <c r="BE598" s="90"/>
      <c r="BF598" s="90"/>
    </row>
    <row r="599" spans="1:58" x14ac:dyDescent="0.3">
      <c r="A599" s="224"/>
      <c r="B599" s="224" t="s">
        <v>1070</v>
      </c>
      <c r="C599" s="224"/>
      <c r="D599" s="224" t="s">
        <v>885</v>
      </c>
      <c r="E599" s="224"/>
      <c r="F599" s="224"/>
      <c r="G599" s="224"/>
      <c r="H599" s="224"/>
      <c r="I599" s="224"/>
      <c r="J599" s="224"/>
      <c r="K599" s="224"/>
      <c r="L599" s="117"/>
      <c r="M599" s="220" t="s">
        <v>1120</v>
      </c>
      <c r="N599" s="219" t="s">
        <v>77</v>
      </c>
      <c r="O599" s="416" cm="1">
        <f t="array" ref="O599">INDEX(O$292:O$584,MATCH($B599&amp;$D599,$B$292:$B$584&amp;$D$292:$D$584,0))/1000</f>
        <v>8.5742159448407476E-2</v>
      </c>
      <c r="P599" s="416" cm="1">
        <f t="array" ref="P599">INDEX(P$292:P$584,MATCH($B599&amp;$D599,$B$292:$B$584&amp;$D$292:$D$584,0))/1000</f>
        <v>8.1304319887212539E-2</v>
      </c>
      <c r="Q599" s="416" cm="1">
        <f t="array" ref="Q599">INDEX(Q$292:Q$584,MATCH($B599&amp;$D599,$B$292:$B$584&amp;$D$292:$D$584,0))/1000</f>
        <v>0.12133699452756214</v>
      </c>
      <c r="R599" s="416" cm="1">
        <f t="array" ref="R599">INDEX(R$292:R$584,MATCH($B599&amp;$D599,$B$292:$B$584&amp;$D$292:$D$584,0))/1000</f>
        <v>0.13956551271594814</v>
      </c>
      <c r="S599" s="416" cm="1">
        <f t="array" ref="S599">INDEX(S$292:S$584,MATCH($B599&amp;$D599,$B$292:$B$584&amp;$D$292:$D$584,0))/1000</f>
        <v>0.11983563628278243</v>
      </c>
      <c r="T599" s="416" cm="1">
        <f t="array" ref="T599">INDEX(T$292:T$584,MATCH($B599&amp;$D599,$B$292:$B$584&amp;$D$292:$D$584,0))/1000</f>
        <v>0.12242281715099362</v>
      </c>
      <c r="U599" s="416" cm="1">
        <f t="array" ref="U599">INDEX(U$292:U$584,MATCH($B599&amp;$D599,$B$292:$B$584&amp;$D$292:$D$584,0))/1000</f>
        <v>0.12400440160483701</v>
      </c>
      <c r="V599" s="416" cm="1">
        <f t="array" ref="V599">INDEX(V$292:V$584,MATCH($B599&amp;$D599,$B$292:$B$584&amp;$D$292:$D$584,0))/1000</f>
        <v>0.12716966916791173</v>
      </c>
      <c r="W599" s="416" cm="1">
        <f t="array" ref="W599">INDEX(W$292:W$584,MATCH($B599&amp;$D599,$B$292:$B$584&amp;$D$292:$D$584,0))/1000</f>
        <v>0.13773361579572319</v>
      </c>
      <c r="X599" s="416" cm="1">
        <f t="array" ref="X599">INDEX(X$292:X$584,MATCH($B599&amp;$D599,$B$292:$B$584&amp;$D$292:$D$584,0))/1000</f>
        <v>9.746890258921434E-2</v>
      </c>
      <c r="Y599" s="394"/>
      <c r="Z599" s="217"/>
      <c r="AA599" s="217"/>
      <c r="AB599" s="416" cm="1">
        <f t="array" ref="AB599">INDEX(AB$292:AB$584,MATCH($B599&amp;$D599,$B$292:$B$584&amp;$D$292:$D$584,0))</f>
        <v>92.5</v>
      </c>
      <c r="AC599" s="417" cm="1">
        <f t="array" ref="AC599">INDEX(AC$292:AC$584,MATCH($B599&amp;$D599,$B$292:$B$584&amp;$D$292:$D$584,0))</f>
        <v>95.833333333333329</v>
      </c>
      <c r="AD599" s="416" cm="1">
        <f t="array" ref="AD599">INDEX(AD$292:AD$584,MATCH($B599&amp;$D599,$B$292:$B$584&amp;$D$292:$D$584,0))</f>
        <v>93.424999999999997</v>
      </c>
      <c r="AE599" s="416" cm="1">
        <f t="array" ref="AE599">INDEX(AE$292:AE$584,MATCH($B599&amp;$D599,$B$292:$B$584&amp;$D$292:$D$584,0))</f>
        <v>94.546099999999996</v>
      </c>
      <c r="AF599" s="416" cm="1">
        <f t="array" ref="AF599">INDEX(AF$292:AF$584,MATCH($B599&amp;$D599,$B$292:$B$584&amp;$D$292:$D$584,0))</f>
        <v>95.964291499999987</v>
      </c>
      <c r="AG599" s="416" cm="1">
        <f t="array" ref="AG599">INDEX(AG$292:AG$584,MATCH($B599&amp;$D599,$B$292:$B$584&amp;$D$292:$D$584,0))</f>
        <v>97.403755872499985</v>
      </c>
      <c r="AH599" s="416" cm="1">
        <f t="array" ref="AH599">INDEX(AH$292:AH$584,MATCH($B599&amp;$D599,$B$292:$B$584&amp;$D$292:$D$584,0))</f>
        <v>98.864812210587473</v>
      </c>
      <c r="AI599" s="416" cm="1">
        <f t="array" ref="AI599">INDEX(AI$292:AI$584,MATCH($B599&amp;$D599,$B$292:$B$584&amp;$D$292:$D$584,0))</f>
        <v>100.34778439374627</v>
      </c>
      <c r="AJ599" s="416" cm="1">
        <f t="array" ref="AJ599">INDEX(AJ$292:AJ$584,MATCH($B599&amp;$D599,$B$292:$B$584&amp;$D$292:$D$584,0))</f>
        <v>101.85300115965245</v>
      </c>
      <c r="AK599" s="416" cm="1">
        <f t="array" ref="AK599">INDEX(AK$292:AK$584,MATCH($B599&amp;$D599,$B$292:$B$584&amp;$D$292:$D$584,0))</f>
        <v>103.38079617704722</v>
      </c>
      <c r="AL599" s="416" cm="1">
        <f t="array" ref="AL599">INDEX(AL$292:AL$584,MATCH($B599&amp;$D599,$B$292:$B$584&amp;$D$292:$D$584,0))</f>
        <v>104.93150811970293</v>
      </c>
      <c r="AM599" s="416" cm="1">
        <f t="array" ref="AM599">INDEX(AM$292:AM$584,MATCH($B599&amp;$D599,$B$292:$B$584&amp;$D$292:$D$584,0))</f>
        <v>106.50548074149845</v>
      </c>
      <c r="AN599" s="416" cm="1">
        <f t="array" ref="AN599">INDEX(AN$292:AN$584,MATCH($B599&amp;$D599,$B$292:$B$584&amp;$D$292:$D$584,0))</f>
        <v>108.10306295262092</v>
      </c>
      <c r="AO599" s="416" cm="1">
        <f t="array" ref="AO599">INDEX(AO$292:AO$584,MATCH($B599&amp;$D599,$B$292:$B$584&amp;$D$292:$D$584,0))</f>
        <v>109.72460889691024</v>
      </c>
      <c r="AP599" s="416" cm="1">
        <f t="array" ref="AP599">INDEX(AP$292:AP$584,MATCH($B599&amp;$D599,$B$292:$B$584&amp;$D$292:$D$584,0))</f>
        <v>111.37047803036386</v>
      </c>
      <c r="AQ599" s="416" cm="1">
        <f t="array" ref="AQ599">INDEX(AQ$292:AQ$584,MATCH($B599&amp;$D599,$B$292:$B$584&amp;$D$292:$D$584,0))</f>
        <v>113.04103520081934</v>
      </c>
      <c r="AR599" s="416" cm="1">
        <f t="array" ref="AR599">INDEX(AR$292:AR$584,MATCH($B599&amp;$D599,$B$292:$B$584&amp;$D$292:$D$584,0))</f>
        <v>114.73665072883162</v>
      </c>
      <c r="AS599" s="416" cm="1">
        <f t="array" ref="AS599">INDEX(AS$292:AS$584,MATCH($B599&amp;$D599,$B$292:$B$584&amp;$D$292:$D$584,0))</f>
        <v>116.45770048976406</v>
      </c>
      <c r="AT599" s="416" cm="1">
        <f t="array" ref="AT599">INDEX(AT$292:AT$584,MATCH($B599&amp;$D599,$B$292:$B$584&amp;$D$292:$D$584,0))</f>
        <v>118.20456599711049</v>
      </c>
      <c r="AU599" s="416" cm="1">
        <f t="array" ref="AU599">INDEX(AU$292:AU$584,MATCH($B599&amp;$D599,$B$292:$B$584&amp;$D$292:$D$584,0))</f>
        <v>119.97763448706714</v>
      </c>
      <c r="AV599" s="416" cm="1">
        <f t="array" ref="AV599">INDEX(AV$292:AV$584,MATCH($B599&amp;$D599,$B$292:$B$584&amp;$D$292:$D$584,0))</f>
        <v>121.77729900437313</v>
      </c>
      <c r="AW599" s="416" cm="1">
        <f t="array" ref="AW599">INDEX(AW$292:AW$584,MATCH($B599&amp;$D599,$B$292:$B$584&amp;$D$292:$D$584,0))</f>
        <v>123.60395848943871</v>
      </c>
      <c r="AX599" s="416" cm="1">
        <f t="array" ref="AX599">INDEX(AX$292:AX$584,MATCH($B599&amp;$D599,$B$292:$B$584&amp;$D$292:$D$584,0))</f>
        <v>125.45801786678028</v>
      </c>
      <c r="AY599" s="416" cm="1">
        <f t="array" ref="AY599">INDEX(AY$292:AY$584,MATCH($B599&amp;$D599,$B$292:$B$584&amp;$D$292:$D$584,0))</f>
        <v>127.339888134782</v>
      </c>
      <c r="AZ599" s="416" cm="1">
        <f t="array" ref="AZ599">INDEX(AZ$292:AZ$584,MATCH($B599&amp;$D599,$B$292:$B$584&amp;$D$292:$D$584,0))</f>
        <v>129.24998645680373</v>
      </c>
      <c r="BA599" s="416" cm="1">
        <f t="array" ref="BA599">INDEX(BA$292:BA$584,MATCH($B599&amp;$D599,$B$292:$B$584&amp;$D$292:$D$584,0))</f>
        <v>131.18873625365575</v>
      </c>
      <c r="BB599" s="416" cm="1">
        <f t="array" ref="BB599">INDEX(BB$292:BB$584,MATCH($B599&amp;$D599,$B$292:$B$584&amp;$D$292:$D$584,0))</f>
        <v>132.89418982495323</v>
      </c>
      <c r="BC599" s="416" cm="1">
        <f t="array" ref="BC599">INDEX(BC$292:BC$584,MATCH($B599&amp;$D599,$B$292:$B$584&amp;$D$292:$D$584,0))</f>
        <v>134.48892010285266</v>
      </c>
      <c r="BD599" s="416" cm="1">
        <f t="array" ref="BD599">INDEX(BD$292:BD$584,MATCH($B599&amp;$D599,$B$292:$B$584&amp;$D$292:$D$584,0))</f>
        <v>135.96829822398402</v>
      </c>
      <c r="BE599" s="416" cm="1">
        <f t="array" ref="BE599">INDEX(BE$292:BE$584,MATCH($B599&amp;$D599,$B$292:$B$584&amp;$D$292:$D$584,0))</f>
        <v>137.32798120622391</v>
      </c>
      <c r="BF599" s="416" cm="1">
        <f t="array" ref="BF599">INDEX(BF$292:BF$584,MATCH($B599&amp;$D599,$B$292:$B$584&amp;$D$292:$D$584,0))</f>
        <v>138.70126101828612</v>
      </c>
    </row>
    <row r="600" spans="1:58" x14ac:dyDescent="0.3">
      <c r="A600" s="224"/>
      <c r="B600" s="224" t="s">
        <v>1073</v>
      </c>
      <c r="C600" s="224"/>
      <c r="D600" s="224" t="s">
        <v>885</v>
      </c>
      <c r="E600" s="224"/>
      <c r="F600" s="224"/>
      <c r="G600" s="224"/>
      <c r="H600" s="224"/>
      <c r="I600" s="224"/>
      <c r="J600" s="224"/>
      <c r="K600" s="224"/>
      <c r="L600" s="117"/>
      <c r="M600" s="220" t="s">
        <v>1121</v>
      </c>
      <c r="N600" s="219" t="s">
        <v>77</v>
      </c>
      <c r="O600" s="416" cm="1">
        <f t="array" ref="O600">INDEX(O$292:O$584,MATCH($B600&amp;$D600,$B$292:$B$584&amp;$D$292:$D$584,0))/1000</f>
        <v>0.53915497324315564</v>
      </c>
      <c r="P600" s="416" cm="1">
        <f t="array" ref="P600">INDEX(P$292:P$584,MATCH($B600&amp;$D600,$B$292:$B$584&amp;$D$292:$D$584,0))/1000</f>
        <v>0.52181748224812941</v>
      </c>
      <c r="Q600" s="416" cm="1">
        <f t="array" ref="Q600">INDEX(Q$292:Q$584,MATCH($B600&amp;$D600,$B$292:$B$584&amp;$D$292:$D$584,0))/1000</f>
        <v>0.47950991282519134</v>
      </c>
      <c r="R600" s="416" cm="1">
        <f t="array" ref="R600">INDEX(R$292:R$584,MATCH($B600&amp;$D600,$B$292:$B$584&amp;$D$292:$D$584,0))/1000</f>
        <v>0.31837115386323034</v>
      </c>
      <c r="S600" s="416" cm="1">
        <f t="array" ref="S600">INDEX(S$292:S$584,MATCH($B600&amp;$D600,$B$292:$B$584&amp;$D$292:$D$584,0))/1000</f>
        <v>0.30851660406197828</v>
      </c>
      <c r="T600" s="416" cm="1">
        <f t="array" ref="T600">INDEX(T$292:T$584,MATCH($B600&amp;$D600,$B$292:$B$584&amp;$D$292:$D$584,0))/1000</f>
        <v>0.39779656148191039</v>
      </c>
      <c r="U600" s="416" cm="1">
        <f t="array" ref="U600">INDEX(U$292:U$584,MATCH($B600&amp;$D600,$B$292:$B$584&amp;$D$292:$D$584,0))/1000</f>
        <v>0.2936549082796916</v>
      </c>
      <c r="V600" s="416" cm="1">
        <f t="array" ref="V600">INDEX(V$292:V$584,MATCH($B600&amp;$D600,$B$292:$B$584&amp;$D$292:$D$584,0))/1000</f>
        <v>0.28585208118962196</v>
      </c>
      <c r="W600" s="416" cm="1">
        <f t="array" ref="W600">INDEX(W$292:W$584,MATCH($B600&amp;$D600,$B$292:$B$584&amp;$D$292:$D$584,0))/1000</f>
        <v>0.27746593232216737</v>
      </c>
      <c r="X600" s="416" cm="1">
        <f t="array" ref="X600">INDEX(X$292:X$584,MATCH($B600&amp;$D600,$B$292:$B$584&amp;$D$292:$D$584,0))/1000</f>
        <v>0.24205102228515957</v>
      </c>
      <c r="Y600" s="394"/>
      <c r="Z600" s="217"/>
      <c r="AA600" s="217"/>
      <c r="AB600" s="416" cm="1">
        <f t="array" ref="AB600">INDEX(AB$292:AB$584,MATCH($B600&amp;$D600,$B$292:$B$584&amp;$D$292:$D$584,0))</f>
        <v>209.16666666666669</v>
      </c>
      <c r="AC600" s="417" cm="1">
        <f t="array" ref="AC600">INDEX(AC$292:AC$584,MATCH($B600&amp;$D600,$B$292:$B$584&amp;$D$292:$D$584,0))</f>
        <v>224.16666666666666</v>
      </c>
      <c r="AD600" s="416" cm="1">
        <f t="array" ref="AD600">INDEX(AD$292:AD$584,MATCH($B600&amp;$D600,$B$292:$B$584&amp;$D$292:$D$584,0))</f>
        <v>211.2583333333333</v>
      </c>
      <c r="AE600" s="416" cm="1">
        <f t="array" ref="AE600">INDEX(AE$292:AE$584,MATCH($B600&amp;$D600,$B$292:$B$584&amp;$D$292:$D$584,0))</f>
        <v>213.79343333333333</v>
      </c>
      <c r="AF600" s="416" cm="1">
        <f t="array" ref="AF600">INDEX(AF$292:AF$584,MATCH($B600&amp;$D600,$B$292:$B$584&amp;$D$292:$D$584,0))</f>
        <v>217.00033483333328</v>
      </c>
      <c r="AG600" s="416" cm="1">
        <f t="array" ref="AG600">INDEX(AG$292:AG$584,MATCH($B600&amp;$D600,$B$292:$B$584&amp;$D$292:$D$584,0))</f>
        <v>220.25533985583328</v>
      </c>
      <c r="AH600" s="416" cm="1">
        <f t="array" ref="AH600">INDEX(AH$292:AH$584,MATCH($B600&amp;$D600,$B$292:$B$584&amp;$D$292:$D$584,0))</f>
        <v>223.55916995367076</v>
      </c>
      <c r="AI600" s="416" cm="1">
        <f t="array" ref="AI600">INDEX(AI$292:AI$584,MATCH($B600&amp;$D600,$B$292:$B$584&amp;$D$292:$D$584,0))</f>
        <v>226.91255750297577</v>
      </c>
      <c r="AJ600" s="416" cm="1">
        <f t="array" ref="AJ600">INDEX(AJ$292:AJ$584,MATCH($B600&amp;$D600,$B$292:$B$584&amp;$D$292:$D$584,0))</f>
        <v>230.31624586552039</v>
      </c>
      <c r="AK600" s="416" cm="1">
        <f t="array" ref="AK600">INDEX(AK$292:AK$584,MATCH($B600&amp;$D600,$B$292:$B$584&amp;$D$292:$D$584,0))</f>
        <v>233.77098955350314</v>
      </c>
      <c r="AL600" s="416" cm="1">
        <f t="array" ref="AL600">INDEX(AL$292:AL$584,MATCH($B600&amp;$D600,$B$292:$B$584&amp;$D$292:$D$584,0))</f>
        <v>237.2775543968057</v>
      </c>
      <c r="AM600" s="416" cm="1">
        <f t="array" ref="AM600">INDEX(AM$292:AM$584,MATCH($B600&amp;$D600,$B$292:$B$584&amp;$D$292:$D$584,0))</f>
        <v>240.83671771275777</v>
      </c>
      <c r="AN600" s="416" cm="1">
        <f t="array" ref="AN600">INDEX(AN$292:AN$584,MATCH($B600&amp;$D600,$B$292:$B$584&amp;$D$292:$D$584,0))</f>
        <v>244.44926847844914</v>
      </c>
      <c r="AO600" s="416" cm="1">
        <f t="array" ref="AO600">INDEX(AO$292:AO$584,MATCH($B600&amp;$D600,$B$292:$B$584&amp;$D$292:$D$584,0))</f>
        <v>248.11600750562579</v>
      </c>
      <c r="AP600" s="416" cm="1">
        <f t="array" ref="AP600">INDEX(AP$292:AP$584,MATCH($B600&amp;$D600,$B$292:$B$584&amp;$D$292:$D$584,0))</f>
        <v>251.83774761821016</v>
      </c>
      <c r="AQ600" s="416" cm="1">
        <f t="array" ref="AQ600">INDEX(AQ$292:AQ$584,MATCH($B600&amp;$D600,$B$292:$B$584&amp;$D$292:$D$584,0))</f>
        <v>255.61531383248328</v>
      </c>
      <c r="AR600" s="416" cm="1">
        <f t="array" ref="AR600">INDEX(AR$292:AR$584,MATCH($B600&amp;$D600,$B$292:$B$584&amp;$D$292:$D$584,0))</f>
        <v>259.44954353997059</v>
      </c>
      <c r="AS600" s="416" cm="1">
        <f t="array" ref="AS600">INDEX(AS$292:AS$584,MATCH($B600&amp;$D600,$B$292:$B$584&amp;$D$292:$D$584,0))</f>
        <v>263.34128669307006</v>
      </c>
      <c r="AT600" s="416" cm="1">
        <f t="array" ref="AT600">INDEX(AT$292:AT$584,MATCH($B600&amp;$D600,$B$292:$B$584&amp;$D$292:$D$584,0))</f>
        <v>267.29140599346607</v>
      </c>
      <c r="AU600" s="416" cm="1">
        <f t="array" ref="AU600">INDEX(AU$292:AU$584,MATCH($B600&amp;$D600,$B$292:$B$584&amp;$D$292:$D$584,0))</f>
        <v>271.30077708336808</v>
      </c>
      <c r="AV600" s="416" cm="1">
        <f t="array" ref="AV600">INDEX(AV$292:AV$584,MATCH($B600&amp;$D600,$B$292:$B$584&amp;$D$292:$D$584,0))</f>
        <v>275.37028873961856</v>
      </c>
      <c r="AW600" s="416" cm="1">
        <f t="array" ref="AW600">INDEX(AW$292:AW$584,MATCH($B600&amp;$D600,$B$292:$B$584&amp;$D$292:$D$584,0))</f>
        <v>279.50084307071279</v>
      </c>
      <c r="AX600" s="416" cm="1">
        <f t="array" ref="AX600">INDEX(AX$292:AX$584,MATCH($B600&amp;$D600,$B$292:$B$584&amp;$D$292:$D$584,0))</f>
        <v>283.69335571677351</v>
      </c>
      <c r="AY600" s="416" cm="1">
        <f t="array" ref="AY600">INDEX(AY$292:AY$584,MATCH($B600&amp;$D600,$B$292:$B$584&amp;$D$292:$D$584,0))</f>
        <v>287.94875605252514</v>
      </c>
      <c r="AZ600" s="416" cm="1">
        <f t="array" ref="AZ600">INDEX(AZ$292:AZ$584,MATCH($B600&amp;$D600,$B$292:$B$584&amp;$D$292:$D$584,0))</f>
        <v>292.26798739331298</v>
      </c>
      <c r="BA600" s="416" cm="1">
        <f t="array" ref="BA600">INDEX(BA$292:BA$584,MATCH($B600&amp;$D600,$B$292:$B$584&amp;$D$292:$D$584,0))</f>
        <v>296.65200720421268</v>
      </c>
      <c r="BB600" s="416" cm="1">
        <f t="array" ref="BB600">INDEX(BB$292:BB$584,MATCH($B600&amp;$D600,$B$292:$B$584&amp;$D$292:$D$584,0))</f>
        <v>300.50848329786737</v>
      </c>
      <c r="BC600" s="416" cm="1">
        <f t="array" ref="BC600">INDEX(BC$292:BC$584,MATCH($B600&amp;$D600,$B$292:$B$584&amp;$D$292:$D$584,0))</f>
        <v>304.11458509744182</v>
      </c>
      <c r="BD600" s="416" cm="1">
        <f t="array" ref="BD600">INDEX(BD$292:BD$584,MATCH($B600&amp;$D600,$B$292:$B$584&amp;$D$292:$D$584,0))</f>
        <v>307.45984553351366</v>
      </c>
      <c r="BE600" s="416" cm="1">
        <f t="array" ref="BE600">INDEX(BE$292:BE$584,MATCH($B600&amp;$D600,$B$292:$B$584&amp;$D$292:$D$584,0))</f>
        <v>310.53444398884875</v>
      </c>
      <c r="BF600" s="416" cm="1">
        <f t="array" ref="BF600">INDEX(BF$292:BF$584,MATCH($B600&amp;$D600,$B$292:$B$584&amp;$D$292:$D$584,0))</f>
        <v>313.63978842873723</v>
      </c>
    </row>
    <row r="601" spans="1:58" x14ac:dyDescent="0.3">
      <c r="A601" s="224"/>
      <c r="B601" s="224"/>
      <c r="C601" s="224"/>
      <c r="D601" s="224"/>
      <c r="E601" s="224"/>
      <c r="F601" s="224"/>
      <c r="G601" s="224"/>
      <c r="H601" s="224"/>
      <c r="I601" s="224"/>
      <c r="J601" s="224"/>
      <c r="K601" s="224"/>
      <c r="L601" s="117"/>
      <c r="M601" s="222" t="s">
        <v>1122</v>
      </c>
      <c r="N601" s="219" t="s">
        <v>77</v>
      </c>
      <c r="O601" s="420">
        <f t="shared" ref="O601:X601" si="935">SUM(O588:O600)-O594-O598</f>
        <v>6.1926059278647649</v>
      </c>
      <c r="P601" s="420">
        <f t="shared" si="935"/>
        <v>6.1537357558042958</v>
      </c>
      <c r="Q601" s="420">
        <f t="shared" si="935"/>
        <v>5.821867740201343</v>
      </c>
      <c r="R601" s="420">
        <f t="shared" si="935"/>
        <v>6.7090910588929518</v>
      </c>
      <c r="S601" s="420">
        <f t="shared" si="935"/>
        <v>5.7675889018283923</v>
      </c>
      <c r="T601" s="420">
        <f t="shared" si="935"/>
        <v>5.5405065133725131</v>
      </c>
      <c r="U601" s="420">
        <f t="shared" si="935"/>
        <v>4.4851261220133658</v>
      </c>
      <c r="V601" s="420">
        <f t="shared" si="935"/>
        <v>4.7254210544070725</v>
      </c>
      <c r="W601" s="420">
        <f t="shared" si="935"/>
        <v>4.936449011072825</v>
      </c>
      <c r="X601" s="420">
        <f t="shared" si="935"/>
        <v>4.6939103468437526</v>
      </c>
      <c r="Y601" s="394"/>
      <c r="Z601" s="217"/>
      <c r="AA601" s="217"/>
      <c r="AB601" s="955">
        <f>SUM(AB588:AB600)-AB594-AB598</f>
        <v>4068.8888888888887</v>
      </c>
      <c r="AC601" s="421">
        <f>SUM(AC588:AC600)-AC594-AC598</f>
        <v>3968.0555555555552</v>
      </c>
      <c r="AD601" s="90"/>
      <c r="AE601" s="90"/>
      <c r="AF601" s="90"/>
      <c r="AG601" s="90"/>
      <c r="AH601" s="90"/>
      <c r="AI601" s="90"/>
      <c r="AJ601" s="90"/>
      <c r="AK601" s="90"/>
      <c r="AL601" s="90"/>
      <c r="AM601" s="90"/>
      <c r="AN601" s="90"/>
      <c r="AO601" s="90"/>
      <c r="AP601" s="90"/>
      <c r="AQ601" s="90"/>
      <c r="AR601" s="90"/>
      <c r="AS601" s="90"/>
      <c r="AT601" s="90"/>
      <c r="AU601" s="90"/>
      <c r="AV601" s="90"/>
      <c r="AW601" s="90"/>
      <c r="AX601" s="90"/>
      <c r="AY601" s="90"/>
      <c r="AZ601" s="90"/>
      <c r="BA601" s="90"/>
      <c r="BB601" s="90"/>
      <c r="BC601" s="90"/>
      <c r="BD601" s="90"/>
      <c r="BE601" s="90"/>
      <c r="BF601" s="90"/>
    </row>
    <row r="602" spans="1:58" x14ac:dyDescent="0.3">
      <c r="A602" s="224"/>
      <c r="B602" s="224"/>
      <c r="C602" s="224"/>
      <c r="D602" s="224"/>
      <c r="E602" s="224"/>
      <c r="F602" s="224"/>
      <c r="G602" s="224"/>
      <c r="H602" s="224"/>
      <c r="I602" s="224"/>
      <c r="J602" s="224"/>
      <c r="K602" s="224"/>
      <c r="L602" s="117"/>
      <c r="M602" s="222" t="s">
        <v>1123</v>
      </c>
      <c r="N602" s="219" t="s">
        <v>77</v>
      </c>
      <c r="O602" s="422">
        <f t="shared" ref="O602:X602" si="936">O307/1000</f>
        <v>6.1919444444444434</v>
      </c>
      <c r="P602" s="422">
        <f t="shared" si="936"/>
        <v>6.1475</v>
      </c>
      <c r="Q602" s="422">
        <f t="shared" si="936"/>
        <v>5.8224999999999989</v>
      </c>
      <c r="R602" s="423">
        <f t="shared" si="936"/>
        <v>6.7091666666666674</v>
      </c>
      <c r="S602" s="423">
        <f t="shared" si="936"/>
        <v>5.7677777777777761</v>
      </c>
      <c r="T602" s="423">
        <f t="shared" si="936"/>
        <v>5.5419444444444448</v>
      </c>
      <c r="U602" s="423">
        <f t="shared" si="936"/>
        <v>4.4850000000000012</v>
      </c>
      <c r="V602" s="423">
        <f t="shared" si="936"/>
        <v>4.7255555555555544</v>
      </c>
      <c r="W602" s="423">
        <f t="shared" si="936"/>
        <v>4.9474999999999998</v>
      </c>
      <c r="X602" s="423">
        <f t="shared" si="936"/>
        <v>4.6777777777777771</v>
      </c>
      <c r="Y602" s="394"/>
      <c r="Z602" s="217"/>
      <c r="AA602" s="217"/>
      <c r="AB602" s="953">
        <f>AB307</f>
        <v>4067.5</v>
      </c>
      <c r="AC602" s="954">
        <f>AC307</f>
        <v>3968.0555555555561</v>
      </c>
      <c r="AD602" s="116">
        <f t="shared" ref="AD602:BF602" si="937">SUM(AD588:AD600)</f>
        <v>4109.5777777777776</v>
      </c>
      <c r="AE602" s="116">
        <f t="shared" si="937"/>
        <v>4158.8927111111116</v>
      </c>
      <c r="AF602" s="116">
        <f t="shared" si="937"/>
        <v>4221.2761017777775</v>
      </c>
      <c r="AG602" s="116">
        <f t="shared" si="937"/>
        <v>4284.5952433044431</v>
      </c>
      <c r="AH602" s="116">
        <f t="shared" si="937"/>
        <v>4348.8641719540092</v>
      </c>
      <c r="AI602" s="116">
        <f t="shared" si="937"/>
        <v>4414.0971345333191</v>
      </c>
      <c r="AJ602" s="116">
        <f t="shared" si="937"/>
        <v>4480.3085915513193</v>
      </c>
      <c r="AK602" s="116">
        <f t="shared" si="937"/>
        <v>4547.5132204245883</v>
      </c>
      <c r="AL602" s="116">
        <f t="shared" si="937"/>
        <v>4615.7259187309564</v>
      </c>
      <c r="AM602" s="116">
        <f t="shared" si="937"/>
        <v>4684.9618075119197</v>
      </c>
      <c r="AN602" s="116">
        <f t="shared" si="937"/>
        <v>4755.2362346245991</v>
      </c>
      <c r="AO602" s="116">
        <f t="shared" si="937"/>
        <v>4826.5647781439675</v>
      </c>
      <c r="AP602" s="116">
        <f t="shared" si="937"/>
        <v>4898.9632498161263</v>
      </c>
      <c r="AQ602" s="116">
        <f t="shared" si="937"/>
        <v>4972.4476985633682</v>
      </c>
      <c r="AR602" s="116">
        <f t="shared" si="937"/>
        <v>5047.0344140418183</v>
      </c>
      <c r="AS602" s="116">
        <f t="shared" si="937"/>
        <v>5122.7399302524445</v>
      </c>
      <c r="AT602" s="116">
        <f t="shared" si="937"/>
        <v>5199.5810292062306</v>
      </c>
      <c r="AU602" s="116">
        <f t="shared" si="937"/>
        <v>5277.5747446443238</v>
      </c>
      <c r="AV602" s="116">
        <f t="shared" si="937"/>
        <v>5356.7383658139879</v>
      </c>
      <c r="AW602" s="116">
        <f t="shared" si="937"/>
        <v>5437.0894413011974</v>
      </c>
      <c r="AX602" s="116">
        <f t="shared" si="937"/>
        <v>5518.6457829207138</v>
      </c>
      <c r="AY602" s="116">
        <f t="shared" si="937"/>
        <v>5601.4254696645239</v>
      </c>
      <c r="AZ602" s="116">
        <f t="shared" si="937"/>
        <v>5685.446851709492</v>
      </c>
      <c r="BA602" s="116">
        <f t="shared" si="937"/>
        <v>5770.7285544851338</v>
      </c>
      <c r="BB602" s="116">
        <f t="shared" si="937"/>
        <v>5845.7480256934396</v>
      </c>
      <c r="BC602" s="116">
        <f t="shared" si="937"/>
        <v>5915.8970020017614</v>
      </c>
      <c r="BD602" s="116">
        <f t="shared" si="937"/>
        <v>5980.9718690237787</v>
      </c>
      <c r="BE602" s="116">
        <f t="shared" si="937"/>
        <v>6040.7815877140156</v>
      </c>
      <c r="BF602" s="116">
        <f t="shared" si="937"/>
        <v>6101.1894035911573</v>
      </c>
    </row>
    <row r="603" spans="1:58" x14ac:dyDescent="0.3">
      <c r="A603" s="224"/>
      <c r="B603" s="224"/>
      <c r="C603" s="224"/>
      <c r="D603" s="224"/>
      <c r="E603" s="224"/>
      <c r="F603" s="224"/>
      <c r="G603" s="224"/>
      <c r="H603" s="224"/>
      <c r="I603" s="224"/>
      <c r="J603" s="224"/>
      <c r="K603" s="224"/>
      <c r="L603" s="117"/>
      <c r="M603" s="223" t="s">
        <v>1124</v>
      </c>
      <c r="N603" s="210"/>
      <c r="O603" s="415">
        <f t="shared" ref="O603:X603" si="938">IFERROR((O601/O602),"")</f>
        <v>1.0001068296762441</v>
      </c>
      <c r="P603" s="415">
        <f t="shared" si="938"/>
        <v>1.0010143563732079</v>
      </c>
      <c r="Q603" s="415">
        <f t="shared" si="938"/>
        <v>0.99989141094054856</v>
      </c>
      <c r="R603" s="415">
        <f t="shared" si="938"/>
        <v>0.9999887306758839</v>
      </c>
      <c r="S603" s="415">
        <f t="shared" si="938"/>
        <v>0.99996725325477842</v>
      </c>
      <c r="T603" s="415">
        <f t="shared" si="938"/>
        <v>0.99974053672202123</v>
      </c>
      <c r="U603" s="415">
        <f t="shared" si="938"/>
        <v>1.0000281208502486</v>
      </c>
      <c r="V603" s="415">
        <f t="shared" si="938"/>
        <v>0.99997153749503087</v>
      </c>
      <c r="W603" s="415">
        <f t="shared" si="938"/>
        <v>0.99776634887778171</v>
      </c>
      <c r="X603" s="415">
        <f t="shared" si="938"/>
        <v>1.0034487677338191</v>
      </c>
      <c r="Y603" s="394"/>
      <c r="Z603" s="217"/>
      <c r="AA603" s="217"/>
      <c r="AB603" s="415">
        <f>IFERROR((AB601/AB602),"")</f>
        <v>1.0003414600833163</v>
      </c>
      <c r="AC603" s="415">
        <f>IFERROR((AC601/AC602),"")</f>
        <v>0.99999999999999978</v>
      </c>
      <c r="AD603" s="90"/>
      <c r="AE603" s="90"/>
      <c r="AF603" s="90"/>
      <c r="AG603" s="90"/>
      <c r="AH603" s="90"/>
      <c r="AI603" s="90"/>
      <c r="AJ603" s="90"/>
      <c r="AK603" s="90"/>
      <c r="AL603" s="90"/>
      <c r="AM603" s="90"/>
      <c r="AN603" s="90"/>
      <c r="AO603" s="90"/>
      <c r="AP603" s="90"/>
      <c r="AQ603" s="90"/>
      <c r="AR603" s="90"/>
      <c r="AS603" s="90"/>
      <c r="AT603" s="90"/>
      <c r="AU603" s="90"/>
      <c r="AV603" s="90"/>
      <c r="AW603" s="90"/>
      <c r="AX603" s="90"/>
      <c r="AY603" s="90"/>
      <c r="AZ603" s="90"/>
      <c r="BA603" s="90"/>
      <c r="BB603" s="90"/>
      <c r="BC603" s="90"/>
      <c r="BD603" s="90"/>
      <c r="BE603" s="90"/>
      <c r="BF603" s="90"/>
    </row>
    <row r="604" spans="1:58" x14ac:dyDescent="0.3">
      <c r="A604" s="224"/>
      <c r="B604" s="224"/>
      <c r="C604" s="224"/>
      <c r="D604" s="224"/>
      <c r="E604" s="224"/>
      <c r="F604" s="224"/>
      <c r="G604" s="224"/>
      <c r="H604" s="224"/>
      <c r="I604" s="224"/>
      <c r="J604" s="224"/>
      <c r="K604" s="224"/>
      <c r="L604" s="117"/>
      <c r="M604" s="218"/>
      <c r="N604" s="210"/>
      <c r="O604" s="218"/>
      <c r="P604" s="218"/>
      <c r="Q604" s="218"/>
      <c r="R604" s="218"/>
      <c r="S604" s="218"/>
      <c r="T604" s="218"/>
      <c r="U604" s="218"/>
      <c r="V604" s="218"/>
      <c r="W604" s="218"/>
      <c r="X604" s="218"/>
      <c r="Y604" s="394"/>
      <c r="Z604" s="217"/>
      <c r="AA604" s="217"/>
      <c r="AB604" s="957"/>
      <c r="AC604" s="957"/>
      <c r="AD604" s="217"/>
      <c r="AE604" s="217"/>
      <c r="AF604" s="217"/>
      <c r="AG604" s="217"/>
      <c r="AH604" s="217"/>
      <c r="AI604" s="217"/>
      <c r="AJ604" s="217"/>
      <c r="AK604" s="217"/>
      <c r="AL604" s="217"/>
      <c r="AM604" s="217"/>
      <c r="AN604" s="217"/>
      <c r="AO604" s="217"/>
      <c r="AP604" s="217"/>
      <c r="AQ604" s="217"/>
      <c r="AR604" s="217"/>
      <c r="AS604" s="217"/>
      <c r="AT604" s="217"/>
      <c r="AU604" s="217"/>
      <c r="AV604" s="217"/>
      <c r="AW604" s="217"/>
      <c r="AX604" s="217"/>
      <c r="AY604" s="217"/>
      <c r="AZ604" s="217"/>
      <c r="BA604" s="217"/>
      <c r="BB604" s="217"/>
      <c r="BC604" s="217"/>
      <c r="BD604" s="217"/>
      <c r="BE604" s="217"/>
      <c r="BF604" s="217"/>
    </row>
    <row r="605" spans="1:58" x14ac:dyDescent="0.3">
      <c r="A605" s="224"/>
      <c r="B605" s="224" t="s">
        <v>1083</v>
      </c>
      <c r="C605" s="224"/>
      <c r="D605" s="224" t="s">
        <v>885</v>
      </c>
      <c r="E605" s="224"/>
      <c r="F605" s="224"/>
      <c r="G605" s="224"/>
      <c r="H605" s="224"/>
      <c r="I605" s="224"/>
      <c r="J605" s="224"/>
      <c r="K605" s="224"/>
      <c r="L605" s="117"/>
      <c r="M605" s="220" t="s">
        <v>1125</v>
      </c>
      <c r="N605" s="219" t="s">
        <v>77</v>
      </c>
      <c r="O605" s="416" cm="1">
        <f t="array" ref="O605">INDEX(O$292:O$584,MATCH($B605&amp;$D605,$B$292:$B$584&amp;$D$292:$D$584,0))/1000</f>
        <v>0.10490594769511478</v>
      </c>
      <c r="P605" s="416" cm="1">
        <f t="array" ref="P605">INDEX(P$292:P$584,MATCH($B605&amp;$D605,$B$292:$B$584&amp;$D$292:$D$584,0))/1000</f>
        <v>0.11806923626165602</v>
      </c>
      <c r="Q605" s="416" cm="1">
        <f t="array" ref="Q605">INDEX(Q$292:Q$584,MATCH($B605&amp;$D605,$B$292:$B$584&amp;$D$292:$D$584,0))/1000</f>
        <v>0.15634402572009209</v>
      </c>
      <c r="R605" s="416" cm="1">
        <f t="array" ref="R605">INDEX(R$292:R$584,MATCH($B605&amp;$D605,$B$292:$B$584&amp;$D$292:$D$584,0))/1000</f>
        <v>0.16534168703538987</v>
      </c>
      <c r="S605" s="416" cm="1">
        <f t="array" ref="S605">INDEX(S$292:S$584,MATCH($B605&amp;$D605,$B$292:$B$584&amp;$D$292:$D$584,0))/1000</f>
        <v>0.13479061395884689</v>
      </c>
      <c r="T605" s="416" cm="1">
        <f t="array" ref="T605">INDEX(T$292:T$584,MATCH($B605&amp;$D605,$B$292:$B$584&amp;$D$292:$D$584,0))/1000</f>
        <v>0.12704401671511828</v>
      </c>
      <c r="U605" s="416" cm="1">
        <f t="array" ref="U605">INDEX(U$292:U$584,MATCH($B605&amp;$D605,$B$292:$B$584&amp;$D$292:$D$584,0))/1000</f>
        <v>0.1413167676500259</v>
      </c>
      <c r="V605" s="416" cm="1">
        <f t="array" ref="V605">INDEX(V$292:V$584,MATCH($B605&amp;$D605,$B$292:$B$584&amp;$D$292:$D$584,0))/1000</f>
        <v>0.10782145175165432</v>
      </c>
      <c r="W605" s="416" cm="1">
        <f t="array" ref="W605">INDEX(W$292:W$584,MATCH($B605&amp;$D605,$B$292:$B$584&amp;$D$292:$D$584,0))/1000</f>
        <v>0.11333478600568721</v>
      </c>
      <c r="X605" s="416" cm="1">
        <f t="array" ref="X605">INDEX(X$292:X$584,MATCH($B605&amp;$D605,$B$292:$B$584&amp;$D$292:$D$584,0))/1000</f>
        <v>9.0809389279612657E-2</v>
      </c>
      <c r="Y605" s="394"/>
      <c r="Z605" s="217"/>
      <c r="AA605" s="217"/>
      <c r="AB605" s="416" cm="1">
        <f t="array" ref="AB605">INDEX(AB$292:AB$584,MATCH($B605&amp;$D605,$B$292:$B$584&amp;$D$292:$D$584,0))</f>
        <v>53.611111111111114</v>
      </c>
      <c r="AC605" s="417" cm="1">
        <f t="array" ref="AC605">INDEX(AC$292:AC$584,MATCH($B605&amp;$D605,$B$292:$B$584&amp;$D$292:$D$584,0))</f>
        <v>66.666666666666657</v>
      </c>
      <c r="AD605" s="416" cm="1">
        <f t="array" ref="AD605">INDEX(AD$292:AD$584,MATCH($B605&amp;$D605,$B$292:$B$584&amp;$D$292:$D$584,0))</f>
        <v>54.147222222222226</v>
      </c>
      <c r="AE605" s="416" cm="1">
        <f t="array" ref="AE605">INDEX(AE$292:AE$584,MATCH($B605&amp;$D605,$B$292:$B$584&amp;$D$292:$D$584,0))</f>
        <v>54.79698888888889</v>
      </c>
      <c r="AF605" s="416" cm="1">
        <f t="array" ref="AF605">INDEX(AF$292:AF$584,MATCH($B605&amp;$D605,$B$292:$B$584&amp;$D$292:$D$584,0))</f>
        <v>55.618943722222227</v>
      </c>
      <c r="AG605" s="416" cm="1">
        <f t="array" ref="AG605">INDEX(AG$292:AG$584,MATCH($B605&amp;$D605,$B$292:$B$584&amp;$D$292:$D$584,0))</f>
        <v>56.453227878055557</v>
      </c>
      <c r="AH605" s="416" cm="1">
        <f t="array" ref="AH605">INDEX(AH$292:AH$584,MATCH($B605&amp;$D605,$B$292:$B$584&amp;$D$292:$D$584,0))</f>
        <v>57.300026296226392</v>
      </c>
      <c r="AI605" s="416" cm="1">
        <f t="array" ref="AI605">INDEX(AI$292:AI$584,MATCH($B605&amp;$D605,$B$292:$B$584&amp;$D$292:$D$584,0))</f>
        <v>58.159526690669786</v>
      </c>
      <c r="AJ605" s="416" cm="1">
        <f t="array" ref="AJ605">INDEX(AJ$292:AJ$584,MATCH($B605&amp;$D605,$B$292:$B$584&amp;$D$292:$D$584,0))</f>
        <v>59.031919591029833</v>
      </c>
      <c r="AK605" s="416" cm="1">
        <f t="array" ref="AK605">INDEX(AK$292:AK$584,MATCH($B605&amp;$D605,$B$292:$B$584&amp;$D$292:$D$584,0))</f>
        <v>59.917398384895279</v>
      </c>
      <c r="AL605" s="416" cm="1">
        <f t="array" ref="AL605">INDEX(AL$292:AL$584,MATCH($B605&amp;$D605,$B$292:$B$584&amp;$D$292:$D$584,0))</f>
        <v>60.816159360668699</v>
      </c>
      <c r="AM605" s="416" cm="1">
        <f t="array" ref="AM605">INDEX(AM$292:AM$584,MATCH($B605&amp;$D605,$B$292:$B$584&amp;$D$292:$D$584,0))</f>
        <v>61.728401751078721</v>
      </c>
      <c r="AN605" s="416" cm="1">
        <f t="array" ref="AN605">INDEX(AN$292:AN$584,MATCH($B605&amp;$D605,$B$292:$B$584&amp;$D$292:$D$584,0))</f>
        <v>62.654327777344896</v>
      </c>
      <c r="AO605" s="416" cm="1">
        <f t="array" ref="AO605">INDEX(AO$292:AO$584,MATCH($B605&amp;$D605,$B$292:$B$584&amp;$D$292:$D$584,0))</f>
        <v>63.594142694005065</v>
      </c>
      <c r="AP605" s="416" cm="1">
        <f t="array" ref="AP605">INDEX(AP$292:AP$584,MATCH($B605&amp;$D605,$B$292:$B$584&amp;$D$292:$D$584,0))</f>
        <v>64.548054834415126</v>
      </c>
      <c r="AQ605" s="416" cm="1">
        <f t="array" ref="AQ605">INDEX(AQ$292:AQ$584,MATCH($B605&amp;$D605,$B$292:$B$584&amp;$D$292:$D$584,0))</f>
        <v>65.516275656931356</v>
      </c>
      <c r="AR605" s="416" cm="1">
        <f t="array" ref="AR605">INDEX(AR$292:AR$584,MATCH($B605&amp;$D605,$B$292:$B$584&amp;$D$292:$D$584,0))</f>
        <v>66.499019791785329</v>
      </c>
      <c r="AS605" s="416" cm="1">
        <f t="array" ref="AS605">INDEX(AS$292:AS$584,MATCH($B605&amp;$D605,$B$292:$B$584&amp;$D$292:$D$584,0))</f>
        <v>67.496505088662104</v>
      </c>
      <c r="AT605" s="416" cm="1">
        <f t="array" ref="AT605">INDEX(AT$292:AT$584,MATCH($B605&amp;$D605,$B$292:$B$584&amp;$D$292:$D$584,0))</f>
        <v>68.508952664992037</v>
      </c>
      <c r="AU605" s="416" cm="1">
        <f t="array" ref="AU605">INDEX(AU$292:AU$584,MATCH($B605&amp;$D605,$B$292:$B$584&amp;$D$292:$D$584,0))</f>
        <v>69.536586954966907</v>
      </c>
      <c r="AV605" s="416" cm="1">
        <f t="array" ref="AV605">INDEX(AV$292:AV$584,MATCH($B605&amp;$D605,$B$292:$B$584&amp;$D$292:$D$584,0))</f>
        <v>70.579635759291406</v>
      </c>
      <c r="AW605" s="416" cm="1">
        <f t="array" ref="AW605">INDEX(AW$292:AW$584,MATCH($B605&amp;$D605,$B$292:$B$584&amp;$D$292:$D$584,0))</f>
        <v>71.63833029568076</v>
      </c>
      <c r="AX605" s="416" cm="1">
        <f t="array" ref="AX605">INDEX(AX$292:AX$584,MATCH($B605&amp;$D605,$B$292:$B$584&amp;$D$292:$D$584,0))</f>
        <v>72.712905250115966</v>
      </c>
      <c r="AY605" s="416" cm="1">
        <f t="array" ref="AY605">INDEX(AY$292:AY$584,MATCH($B605&amp;$D605,$B$292:$B$584&amp;$D$292:$D$584,0))</f>
        <v>73.803598828867706</v>
      </c>
      <c r="AZ605" s="416" cm="1">
        <f t="array" ref="AZ605">INDEX(AZ$292:AZ$584,MATCH($B605&amp;$D605,$B$292:$B$584&amp;$D$292:$D$584,0))</f>
        <v>74.910652811300722</v>
      </c>
      <c r="BA605" s="416" cm="1">
        <f t="array" ref="BA605">INDEX(BA$292:BA$584,MATCH($B605&amp;$D605,$B$292:$B$584&amp;$D$292:$D$584,0))</f>
        <v>76.034312603470241</v>
      </c>
      <c r="BB605" s="416" cm="1">
        <f t="array" ref="BB605">INDEX(BB$292:BB$584,MATCH($B605&amp;$D605,$B$292:$B$584&amp;$D$292:$D$584,0))</f>
        <v>77.022758667315358</v>
      </c>
      <c r="BC605" s="416" cm="1">
        <f t="array" ref="BC605">INDEX(BC$292:BC$584,MATCH($B605&amp;$D605,$B$292:$B$584&amp;$D$292:$D$584,0))</f>
        <v>77.94703177132314</v>
      </c>
      <c r="BD605" s="416" cm="1">
        <f t="array" ref="BD605">INDEX(BD$292:BD$584,MATCH($B605&amp;$D605,$B$292:$B$584&amp;$D$292:$D$584,0))</f>
        <v>78.804449120807689</v>
      </c>
      <c r="BE605" s="416" cm="1">
        <f t="array" ref="BE605">INDEX(BE$292:BE$584,MATCH($B605&amp;$D605,$B$292:$B$584&amp;$D$292:$D$584,0))</f>
        <v>79.592493612015772</v>
      </c>
      <c r="BF605" s="416" cm="1">
        <f t="array" ref="BF605">INDEX(BF$292:BF$584,MATCH($B605&amp;$D605,$B$292:$B$584&amp;$D$292:$D$584,0))</f>
        <v>80.388418548135931</v>
      </c>
    </row>
    <row r="606" spans="1:58" x14ac:dyDescent="0.3">
      <c r="A606" s="224"/>
      <c r="B606" s="224" t="s">
        <v>1086</v>
      </c>
      <c r="C606" s="224"/>
      <c r="D606" s="224" t="s">
        <v>885</v>
      </c>
      <c r="E606" s="224"/>
      <c r="F606" s="224"/>
      <c r="G606" s="224"/>
      <c r="H606" s="224"/>
      <c r="I606" s="224"/>
      <c r="J606" s="224"/>
      <c r="K606" s="224"/>
      <c r="L606" s="117"/>
      <c r="M606" s="220" t="s">
        <v>1126</v>
      </c>
      <c r="N606" s="219" t="s">
        <v>77</v>
      </c>
      <c r="O606" s="416" cm="1">
        <f t="array" ref="O606">INDEX(O$292:O$584,MATCH($B606&amp;$D606,$B$292:$B$584&amp;$D$292:$D$584,0))/1000</f>
        <v>0</v>
      </c>
      <c r="P606" s="416" cm="1">
        <f t="array" ref="P606">INDEX(P$292:P$584,MATCH($B606&amp;$D606,$B$292:$B$584&amp;$D$292:$D$584,0))/1000</f>
        <v>0</v>
      </c>
      <c r="Q606" s="416" cm="1">
        <f t="array" ref="Q606">INDEX(Q$292:Q$584,MATCH($B606&amp;$D606,$B$292:$B$584&amp;$D$292:$D$584,0))/1000</f>
        <v>0</v>
      </c>
      <c r="R606" s="416" cm="1">
        <f t="array" ref="R606">INDEX(R$292:R$584,MATCH($B606&amp;$D606,$B$292:$B$584&amp;$D$292:$D$584,0))/1000</f>
        <v>0</v>
      </c>
      <c r="S606" s="416" cm="1">
        <f t="array" ref="S606">INDEX(S$292:S$584,MATCH($B606&amp;$D606,$B$292:$B$584&amp;$D$292:$D$584,0))/1000</f>
        <v>0</v>
      </c>
      <c r="T606" s="416" cm="1">
        <f t="array" ref="T606">INDEX(T$292:T$584,MATCH($B606&amp;$D606,$B$292:$B$584&amp;$D$292:$D$584,0))/1000</f>
        <v>0</v>
      </c>
      <c r="U606" s="416" cm="1">
        <f t="array" ref="U606">INDEX(U$292:U$584,MATCH($B606&amp;$D606,$B$292:$B$584&amp;$D$292:$D$584,0))/1000</f>
        <v>0</v>
      </c>
      <c r="V606" s="416" cm="1">
        <f t="array" ref="V606">INDEX(V$292:V$584,MATCH($B606&amp;$D606,$B$292:$B$584&amp;$D$292:$D$584,0))/1000</f>
        <v>0</v>
      </c>
      <c r="W606" s="416" cm="1">
        <f t="array" ref="W606">INDEX(W$292:W$584,MATCH($B606&amp;$D606,$B$292:$B$584&amp;$D$292:$D$584,0))/1000</f>
        <v>0</v>
      </c>
      <c r="X606" s="416" cm="1">
        <f t="array" ref="X606">INDEX(X$292:X$584,MATCH($B606&amp;$D606,$B$292:$B$584&amp;$D$292:$D$584,0))/1000</f>
        <v>0</v>
      </c>
      <c r="Y606" s="394"/>
      <c r="Z606" s="217"/>
      <c r="AA606" s="217"/>
      <c r="AB606" s="416" cm="1">
        <f t="array" ref="AB606">INDEX(AB$292:AB$584,MATCH($B606&amp;$D606,$B$292:$B$584&amp;$D$292:$D$584,0))</f>
        <v>0</v>
      </c>
      <c r="AC606" s="417" cm="1">
        <f t="array" ref="AC606">INDEX(AC$292:AC$584,MATCH($B606&amp;$D606,$B$292:$B$584&amp;$D$292:$D$584,0))</f>
        <v>0</v>
      </c>
      <c r="AD606" s="416" cm="1">
        <f t="array" ref="AD606">INDEX(AD$292:AD$584,MATCH($B606&amp;$D606,$B$292:$B$584&amp;$D$292:$D$584,0))</f>
        <v>0</v>
      </c>
      <c r="AE606" s="416" cm="1">
        <f t="array" ref="AE606">INDEX(AE$292:AE$584,MATCH($B606&amp;$D606,$B$292:$B$584&amp;$D$292:$D$584,0))</f>
        <v>0</v>
      </c>
      <c r="AF606" s="416" cm="1">
        <f t="array" ref="AF606">INDEX(AF$292:AF$584,MATCH($B606&amp;$D606,$B$292:$B$584&amp;$D$292:$D$584,0))</f>
        <v>0</v>
      </c>
      <c r="AG606" s="416" cm="1">
        <f t="array" ref="AG606">INDEX(AG$292:AG$584,MATCH($B606&amp;$D606,$B$292:$B$584&amp;$D$292:$D$584,0))</f>
        <v>0</v>
      </c>
      <c r="AH606" s="416" cm="1">
        <f t="array" ref="AH606">INDEX(AH$292:AH$584,MATCH($B606&amp;$D606,$B$292:$B$584&amp;$D$292:$D$584,0))</f>
        <v>0</v>
      </c>
      <c r="AI606" s="416" cm="1">
        <f t="array" ref="AI606">INDEX(AI$292:AI$584,MATCH($B606&amp;$D606,$B$292:$B$584&amp;$D$292:$D$584,0))</f>
        <v>0</v>
      </c>
      <c r="AJ606" s="416" cm="1">
        <f t="array" ref="AJ606">INDEX(AJ$292:AJ$584,MATCH($B606&amp;$D606,$B$292:$B$584&amp;$D$292:$D$584,0))</f>
        <v>0</v>
      </c>
      <c r="AK606" s="416" cm="1">
        <f t="array" ref="AK606">INDEX(AK$292:AK$584,MATCH($B606&amp;$D606,$B$292:$B$584&amp;$D$292:$D$584,0))</f>
        <v>0</v>
      </c>
      <c r="AL606" s="416" cm="1">
        <f t="array" ref="AL606">INDEX(AL$292:AL$584,MATCH($B606&amp;$D606,$B$292:$B$584&amp;$D$292:$D$584,0))</f>
        <v>0</v>
      </c>
      <c r="AM606" s="416" cm="1">
        <f t="array" ref="AM606">INDEX(AM$292:AM$584,MATCH($B606&amp;$D606,$B$292:$B$584&amp;$D$292:$D$584,0))</f>
        <v>0</v>
      </c>
      <c r="AN606" s="416" cm="1">
        <f t="array" ref="AN606">INDEX(AN$292:AN$584,MATCH($B606&amp;$D606,$B$292:$B$584&amp;$D$292:$D$584,0))</f>
        <v>0</v>
      </c>
      <c r="AO606" s="416" cm="1">
        <f t="array" ref="AO606">INDEX(AO$292:AO$584,MATCH($B606&amp;$D606,$B$292:$B$584&amp;$D$292:$D$584,0))</f>
        <v>0</v>
      </c>
      <c r="AP606" s="416" cm="1">
        <f t="array" ref="AP606">INDEX(AP$292:AP$584,MATCH($B606&amp;$D606,$B$292:$B$584&amp;$D$292:$D$584,0))</f>
        <v>0</v>
      </c>
      <c r="AQ606" s="416" cm="1">
        <f t="array" ref="AQ606">INDEX(AQ$292:AQ$584,MATCH($B606&amp;$D606,$B$292:$B$584&amp;$D$292:$D$584,0))</f>
        <v>0</v>
      </c>
      <c r="AR606" s="416" cm="1">
        <f t="array" ref="AR606">INDEX(AR$292:AR$584,MATCH($B606&amp;$D606,$B$292:$B$584&amp;$D$292:$D$584,0))</f>
        <v>0</v>
      </c>
      <c r="AS606" s="416" cm="1">
        <f t="array" ref="AS606">INDEX(AS$292:AS$584,MATCH($B606&amp;$D606,$B$292:$B$584&amp;$D$292:$D$584,0))</f>
        <v>0</v>
      </c>
      <c r="AT606" s="416" cm="1">
        <f t="array" ref="AT606">INDEX(AT$292:AT$584,MATCH($B606&amp;$D606,$B$292:$B$584&amp;$D$292:$D$584,0))</f>
        <v>0</v>
      </c>
      <c r="AU606" s="416" cm="1">
        <f t="array" ref="AU606">INDEX(AU$292:AU$584,MATCH($B606&amp;$D606,$B$292:$B$584&amp;$D$292:$D$584,0))</f>
        <v>0</v>
      </c>
      <c r="AV606" s="416" cm="1">
        <f t="array" ref="AV606">INDEX(AV$292:AV$584,MATCH($B606&amp;$D606,$B$292:$B$584&amp;$D$292:$D$584,0))</f>
        <v>0</v>
      </c>
      <c r="AW606" s="416" cm="1">
        <f t="array" ref="AW606">INDEX(AW$292:AW$584,MATCH($B606&amp;$D606,$B$292:$B$584&amp;$D$292:$D$584,0))</f>
        <v>0</v>
      </c>
      <c r="AX606" s="416" cm="1">
        <f t="array" ref="AX606">INDEX(AX$292:AX$584,MATCH($B606&amp;$D606,$B$292:$B$584&amp;$D$292:$D$584,0))</f>
        <v>0</v>
      </c>
      <c r="AY606" s="416" cm="1">
        <f t="array" ref="AY606">INDEX(AY$292:AY$584,MATCH($B606&amp;$D606,$B$292:$B$584&amp;$D$292:$D$584,0))</f>
        <v>0</v>
      </c>
      <c r="AZ606" s="416" cm="1">
        <f t="array" ref="AZ606">INDEX(AZ$292:AZ$584,MATCH($B606&amp;$D606,$B$292:$B$584&amp;$D$292:$D$584,0))</f>
        <v>0</v>
      </c>
      <c r="BA606" s="416" cm="1">
        <f t="array" ref="BA606">INDEX(BA$292:BA$584,MATCH($B606&amp;$D606,$B$292:$B$584&amp;$D$292:$D$584,0))</f>
        <v>0</v>
      </c>
      <c r="BB606" s="416" cm="1">
        <f t="array" ref="BB606">INDEX(BB$292:BB$584,MATCH($B606&amp;$D606,$B$292:$B$584&amp;$D$292:$D$584,0))</f>
        <v>0</v>
      </c>
      <c r="BC606" s="416" cm="1">
        <f t="array" ref="BC606">INDEX(BC$292:BC$584,MATCH($B606&amp;$D606,$B$292:$B$584&amp;$D$292:$D$584,0))</f>
        <v>0</v>
      </c>
      <c r="BD606" s="416" cm="1">
        <f t="array" ref="BD606">INDEX(BD$292:BD$584,MATCH($B606&amp;$D606,$B$292:$B$584&amp;$D$292:$D$584,0))</f>
        <v>0</v>
      </c>
      <c r="BE606" s="416" cm="1">
        <f t="array" ref="BE606">INDEX(BE$292:BE$584,MATCH($B606&amp;$D606,$B$292:$B$584&amp;$D$292:$D$584,0))</f>
        <v>0</v>
      </c>
      <c r="BF606" s="416" cm="1">
        <f t="array" ref="BF606">INDEX(BF$292:BF$584,MATCH($B606&amp;$D606,$B$292:$B$584&amp;$D$292:$D$584,0))</f>
        <v>0</v>
      </c>
    </row>
    <row r="607" spans="1:58" x14ac:dyDescent="0.3">
      <c r="A607" s="224"/>
      <c r="B607" s="224" t="s">
        <v>1095</v>
      </c>
      <c r="C607" s="224"/>
      <c r="D607" s="224" t="s">
        <v>885</v>
      </c>
      <c r="E607" s="224"/>
      <c r="F607" s="224"/>
      <c r="G607" s="224"/>
      <c r="H607" s="224"/>
      <c r="I607" s="224"/>
      <c r="J607" s="224"/>
      <c r="K607" s="224"/>
      <c r="L607" s="117"/>
      <c r="M607" s="220" t="s">
        <v>1127</v>
      </c>
      <c r="N607" s="219" t="s">
        <v>77</v>
      </c>
      <c r="O607" s="416" cm="1">
        <f t="array" ref="O607">INDEX(O$292:O$584,MATCH($B607&amp;$D607,$B$292:$B$584&amp;$D$292:$D$584,0))/1000</f>
        <v>0.42157254939831751</v>
      </c>
      <c r="P607" s="416" cm="1">
        <f t="array" ref="P607">INDEX(P$292:P$584,MATCH($B607&amp;$D607,$B$292:$B$584&amp;$D$292:$D$584,0))/1000</f>
        <v>0.54444444444444451</v>
      </c>
      <c r="Q607" s="416" cm="1">
        <f t="array" ref="Q607">INDEX(Q$292:Q$584,MATCH($B607&amp;$D607,$B$292:$B$584&amp;$D$292:$D$584,0))/1000</f>
        <v>0.58180224477766951</v>
      </c>
      <c r="R607" s="416" cm="1">
        <f t="array" ref="R607">INDEX(R$292:R$584,MATCH($B607&amp;$D607,$B$292:$B$584&amp;$D$292:$D$584,0))/1000</f>
        <v>0.56422868419276495</v>
      </c>
      <c r="S607" s="416" cm="1">
        <f t="array" ref="S607">INDEX(S$292:S$584,MATCH($B607&amp;$D607,$B$292:$B$584&amp;$D$292:$D$584,0))/1000</f>
        <v>0.56183388906094012</v>
      </c>
      <c r="T607" s="416" cm="1">
        <f t="array" ref="T607">INDEX(T$292:T$584,MATCH($B607&amp;$D607,$B$292:$B$584&amp;$D$292:$D$584,0))/1000</f>
        <v>0.55294214177963752</v>
      </c>
      <c r="U607" s="416" cm="1">
        <f t="array" ref="U607">INDEX(U$292:U$584,MATCH($B607&amp;$D607,$B$292:$B$584&amp;$D$292:$D$584,0))/1000</f>
        <v>0.69782797738572067</v>
      </c>
      <c r="V607" s="416" cm="1">
        <f t="array" ref="V607">INDEX(V$292:V$584,MATCH($B607&amp;$D607,$B$292:$B$584&amp;$D$292:$D$584,0))/1000</f>
        <v>0.58362959328344444</v>
      </c>
      <c r="W607" s="416" cm="1">
        <f t="array" ref="W607">INDEX(W$292:W$584,MATCH($B607&amp;$D607,$B$292:$B$584&amp;$D$292:$D$584,0))/1000</f>
        <v>0.61240030588056638</v>
      </c>
      <c r="X607" s="416" cm="1">
        <f t="array" ref="X607">INDEX(X$292:X$584,MATCH($B607&amp;$D607,$B$292:$B$584&amp;$D$292:$D$584,0))/1000</f>
        <v>0.57360355547452424</v>
      </c>
      <c r="Y607" s="394"/>
      <c r="Z607" s="217"/>
      <c r="AA607" s="217"/>
      <c r="AB607" s="416" cm="1">
        <f t="array" ref="AB607">INDEX(AB$292:AB$584,MATCH($B607&amp;$D607,$B$292:$B$584&amp;$D$292:$D$584,0))</f>
        <v>626.94444444444446</v>
      </c>
      <c r="AC607" s="417" cm="1">
        <f t="array" ref="AC607">INDEX(AC$292:AC$584,MATCH($B607&amp;$D607,$B$292:$B$584&amp;$D$292:$D$584,0))</f>
        <v>363.88888888888891</v>
      </c>
      <c r="AD607" s="416" cm="1">
        <f t="array" ref="AD607">INDEX(AD$292:AD$584,MATCH($B607&amp;$D607,$B$292:$B$584&amp;$D$292:$D$584,0))</f>
        <v>633.21388888888885</v>
      </c>
      <c r="AE607" s="416" cm="1">
        <f t="array" ref="AE607">INDEX(AE$292:AE$584,MATCH($B607&amp;$D607,$B$292:$B$584&amp;$D$292:$D$584,0))</f>
        <v>640.81245555555563</v>
      </c>
      <c r="AF607" s="416" cm="1">
        <f t="array" ref="AF607">INDEX(AF$292:AF$584,MATCH($B607&amp;$D607,$B$292:$B$584&amp;$D$292:$D$584,0))</f>
        <v>650.42464238888897</v>
      </c>
      <c r="AG607" s="416" cm="1">
        <f t="array" ref="AG607">INDEX(AG$292:AG$584,MATCH($B607&amp;$D607,$B$292:$B$584&amp;$D$292:$D$584,0))</f>
        <v>660.18101202472224</v>
      </c>
      <c r="AH607" s="416" cm="1">
        <f t="array" ref="AH607">INDEX(AH$292:AH$584,MATCH($B607&amp;$D607,$B$292:$B$584&amp;$D$292:$D$584,0))</f>
        <v>670.08372720509294</v>
      </c>
      <c r="AI607" s="416" cm="1">
        <f t="array" ref="AI607">INDEX(AI$292:AI$584,MATCH($B607&amp;$D607,$B$292:$B$584&amp;$D$292:$D$584,0))</f>
        <v>680.13498311316926</v>
      </c>
      <c r="AJ607" s="416" cm="1">
        <f t="array" ref="AJ607">INDEX(AJ$292:AJ$584,MATCH($B607&amp;$D607,$B$292:$B$584&amp;$D$292:$D$584,0))</f>
        <v>690.33700785986673</v>
      </c>
      <c r="AK607" s="416" cm="1">
        <f t="array" ref="AK607">INDEX(AK$292:AK$584,MATCH($B607&amp;$D607,$B$292:$B$584&amp;$D$292:$D$584,0))</f>
        <v>700.69206297776475</v>
      </c>
      <c r="AL607" s="416" cm="1">
        <f t="array" ref="AL607">INDEX(AL$292:AL$584,MATCH($B607&amp;$D607,$B$292:$B$584&amp;$D$292:$D$584,0))</f>
        <v>711.20244392243069</v>
      </c>
      <c r="AM607" s="416" cm="1">
        <f t="array" ref="AM607">INDEX(AM$292:AM$584,MATCH($B607&amp;$D607,$B$292:$B$584&amp;$D$292:$D$584,0))</f>
        <v>721.8704805812672</v>
      </c>
      <c r="AN607" s="416" cm="1">
        <f t="array" ref="AN607">INDEX(AN$292:AN$584,MATCH($B607&amp;$D607,$B$292:$B$584&amp;$D$292:$D$584,0))</f>
        <v>732.69853778998618</v>
      </c>
      <c r="AO607" s="416" cm="1">
        <f t="array" ref="AO607">INDEX(AO$292:AO$584,MATCH($B607&amp;$D607,$B$292:$B$584&amp;$D$292:$D$584,0))</f>
        <v>743.68901585683591</v>
      </c>
      <c r="AP607" s="416" cm="1">
        <f t="array" ref="AP607">INDEX(AP$292:AP$584,MATCH($B607&amp;$D607,$B$292:$B$584&amp;$D$292:$D$584,0))</f>
        <v>754.84435109468836</v>
      </c>
      <c r="AQ607" s="416" cm="1">
        <f t="array" ref="AQ607">INDEX(AQ$292:AQ$584,MATCH($B607&amp;$D607,$B$292:$B$584&amp;$D$292:$D$584,0))</f>
        <v>766.16701636110872</v>
      </c>
      <c r="AR607" s="416" cm="1">
        <f t="array" ref="AR607">INDEX(AR$292:AR$584,MATCH($B607&amp;$D607,$B$292:$B$584&amp;$D$292:$D$584,0))</f>
        <v>777.65952160652535</v>
      </c>
      <c r="AS607" s="416" cm="1">
        <f t="array" ref="AS607">INDEX(AS$292:AS$584,MATCH($B607&amp;$D607,$B$292:$B$584&amp;$D$292:$D$584,0))</f>
        <v>789.32441443062294</v>
      </c>
      <c r="AT607" s="416" cm="1">
        <f t="array" ref="AT607">INDEX(AT$292:AT$584,MATCH($B607&amp;$D607,$B$292:$B$584&amp;$D$292:$D$584,0))</f>
        <v>801.16428064708248</v>
      </c>
      <c r="AU607" s="416" cm="1">
        <f t="array" ref="AU607">INDEX(AU$292:AU$584,MATCH($B607&amp;$D607,$B$292:$B$584&amp;$D$292:$D$584,0))</f>
        <v>813.18174485678855</v>
      </c>
      <c r="AV607" s="416" cm="1">
        <f t="array" ref="AV607">INDEX(AV$292:AV$584,MATCH($B607&amp;$D607,$B$292:$B$584&amp;$D$292:$D$584,0))</f>
        <v>825.3794710296404</v>
      </c>
      <c r="AW607" s="416" cm="1">
        <f t="array" ref="AW607">INDEX(AW$292:AW$584,MATCH($B607&amp;$D607,$B$292:$B$584&amp;$D$292:$D$584,0))</f>
        <v>837.76016309508486</v>
      </c>
      <c r="AX607" s="416" cm="1">
        <f t="array" ref="AX607">INDEX(AX$292:AX$584,MATCH($B607&amp;$D607,$B$292:$B$584&amp;$D$292:$D$584,0))</f>
        <v>850.32656554151117</v>
      </c>
      <c r="AY607" s="416" cm="1">
        <f t="array" ref="AY607">INDEX(AY$292:AY$584,MATCH($B607&amp;$D607,$B$292:$B$584&amp;$D$292:$D$584,0))</f>
        <v>863.08146402463387</v>
      </c>
      <c r="AZ607" s="416" cm="1">
        <f t="array" ref="AZ607">INDEX(AZ$292:AZ$584,MATCH($B607&amp;$D607,$B$292:$B$584&amp;$D$292:$D$584,0))</f>
        <v>876.02768598500325</v>
      </c>
      <c r="BA607" s="416" cm="1">
        <f t="array" ref="BA607">INDEX(BA$292:BA$584,MATCH($B607&amp;$D607,$B$292:$B$584&amp;$D$292:$D$584,0))</f>
        <v>889.168101274778</v>
      </c>
      <c r="BB607" s="416" cm="1">
        <f t="array" ref="BB607">INDEX(BB$292:BB$584,MATCH($B607&amp;$D607,$B$292:$B$584&amp;$D$292:$D$584,0))</f>
        <v>900.72728659134998</v>
      </c>
      <c r="BC607" s="416" cm="1">
        <f t="array" ref="BC607">INDEX(BC$292:BC$584,MATCH($B607&amp;$D607,$B$292:$B$584&amp;$D$292:$D$584,0))</f>
        <v>911.53601403044604</v>
      </c>
      <c r="BD607" s="416" cm="1">
        <f t="array" ref="BD607">INDEX(BD$292:BD$584,MATCH($B607&amp;$D607,$B$292:$B$584&amp;$D$292:$D$584,0))</f>
        <v>921.56291018478089</v>
      </c>
      <c r="BE607" s="416" cm="1">
        <f t="array" ref="BE607">INDEX(BE$292:BE$584,MATCH($B607&amp;$D607,$B$292:$B$584&amp;$D$292:$D$584,0))</f>
        <v>930.77853928662876</v>
      </c>
      <c r="BF607" s="416" cm="1">
        <f t="array" ref="BF607">INDEX(BF$292:BF$584,MATCH($B607&amp;$D607,$B$292:$B$584&amp;$D$292:$D$584,0))</f>
        <v>940.08632467949508</v>
      </c>
    </row>
    <row r="608" spans="1:58" x14ac:dyDescent="0.3">
      <c r="A608" s="224"/>
      <c r="B608" s="224"/>
      <c r="C608" s="224"/>
      <c r="D608" s="224"/>
      <c r="E608" s="224"/>
      <c r="F608" s="224"/>
      <c r="G608" s="224"/>
      <c r="H608" s="224"/>
      <c r="I608" s="224"/>
      <c r="J608" s="224"/>
      <c r="K608" s="224"/>
      <c r="L608" s="117"/>
      <c r="M608" s="222" t="s">
        <v>1128</v>
      </c>
      <c r="N608" s="219" t="s">
        <v>77</v>
      </c>
      <c r="O608" s="424">
        <f>O601+O605+O606+O607</f>
        <v>6.7190844249581971</v>
      </c>
      <c r="P608" s="424">
        <f t="shared" ref="P608:X608" si="939">P601+P605+P606+P607</f>
        <v>6.8162494365103958</v>
      </c>
      <c r="Q608" s="424">
        <f t="shared" si="939"/>
        <v>6.5600140106991045</v>
      </c>
      <c r="R608" s="424">
        <f t="shared" si="939"/>
        <v>7.4386614301211065</v>
      </c>
      <c r="S608" s="424">
        <f t="shared" si="939"/>
        <v>6.4642134048481799</v>
      </c>
      <c r="T608" s="424">
        <f t="shared" si="939"/>
        <v>6.2204926718672686</v>
      </c>
      <c r="U608" s="424">
        <f t="shared" si="939"/>
        <v>5.3242708670491128</v>
      </c>
      <c r="V608" s="424">
        <f t="shared" si="939"/>
        <v>5.4168720994421715</v>
      </c>
      <c r="W608" s="424">
        <f t="shared" si="939"/>
        <v>5.6621841029590785</v>
      </c>
      <c r="X608" s="424">
        <f t="shared" si="939"/>
        <v>5.3583232915978893</v>
      </c>
      <c r="Y608" s="394"/>
      <c r="Z608" s="224"/>
      <c r="AA608" s="224"/>
      <c r="AB608" s="955">
        <f>AB601+AB605+AB606+AB607</f>
        <v>4749.4444444444443</v>
      </c>
      <c r="AC608" s="956">
        <f>AC601+AC605+AC606+AC607</f>
        <v>4398.6111111111104</v>
      </c>
      <c r="AD608" s="412"/>
      <c r="AE608" s="412"/>
      <c r="AF608" s="412"/>
      <c r="AG608" s="412"/>
      <c r="AH608" s="412"/>
      <c r="AI608" s="412"/>
      <c r="AJ608" s="412"/>
      <c r="AK608" s="412"/>
      <c r="AL608" s="412"/>
      <c r="AM608" s="412"/>
      <c r="AN608" s="412"/>
      <c r="AO608" s="412"/>
      <c r="AP608" s="412"/>
      <c r="AQ608" s="412"/>
      <c r="AR608" s="412"/>
      <c r="AS608" s="412"/>
      <c r="AT608" s="412"/>
      <c r="AU608" s="412"/>
      <c r="AV608" s="412"/>
      <c r="AW608" s="412"/>
      <c r="AX608" s="412"/>
      <c r="AY608" s="412"/>
      <c r="AZ608" s="412"/>
      <c r="BA608" s="412"/>
      <c r="BB608" s="412"/>
      <c r="BC608" s="412"/>
      <c r="BD608" s="412"/>
      <c r="BE608" s="412"/>
      <c r="BF608" s="412"/>
    </row>
    <row r="609" spans="1:58" x14ac:dyDescent="0.3">
      <c r="A609" s="224"/>
      <c r="B609" s="224"/>
      <c r="C609" s="224"/>
      <c r="D609" s="224"/>
      <c r="E609" s="224"/>
      <c r="F609" s="224"/>
      <c r="G609" s="224"/>
      <c r="H609" s="224"/>
      <c r="I609" s="224"/>
      <c r="J609" s="224"/>
      <c r="K609" s="224"/>
      <c r="L609" s="117"/>
      <c r="M609" s="222" t="s">
        <v>1129</v>
      </c>
      <c r="N609" s="219" t="s">
        <v>77</v>
      </c>
      <c r="O609" s="423">
        <v>6.7186111111111124</v>
      </c>
      <c r="P609" s="423">
        <v>6.8161111111111117</v>
      </c>
      <c r="Q609" s="423">
        <v>6.5602777777777774</v>
      </c>
      <c r="R609" s="423">
        <v>7.4386111111111113</v>
      </c>
      <c r="S609" s="423">
        <v>6.4644444444444442</v>
      </c>
      <c r="T609" s="423">
        <v>6.2222222222222214</v>
      </c>
      <c r="U609" s="423">
        <v>5.3241666666666667</v>
      </c>
      <c r="V609" s="423">
        <v>5.4169444444444448</v>
      </c>
      <c r="W609" s="423">
        <v>5.6736111111111107</v>
      </c>
      <c r="X609" s="423">
        <v>5.341388888888889</v>
      </c>
      <c r="Y609" s="394"/>
      <c r="Z609" s="224"/>
      <c r="AA609" s="224"/>
      <c r="AB609" s="423"/>
      <c r="AC609" s="423"/>
      <c r="AD609" s="425">
        <f>AD610</f>
        <v>4796.938888888888</v>
      </c>
      <c r="AE609" s="425">
        <f t="shared" ref="AE609:BF609" si="940">AE610</f>
        <v>4854.5021555555568</v>
      </c>
      <c r="AF609" s="425">
        <f t="shared" si="940"/>
        <v>4927.3196878888884</v>
      </c>
      <c r="AG609" s="425">
        <f t="shared" si="940"/>
        <v>5001.2294832072203</v>
      </c>
      <c r="AH609" s="425">
        <f t="shared" si="940"/>
        <v>5076.2479254553282</v>
      </c>
      <c r="AI609" s="425">
        <f t="shared" si="940"/>
        <v>5152.3916443371581</v>
      </c>
      <c r="AJ609" s="425">
        <f t="shared" si="940"/>
        <v>5229.6775190022154</v>
      </c>
      <c r="AK609" s="425">
        <f t="shared" si="940"/>
        <v>5308.1226817872484</v>
      </c>
      <c r="AL609" s="425">
        <f t="shared" si="940"/>
        <v>5387.7445220140553</v>
      </c>
      <c r="AM609" s="425">
        <f t="shared" si="940"/>
        <v>5468.5606898442657</v>
      </c>
      <c r="AN609" s="425">
        <f t="shared" si="940"/>
        <v>5550.5891001919308</v>
      </c>
      <c r="AO609" s="425">
        <f t="shared" si="940"/>
        <v>5633.8479366948086</v>
      </c>
      <c r="AP609" s="425">
        <f t="shared" si="940"/>
        <v>5718.3556557452293</v>
      </c>
      <c r="AQ609" s="425">
        <f t="shared" si="940"/>
        <v>5804.1309905814087</v>
      </c>
      <c r="AR609" s="425">
        <f t="shared" si="940"/>
        <v>5891.1929554401286</v>
      </c>
      <c r="AS609" s="425">
        <f t="shared" si="940"/>
        <v>5979.5608497717294</v>
      </c>
      <c r="AT609" s="425">
        <f t="shared" si="940"/>
        <v>6069.254262518305</v>
      </c>
      <c r="AU609" s="425">
        <f t="shared" si="940"/>
        <v>6160.2930764560788</v>
      </c>
      <c r="AV609" s="425">
        <f t="shared" si="940"/>
        <v>6252.6974726029202</v>
      </c>
      <c r="AW609" s="425">
        <f t="shared" si="940"/>
        <v>6346.4879346919633</v>
      </c>
      <c r="AX609" s="425">
        <f t="shared" si="940"/>
        <v>6441.6852537123414</v>
      </c>
      <c r="AY609" s="425">
        <f t="shared" si="940"/>
        <v>6538.310532518025</v>
      </c>
      <c r="AZ609" s="425">
        <f t="shared" si="940"/>
        <v>6636.3851905057963</v>
      </c>
      <c r="BA609" s="425">
        <f t="shared" si="940"/>
        <v>6735.9309683633819</v>
      </c>
      <c r="BB609" s="425">
        <f t="shared" si="940"/>
        <v>6823.4980709521051</v>
      </c>
      <c r="BC609" s="425">
        <f t="shared" si="940"/>
        <v>6905.38004780353</v>
      </c>
      <c r="BD609" s="425">
        <f t="shared" si="940"/>
        <v>6981.339228329367</v>
      </c>
      <c r="BE609" s="425">
        <f t="shared" si="940"/>
        <v>7051.15262061266</v>
      </c>
      <c r="BF609" s="425">
        <f t="shared" si="940"/>
        <v>7121.6641468187881</v>
      </c>
    </row>
    <row r="610" spans="1:58" x14ac:dyDescent="0.3">
      <c r="A610" s="224"/>
      <c r="B610" s="224" t="s">
        <v>883</v>
      </c>
      <c r="C610" s="224" t="s">
        <v>884</v>
      </c>
      <c r="D610" s="224" t="s">
        <v>885</v>
      </c>
      <c r="E610" s="224"/>
      <c r="F610" s="224"/>
      <c r="G610" s="224"/>
      <c r="H610" s="224"/>
      <c r="I610" s="224"/>
      <c r="J610" s="224"/>
      <c r="K610" s="224"/>
      <c r="L610" s="117"/>
      <c r="M610" s="77" t="s">
        <v>896</v>
      </c>
      <c r="N610" s="219" t="s">
        <v>77</v>
      </c>
      <c r="O610" s="423">
        <f>O609</f>
        <v>6.7186111111111124</v>
      </c>
      <c r="P610" s="423">
        <f t="shared" ref="P610:X610" si="941">P609</f>
        <v>6.8161111111111117</v>
      </c>
      <c r="Q610" s="423">
        <f t="shared" si="941"/>
        <v>6.5602777777777774</v>
      </c>
      <c r="R610" s="423">
        <f t="shared" si="941"/>
        <v>7.4386111111111113</v>
      </c>
      <c r="S610" s="423">
        <f t="shared" si="941"/>
        <v>6.4644444444444442</v>
      </c>
      <c r="T610" s="423">
        <f t="shared" si="941"/>
        <v>6.2222222222222214</v>
      </c>
      <c r="U610" s="423">
        <f t="shared" si="941"/>
        <v>5.3241666666666667</v>
      </c>
      <c r="V610" s="423">
        <f t="shared" si="941"/>
        <v>5.4169444444444448</v>
      </c>
      <c r="W610" s="423">
        <f t="shared" si="941"/>
        <v>5.6736111111111107</v>
      </c>
      <c r="X610" s="423">
        <f t="shared" si="941"/>
        <v>5.341388888888889</v>
      </c>
      <c r="Y610" s="394"/>
      <c r="Z610" s="224"/>
      <c r="AA610" s="224"/>
      <c r="AB610" s="423">
        <f>AB608</f>
        <v>4749.4444444444443</v>
      </c>
      <c r="AC610" s="423">
        <f>AC608</f>
        <v>4398.6111111111104</v>
      </c>
      <c r="AD610" s="426">
        <f t="shared" ref="AD610:BF610" si="942">AD602+AD605+AD606+AD607</f>
        <v>4796.938888888888</v>
      </c>
      <c r="AE610" s="426">
        <f t="shared" si="942"/>
        <v>4854.5021555555568</v>
      </c>
      <c r="AF610" s="426">
        <f t="shared" si="942"/>
        <v>4927.3196878888884</v>
      </c>
      <c r="AG610" s="426">
        <f t="shared" si="942"/>
        <v>5001.2294832072203</v>
      </c>
      <c r="AH610" s="426">
        <f t="shared" si="942"/>
        <v>5076.2479254553282</v>
      </c>
      <c r="AI610" s="426">
        <f t="shared" si="942"/>
        <v>5152.3916443371581</v>
      </c>
      <c r="AJ610" s="426">
        <f t="shared" si="942"/>
        <v>5229.6775190022154</v>
      </c>
      <c r="AK610" s="426">
        <f t="shared" si="942"/>
        <v>5308.1226817872484</v>
      </c>
      <c r="AL610" s="426">
        <f t="shared" si="942"/>
        <v>5387.7445220140553</v>
      </c>
      <c r="AM610" s="426">
        <f t="shared" si="942"/>
        <v>5468.5606898442657</v>
      </c>
      <c r="AN610" s="426">
        <f t="shared" si="942"/>
        <v>5550.5891001919308</v>
      </c>
      <c r="AO610" s="426">
        <f t="shared" si="942"/>
        <v>5633.8479366948086</v>
      </c>
      <c r="AP610" s="426">
        <f t="shared" si="942"/>
        <v>5718.3556557452293</v>
      </c>
      <c r="AQ610" s="426">
        <f t="shared" si="942"/>
        <v>5804.1309905814087</v>
      </c>
      <c r="AR610" s="426">
        <f t="shared" si="942"/>
        <v>5891.1929554401286</v>
      </c>
      <c r="AS610" s="426">
        <f t="shared" si="942"/>
        <v>5979.5608497717294</v>
      </c>
      <c r="AT610" s="426">
        <f t="shared" si="942"/>
        <v>6069.254262518305</v>
      </c>
      <c r="AU610" s="426">
        <f t="shared" si="942"/>
        <v>6160.2930764560788</v>
      </c>
      <c r="AV610" s="426">
        <f t="shared" si="942"/>
        <v>6252.6974726029202</v>
      </c>
      <c r="AW610" s="426">
        <f t="shared" si="942"/>
        <v>6346.4879346919633</v>
      </c>
      <c r="AX610" s="426">
        <f t="shared" si="942"/>
        <v>6441.6852537123414</v>
      </c>
      <c r="AY610" s="426">
        <f t="shared" si="942"/>
        <v>6538.310532518025</v>
      </c>
      <c r="AZ610" s="426">
        <f t="shared" si="942"/>
        <v>6636.3851905057963</v>
      </c>
      <c r="BA610" s="426">
        <f t="shared" si="942"/>
        <v>6735.9309683633819</v>
      </c>
      <c r="BB610" s="426">
        <f t="shared" si="942"/>
        <v>6823.4980709521051</v>
      </c>
      <c r="BC610" s="426">
        <f t="shared" si="942"/>
        <v>6905.38004780353</v>
      </c>
      <c r="BD610" s="426">
        <f t="shared" si="942"/>
        <v>6981.339228329367</v>
      </c>
      <c r="BE610" s="426">
        <f t="shared" si="942"/>
        <v>7051.15262061266</v>
      </c>
      <c r="BF610" s="426">
        <f t="shared" si="942"/>
        <v>7121.6641468187881</v>
      </c>
    </row>
    <row r="611" spans="1:58" x14ac:dyDescent="0.3">
      <c r="A611" s="224"/>
      <c r="B611" s="224"/>
      <c r="C611" s="224"/>
      <c r="D611" s="224"/>
      <c r="E611" s="224"/>
      <c r="F611" s="224"/>
      <c r="G611" s="224"/>
      <c r="H611" s="224"/>
      <c r="I611" s="224"/>
      <c r="J611" s="224"/>
      <c r="K611" s="224"/>
      <c r="L611" s="117"/>
      <c r="M611" s="648" t="s">
        <v>388</v>
      </c>
      <c r="N611" s="219"/>
      <c r="O611" s="423"/>
      <c r="P611" s="423"/>
      <c r="Q611" s="423"/>
      <c r="R611" s="423"/>
      <c r="S611" s="423"/>
      <c r="T611" s="423"/>
      <c r="U611" s="423"/>
      <c r="V611" s="423"/>
      <c r="W611" s="423"/>
      <c r="X611" s="423"/>
      <c r="Y611" s="394"/>
      <c r="Z611" s="224"/>
      <c r="AA611" s="224"/>
      <c r="AB611" s="958">
        <f>AB292+AB524+AB547</f>
        <v>752.22222222222217</v>
      </c>
      <c r="AC611" s="958">
        <f>AC292+AC524+AC547</f>
        <v>431.66666666666663</v>
      </c>
      <c r="AD611" s="958">
        <f>AD292+AD524+AD547</f>
        <v>776.85833333333335</v>
      </c>
      <c r="AE611" s="958">
        <f>AE292+AE524+AE547</f>
        <v>786.18063333333339</v>
      </c>
      <c r="AF611" s="958">
        <f t="shared" ref="AF611:BF611" si="943">AF292+AF524+AF547</f>
        <v>797.97334283333339</v>
      </c>
      <c r="AG611" s="958">
        <f t="shared" si="943"/>
        <v>809.94294297583338</v>
      </c>
      <c r="AH611" s="958">
        <f t="shared" si="943"/>
        <v>822.09208712047075</v>
      </c>
      <c r="AI611" s="958">
        <f t="shared" si="943"/>
        <v>834.42346842727784</v>
      </c>
      <c r="AJ611" s="958">
        <f t="shared" si="943"/>
        <v>846.93982045368671</v>
      </c>
      <c r="AK611" s="958">
        <f t="shared" si="943"/>
        <v>859.64391776049195</v>
      </c>
      <c r="AL611" s="958">
        <f t="shared" si="943"/>
        <v>872.53857652689919</v>
      </c>
      <c r="AM611" s="958">
        <f t="shared" si="943"/>
        <v>885.62665517480241</v>
      </c>
      <c r="AN611" s="958">
        <f t="shared" si="943"/>
        <v>898.91105500242429</v>
      </c>
      <c r="AO611" s="958">
        <f t="shared" si="943"/>
        <v>912.39472082746067</v>
      </c>
      <c r="AP611" s="958">
        <f t="shared" si="943"/>
        <v>926.08064163987251</v>
      </c>
      <c r="AQ611" s="958">
        <f t="shared" si="943"/>
        <v>939.97185126447073</v>
      </c>
      <c r="AR611" s="958">
        <f t="shared" si="943"/>
        <v>954.07142903343765</v>
      </c>
      <c r="AS611" s="958">
        <f t="shared" si="943"/>
        <v>968.38250046893916</v>
      </c>
      <c r="AT611" s="958">
        <f t="shared" si="943"/>
        <v>982.90823797597329</v>
      </c>
      <c r="AU611" s="958">
        <f t="shared" si="943"/>
        <v>997.65186154561275</v>
      </c>
      <c r="AV611" s="958">
        <f t="shared" si="943"/>
        <v>1012.616639468797</v>
      </c>
      <c r="AW611" s="958">
        <f t="shared" si="943"/>
        <v>1027.8058890608288</v>
      </c>
      <c r="AX611" s="958">
        <f t="shared" si="943"/>
        <v>1043.222977396741</v>
      </c>
      <c r="AY611" s="958">
        <f t="shared" si="943"/>
        <v>1058.8713220576922</v>
      </c>
      <c r="AZ611" s="958">
        <f t="shared" si="943"/>
        <v>1074.7543918885574</v>
      </c>
      <c r="BA611" s="958">
        <f t="shared" si="943"/>
        <v>1090.8757077668856</v>
      </c>
      <c r="BB611" s="958">
        <f t="shared" si="943"/>
        <v>1105.0570919678548</v>
      </c>
      <c r="BC611" s="958">
        <f t="shared" si="943"/>
        <v>1118.317777071469</v>
      </c>
      <c r="BD611" s="958">
        <f t="shared" si="943"/>
        <v>1130.6192726192551</v>
      </c>
      <c r="BE611" s="958">
        <f t="shared" si="943"/>
        <v>1141.9254653454477</v>
      </c>
      <c r="BF611" s="958">
        <f t="shared" si="943"/>
        <v>1153.3447199989023</v>
      </c>
    </row>
    <row r="612" spans="1:58" x14ac:dyDescent="0.3">
      <c r="A612" s="224"/>
      <c r="B612" s="224"/>
      <c r="C612" s="224"/>
      <c r="D612" s="224"/>
      <c r="E612" s="224"/>
      <c r="F612" s="224"/>
      <c r="G612" s="224"/>
      <c r="H612" s="224"/>
      <c r="I612" s="224"/>
      <c r="J612" s="224"/>
      <c r="K612" s="224"/>
      <c r="L612" s="117"/>
      <c r="M612" s="648" t="s">
        <v>389</v>
      </c>
      <c r="N612" s="219"/>
      <c r="O612" s="423"/>
      <c r="P612" s="423"/>
      <c r="Q612" s="423"/>
      <c r="R612" s="423"/>
      <c r="S612" s="423"/>
      <c r="T612" s="423"/>
      <c r="U612" s="423"/>
      <c r="V612" s="423"/>
      <c r="W612" s="423"/>
      <c r="X612" s="423"/>
      <c r="Y612" s="394"/>
      <c r="Z612" s="224"/>
      <c r="AA612" s="224"/>
      <c r="AB612" s="958">
        <f>AB296+AB528+AB551</f>
        <v>1101.3888888888889</v>
      </c>
      <c r="AC612" s="958">
        <f>AC296+AC528+AC551</f>
        <v>1146.9444444444443</v>
      </c>
      <c r="AD612" s="958">
        <f>AD296+AD528+AD551</f>
        <v>1094.4472222222221</v>
      </c>
      <c r="AE612" s="958">
        <f>AE296+AE528+AE551</f>
        <v>1107.5805888888888</v>
      </c>
      <c r="AF612" s="958">
        <f t="shared" ref="AF612:BF612" si="944">AF296+AF528+AF551</f>
        <v>1124.194297722222</v>
      </c>
      <c r="AG612" s="958">
        <f t="shared" si="944"/>
        <v>1141.057212188055</v>
      </c>
      <c r="AH612" s="958">
        <f t="shared" si="944"/>
        <v>1158.1730703708763</v>
      </c>
      <c r="AI612" s="958">
        <f t="shared" si="944"/>
        <v>1175.5456664264389</v>
      </c>
      <c r="AJ612" s="958">
        <f t="shared" si="944"/>
        <v>1193.1788514228356</v>
      </c>
      <c r="AK612" s="958">
        <f t="shared" si="944"/>
        <v>1211.0765341941776</v>
      </c>
      <c r="AL612" s="958">
        <f t="shared" si="944"/>
        <v>1229.2426822070904</v>
      </c>
      <c r="AM612" s="958">
        <f t="shared" si="944"/>
        <v>1247.6813224401965</v>
      </c>
      <c r="AN612" s="958">
        <f t="shared" si="944"/>
        <v>1266.3965422767999</v>
      </c>
      <c r="AO612" s="958">
        <f t="shared" si="944"/>
        <v>1285.392490410951</v>
      </c>
      <c r="AP612" s="958">
        <f t="shared" si="944"/>
        <v>1304.6733777671154</v>
      </c>
      <c r="AQ612" s="958">
        <f t="shared" si="944"/>
        <v>1324.2434784336217</v>
      </c>
      <c r="AR612" s="958">
        <f t="shared" si="944"/>
        <v>1344.107130610126</v>
      </c>
      <c r="AS612" s="958">
        <f t="shared" si="944"/>
        <v>1364.2687375692778</v>
      </c>
      <c r="AT612" s="958">
        <f t="shared" si="944"/>
        <v>1384.7327686328167</v>
      </c>
      <c r="AU612" s="958">
        <f t="shared" si="944"/>
        <v>1405.5037601623092</v>
      </c>
      <c r="AV612" s="958">
        <f t="shared" si="944"/>
        <v>1426.5863165647436</v>
      </c>
      <c r="AW612" s="958">
        <f t="shared" si="944"/>
        <v>1447.9851113132145</v>
      </c>
      <c r="AX612" s="958">
        <f t="shared" si="944"/>
        <v>1469.7048879829124</v>
      </c>
      <c r="AY612" s="958">
        <f t="shared" si="944"/>
        <v>1491.7504613026563</v>
      </c>
      <c r="AZ612" s="958">
        <f t="shared" si="944"/>
        <v>1514.1267182221952</v>
      </c>
      <c r="BA612" s="958">
        <f t="shared" si="944"/>
        <v>1536.8386189955286</v>
      </c>
      <c r="BB612" s="958">
        <f t="shared" si="944"/>
        <v>1556.8175210424702</v>
      </c>
      <c r="BC612" s="958">
        <f t="shared" si="944"/>
        <v>1575.4993312949798</v>
      </c>
      <c r="BD612" s="958">
        <f t="shared" si="944"/>
        <v>1592.8298239392241</v>
      </c>
      <c r="BE612" s="958">
        <f t="shared" si="944"/>
        <v>1608.758122178617</v>
      </c>
      <c r="BF612" s="958">
        <f t="shared" si="944"/>
        <v>1624.8457034004025</v>
      </c>
    </row>
    <row r="613" spans="1:58" x14ac:dyDescent="0.3">
      <c r="A613" s="224"/>
      <c r="B613" s="224"/>
      <c r="C613" s="224"/>
      <c r="D613" s="224"/>
      <c r="E613" s="224"/>
      <c r="F613" s="224"/>
      <c r="G613" s="224"/>
      <c r="H613" s="224"/>
      <c r="I613" s="224"/>
      <c r="J613" s="224"/>
      <c r="K613" s="224"/>
      <c r="L613" s="117"/>
      <c r="M613" s="648" t="s">
        <v>390</v>
      </c>
      <c r="N613" s="219"/>
      <c r="O613" s="423"/>
      <c r="P613" s="423"/>
      <c r="Q613" s="423"/>
      <c r="R613" s="423"/>
      <c r="S613" s="423"/>
      <c r="T613" s="423"/>
      <c r="U613" s="423"/>
      <c r="V613" s="423"/>
      <c r="W613" s="423"/>
      <c r="X613" s="423"/>
      <c r="Y613" s="394"/>
      <c r="Z613" s="224"/>
      <c r="AA613" s="224"/>
      <c r="AB613" s="958">
        <f>AB299+AB531+AB554</f>
        <v>118.05555555555556</v>
      </c>
      <c r="AC613" s="958">
        <f>AC299+AC531+AC554</f>
        <v>2.5</v>
      </c>
      <c r="AD613" s="958">
        <f>AD299+AD531+AD554</f>
        <v>121.48055555555555</v>
      </c>
      <c r="AE613" s="958">
        <f>AE299+AE531+AE554</f>
        <v>122.93832222222221</v>
      </c>
      <c r="AF613" s="958">
        <f t="shared" ref="AF613:BF613" si="945">AF299+AF531+AF554</f>
        <v>124.78239705555552</v>
      </c>
      <c r="AG613" s="958">
        <f t="shared" si="945"/>
        <v>126.65413301138884</v>
      </c>
      <c r="AH613" s="958">
        <f t="shared" si="945"/>
        <v>128.55394500655967</v>
      </c>
      <c r="AI613" s="958">
        <f t="shared" si="945"/>
        <v>130.48225418165805</v>
      </c>
      <c r="AJ613" s="958">
        <f t="shared" si="945"/>
        <v>132.43948799438289</v>
      </c>
      <c r="AK613" s="958">
        <f t="shared" si="945"/>
        <v>134.42608031429862</v>
      </c>
      <c r="AL613" s="958">
        <f t="shared" si="945"/>
        <v>136.44247151901311</v>
      </c>
      <c r="AM613" s="958">
        <f t="shared" si="945"/>
        <v>138.4891085917983</v>
      </c>
      <c r="AN613" s="958">
        <f t="shared" si="945"/>
        <v>140.56644522067523</v>
      </c>
      <c r="AO613" s="958">
        <f t="shared" si="945"/>
        <v>142.67494189898537</v>
      </c>
      <c r="AP613" s="958">
        <f t="shared" si="945"/>
        <v>144.81506602747012</v>
      </c>
      <c r="AQ613" s="958">
        <f t="shared" si="945"/>
        <v>146.98729201788217</v>
      </c>
      <c r="AR613" s="958">
        <f t="shared" si="945"/>
        <v>149.19210139815038</v>
      </c>
      <c r="AS613" s="958">
        <f t="shared" si="945"/>
        <v>151.42998291912261</v>
      </c>
      <c r="AT613" s="958">
        <f t="shared" si="945"/>
        <v>153.7014326629095</v>
      </c>
      <c r="AU613" s="958">
        <f t="shared" si="945"/>
        <v>156.00695415285313</v>
      </c>
      <c r="AV613" s="958">
        <f t="shared" si="945"/>
        <v>158.34705846514589</v>
      </c>
      <c r="AW613" s="958">
        <f t="shared" si="945"/>
        <v>160.72226434212305</v>
      </c>
      <c r="AX613" s="958">
        <f t="shared" si="945"/>
        <v>163.1330983072549</v>
      </c>
      <c r="AY613" s="958">
        <f t="shared" si="945"/>
        <v>165.58009478186366</v>
      </c>
      <c r="AZ613" s="958">
        <f t="shared" si="945"/>
        <v>168.06379620359161</v>
      </c>
      <c r="BA613" s="958">
        <f t="shared" si="945"/>
        <v>170.58475314664545</v>
      </c>
      <c r="BB613" s="958">
        <f t="shared" si="945"/>
        <v>172.80235493755185</v>
      </c>
      <c r="BC613" s="958">
        <f t="shared" si="945"/>
        <v>174.87598319680248</v>
      </c>
      <c r="BD613" s="958">
        <f t="shared" si="945"/>
        <v>176.79961901196731</v>
      </c>
      <c r="BE613" s="958">
        <f t="shared" si="945"/>
        <v>178.56761520208701</v>
      </c>
      <c r="BF613" s="958">
        <f t="shared" si="945"/>
        <v>180.35329135410788</v>
      </c>
    </row>
    <row r="614" spans="1:58" x14ac:dyDescent="0.3">
      <c r="A614" s="224"/>
      <c r="B614" s="224"/>
      <c r="C614" s="224"/>
      <c r="D614" s="224"/>
      <c r="E614" s="224"/>
      <c r="F614" s="224"/>
      <c r="G614" s="224"/>
      <c r="H614" s="224"/>
      <c r="I614" s="224"/>
      <c r="J614" s="224"/>
      <c r="K614" s="224"/>
      <c r="L614" s="117"/>
      <c r="M614" s="648" t="s">
        <v>391</v>
      </c>
      <c r="N614" s="219"/>
      <c r="O614" s="423"/>
      <c r="P614" s="423"/>
      <c r="Q614" s="423"/>
      <c r="R614" s="423"/>
      <c r="S614" s="423"/>
      <c r="T614" s="423"/>
      <c r="U614" s="423"/>
      <c r="V614" s="423"/>
      <c r="W614" s="423"/>
      <c r="X614" s="423"/>
      <c r="Y614" s="394"/>
      <c r="Z614" s="224"/>
      <c r="AA614" s="224"/>
      <c r="AB614" s="958">
        <f>AB306+AB538+AB561</f>
        <v>217.49999999999997</v>
      </c>
      <c r="AC614" s="958">
        <f>AC306+AC538+AC561</f>
        <v>131.11111111111111</v>
      </c>
      <c r="AD614" s="958">
        <f>AD306+AD538+AD561</f>
        <v>219.67500000000007</v>
      </c>
      <c r="AE614" s="958">
        <f>AE306+AE538+AE561</f>
        <v>222.31110000000007</v>
      </c>
      <c r="AF614" s="958">
        <f t="shared" ref="AF614:BF614" si="946">AF306+AF538+AF561</f>
        <v>225.64576650000001</v>
      </c>
      <c r="AG614" s="958">
        <f t="shared" si="946"/>
        <v>229.03045299750002</v>
      </c>
      <c r="AH614" s="958">
        <f t="shared" si="946"/>
        <v>232.4659097924625</v>
      </c>
      <c r="AI614" s="958">
        <f t="shared" si="946"/>
        <v>235.95289843934938</v>
      </c>
      <c r="AJ614" s="958">
        <f t="shared" si="946"/>
        <v>239.49219191593966</v>
      </c>
      <c r="AK614" s="958">
        <f t="shared" si="946"/>
        <v>243.0845747946787</v>
      </c>
      <c r="AL614" s="958">
        <f t="shared" si="946"/>
        <v>246.73084341659882</v>
      </c>
      <c r="AM614" s="958">
        <f t="shared" si="946"/>
        <v>250.43180606784779</v>
      </c>
      <c r="AN614" s="958">
        <f t="shared" si="946"/>
        <v>254.18828315886554</v>
      </c>
      <c r="AO614" s="958">
        <f t="shared" si="946"/>
        <v>258.00110740624842</v>
      </c>
      <c r="AP614" s="958">
        <f t="shared" si="946"/>
        <v>261.8711240173422</v>
      </c>
      <c r="AQ614" s="958">
        <f t="shared" si="946"/>
        <v>265.79919087760226</v>
      </c>
      <c r="AR614" s="958">
        <f t="shared" si="946"/>
        <v>269.78617874076627</v>
      </c>
      <c r="AS614" s="958">
        <f t="shared" si="946"/>
        <v>273.83297142187774</v>
      </c>
      <c r="AT614" s="958">
        <f t="shared" si="946"/>
        <v>277.94046599320592</v>
      </c>
      <c r="AU614" s="958">
        <f t="shared" si="946"/>
        <v>282.10957298310399</v>
      </c>
      <c r="AV614" s="958">
        <f t="shared" si="946"/>
        <v>286.34121657785045</v>
      </c>
      <c r="AW614" s="958">
        <f t="shared" si="946"/>
        <v>290.63633482651818</v>
      </c>
      <c r="AX614" s="958">
        <f t="shared" si="946"/>
        <v>294.99587984891599</v>
      </c>
      <c r="AY614" s="958">
        <f t="shared" si="946"/>
        <v>299.42081804664969</v>
      </c>
      <c r="AZ614" s="958">
        <f t="shared" si="946"/>
        <v>303.91213031734941</v>
      </c>
      <c r="BA614" s="958">
        <f t="shared" si="946"/>
        <v>308.4708122721097</v>
      </c>
      <c r="BB614" s="958">
        <f t="shared" si="946"/>
        <v>312.48093283164701</v>
      </c>
      <c r="BC614" s="958">
        <f t="shared" si="946"/>
        <v>316.23070402562684</v>
      </c>
      <c r="BD614" s="958">
        <f t="shared" si="946"/>
        <v>319.70924176990872</v>
      </c>
      <c r="BE614" s="958">
        <f t="shared" si="946"/>
        <v>322.90633418760763</v>
      </c>
      <c r="BF614" s="958">
        <f t="shared" si="946"/>
        <v>326.13539752948384</v>
      </c>
    </row>
    <row r="615" spans="1:58" x14ac:dyDescent="0.3">
      <c r="A615" s="224"/>
      <c r="B615" s="224"/>
      <c r="C615" s="224"/>
      <c r="D615" s="224"/>
      <c r="E615" s="224"/>
      <c r="F615" s="224"/>
      <c r="G615" s="224"/>
      <c r="H615" s="224"/>
      <c r="I615" s="224"/>
      <c r="J615" s="224"/>
      <c r="K615" s="224"/>
      <c r="L615" s="117"/>
      <c r="M615" s="648" t="s">
        <v>392</v>
      </c>
      <c r="N615" s="219"/>
      <c r="O615" s="423"/>
      <c r="P615" s="423"/>
      <c r="Q615" s="423"/>
      <c r="R615" s="423"/>
      <c r="S615" s="423"/>
      <c r="T615" s="423"/>
      <c r="U615" s="423"/>
      <c r="V615" s="423"/>
      <c r="W615" s="423"/>
      <c r="X615" s="423"/>
      <c r="Y615" s="394"/>
      <c r="Z615" s="224"/>
      <c r="AA615" s="224"/>
      <c r="AB615" s="958">
        <f t="shared" ref="AB615:AE616" si="947">AB304+AB536+AB559</f>
        <v>429.99999999999994</v>
      </c>
      <c r="AC615" s="958">
        <f t="shared" si="947"/>
        <v>476.9444444444444</v>
      </c>
      <c r="AD615" s="958">
        <f t="shared" si="947"/>
        <v>474.70000000000005</v>
      </c>
      <c r="AE615" s="958">
        <f t="shared" si="947"/>
        <v>480.39640000000003</v>
      </c>
      <c r="AF615" s="958">
        <f t="shared" ref="AF615:BF615" si="948">AF304+AF536+AF559</f>
        <v>487.60234599999995</v>
      </c>
      <c r="AG615" s="958">
        <f t="shared" si="948"/>
        <v>494.91638118999981</v>
      </c>
      <c r="AH615" s="958">
        <f t="shared" si="948"/>
        <v>502.34012690784976</v>
      </c>
      <c r="AI615" s="958">
        <f t="shared" si="948"/>
        <v>509.87522881146759</v>
      </c>
      <c r="AJ615" s="958">
        <f t="shared" si="948"/>
        <v>517.52335724363945</v>
      </c>
      <c r="AK615" s="958">
        <f t="shared" si="948"/>
        <v>525.28620760229398</v>
      </c>
      <c r="AL615" s="958">
        <f t="shared" si="948"/>
        <v>533.16550071632832</v>
      </c>
      <c r="AM615" s="958">
        <f t="shared" si="948"/>
        <v>541.16298322707325</v>
      </c>
      <c r="AN615" s="958">
        <f t="shared" si="948"/>
        <v>549.28042797547937</v>
      </c>
      <c r="AO615" s="958">
        <f t="shared" si="948"/>
        <v>557.51963439511155</v>
      </c>
      <c r="AP615" s="958">
        <f t="shared" si="948"/>
        <v>565.88242891103812</v>
      </c>
      <c r="AQ615" s="958">
        <f t="shared" si="948"/>
        <v>574.37066534470364</v>
      </c>
      <c r="AR615" s="958">
        <f t="shared" si="948"/>
        <v>582.98622532487411</v>
      </c>
      <c r="AS615" s="958">
        <f t="shared" si="948"/>
        <v>591.73101870474716</v>
      </c>
      <c r="AT615" s="958">
        <f t="shared" si="948"/>
        <v>600.60698398531838</v>
      </c>
      <c r="AU615" s="958">
        <f t="shared" si="948"/>
        <v>609.61608874509795</v>
      </c>
      <c r="AV615" s="958">
        <f t="shared" si="948"/>
        <v>618.7603300762745</v>
      </c>
      <c r="AW615" s="958">
        <f t="shared" si="948"/>
        <v>628.04173502741855</v>
      </c>
      <c r="AX615" s="958">
        <f t="shared" si="948"/>
        <v>637.46236105282969</v>
      </c>
      <c r="AY615" s="958">
        <f t="shared" si="948"/>
        <v>647.0242964686222</v>
      </c>
      <c r="AZ615" s="958">
        <f t="shared" si="948"/>
        <v>656.72966091565149</v>
      </c>
      <c r="BA615" s="958">
        <f t="shared" si="948"/>
        <v>666.58060582938606</v>
      </c>
      <c r="BB615" s="958">
        <f t="shared" si="948"/>
        <v>675.2461537051679</v>
      </c>
      <c r="BC615" s="958">
        <f t="shared" si="948"/>
        <v>683.34910754962993</v>
      </c>
      <c r="BD615" s="958">
        <f t="shared" si="948"/>
        <v>690.86594773267586</v>
      </c>
      <c r="BE615" s="958">
        <f t="shared" si="948"/>
        <v>697.77460721000261</v>
      </c>
      <c r="BF615" s="958">
        <f t="shared" si="948"/>
        <v>704.75235328210272</v>
      </c>
    </row>
    <row r="616" spans="1:58" x14ac:dyDescent="0.3">
      <c r="A616" s="224"/>
      <c r="B616" s="224"/>
      <c r="C616" s="224"/>
      <c r="D616" s="224"/>
      <c r="E616" s="224"/>
      <c r="F616" s="224"/>
      <c r="G616" s="224"/>
      <c r="H616" s="224"/>
      <c r="I616" s="224"/>
      <c r="J616" s="224"/>
      <c r="K616" s="224"/>
      <c r="L616" s="117"/>
      <c r="M616" s="648" t="s">
        <v>393</v>
      </c>
      <c r="N616" s="219"/>
      <c r="O616" s="423"/>
      <c r="P616" s="423"/>
      <c r="Q616" s="423"/>
      <c r="R616" s="423"/>
      <c r="S616" s="423"/>
      <c r="T616" s="423"/>
      <c r="U616" s="423"/>
      <c r="V616" s="423"/>
      <c r="W616" s="423"/>
      <c r="X616" s="423"/>
      <c r="Y616" s="394"/>
      <c r="Z616" s="224"/>
      <c r="AA616" s="224"/>
      <c r="AB616" s="958">
        <f t="shared" si="947"/>
        <v>2128.8888888888891</v>
      </c>
      <c r="AC616" s="958">
        <f t="shared" si="947"/>
        <v>2209.4444444444448</v>
      </c>
      <c r="AD616" s="958">
        <f t="shared" si="947"/>
        <v>2109.7777777777783</v>
      </c>
      <c r="AE616" s="958">
        <f t="shared" si="947"/>
        <v>2135.0951111111117</v>
      </c>
      <c r="AF616" s="958">
        <f t="shared" ref="AF616:BF616" si="949">AF305+AF537+AF560</f>
        <v>2167.1215377777776</v>
      </c>
      <c r="AG616" s="958">
        <f t="shared" si="949"/>
        <v>2199.6283608444442</v>
      </c>
      <c r="AH616" s="958">
        <f t="shared" si="949"/>
        <v>2232.6227862571104</v>
      </c>
      <c r="AI616" s="958">
        <f t="shared" si="949"/>
        <v>2266.1121280509665</v>
      </c>
      <c r="AJ616" s="958">
        <f t="shared" si="949"/>
        <v>2300.1038099717307</v>
      </c>
      <c r="AK616" s="958">
        <f t="shared" si="949"/>
        <v>2334.6053671213067</v>
      </c>
      <c r="AL616" s="958">
        <f t="shared" si="949"/>
        <v>2369.6244476281263</v>
      </c>
      <c r="AM616" s="958">
        <f t="shared" si="949"/>
        <v>2405.1688143425481</v>
      </c>
      <c r="AN616" s="958">
        <f t="shared" si="949"/>
        <v>2441.2463465576866</v>
      </c>
      <c r="AO616" s="958">
        <f t="shared" si="949"/>
        <v>2477.8650417560511</v>
      </c>
      <c r="AP616" s="958">
        <f t="shared" si="949"/>
        <v>2515.0330173823913</v>
      </c>
      <c r="AQ616" s="958">
        <f t="shared" si="949"/>
        <v>2552.7585126431268</v>
      </c>
      <c r="AR616" s="958">
        <f t="shared" si="949"/>
        <v>2591.0498903327734</v>
      </c>
      <c r="AS616" s="958">
        <f t="shared" si="949"/>
        <v>2629.9156386877639</v>
      </c>
      <c r="AT616" s="958">
        <f t="shared" si="949"/>
        <v>2669.3643732680807</v>
      </c>
      <c r="AU616" s="958">
        <f t="shared" si="949"/>
        <v>2709.4048388671022</v>
      </c>
      <c r="AV616" s="958">
        <f t="shared" si="949"/>
        <v>2750.0459114501082</v>
      </c>
      <c r="AW616" s="958">
        <f t="shared" si="949"/>
        <v>2791.2966001218592</v>
      </c>
      <c r="AX616" s="958">
        <f t="shared" si="949"/>
        <v>2833.166049123688</v>
      </c>
      <c r="AY616" s="958">
        <f t="shared" si="949"/>
        <v>2875.6635398605422</v>
      </c>
      <c r="AZ616" s="958">
        <f t="shared" si="949"/>
        <v>2918.79849295845</v>
      </c>
      <c r="BA616" s="958">
        <f t="shared" si="949"/>
        <v>2962.5804703528265</v>
      </c>
      <c r="BB616" s="958">
        <f t="shared" si="949"/>
        <v>3001.094016467413</v>
      </c>
      <c r="BC616" s="958">
        <f t="shared" si="949"/>
        <v>3037.1071446650217</v>
      </c>
      <c r="BD616" s="958">
        <f t="shared" si="949"/>
        <v>3070.5153232563371</v>
      </c>
      <c r="BE616" s="958">
        <f t="shared" si="949"/>
        <v>3101.2204764889007</v>
      </c>
      <c r="BF616" s="958">
        <f t="shared" si="949"/>
        <v>3132.2326812537899</v>
      </c>
    </row>
    <row r="617" spans="1:58" x14ac:dyDescent="0.3">
      <c r="A617" s="224"/>
      <c r="B617" s="224"/>
      <c r="C617" s="224"/>
      <c r="D617" s="224"/>
      <c r="E617" s="224"/>
      <c r="F617" s="224"/>
      <c r="G617" s="224"/>
      <c r="H617" s="224"/>
      <c r="I617" s="224"/>
      <c r="J617" s="224"/>
      <c r="K617" s="224"/>
      <c r="L617" s="117"/>
      <c r="M617" s="77"/>
      <c r="N617" s="219"/>
      <c r="O617" s="423"/>
      <c r="P617" s="423"/>
      <c r="Q617" s="423"/>
      <c r="R617" s="423"/>
      <c r="S617" s="423"/>
      <c r="T617" s="423"/>
      <c r="U617" s="423"/>
      <c r="V617" s="423"/>
      <c r="W617" s="423"/>
      <c r="X617" s="423"/>
      <c r="Y617" s="394"/>
      <c r="Z617" s="224"/>
      <c r="AA617" s="224"/>
      <c r="AB617" s="958">
        <f>SUM(AB611:AB616)</f>
        <v>4748.0555555555557</v>
      </c>
      <c r="AC617" s="958">
        <f>SUM(AC611:AC616)</f>
        <v>4398.6111111111113</v>
      </c>
      <c r="AD617" s="958">
        <f>SUM(AD611:AD616)</f>
        <v>4796.9388888888898</v>
      </c>
      <c r="AE617" s="958">
        <f>SUM(AE611:AE616)</f>
        <v>4854.5021555555559</v>
      </c>
      <c r="AF617" s="958">
        <f t="shared" ref="AF617:BF617" si="950">SUM(AF611:AF616)</f>
        <v>4927.3196878888884</v>
      </c>
      <c r="AG617" s="958">
        <f t="shared" si="950"/>
        <v>5001.2294832072212</v>
      </c>
      <c r="AH617" s="958">
        <f t="shared" si="950"/>
        <v>5076.2479254553291</v>
      </c>
      <c r="AI617" s="958">
        <f t="shared" si="950"/>
        <v>5152.3916443371581</v>
      </c>
      <c r="AJ617" s="958">
        <f t="shared" si="950"/>
        <v>5229.6775190022145</v>
      </c>
      <c r="AK617" s="958">
        <f t="shared" si="950"/>
        <v>5308.1226817872475</v>
      </c>
      <c r="AL617" s="958">
        <f t="shared" si="950"/>
        <v>5387.7445220140562</v>
      </c>
      <c r="AM617" s="958">
        <f t="shared" si="950"/>
        <v>5468.5606898442666</v>
      </c>
      <c r="AN617" s="958">
        <f t="shared" si="950"/>
        <v>5550.5891001919308</v>
      </c>
      <c r="AO617" s="958">
        <f t="shared" si="950"/>
        <v>5633.8479366948086</v>
      </c>
      <c r="AP617" s="958">
        <f t="shared" si="950"/>
        <v>5718.3556557452293</v>
      </c>
      <c r="AQ617" s="958">
        <f t="shared" si="950"/>
        <v>5804.1309905814069</v>
      </c>
      <c r="AR617" s="958">
        <f t="shared" si="950"/>
        <v>5891.1929554401286</v>
      </c>
      <c r="AS617" s="958">
        <f t="shared" si="950"/>
        <v>5979.5608497717285</v>
      </c>
      <c r="AT617" s="958">
        <f t="shared" si="950"/>
        <v>6069.254262518305</v>
      </c>
      <c r="AU617" s="958">
        <f t="shared" si="950"/>
        <v>6160.2930764560788</v>
      </c>
      <c r="AV617" s="958">
        <f t="shared" si="950"/>
        <v>6252.6974726029193</v>
      </c>
      <c r="AW617" s="958">
        <f t="shared" si="950"/>
        <v>6346.4879346919624</v>
      </c>
      <c r="AX617" s="958">
        <f t="shared" si="950"/>
        <v>6441.6852537123423</v>
      </c>
      <c r="AY617" s="958">
        <f t="shared" si="950"/>
        <v>6538.3105325180268</v>
      </c>
      <c r="AZ617" s="958">
        <f t="shared" si="950"/>
        <v>6636.3851905057945</v>
      </c>
      <c r="BA617" s="958">
        <f t="shared" si="950"/>
        <v>6735.9309683633819</v>
      </c>
      <c r="BB617" s="958">
        <f t="shared" si="950"/>
        <v>6823.4980709521042</v>
      </c>
      <c r="BC617" s="958">
        <f t="shared" si="950"/>
        <v>6905.38004780353</v>
      </c>
      <c r="BD617" s="958">
        <f t="shared" si="950"/>
        <v>6981.3392283293688</v>
      </c>
      <c r="BE617" s="958">
        <f t="shared" si="950"/>
        <v>7051.1526206126628</v>
      </c>
      <c r="BF617" s="958">
        <f t="shared" si="950"/>
        <v>7121.664146818789</v>
      </c>
    </row>
    <row r="618" spans="1:58" x14ac:dyDescent="0.3">
      <c r="A618" s="224"/>
      <c r="B618" s="224"/>
      <c r="C618" s="224"/>
      <c r="D618" s="224"/>
      <c r="E618" s="224"/>
      <c r="F618" s="224"/>
      <c r="G618" s="224"/>
      <c r="H618" s="224"/>
      <c r="I618" s="224"/>
      <c r="J618" s="224"/>
      <c r="K618" s="224"/>
      <c r="L618" s="117"/>
      <c r="M618" s="77"/>
      <c r="N618" s="219"/>
      <c r="O618" s="423"/>
      <c r="P618" s="423"/>
      <c r="Q618" s="423"/>
      <c r="R618" s="423"/>
      <c r="S618" s="423"/>
      <c r="T618" s="423"/>
      <c r="U618" s="423"/>
      <c r="V618" s="423"/>
      <c r="W618" s="423"/>
      <c r="X618" s="423"/>
      <c r="Y618" s="394"/>
      <c r="Z618" s="224"/>
      <c r="AA618" s="224"/>
      <c r="AB618" s="958">
        <f>AB617-AB610</f>
        <v>-1.3888888888886868</v>
      </c>
      <c r="AC618" s="958">
        <f>AC617-AC610</f>
        <v>0</v>
      </c>
      <c r="AD618" s="426"/>
      <c r="AE618" s="426"/>
      <c r="AF618" s="426"/>
      <c r="AG618" s="426"/>
      <c r="AH618" s="426"/>
      <c r="AI618" s="426"/>
      <c r="AJ618" s="426"/>
      <c r="AK618" s="426"/>
      <c r="AL618" s="426"/>
      <c r="AM618" s="426"/>
      <c r="AN618" s="426"/>
      <c r="AO618" s="426"/>
      <c r="AP618" s="426"/>
      <c r="AQ618" s="426"/>
      <c r="AR618" s="426"/>
      <c r="AS618" s="426"/>
      <c r="AT618" s="426"/>
      <c r="AU618" s="426"/>
      <c r="AV618" s="426"/>
      <c r="AW618" s="426"/>
      <c r="AX618" s="426"/>
      <c r="AY618" s="426"/>
      <c r="AZ618" s="426"/>
      <c r="BA618" s="426"/>
      <c r="BB618" s="426"/>
      <c r="BC618" s="426"/>
      <c r="BD618" s="426"/>
      <c r="BE618" s="426"/>
      <c r="BF618" s="426"/>
    </row>
    <row r="619" spans="1:58" x14ac:dyDescent="0.3">
      <c r="A619" s="224"/>
      <c r="B619" s="224"/>
      <c r="C619" s="224"/>
      <c r="D619" s="224"/>
      <c r="E619" s="224"/>
      <c r="F619" s="224"/>
      <c r="G619" s="224"/>
      <c r="H619" s="224"/>
      <c r="I619" s="224"/>
      <c r="J619" s="224"/>
      <c r="K619" s="224"/>
      <c r="L619" s="117"/>
      <c r="M619" s="222"/>
      <c r="N619" s="215"/>
      <c r="O619" s="227"/>
      <c r="P619" s="227"/>
      <c r="Q619" s="227"/>
      <c r="R619" s="227"/>
      <c r="S619" s="227"/>
      <c r="T619" s="227"/>
      <c r="U619" s="227"/>
      <c r="V619" s="227"/>
      <c r="W619" s="227"/>
      <c r="X619" s="227"/>
      <c r="Y619" s="394"/>
      <c r="Z619" s="225"/>
      <c r="AA619" s="225"/>
      <c r="AB619" s="227"/>
      <c r="AC619" s="227"/>
      <c r="AD619" s="226"/>
      <c r="AE619" s="226"/>
      <c r="AF619" s="226"/>
      <c r="AG619" s="226"/>
      <c r="AH619" s="226"/>
      <c r="AI619" s="226"/>
      <c r="AJ619" s="226"/>
      <c r="AK619" s="226"/>
      <c r="AL619" s="226"/>
      <c r="AM619" s="226"/>
      <c r="AN619" s="226"/>
      <c r="AO619" s="226"/>
      <c r="AP619" s="226"/>
      <c r="AQ619" s="226"/>
      <c r="AR619" s="226"/>
      <c r="AS619" s="226"/>
      <c r="AT619" s="226"/>
      <c r="AU619" s="226"/>
      <c r="AV619" s="226"/>
      <c r="AW619" s="226"/>
      <c r="AX619" s="226"/>
      <c r="AY619" s="226"/>
      <c r="AZ619" s="226"/>
      <c r="BA619" s="226"/>
      <c r="BB619" s="226"/>
      <c r="BC619" s="226"/>
      <c r="BD619" s="226"/>
      <c r="BE619" s="226"/>
      <c r="BF619" s="226"/>
    </row>
    <row r="620" spans="1:58" x14ac:dyDescent="0.3">
      <c r="A620" s="224"/>
      <c r="B620" s="224"/>
      <c r="C620" s="224"/>
      <c r="D620" s="224"/>
      <c r="E620" s="224"/>
      <c r="F620" s="224"/>
      <c r="G620" s="224"/>
      <c r="H620" s="224"/>
      <c r="I620" s="224"/>
      <c r="J620" s="224"/>
      <c r="K620" s="224"/>
      <c r="L620" s="117"/>
      <c r="M620" s="232" t="s">
        <v>1130</v>
      </c>
      <c r="N620" s="232"/>
      <c r="O620" s="237"/>
      <c r="P620" s="237"/>
      <c r="Q620" s="237"/>
      <c r="R620" s="237"/>
      <c r="S620" s="237"/>
      <c r="T620" s="237"/>
      <c r="U620" s="237"/>
      <c r="V620" s="237"/>
      <c r="W620" s="237"/>
      <c r="X620" s="237"/>
      <c r="Y620" s="394"/>
      <c r="Z620" s="427"/>
      <c r="AA620" s="427"/>
      <c r="AB620" s="237"/>
      <c r="AC620" s="237"/>
      <c r="AD620" s="427"/>
      <c r="AE620" s="427"/>
      <c r="AF620" s="427"/>
      <c r="AG620" s="427"/>
      <c r="AH620" s="427"/>
      <c r="AI620" s="427"/>
      <c r="AJ620" s="427"/>
      <c r="AK620" s="427"/>
      <c r="AL620" s="427"/>
      <c r="AM620" s="238"/>
      <c r="AN620" s="238"/>
      <c r="AO620" s="238"/>
      <c r="AP620" s="238"/>
      <c r="AQ620" s="238"/>
      <c r="AR620" s="238"/>
      <c r="AS620" s="238"/>
      <c r="AT620" s="238"/>
      <c r="AU620" s="238"/>
      <c r="AV620" s="238"/>
      <c r="AW620" s="238"/>
      <c r="AX620" s="238"/>
      <c r="AY620" s="238"/>
      <c r="AZ620" s="238"/>
      <c r="BA620" s="238"/>
      <c r="BB620" s="238"/>
      <c r="BC620" s="238"/>
      <c r="BD620" s="238"/>
      <c r="BE620" s="238"/>
      <c r="BF620" s="238"/>
    </row>
    <row r="621" spans="1:58" x14ac:dyDescent="0.3">
      <c r="A621" s="224" t="str">
        <f>'EE Measures'!D19</f>
        <v>eI1</v>
      </c>
      <c r="B621" s="224" t="s">
        <v>883</v>
      </c>
      <c r="C621" s="224" t="s">
        <v>899</v>
      </c>
      <c r="D621" s="224" t="s">
        <v>900</v>
      </c>
      <c r="E621" s="511">
        <f>INDEX('EE Measures'!IF:IF,MATCH($A621,'EE Measures'!$D:$D,0))</f>
        <v>1</v>
      </c>
      <c r="F621" s="511">
        <f>INDEX('EE Measures'!IG:IG,MATCH($A621,'EE Measures'!$D:$D,0))</f>
        <v>1</v>
      </c>
      <c r="G621" s="511">
        <f>INDEX('EE Measures'!IH:IH,MATCH($A621,'EE Measures'!$D:$D,0))</f>
        <v>1</v>
      </c>
      <c r="H621" s="511">
        <f>INDEX('EE Measures'!II:II,MATCH($A621,'EE Measures'!$D:$D,0))</f>
        <v>1</v>
      </c>
      <c r="I621" s="511">
        <f>INDEX('EE Measures'!IJ:IJ,MATCH($A621,'EE Measures'!$D:$D,0))</f>
        <v>1</v>
      </c>
      <c r="J621" s="511">
        <f>INDEX('EE Measures'!IK:IK,MATCH($A621,'EE Measures'!$D:$D,0))</f>
        <v>1</v>
      </c>
      <c r="K621" s="511">
        <f>INDEX('EE Measures'!IL:IL,MATCH($A621,'EE Measures'!$D:$D,0))</f>
        <v>1</v>
      </c>
      <c r="L621" s="117"/>
      <c r="M621" s="80" t="str">
        <f>INDEX('EE Measures'!$E$8:$E$40,MATCH(A621,'EE Measures'!$D$8:$D$40,0))</f>
        <v>Energy and resource efficiency in industries (2016-)</v>
      </c>
      <c r="N621" s="219" t="s">
        <v>77</v>
      </c>
      <c r="O621" s="227"/>
      <c r="P621" s="227"/>
      <c r="Q621" s="227"/>
      <c r="R621" s="227"/>
      <c r="S621" s="227"/>
      <c r="T621" s="227"/>
      <c r="U621" s="227"/>
      <c r="V621" s="227"/>
      <c r="W621" s="227"/>
      <c r="X621" s="227"/>
      <c r="Y621" s="394"/>
      <c r="Z621" s="224"/>
      <c r="AA621" s="224"/>
      <c r="AB621" s="146"/>
      <c r="AC621" s="146">
        <f>-INDEX('EE Measures'!AR$8:AR$86,MATCH($A621,'EE Measures'!$D$8:$D$86,0))</f>
        <v>-59.509250000000002</v>
      </c>
      <c r="AD621" s="146">
        <f>-INDEX('EE Measures'!AS$8:AS$86,MATCH($A621,'EE Measures'!$D$8:$D$86,0))</f>
        <v>-3.2802999999999969</v>
      </c>
      <c r="AE621" s="114">
        <f>AD621-INDEX('EE Measures'!AT$8:AT$86,MATCH($A621,'EE Measures'!$D$8:$D$86,0))</f>
        <v>-3.2802999999999969</v>
      </c>
      <c r="AF621" s="114">
        <f>AE621-INDEX('EE Measures'!AU$8:AU$86,MATCH($A621,'EE Measures'!$D$8:$D$86,0))</f>
        <v>-3.2802999999999969</v>
      </c>
      <c r="AG621" s="114">
        <f>AF621-INDEX('EE Measures'!AV$8:AV$86,MATCH($A621,'EE Measures'!$D$8:$D$86,0))</f>
        <v>-52.763646847227356</v>
      </c>
      <c r="AH621" s="114">
        <f>AG621-INDEX('EE Measures'!AW$8:AW$86,MATCH($A621,'EE Measures'!$D$8:$D$86,0))</f>
        <v>-102.24699369445472</v>
      </c>
      <c r="AI621" s="114">
        <f>AH621-INDEX('EE Measures'!AX$8:AX$86,MATCH($A621,'EE Measures'!$D$8:$D$86,0))</f>
        <v>-144.66129099207816</v>
      </c>
      <c r="AJ621" s="114">
        <f>AI621-INDEX('EE Measures'!AY$8:AY$86,MATCH($A621,'EE Measures'!$D$8:$D$86,0))</f>
        <v>-144.66129099207816</v>
      </c>
      <c r="AK621" s="114">
        <f>AJ621-INDEX('EE Measures'!AZ$8:AZ$86,MATCH($A621,'EE Measures'!$D$8:$D$86,0))</f>
        <v>-144.66129099207816</v>
      </c>
      <c r="AL621" s="114">
        <f>AK621-INDEX('EE Measures'!BA$8:BA$86,MATCH($A621,'EE Measures'!$D$8:$D$86,0))</f>
        <v>-144.66129099207816</v>
      </c>
      <c r="AM621" s="230"/>
      <c r="AN621" s="230"/>
      <c r="AO621" s="230"/>
      <c r="AP621" s="230"/>
      <c r="AQ621" s="230"/>
      <c r="AR621" s="230"/>
      <c r="AS621" s="230"/>
      <c r="AT621" s="230"/>
      <c r="AU621" s="230"/>
      <c r="AV621" s="230"/>
      <c r="AW621" s="230"/>
      <c r="AX621" s="230"/>
      <c r="AY621" s="230"/>
      <c r="AZ621" s="230"/>
      <c r="BA621" s="230"/>
      <c r="BB621" s="230"/>
      <c r="BC621" s="230"/>
      <c r="BD621" s="230"/>
      <c r="BE621" s="230"/>
      <c r="BF621" s="230"/>
    </row>
    <row r="622" spans="1:58" x14ac:dyDescent="0.3">
      <c r="A622" s="224" t="str">
        <f>'EE Measures'!D20</f>
        <v>eI2</v>
      </c>
      <c r="B622" s="224" t="s">
        <v>883</v>
      </c>
      <c r="C622" s="224" t="s">
        <v>899</v>
      </c>
      <c r="D622" s="224" t="s">
        <v>900</v>
      </c>
      <c r="E622" s="511">
        <f>INDEX('EE Measures'!IF:IF,MATCH($A622,'EE Measures'!$D:$D,0))</f>
        <v>1</v>
      </c>
      <c r="F622" s="511">
        <f>INDEX('EE Measures'!IG:IG,MATCH($A622,'EE Measures'!$D:$D,0))</f>
        <v>1</v>
      </c>
      <c r="G622" s="511">
        <f>INDEX('EE Measures'!IH:IH,MATCH($A622,'EE Measures'!$D:$D,0))</f>
        <v>1</v>
      </c>
      <c r="H622" s="511">
        <f>INDEX('EE Measures'!II:II,MATCH($A622,'EE Measures'!$D:$D,0))</f>
        <v>1</v>
      </c>
      <c r="I622" s="511">
        <f>INDEX('EE Measures'!IJ:IJ,MATCH($A622,'EE Measures'!$D:$D,0))</f>
        <v>1</v>
      </c>
      <c r="J622" s="511">
        <f>INDEX('EE Measures'!IK:IK,MATCH($A622,'EE Measures'!$D:$D,0))</f>
        <v>1</v>
      </c>
      <c r="K622" s="511">
        <f>INDEX('EE Measures'!IL:IL,MATCH($A622,'EE Measures'!$D:$D,0))</f>
        <v>1</v>
      </c>
      <c r="L622" s="117"/>
      <c r="M622" s="80" t="str">
        <f>INDEX('EE Measures'!$E$8:$E$40,MATCH(A622,'EE Measures'!$D$8:$D$40,0))</f>
        <v>Electro intensive enterprises tax reduction (2018-on-going)</v>
      </c>
      <c r="N622" s="219" t="s">
        <v>77</v>
      </c>
      <c r="O622" s="227"/>
      <c r="P622" s="227"/>
      <c r="Q622" s="227"/>
      <c r="R622" s="227"/>
      <c r="S622" s="227"/>
      <c r="T622" s="227"/>
      <c r="U622" s="227"/>
      <c r="V622" s="227"/>
      <c r="W622" s="227"/>
      <c r="X622" s="227"/>
      <c r="Y622" s="394"/>
      <c r="Z622" s="224"/>
      <c r="AA622" s="224"/>
      <c r="AB622" s="146"/>
      <c r="AC622" s="146">
        <f>-INDEX('EE Measures'!AR$8:AR$86,MATCH($A622,'EE Measures'!$D$8:$D$86,0))</f>
        <v>-11.950000000000001</v>
      </c>
      <c r="AD622" s="146">
        <f>-INDEX('EE Measures'!AS$8:AS$86,MATCH($A622,'EE Measures'!$D$8:$D$86,0))</f>
        <v>0</v>
      </c>
      <c r="AE622" s="114">
        <f>AD622-INDEX('EE Measures'!AT$8:AT$86,MATCH($A622,'EE Measures'!$D$8:$D$86,0))</f>
        <v>0</v>
      </c>
      <c r="AF622" s="114">
        <f>AE622-INDEX('EE Measures'!AU$8:AU$86,MATCH($A622,'EE Measures'!$D$8:$D$86,0))</f>
        <v>0</v>
      </c>
      <c r="AG622" s="114">
        <f>AF622-INDEX('EE Measures'!AV$8:AV$86,MATCH($A622,'EE Measures'!$D$8:$D$86,0))</f>
        <v>0</v>
      </c>
      <c r="AH622" s="114">
        <f>AG622-INDEX('EE Measures'!AW$8:AW$86,MATCH($A622,'EE Measures'!$D$8:$D$86,0))</f>
        <v>0</v>
      </c>
      <c r="AI622" s="114">
        <f>AH622-INDEX('EE Measures'!AX$8:AX$86,MATCH($A622,'EE Measures'!$D$8:$D$86,0))</f>
        <v>0</v>
      </c>
      <c r="AJ622" s="114">
        <f>AI622-INDEX('EE Measures'!AY$8:AY$86,MATCH($A622,'EE Measures'!$D$8:$D$86,0))</f>
        <v>0</v>
      </c>
      <c r="AK622" s="114">
        <f>AJ622-INDEX('EE Measures'!AZ$8:AZ$86,MATCH($A622,'EE Measures'!$D$8:$D$86,0))</f>
        <v>0</v>
      </c>
      <c r="AL622" s="114">
        <f>AK622-INDEX('EE Measures'!BA$8:BA$86,MATCH($A622,'EE Measures'!$D$8:$D$86,0))</f>
        <v>0</v>
      </c>
      <c r="AM622" s="224"/>
      <c r="AN622" s="224"/>
      <c r="AO622" s="224"/>
      <c r="AP622" s="224"/>
      <c r="AQ622" s="224"/>
      <c r="AR622" s="224"/>
      <c r="AS622" s="224"/>
      <c r="AT622" s="224"/>
      <c r="AU622" s="224"/>
      <c r="AV622" s="224"/>
      <c r="AW622" s="224"/>
      <c r="AX622" s="224"/>
      <c r="AY622" s="224"/>
      <c r="AZ622" s="224"/>
      <c r="BA622" s="224"/>
      <c r="BB622" s="224"/>
      <c r="BC622" s="224"/>
      <c r="BD622" s="224"/>
      <c r="BE622" s="224"/>
      <c r="BF622" s="224"/>
    </row>
    <row r="623" spans="1:58" x14ac:dyDescent="0.3">
      <c r="A623" s="224"/>
      <c r="B623" s="224"/>
      <c r="C623" s="224"/>
      <c r="D623" s="224"/>
      <c r="E623" s="224"/>
      <c r="F623" s="224"/>
      <c r="G623" s="224"/>
      <c r="H623" s="224"/>
      <c r="I623" s="224"/>
      <c r="J623" s="224"/>
      <c r="K623" s="224"/>
      <c r="L623" s="117"/>
      <c r="M623" s="88" t="s">
        <v>914</v>
      </c>
      <c r="N623" s="210"/>
      <c r="O623" s="228"/>
      <c r="P623" s="210"/>
      <c r="Q623" s="210"/>
      <c r="R623" s="210"/>
      <c r="S623" s="210"/>
      <c r="T623" s="210"/>
      <c r="U623" s="210"/>
      <c r="V623" s="210"/>
      <c r="W623" s="210"/>
      <c r="X623" s="210"/>
      <c r="Y623" s="394"/>
      <c r="Z623" s="224"/>
      <c r="AA623" s="224"/>
      <c r="AB623" s="116">
        <f t="shared" ref="AB623:AC623" si="951">AB610+SUM(AB620:AB622)</f>
        <v>4749.4444444444443</v>
      </c>
      <c r="AC623" s="116">
        <f t="shared" si="951"/>
        <v>4327.1518611111105</v>
      </c>
      <c r="AD623" s="116">
        <f t="shared" ref="AD623:AL623" si="952">AD610+SUM(AD620:AD622)</f>
        <v>4793.6585888888876</v>
      </c>
      <c r="AE623" s="116">
        <f t="shared" si="952"/>
        <v>4851.2218555555564</v>
      </c>
      <c r="AF623" s="116">
        <f t="shared" si="952"/>
        <v>4924.0393878888881</v>
      </c>
      <c r="AG623" s="116">
        <f t="shared" si="952"/>
        <v>4948.4658363599929</v>
      </c>
      <c r="AH623" s="116">
        <f t="shared" si="952"/>
        <v>4974.0009317608738</v>
      </c>
      <c r="AI623" s="116">
        <f t="shared" si="952"/>
        <v>5007.7303533450804</v>
      </c>
      <c r="AJ623" s="116">
        <f t="shared" si="952"/>
        <v>5085.0162280101376</v>
      </c>
      <c r="AK623" s="116">
        <f t="shared" si="952"/>
        <v>5163.4613907951707</v>
      </c>
      <c r="AL623" s="116">
        <f t="shared" si="952"/>
        <v>5243.0832310219776</v>
      </c>
      <c r="AM623" s="224"/>
      <c r="AN623" s="224"/>
      <c r="AO623" s="224"/>
      <c r="AP623" s="224"/>
      <c r="AQ623" s="224"/>
      <c r="AR623" s="224"/>
      <c r="AS623" s="224"/>
      <c r="AT623" s="224"/>
      <c r="AU623" s="224"/>
      <c r="AV623" s="224"/>
      <c r="AW623" s="224"/>
      <c r="AX623" s="224"/>
      <c r="AY623" s="224"/>
      <c r="AZ623" s="224"/>
      <c r="BA623" s="224"/>
      <c r="BB623" s="224"/>
      <c r="BC623" s="224"/>
      <c r="BD623" s="224"/>
      <c r="BE623" s="224"/>
      <c r="BF623" s="224"/>
    </row>
    <row r="624" spans="1:58" ht="14.25" thickBot="1" x14ac:dyDescent="0.35">
      <c r="A624" s="224"/>
      <c r="B624" s="224"/>
      <c r="C624" s="224"/>
      <c r="D624" s="224"/>
      <c r="E624" s="224"/>
      <c r="F624" s="224"/>
      <c r="G624" s="224"/>
      <c r="H624" s="224"/>
      <c r="I624" s="224"/>
      <c r="J624" s="224"/>
      <c r="K624" s="224"/>
      <c r="L624" s="117"/>
      <c r="M624" s="72" t="s">
        <v>915</v>
      </c>
      <c r="N624" s="210"/>
      <c r="O624" s="228"/>
      <c r="P624" s="210"/>
      <c r="Q624" s="210"/>
      <c r="R624" s="210"/>
      <c r="S624" s="210"/>
      <c r="T624" s="210"/>
      <c r="U624" s="210"/>
      <c r="V624" s="210"/>
      <c r="W624" s="210"/>
      <c r="X624" s="210"/>
      <c r="Y624" s="394"/>
      <c r="Z624" s="224"/>
      <c r="AA624" s="224"/>
      <c r="AB624" s="428">
        <f t="shared" ref="AB624:AC624" si="953">(AB$610-AB623)/AB$610</f>
        <v>0</v>
      </c>
      <c r="AC624" s="428">
        <f t="shared" si="953"/>
        <v>1.6245866750868306E-2</v>
      </c>
      <c r="AD624" s="428">
        <f>(AD$610-AD623)/AD$610</f>
        <v>6.8383193448607097E-4</v>
      </c>
      <c r="AE624" s="428">
        <f t="shared" ref="AE624:AL624" si="954">((AE$610-AE623)-(AD$610-AD623))/AE$610</f>
        <v>0</v>
      </c>
      <c r="AF624" s="428">
        <f t="shared" si="954"/>
        <v>0</v>
      </c>
      <c r="AG624" s="428">
        <f t="shared" si="954"/>
        <v>9.8942364099425494E-3</v>
      </c>
      <c r="AH624" s="428">
        <f t="shared" si="954"/>
        <v>9.7480161674310846E-3</v>
      </c>
      <c r="AI624" s="428">
        <f t="shared" si="954"/>
        <v>8.231962984459773E-3</v>
      </c>
      <c r="AJ624" s="428">
        <f t="shared" si="954"/>
        <v>0</v>
      </c>
      <c r="AK624" s="428">
        <f t="shared" si="954"/>
        <v>0</v>
      </c>
      <c r="AL624" s="429">
        <f t="shared" si="954"/>
        <v>0</v>
      </c>
      <c r="AM624" s="224"/>
      <c r="AN624" s="224"/>
      <c r="AO624" s="224"/>
      <c r="AP624" s="224"/>
      <c r="AQ624" s="224"/>
      <c r="AR624" s="224"/>
      <c r="AS624" s="224"/>
      <c r="AT624" s="224"/>
      <c r="AU624" s="224"/>
      <c r="AV624" s="224"/>
      <c r="AW624" s="224"/>
      <c r="AX624" s="224"/>
      <c r="AY624" s="224"/>
      <c r="AZ624" s="224"/>
      <c r="BA624" s="224"/>
      <c r="BB624" s="224"/>
      <c r="BC624" s="224"/>
      <c r="BD624" s="224"/>
      <c r="BE624" s="224"/>
      <c r="BF624" s="224"/>
    </row>
    <row r="625" spans="1:58" ht="14.25" thickBot="1" x14ac:dyDescent="0.35">
      <c r="A625" s="224"/>
      <c r="B625" s="224"/>
      <c r="C625" s="224"/>
      <c r="D625" s="224"/>
      <c r="E625" s="224"/>
      <c r="F625" s="224"/>
      <c r="G625" s="224"/>
      <c r="H625" s="224"/>
      <c r="I625" s="224"/>
      <c r="J625" s="224"/>
      <c r="K625" s="224"/>
      <c r="L625" s="117"/>
      <c r="M625" s="72" t="s">
        <v>916</v>
      </c>
      <c r="N625" s="210"/>
      <c r="O625" s="210"/>
      <c r="P625" s="210"/>
      <c r="Q625" s="210"/>
      <c r="R625" s="210"/>
      <c r="S625" s="210"/>
      <c r="T625" s="210"/>
      <c r="U625" s="210"/>
      <c r="V625" s="210"/>
      <c r="W625" s="210"/>
      <c r="X625" s="210"/>
      <c r="Y625" s="394"/>
      <c r="Z625" s="224"/>
      <c r="AA625" s="224"/>
      <c r="AB625" s="430"/>
      <c r="AC625" s="430"/>
      <c r="AD625" s="430"/>
      <c r="AE625" s="430"/>
      <c r="AF625" s="430"/>
      <c r="AG625" s="430"/>
      <c r="AH625" s="430"/>
      <c r="AI625" s="430"/>
      <c r="AJ625" s="430"/>
      <c r="AK625" s="430"/>
      <c r="AL625" s="431">
        <f>((AL$610-AL623)/AL$610)/9</f>
        <v>2.9833405632397943E-3</v>
      </c>
      <c r="AM625" s="224"/>
      <c r="AN625" s="224"/>
      <c r="AO625" s="224"/>
      <c r="AP625" s="224"/>
      <c r="AQ625" s="224"/>
      <c r="AR625" s="224"/>
      <c r="AS625" s="224"/>
      <c r="AT625" s="224"/>
      <c r="AU625" s="224"/>
      <c r="AV625" s="224"/>
      <c r="AW625" s="224"/>
      <c r="AX625" s="224"/>
      <c r="AY625" s="224"/>
      <c r="AZ625" s="224"/>
      <c r="BA625" s="224"/>
      <c r="BB625" s="224"/>
      <c r="BC625" s="224"/>
      <c r="BD625" s="224"/>
      <c r="BE625" s="224"/>
      <c r="BF625" s="224"/>
    </row>
    <row r="626" spans="1:58" x14ac:dyDescent="0.3">
      <c r="A626" s="224"/>
      <c r="B626" s="224"/>
      <c r="C626" s="224"/>
      <c r="D626" s="224"/>
      <c r="E626" s="224"/>
      <c r="F626" s="224"/>
      <c r="G626" s="224"/>
      <c r="H626" s="224"/>
      <c r="I626" s="224"/>
      <c r="J626" s="224"/>
      <c r="K626" s="224"/>
      <c r="L626" s="117"/>
      <c r="M626" s="232" t="s">
        <v>1131</v>
      </c>
      <c r="N626" s="233"/>
      <c r="O626" s="233"/>
      <c r="P626" s="233"/>
      <c r="Q626" s="233"/>
      <c r="R626" s="233"/>
      <c r="S626" s="233"/>
      <c r="T626" s="233"/>
      <c r="U626" s="233"/>
      <c r="V626" s="233"/>
      <c r="W626" s="233"/>
      <c r="X626" s="233"/>
      <c r="Y626" s="394"/>
      <c r="Z626" s="239"/>
      <c r="AA626" s="239"/>
      <c r="AB626" s="239"/>
      <c r="AC626" s="239"/>
      <c r="AD626" s="239"/>
      <c r="AE626" s="239"/>
      <c r="AF626" s="239"/>
      <c r="AG626" s="239"/>
      <c r="AH626" s="239"/>
      <c r="AI626" s="239"/>
      <c r="AJ626" s="239"/>
      <c r="AK626" s="239"/>
      <c r="AL626" s="240"/>
      <c r="AM626" s="235"/>
      <c r="AN626" s="235"/>
      <c r="AO626" s="235"/>
      <c r="AP626" s="235"/>
      <c r="AQ626" s="235"/>
      <c r="AR626" s="235"/>
      <c r="AS626" s="235"/>
      <c r="AT626" s="235"/>
      <c r="AU626" s="235"/>
      <c r="AV626" s="235"/>
      <c r="AW626" s="235"/>
      <c r="AX626" s="235"/>
      <c r="AY626" s="235"/>
      <c r="AZ626" s="235"/>
      <c r="BA626" s="235"/>
      <c r="BB626" s="235"/>
      <c r="BC626" s="235"/>
      <c r="BD626" s="235"/>
      <c r="BE626" s="235"/>
      <c r="BF626" s="235"/>
    </row>
    <row r="627" spans="1:58" x14ac:dyDescent="0.3">
      <c r="A627" s="224" t="str">
        <f>'EE Measures'!D58</f>
        <v>nI1</v>
      </c>
      <c r="B627" s="224" t="s">
        <v>883</v>
      </c>
      <c r="C627" s="224" t="s">
        <v>917</v>
      </c>
      <c r="D627" s="224" t="s">
        <v>900</v>
      </c>
      <c r="E627" s="511">
        <f>INDEX('EE Measures'!IF:IF,MATCH($A627,'EE Measures'!$D:$D,0))</f>
        <v>0</v>
      </c>
      <c r="F627" s="511">
        <f>INDEX('EE Measures'!IG:IG,MATCH($A627,'EE Measures'!$D:$D,0))</f>
        <v>0</v>
      </c>
      <c r="G627" s="511">
        <f>INDEX('EE Measures'!IH:IH,MATCH($A627,'EE Measures'!$D:$D,0))</f>
        <v>1.5</v>
      </c>
      <c r="H627" s="511">
        <f>INDEX('EE Measures'!II:II,MATCH($A627,'EE Measures'!$D:$D,0))</f>
        <v>0</v>
      </c>
      <c r="I627" s="511">
        <f>INDEX('EE Measures'!IJ:IJ,MATCH($A627,'EE Measures'!$D:$D,0))</f>
        <v>0</v>
      </c>
      <c r="J627" s="511">
        <f>INDEX('EE Measures'!IK:IK,MATCH($A627,'EE Measures'!$D:$D,0))</f>
        <v>1</v>
      </c>
      <c r="K627" s="511">
        <f>INDEX('EE Measures'!IL:IL,MATCH($A627,'EE Measures'!$D:$D,0))</f>
        <v>1.5</v>
      </c>
      <c r="L627" s="117"/>
      <c r="M627" s="179" t="str">
        <f>INDEX('EE Measures'!$E$42:$E$86,MATCH($A627,'EE Measures'!$D$42:$D$86,0))</f>
        <v>Voluntary scheme for the industry, with binding targets based on incentives</v>
      </c>
      <c r="N627" s="219" t="s">
        <v>77</v>
      </c>
      <c r="O627" s="210"/>
      <c r="P627" s="210"/>
      <c r="Q627" s="210"/>
      <c r="R627" s="210"/>
      <c r="S627" s="210"/>
      <c r="T627" s="210"/>
      <c r="U627" s="210"/>
      <c r="V627" s="210"/>
      <c r="W627" s="210"/>
      <c r="X627" s="210"/>
      <c r="Y627" s="394"/>
      <c r="Z627" s="224"/>
      <c r="AA627" s="224"/>
      <c r="AB627" s="146"/>
      <c r="AC627" s="146">
        <f>-INDEX('EE Measures'!AR$8:AR$86,MATCH($A627,'EE Measures'!$D$8:$D$86,0))</f>
        <v>0</v>
      </c>
      <c r="AD627" s="146">
        <f>-INDEX('EE Measures'!AS$8:AS$86,MATCH($A627,'EE Measures'!$D$8:$D$86,0))</f>
        <v>0</v>
      </c>
      <c r="AE627" s="114">
        <f>AD627-INDEX('EE Measures'!AT$8:AT$86,MATCH($A627,'EE Measures'!$D$8:$D$86,0))</f>
        <v>0</v>
      </c>
      <c r="AF627" s="114">
        <f>AE627-INDEX('EE Measures'!AU$8:AU$86,MATCH($A627,'EE Measures'!$D$8:$D$86,0))</f>
        <v>0</v>
      </c>
      <c r="AG627" s="114">
        <f>AF627-INDEX('EE Measures'!AV$8:AV$86,MATCH($A627,'EE Measures'!$D$8:$D$86,0))</f>
        <v>-1.5003688449621662</v>
      </c>
      <c r="AH627" s="114">
        <f>AG627-INDEX('EE Measures'!AW$8:AW$86,MATCH($A627,'EE Measures'!$D$8:$D$86,0))</f>
        <v>-13.175739073509421</v>
      </c>
      <c r="AI627" s="114">
        <f>AH627-INDEX('EE Measures'!AX$8:AX$86,MATCH($A627,'EE Measures'!$D$8:$D$86,0))</f>
        <v>-38.525505963648236</v>
      </c>
      <c r="AJ627" s="114">
        <f>AI627-INDEX('EE Measures'!AY$8:AY$86,MATCH($A627,'EE Measures'!$D$8:$D$86,0))</f>
        <v>-81.722642270606542</v>
      </c>
      <c r="AK627" s="114">
        <f>AJ627-INDEX('EE Measures'!AZ$8:AZ$86,MATCH($A627,'EE Measures'!$D$8:$D$86,0))</f>
        <v>-147.11871371022545</v>
      </c>
      <c r="AL627" s="114">
        <f>AK627-INDEX('EE Measures'!BA$8:BA$86,MATCH($A627,'EE Measures'!$D$8:$D$86,0))</f>
        <v>-229.01243044483908</v>
      </c>
      <c r="AM627" s="224"/>
      <c r="AN627" s="224"/>
      <c r="AO627" s="224"/>
      <c r="AP627" s="224"/>
      <c r="AQ627" s="224"/>
      <c r="AR627" s="224"/>
      <c r="AS627" s="224"/>
      <c r="AT627" s="224"/>
      <c r="AU627" s="224"/>
      <c r="AV627" s="224"/>
      <c r="AW627" s="224"/>
      <c r="AX627" s="224"/>
      <c r="AY627" s="224"/>
      <c r="AZ627" s="224"/>
      <c r="BA627" s="224"/>
      <c r="BB627" s="224"/>
      <c r="BC627" s="224"/>
      <c r="BD627" s="224"/>
      <c r="BE627" s="224"/>
      <c r="BF627" s="224"/>
    </row>
    <row r="628" spans="1:58" x14ac:dyDescent="0.3">
      <c r="A628" s="224" t="str">
        <f>'EE Measures'!D59</f>
        <v>nI2</v>
      </c>
      <c r="B628" s="224" t="s">
        <v>883</v>
      </c>
      <c r="C628" s="224" t="s">
        <v>917</v>
      </c>
      <c r="D628" s="224" t="s">
        <v>900</v>
      </c>
      <c r="E628" s="511">
        <f>INDEX('EE Measures'!IF:IF,MATCH($A628,'EE Measures'!$D:$D,0))</f>
        <v>0</v>
      </c>
      <c r="F628" s="511">
        <f>INDEX('EE Measures'!IG:IG,MATCH($A628,'EE Measures'!$D:$D,0))</f>
        <v>1</v>
      </c>
      <c r="G628" s="511">
        <f>INDEX('EE Measures'!IH:IH,MATCH($A628,'EE Measures'!$D:$D,0))</f>
        <v>1</v>
      </c>
      <c r="H628" s="511">
        <f>INDEX('EE Measures'!II:II,MATCH($A628,'EE Measures'!$D:$D,0))</f>
        <v>0.5</v>
      </c>
      <c r="I628" s="511">
        <f>INDEX('EE Measures'!IJ:IJ,MATCH($A628,'EE Measures'!$D:$D,0))</f>
        <v>0.5</v>
      </c>
      <c r="J628" s="511">
        <f>INDEX('EE Measures'!IK:IK,MATCH($A628,'EE Measures'!$D:$D,0))</f>
        <v>0.5</v>
      </c>
      <c r="K628" s="511">
        <f>INDEX('EE Measures'!IL:IL,MATCH($A628,'EE Measures'!$D:$D,0))</f>
        <v>1</v>
      </c>
      <c r="L628" s="117"/>
      <c r="M628" s="179" t="str">
        <f>INDEX('EE Measures'!$E$42:$E$86,MATCH($A628,'EE Measures'!$D$42:$D$86,0))</f>
        <v>Promotion of resource-efficient green technologies of industrial enterprises (RRP)</v>
      </c>
      <c r="N628" s="219" t="s">
        <v>77</v>
      </c>
      <c r="O628" s="210"/>
      <c r="P628" s="210"/>
      <c r="Q628" s="210"/>
      <c r="R628" s="210"/>
      <c r="S628" s="210"/>
      <c r="T628" s="210"/>
      <c r="U628" s="210"/>
      <c r="V628" s="210"/>
      <c r="W628" s="210"/>
      <c r="X628" s="210"/>
      <c r="Y628" s="394"/>
      <c r="Z628" s="224"/>
      <c r="AA628" s="224"/>
      <c r="AB628" s="146"/>
      <c r="AC628" s="146">
        <f>-INDEX('EE Measures'!AR$8:AR$86,MATCH($A628,'EE Measures'!$D$8:$D$86,0))</f>
        <v>0</v>
      </c>
      <c r="AD628" s="146">
        <f>-INDEX('EE Measures'!AS$8:AS$86,MATCH($A628,'EE Measures'!$D$8:$D$86,0))</f>
        <v>0</v>
      </c>
      <c r="AE628" s="114">
        <f>AD628-INDEX('EE Measures'!AT$8:AT$86,MATCH($A628,'EE Measures'!$D$8:$D$86,0))</f>
        <v>0</v>
      </c>
      <c r="AF628" s="114">
        <f>AE628-INDEX('EE Measures'!AU$8:AU$86,MATCH($A628,'EE Measures'!$D$8:$D$86,0))</f>
        <v>0</v>
      </c>
      <c r="AG628" s="114">
        <f>AF628-INDEX('EE Measures'!AV$8:AV$86,MATCH($A628,'EE Measures'!$D$8:$D$86,0))</f>
        <v>-40.66854940885171</v>
      </c>
      <c r="AH628" s="114">
        <f>AG628-INDEX('EE Measures'!AW$8:AW$86,MATCH($A628,'EE Measures'!$D$8:$D$86,0))</f>
        <v>-58.101440298135785</v>
      </c>
      <c r="AI628" s="114">
        <f>AH628-INDEX('EE Measures'!AX$8:AX$86,MATCH($A628,'EE Measures'!$D$8:$D$86,0))</f>
        <v>-58.101440298135785</v>
      </c>
      <c r="AJ628" s="114">
        <f>AI628-INDEX('EE Measures'!AY$8:AY$86,MATCH($A628,'EE Measures'!$D$8:$D$86,0))</f>
        <v>-58.101440298135785</v>
      </c>
      <c r="AK628" s="114">
        <f>AJ628-INDEX('EE Measures'!AZ$8:AZ$86,MATCH($A628,'EE Measures'!$D$8:$D$86,0))</f>
        <v>-58.101440298135785</v>
      </c>
      <c r="AL628" s="114">
        <f>AK628-INDEX('EE Measures'!BA$8:BA$86,MATCH($A628,'EE Measures'!$D$8:$D$86,0))</f>
        <v>-58.101440298135785</v>
      </c>
      <c r="AM628" s="224"/>
      <c r="AN628" s="224"/>
      <c r="AO628" s="224"/>
      <c r="AP628" s="224"/>
      <c r="AQ628" s="224"/>
      <c r="AR628" s="224"/>
      <c r="AS628" s="224"/>
      <c r="AT628" s="224"/>
      <c r="AU628" s="224"/>
      <c r="AV628" s="224"/>
      <c r="AW628" s="224"/>
      <c r="AX628" s="224"/>
      <c r="AY628" s="224"/>
      <c r="AZ628" s="224"/>
      <c r="BA628" s="224"/>
      <c r="BB628" s="224"/>
      <c r="BC628" s="224"/>
      <c r="BD628" s="224"/>
      <c r="BE628" s="224"/>
      <c r="BF628" s="224"/>
    </row>
    <row r="629" spans="1:58" x14ac:dyDescent="0.3">
      <c r="A629" s="224" t="str">
        <f>'EE Measures'!D60</f>
        <v>nI3</v>
      </c>
      <c r="B629" s="224" t="s">
        <v>883</v>
      </c>
      <c r="C629" s="224" t="s">
        <v>917</v>
      </c>
      <c r="D629" s="224" t="s">
        <v>900</v>
      </c>
      <c r="E629" s="511">
        <f>INDEX('EE Measures'!IF:IF,MATCH($A629,'EE Measures'!$D:$D,0))</f>
        <v>0</v>
      </c>
      <c r="F629" s="511">
        <f>INDEX('EE Measures'!IG:IG,MATCH($A629,'EE Measures'!$D:$D,0))</f>
        <v>1</v>
      </c>
      <c r="G629" s="511">
        <f>INDEX('EE Measures'!IH:IH,MATCH($A629,'EE Measures'!$D:$D,0))</f>
        <v>1</v>
      </c>
      <c r="H629" s="511">
        <f>INDEX('EE Measures'!II:II,MATCH($A629,'EE Measures'!$D:$D,0))</f>
        <v>0.5</v>
      </c>
      <c r="I629" s="511">
        <f>INDEX('EE Measures'!IJ:IJ,MATCH($A629,'EE Measures'!$D:$D,0))</f>
        <v>0.5</v>
      </c>
      <c r="J629" s="511">
        <f>INDEX('EE Measures'!IK:IK,MATCH($A629,'EE Measures'!$D:$D,0))</f>
        <v>0.5</v>
      </c>
      <c r="K629" s="511">
        <f>INDEX('EE Measures'!IL:IL,MATCH($A629,'EE Measures'!$D:$D,0))</f>
        <v>0.5</v>
      </c>
      <c r="L629" s="117"/>
      <c r="M629" s="179" t="str">
        <f>INDEX('EE Measures'!$E$42:$E$86,MATCH($A629,'EE Measures'!$D$42:$D$86,0))</f>
        <v>Supporting energy efficiency investments in energy-intensive companies</v>
      </c>
      <c r="N629" s="219" t="s">
        <v>77</v>
      </c>
      <c r="O629" s="210"/>
      <c r="P629" s="210"/>
      <c r="Q629" s="210"/>
      <c r="R629" s="210"/>
      <c r="S629" s="210"/>
      <c r="T629" s="210"/>
      <c r="U629" s="210"/>
      <c r="V629" s="210"/>
      <c r="W629" s="210"/>
      <c r="X629" s="210"/>
      <c r="Y629" s="394"/>
      <c r="Z629" s="224"/>
      <c r="AA629" s="224"/>
      <c r="AB629" s="146"/>
      <c r="AC629" s="146">
        <f>-INDEX('EE Measures'!AR$8:AR$86,MATCH($A629,'EE Measures'!$D$8:$D$86,0))</f>
        <v>0</v>
      </c>
      <c r="AD629" s="146">
        <f>-INDEX('EE Measures'!AS$8:AS$86,MATCH($A629,'EE Measures'!$D$8:$D$86,0))</f>
        <v>0</v>
      </c>
      <c r="AE629" s="114">
        <f>AD629-INDEX('EE Measures'!AT$8:AT$86,MATCH($A629,'EE Measures'!$D$8:$D$86,0))</f>
        <v>0</v>
      </c>
      <c r="AF629" s="114">
        <f>AE629-INDEX('EE Measures'!AU$8:AU$86,MATCH($A629,'EE Measures'!$D$8:$D$86,0))</f>
        <v>0</v>
      </c>
      <c r="AG629" s="114">
        <f>AF629-INDEX('EE Measures'!AV$8:AV$86,MATCH($A629,'EE Measures'!$D$8:$D$86,0))</f>
        <v>-4.0984153000000001</v>
      </c>
      <c r="AH629" s="114">
        <f>AG629-INDEX('EE Measures'!AW$8:AW$86,MATCH($A629,'EE Measures'!$D$8:$D$86,0))</f>
        <v>-8.1968306000000002</v>
      </c>
      <c r="AI629" s="114">
        <f>AH629-INDEX('EE Measures'!AX$8:AX$86,MATCH($A629,'EE Measures'!$D$8:$D$86,0))</f>
        <v>-12.295245900000001</v>
      </c>
      <c r="AJ629" s="114">
        <f>AI629-INDEX('EE Measures'!AY$8:AY$86,MATCH($A629,'EE Measures'!$D$8:$D$86,0))</f>
        <v>-16.3936612</v>
      </c>
      <c r="AK629" s="114">
        <f>AJ629-INDEX('EE Measures'!AZ$8:AZ$86,MATCH($A629,'EE Measures'!$D$8:$D$86,0))</f>
        <v>-20.4920765</v>
      </c>
      <c r="AL629" s="114">
        <f>AK629-INDEX('EE Measures'!BA$8:BA$86,MATCH($A629,'EE Measures'!$D$8:$D$86,0))</f>
        <v>-24.590491799999999</v>
      </c>
      <c r="AM629" s="224"/>
      <c r="AN629" s="224"/>
      <c r="AO629" s="224"/>
      <c r="AP629" s="224"/>
      <c r="AQ629" s="224"/>
      <c r="AR629" s="224"/>
      <c r="AS629" s="224"/>
      <c r="AT629" s="224"/>
      <c r="AU629" s="224"/>
      <c r="AV629" s="224"/>
      <c r="AW629" s="224"/>
      <c r="AX629" s="224"/>
      <c r="AY629" s="224"/>
      <c r="AZ629" s="224"/>
      <c r="BA629" s="224"/>
      <c r="BB629" s="224"/>
      <c r="BC629" s="224"/>
      <c r="BD629" s="224"/>
      <c r="BE629" s="224"/>
      <c r="BF629" s="224"/>
    </row>
    <row r="630" spans="1:58" x14ac:dyDescent="0.3">
      <c r="A630" s="224" t="str">
        <f>'EE Measures'!D61</f>
        <v>nI4</v>
      </c>
      <c r="B630" s="224" t="s">
        <v>883</v>
      </c>
      <c r="C630" s="224" t="s">
        <v>917</v>
      </c>
      <c r="D630" s="224" t="s">
        <v>900</v>
      </c>
      <c r="E630" s="511">
        <f>INDEX('EE Measures'!IF:IF,MATCH($A630,'EE Measures'!$D:$D,0))</f>
        <v>0</v>
      </c>
      <c r="F630" s="511">
        <f>INDEX('EE Measures'!IG:IG,MATCH($A630,'EE Measures'!$D:$D,0))</f>
        <v>1</v>
      </c>
      <c r="G630" s="511">
        <f>INDEX('EE Measures'!IH:IH,MATCH($A630,'EE Measures'!$D:$D,0))</f>
        <v>1</v>
      </c>
      <c r="H630" s="511">
        <f>INDEX('EE Measures'!II:II,MATCH($A630,'EE Measures'!$D:$D,0))</f>
        <v>0.5</v>
      </c>
      <c r="I630" s="511">
        <f>INDEX('EE Measures'!IJ:IJ,MATCH($A630,'EE Measures'!$D:$D,0))</f>
        <v>0.5</v>
      </c>
      <c r="J630" s="511">
        <f>INDEX('EE Measures'!IK:IK,MATCH($A630,'EE Measures'!$D:$D,0))</f>
        <v>0.5</v>
      </c>
      <c r="K630" s="511">
        <f>INDEX('EE Measures'!IL:IL,MATCH($A630,'EE Measures'!$D:$D,0))</f>
        <v>0.5</v>
      </c>
      <c r="L630" s="117"/>
      <c r="M630" s="179" t="str">
        <f>INDEX('EE Measures'!$E$42:$E$86,MATCH($A630,'EE Measures'!$D$42:$D$86,0))</f>
        <v xml:space="preserve">Investment support for the food industry to ensure security of energy supply </v>
      </c>
      <c r="N630" s="219" t="s">
        <v>77</v>
      </c>
      <c r="O630" s="210"/>
      <c r="P630" s="210"/>
      <c r="Q630" s="210"/>
      <c r="R630" s="210"/>
      <c r="S630" s="210"/>
      <c r="T630" s="210"/>
      <c r="U630" s="210"/>
      <c r="V630" s="210"/>
      <c r="W630" s="210"/>
      <c r="X630" s="210"/>
      <c r="Y630" s="394"/>
      <c r="Z630" s="224"/>
      <c r="AA630" s="224"/>
      <c r="AB630" s="146"/>
      <c r="AC630" s="146">
        <f>-INDEX('EE Measures'!AR$8:AR$86,MATCH($A630,'EE Measures'!$D$8:$D$86,0))</f>
        <v>0</v>
      </c>
      <c r="AD630" s="146">
        <f>-INDEX('EE Measures'!AS$8:AS$86,MATCH($A630,'EE Measures'!$D$8:$D$86,0))</f>
        <v>0</v>
      </c>
      <c r="AE630" s="114">
        <f>AD630-INDEX('EE Measures'!AT$8:AT$86,MATCH($A630,'EE Measures'!$D$8:$D$86,0))</f>
        <v>0</v>
      </c>
      <c r="AF630" s="114">
        <f>AE630-INDEX('EE Measures'!AU$8:AU$86,MATCH($A630,'EE Measures'!$D$8:$D$86,0))</f>
        <v>-34.423197806766865</v>
      </c>
      <c r="AG630" s="114">
        <f>AF630-INDEX('EE Measures'!AV$8:AV$86,MATCH($A630,'EE Measures'!$D$8:$D$86,0))</f>
        <v>-34.423197806766865</v>
      </c>
      <c r="AH630" s="114">
        <f>AG630-INDEX('EE Measures'!AW$8:AW$86,MATCH($A630,'EE Measures'!$D$8:$D$86,0))</f>
        <v>-34.423197806766865</v>
      </c>
      <c r="AI630" s="114">
        <f>AH630-INDEX('EE Measures'!AX$8:AX$86,MATCH($A630,'EE Measures'!$D$8:$D$86,0))</f>
        <v>-34.423197806766865</v>
      </c>
      <c r="AJ630" s="114">
        <f>AI630-INDEX('EE Measures'!AY$8:AY$86,MATCH($A630,'EE Measures'!$D$8:$D$86,0))</f>
        <v>-34.423197806766865</v>
      </c>
      <c r="AK630" s="114">
        <f>AJ630-INDEX('EE Measures'!AZ$8:AZ$86,MATCH($A630,'EE Measures'!$D$8:$D$86,0))</f>
        <v>-34.423197806766865</v>
      </c>
      <c r="AL630" s="114">
        <f>AK630-INDEX('EE Measures'!BA$8:BA$86,MATCH($A630,'EE Measures'!$D$8:$D$86,0))</f>
        <v>-34.423197806766865</v>
      </c>
      <c r="AM630" s="224"/>
      <c r="AN630" s="224"/>
      <c r="AO630" s="224"/>
      <c r="AP630" s="224"/>
      <c r="AQ630" s="224"/>
      <c r="AR630" s="224"/>
      <c r="AS630" s="224"/>
      <c r="AT630" s="224"/>
      <c r="AU630" s="224"/>
      <c r="AV630" s="224"/>
      <c r="AW630" s="224"/>
      <c r="AX630" s="224"/>
      <c r="AY630" s="224"/>
      <c r="AZ630" s="224"/>
      <c r="BA630" s="224"/>
      <c r="BB630" s="224"/>
      <c r="BC630" s="224"/>
      <c r="BD630" s="224"/>
      <c r="BE630" s="224"/>
      <c r="BF630" s="224"/>
    </row>
    <row r="631" spans="1:58" x14ac:dyDescent="0.3">
      <c r="A631" s="224" t="str">
        <f>'EE Measures'!D62</f>
        <v>nI5</v>
      </c>
      <c r="B631" s="224" t="s">
        <v>883</v>
      </c>
      <c r="C631" s="224" t="s">
        <v>917</v>
      </c>
      <c r="D631" s="224" t="s">
        <v>900</v>
      </c>
      <c r="E631" s="511">
        <f>INDEX('EE Measures'!IF:IF,MATCH($A631,'EE Measures'!$D:$D,0))</f>
        <v>0</v>
      </c>
      <c r="F631" s="511">
        <f>INDEX('EE Measures'!IG:IG,MATCH($A631,'EE Measures'!$D:$D,0))</f>
        <v>1.5</v>
      </c>
      <c r="G631" s="511">
        <f>INDEX('EE Measures'!IH:IH,MATCH($A631,'EE Measures'!$D:$D,0))</f>
        <v>1</v>
      </c>
      <c r="H631" s="511">
        <f>INDEX('EE Measures'!II:II,MATCH($A631,'EE Measures'!$D:$D,0))</f>
        <v>0.5</v>
      </c>
      <c r="I631" s="511">
        <f>INDEX('EE Measures'!IJ:IJ,MATCH($A631,'EE Measures'!$D:$D,0))</f>
        <v>0.5</v>
      </c>
      <c r="J631" s="511">
        <f>INDEX('EE Measures'!IK:IK,MATCH($A631,'EE Measures'!$D:$D,0))</f>
        <v>0.5</v>
      </c>
      <c r="K631" s="511">
        <f>INDEX('EE Measures'!IL:IL,MATCH($A631,'EE Measures'!$D:$D,0))</f>
        <v>1</v>
      </c>
      <c r="L631" s="117"/>
      <c r="M631" s="179" t="str">
        <f>INDEX('EE Measures'!$E$42:$E$86,MATCH($A631,'EE Measures'!$D$42:$D$86,0))</f>
        <v>Supporting energy efficiency investments in companies</v>
      </c>
      <c r="N631" s="219" t="s">
        <v>77</v>
      </c>
      <c r="O631" s="210"/>
      <c r="P631" s="210"/>
      <c r="Q631" s="210"/>
      <c r="R631" s="210"/>
      <c r="S631" s="210"/>
      <c r="T631" s="210"/>
      <c r="U631" s="210"/>
      <c r="V631" s="210"/>
      <c r="W631" s="210"/>
      <c r="X631" s="210"/>
      <c r="Y631" s="394"/>
      <c r="Z631" s="224"/>
      <c r="AA631" s="224"/>
      <c r="AB631" s="146"/>
      <c r="AC631" s="146">
        <f>-INDEX('EE Measures'!AR$8:AR$86,MATCH($A631,'EE Measures'!$D$8:$D$86,0))</f>
        <v>0</v>
      </c>
      <c r="AD631" s="146">
        <f>-INDEX('EE Measures'!AS$8:AS$86,MATCH($A631,'EE Measures'!$D$8:$D$86,0))</f>
        <v>0</v>
      </c>
      <c r="AE631" s="114">
        <f>AD631-INDEX('EE Measures'!AT$8:AT$86,MATCH($A631,'EE Measures'!$D$8:$D$86,0))</f>
        <v>0</v>
      </c>
      <c r="AF631" s="114">
        <f>AE631-INDEX('EE Measures'!AU$8:AU$86,MATCH($A631,'EE Measures'!$D$8:$D$86,0))</f>
        <v>0</v>
      </c>
      <c r="AG631" s="114">
        <f>AF631-INDEX('EE Measures'!AV$8:AV$86,MATCH($A631,'EE Measures'!$D$8:$D$86,0))</f>
        <v>-14.138099099207819</v>
      </c>
      <c r="AH631" s="114">
        <f>AG631-INDEX('EE Measures'!AW$8:AW$86,MATCH($A631,'EE Measures'!$D$8:$D$86,0))</f>
        <v>-28.276198198415639</v>
      </c>
      <c r="AI631" s="114">
        <f>AH631-INDEX('EE Measures'!AX$8:AX$86,MATCH($A631,'EE Measures'!$D$8:$D$86,0))</f>
        <v>-42.414297297623456</v>
      </c>
      <c r="AJ631" s="114">
        <f>AI631-INDEX('EE Measures'!AY$8:AY$86,MATCH($A631,'EE Measures'!$D$8:$D$86,0))</f>
        <v>-56.552396396831277</v>
      </c>
      <c r="AK631" s="114">
        <f>AJ631-INDEX('EE Measures'!AZ$8:AZ$86,MATCH($A631,'EE Measures'!$D$8:$D$86,0))</f>
        <v>-70.690495496039091</v>
      </c>
      <c r="AL631" s="114">
        <f>AK631-INDEX('EE Measures'!BA$8:BA$86,MATCH($A631,'EE Measures'!$D$8:$D$86,0))</f>
        <v>-84.828594595246912</v>
      </c>
      <c r="AM631" s="224"/>
      <c r="AN631" s="224"/>
      <c r="AO631" s="224"/>
      <c r="AP631" s="224"/>
      <c r="AQ631" s="224"/>
      <c r="AR631" s="224"/>
      <c r="AS631" s="224"/>
      <c r="AT631" s="224"/>
      <c r="AU631" s="224"/>
      <c r="AV631" s="224"/>
      <c r="AW631" s="224"/>
      <c r="AX631" s="224"/>
      <c r="AY631" s="224"/>
      <c r="AZ631" s="224"/>
      <c r="BA631" s="224"/>
      <c r="BB631" s="224"/>
      <c r="BC631" s="224"/>
      <c r="BD631" s="224"/>
      <c r="BE631" s="224"/>
      <c r="BF631" s="224"/>
    </row>
    <row r="632" spans="1:58" x14ac:dyDescent="0.3">
      <c r="A632" s="224" t="str">
        <f>'EE Measures'!D63</f>
        <v>nI6</v>
      </c>
      <c r="B632" s="224" t="s">
        <v>883</v>
      </c>
      <c r="C632" s="224" t="s">
        <v>917</v>
      </c>
      <c r="D632" s="224" t="s">
        <v>900</v>
      </c>
      <c r="E632" s="511">
        <f>INDEX('EE Measures'!IF:IF,MATCH($A632,'EE Measures'!$D:$D,0))</f>
        <v>0</v>
      </c>
      <c r="F632" s="511">
        <f>INDEX('EE Measures'!IG:IG,MATCH($A632,'EE Measures'!$D:$D,0))</f>
        <v>1</v>
      </c>
      <c r="G632" s="511">
        <f>INDEX('EE Measures'!IH:IH,MATCH($A632,'EE Measures'!$D:$D,0))</f>
        <v>1</v>
      </c>
      <c r="H632" s="511">
        <f>INDEX('EE Measures'!II:II,MATCH($A632,'EE Measures'!$D:$D,0))</f>
        <v>0.5</v>
      </c>
      <c r="I632" s="511">
        <f>INDEX('EE Measures'!IJ:IJ,MATCH($A632,'EE Measures'!$D:$D,0))</f>
        <v>0.5</v>
      </c>
      <c r="J632" s="511">
        <f>INDEX('EE Measures'!IK:IK,MATCH($A632,'EE Measures'!$D:$D,0))</f>
        <v>0.5</v>
      </c>
      <c r="K632" s="511">
        <f>INDEX('EE Measures'!IL:IL,MATCH($A632,'EE Measures'!$D:$D,0))</f>
        <v>1</v>
      </c>
      <c r="L632" s="117"/>
      <c r="M632" s="179" t="str">
        <f>INDEX('EE Measures'!$E$42:$E$86,MATCH($A632,'EE Measures'!$D$42:$D$86,0))</f>
        <v>Energy consulting and networking events for small and medium enterprises (SMEs)</v>
      </c>
      <c r="N632" s="219" t="s">
        <v>77</v>
      </c>
      <c r="O632" s="210"/>
      <c r="P632" s="210"/>
      <c r="Q632" s="210"/>
      <c r="R632" s="210"/>
      <c r="S632" s="210"/>
      <c r="T632" s="210"/>
      <c r="U632" s="210"/>
      <c r="V632" s="210"/>
      <c r="W632" s="210"/>
      <c r="X632" s="210"/>
      <c r="Y632" s="394"/>
      <c r="Z632" s="224"/>
      <c r="AA632" s="224"/>
      <c r="AB632" s="146"/>
      <c r="AC632" s="146">
        <f>-INDEX('EE Measures'!AR$8:AR$86,MATCH($A632,'EE Measures'!$D$8:$D$86,0))</f>
        <v>0</v>
      </c>
      <c r="AD632" s="146">
        <f>-INDEX('EE Measures'!AS$8:AS$86,MATCH($A632,'EE Measures'!$D$8:$D$86,0))</f>
        <v>0</v>
      </c>
      <c r="AE632" s="114">
        <f>AD632-INDEX('EE Measures'!AT$8:AT$86,MATCH($A632,'EE Measures'!$D$8:$D$86,0))</f>
        <v>0</v>
      </c>
      <c r="AF632" s="114">
        <f>AE632-INDEX('EE Measures'!AU$8:AU$86,MATCH($A632,'EE Measures'!$D$8:$D$86,0))</f>
        <v>0</v>
      </c>
      <c r="AG632" s="114">
        <f>AF632-INDEX('EE Measures'!AV$8:AV$86,MATCH($A632,'EE Measures'!$D$8:$D$86,0))</f>
        <v>-1.0383951766119965</v>
      </c>
      <c r="AH632" s="114">
        <f>AG632-INDEX('EE Measures'!AW$8:AW$86,MATCH($A632,'EE Measures'!$D$8:$D$86,0))</f>
        <v>-2.0767903532239931</v>
      </c>
      <c r="AI632" s="114">
        <f>AH632-INDEX('EE Measures'!AX$8:AX$86,MATCH($A632,'EE Measures'!$D$8:$D$86,0))</f>
        <v>-3.1151855298359896</v>
      </c>
      <c r="AJ632" s="114">
        <f>AI632-INDEX('EE Measures'!AY$8:AY$86,MATCH($A632,'EE Measures'!$D$8:$D$86,0))</f>
        <v>-4.1535807064479862</v>
      </c>
      <c r="AK632" s="114">
        <f>AJ632-INDEX('EE Measures'!AZ$8:AZ$86,MATCH($A632,'EE Measures'!$D$8:$D$86,0))</f>
        <v>-5.1919758830599827</v>
      </c>
      <c r="AL632" s="114">
        <f>AK632-INDEX('EE Measures'!BA$8:BA$86,MATCH($A632,'EE Measures'!$D$8:$D$86,0))</f>
        <v>-6.2303710596719792</v>
      </c>
      <c r="AM632" s="224"/>
      <c r="AN632" s="224"/>
      <c r="AO632" s="224"/>
      <c r="AP632" s="224"/>
      <c r="AQ632" s="224"/>
      <c r="AR632" s="224"/>
      <c r="AS632" s="224"/>
      <c r="AT632" s="224"/>
      <c r="AU632" s="224"/>
      <c r="AV632" s="224"/>
      <c r="AW632" s="224"/>
      <c r="AX632" s="224"/>
      <c r="AY632" s="224"/>
      <c r="AZ632" s="224"/>
      <c r="BA632" s="224"/>
      <c r="BB632" s="224"/>
      <c r="BC632" s="224"/>
      <c r="BD632" s="224"/>
      <c r="BE632" s="224"/>
      <c r="BF632" s="224"/>
    </row>
    <row r="633" spans="1:58" x14ac:dyDescent="0.3">
      <c r="A633" s="224"/>
      <c r="B633" s="224"/>
      <c r="C633" s="224"/>
      <c r="D633" s="224"/>
      <c r="E633" s="224"/>
      <c r="F633" s="224"/>
      <c r="G633" s="224"/>
      <c r="H633" s="224"/>
      <c r="I633" s="224"/>
      <c r="J633" s="224"/>
      <c r="K633" s="224"/>
      <c r="L633" s="117"/>
      <c r="M633" s="88" t="s">
        <v>914</v>
      </c>
      <c r="N633" s="219" t="s">
        <v>77</v>
      </c>
      <c r="O633" s="210"/>
      <c r="P633" s="210"/>
      <c r="Q633" s="210"/>
      <c r="R633" s="210"/>
      <c r="S633" s="210"/>
      <c r="T633" s="210"/>
      <c r="U633" s="210"/>
      <c r="V633" s="210"/>
      <c r="W633" s="210"/>
      <c r="X633" s="210"/>
      <c r="Y633" s="394"/>
      <c r="Z633" s="224"/>
      <c r="AA633" s="224"/>
      <c r="AB633" s="116">
        <f t="shared" ref="AB633:AC633" si="955">AB623+SUM(AB627:AB632)</f>
        <v>4749.4444444444443</v>
      </c>
      <c r="AC633" s="116">
        <f t="shared" si="955"/>
        <v>4327.1518611111105</v>
      </c>
      <c r="AD633" s="116">
        <f t="shared" ref="AD633:AL633" si="956">AD623+SUM(AD627:AD632)</f>
        <v>4793.6585888888876</v>
      </c>
      <c r="AE633" s="116">
        <f t="shared" si="956"/>
        <v>4851.2218555555564</v>
      </c>
      <c r="AF633" s="116">
        <f t="shared" si="956"/>
        <v>4889.6161900821216</v>
      </c>
      <c r="AG633" s="116">
        <f t="shared" si="956"/>
        <v>4852.5988107235926</v>
      </c>
      <c r="AH633" s="116">
        <f t="shared" si="956"/>
        <v>4829.7507354308218</v>
      </c>
      <c r="AI633" s="116">
        <f t="shared" si="956"/>
        <v>4818.8554805490703</v>
      </c>
      <c r="AJ633" s="116">
        <f t="shared" si="956"/>
        <v>4833.6693093313488</v>
      </c>
      <c r="AK633" s="116">
        <f t="shared" si="956"/>
        <v>4827.4434911009439</v>
      </c>
      <c r="AL633" s="116">
        <f t="shared" si="956"/>
        <v>4805.8967050173169</v>
      </c>
      <c r="AM633" s="224"/>
      <c r="AN633" s="224"/>
      <c r="AO633" s="224"/>
      <c r="AP633" s="224"/>
      <c r="AQ633" s="224"/>
      <c r="AR633" s="224"/>
      <c r="AS633" s="224"/>
      <c r="AT633" s="224"/>
      <c r="AU633" s="224"/>
      <c r="AV633" s="224"/>
      <c r="AW633" s="224"/>
      <c r="AX633" s="224"/>
      <c r="AY633" s="224"/>
      <c r="AZ633" s="224"/>
      <c r="BA633" s="224"/>
      <c r="BB633" s="224"/>
      <c r="BC633" s="224"/>
      <c r="BD633" s="224"/>
      <c r="BE633" s="224"/>
      <c r="BF633" s="224"/>
    </row>
    <row r="634" spans="1:58" ht="14.25" thickBot="1" x14ac:dyDescent="0.35">
      <c r="A634" s="224"/>
      <c r="B634" s="224"/>
      <c r="C634" s="224"/>
      <c r="D634" s="224"/>
      <c r="E634" s="224"/>
      <c r="F634" s="224"/>
      <c r="G634" s="224"/>
      <c r="H634" s="224"/>
      <c r="I634" s="224"/>
      <c r="J634" s="224"/>
      <c r="K634" s="224"/>
      <c r="L634" s="117"/>
      <c r="M634" s="72" t="s">
        <v>915</v>
      </c>
      <c r="N634" s="219" t="s">
        <v>68</v>
      </c>
      <c r="O634" s="210"/>
      <c r="P634" s="210"/>
      <c r="Q634" s="210"/>
      <c r="R634" s="210"/>
      <c r="S634" s="210"/>
      <c r="T634" s="210"/>
      <c r="U634" s="210"/>
      <c r="V634" s="210"/>
      <c r="W634" s="210"/>
      <c r="X634" s="210"/>
      <c r="Y634" s="394"/>
      <c r="Z634" s="224"/>
      <c r="AA634" s="224"/>
      <c r="AB634" s="428">
        <f t="shared" ref="AB634:AC634" si="957">(AB$610-AB633)/AB$610</f>
        <v>0</v>
      </c>
      <c r="AC634" s="428">
        <f t="shared" si="957"/>
        <v>1.6245866750868306E-2</v>
      </c>
      <c r="AD634" s="428">
        <f>(AD$610-AD633)/AD$610</f>
        <v>6.8383193448607097E-4</v>
      </c>
      <c r="AE634" s="428">
        <f t="shared" ref="AE634:AL634" si="958">((AE$610-AE633)-(AD$610-AD633))/AE$610</f>
        <v>0</v>
      </c>
      <c r="AF634" s="428">
        <f t="shared" si="958"/>
        <v>6.9861912738028711E-3</v>
      </c>
      <c r="AG634" s="428">
        <f t="shared" si="958"/>
        <v>2.2179980952548653E-2</v>
      </c>
      <c r="AH634" s="428">
        <f t="shared" si="958"/>
        <v>1.9279302149549815E-2</v>
      </c>
      <c r="AI634" s="428">
        <f t="shared" si="958"/>
        <v>1.6892926580851713E-2</v>
      </c>
      <c r="AJ634" s="428">
        <f t="shared" si="958"/>
        <v>1.1945678420090795E-2</v>
      </c>
      <c r="AK634" s="428">
        <f t="shared" si="958"/>
        <v>1.5951210266099049E-2</v>
      </c>
      <c r="AL634" s="429">
        <f t="shared" si="958"/>
        <v>1.8777547060196322E-2</v>
      </c>
      <c r="AM634" s="224"/>
      <c r="AN634" s="224"/>
      <c r="AO634" s="224"/>
      <c r="AP634" s="224"/>
      <c r="AQ634" s="224"/>
      <c r="AR634" s="224"/>
      <c r="AS634" s="224"/>
      <c r="AT634" s="224"/>
      <c r="AU634" s="224"/>
      <c r="AV634" s="224"/>
      <c r="AW634" s="224"/>
      <c r="AX634" s="224"/>
      <c r="AY634" s="224"/>
      <c r="AZ634" s="224"/>
      <c r="BA634" s="224"/>
      <c r="BB634" s="224"/>
      <c r="BC634" s="224"/>
      <c r="BD634" s="224"/>
      <c r="BE634" s="224"/>
      <c r="BF634" s="224"/>
    </row>
    <row r="635" spans="1:58" ht="14.25" thickBot="1" x14ac:dyDescent="0.35">
      <c r="A635" s="224"/>
      <c r="B635" s="224"/>
      <c r="C635" s="224"/>
      <c r="D635" s="224"/>
      <c r="E635" s="224"/>
      <c r="F635" s="224"/>
      <c r="G635" s="224"/>
      <c r="H635" s="224"/>
      <c r="I635" s="224"/>
      <c r="J635" s="224"/>
      <c r="K635" s="224"/>
      <c r="L635" s="117"/>
      <c r="M635" s="72" t="s">
        <v>916</v>
      </c>
      <c r="N635" s="219" t="s">
        <v>68</v>
      </c>
      <c r="O635" s="210"/>
      <c r="P635" s="210"/>
      <c r="Q635" s="210"/>
      <c r="R635" s="210"/>
      <c r="S635" s="210"/>
      <c r="T635" s="210"/>
      <c r="U635" s="210"/>
      <c r="V635" s="210"/>
      <c r="W635" s="210"/>
      <c r="X635" s="210"/>
      <c r="Y635" s="394"/>
      <c r="Z635" s="224"/>
      <c r="AA635" s="224"/>
      <c r="AB635" s="430"/>
      <c r="AC635" s="430"/>
      <c r="AD635" s="430"/>
      <c r="AE635" s="430"/>
      <c r="AF635" s="430"/>
      <c r="AG635" s="430"/>
      <c r="AH635" s="430"/>
      <c r="AI635" s="430"/>
      <c r="AJ635" s="430"/>
      <c r="AK635" s="430"/>
      <c r="AL635" s="431">
        <f>((AL$610-AL633)/AL$610)/9</f>
        <v>1.1999410361780587E-2</v>
      </c>
      <c r="AM635" s="224"/>
      <c r="AN635" s="224"/>
      <c r="AO635" s="224"/>
      <c r="AP635" s="224"/>
      <c r="AQ635" s="224"/>
      <c r="AR635" s="224"/>
      <c r="AS635" s="224"/>
      <c r="AT635" s="224"/>
      <c r="AU635" s="224"/>
      <c r="AV635" s="224"/>
      <c r="AW635" s="224"/>
      <c r="AX635" s="224"/>
      <c r="AY635" s="224"/>
      <c r="AZ635" s="224"/>
      <c r="BA635" s="224"/>
      <c r="BB635" s="224"/>
      <c r="BC635" s="224"/>
      <c r="BD635" s="224"/>
      <c r="BE635" s="224"/>
      <c r="BF635" s="224"/>
    </row>
    <row r="636" spans="1:58" x14ac:dyDescent="0.3">
      <c r="A636" s="224"/>
      <c r="B636" s="224"/>
      <c r="C636" s="224"/>
      <c r="D636" s="224"/>
      <c r="E636" s="224"/>
      <c r="F636" s="224"/>
      <c r="G636" s="224"/>
      <c r="H636" s="224"/>
      <c r="I636" s="224"/>
      <c r="J636" s="224"/>
      <c r="K636" s="224"/>
      <c r="L636" s="117"/>
      <c r="M636" s="210"/>
      <c r="N636" s="210"/>
      <c r="O636" s="210"/>
      <c r="P636" s="210"/>
      <c r="Q636" s="210"/>
      <c r="R636" s="210"/>
      <c r="S636" s="210"/>
      <c r="T636" s="210"/>
      <c r="U636" s="210"/>
      <c r="V636" s="210"/>
      <c r="W636" s="210"/>
      <c r="X636" s="210"/>
      <c r="Y636" s="394"/>
      <c r="Z636" s="224"/>
      <c r="AA636" s="224"/>
      <c r="AB636" s="210"/>
      <c r="AC636" s="210"/>
      <c r="AD636" s="231"/>
      <c r="AE636" s="231"/>
      <c r="AF636" s="231"/>
      <c r="AG636" s="231"/>
      <c r="AH636" s="231"/>
      <c r="AI636" s="231"/>
      <c r="AJ636" s="231"/>
      <c r="AK636" s="231"/>
      <c r="AL636" s="231"/>
      <c r="AM636" s="224"/>
      <c r="AN636" s="224"/>
      <c r="AO636" s="224"/>
      <c r="AP636" s="224"/>
      <c r="AQ636" s="224"/>
      <c r="AR636" s="224"/>
      <c r="AS636" s="224"/>
      <c r="AT636" s="224"/>
      <c r="AU636" s="224"/>
      <c r="AV636" s="224"/>
      <c r="AW636" s="224"/>
      <c r="AX636" s="224"/>
      <c r="AY636" s="224"/>
      <c r="AZ636" s="224"/>
      <c r="BA636" s="224"/>
      <c r="BB636" s="224"/>
      <c r="BC636" s="224"/>
      <c r="BD636" s="224"/>
      <c r="BE636" s="224"/>
      <c r="BF636" s="224"/>
    </row>
    <row r="637" spans="1:58" s="118" customFormat="1" x14ac:dyDescent="0.3">
      <c r="A637" s="282"/>
      <c r="B637" s="282"/>
      <c r="C637" s="282"/>
      <c r="D637" s="282"/>
      <c r="E637" s="282"/>
      <c r="F637" s="282"/>
      <c r="G637" s="282"/>
      <c r="H637" s="282"/>
      <c r="I637" s="282"/>
      <c r="J637" s="282"/>
      <c r="K637" s="282"/>
      <c r="L637" s="280" t="s">
        <v>1132</v>
      </c>
      <c r="M637" s="280"/>
      <c r="N637" s="280" t="s">
        <v>59</v>
      </c>
      <c r="O637" s="281"/>
      <c r="P637" s="281"/>
      <c r="Q637" s="281"/>
      <c r="R637" s="281"/>
      <c r="S637" s="281"/>
      <c r="T637" s="281"/>
      <c r="U637" s="281"/>
      <c r="V637" s="281"/>
      <c r="W637" s="281"/>
      <c r="X637" s="281"/>
      <c r="Y637" s="395"/>
      <c r="Z637" s="281"/>
      <c r="AA637" s="281"/>
      <c r="AB637" s="281"/>
      <c r="AC637" s="281"/>
      <c r="AD637" s="282"/>
      <c r="AE637" s="282"/>
      <c r="AF637" s="282"/>
      <c r="AG637" s="282"/>
      <c r="AH637" s="282"/>
      <c r="AI637" s="282"/>
      <c r="AJ637" s="282"/>
      <c r="AK637" s="282"/>
      <c r="AL637" s="282"/>
      <c r="AM637" s="282"/>
      <c r="AN637" s="282"/>
      <c r="AO637" s="282"/>
      <c r="AP637" s="282"/>
      <c r="AQ637" s="282"/>
      <c r="AR637" s="282"/>
      <c r="AS637" s="282"/>
      <c r="AT637" s="282"/>
      <c r="AU637" s="282"/>
      <c r="AV637" s="282"/>
      <c r="AW637" s="282"/>
      <c r="AX637" s="282"/>
      <c r="AY637" s="282"/>
      <c r="AZ637" s="282"/>
      <c r="BA637" s="282"/>
      <c r="BB637" s="282"/>
      <c r="BC637" s="282"/>
      <c r="BD637" s="282"/>
      <c r="BE637" s="282"/>
      <c r="BF637" s="282"/>
    </row>
    <row r="638" spans="1:58" x14ac:dyDescent="0.3">
      <c r="A638" s="283"/>
      <c r="B638" s="283"/>
      <c r="C638" s="283"/>
      <c r="D638" s="283"/>
      <c r="E638" s="283"/>
      <c r="F638" s="283"/>
      <c r="G638" s="283"/>
      <c r="H638" s="283"/>
      <c r="I638" s="283"/>
      <c r="J638" s="283"/>
      <c r="K638" s="283"/>
      <c r="L638" s="279"/>
      <c r="M638" s="284" t="s">
        <v>922</v>
      </c>
      <c r="N638" s="285"/>
      <c r="O638" s="286"/>
      <c r="P638" s="286"/>
      <c r="Q638" s="286"/>
      <c r="R638" s="286"/>
      <c r="S638" s="286"/>
      <c r="T638" s="286"/>
      <c r="U638" s="286"/>
      <c r="V638" s="286"/>
      <c r="W638" s="286"/>
      <c r="X638" s="286"/>
      <c r="Y638" s="394"/>
      <c r="Z638" s="288"/>
      <c r="AA638" s="288"/>
      <c r="AB638" s="286"/>
      <c r="AC638" s="286"/>
      <c r="AD638" s="287"/>
      <c r="AE638" s="287"/>
      <c r="AF638" s="287"/>
      <c r="AG638" s="287"/>
      <c r="AH638" s="287"/>
      <c r="AI638" s="287"/>
      <c r="AJ638" s="287"/>
      <c r="AK638" s="287"/>
      <c r="AL638" s="287"/>
      <c r="AM638" s="287"/>
      <c r="AN638" s="287"/>
      <c r="AO638" s="287"/>
      <c r="AP638" s="287"/>
      <c r="AQ638" s="287"/>
      <c r="AR638" s="287"/>
      <c r="AS638" s="287"/>
      <c r="AT638" s="287"/>
      <c r="AU638" s="287"/>
      <c r="AV638" s="287"/>
      <c r="AW638" s="287"/>
      <c r="AX638" s="287"/>
      <c r="AY638" s="287"/>
      <c r="AZ638" s="287"/>
      <c r="BA638" s="287"/>
      <c r="BB638" s="287"/>
      <c r="BC638" s="287"/>
      <c r="BD638" s="287"/>
      <c r="BE638" s="287"/>
      <c r="BF638" s="287"/>
    </row>
    <row r="639" spans="1:58" ht="12" customHeight="1" x14ac:dyDescent="0.3">
      <c r="A639" s="283"/>
      <c r="B639" s="283"/>
      <c r="C639" s="283"/>
      <c r="D639" s="283"/>
      <c r="E639" s="283"/>
      <c r="F639" s="283"/>
      <c r="G639" s="283"/>
      <c r="H639" s="283"/>
      <c r="I639" s="283"/>
      <c r="J639" s="283"/>
      <c r="K639" s="283"/>
      <c r="L639" s="279"/>
      <c r="M639" s="320" t="s">
        <v>1133</v>
      </c>
      <c r="N639" s="470"/>
      <c r="O639" s="317"/>
      <c r="P639" s="317"/>
      <c r="Q639" s="317"/>
      <c r="R639" s="317"/>
      <c r="S639" s="317"/>
      <c r="T639" s="317"/>
      <c r="U639" s="317"/>
      <c r="V639" s="317"/>
      <c r="W639" s="317"/>
      <c r="X639" s="317"/>
      <c r="Y639" s="394"/>
      <c r="Z639" s="1317" t="s">
        <v>1134</v>
      </c>
      <c r="AA639" s="1318"/>
      <c r="AB639" s="432">
        <f>AB644+AB647+AB650+AB653</f>
        <v>53400000</v>
      </c>
      <c r="AC639" s="433">
        <f>AC644+AC647+AC650+AC653</f>
        <v>53750000</v>
      </c>
      <c r="AD639" s="116">
        <f>AD644+AD647+AD650+AD653</f>
        <v>54401784.625</v>
      </c>
      <c r="AE639" s="116">
        <f>AE644+AE647+AE650+AE653</f>
        <v>55066930.378835931</v>
      </c>
      <c r="AF639" s="116">
        <f>AF644+AF647+AF650+AF653</f>
        <v>55745656.113628641</v>
      </c>
      <c r="AG639" s="116">
        <f t="shared" ref="AG639:BF639" si="959">AG644+AG647+AG650+AG653</f>
        <v>56438184.736561805</v>
      </c>
      <c r="AH639" s="116">
        <f t="shared" si="959"/>
        <v>57144743.281814091</v>
      </c>
      <c r="AI639" s="116">
        <f t="shared" si="959"/>
        <v>57808273.736206457</v>
      </c>
      <c r="AJ639" s="116">
        <f t="shared" si="959"/>
        <v>58481868.942196704</v>
      </c>
      <c r="AK639" s="116">
        <f t="shared" si="959"/>
        <v>59165670.110577434</v>
      </c>
      <c r="AL639" s="116">
        <f t="shared" si="959"/>
        <v>59859820.478579782</v>
      </c>
      <c r="AM639" s="116">
        <f t="shared" si="959"/>
        <v>60564465.338773824</v>
      </c>
      <c r="AN639" s="116">
        <f t="shared" si="959"/>
        <v>61279752.068382204</v>
      </c>
      <c r="AO639" s="116">
        <f t="shared" si="959"/>
        <v>62005830.159012765</v>
      </c>
      <c r="AP639" s="116">
        <f t="shared" si="959"/>
        <v>62742851.246816255</v>
      </c>
      <c r="AQ639" s="116">
        <f t="shared" si="959"/>
        <v>63490969.143075027</v>
      </c>
      <c r="AR639" s="116">
        <f t="shared" si="959"/>
        <v>64250339.86522916</v>
      </c>
      <c r="AS639" s="116">
        <f t="shared" si="959"/>
        <v>65021121.668345943</v>
      </c>
      <c r="AT639" s="116">
        <f t="shared" si="959"/>
        <v>65803475.077039361</v>
      </c>
      <c r="AU639" s="116">
        <f t="shared" si="959"/>
        <v>66597562.917845681</v>
      </c>
      <c r="AV639" s="116">
        <f t="shared" si="959"/>
        <v>67403550.352062061</v>
      </c>
      <c r="AW639" s="116">
        <f t="shared" si="959"/>
        <v>68221604.909054369</v>
      </c>
      <c r="AX639" s="116">
        <f t="shared" si="959"/>
        <v>69051896.520041287</v>
      </c>
      <c r="AY639" s="116">
        <f t="shared" si="959"/>
        <v>69894597.55236125</v>
      </c>
      <c r="AZ639" s="116">
        <f t="shared" si="959"/>
        <v>70749882.844229311</v>
      </c>
      <c r="BA639" s="116">
        <f t="shared" si="959"/>
        <v>71617929.739990696</v>
      </c>
      <c r="BB639" s="116">
        <f t="shared" si="959"/>
        <v>72498918.125878498</v>
      </c>
      <c r="BC639" s="116">
        <f t="shared" si="959"/>
        <v>73393030.466282338</v>
      </c>
      <c r="BD639" s="116">
        <f t="shared" si="959"/>
        <v>74300451.840535566</v>
      </c>
      <c r="BE639" s="116">
        <f t="shared" si="959"/>
        <v>75221369.98022826</v>
      </c>
      <c r="BF639" s="116">
        <f t="shared" si="959"/>
        <v>76155975.30705373</v>
      </c>
    </row>
    <row r="640" spans="1:58" x14ac:dyDescent="0.3">
      <c r="A640" s="283"/>
      <c r="B640" s="283"/>
      <c r="C640" s="283"/>
      <c r="D640" s="283"/>
      <c r="E640" s="283"/>
      <c r="F640" s="283"/>
      <c r="G640" s="283"/>
      <c r="H640" s="283"/>
      <c r="I640" s="283"/>
      <c r="J640" s="283"/>
      <c r="K640" s="283"/>
      <c r="L640" s="279"/>
      <c r="M640" s="320"/>
      <c r="N640" s="470"/>
      <c r="O640" s="317"/>
      <c r="P640" s="317"/>
      <c r="Q640" s="317"/>
      <c r="R640" s="317"/>
      <c r="S640" s="317"/>
      <c r="T640" s="317"/>
      <c r="U640" s="317"/>
      <c r="V640" s="317"/>
      <c r="W640" s="317"/>
      <c r="X640" s="317"/>
      <c r="Y640" s="394"/>
      <c r="Z640" s="940"/>
      <c r="AA640" s="945" t="s">
        <v>1135</v>
      </c>
      <c r="AB640" s="432"/>
      <c r="AC640" s="433"/>
      <c r="AD640" s="943">
        <f>(AD639-AC639)/AC639</f>
        <v>1.2126225581395349E-2</v>
      </c>
      <c r="AE640" s="942">
        <f>(AE639-AD639)/AD639</f>
        <v>1.2226542905180134E-2</v>
      </c>
      <c r="AF640" s="942">
        <f t="shared" ref="AF640:BF640" si="960">(AF639-AE639)/AE639</f>
        <v>1.2325468845337462E-2</v>
      </c>
      <c r="AG640" s="942">
        <f t="shared" si="960"/>
        <v>1.2423006045916025E-2</v>
      </c>
      <c r="AH640" s="942">
        <f t="shared" si="960"/>
        <v>1.2519157881322907E-2</v>
      </c>
      <c r="AI640" s="942">
        <f t="shared" si="960"/>
        <v>1.1611399689383677E-2</v>
      </c>
      <c r="AJ640" s="942">
        <f t="shared" si="960"/>
        <v>1.1652228348212404E-2</v>
      </c>
      <c r="AK640" s="942">
        <f t="shared" si="960"/>
        <v>1.1692532758428031E-2</v>
      </c>
      <c r="AL640" s="942">
        <f t="shared" si="960"/>
        <v>1.1732316505585387E-2</v>
      </c>
      <c r="AM640" s="942">
        <f t="shared" si="960"/>
        <v>1.1771583251677011E-2</v>
      </c>
      <c r="AN640" s="942">
        <f t="shared" si="960"/>
        <v>1.1810336731404239E-2</v>
      </c>
      <c r="AO640" s="942">
        <f t="shared" si="960"/>
        <v>1.1848580748504482E-2</v>
      </c>
      <c r="AP640" s="942">
        <f t="shared" si="960"/>
        <v>1.1886319172139361E-2</v>
      </c>
      <c r="AQ640" s="942">
        <f t="shared" si="960"/>
        <v>1.1923555933342015E-2</v>
      </c>
      <c r="AR640" s="942">
        <f t="shared" si="960"/>
        <v>1.1960295021531543E-2</v>
      </c>
      <c r="AS640" s="942">
        <f t="shared" si="960"/>
        <v>1.199654048108644E-2</v>
      </c>
      <c r="AT640" s="942">
        <f t="shared" si="960"/>
        <v>1.2032296407988436E-2</v>
      </c>
      <c r="AU640" s="942">
        <f t="shared" si="960"/>
        <v>1.2067566946527409E-2</v>
      </c>
      <c r="AV640" s="942">
        <f t="shared" si="960"/>
        <v>1.2102356286079731E-2</v>
      </c>
      <c r="AW640" s="942">
        <f t="shared" si="960"/>
        <v>1.2136668657948234E-2</v>
      </c>
      <c r="AX640" s="942">
        <f t="shared" si="960"/>
        <v>1.2170508332276451E-2</v>
      </c>
      <c r="AY640" s="942">
        <f t="shared" si="960"/>
        <v>1.220387961502812E-2</v>
      </c>
      <c r="AZ640" s="942">
        <f t="shared" si="960"/>
        <v>1.2236786845039453E-2</v>
      </c>
      <c r="BA640" s="942">
        <f t="shared" si="960"/>
        <v>1.2269234391137758E-2</v>
      </c>
      <c r="BB640" s="942">
        <f t="shared" si="960"/>
        <v>1.2301226649335369E-2</v>
      </c>
      <c r="BC640" s="942">
        <f t="shared" si="960"/>
        <v>1.2332768040088676E-2</v>
      </c>
      <c r="BD640" s="942">
        <f t="shared" si="960"/>
        <v>1.2363863005631153E-2</v>
      </c>
      <c r="BE640" s="942">
        <f t="shared" si="960"/>
        <v>1.2394516007374739E-2</v>
      </c>
      <c r="BF640" s="942">
        <f t="shared" si="960"/>
        <v>1.2424731523383957E-2</v>
      </c>
    </row>
    <row r="641" spans="1:58" x14ac:dyDescent="0.3">
      <c r="A641" s="283"/>
      <c r="B641" s="283"/>
      <c r="C641" s="283"/>
      <c r="D641" s="283"/>
      <c r="E641" s="283"/>
      <c r="F641" s="283"/>
      <c r="G641" s="283"/>
      <c r="H641" s="283"/>
      <c r="I641" s="283"/>
      <c r="J641" s="283"/>
      <c r="K641" s="283"/>
      <c r="L641" s="279"/>
      <c r="M641" s="320"/>
      <c r="N641" s="470"/>
      <c r="O641" s="317"/>
      <c r="P641" s="317"/>
      <c r="Q641" s="317"/>
      <c r="R641" s="317"/>
      <c r="S641" s="317"/>
      <c r="T641" s="317"/>
      <c r="U641" s="317"/>
      <c r="V641" s="317"/>
      <c r="W641" s="317"/>
      <c r="X641" s="317"/>
      <c r="Y641" s="394"/>
      <c r="Z641" s="940"/>
      <c r="AA641" s="945" t="s">
        <v>1136</v>
      </c>
      <c r="AB641" s="432"/>
      <c r="AC641" s="433"/>
      <c r="AD641" s="943">
        <f>((AD$648/AD$647)*$Z$648)+((AD$649/AD$647)*$Z$649)</f>
        <v>7.7866026876649026E-3</v>
      </c>
      <c r="AE641" s="943">
        <f>((AE$648/AE$647)*$Z$648)+((AE$649/AE$647)*$Z$649)</f>
        <v>7.7860663372944748E-3</v>
      </c>
      <c r="AF641" s="943">
        <f>((AF$648/AF$647)*$Z$648)+((AF$649/AF$647)*$Z$649)</f>
        <v>7.7860306421319555E-3</v>
      </c>
      <c r="AG641" s="943">
        <f>((AG$648/AG$647)*$Z$648)+((AG$649/AG$647)*$Z$649)</f>
        <v>7.7862134234946362E-3</v>
      </c>
      <c r="AH641" s="943">
        <f>((AH$648/AH$647)*$Z$648)+((AH$649/AH$647)*$Z$649)</f>
        <v>7.7865202956960283E-3</v>
      </c>
      <c r="AI641" s="944">
        <f>((AI$648/AI$647)*$AA$648)+((AI$649/AI$647)*$AA$649)</f>
        <v>4.1377524623791833E-3</v>
      </c>
      <c r="AJ641" s="944">
        <f>((AJ$648/AJ$647)*$AA$648)+((AJ$649/AJ$647)*$AA$649)</f>
        <v>4.1274482853976705E-3</v>
      </c>
      <c r="AK641" s="944">
        <f t="shared" ref="AK641:BF641" si="961">((AK$648/AK$647)*$AA$648)+((AK$649/AK$647)*$AA$649)</f>
        <v>4.1186333720701898E-3</v>
      </c>
      <c r="AL641" s="944">
        <f t="shared" si="961"/>
        <v>4.1110068965534074E-3</v>
      </c>
      <c r="AM641" s="944">
        <f t="shared" si="961"/>
        <v>4.1043440187609193E-3</v>
      </c>
      <c r="AN641" s="944">
        <f t="shared" si="961"/>
        <v>4.098473317376344E-3</v>
      </c>
      <c r="AO641" s="944">
        <f t="shared" si="961"/>
        <v>4.0932618145247575E-3</v>
      </c>
      <c r="AP641" s="944">
        <f t="shared" si="961"/>
        <v>4.0886047707665765E-3</v>
      </c>
      <c r="AQ641" s="944">
        <f t="shared" si="961"/>
        <v>4.0844185669647211E-3</v>
      </c>
      <c r="AR641" s="944">
        <f t="shared" si="961"/>
        <v>4.080635635949412E-3</v>
      </c>
      <c r="AS641" s="944">
        <f t="shared" si="961"/>
        <v>4.0772007868623804E-3</v>
      </c>
      <c r="AT641" s="944">
        <f t="shared" si="961"/>
        <v>4.0740684952704307E-3</v>
      </c>
      <c r="AU641" s="944">
        <f t="shared" si="961"/>
        <v>4.071200875423008E-3</v>
      </c>
      <c r="AV641" s="944">
        <f t="shared" si="961"/>
        <v>4.068566142389287E-3</v>
      </c>
      <c r="AW641" s="944">
        <f t="shared" si="961"/>
        <v>4.0661374313449633E-3</v>
      </c>
      <c r="AX641" s="944">
        <f t="shared" si="961"/>
        <v>4.0638918808472146E-3</v>
      </c>
      <c r="AY641" s="944">
        <f t="shared" si="961"/>
        <v>4.0618099137110448E-3</v>
      </c>
      <c r="AZ641" s="944">
        <f t="shared" si="961"/>
        <v>4.0598746675182228E-3</v>
      </c>
      <c r="BA641" s="944">
        <f t="shared" si="961"/>
        <v>4.0580715396521978E-3</v>
      </c>
      <c r="BB641" s="944">
        <f t="shared" si="961"/>
        <v>4.0563878208604064E-3</v>
      </c>
      <c r="BC641" s="944">
        <f t="shared" si="961"/>
        <v>4.0548123978786429E-3</v>
      </c>
      <c r="BD641" s="944">
        <f t="shared" si="961"/>
        <v>4.0533355103946032E-3</v>
      </c>
      <c r="BE641" s="944">
        <f t="shared" si="961"/>
        <v>4.051948551108785E-3</v>
      </c>
      <c r="BF641" s="944">
        <f t="shared" si="961"/>
        <v>4.0506439002326112E-3</v>
      </c>
    </row>
    <row r="642" spans="1:58" x14ac:dyDescent="0.3">
      <c r="A642" s="283"/>
      <c r="B642" s="283"/>
      <c r="C642" s="283"/>
      <c r="D642" s="283"/>
      <c r="E642" s="283"/>
      <c r="F642" s="283"/>
      <c r="G642" s="283"/>
      <c r="H642" s="283"/>
      <c r="I642" s="283"/>
      <c r="J642" s="283"/>
      <c r="K642" s="283"/>
      <c r="L642" s="279"/>
      <c r="M642" s="320"/>
      <c r="N642" s="470"/>
      <c r="O642" s="317"/>
      <c r="P642" s="317"/>
      <c r="Q642" s="317"/>
      <c r="R642" s="317"/>
      <c r="S642" s="317"/>
      <c r="T642" s="317"/>
      <c r="U642" s="317"/>
      <c r="V642" s="317"/>
      <c r="W642" s="317"/>
      <c r="X642" s="317"/>
      <c r="Y642" s="394"/>
      <c r="Z642" s="940"/>
      <c r="AA642" s="945" t="s">
        <v>1137</v>
      </c>
      <c r="AB642" s="432"/>
      <c r="AC642" s="433"/>
      <c r="AD642" s="943">
        <f>SUM(AD640:AD641)</f>
        <v>1.9912828269060254E-2</v>
      </c>
      <c r="AE642" s="943">
        <f t="shared" ref="AE642:BF642" si="962">SUM(AE640:AE641)</f>
        <v>2.001260924247461E-2</v>
      </c>
      <c r="AF642" s="943">
        <f t="shared" si="962"/>
        <v>2.0111499487469417E-2</v>
      </c>
      <c r="AG642" s="943">
        <f t="shared" si="962"/>
        <v>2.020921946941066E-2</v>
      </c>
      <c r="AH642" s="943">
        <f t="shared" si="962"/>
        <v>2.0305678177018935E-2</v>
      </c>
      <c r="AI642" s="943">
        <f t="shared" si="962"/>
        <v>1.5749152151762862E-2</v>
      </c>
      <c r="AJ642" s="943">
        <f t="shared" si="962"/>
        <v>1.5779676633610074E-2</v>
      </c>
      <c r="AK642" s="943">
        <f t="shared" si="962"/>
        <v>1.5811166130498221E-2</v>
      </c>
      <c r="AL642" s="943">
        <f t="shared" si="962"/>
        <v>1.5843323402138794E-2</v>
      </c>
      <c r="AM642" s="943">
        <f t="shared" si="962"/>
        <v>1.587592727043793E-2</v>
      </c>
      <c r="AN642" s="943">
        <f t="shared" si="962"/>
        <v>1.5908810048780583E-2</v>
      </c>
      <c r="AO642" s="943">
        <f t="shared" si="962"/>
        <v>1.5941842563029239E-2</v>
      </c>
      <c r="AP642" s="943">
        <f t="shared" si="962"/>
        <v>1.5974923942905936E-2</v>
      </c>
      <c r="AQ642" s="943">
        <f t="shared" si="962"/>
        <v>1.6007974500306735E-2</v>
      </c>
      <c r="AR642" s="943">
        <f t="shared" si="962"/>
        <v>1.6040930657480953E-2</v>
      </c>
      <c r="AS642" s="943">
        <f t="shared" si="962"/>
        <v>1.6073741267948818E-2</v>
      </c>
      <c r="AT642" s="943">
        <f t="shared" si="962"/>
        <v>1.6106364903258868E-2</v>
      </c>
      <c r="AU642" s="943">
        <f t="shared" si="962"/>
        <v>1.6138767821950416E-2</v>
      </c>
      <c r="AV642" s="943">
        <f t="shared" si="962"/>
        <v>1.6170922428469018E-2</v>
      </c>
      <c r="AW642" s="943">
        <f t="shared" si="962"/>
        <v>1.6202806089293198E-2</v>
      </c>
      <c r="AX642" s="943">
        <f t="shared" si="962"/>
        <v>1.6234400213123668E-2</v>
      </c>
      <c r="AY642" s="943">
        <f t="shared" si="962"/>
        <v>1.6265689528739163E-2</v>
      </c>
      <c r="AZ642" s="943">
        <f t="shared" si="962"/>
        <v>1.6296661512557674E-2</v>
      </c>
      <c r="BA642" s="943">
        <f t="shared" si="962"/>
        <v>1.6327305930789956E-2</v>
      </c>
      <c r="BB642" s="943">
        <f t="shared" si="962"/>
        <v>1.6357614470195774E-2</v>
      </c>
      <c r="BC642" s="943">
        <f t="shared" si="962"/>
        <v>1.6387580437967321E-2</v>
      </c>
      <c r="BD642" s="943">
        <f t="shared" si="962"/>
        <v>1.6417198516025758E-2</v>
      </c>
      <c r="BE642" s="943">
        <f t="shared" si="962"/>
        <v>1.6446464558483524E-2</v>
      </c>
      <c r="BF642" s="943">
        <f t="shared" si="962"/>
        <v>1.6475375423616569E-2</v>
      </c>
    </row>
    <row r="643" spans="1:58" x14ac:dyDescent="0.3">
      <c r="A643" s="283"/>
      <c r="B643" s="283"/>
      <c r="C643" s="283"/>
      <c r="D643" s="283"/>
      <c r="E643" s="283"/>
      <c r="F643" s="283"/>
      <c r="G643" s="283"/>
      <c r="H643" s="283"/>
      <c r="I643" s="283"/>
      <c r="J643" s="283"/>
      <c r="K643" s="283"/>
      <c r="L643" s="279"/>
      <c r="M643" s="320"/>
      <c r="N643" s="470"/>
      <c r="O643" s="317"/>
      <c r="P643" s="317"/>
      <c r="Q643" s="317"/>
      <c r="R643" s="317"/>
      <c r="S643" s="317"/>
      <c r="T643" s="317"/>
      <c r="U643" s="317"/>
      <c r="V643" s="317"/>
      <c r="W643" s="317"/>
      <c r="X643" s="317"/>
      <c r="Y643" s="394"/>
      <c r="Z643" s="940"/>
      <c r="AA643" s="945" t="s">
        <v>1138</v>
      </c>
      <c r="AB643" s="432"/>
      <c r="AC643" s="433"/>
      <c r="AD643" s="943">
        <f>AD639/(AD639+AD817)</f>
        <v>0.70212318056817069</v>
      </c>
      <c r="AE643" s="943">
        <f t="shared" ref="AE643:BF643" si="963">AE639/(AE639+AE817)</f>
        <v>0.70213345682705641</v>
      </c>
      <c r="AF643" s="943">
        <f t="shared" si="963"/>
        <v>0.70214044145300647</v>
      </c>
      <c r="AG643" s="943">
        <f t="shared" si="963"/>
        <v>0.702144153549767</v>
      </c>
      <c r="AH643" s="943">
        <f t="shared" si="963"/>
        <v>0.70214461301528852</v>
      </c>
      <c r="AI643" s="943">
        <f t="shared" si="963"/>
        <v>0.70195973398170874</v>
      </c>
      <c r="AJ643" s="943">
        <f t="shared" si="963"/>
        <v>0.70176302940267443</v>
      </c>
      <c r="AK643" s="943">
        <f t="shared" si="963"/>
        <v>0.70155463226626447</v>
      </c>
      <c r="AL643" s="943">
        <f t="shared" si="963"/>
        <v>0.70133467521899862</v>
      </c>
      <c r="AM643" s="943">
        <f t="shared" si="963"/>
        <v>0.70110329049605702</v>
      </c>
      <c r="AN643" s="943">
        <f t="shared" si="963"/>
        <v>0.70086060985420207</v>
      </c>
      <c r="AO643" s="943">
        <f t="shared" si="963"/>
        <v>0.70060676450739401</v>
      </c>
      <c r="AP643" s="943">
        <f t="shared" si="963"/>
        <v>0.70034188506507422</v>
      </c>
      <c r="AQ643" s="943">
        <f t="shared" si="963"/>
        <v>0.70006610147309778</v>
      </c>
      <c r="AR643" s="943">
        <f t="shared" si="963"/>
        <v>0.69977954295728784</v>
      </c>
      <c r="AS643" s="943">
        <f t="shared" si="963"/>
        <v>0.69948233796957981</v>
      </c>
      <c r="AT643" s="943">
        <f t="shared" si="963"/>
        <v>0.6991746141367261</v>
      </c>
      <c r="AU643" s="943">
        <f t="shared" si="963"/>
        <v>0.69885649821152407</v>
      </c>
      <c r="AV643" s="943">
        <f t="shared" si="963"/>
        <v>0.69852811602653064</v>
      </c>
      <c r="AW643" s="943">
        <f t="shared" si="963"/>
        <v>0.69818959245022194</v>
      </c>
      <c r="AX643" s="943">
        <f t="shared" si="963"/>
        <v>0.69784105134555663</v>
      </c>
      <c r="AY643" s="943">
        <f t="shared" si="963"/>
        <v>0.69748261553090019</v>
      </c>
      <c r="AZ643" s="943">
        <f t="shared" si="963"/>
        <v>0.69711440674326053</v>
      </c>
      <c r="BA643" s="943">
        <f t="shared" si="963"/>
        <v>0.69673654560379061</v>
      </c>
      <c r="BB643" s="943">
        <f t="shared" si="963"/>
        <v>0.69634915158550903</v>
      </c>
      <c r="BC643" s="943">
        <f t="shared" si="963"/>
        <v>0.69595234298318587</v>
      </c>
      <c r="BD643" s="943">
        <f t="shared" si="963"/>
        <v>0.69554623688534534</v>
      </c>
      <c r="BE643" s="943">
        <f t="shared" si="963"/>
        <v>0.69513094914833173</v>
      </c>
      <c r="BF643" s="943">
        <f t="shared" si="963"/>
        <v>0.69470659437238647</v>
      </c>
    </row>
    <row r="644" spans="1:58" x14ac:dyDescent="0.3">
      <c r="A644" s="283"/>
      <c r="B644" s="283"/>
      <c r="C644" s="283"/>
      <c r="D644" s="283"/>
      <c r="E644" s="283"/>
      <c r="F644" s="283"/>
      <c r="G644" s="283"/>
      <c r="H644" s="283"/>
      <c r="I644" s="283"/>
      <c r="J644" s="283"/>
      <c r="K644" s="283"/>
      <c r="L644" s="279"/>
      <c r="M644" s="321" t="s">
        <v>1139</v>
      </c>
      <c r="N644" s="322" t="s">
        <v>1140</v>
      </c>
      <c r="O644" s="318"/>
      <c r="P644" s="318"/>
      <c r="Q644" s="318"/>
      <c r="R644" s="318"/>
      <c r="S644" s="318"/>
      <c r="T644" s="318"/>
      <c r="U644" s="318"/>
      <c r="V644" s="318"/>
      <c r="W644" s="318"/>
      <c r="X644" s="318"/>
      <c r="Y644" s="394"/>
      <c r="Z644" s="265" t="s">
        <v>1141</v>
      </c>
      <c r="AA644" s="265" t="s">
        <v>1142</v>
      </c>
      <c r="AB644" s="434">
        <f>SUM(AB645:AB646)</f>
        <v>41700000</v>
      </c>
      <c r="AC644" s="435">
        <f>SUM(AC645:AC646)</f>
        <v>41130000</v>
      </c>
      <c r="AD644" s="436">
        <f>SUM(AD645:AD646)</f>
        <v>40856654</v>
      </c>
      <c r="AE644" s="436">
        <f>SUM(AE645:AE646)</f>
        <v>40585400.182799995</v>
      </c>
      <c r="AF644" s="436">
        <f>SUM(AF645:AF646)</f>
        <v>40316221.116893359</v>
      </c>
      <c r="AG644" s="436">
        <f t="shared" ref="AG644:BF644" si="964">SUM(AG645:AG646)</f>
        <v>40049099.522344068</v>
      </c>
      <c r="AH644" s="436">
        <f t="shared" si="964"/>
        <v>39784018.269442812</v>
      </c>
      <c r="AI644" s="436">
        <f t="shared" si="964"/>
        <v>39632393.535025671</v>
      </c>
      <c r="AJ644" s="436">
        <f t="shared" si="964"/>
        <v>39481368.90187002</v>
      </c>
      <c r="AK644" s="436">
        <f t="shared" si="964"/>
        <v>39330941.916150309</v>
      </c>
      <c r="AL644" s="436">
        <f t="shared" si="964"/>
        <v>39181110.134343326</v>
      </c>
      <c r="AM644" s="436">
        <f t="shared" si="964"/>
        <v>39031871.123184025</v>
      </c>
      <c r="AN644" s="436">
        <f t="shared" si="964"/>
        <v>38883222.459621601</v>
      </c>
      <c r="AO644" s="436">
        <f t="shared" si="964"/>
        <v>38735161.730775729</v>
      </c>
      <c r="AP644" s="436">
        <f t="shared" si="964"/>
        <v>38587686.533893004</v>
      </c>
      <c r="AQ644" s="436">
        <f t="shared" si="964"/>
        <v>38440794.476303533</v>
      </c>
      <c r="AR644" s="436">
        <f t="shared" si="964"/>
        <v>38294483.175377779</v>
      </c>
      <c r="AS644" s="436">
        <f t="shared" si="964"/>
        <v>38148750.258483529</v>
      </c>
      <c r="AT644" s="436">
        <f t="shared" si="964"/>
        <v>38003593.362943128</v>
      </c>
      <c r="AU644" s="436">
        <f t="shared" si="964"/>
        <v>37859010.135990784</v>
      </c>
      <c r="AV644" s="436">
        <f t="shared" si="964"/>
        <v>37714998.234730184</v>
      </c>
      <c r="AW644" s="436">
        <f t="shared" si="964"/>
        <v>37571555.326092206</v>
      </c>
      <c r="AX644" s="436">
        <f t="shared" si="964"/>
        <v>37428679.086792842</v>
      </c>
      <c r="AY644" s="436">
        <f t="shared" si="964"/>
        <v>37286367.203291319</v>
      </c>
      <c r="AZ644" s="436">
        <f t="shared" si="964"/>
        <v>37144617.371748388</v>
      </c>
      <c r="BA644" s="436">
        <f t="shared" si="964"/>
        <v>37003427.297984779</v>
      </c>
      <c r="BB644" s="436">
        <f t="shared" si="964"/>
        <v>36862794.697439887</v>
      </c>
      <c r="BC644" s="436">
        <f t="shared" si="964"/>
        <v>36722717.295130551</v>
      </c>
      <c r="BD644" s="436">
        <f t="shared" si="964"/>
        <v>36583192.825610131</v>
      </c>
      <c r="BE644" s="436">
        <f t="shared" si="964"/>
        <v>36444219.032927617</v>
      </c>
      <c r="BF644" s="436">
        <f t="shared" si="964"/>
        <v>36305793.670587085</v>
      </c>
    </row>
    <row r="645" spans="1:58" x14ac:dyDescent="0.3">
      <c r="A645" s="283"/>
      <c r="B645" s="283"/>
      <c r="C645" s="283"/>
      <c r="D645" s="283"/>
      <c r="E645" s="283"/>
      <c r="F645" s="283"/>
      <c r="G645" s="283"/>
      <c r="H645" s="283"/>
      <c r="I645" s="283"/>
      <c r="J645" s="283"/>
      <c r="K645" s="283"/>
      <c r="L645" s="279"/>
      <c r="M645" s="311" t="s">
        <v>1143</v>
      </c>
      <c r="N645" s="312" t="s">
        <v>1140</v>
      </c>
      <c r="O645" s="296"/>
      <c r="P645" s="296"/>
      <c r="Q645" s="296"/>
      <c r="R645" s="296"/>
      <c r="S645" s="296"/>
      <c r="T645" s="296"/>
      <c r="U645" s="296"/>
      <c r="V645" s="296"/>
      <c r="W645" s="296"/>
      <c r="X645" s="296"/>
      <c r="Y645" s="394"/>
      <c r="Z645" s="519">
        <f>(AC645*(1-Z648)/AC645)</f>
        <v>0.99619999999999997</v>
      </c>
      <c r="AA645" s="520">
        <f>(AC645*(1-AA648)/AC645)</f>
        <v>0.997</v>
      </c>
      <c r="AB645" s="313">
        <v>18800000</v>
      </c>
      <c r="AC645" s="180">
        <f>AB645-AB665-AB662</f>
        <v>18620000</v>
      </c>
      <c r="AD645" s="437">
        <f>Z645*AC645</f>
        <v>18549244</v>
      </c>
      <c r="AE645" s="437">
        <f>$Z645*AD645</f>
        <v>18478756.8728</v>
      </c>
      <c r="AF645" s="437">
        <f>$Z645*AE645</f>
        <v>18408537.596683361</v>
      </c>
      <c r="AG645" s="437">
        <f t="shared" ref="AG645:AH645" si="965">$Z645*AF645</f>
        <v>18338585.153815962</v>
      </c>
      <c r="AH645" s="437">
        <f t="shared" si="965"/>
        <v>18268898.530231461</v>
      </c>
      <c r="AI645" s="521">
        <f>$AA645*AH645</f>
        <v>18214091.834640767</v>
      </c>
      <c r="AJ645" s="521">
        <f t="shared" ref="AJ645:BF645" si="966">$AA645*AI645</f>
        <v>18159449.559136845</v>
      </c>
      <c r="AK645" s="521">
        <f t="shared" si="966"/>
        <v>18104971.210459433</v>
      </c>
      <c r="AL645" s="521">
        <f t="shared" si="966"/>
        <v>18050656.296828054</v>
      </c>
      <c r="AM645" s="521">
        <f t="shared" si="966"/>
        <v>17996504.327937569</v>
      </c>
      <c r="AN645" s="521">
        <f t="shared" si="966"/>
        <v>17942514.814953756</v>
      </c>
      <c r="AO645" s="521">
        <f t="shared" si="966"/>
        <v>17888687.270508893</v>
      </c>
      <c r="AP645" s="521">
        <f t="shared" si="966"/>
        <v>17835021.208697367</v>
      </c>
      <c r="AQ645" s="521">
        <f t="shared" si="966"/>
        <v>17781516.145071276</v>
      </c>
      <c r="AR645" s="521">
        <f t="shared" si="966"/>
        <v>17728171.596636061</v>
      </c>
      <c r="AS645" s="521">
        <f t="shared" si="966"/>
        <v>17674987.081846152</v>
      </c>
      <c r="AT645" s="521">
        <f t="shared" si="966"/>
        <v>17621962.120600615</v>
      </c>
      <c r="AU645" s="521">
        <f t="shared" si="966"/>
        <v>17569096.234238815</v>
      </c>
      <c r="AV645" s="521">
        <f t="shared" si="966"/>
        <v>17516388.945536099</v>
      </c>
      <c r="AW645" s="521">
        <f t="shared" si="966"/>
        <v>17463839.778699491</v>
      </c>
      <c r="AX645" s="521">
        <f t="shared" si="966"/>
        <v>17411448.259363394</v>
      </c>
      <c r="AY645" s="521">
        <f t="shared" si="966"/>
        <v>17359213.914585304</v>
      </c>
      <c r="AZ645" s="521">
        <f t="shared" si="966"/>
        <v>17307136.272841547</v>
      </c>
      <c r="BA645" s="521">
        <f t="shared" si="966"/>
        <v>17255214.864023022</v>
      </c>
      <c r="BB645" s="521">
        <f t="shared" si="966"/>
        <v>17203449.219430953</v>
      </c>
      <c r="BC645" s="521">
        <f t="shared" si="966"/>
        <v>17151838.871772662</v>
      </c>
      <c r="BD645" s="521">
        <f t="shared" si="966"/>
        <v>17100383.355157346</v>
      </c>
      <c r="BE645" s="521">
        <f t="shared" si="966"/>
        <v>17049082.205091875</v>
      </c>
      <c r="BF645" s="521">
        <f t="shared" si="966"/>
        <v>16997934.958476599</v>
      </c>
    </row>
    <row r="646" spans="1:58" x14ac:dyDescent="0.3">
      <c r="A646" s="283"/>
      <c r="B646" s="283"/>
      <c r="C646" s="283"/>
      <c r="D646" s="283"/>
      <c r="E646" s="283"/>
      <c r="F646" s="283"/>
      <c r="G646" s="283"/>
      <c r="H646" s="283"/>
      <c r="I646" s="283"/>
      <c r="J646" s="283"/>
      <c r="K646" s="283"/>
      <c r="L646" s="279"/>
      <c r="M646" s="311" t="s">
        <v>1144</v>
      </c>
      <c r="N646" s="312" t="s">
        <v>1140</v>
      </c>
      <c r="O646" s="296"/>
      <c r="P646" s="296"/>
      <c r="Q646" s="296"/>
      <c r="R646" s="296"/>
      <c r="S646" s="296"/>
      <c r="T646" s="296"/>
      <c r="U646" s="296"/>
      <c r="V646" s="296"/>
      <c r="W646" s="296"/>
      <c r="X646" s="296"/>
      <c r="Y646" s="394"/>
      <c r="Z646" s="519">
        <f>(AC646*(1-Z649))/AC646</f>
        <v>0.99099999999999999</v>
      </c>
      <c r="AA646" s="519">
        <f>(AC646*(1-AA649))/AC646</f>
        <v>0.99550000000000005</v>
      </c>
      <c r="AB646" s="313">
        <v>22900000</v>
      </c>
      <c r="AC646" s="180">
        <f>AB646-AB666-AB663</f>
        <v>22510000</v>
      </c>
      <c r="AD646" s="437">
        <f>Z646*AC646</f>
        <v>22307410</v>
      </c>
      <c r="AE646" s="437">
        <f>$Z646*AD646</f>
        <v>22106643.309999999</v>
      </c>
      <c r="AF646" s="437">
        <f>$Z646*AE646</f>
        <v>21907683.520209998</v>
      </c>
      <c r="AG646" s="437">
        <f t="shared" ref="AG646:AH646" si="967">$Z646*AF646</f>
        <v>21710514.368528109</v>
      </c>
      <c r="AH646" s="437">
        <f t="shared" si="967"/>
        <v>21515119.739211354</v>
      </c>
      <c r="AI646" s="521">
        <f>$AA646*AH646</f>
        <v>21418301.700384904</v>
      </c>
      <c r="AJ646" s="521">
        <f t="shared" ref="AJ646:BF646" si="968">$AA646*AI646</f>
        <v>21321919.342733175</v>
      </c>
      <c r="AK646" s="521">
        <f t="shared" si="968"/>
        <v>21225970.705690876</v>
      </c>
      <c r="AL646" s="521">
        <f t="shared" si="968"/>
        <v>21130453.837515268</v>
      </c>
      <c r="AM646" s="521">
        <f t="shared" si="968"/>
        <v>21035366.795246452</v>
      </c>
      <c r="AN646" s="521">
        <f t="shared" si="968"/>
        <v>20940707.644667845</v>
      </c>
      <c r="AO646" s="521">
        <f t="shared" si="968"/>
        <v>20846474.46026684</v>
      </c>
      <c r="AP646" s="521">
        <f t="shared" si="968"/>
        <v>20752665.32519564</v>
      </c>
      <c r="AQ646" s="521">
        <f t="shared" si="968"/>
        <v>20659278.331232261</v>
      </c>
      <c r="AR646" s="521">
        <f t="shared" si="968"/>
        <v>20566311.578741718</v>
      </c>
      <c r="AS646" s="521">
        <f t="shared" si="968"/>
        <v>20473763.176637381</v>
      </c>
      <c r="AT646" s="521">
        <f t="shared" si="968"/>
        <v>20381631.242342513</v>
      </c>
      <c r="AU646" s="521">
        <f t="shared" si="968"/>
        <v>20289913.901751973</v>
      </c>
      <c r="AV646" s="521">
        <f t="shared" si="968"/>
        <v>20198609.289194088</v>
      </c>
      <c r="AW646" s="521">
        <f t="shared" si="968"/>
        <v>20107715.547392715</v>
      </c>
      <c r="AX646" s="521">
        <f t="shared" si="968"/>
        <v>20017230.827429447</v>
      </c>
      <c r="AY646" s="521">
        <f t="shared" si="968"/>
        <v>19927153.288706016</v>
      </c>
      <c r="AZ646" s="521">
        <f t="shared" si="968"/>
        <v>19837481.098906841</v>
      </c>
      <c r="BA646" s="521">
        <f t="shared" si="968"/>
        <v>19748212.43396176</v>
      </c>
      <c r="BB646" s="521">
        <f t="shared" si="968"/>
        <v>19659345.478008933</v>
      </c>
      <c r="BC646" s="521">
        <f t="shared" si="968"/>
        <v>19570878.423357893</v>
      </c>
      <c r="BD646" s="521">
        <f t="shared" si="968"/>
        <v>19482809.470452782</v>
      </c>
      <c r="BE646" s="521">
        <f t="shared" si="968"/>
        <v>19395136.827835746</v>
      </c>
      <c r="BF646" s="521">
        <f t="shared" si="968"/>
        <v>19307858.712110486</v>
      </c>
    </row>
    <row r="647" spans="1:58" x14ac:dyDescent="0.3">
      <c r="A647" s="283"/>
      <c r="B647" s="283"/>
      <c r="C647" s="283"/>
      <c r="D647" s="283"/>
      <c r="E647" s="283"/>
      <c r="F647" s="283"/>
      <c r="G647" s="283"/>
      <c r="H647" s="283"/>
      <c r="I647" s="283"/>
      <c r="J647" s="283"/>
      <c r="K647" s="283"/>
      <c r="L647" s="279"/>
      <c r="M647" s="321" t="s">
        <v>1145</v>
      </c>
      <c r="N647" s="322" t="s">
        <v>1140</v>
      </c>
      <c r="O647" s="319"/>
      <c r="P647" s="319"/>
      <c r="Q647" s="319"/>
      <c r="R647" s="319"/>
      <c r="S647" s="319"/>
      <c r="T647" s="319"/>
      <c r="U647" s="319"/>
      <c r="V647" s="319"/>
      <c r="W647" s="319"/>
      <c r="X647" s="319"/>
      <c r="Y647" s="394"/>
      <c r="Z647" s="81"/>
      <c r="AA647" s="81"/>
      <c r="AB647" s="434">
        <f>SUM(AB648:AB649)</f>
        <v>0</v>
      </c>
      <c r="AC647" s="435">
        <f>SUM(AC648:AC649)</f>
        <v>365000</v>
      </c>
      <c r="AD647" s="436">
        <f>SUM(AD648:AD649)</f>
        <v>731490</v>
      </c>
      <c r="AE647" s="436">
        <f>SUM(AE648:AE649)</f>
        <v>1102485.8735749999</v>
      </c>
      <c r="AF647" s="436">
        <f>SUM(AF648:AF649)</f>
        <v>1478086.4269745764</v>
      </c>
      <c r="AG647" s="436">
        <f t="shared" ref="AG647:AI647" si="969">SUM(AG648:AG649)</f>
        <v>1858392.1254006973</v>
      </c>
      <c r="AH647" s="436">
        <f t="shared" si="969"/>
        <v>2243505.1249039108</v>
      </c>
      <c r="AI647" s="436">
        <f t="shared" si="969"/>
        <v>2464806.899600626</v>
      </c>
      <c r="AJ647" s="436">
        <f t="shared" ref="AJ647:BF647" si="970">SUM(AJ648:AJ649)</f>
        <v>2688677.1180026219</v>
      </c>
      <c r="AK647" s="436">
        <f t="shared" si="970"/>
        <v>2915155.0067454148</v>
      </c>
      <c r="AL647" s="436">
        <f t="shared" si="970"/>
        <v>3144280.3441255717</v>
      </c>
      <c r="AM647" s="436">
        <f t="shared" si="970"/>
        <v>3376093.4680496743</v>
      </c>
      <c r="AN647" s="436">
        <f t="shared" si="970"/>
        <v>3610635.2840970373</v>
      </c>
      <c r="AO647" s="436">
        <f t="shared" si="970"/>
        <v>3847947.2736978075</v>
      </c>
      <c r="AP647" s="436">
        <f t="shared" si="970"/>
        <v>4088071.5024281042</v>
      </c>
      <c r="AQ647" s="436">
        <f t="shared" si="970"/>
        <v>4331050.6284238771</v>
      </c>
      <c r="AR647" s="436">
        <f t="shared" si="970"/>
        <v>4576927.9109151829</v>
      </c>
      <c r="AS647" s="436">
        <f t="shared" si="970"/>
        <v>4825747.2188826157</v>
      </c>
      <c r="AT647" s="436">
        <f t="shared" si="970"/>
        <v>5077553.0398376323</v>
      </c>
      <c r="AU647" s="436">
        <f t="shared" si="970"/>
        <v>5332390.4887285624</v>
      </c>
      <c r="AV647" s="436">
        <f t="shared" si="970"/>
        <v>5590305.3169740932</v>
      </c>
      <c r="AW647" s="436">
        <f t="shared" si="970"/>
        <v>5851343.9216260696</v>
      </c>
      <c r="AX647" s="436">
        <f t="shared" si="970"/>
        <v>6115553.3546634596</v>
      </c>
      <c r="AY647" s="436">
        <f t="shared" si="970"/>
        <v>6382981.3324193638</v>
      </c>
      <c r="AZ647" s="436">
        <f t="shared" si="970"/>
        <v>6653676.2451429814</v>
      </c>
      <c r="BA647" s="436">
        <f t="shared" si="970"/>
        <v>6927687.1666984688</v>
      </c>
      <c r="BB647" s="436">
        <f t="shared" si="970"/>
        <v>7205063.8644026536</v>
      </c>
      <c r="BC647" s="436">
        <f t="shared" si="970"/>
        <v>7485856.8090035943</v>
      </c>
      <c r="BD647" s="436">
        <f t="shared" si="970"/>
        <v>7770117.1848020069</v>
      </c>
      <c r="BE647" s="436">
        <f t="shared" si="970"/>
        <v>8057896.8999176165</v>
      </c>
      <c r="BF647" s="436">
        <f t="shared" si="970"/>
        <v>8349248.5967024909</v>
      </c>
    </row>
    <row r="648" spans="1:58" x14ac:dyDescent="0.3">
      <c r="A648" s="283"/>
      <c r="B648" s="283"/>
      <c r="C648" s="283"/>
      <c r="D648" s="283"/>
      <c r="E648" s="283"/>
      <c r="F648" s="283"/>
      <c r="G648" s="283"/>
      <c r="H648" s="283"/>
      <c r="I648" s="283"/>
      <c r="J648" s="283"/>
      <c r="K648" s="283"/>
      <c r="L648" s="279"/>
      <c r="M648" s="311" t="s">
        <v>1143</v>
      </c>
      <c r="N648" s="312" t="s">
        <v>1140</v>
      </c>
      <c r="O648" s="296"/>
      <c r="P648" s="296"/>
      <c r="Q648" s="296"/>
      <c r="R648" s="296"/>
      <c r="S648" s="296"/>
      <c r="T648" s="296"/>
      <c r="U648" s="296"/>
      <c r="V648" s="296"/>
      <c r="W648" s="296"/>
      <c r="X648" s="296"/>
      <c r="Y648" s="394"/>
      <c r="Z648" s="181">
        <v>3.8E-3</v>
      </c>
      <c r="AA648" s="181">
        <v>3.0000000000000001E-3</v>
      </c>
      <c r="AB648" s="313">
        <v>0</v>
      </c>
      <c r="AC648" s="180">
        <f>AB662</f>
        <v>85000</v>
      </c>
      <c r="AD648" s="404">
        <f>AC648+Z648*(AC645+AC648+AC651+AC654)</f>
        <v>170690</v>
      </c>
      <c r="AE648" s="437">
        <f>AD648+$Z648*(AD645+AD648+AD651+AD654)</f>
        <v>257373.98357500002</v>
      </c>
      <c r="AF648" s="437">
        <f>AE648+$Z648*(AE645+AE648+AE651+AE654)</f>
        <v>345067.62127457658</v>
      </c>
      <c r="AG648" s="437">
        <f t="shared" ref="AG648:AH648" si="971">AF648+$Z648*(AF645+AF648+AF651+AF654)</f>
        <v>433786.81071050745</v>
      </c>
      <c r="AH648" s="437">
        <f t="shared" si="971"/>
        <v>523547.6799178542</v>
      </c>
      <c r="AI648" s="521">
        <f>AH648+$AA648*(AH645+AH648+AH651+AH654)</f>
        <v>595246.8200607507</v>
      </c>
      <c r="AJ648" s="521">
        <f t="shared" ref="AJ648:BF648" si="972">AI648+$AA648*(AI645+AI648+AI651+AI654)</f>
        <v>667780.84688261675</v>
      </c>
      <c r="AK648" s="521">
        <f t="shared" si="972"/>
        <v>741161.88987680082</v>
      </c>
      <c r="AL648" s="521">
        <f t="shared" si="972"/>
        <v>815402.24611168413</v>
      </c>
      <c r="AM648" s="521">
        <f t="shared" si="972"/>
        <v>890514.38257069699</v>
      </c>
      <c r="AN648" s="521">
        <f t="shared" si="972"/>
        <v>966510.93852493586</v>
      </c>
      <c r="AO648" s="521">
        <f t="shared" si="972"/>
        <v>1043404.7279388355</v>
      </c>
      <c r="AP648" s="521">
        <f t="shared" si="972"/>
        <v>1121208.7419093568</v>
      </c>
      <c r="AQ648" s="521">
        <f t="shared" si="972"/>
        <v>1199936.1511391576</v>
      </c>
      <c r="AR648" s="521">
        <f t="shared" si="972"/>
        <v>1279600.3084442206</v>
      </c>
      <c r="AS648" s="521">
        <f t="shared" si="972"/>
        <v>1360214.7512964171</v>
      </c>
      <c r="AT648" s="521">
        <f t="shared" si="972"/>
        <v>1441793.2044014963</v>
      </c>
      <c r="AU648" s="521">
        <f t="shared" si="972"/>
        <v>1524349.5823129911</v>
      </c>
      <c r="AV648" s="521">
        <f t="shared" si="972"/>
        <v>1607897.992082542</v>
      </c>
      <c r="AW648" s="521">
        <f t="shared" si="972"/>
        <v>1692452.7359471477</v>
      </c>
      <c r="AX648" s="521">
        <f t="shared" si="972"/>
        <v>1778028.3140538565</v>
      </c>
      <c r="AY648" s="521">
        <f t="shared" si="972"/>
        <v>1864639.4272224193</v>
      </c>
      <c r="AZ648" s="521">
        <f t="shared" si="972"/>
        <v>1952300.9797464348</v>
      </c>
      <c r="BA648" s="521">
        <f t="shared" si="972"/>
        <v>2041028.0822335226</v>
      </c>
      <c r="BB648" s="521">
        <f t="shared" si="972"/>
        <v>2130836.0544850682</v>
      </c>
      <c r="BC648" s="521">
        <f t="shared" si="972"/>
        <v>2221740.4284160938</v>
      </c>
      <c r="BD648" s="521">
        <f t="shared" si="972"/>
        <v>2313756.9510158082</v>
      </c>
      <c r="BE648" s="521">
        <f t="shared" si="972"/>
        <v>2406901.5873494102</v>
      </c>
      <c r="BF648" s="521">
        <f t="shared" si="972"/>
        <v>2501190.5236017155</v>
      </c>
    </row>
    <row r="649" spans="1:58" x14ac:dyDescent="0.3">
      <c r="A649" s="283"/>
      <c r="B649" s="283"/>
      <c r="C649" s="283"/>
      <c r="D649" s="283"/>
      <c r="E649" s="283"/>
      <c r="F649" s="283"/>
      <c r="G649" s="283"/>
      <c r="H649" s="283"/>
      <c r="I649" s="283"/>
      <c r="J649" s="283"/>
      <c r="K649" s="283"/>
      <c r="L649" s="279"/>
      <c r="M649" s="311" t="s">
        <v>1144</v>
      </c>
      <c r="N649" s="312" t="s">
        <v>1140</v>
      </c>
      <c r="O649" s="296"/>
      <c r="P649" s="296"/>
      <c r="Q649" s="296"/>
      <c r="R649" s="296"/>
      <c r="S649" s="296"/>
      <c r="T649" s="296"/>
      <c r="U649" s="296"/>
      <c r="V649" s="296"/>
      <c r="W649" s="296"/>
      <c r="X649" s="296"/>
      <c r="Y649" s="394"/>
      <c r="Z649" s="181">
        <v>8.9999999999999993E-3</v>
      </c>
      <c r="AA649" s="181">
        <v>4.4999999999999997E-3</v>
      </c>
      <c r="AB649" s="313">
        <v>0</v>
      </c>
      <c r="AC649" s="180">
        <f>AB663</f>
        <v>280000</v>
      </c>
      <c r="AD649" s="404">
        <f>AC649+Z649*(AC646+AC649+AC652+AC655)</f>
        <v>560800</v>
      </c>
      <c r="AE649" s="437">
        <f>AD649+$Z649*(AD646+AD649+AD652+AD655)</f>
        <v>845111.8899999999</v>
      </c>
      <c r="AF649" s="437">
        <f>AE649+$Z649*(AE646+AE649+AE652+AE655)</f>
        <v>1133018.8056999999</v>
      </c>
      <c r="AG649" s="437">
        <f t="shared" ref="AG649:AH649" si="973">AF649+$Z649*(AF646+AF649+AF652+AF655)</f>
        <v>1424605.3146901899</v>
      </c>
      <c r="AH649" s="437">
        <f t="shared" si="973"/>
        <v>1719957.4449860565</v>
      </c>
      <c r="AI649" s="521">
        <f>AH649+$AA649*(AH646+AH649+AH652+AH655)</f>
        <v>1869560.079539875</v>
      </c>
      <c r="AJ649" s="521">
        <f t="shared" ref="AJ649:BF649" si="974">AI649+$AA649*(AI646+AI649+AI652+AI655)</f>
        <v>2020896.2711200051</v>
      </c>
      <c r="AK649" s="521">
        <f t="shared" si="974"/>
        <v>2173993.1168686142</v>
      </c>
      <c r="AL649" s="521">
        <f t="shared" si="974"/>
        <v>2328878.0980138876</v>
      </c>
      <c r="AM649" s="521">
        <f t="shared" si="974"/>
        <v>2485579.0854789773</v>
      </c>
      <c r="AN649" s="521">
        <f t="shared" si="974"/>
        <v>2644124.3455721014</v>
      </c>
      <c r="AO649" s="521">
        <f t="shared" si="974"/>
        <v>2804542.5457589719</v>
      </c>
      <c r="AP649" s="521">
        <f t="shared" si="974"/>
        <v>2966862.7605187474</v>
      </c>
      <c r="AQ649" s="521">
        <f t="shared" si="974"/>
        <v>3131114.4772847192</v>
      </c>
      <c r="AR649" s="521">
        <f t="shared" si="974"/>
        <v>3297327.6024709623</v>
      </c>
      <c r="AS649" s="521">
        <f t="shared" si="974"/>
        <v>3465532.4675861988</v>
      </c>
      <c r="AT649" s="521">
        <f t="shared" si="974"/>
        <v>3635759.8354361365</v>
      </c>
      <c r="AU649" s="521">
        <f t="shared" si="974"/>
        <v>3808040.9064155715</v>
      </c>
      <c r="AV649" s="521">
        <f t="shared" si="974"/>
        <v>3982407.3248915509</v>
      </c>
      <c r="AW649" s="521">
        <f t="shared" si="974"/>
        <v>4158891.1856789216</v>
      </c>
      <c r="AX649" s="521">
        <f t="shared" si="974"/>
        <v>4337525.0406096028</v>
      </c>
      <c r="AY649" s="521">
        <f t="shared" si="974"/>
        <v>4518341.9051969443</v>
      </c>
      <c r="AZ649" s="521">
        <f t="shared" si="974"/>
        <v>4701375.2653965466</v>
      </c>
      <c r="BA649" s="521">
        <f t="shared" si="974"/>
        <v>4886659.0844649468</v>
      </c>
      <c r="BB649" s="521">
        <f t="shared" si="974"/>
        <v>5074227.8099175859</v>
      </c>
      <c r="BC649" s="521">
        <f t="shared" si="974"/>
        <v>5264116.3805875005</v>
      </c>
      <c r="BD649" s="521">
        <f t="shared" si="974"/>
        <v>5456360.2337861992</v>
      </c>
      <c r="BE649" s="521">
        <f t="shared" si="974"/>
        <v>5650995.3125682063</v>
      </c>
      <c r="BF649" s="521">
        <f t="shared" si="974"/>
        <v>5848058.0731007755</v>
      </c>
    </row>
    <row r="650" spans="1:58" x14ac:dyDescent="0.3">
      <c r="A650" s="283"/>
      <c r="B650" s="283"/>
      <c r="C650" s="283"/>
      <c r="D650" s="283"/>
      <c r="E650" s="283"/>
      <c r="F650" s="283"/>
      <c r="G650" s="283"/>
      <c r="H650" s="283"/>
      <c r="I650" s="283"/>
      <c r="J650" s="283"/>
      <c r="K650" s="283"/>
      <c r="L650" s="279"/>
      <c r="M650" s="321" t="s">
        <v>1146</v>
      </c>
      <c r="N650" s="322" t="s">
        <v>1140</v>
      </c>
      <c r="O650" s="319"/>
      <c r="P650" s="319"/>
      <c r="Q650" s="319"/>
      <c r="R650" s="319"/>
      <c r="S650" s="319"/>
      <c r="T650" s="319"/>
      <c r="U650" s="319"/>
      <c r="V650" s="319"/>
      <c r="W650" s="319"/>
      <c r="X650" s="319"/>
      <c r="Y650" s="394"/>
      <c r="Z650" s="119"/>
      <c r="AA650" s="119"/>
      <c r="AB650" s="434">
        <f>SUM(AB651:AB652)</f>
        <v>11700000</v>
      </c>
      <c r="AC650" s="435">
        <f>SUM(AC651:AC652)</f>
        <v>11700000</v>
      </c>
      <c r="AD650" s="436">
        <f>SUM(AD651:AD652)</f>
        <v>11700000</v>
      </c>
      <c r="AE650" s="436">
        <f>SUM(AE651:AE652)</f>
        <v>11700000</v>
      </c>
      <c r="AF650" s="436">
        <f>SUM(AF651:AF652)</f>
        <v>11700000</v>
      </c>
      <c r="AG650" s="436">
        <f t="shared" ref="AG650:AI650" si="975">SUM(AG651:AG652)</f>
        <v>11700000</v>
      </c>
      <c r="AH650" s="436">
        <f t="shared" si="975"/>
        <v>11700000</v>
      </c>
      <c r="AI650" s="436">
        <f t="shared" si="975"/>
        <v>11700000</v>
      </c>
      <c r="AJ650" s="436">
        <f t="shared" ref="AJ650:BF650" si="976">SUM(AJ651:AJ652)</f>
        <v>11700000</v>
      </c>
      <c r="AK650" s="436">
        <f t="shared" si="976"/>
        <v>11700000</v>
      </c>
      <c r="AL650" s="436">
        <f t="shared" si="976"/>
        <v>11700000</v>
      </c>
      <c r="AM650" s="436">
        <f t="shared" si="976"/>
        <v>11700000</v>
      </c>
      <c r="AN650" s="436">
        <f t="shared" si="976"/>
        <v>11700000</v>
      </c>
      <c r="AO650" s="436">
        <f t="shared" si="976"/>
        <v>11700000</v>
      </c>
      <c r="AP650" s="436">
        <f t="shared" si="976"/>
        <v>11700000</v>
      </c>
      <c r="AQ650" s="436">
        <f t="shared" si="976"/>
        <v>11700000</v>
      </c>
      <c r="AR650" s="436">
        <f t="shared" si="976"/>
        <v>11700000</v>
      </c>
      <c r="AS650" s="436">
        <f t="shared" si="976"/>
        <v>11700000</v>
      </c>
      <c r="AT650" s="436">
        <f t="shared" si="976"/>
        <v>11700000</v>
      </c>
      <c r="AU650" s="436">
        <f t="shared" si="976"/>
        <v>11700000</v>
      </c>
      <c r="AV650" s="436">
        <f t="shared" si="976"/>
        <v>11700000</v>
      </c>
      <c r="AW650" s="436">
        <f t="shared" si="976"/>
        <v>11700000</v>
      </c>
      <c r="AX650" s="436">
        <f t="shared" si="976"/>
        <v>11700000</v>
      </c>
      <c r="AY650" s="436">
        <f t="shared" si="976"/>
        <v>11700000</v>
      </c>
      <c r="AZ650" s="436">
        <f t="shared" si="976"/>
        <v>11700000</v>
      </c>
      <c r="BA650" s="436">
        <f t="shared" si="976"/>
        <v>11700000</v>
      </c>
      <c r="BB650" s="436">
        <f t="shared" si="976"/>
        <v>11700000</v>
      </c>
      <c r="BC650" s="436">
        <f t="shared" si="976"/>
        <v>11700000</v>
      </c>
      <c r="BD650" s="436">
        <f t="shared" si="976"/>
        <v>11700000</v>
      </c>
      <c r="BE650" s="436">
        <f t="shared" si="976"/>
        <v>11700000</v>
      </c>
      <c r="BF650" s="436">
        <f t="shared" si="976"/>
        <v>11700000</v>
      </c>
    </row>
    <row r="651" spans="1:58" x14ac:dyDescent="0.3">
      <c r="A651" s="283"/>
      <c r="B651" s="283"/>
      <c r="C651" s="283"/>
      <c r="D651" s="283"/>
      <c r="E651" s="283"/>
      <c r="F651" s="283"/>
      <c r="G651" s="283"/>
      <c r="H651" s="283"/>
      <c r="I651" s="283"/>
      <c r="J651" s="283"/>
      <c r="K651" s="283"/>
      <c r="L651" s="279"/>
      <c r="M651" s="311" t="s">
        <v>1143</v>
      </c>
      <c r="N651" s="312" t="s">
        <v>1140</v>
      </c>
      <c r="O651" s="296"/>
      <c r="P651" s="296"/>
      <c r="Q651" s="296"/>
      <c r="R651" s="296"/>
      <c r="S651" s="296"/>
      <c r="T651" s="296"/>
      <c r="U651" s="296"/>
      <c r="V651" s="296"/>
      <c r="W651" s="296"/>
      <c r="X651" s="296"/>
      <c r="Y651" s="394"/>
      <c r="Z651" s="438">
        <f>AC651/AB651</f>
        <v>1</v>
      </c>
      <c r="AA651" s="438">
        <f>Z651</f>
        <v>1</v>
      </c>
      <c r="AB651" s="313">
        <v>3600000</v>
      </c>
      <c r="AC651" s="180">
        <f>AB651</f>
        <v>3600000</v>
      </c>
      <c r="AD651" s="404">
        <f>Z651*AC651</f>
        <v>3600000</v>
      </c>
      <c r="AE651" s="437">
        <f>$Z651*AD651</f>
        <v>3600000</v>
      </c>
      <c r="AF651" s="437">
        <f>$Z651*AE651</f>
        <v>3600000</v>
      </c>
      <c r="AG651" s="437">
        <f t="shared" ref="AG651:AH651" si="977">$Z651*AF651</f>
        <v>3600000</v>
      </c>
      <c r="AH651" s="437">
        <f t="shared" si="977"/>
        <v>3600000</v>
      </c>
      <c r="AI651" s="521">
        <f>$AA651*AH651</f>
        <v>3600000</v>
      </c>
      <c r="AJ651" s="521">
        <f t="shared" ref="AJ651:BF651" si="978">$AA651*AI651</f>
        <v>3600000</v>
      </c>
      <c r="AK651" s="521">
        <f t="shared" si="978"/>
        <v>3600000</v>
      </c>
      <c r="AL651" s="521">
        <f t="shared" si="978"/>
        <v>3600000</v>
      </c>
      <c r="AM651" s="521">
        <f t="shared" si="978"/>
        <v>3600000</v>
      </c>
      <c r="AN651" s="521">
        <f t="shared" si="978"/>
        <v>3600000</v>
      </c>
      <c r="AO651" s="521">
        <f t="shared" si="978"/>
        <v>3600000</v>
      </c>
      <c r="AP651" s="521">
        <f t="shared" si="978"/>
        <v>3600000</v>
      </c>
      <c r="AQ651" s="521">
        <f t="shared" si="978"/>
        <v>3600000</v>
      </c>
      <c r="AR651" s="521">
        <f t="shared" si="978"/>
        <v>3600000</v>
      </c>
      <c r="AS651" s="521">
        <f t="shared" si="978"/>
        <v>3600000</v>
      </c>
      <c r="AT651" s="521">
        <f t="shared" si="978"/>
        <v>3600000</v>
      </c>
      <c r="AU651" s="521">
        <f t="shared" si="978"/>
        <v>3600000</v>
      </c>
      <c r="AV651" s="521">
        <f t="shared" si="978"/>
        <v>3600000</v>
      </c>
      <c r="AW651" s="521">
        <f t="shared" si="978"/>
        <v>3600000</v>
      </c>
      <c r="AX651" s="521">
        <f t="shared" si="978"/>
        <v>3600000</v>
      </c>
      <c r="AY651" s="521">
        <f t="shared" si="978"/>
        <v>3600000</v>
      </c>
      <c r="AZ651" s="521">
        <f t="shared" si="978"/>
        <v>3600000</v>
      </c>
      <c r="BA651" s="521">
        <f t="shared" si="978"/>
        <v>3600000</v>
      </c>
      <c r="BB651" s="521">
        <f t="shared" si="978"/>
        <v>3600000</v>
      </c>
      <c r="BC651" s="521">
        <f t="shared" si="978"/>
        <v>3600000</v>
      </c>
      <c r="BD651" s="521">
        <f t="shared" si="978"/>
        <v>3600000</v>
      </c>
      <c r="BE651" s="521">
        <f t="shared" si="978"/>
        <v>3600000</v>
      </c>
      <c r="BF651" s="521">
        <f t="shared" si="978"/>
        <v>3600000</v>
      </c>
    </row>
    <row r="652" spans="1:58" x14ac:dyDescent="0.3">
      <c r="A652" s="283"/>
      <c r="B652" s="283"/>
      <c r="C652" s="283"/>
      <c r="D652" s="283"/>
      <c r="E652" s="283"/>
      <c r="F652" s="283"/>
      <c r="G652" s="283"/>
      <c r="H652" s="283"/>
      <c r="I652" s="283"/>
      <c r="J652" s="283"/>
      <c r="K652" s="283"/>
      <c r="L652" s="279"/>
      <c r="M652" s="311" t="s">
        <v>1144</v>
      </c>
      <c r="N652" s="312" t="s">
        <v>1140</v>
      </c>
      <c r="O652" s="296"/>
      <c r="P652" s="296"/>
      <c r="Q652" s="296"/>
      <c r="R652" s="296"/>
      <c r="S652" s="296"/>
      <c r="T652" s="296"/>
      <c r="U652" s="296"/>
      <c r="V652" s="296"/>
      <c r="W652" s="296"/>
      <c r="X652" s="296"/>
      <c r="Y652" s="394"/>
      <c r="Z652" s="438">
        <f>AC652/AB652</f>
        <v>1</v>
      </c>
      <c r="AA652" s="438">
        <f>Z652</f>
        <v>1</v>
      </c>
      <c r="AB652" s="313">
        <v>8100000</v>
      </c>
      <c r="AC652" s="180">
        <f t="shared" ref="AC652" si="979">AB652</f>
        <v>8100000</v>
      </c>
      <c r="AD652" s="404">
        <f>Z652*AC652</f>
        <v>8100000</v>
      </c>
      <c r="AE652" s="437">
        <f>$Z652*AD652</f>
        <v>8100000</v>
      </c>
      <c r="AF652" s="437">
        <f>$Z652*AE652</f>
        <v>8100000</v>
      </c>
      <c r="AG652" s="437">
        <f t="shared" ref="AG652:AH652" si="980">$Z652*AF652</f>
        <v>8100000</v>
      </c>
      <c r="AH652" s="437">
        <f t="shared" si="980"/>
        <v>8100000</v>
      </c>
      <c r="AI652" s="521">
        <f>$AA652*AH652</f>
        <v>8100000</v>
      </c>
      <c r="AJ652" s="521">
        <f t="shared" ref="AJ652:BF652" si="981">$AA652*AI652</f>
        <v>8100000</v>
      </c>
      <c r="AK652" s="521">
        <f t="shared" si="981"/>
        <v>8100000</v>
      </c>
      <c r="AL652" s="521">
        <f t="shared" si="981"/>
        <v>8100000</v>
      </c>
      <c r="AM652" s="521">
        <f t="shared" si="981"/>
        <v>8100000</v>
      </c>
      <c r="AN652" s="521">
        <f t="shared" si="981"/>
        <v>8100000</v>
      </c>
      <c r="AO652" s="521">
        <f t="shared" si="981"/>
        <v>8100000</v>
      </c>
      <c r="AP652" s="521">
        <f t="shared" si="981"/>
        <v>8100000</v>
      </c>
      <c r="AQ652" s="521">
        <f t="shared" si="981"/>
        <v>8100000</v>
      </c>
      <c r="AR652" s="521">
        <f t="shared" si="981"/>
        <v>8100000</v>
      </c>
      <c r="AS652" s="521">
        <f t="shared" si="981"/>
        <v>8100000</v>
      </c>
      <c r="AT652" s="521">
        <f t="shared" si="981"/>
        <v>8100000</v>
      </c>
      <c r="AU652" s="521">
        <f t="shared" si="981"/>
        <v>8100000</v>
      </c>
      <c r="AV652" s="521">
        <f t="shared" si="981"/>
        <v>8100000</v>
      </c>
      <c r="AW652" s="521">
        <f t="shared" si="981"/>
        <v>8100000</v>
      </c>
      <c r="AX652" s="521">
        <f t="shared" si="981"/>
        <v>8100000</v>
      </c>
      <c r="AY652" s="521">
        <f t="shared" si="981"/>
        <v>8100000</v>
      </c>
      <c r="AZ652" s="521">
        <f t="shared" si="981"/>
        <v>8100000</v>
      </c>
      <c r="BA652" s="521">
        <f t="shared" si="981"/>
        <v>8100000</v>
      </c>
      <c r="BB652" s="521">
        <f t="shared" si="981"/>
        <v>8100000</v>
      </c>
      <c r="BC652" s="521">
        <f t="shared" si="981"/>
        <v>8100000</v>
      </c>
      <c r="BD652" s="521">
        <f t="shared" si="981"/>
        <v>8100000</v>
      </c>
      <c r="BE652" s="521">
        <f t="shared" si="981"/>
        <v>8100000</v>
      </c>
      <c r="BF652" s="521">
        <f t="shared" si="981"/>
        <v>8100000</v>
      </c>
    </row>
    <row r="653" spans="1:58" x14ac:dyDescent="0.3">
      <c r="A653" s="283"/>
      <c r="B653" s="283"/>
      <c r="C653" s="283"/>
      <c r="D653" s="283"/>
      <c r="E653" s="283"/>
      <c r="F653" s="283"/>
      <c r="G653" s="283"/>
      <c r="H653" s="283"/>
      <c r="I653" s="283"/>
      <c r="J653" s="283"/>
      <c r="K653" s="283"/>
      <c r="L653" s="279"/>
      <c r="M653" s="321" t="s">
        <v>1147</v>
      </c>
      <c r="N653" s="322" t="s">
        <v>1140</v>
      </c>
      <c r="O653" s="319"/>
      <c r="P653" s="319"/>
      <c r="Q653" s="319"/>
      <c r="R653" s="319"/>
      <c r="S653" s="319"/>
      <c r="T653" s="319"/>
      <c r="U653" s="319"/>
      <c r="V653" s="319"/>
      <c r="W653" s="319"/>
      <c r="X653" s="319"/>
      <c r="Y653" s="394"/>
      <c r="AB653" s="434">
        <f>SUM(AB654:AB655)</f>
        <v>0</v>
      </c>
      <c r="AC653" s="435">
        <f>SUM(AC654:AC655)</f>
        <v>555000</v>
      </c>
      <c r="AD653" s="436">
        <f>SUM(AD654:AD655)</f>
        <v>1113640.625</v>
      </c>
      <c r="AE653" s="436">
        <f>SUM(AE654:AE655)</f>
        <v>1679044.3224609375</v>
      </c>
      <c r="AF653" s="436">
        <f>SUM(AF654:AF655)</f>
        <v>2251348.5697607058</v>
      </c>
      <c r="AG653" s="436">
        <f t="shared" ref="AG653:AI653" si="982">SUM(AG654:AG655)</f>
        <v>2830693.0888170409</v>
      </c>
      <c r="AH653" s="436">
        <f t="shared" si="982"/>
        <v>3417219.8874673662</v>
      </c>
      <c r="AI653" s="436">
        <f t="shared" si="982"/>
        <v>4011073.3015801623</v>
      </c>
      <c r="AJ653" s="436">
        <f t="shared" ref="AJ653:BF653" si="983">SUM(AJ654:AJ655)</f>
        <v>4611822.9223240595</v>
      </c>
      <c r="AK653" s="436">
        <f t="shared" si="983"/>
        <v>5219573.1876817094</v>
      </c>
      <c r="AL653" s="436">
        <f t="shared" si="983"/>
        <v>5834430.0001108851</v>
      </c>
      <c r="AM653" s="436">
        <f t="shared" si="983"/>
        <v>6456500.7475401238</v>
      </c>
      <c r="AN653" s="436">
        <f t="shared" si="983"/>
        <v>7085894.3246635608</v>
      </c>
      <c r="AO653" s="436">
        <f t="shared" si="983"/>
        <v>7722721.1545392275</v>
      </c>
      <c r="AP653" s="436">
        <f t="shared" si="983"/>
        <v>8367093.2104951423</v>
      </c>
      <c r="AQ653" s="436">
        <f t="shared" si="983"/>
        <v>9019124.0383476168</v>
      </c>
      <c r="AR653" s="436">
        <f t="shared" si="983"/>
        <v>9678928.7789361998</v>
      </c>
      <c r="AS653" s="436">
        <f t="shared" si="983"/>
        <v>10346624.190979803</v>
      </c>
      <c r="AT653" s="436">
        <f t="shared" si="983"/>
        <v>11022328.674258601</v>
      </c>
      <c r="AU653" s="436">
        <f t="shared" si="983"/>
        <v>11706162.293126337</v>
      </c>
      <c r="AV653" s="436">
        <f t="shared" si="983"/>
        <v>12398246.800357778</v>
      </c>
      <c r="AW653" s="436">
        <f t="shared" si="983"/>
        <v>13098705.661336087</v>
      </c>
      <c r="AX653" s="436">
        <f t="shared" si="983"/>
        <v>13807664.078584976</v>
      </c>
      <c r="AY653" s="436">
        <f t="shared" si="983"/>
        <v>14525249.016650565</v>
      </c>
      <c r="AZ653" s="436">
        <f t="shared" si="983"/>
        <v>15251589.227337934</v>
      </c>
      <c r="BA653" s="436">
        <f t="shared" si="983"/>
        <v>15986815.275307443</v>
      </c>
      <c r="BB653" s="436">
        <f t="shared" si="983"/>
        <v>16731059.564035956</v>
      </c>
      <c r="BC653" s="436">
        <f t="shared" si="983"/>
        <v>17484456.362148188</v>
      </c>
      <c r="BD653" s="436">
        <f t="shared" si="983"/>
        <v>18247141.830123421</v>
      </c>
      <c r="BE653" s="436">
        <f t="shared" si="983"/>
        <v>19019254.047383025</v>
      </c>
      <c r="BF653" s="436">
        <f t="shared" si="983"/>
        <v>19800933.039764155</v>
      </c>
    </row>
    <row r="654" spans="1:58" x14ac:dyDescent="0.3">
      <c r="A654" s="283"/>
      <c r="B654" s="283"/>
      <c r="C654" s="283"/>
      <c r="D654" s="283"/>
      <c r="E654" s="283"/>
      <c r="F654" s="283"/>
      <c r="G654" s="283"/>
      <c r="H654" s="283"/>
      <c r="I654" s="283"/>
      <c r="J654" s="283"/>
      <c r="K654" s="283"/>
      <c r="L654" s="279"/>
      <c r="M654" s="311" t="s">
        <v>1143</v>
      </c>
      <c r="N654" s="312" t="s">
        <v>1140</v>
      </c>
      <c r="O654" s="296"/>
      <c r="P654" s="296"/>
      <c r="Q654" s="296"/>
      <c r="R654" s="296"/>
      <c r="S654" s="296"/>
      <c r="T654" s="296"/>
      <c r="U654" s="296"/>
      <c r="V654" s="296"/>
      <c r="W654" s="296"/>
      <c r="X654" s="296"/>
      <c r="Y654" s="394"/>
      <c r="Z654" s="438">
        <f>AC654/(AB645+AB648+AB651+AB654)</f>
        <v>1.0937499999999999E-2</v>
      </c>
      <c r="AA654" s="438">
        <f>Z654</f>
        <v>1.0937499999999999E-2</v>
      </c>
      <c r="AB654" s="313">
        <v>0</v>
      </c>
      <c r="AC654" s="180">
        <f>AB659</f>
        <v>245000</v>
      </c>
      <c r="AD654" s="404">
        <f>AC654+Z654*(AC645+AC648+AC651+AC654)</f>
        <v>491640.625</v>
      </c>
      <c r="AE654" s="437">
        <f>AD654+$Z654*(AD645+AD648+AD651+AD654)</f>
        <v>741142.22246093745</v>
      </c>
      <c r="AF654" s="437">
        <f>AE654+$Z654*(AE645+AE648+AE651+AE654)</f>
        <v>993549.89676070551</v>
      </c>
      <c r="AG654" s="437">
        <f t="shared" ref="AG654:AI654" si="984">AF654+$Z654*(AF645+AF648+AF651+AF654)</f>
        <v>1248909.4058279407</v>
      </c>
      <c r="AH654" s="437">
        <f t="shared" si="984"/>
        <v>1507267.1708161919</v>
      </c>
      <c r="AI654" s="521">
        <f t="shared" si="984"/>
        <v>1768670.2859205022</v>
      </c>
      <c r="AJ654" s="521">
        <f t="shared" ref="AJ654:AJ655" si="985">AI654+$Z654*(AI645+AI648+AI651+AI654)</f>
        <v>2033117.2587085555</v>
      </c>
      <c r="AK654" s="521">
        <f t="shared" ref="AK654:AK655" si="986">AJ654+$Z654*(AJ645+AJ648+AJ651+AJ654)</f>
        <v>2300652.3112915182</v>
      </c>
      <c r="AL654" s="521">
        <f t="shared" ref="AL654:AL655" si="987">AK654+$Z654*(AK645+AK648+AK651+AK654)</f>
        <v>2571320.2767311968</v>
      </c>
      <c r="AM654" s="521">
        <f t="shared" ref="AM654:AM655" si="988">AL654+$Z654*(AL645+AL648+AL651+AL654)</f>
        <v>2845166.6075713476</v>
      </c>
      <c r="AN654" s="521">
        <f t="shared" ref="AN654:AN655" si="989">AM654+$Z654*(AM645+AM648+AM651+AM654)</f>
        <v>3122237.3844878431</v>
      </c>
      <c r="AO654" s="521">
        <f t="shared" ref="AO654:AO655" si="990">AN654+$Z654*(AN645+AN648+AN651+AN654)</f>
        <v>3402579.325059352</v>
      </c>
      <c r="AP654" s="521">
        <f t="shared" ref="AP654:AP655" si="991">AO654+$Z654*(AO645+AO648+AO651+AO654)</f>
        <v>3686239.7926602107</v>
      </c>
      <c r="AQ654" s="521">
        <f t="shared" ref="AQ654:AQ655" si="992">AP654+$Z654*(AP645+AP648+AP651+AP654)</f>
        <v>3973266.8054771926</v>
      </c>
      <c r="AR654" s="521">
        <f t="shared" ref="AR654:AR655" si="993">AQ654+$Z654*(AQ645+AQ648+AQ651+AQ654)</f>
        <v>4263709.0456519006</v>
      </c>
      <c r="AS654" s="521">
        <f t="shared" ref="AS654:AS655" si="994">AR654+$Z654*(AR645+AR648+AR651+AR654)</f>
        <v>4557615.8685505334</v>
      </c>
      <c r="AT654" s="521">
        <f t="shared" ref="AT654:AT655" si="995">AS654+$Z654*(AS645+AS648+AS651+AS654)</f>
        <v>4855037.3121628016</v>
      </c>
      <c r="AU654" s="521">
        <f t="shared" ref="AU654:AU655" si="996">AT654+$Z654*(AT645+AT648+AT651+AT654)</f>
        <v>5156024.1066317931</v>
      </c>
      <c r="AV654" s="521">
        <f t="shared" ref="AV654:AV655" si="997">AU654+$Z654*(AU645+AU648+AU651+AU654)</f>
        <v>5460627.6839166135</v>
      </c>
      <c r="AW654" s="521">
        <f t="shared" ref="AW654:AW655" si="998">AV654+$Z654*(AV645+AV648+AV651+AV654)</f>
        <v>5768900.1875896556</v>
      </c>
      <c r="AX654" s="521">
        <f t="shared" ref="AX654:AX655" si="999">AW654+$Z654*(AW645+AW648+AW651+AW654)</f>
        <v>6080894.4827703647</v>
      </c>
      <c r="AY654" s="521">
        <f t="shared" ref="AY654:AY655" si="1000">AX654+$Z654*(AX645+AX648+AX651+AX654)</f>
        <v>6396664.1661974164</v>
      </c>
      <c r="AZ654" s="521">
        <f t="shared" ref="AZ654:AZ655" si="1001">AY654+$Z654*(AY645+AY648+AY651+AY654)</f>
        <v>6716263.5764412228</v>
      </c>
      <c r="BA654" s="521">
        <f t="shared" ref="BA654:BA655" si="1002">AZ654+$Z654*(AZ645+AZ648+AZ651+AZ654)</f>
        <v>7039747.8042587293</v>
      </c>
      <c r="BB654" s="521">
        <f t="shared" ref="BB654:BB655" si="1003">BA654+$Z654*(BA645+BA648+BA651+BA654)</f>
        <v>7367172.7030924903</v>
      </c>
      <c r="BC654" s="521">
        <f t="shared" ref="BC654:BC655" si="1004">BB654+$Z654*(BB645+BB648+BB651+BB654)</f>
        <v>7698594.8997160206</v>
      </c>
      <c r="BD654" s="521">
        <f t="shared" ref="BD654:BD655" si="1005">BC654+$Z654*(BC645+BC648+BC651+BC654)</f>
        <v>8034071.8050274793</v>
      </c>
      <c r="BE654" s="521">
        <f t="shared" ref="BE654:BE655" si="1006">BD654+$Z654*(BD645+BD648+BD651+BD654)</f>
        <v>8373661.6249937359</v>
      </c>
      <c r="BF654" s="521">
        <f t="shared" ref="BF654:BF655" si="1007">BE654+$Z654*(BE645+BE648+BE651+BE654)</f>
        <v>8717423.3717469312</v>
      </c>
    </row>
    <row r="655" spans="1:58" x14ac:dyDescent="0.3">
      <c r="A655" s="283"/>
      <c r="B655" s="283"/>
      <c r="C655" s="283"/>
      <c r="D655" s="283"/>
      <c r="E655" s="283"/>
      <c r="F655" s="283"/>
      <c r="G655" s="283"/>
      <c r="H655" s="283"/>
      <c r="I655" s="283"/>
      <c r="J655" s="283"/>
      <c r="K655" s="283"/>
      <c r="L655" s="279"/>
      <c r="M655" s="311" t="s">
        <v>1144</v>
      </c>
      <c r="N655" s="312" t="s">
        <v>1140</v>
      </c>
      <c r="O655" s="296"/>
      <c r="P655" s="296"/>
      <c r="Q655" s="296"/>
      <c r="R655" s="296"/>
      <c r="S655" s="296"/>
      <c r="T655" s="296"/>
      <c r="U655" s="296"/>
      <c r="V655" s="296"/>
      <c r="W655" s="296"/>
      <c r="X655" s="296"/>
      <c r="Y655" s="394"/>
      <c r="Z655" s="438">
        <f>AC655/(AB646+AB649+AB652+AB655)</f>
        <v>0.01</v>
      </c>
      <c r="AA655" s="438">
        <f>Z655</f>
        <v>0.01</v>
      </c>
      <c r="AB655" s="313">
        <v>0</v>
      </c>
      <c r="AC655" s="180">
        <f>AB660</f>
        <v>310000</v>
      </c>
      <c r="AD655" s="404">
        <f>AC655+Z655*(AC646+AC649+AC652+AC655)</f>
        <v>622000</v>
      </c>
      <c r="AE655" s="437">
        <f>AD655+$Z655*(AD646+AD649+AD652+AD655)</f>
        <v>937902.10000000009</v>
      </c>
      <c r="AF655" s="437">
        <f>AE655+$Z655*(AE646+AE649+AE652+AE655)</f>
        <v>1257798.6730000002</v>
      </c>
      <c r="AG655" s="437">
        <f t="shared" ref="AG655:AI655" si="1008">AF655+$Z655*(AF646+AF649+AF652+AF655)</f>
        <v>1581783.6829891002</v>
      </c>
      <c r="AH655" s="437">
        <f t="shared" si="1008"/>
        <v>1909952.7166511742</v>
      </c>
      <c r="AI655" s="521">
        <f t="shared" si="1008"/>
        <v>2242403.0156596601</v>
      </c>
      <c r="AJ655" s="521">
        <f t="shared" si="985"/>
        <v>2578705.6636155043</v>
      </c>
      <c r="AK655" s="521">
        <f t="shared" si="986"/>
        <v>2918920.8763901913</v>
      </c>
      <c r="AL655" s="521">
        <f t="shared" si="987"/>
        <v>3263109.7233796879</v>
      </c>
      <c r="AM655" s="521">
        <f t="shared" si="988"/>
        <v>3611334.1399687761</v>
      </c>
      <c r="AN655" s="521">
        <f t="shared" si="989"/>
        <v>3963656.9401757182</v>
      </c>
      <c r="AO655" s="521">
        <f t="shared" si="990"/>
        <v>4320141.829479875</v>
      </c>
      <c r="AP655" s="521">
        <f t="shared" si="991"/>
        <v>4680853.417834932</v>
      </c>
      <c r="AQ655" s="521">
        <f t="shared" si="992"/>
        <v>5045857.2328704251</v>
      </c>
      <c r="AR655" s="521">
        <f t="shared" si="993"/>
        <v>5415219.7332842993</v>
      </c>
      <c r="AS655" s="521">
        <f t="shared" si="994"/>
        <v>5789008.3224292696</v>
      </c>
      <c r="AT655" s="521">
        <f t="shared" si="995"/>
        <v>6167291.3620957984</v>
      </c>
      <c r="AU655" s="521">
        <f t="shared" si="996"/>
        <v>6550138.1864945432</v>
      </c>
      <c r="AV655" s="521">
        <f t="shared" si="997"/>
        <v>6937619.1164411642</v>
      </c>
      <c r="AW655" s="521">
        <f t="shared" si="998"/>
        <v>7329805.473746432</v>
      </c>
      <c r="AX655" s="521">
        <f t="shared" si="999"/>
        <v>7726769.5958146127</v>
      </c>
      <c r="AY655" s="521">
        <f t="shared" si="1000"/>
        <v>8128584.8504531495</v>
      </c>
      <c r="AZ655" s="521">
        <f t="shared" si="1001"/>
        <v>8535325.6508967113</v>
      </c>
      <c r="BA655" s="521">
        <f t="shared" si="1002"/>
        <v>8947067.4710487127</v>
      </c>
      <c r="BB655" s="521">
        <f t="shared" si="1003"/>
        <v>9363886.8609434664</v>
      </c>
      <c r="BC655" s="521">
        <f t="shared" si="1004"/>
        <v>9785861.4624321666</v>
      </c>
      <c r="BD655" s="521">
        <f t="shared" si="1005"/>
        <v>10213070.025095941</v>
      </c>
      <c r="BE655" s="521">
        <f t="shared" si="1006"/>
        <v>10645592.422389291</v>
      </c>
      <c r="BF655" s="521">
        <f t="shared" si="1007"/>
        <v>11083509.668017223</v>
      </c>
    </row>
    <row r="656" spans="1:58" x14ac:dyDescent="0.3">
      <c r="A656" s="283"/>
      <c r="B656" s="283"/>
      <c r="C656" s="283"/>
      <c r="D656" s="283"/>
      <c r="E656" s="283"/>
      <c r="F656" s="283"/>
      <c r="G656" s="283"/>
      <c r="H656" s="283"/>
      <c r="I656" s="283"/>
      <c r="J656" s="283"/>
      <c r="K656" s="283"/>
      <c r="L656" s="279"/>
      <c r="M656" s="336"/>
      <c r="N656" s="333"/>
      <c r="O656" s="296"/>
      <c r="P656" s="296"/>
      <c r="Q656" s="296"/>
      <c r="R656" s="296"/>
      <c r="S656" s="296"/>
      <c r="T656" s="296"/>
      <c r="U656" s="296"/>
      <c r="V656" s="296"/>
      <c r="W656" s="296"/>
      <c r="X656" s="296"/>
      <c r="Y656" s="394"/>
      <c r="AB656" s="268"/>
      <c r="AC656" s="154"/>
    </row>
    <row r="657" spans="1:58" ht="12" hidden="1" customHeight="1" x14ac:dyDescent="0.3">
      <c r="A657" s="283"/>
      <c r="B657" s="283"/>
      <c r="C657" s="283"/>
      <c r="D657" s="283"/>
      <c r="E657" s="283"/>
      <c r="F657" s="283"/>
      <c r="G657" s="283"/>
      <c r="H657" s="283"/>
      <c r="I657" s="283"/>
      <c r="J657" s="283"/>
      <c r="K657" s="283"/>
      <c r="L657" s="279"/>
      <c r="M657" s="337" t="s">
        <v>1148</v>
      </c>
      <c r="N657" s="334"/>
      <c r="O657" s="296"/>
      <c r="P657" s="296"/>
      <c r="Q657" s="296"/>
      <c r="R657" s="296"/>
      <c r="S657" s="296"/>
      <c r="T657" s="296"/>
      <c r="U657" s="296"/>
      <c r="V657" s="296"/>
      <c r="W657" s="296"/>
      <c r="X657" s="296"/>
      <c r="Y657" s="394"/>
      <c r="AB657" s="268"/>
      <c r="AC657" s="154"/>
    </row>
    <row r="658" spans="1:58" ht="12" hidden="1" customHeight="1" x14ac:dyDescent="0.3">
      <c r="A658" s="283"/>
      <c r="B658" s="283"/>
      <c r="C658" s="283"/>
      <c r="D658" s="283"/>
      <c r="E658" s="283"/>
      <c r="F658" s="283"/>
      <c r="G658" s="283"/>
      <c r="H658" s="283"/>
      <c r="I658" s="283"/>
      <c r="J658" s="283"/>
      <c r="K658" s="283"/>
      <c r="L658" s="279"/>
      <c r="M658" s="338" t="s">
        <v>1149</v>
      </c>
      <c r="N658" s="335" t="s">
        <v>1140</v>
      </c>
      <c r="O658" s="296"/>
      <c r="P658" s="296"/>
      <c r="Q658" s="296"/>
      <c r="R658" s="296"/>
      <c r="S658" s="296"/>
      <c r="T658" s="296"/>
      <c r="U658" s="296"/>
      <c r="V658" s="296"/>
      <c r="W658" s="296"/>
      <c r="X658" s="296"/>
      <c r="Y658" s="394"/>
      <c r="AB658" s="269">
        <f>SUM(AB659:AB660)</f>
        <v>555000</v>
      </c>
      <c r="AC658" s="154"/>
    </row>
    <row r="659" spans="1:58" ht="12" hidden="1" customHeight="1" x14ac:dyDescent="0.3">
      <c r="A659" s="283"/>
      <c r="B659" s="283"/>
      <c r="C659" s="283"/>
      <c r="D659" s="283"/>
      <c r="E659" s="283"/>
      <c r="F659" s="283"/>
      <c r="G659" s="283"/>
      <c r="H659" s="283"/>
      <c r="I659" s="283"/>
      <c r="J659" s="283"/>
      <c r="K659" s="283"/>
      <c r="L659" s="279"/>
      <c r="M659" s="336" t="s">
        <v>1143</v>
      </c>
      <c r="N659" s="334" t="s">
        <v>1140</v>
      </c>
      <c r="O659" s="296"/>
      <c r="P659" s="296"/>
      <c r="Q659" s="296"/>
      <c r="R659" s="296"/>
      <c r="S659" s="296"/>
      <c r="T659" s="296"/>
      <c r="U659" s="296"/>
      <c r="V659" s="296"/>
      <c r="W659" s="296"/>
      <c r="X659" s="296"/>
      <c r="Y659" s="394"/>
      <c r="AB659" s="268">
        <v>245000</v>
      </c>
      <c r="AC659" s="155">
        <f>AB659/(AB645+AB651)</f>
        <v>1.0937499999999999E-2</v>
      </c>
    </row>
    <row r="660" spans="1:58" ht="12" hidden="1" customHeight="1" x14ac:dyDescent="0.3">
      <c r="A660" s="283"/>
      <c r="B660" s="283"/>
      <c r="C660" s="283"/>
      <c r="D660" s="283"/>
      <c r="E660" s="283"/>
      <c r="F660" s="283"/>
      <c r="G660" s="283"/>
      <c r="H660" s="283"/>
      <c r="I660" s="283"/>
      <c r="J660" s="283"/>
      <c r="K660" s="283"/>
      <c r="L660" s="279"/>
      <c r="M660" s="336" t="s">
        <v>1144</v>
      </c>
      <c r="N660" s="334" t="s">
        <v>1140</v>
      </c>
      <c r="O660" s="296"/>
      <c r="P660" s="296"/>
      <c r="Q660" s="296"/>
      <c r="R660" s="296"/>
      <c r="S660" s="296"/>
      <c r="T660" s="296"/>
      <c r="U660" s="296"/>
      <c r="V660" s="296"/>
      <c r="W660" s="296"/>
      <c r="X660" s="296"/>
      <c r="Y660" s="394"/>
      <c r="AB660" s="268">
        <v>310000</v>
      </c>
      <c r="AC660" s="155">
        <f>AB660/(AB646+AB652)</f>
        <v>0.01</v>
      </c>
    </row>
    <row r="661" spans="1:58" ht="12" hidden="1" customHeight="1" x14ac:dyDescent="0.3">
      <c r="A661" s="283"/>
      <c r="B661" s="283"/>
      <c r="C661" s="283"/>
      <c r="D661" s="283"/>
      <c r="E661" s="283"/>
      <c r="F661" s="283"/>
      <c r="G661" s="283"/>
      <c r="H661" s="283"/>
      <c r="I661" s="283"/>
      <c r="J661" s="283"/>
      <c r="K661" s="283"/>
      <c r="L661" s="279"/>
      <c r="M661" s="338" t="s">
        <v>1150</v>
      </c>
      <c r="N661" s="335" t="s">
        <v>1140</v>
      </c>
      <c r="O661" s="296"/>
      <c r="P661" s="296"/>
      <c r="Q661" s="296"/>
      <c r="R661" s="296"/>
      <c r="S661" s="296"/>
      <c r="T661" s="296"/>
      <c r="U661" s="296"/>
      <c r="V661" s="296"/>
      <c r="W661" s="296"/>
      <c r="X661" s="296"/>
      <c r="Y661" s="394"/>
      <c r="AB661" s="269">
        <f>SUM(AB662:AB663)</f>
        <v>365000</v>
      </c>
      <c r="AC661" s="154"/>
    </row>
    <row r="662" spans="1:58" ht="12" hidden="1" customHeight="1" x14ac:dyDescent="0.3">
      <c r="A662" s="283"/>
      <c r="B662" s="283"/>
      <c r="C662" s="283"/>
      <c r="D662" s="283"/>
      <c r="E662" s="283"/>
      <c r="F662" s="283"/>
      <c r="G662" s="283"/>
      <c r="H662" s="283"/>
      <c r="I662" s="283"/>
      <c r="J662" s="283"/>
      <c r="K662" s="283"/>
      <c r="L662" s="279"/>
      <c r="M662" s="336" t="s">
        <v>1143</v>
      </c>
      <c r="N662" s="334" t="s">
        <v>1140</v>
      </c>
      <c r="O662" s="296"/>
      <c r="P662" s="296"/>
      <c r="Q662" s="296"/>
      <c r="R662" s="296"/>
      <c r="S662" s="296"/>
      <c r="T662" s="296"/>
      <c r="U662" s="296"/>
      <c r="V662" s="296"/>
      <c r="W662" s="296"/>
      <c r="X662" s="296"/>
      <c r="Y662" s="394"/>
      <c r="AB662" s="268">
        <v>85000</v>
      </c>
      <c r="AC662" s="155">
        <f>AB662/(AC645+AC651)</f>
        <v>3.8253825382538252E-3</v>
      </c>
    </row>
    <row r="663" spans="1:58" ht="12" hidden="1" customHeight="1" x14ac:dyDescent="0.3">
      <c r="A663" s="283"/>
      <c r="B663" s="283"/>
      <c r="C663" s="283"/>
      <c r="D663" s="283"/>
      <c r="E663" s="283"/>
      <c r="F663" s="283"/>
      <c r="G663" s="283"/>
      <c r="H663" s="283"/>
      <c r="I663" s="283"/>
      <c r="J663" s="283"/>
      <c r="K663" s="283"/>
      <c r="L663" s="279"/>
      <c r="M663" s="336" t="s">
        <v>1144</v>
      </c>
      <c r="N663" s="334" t="s">
        <v>1140</v>
      </c>
      <c r="O663" s="296"/>
      <c r="P663" s="296"/>
      <c r="Q663" s="296"/>
      <c r="R663" s="296"/>
      <c r="S663" s="296"/>
      <c r="T663" s="296"/>
      <c r="U663" s="296"/>
      <c r="V663" s="296"/>
      <c r="W663" s="296"/>
      <c r="X663" s="296"/>
      <c r="Y663" s="394"/>
      <c r="AB663" s="268">
        <v>280000</v>
      </c>
      <c r="AC663" s="155">
        <f>AB663/(AC646+AC652)</f>
        <v>9.1473374714145708E-3</v>
      </c>
    </row>
    <row r="664" spans="1:58" ht="12" hidden="1" customHeight="1" x14ac:dyDescent="0.3">
      <c r="A664" s="283"/>
      <c r="B664" s="283"/>
      <c r="C664" s="283"/>
      <c r="D664" s="283"/>
      <c r="E664" s="283"/>
      <c r="F664" s="283"/>
      <c r="G664" s="283"/>
      <c r="H664" s="283"/>
      <c r="I664" s="283"/>
      <c r="J664" s="283"/>
      <c r="K664" s="283"/>
      <c r="L664" s="279"/>
      <c r="M664" s="338" t="s">
        <v>1151</v>
      </c>
      <c r="N664" s="335" t="s">
        <v>1140</v>
      </c>
      <c r="O664" s="296"/>
      <c r="P664" s="296"/>
      <c r="Q664" s="296"/>
      <c r="R664" s="296"/>
      <c r="S664" s="296"/>
      <c r="T664" s="296"/>
      <c r="U664" s="296"/>
      <c r="V664" s="296"/>
      <c r="W664" s="296"/>
      <c r="X664" s="296"/>
      <c r="Y664" s="394"/>
      <c r="AB664" s="269">
        <f>SUM(AB665:AB666)</f>
        <v>205000</v>
      </c>
      <c r="AC664" s="154"/>
    </row>
    <row r="665" spans="1:58" ht="12" hidden="1" customHeight="1" x14ac:dyDescent="0.3">
      <c r="A665" s="283"/>
      <c r="B665" s="283"/>
      <c r="C665" s="283"/>
      <c r="D665" s="283"/>
      <c r="E665" s="283"/>
      <c r="F665" s="283"/>
      <c r="G665" s="283"/>
      <c r="H665" s="283"/>
      <c r="I665" s="283"/>
      <c r="J665" s="283"/>
      <c r="K665" s="283"/>
      <c r="L665" s="279"/>
      <c r="M665" s="336" t="s">
        <v>1143</v>
      </c>
      <c r="N665" s="334" t="s">
        <v>1140</v>
      </c>
      <c r="O665" s="315"/>
      <c r="P665" s="315"/>
      <c r="Q665" s="315"/>
      <c r="R665" s="315"/>
      <c r="S665" s="315"/>
      <c r="T665" s="315"/>
      <c r="U665" s="315"/>
      <c r="V665" s="315"/>
      <c r="W665" s="315"/>
      <c r="X665" s="315"/>
      <c r="Y665" s="394"/>
      <c r="AB665" s="268">
        <v>95000</v>
      </c>
      <c r="AC665" s="155">
        <f>AB665/(AB645+AB651)</f>
        <v>4.2410714285714282E-3</v>
      </c>
    </row>
    <row r="666" spans="1:58" ht="12" hidden="1" customHeight="1" x14ac:dyDescent="0.3">
      <c r="A666" s="283"/>
      <c r="B666" s="283"/>
      <c r="C666" s="283"/>
      <c r="D666" s="283"/>
      <c r="E666" s="283"/>
      <c r="F666" s="283"/>
      <c r="G666" s="283"/>
      <c r="H666" s="283"/>
      <c r="I666" s="283"/>
      <c r="J666" s="283"/>
      <c r="K666" s="283"/>
      <c r="L666" s="279"/>
      <c r="M666" s="336" t="s">
        <v>1144</v>
      </c>
      <c r="N666" s="334" t="s">
        <v>1140</v>
      </c>
      <c r="O666" s="296"/>
      <c r="P666" s="296"/>
      <c r="Q666" s="296"/>
      <c r="R666" s="296"/>
      <c r="S666" s="296"/>
      <c r="T666" s="296"/>
      <c r="U666" s="296"/>
      <c r="V666" s="296"/>
      <c r="W666" s="315"/>
      <c r="X666" s="296"/>
      <c r="Y666" s="394"/>
      <c r="AB666" s="268">
        <v>110000</v>
      </c>
      <c r="AC666" s="155">
        <f>AB666/(AB646+AB652)</f>
        <v>3.5483870967741938E-3</v>
      </c>
    </row>
    <row r="667" spans="1:58" ht="12" hidden="1" customHeight="1" x14ac:dyDescent="0.3">
      <c r="A667" s="283"/>
      <c r="B667" s="283"/>
      <c r="C667" s="283"/>
      <c r="D667" s="283"/>
      <c r="E667" s="283"/>
      <c r="F667" s="283"/>
      <c r="G667" s="283"/>
      <c r="H667" s="283"/>
      <c r="I667" s="283"/>
      <c r="J667" s="283"/>
      <c r="K667" s="283"/>
      <c r="L667" s="279"/>
      <c r="M667" s="336"/>
      <c r="N667" s="334"/>
      <c r="O667" s="295"/>
      <c r="P667" s="295"/>
      <c r="Q667" s="295"/>
      <c r="R667" s="295"/>
      <c r="S667" s="295"/>
      <c r="T667" s="295"/>
      <c r="U667" s="295"/>
      <c r="V667" s="295"/>
      <c r="W667" s="315"/>
      <c r="X667" s="295"/>
      <c r="Y667" s="394"/>
      <c r="AB667" s="268"/>
      <c r="AC667" s="120"/>
    </row>
    <row r="668" spans="1:58" x14ac:dyDescent="0.3">
      <c r="A668" s="283"/>
      <c r="B668" s="283"/>
      <c r="C668" s="283"/>
      <c r="D668" s="283"/>
      <c r="E668" s="283"/>
      <c r="F668" s="283"/>
      <c r="G668" s="283"/>
      <c r="H668" s="283"/>
      <c r="I668" s="283"/>
      <c r="J668" s="283"/>
      <c r="K668" s="283"/>
      <c r="L668" s="279"/>
      <c r="M668" s="320" t="s">
        <v>1152</v>
      </c>
      <c r="N668" s="320"/>
      <c r="O668" s="320"/>
      <c r="P668" s="320"/>
      <c r="Q668" s="320"/>
      <c r="R668" s="320"/>
      <c r="S668" s="320"/>
      <c r="T668" s="320"/>
      <c r="U668" s="320"/>
      <c r="V668" s="320"/>
      <c r="W668" s="320"/>
      <c r="X668" s="320"/>
      <c r="Y668" s="396"/>
      <c r="Z668" s="320"/>
      <c r="AA668" s="320"/>
      <c r="AB668" s="320"/>
      <c r="AC668" s="320"/>
      <c r="AD668" s="320"/>
      <c r="AE668" s="320"/>
      <c r="AF668" s="320"/>
      <c r="AG668" s="320"/>
      <c r="AH668" s="320"/>
      <c r="AI668" s="320"/>
      <c r="AJ668" s="320"/>
      <c r="AK668" s="320"/>
      <c r="AL668" s="320"/>
      <c r="AM668" s="320"/>
      <c r="AN668" s="320"/>
      <c r="AO668" s="320"/>
      <c r="AP668" s="320"/>
      <c r="AQ668" s="320"/>
      <c r="AR668" s="320"/>
      <c r="AS668" s="320"/>
      <c r="AT668" s="320"/>
      <c r="AU668" s="320"/>
      <c r="AV668" s="320"/>
      <c r="AW668" s="320"/>
      <c r="AX668" s="320"/>
      <c r="AY668" s="320"/>
      <c r="AZ668" s="320"/>
      <c r="BA668" s="320"/>
      <c r="BB668" s="320"/>
      <c r="BC668" s="320"/>
      <c r="BD668" s="320"/>
      <c r="BE668" s="320"/>
      <c r="BF668" s="320"/>
    </row>
    <row r="669" spans="1:58" x14ac:dyDescent="0.3">
      <c r="A669" s="283"/>
      <c r="B669" s="283"/>
      <c r="C669" s="283"/>
      <c r="D669" s="283"/>
      <c r="E669" s="283"/>
      <c r="F669" s="283"/>
      <c r="G669" s="283"/>
      <c r="H669" s="283"/>
      <c r="I669" s="283"/>
      <c r="J669" s="283"/>
      <c r="K669" s="283"/>
      <c r="L669" s="279"/>
      <c r="M669" s="321" t="s">
        <v>1153</v>
      </c>
      <c r="N669" s="321" t="s">
        <v>1154</v>
      </c>
      <c r="O669" s="321"/>
      <c r="P669" s="321"/>
      <c r="Q669" s="321"/>
      <c r="R669" s="321"/>
      <c r="S669" s="321"/>
      <c r="T669" s="321"/>
      <c r="U669" s="321"/>
      <c r="V669" s="321"/>
      <c r="W669" s="321"/>
      <c r="X669" s="321"/>
      <c r="Y669" s="394"/>
      <c r="Z669" s="321"/>
      <c r="AA669" s="321"/>
      <c r="AB669" s="439">
        <f>SUM(AB670:AB680)</f>
        <v>8683.92</v>
      </c>
      <c r="AC669" s="440">
        <f>SUM(AC670:AC680)</f>
        <v>8643.5819999999985</v>
      </c>
      <c r="AD669" s="440">
        <f>SUM(AD670:AD680)</f>
        <v>8654.4506059375017</v>
      </c>
      <c r="AE669" s="440">
        <f>SUM(AE670:AE680)</f>
        <v>8666.3620966046728</v>
      </c>
      <c r="AF669" s="440">
        <f t="shared" ref="AF669:BF669" si="1009">SUM(AF670:AF680)</f>
        <v>8679.3288244351697</v>
      </c>
      <c r="AG669" s="440">
        <f t="shared" si="1009"/>
        <v>8693.3634205946855</v>
      </c>
      <c r="AH669" s="440">
        <f t="shared" si="1009"/>
        <v>8708.4787996312643</v>
      </c>
      <c r="AI669" s="440">
        <f t="shared" si="1009"/>
        <v>8730.2919760639797</v>
      </c>
      <c r="AJ669" s="440">
        <f t="shared" si="1009"/>
        <v>8752.7612634509751</v>
      </c>
      <c r="AK669" s="440">
        <f t="shared" si="1009"/>
        <v>8775.8947371368376</v>
      </c>
      <c r="AL669" s="440">
        <f t="shared" si="1009"/>
        <v>8799.700593545298</v>
      </c>
      <c r="AM669" s="440">
        <f t="shared" si="1009"/>
        <v>8824.1871518935532</v>
      </c>
      <c r="AN669" s="440">
        <f t="shared" si="1009"/>
        <v>8849.3628559312783</v>
      </c>
      <c r="AO669" s="440">
        <f t="shared" si="1009"/>
        <v>8875.2362757046685</v>
      </c>
      <c r="AP669" s="440">
        <f t="shared" si="1009"/>
        <v>8901.8161093458821</v>
      </c>
      <c r="AQ669" s="440">
        <f t="shared" si="1009"/>
        <v>8929.1111848882465</v>
      </c>
      <c r="AR669" s="440">
        <f t="shared" si="1009"/>
        <v>8957.1304621075888</v>
      </c>
      <c r="AS669" s="440">
        <f t="shared" si="1009"/>
        <v>8985.883034390059</v>
      </c>
      <c r="AT669" s="440">
        <f t="shared" si="1009"/>
        <v>9015.3781306268902</v>
      </c>
      <c r="AU669" s="440">
        <f t="shared" si="1009"/>
        <v>9045.6251171363419</v>
      </c>
      <c r="AV669" s="440">
        <f t="shared" si="1009"/>
        <v>9076.6334996133864</v>
      </c>
      <c r="AW669" s="440">
        <f t="shared" si="1009"/>
        <v>9108.4129251074028</v>
      </c>
      <c r="AX669" s="440">
        <f t="shared" si="1009"/>
        <v>9140.9731840283475</v>
      </c>
      <c r="AY669" s="440">
        <f t="shared" si="1009"/>
        <v>9174.3242121817966</v>
      </c>
      <c r="AZ669" s="440">
        <f t="shared" si="1009"/>
        <v>9208.4760928332507</v>
      </c>
      <c r="BA669" s="440">
        <f t="shared" si="1009"/>
        <v>9243.4390588021706</v>
      </c>
      <c r="BB669" s="440">
        <f t="shared" si="1009"/>
        <v>9279.2234945861019</v>
      </c>
      <c r="BC669" s="440">
        <f t="shared" si="1009"/>
        <v>9315.8399385153971</v>
      </c>
      <c r="BD669" s="440">
        <f t="shared" si="1009"/>
        <v>9353.2990849389007</v>
      </c>
      <c r="BE669" s="440">
        <f t="shared" si="1009"/>
        <v>9391.6117864411135</v>
      </c>
      <c r="BF669" s="440">
        <f t="shared" si="1009"/>
        <v>9430.7890560911928</v>
      </c>
    </row>
    <row r="670" spans="1:58" x14ac:dyDescent="0.3">
      <c r="A670" s="283"/>
      <c r="B670" s="283"/>
      <c r="C670" s="283"/>
      <c r="D670" s="283"/>
      <c r="E670" s="283"/>
      <c r="F670" s="283"/>
      <c r="G670" s="283"/>
      <c r="H670" s="283"/>
      <c r="I670" s="283"/>
      <c r="J670" s="283"/>
      <c r="K670" s="283"/>
      <c r="L670" s="279"/>
      <c r="M670" s="311" t="s">
        <v>1143</v>
      </c>
      <c r="N670" s="339">
        <v>190</v>
      </c>
      <c r="O670" s="295"/>
      <c r="P670" s="295"/>
      <c r="Q670" s="295"/>
      <c r="R670" s="295"/>
      <c r="S670" s="295"/>
      <c r="T670" s="295"/>
      <c r="U670" s="295"/>
      <c r="V670" s="315"/>
      <c r="W670" s="315"/>
      <c r="X670" s="295"/>
      <c r="Y670" s="394"/>
      <c r="Z670" s="295"/>
      <c r="AA670" s="295"/>
      <c r="AB670" s="314">
        <f>N670*$AB645/1000000</f>
        <v>3572</v>
      </c>
      <c r="AC670" s="156">
        <f>N670*$AC645/1000000</f>
        <v>3537.8</v>
      </c>
      <c r="AD670" s="121">
        <f>AD645*$N670/1000000</f>
        <v>3524.3563600000002</v>
      </c>
      <c r="AE670" s="121">
        <f t="shared" ref="AE670:BF670" si="1010">AE645*$N670/1000000</f>
        <v>3510.9638058319997</v>
      </c>
      <c r="AF670" s="121">
        <f t="shared" si="1010"/>
        <v>3497.6221433698388</v>
      </c>
      <c r="AG670" s="121">
        <f t="shared" si="1010"/>
        <v>3484.3311792250329</v>
      </c>
      <c r="AH670" s="121">
        <f t="shared" si="1010"/>
        <v>3471.0907207439777</v>
      </c>
      <c r="AI670" s="121">
        <f t="shared" si="1010"/>
        <v>3460.6774485817455</v>
      </c>
      <c r="AJ670" s="121">
        <f t="shared" si="1010"/>
        <v>3450.2954162360006</v>
      </c>
      <c r="AK670" s="121">
        <f t="shared" si="1010"/>
        <v>3439.9445299872923</v>
      </c>
      <c r="AL670" s="121">
        <f t="shared" si="1010"/>
        <v>3429.6246963973304</v>
      </c>
      <c r="AM670" s="121">
        <f t="shared" si="1010"/>
        <v>3419.3358223081382</v>
      </c>
      <c r="AN670" s="121">
        <f t="shared" si="1010"/>
        <v>3409.0778148412137</v>
      </c>
      <c r="AO670" s="121">
        <f t="shared" si="1010"/>
        <v>3398.8505813966894</v>
      </c>
      <c r="AP670" s="121">
        <f t="shared" si="1010"/>
        <v>3388.6540296524995</v>
      </c>
      <c r="AQ670" s="121">
        <f t="shared" si="1010"/>
        <v>3378.4880675635422</v>
      </c>
      <c r="AR670" s="121">
        <f t="shared" si="1010"/>
        <v>3368.3526033608514</v>
      </c>
      <c r="AS670" s="121">
        <f t="shared" si="1010"/>
        <v>3358.2475455507688</v>
      </c>
      <c r="AT670" s="121">
        <f t="shared" si="1010"/>
        <v>3348.1728029141168</v>
      </c>
      <c r="AU670" s="121">
        <f t="shared" si="1010"/>
        <v>3338.1282845053747</v>
      </c>
      <c r="AV670" s="121">
        <f t="shared" si="1010"/>
        <v>3328.1138996518589</v>
      </c>
      <c r="AW670" s="121">
        <f t="shared" si="1010"/>
        <v>3318.1295579529033</v>
      </c>
      <c r="AX670" s="121">
        <f t="shared" si="1010"/>
        <v>3308.1751692790449</v>
      </c>
      <c r="AY670" s="121">
        <f t="shared" si="1010"/>
        <v>3298.2506437712077</v>
      </c>
      <c r="AZ670" s="121">
        <f t="shared" si="1010"/>
        <v>3288.355891839894</v>
      </c>
      <c r="BA670" s="121">
        <f t="shared" si="1010"/>
        <v>3278.4908241643743</v>
      </c>
      <c r="BB670" s="121">
        <f t="shared" si="1010"/>
        <v>3268.6553516918812</v>
      </c>
      <c r="BC670" s="121">
        <f t="shared" si="1010"/>
        <v>3258.8493856368054</v>
      </c>
      <c r="BD670" s="121">
        <f t="shared" si="1010"/>
        <v>3249.0728374798955</v>
      </c>
      <c r="BE670" s="121">
        <f t="shared" si="1010"/>
        <v>3239.3256189674562</v>
      </c>
      <c r="BF670" s="121">
        <f t="shared" si="1010"/>
        <v>3229.6076421105536</v>
      </c>
    </row>
    <row r="671" spans="1:58" x14ac:dyDescent="0.3">
      <c r="A671" s="283"/>
      <c r="B671" s="283"/>
      <c r="C671" s="283"/>
      <c r="D671" s="283"/>
      <c r="E671" s="283"/>
      <c r="F671" s="283"/>
      <c r="G671" s="283"/>
      <c r="H671" s="283"/>
      <c r="I671" s="283"/>
      <c r="J671" s="283"/>
      <c r="K671" s="283"/>
      <c r="L671" s="279"/>
      <c r="M671" s="311" t="s">
        <v>1144</v>
      </c>
      <c r="N671" s="339">
        <v>160.9</v>
      </c>
      <c r="O671" s="295"/>
      <c r="P671" s="295"/>
      <c r="Q671" s="295"/>
      <c r="R671" s="295"/>
      <c r="S671" s="295"/>
      <c r="T671" s="295"/>
      <c r="U671" s="295"/>
      <c r="V671" s="315"/>
      <c r="W671" s="315"/>
      <c r="X671" s="295"/>
      <c r="Y671" s="394"/>
      <c r="Z671" s="295"/>
      <c r="AA671" s="295"/>
      <c r="AB671" s="314">
        <f>N671*$AB646/1000000</f>
        <v>3684.61</v>
      </c>
      <c r="AC671" s="156">
        <f>N671*$AC646/1000000</f>
        <v>3621.8589999999999</v>
      </c>
      <c r="AD671" s="121">
        <f>AD646*$N671/1000000</f>
        <v>3589.2622689999998</v>
      </c>
      <c r="AE671" s="121">
        <f t="shared" ref="AE671:BF671" si="1011">AE646*$N671/1000000</f>
        <v>3556.9589085789999</v>
      </c>
      <c r="AF671" s="121">
        <f t="shared" si="1011"/>
        <v>3524.9462784017887</v>
      </c>
      <c r="AG671" s="121">
        <f t="shared" si="1011"/>
        <v>3493.2217618961731</v>
      </c>
      <c r="AH671" s="121">
        <f t="shared" si="1011"/>
        <v>3461.7827660391067</v>
      </c>
      <c r="AI671" s="121">
        <f t="shared" si="1011"/>
        <v>3446.2047435919312</v>
      </c>
      <c r="AJ671" s="121">
        <f t="shared" si="1011"/>
        <v>3430.6968222457681</v>
      </c>
      <c r="AK671" s="121">
        <f t="shared" si="1011"/>
        <v>3415.2586865456619</v>
      </c>
      <c r="AL671" s="121">
        <f t="shared" si="1011"/>
        <v>3399.8900224562067</v>
      </c>
      <c r="AM671" s="121">
        <f t="shared" si="1011"/>
        <v>3384.5905173551541</v>
      </c>
      <c r="AN671" s="121">
        <f t="shared" si="1011"/>
        <v>3369.3598600270561</v>
      </c>
      <c r="AO671" s="121">
        <f t="shared" si="1011"/>
        <v>3354.1977406569349</v>
      </c>
      <c r="AP671" s="121">
        <f t="shared" si="1011"/>
        <v>3339.1038508239785</v>
      </c>
      <c r="AQ671" s="121">
        <f t="shared" si="1011"/>
        <v>3324.0778834952707</v>
      </c>
      <c r="AR671" s="121">
        <f t="shared" si="1011"/>
        <v>3309.1195330195428</v>
      </c>
      <c r="AS671" s="121">
        <f t="shared" si="1011"/>
        <v>3294.2284951209549</v>
      </c>
      <c r="AT671" s="121">
        <f t="shared" si="1011"/>
        <v>3279.4044668929105</v>
      </c>
      <c r="AU671" s="121">
        <f t="shared" si="1011"/>
        <v>3264.6471467918927</v>
      </c>
      <c r="AV671" s="121">
        <f t="shared" si="1011"/>
        <v>3249.9562346313292</v>
      </c>
      <c r="AW671" s="121">
        <f t="shared" si="1011"/>
        <v>3235.3314315754883</v>
      </c>
      <c r="AX671" s="121">
        <f t="shared" si="1011"/>
        <v>3220.772440133398</v>
      </c>
      <c r="AY671" s="121">
        <f t="shared" si="1011"/>
        <v>3206.2789641527984</v>
      </c>
      <c r="AZ671" s="121">
        <f t="shared" si="1011"/>
        <v>3191.8507088141109</v>
      </c>
      <c r="BA671" s="121">
        <f t="shared" si="1011"/>
        <v>3177.4873806244473</v>
      </c>
      <c r="BB671" s="121">
        <f t="shared" si="1011"/>
        <v>3163.1886874116371</v>
      </c>
      <c r="BC671" s="121">
        <f t="shared" si="1011"/>
        <v>3148.954338318285</v>
      </c>
      <c r="BD671" s="121">
        <f t="shared" si="1011"/>
        <v>3134.7840437958525</v>
      </c>
      <c r="BE671" s="121">
        <f t="shared" si="1011"/>
        <v>3120.6775155987716</v>
      </c>
      <c r="BF671" s="121">
        <f t="shared" si="1011"/>
        <v>3106.6344667785775</v>
      </c>
    </row>
    <row r="672" spans="1:58" x14ac:dyDescent="0.3">
      <c r="A672" s="283"/>
      <c r="B672" s="283"/>
      <c r="C672" s="283"/>
      <c r="D672" s="283"/>
      <c r="E672" s="283"/>
      <c r="F672" s="283"/>
      <c r="G672" s="283"/>
      <c r="H672" s="283"/>
      <c r="I672" s="283"/>
      <c r="J672" s="283"/>
      <c r="K672" s="283"/>
      <c r="L672" s="279"/>
      <c r="M672" s="321" t="s">
        <v>1155</v>
      </c>
      <c r="N672" s="322"/>
      <c r="O672" s="321"/>
      <c r="P672" s="321"/>
      <c r="Q672" s="321"/>
      <c r="R672" s="321"/>
      <c r="S672" s="321"/>
      <c r="T672" s="321"/>
      <c r="U672" s="321"/>
      <c r="V672" s="321"/>
      <c r="W672" s="321"/>
      <c r="X672" s="321"/>
      <c r="Y672" s="394"/>
      <c r="Z672" s="321"/>
      <c r="AA672" s="321"/>
      <c r="AB672" s="321"/>
      <c r="AC672" s="321"/>
      <c r="AD672" s="321"/>
      <c r="AE672" s="321"/>
      <c r="AF672" s="321"/>
      <c r="AG672" s="321"/>
      <c r="AH672" s="321"/>
      <c r="AI672" s="321"/>
      <c r="AJ672" s="321"/>
      <c r="AK672" s="321"/>
      <c r="AL672" s="321"/>
      <c r="AM672" s="321"/>
      <c r="AN672" s="321"/>
      <c r="AO672" s="321"/>
      <c r="AP672" s="321"/>
      <c r="AQ672" s="321"/>
      <c r="AR672" s="321"/>
      <c r="AS672" s="321"/>
      <c r="AT672" s="321"/>
      <c r="AU672" s="321"/>
      <c r="AV672" s="321"/>
      <c r="AW672" s="321"/>
      <c r="AX672" s="321"/>
      <c r="AY672" s="321"/>
      <c r="AZ672" s="321"/>
      <c r="BA672" s="321"/>
      <c r="BB672" s="321"/>
      <c r="BC672" s="321"/>
      <c r="BD672" s="321"/>
      <c r="BE672" s="321"/>
      <c r="BF672" s="321"/>
    </row>
    <row r="673" spans="1:58" x14ac:dyDescent="0.3">
      <c r="A673" s="283"/>
      <c r="B673" s="283"/>
      <c r="C673" s="283"/>
      <c r="D673" s="283"/>
      <c r="E673" s="283"/>
      <c r="F673" s="283"/>
      <c r="G673" s="283"/>
      <c r="H673" s="283"/>
      <c r="I673" s="283"/>
      <c r="J673" s="283"/>
      <c r="K673" s="283"/>
      <c r="L673" s="279"/>
      <c r="M673" s="311" t="s">
        <v>1143</v>
      </c>
      <c r="N673" s="339">
        <v>51.9</v>
      </c>
      <c r="O673" s="295"/>
      <c r="P673" s="295"/>
      <c r="Q673" s="295"/>
      <c r="R673" s="295"/>
      <c r="S673" s="295"/>
      <c r="T673" s="295"/>
      <c r="U673" s="295"/>
      <c r="V673" s="315"/>
      <c r="W673" s="315"/>
      <c r="X673" s="295"/>
      <c r="Y673" s="394"/>
      <c r="Z673" s="295"/>
      <c r="AA673" s="295"/>
      <c r="AB673" s="314">
        <f>N673*$AB648/1000000</f>
        <v>0</v>
      </c>
      <c r="AC673" s="156">
        <f>N673*$AC648/1000000</f>
        <v>4.4115000000000002</v>
      </c>
      <c r="AD673" s="121">
        <f t="shared" ref="AD673:BF673" si="1012">AD648*$N673/1000000</f>
        <v>8.8588109999999993</v>
      </c>
      <c r="AE673" s="121">
        <f t="shared" si="1012"/>
        <v>13.357709747542501</v>
      </c>
      <c r="AF673" s="121">
        <f t="shared" si="1012"/>
        <v>17.909009544150525</v>
      </c>
      <c r="AG673" s="121">
        <f t="shared" si="1012"/>
        <v>22.513535475875337</v>
      </c>
      <c r="AH673" s="121">
        <f t="shared" si="1012"/>
        <v>27.172124587736633</v>
      </c>
      <c r="AI673" s="121">
        <f t="shared" si="1012"/>
        <v>30.893309961152958</v>
      </c>
      <c r="AJ673" s="121">
        <f t="shared" si="1012"/>
        <v>34.657825953207805</v>
      </c>
      <c r="AK673" s="121">
        <f t="shared" si="1012"/>
        <v>38.466302084605964</v>
      </c>
      <c r="AL673" s="121">
        <f t="shared" si="1012"/>
        <v>42.319376573196401</v>
      </c>
      <c r="AM673" s="121">
        <f t="shared" si="1012"/>
        <v>46.217696455419173</v>
      </c>
      <c r="AN673" s="121">
        <f t="shared" si="1012"/>
        <v>50.161917709444175</v>
      </c>
      <c r="AO673" s="121">
        <f t="shared" si="1012"/>
        <v>54.152705380025559</v>
      </c>
      <c r="AP673" s="121">
        <f t="shared" si="1012"/>
        <v>58.190733705095617</v>
      </c>
      <c r="AQ673" s="121">
        <f t="shared" si="1012"/>
        <v>62.276686244122274</v>
      </c>
      <c r="AR673" s="121">
        <f t="shared" si="1012"/>
        <v>66.411256008255052</v>
      </c>
      <c r="AS673" s="121">
        <f t="shared" si="1012"/>
        <v>70.595145592284041</v>
      </c>
      <c r="AT673" s="121">
        <f t="shared" si="1012"/>
        <v>74.829067308437658</v>
      </c>
      <c r="AU673" s="121">
        <f t="shared" si="1012"/>
        <v>79.113743322044243</v>
      </c>
      <c r="AV673" s="121">
        <f t="shared" si="1012"/>
        <v>83.449905789083928</v>
      </c>
      <c r="AW673" s="121">
        <f t="shared" si="1012"/>
        <v>87.838296995656961</v>
      </c>
      <c r="AX673" s="121">
        <f t="shared" si="1012"/>
        <v>92.279669499395141</v>
      </c>
      <c r="AY673" s="121">
        <f t="shared" si="1012"/>
        <v>96.774786272843556</v>
      </c>
      <c r="AZ673" s="121">
        <f t="shared" si="1012"/>
        <v>101.32442084883996</v>
      </c>
      <c r="BA673" s="121">
        <f t="shared" si="1012"/>
        <v>105.92935746791981</v>
      </c>
      <c r="BB673" s="121">
        <f t="shared" si="1012"/>
        <v>110.59039122777504</v>
      </c>
      <c r="BC673" s="121">
        <f t="shared" si="1012"/>
        <v>115.30832823479527</v>
      </c>
      <c r="BD673" s="121">
        <f t="shared" si="1012"/>
        <v>120.08398575772044</v>
      </c>
      <c r="BE673" s="121">
        <f t="shared" si="1012"/>
        <v>124.91819238343439</v>
      </c>
      <c r="BF673" s="121">
        <f t="shared" si="1012"/>
        <v>129.81178817492903</v>
      </c>
    </row>
    <row r="674" spans="1:58" x14ac:dyDescent="0.3">
      <c r="A674" s="283"/>
      <c r="B674" s="283"/>
      <c r="C674" s="283"/>
      <c r="D674" s="283"/>
      <c r="E674" s="283"/>
      <c r="F674" s="283"/>
      <c r="G674" s="283"/>
      <c r="H674" s="283"/>
      <c r="I674" s="283"/>
      <c r="J674" s="283"/>
      <c r="K674" s="283"/>
      <c r="L674" s="279"/>
      <c r="M674" s="311" t="s">
        <v>1144</v>
      </c>
      <c r="N674" s="339">
        <v>78.599999999999994</v>
      </c>
      <c r="O674" s="295"/>
      <c r="P674" s="295"/>
      <c r="Q674" s="295"/>
      <c r="R674" s="295"/>
      <c r="S674" s="295"/>
      <c r="T674" s="295"/>
      <c r="U674" s="295"/>
      <c r="V674" s="315"/>
      <c r="W674" s="315"/>
      <c r="X674" s="295"/>
      <c r="Y674" s="394"/>
      <c r="Z674" s="295"/>
      <c r="AA674" s="295"/>
      <c r="AB674" s="314">
        <f>N674*$AB649/1000000</f>
        <v>0</v>
      </c>
      <c r="AC674" s="156">
        <f>N674*$AC649/1000000</f>
        <v>22.007999999999999</v>
      </c>
      <c r="AD674" s="121">
        <f t="shared" ref="AD674:BF674" si="1013">AD649*$N674/1000000</f>
        <v>44.078879999999998</v>
      </c>
      <c r="AE674" s="121">
        <f t="shared" si="1013"/>
        <v>66.425794553999992</v>
      </c>
      <c r="AF674" s="121">
        <f t="shared" si="1013"/>
        <v>89.055278128019992</v>
      </c>
      <c r="AG674" s="121">
        <f t="shared" si="1013"/>
        <v>111.97397773464891</v>
      </c>
      <c r="AH674" s="121">
        <f t="shared" si="1013"/>
        <v>135.18865517590405</v>
      </c>
      <c r="AI674" s="121">
        <f t="shared" si="1013"/>
        <v>146.94742225183415</v>
      </c>
      <c r="AJ674" s="121">
        <f t="shared" si="1013"/>
        <v>158.84244691003238</v>
      </c>
      <c r="AK674" s="121">
        <f t="shared" si="1013"/>
        <v>170.87585898587307</v>
      </c>
      <c r="AL674" s="121">
        <f t="shared" si="1013"/>
        <v>183.04981850389154</v>
      </c>
      <c r="AM674" s="121">
        <f t="shared" si="1013"/>
        <v>195.36651611864761</v>
      </c>
      <c r="AN674" s="121">
        <f t="shared" si="1013"/>
        <v>207.82817356196716</v>
      </c>
      <c r="AO674" s="121">
        <f t="shared" si="1013"/>
        <v>220.4370440966552</v>
      </c>
      <c r="AP674" s="121">
        <f t="shared" si="1013"/>
        <v>233.19541297677353</v>
      </c>
      <c r="AQ674" s="121">
        <f t="shared" si="1013"/>
        <v>246.10559791457891</v>
      </c>
      <c r="AR674" s="121">
        <f t="shared" si="1013"/>
        <v>259.16994955421762</v>
      </c>
      <c r="AS674" s="121">
        <f t="shared" si="1013"/>
        <v>272.39085195227523</v>
      </c>
      <c r="AT674" s="121">
        <f t="shared" si="1013"/>
        <v>285.77072306528032</v>
      </c>
      <c r="AU674" s="121">
        <f t="shared" si="1013"/>
        <v>299.31201524426388</v>
      </c>
      <c r="AV674" s="121">
        <f t="shared" si="1013"/>
        <v>313.01721573647586</v>
      </c>
      <c r="AW674" s="121">
        <f t="shared" si="1013"/>
        <v>326.88884719436322</v>
      </c>
      <c r="AX674" s="121">
        <f t="shared" si="1013"/>
        <v>340.92946819191474</v>
      </c>
      <c r="AY674" s="121">
        <f t="shared" si="1013"/>
        <v>355.14167374847977</v>
      </c>
      <c r="AZ674" s="121">
        <f t="shared" si="1013"/>
        <v>369.52809586016849</v>
      </c>
      <c r="BA674" s="121">
        <f t="shared" si="1013"/>
        <v>384.0914040389448</v>
      </c>
      <c r="BB674" s="121">
        <f t="shared" si="1013"/>
        <v>398.8343058595222</v>
      </c>
      <c r="BC674" s="121">
        <f t="shared" si="1013"/>
        <v>413.75954751417748</v>
      </c>
      <c r="BD674" s="121">
        <f t="shared" si="1013"/>
        <v>428.86991437559522</v>
      </c>
      <c r="BE674" s="121">
        <f t="shared" si="1013"/>
        <v>444.16823156786097</v>
      </c>
      <c r="BF674" s="121">
        <f t="shared" si="1013"/>
        <v>459.65736454572095</v>
      </c>
    </row>
    <row r="675" spans="1:58" x14ac:dyDescent="0.3">
      <c r="A675" s="283"/>
      <c r="B675" s="283"/>
      <c r="C675" s="283"/>
      <c r="D675" s="283"/>
      <c r="E675" s="283"/>
      <c r="F675" s="283"/>
      <c r="G675" s="283"/>
      <c r="H675" s="283"/>
      <c r="I675" s="283"/>
      <c r="J675" s="283"/>
      <c r="K675" s="283"/>
      <c r="L675" s="279"/>
      <c r="M675" s="321" t="s">
        <v>1156</v>
      </c>
      <c r="N675" s="322"/>
      <c r="O675" s="321"/>
      <c r="P675" s="321"/>
      <c r="Q675" s="321"/>
      <c r="R675" s="321"/>
      <c r="S675" s="321"/>
      <c r="T675" s="321"/>
      <c r="U675" s="321"/>
      <c r="V675" s="321"/>
      <c r="W675" s="321"/>
      <c r="X675" s="321"/>
      <c r="Y675" s="394"/>
      <c r="Z675" s="321"/>
      <c r="AA675" s="321"/>
      <c r="AB675" s="321"/>
      <c r="AC675" s="321"/>
      <c r="AD675" s="321"/>
      <c r="AE675" s="321"/>
      <c r="AF675" s="321"/>
      <c r="AG675" s="321"/>
      <c r="AH675" s="321"/>
      <c r="AI675" s="321"/>
      <c r="AJ675" s="321"/>
      <c r="AK675" s="321"/>
      <c r="AL675" s="321"/>
      <c r="AM675" s="321"/>
      <c r="AN675" s="321"/>
      <c r="AO675" s="321"/>
      <c r="AP675" s="321"/>
      <c r="AQ675" s="321"/>
      <c r="AR675" s="321"/>
      <c r="AS675" s="321"/>
      <c r="AT675" s="321"/>
      <c r="AU675" s="321"/>
      <c r="AV675" s="321"/>
      <c r="AW675" s="321"/>
      <c r="AX675" s="321"/>
      <c r="AY675" s="321"/>
      <c r="AZ675" s="321"/>
      <c r="BA675" s="321"/>
      <c r="BB675" s="321"/>
      <c r="BC675" s="321"/>
      <c r="BD675" s="321"/>
      <c r="BE675" s="321"/>
      <c r="BF675" s="321"/>
    </row>
    <row r="676" spans="1:58" x14ac:dyDescent="0.3">
      <c r="A676" s="283"/>
      <c r="B676" s="283"/>
      <c r="C676" s="283"/>
      <c r="D676" s="283"/>
      <c r="E676" s="283"/>
      <c r="F676" s="283"/>
      <c r="G676" s="283"/>
      <c r="H676" s="283"/>
      <c r="I676" s="283"/>
      <c r="J676" s="283"/>
      <c r="K676" s="283"/>
      <c r="L676" s="279"/>
      <c r="M676" s="311" t="s">
        <v>1143</v>
      </c>
      <c r="N676" s="339">
        <v>101.5</v>
      </c>
      <c r="O676" s="295"/>
      <c r="P676" s="295"/>
      <c r="Q676" s="295"/>
      <c r="R676" s="295"/>
      <c r="S676" s="316"/>
      <c r="T676" s="316"/>
      <c r="U676" s="295"/>
      <c r="V676" s="315"/>
      <c r="W676" s="315"/>
      <c r="X676" s="295"/>
      <c r="Y676" s="394"/>
      <c r="Z676" s="295"/>
      <c r="AA676" s="295"/>
      <c r="AB676" s="314">
        <f>N676*$AB651/1000000</f>
        <v>365.4</v>
      </c>
      <c r="AC676" s="156">
        <f>N676*$AC651/1000000</f>
        <v>365.4</v>
      </c>
      <c r="AD676" s="121">
        <f t="shared" ref="AD676:BF676" si="1014">AD651*$N676/1000000</f>
        <v>365.4</v>
      </c>
      <c r="AE676" s="121">
        <f t="shared" si="1014"/>
        <v>365.4</v>
      </c>
      <c r="AF676" s="121">
        <f t="shared" si="1014"/>
        <v>365.4</v>
      </c>
      <c r="AG676" s="121">
        <f t="shared" si="1014"/>
        <v>365.4</v>
      </c>
      <c r="AH676" s="121">
        <f t="shared" si="1014"/>
        <v>365.4</v>
      </c>
      <c r="AI676" s="121">
        <f t="shared" si="1014"/>
        <v>365.4</v>
      </c>
      <c r="AJ676" s="121">
        <f t="shared" si="1014"/>
        <v>365.4</v>
      </c>
      <c r="AK676" s="121">
        <f t="shared" si="1014"/>
        <v>365.4</v>
      </c>
      <c r="AL676" s="121">
        <f t="shared" si="1014"/>
        <v>365.4</v>
      </c>
      <c r="AM676" s="121">
        <f t="shared" si="1014"/>
        <v>365.4</v>
      </c>
      <c r="AN676" s="121">
        <f t="shared" si="1014"/>
        <v>365.4</v>
      </c>
      <c r="AO676" s="121">
        <f t="shared" si="1014"/>
        <v>365.4</v>
      </c>
      <c r="AP676" s="121">
        <f t="shared" si="1014"/>
        <v>365.4</v>
      </c>
      <c r="AQ676" s="121">
        <f t="shared" si="1014"/>
        <v>365.4</v>
      </c>
      <c r="AR676" s="121">
        <f t="shared" si="1014"/>
        <v>365.4</v>
      </c>
      <c r="AS676" s="121">
        <f t="shared" si="1014"/>
        <v>365.4</v>
      </c>
      <c r="AT676" s="121">
        <f t="shared" si="1014"/>
        <v>365.4</v>
      </c>
      <c r="AU676" s="121">
        <f t="shared" si="1014"/>
        <v>365.4</v>
      </c>
      <c r="AV676" s="121">
        <f t="shared" si="1014"/>
        <v>365.4</v>
      </c>
      <c r="AW676" s="121">
        <f t="shared" si="1014"/>
        <v>365.4</v>
      </c>
      <c r="AX676" s="121">
        <f t="shared" si="1014"/>
        <v>365.4</v>
      </c>
      <c r="AY676" s="121">
        <f t="shared" si="1014"/>
        <v>365.4</v>
      </c>
      <c r="AZ676" s="121">
        <f t="shared" si="1014"/>
        <v>365.4</v>
      </c>
      <c r="BA676" s="121">
        <f t="shared" si="1014"/>
        <v>365.4</v>
      </c>
      <c r="BB676" s="121">
        <f t="shared" si="1014"/>
        <v>365.4</v>
      </c>
      <c r="BC676" s="121">
        <f t="shared" si="1014"/>
        <v>365.4</v>
      </c>
      <c r="BD676" s="121">
        <f t="shared" si="1014"/>
        <v>365.4</v>
      </c>
      <c r="BE676" s="121">
        <f t="shared" si="1014"/>
        <v>365.4</v>
      </c>
      <c r="BF676" s="121">
        <f t="shared" si="1014"/>
        <v>365.4</v>
      </c>
    </row>
    <row r="677" spans="1:58" x14ac:dyDescent="0.3">
      <c r="A677" s="283"/>
      <c r="B677" s="283"/>
      <c r="C677" s="283"/>
      <c r="D677" s="283"/>
      <c r="E677" s="283"/>
      <c r="F677" s="283"/>
      <c r="G677" s="283"/>
      <c r="H677" s="283"/>
      <c r="I677" s="283"/>
      <c r="J677" s="283"/>
      <c r="K677" s="283"/>
      <c r="L677" s="279"/>
      <c r="M677" s="311" t="s">
        <v>1144</v>
      </c>
      <c r="N677" s="339">
        <v>131.1</v>
      </c>
      <c r="O677" s="295"/>
      <c r="P677" s="295"/>
      <c r="Q677" s="295"/>
      <c r="R677" s="295"/>
      <c r="S677" s="316"/>
      <c r="T677" s="316"/>
      <c r="U677" s="295"/>
      <c r="V677" s="315"/>
      <c r="W677" s="315"/>
      <c r="X677" s="295"/>
      <c r="Y677" s="394"/>
      <c r="Z677" s="295"/>
      <c r="AA677" s="295"/>
      <c r="AB677" s="314">
        <f>N677*$AB652/1000000</f>
        <v>1061.9100000000001</v>
      </c>
      <c r="AC677" s="156">
        <f>N677*$AC652/1000000</f>
        <v>1061.9100000000001</v>
      </c>
      <c r="AD677" s="121">
        <f t="shared" ref="AD677:BF677" si="1015">AD652*$N677/1000000</f>
        <v>1061.9100000000001</v>
      </c>
      <c r="AE677" s="121">
        <f t="shared" si="1015"/>
        <v>1061.9100000000001</v>
      </c>
      <c r="AF677" s="121">
        <f t="shared" si="1015"/>
        <v>1061.9100000000001</v>
      </c>
      <c r="AG677" s="121">
        <f t="shared" si="1015"/>
        <v>1061.9100000000001</v>
      </c>
      <c r="AH677" s="121">
        <f t="shared" si="1015"/>
        <v>1061.9100000000001</v>
      </c>
      <c r="AI677" s="121">
        <f t="shared" si="1015"/>
        <v>1061.9100000000001</v>
      </c>
      <c r="AJ677" s="121">
        <f t="shared" si="1015"/>
        <v>1061.9100000000001</v>
      </c>
      <c r="AK677" s="121">
        <f t="shared" si="1015"/>
        <v>1061.9100000000001</v>
      </c>
      <c r="AL677" s="121">
        <f t="shared" si="1015"/>
        <v>1061.9100000000001</v>
      </c>
      <c r="AM677" s="121">
        <f t="shared" si="1015"/>
        <v>1061.9100000000001</v>
      </c>
      <c r="AN677" s="121">
        <f t="shared" si="1015"/>
        <v>1061.9100000000001</v>
      </c>
      <c r="AO677" s="121">
        <f t="shared" si="1015"/>
        <v>1061.9100000000001</v>
      </c>
      <c r="AP677" s="121">
        <f t="shared" si="1015"/>
        <v>1061.9100000000001</v>
      </c>
      <c r="AQ677" s="121">
        <f t="shared" si="1015"/>
        <v>1061.9100000000001</v>
      </c>
      <c r="AR677" s="121">
        <f t="shared" si="1015"/>
        <v>1061.9100000000001</v>
      </c>
      <c r="AS677" s="121">
        <f t="shared" si="1015"/>
        <v>1061.9100000000001</v>
      </c>
      <c r="AT677" s="121">
        <f t="shared" si="1015"/>
        <v>1061.9100000000001</v>
      </c>
      <c r="AU677" s="121">
        <f t="shared" si="1015"/>
        <v>1061.9100000000001</v>
      </c>
      <c r="AV677" s="121">
        <f t="shared" si="1015"/>
        <v>1061.9100000000001</v>
      </c>
      <c r="AW677" s="121">
        <f t="shared" si="1015"/>
        <v>1061.9100000000001</v>
      </c>
      <c r="AX677" s="121">
        <f t="shared" si="1015"/>
        <v>1061.9100000000001</v>
      </c>
      <c r="AY677" s="121">
        <f t="shared" si="1015"/>
        <v>1061.9100000000001</v>
      </c>
      <c r="AZ677" s="121">
        <f t="shared" si="1015"/>
        <v>1061.9100000000001</v>
      </c>
      <c r="BA677" s="121">
        <f t="shared" si="1015"/>
        <v>1061.9100000000001</v>
      </c>
      <c r="BB677" s="121">
        <f t="shared" si="1015"/>
        <v>1061.9100000000001</v>
      </c>
      <c r="BC677" s="121">
        <f t="shared" si="1015"/>
        <v>1061.9100000000001</v>
      </c>
      <c r="BD677" s="121">
        <f t="shared" si="1015"/>
        <v>1061.9100000000001</v>
      </c>
      <c r="BE677" s="121">
        <f t="shared" si="1015"/>
        <v>1061.9100000000001</v>
      </c>
      <c r="BF677" s="121">
        <f t="shared" si="1015"/>
        <v>1061.9100000000001</v>
      </c>
    </row>
    <row r="678" spans="1:58" x14ac:dyDescent="0.3">
      <c r="A678" s="283"/>
      <c r="B678" s="283"/>
      <c r="C678" s="283"/>
      <c r="D678" s="283"/>
      <c r="E678" s="283"/>
      <c r="F678" s="283"/>
      <c r="G678" s="283"/>
      <c r="H678" s="283"/>
      <c r="I678" s="283"/>
      <c r="J678" s="283"/>
      <c r="K678" s="283"/>
      <c r="L678" s="279"/>
      <c r="M678" s="321" t="s">
        <v>1157</v>
      </c>
      <c r="N678" s="322"/>
      <c r="O678" s="321"/>
      <c r="P678" s="321"/>
      <c r="Q678" s="321"/>
      <c r="R678" s="321"/>
      <c r="S678" s="321"/>
      <c r="T678" s="321"/>
      <c r="U678" s="321"/>
      <c r="V678" s="321"/>
      <c r="W678" s="321"/>
      <c r="X678" s="321"/>
      <c r="Y678" s="394"/>
      <c r="Z678" s="321"/>
      <c r="AA678" s="321"/>
      <c r="AB678" s="321"/>
      <c r="AC678" s="321"/>
      <c r="AD678" s="321"/>
      <c r="AE678" s="321"/>
      <c r="AF678" s="321"/>
      <c r="AG678" s="321"/>
      <c r="AH678" s="321"/>
      <c r="AI678" s="321"/>
      <c r="AJ678" s="321"/>
      <c r="AK678" s="321"/>
      <c r="AL678" s="321"/>
      <c r="AM678" s="321"/>
      <c r="AN678" s="321"/>
      <c r="AO678" s="321"/>
      <c r="AP678" s="321"/>
      <c r="AQ678" s="321"/>
      <c r="AR678" s="321"/>
      <c r="AS678" s="321"/>
      <c r="AT678" s="321"/>
      <c r="AU678" s="321"/>
      <c r="AV678" s="321"/>
      <c r="AW678" s="321"/>
      <c r="AX678" s="321"/>
      <c r="AY678" s="321"/>
      <c r="AZ678" s="321"/>
      <c r="BA678" s="321"/>
      <c r="BB678" s="321"/>
      <c r="BC678" s="321"/>
      <c r="BD678" s="321"/>
      <c r="BE678" s="321"/>
      <c r="BF678" s="321"/>
    </row>
    <row r="679" spans="1:58" x14ac:dyDescent="0.3">
      <c r="A679" s="283"/>
      <c r="B679" s="283"/>
      <c r="C679" s="283"/>
      <c r="D679" s="283"/>
      <c r="E679" s="283"/>
      <c r="F679" s="283"/>
      <c r="G679" s="283"/>
      <c r="H679" s="283"/>
      <c r="I679" s="283"/>
      <c r="J679" s="283"/>
      <c r="K679" s="283"/>
      <c r="L679" s="279"/>
      <c r="M679" s="311" t="s">
        <v>1143</v>
      </c>
      <c r="N679" s="339">
        <v>41.5</v>
      </c>
      <c r="O679" s="295"/>
      <c r="P679" s="295"/>
      <c r="Q679" s="295"/>
      <c r="R679" s="295"/>
      <c r="S679" s="316"/>
      <c r="T679" s="316"/>
      <c r="U679" s="295"/>
      <c r="V679" s="315"/>
      <c r="W679" s="315"/>
      <c r="X679" s="295"/>
      <c r="Y679" s="394"/>
      <c r="Z679" s="295"/>
      <c r="AA679" s="295"/>
      <c r="AB679" s="314">
        <f>N679*$AB654/1000000</f>
        <v>0</v>
      </c>
      <c r="AC679" s="156">
        <f>N679*$AC654/1000000</f>
        <v>10.1675</v>
      </c>
      <c r="AD679" s="121">
        <f t="shared" ref="AD679:BF679" si="1016">AD654*$N679/1000000</f>
        <v>20.403085937499998</v>
      </c>
      <c r="AE679" s="121">
        <f t="shared" si="1016"/>
        <v>30.757402232128904</v>
      </c>
      <c r="AF679" s="121">
        <f t="shared" si="1016"/>
        <v>41.23232071556928</v>
      </c>
      <c r="AG679" s="121">
        <f t="shared" si="1016"/>
        <v>51.829740341859534</v>
      </c>
      <c r="AH679" s="121">
        <f t="shared" si="1016"/>
        <v>62.551587588871961</v>
      </c>
      <c r="AI679" s="121">
        <f t="shared" si="1016"/>
        <v>73.399816865700842</v>
      </c>
      <c r="AJ679" s="121">
        <f t="shared" si="1016"/>
        <v>84.374366236405066</v>
      </c>
      <c r="AK679" s="121">
        <f t="shared" si="1016"/>
        <v>95.477070918598002</v>
      </c>
      <c r="AL679" s="121">
        <f t="shared" si="1016"/>
        <v>106.70979148434466</v>
      </c>
      <c r="AM679" s="121">
        <f t="shared" si="1016"/>
        <v>118.07441421421093</v>
      </c>
      <c r="AN679" s="121">
        <f t="shared" si="1016"/>
        <v>129.5728514562455</v>
      </c>
      <c r="AO679" s="121">
        <f t="shared" si="1016"/>
        <v>141.2070419899631</v>
      </c>
      <c r="AP679" s="121">
        <f t="shared" si="1016"/>
        <v>152.97895139539872</v>
      </c>
      <c r="AQ679" s="121">
        <f t="shared" si="1016"/>
        <v>164.89057242730348</v>
      </c>
      <c r="AR679" s="121">
        <f t="shared" si="1016"/>
        <v>176.94392539455387</v>
      </c>
      <c r="AS679" s="121">
        <f t="shared" si="1016"/>
        <v>189.14105854484714</v>
      </c>
      <c r="AT679" s="121">
        <f t="shared" si="1016"/>
        <v>201.48404845475625</v>
      </c>
      <c r="AU679" s="121">
        <f t="shared" si="1016"/>
        <v>213.97500042521941</v>
      </c>
      <c r="AV679" s="121">
        <f t="shared" si="1016"/>
        <v>226.61604888253945</v>
      </c>
      <c r="AW679" s="121">
        <f t="shared" si="1016"/>
        <v>239.40935778497069</v>
      </c>
      <c r="AX679" s="121">
        <f t="shared" si="1016"/>
        <v>252.35712103497013</v>
      </c>
      <c r="AY679" s="121">
        <f t="shared" si="1016"/>
        <v>265.46156289719278</v>
      </c>
      <c r="AZ679" s="121">
        <f t="shared" si="1016"/>
        <v>278.72493842231074</v>
      </c>
      <c r="BA679" s="121">
        <f t="shared" si="1016"/>
        <v>292.14953387673728</v>
      </c>
      <c r="BB679" s="121">
        <f t="shared" si="1016"/>
        <v>305.73766717833837</v>
      </c>
      <c r="BC679" s="121">
        <f t="shared" si="1016"/>
        <v>319.49168833821489</v>
      </c>
      <c r="BD679" s="121">
        <f t="shared" si="1016"/>
        <v>333.41397990864039</v>
      </c>
      <c r="BE679" s="121">
        <f t="shared" si="1016"/>
        <v>347.50695743724009</v>
      </c>
      <c r="BF679" s="121">
        <f t="shared" si="1016"/>
        <v>361.7730699274976</v>
      </c>
    </row>
    <row r="680" spans="1:58" x14ac:dyDescent="0.3">
      <c r="A680" s="283"/>
      <c r="B680" s="283"/>
      <c r="C680" s="283"/>
      <c r="D680" s="283"/>
      <c r="E680" s="283"/>
      <c r="F680" s="283"/>
      <c r="G680" s="283"/>
      <c r="H680" s="283"/>
      <c r="I680" s="283"/>
      <c r="J680" s="283"/>
      <c r="K680" s="283"/>
      <c r="L680" s="279"/>
      <c r="M680" s="311" t="s">
        <v>1144</v>
      </c>
      <c r="N680" s="339">
        <v>64.599999999999994</v>
      </c>
      <c r="O680" s="295"/>
      <c r="P680" s="295"/>
      <c r="Q680" s="295"/>
      <c r="R680" s="295"/>
      <c r="S680" s="316"/>
      <c r="T680" s="316"/>
      <c r="U680" s="295"/>
      <c r="V680" s="315"/>
      <c r="W680" s="315"/>
      <c r="X680" s="295"/>
      <c r="Y680" s="394"/>
      <c r="Z680" s="295"/>
      <c r="AA680" s="295"/>
      <c r="AB680" s="314">
        <f>N680*$AB655/1000000</f>
        <v>0</v>
      </c>
      <c r="AC680" s="156">
        <f>N680*$AC655/1000000</f>
        <v>20.026</v>
      </c>
      <c r="AD680" s="121">
        <f t="shared" ref="AD680:BF680" si="1017">AD655*$N680/1000000</f>
        <v>40.181199999999997</v>
      </c>
      <c r="AE680" s="121">
        <f t="shared" si="1017"/>
        <v>60.588475660000007</v>
      </c>
      <c r="AF680" s="121">
        <f t="shared" si="1017"/>
        <v>81.253794275800004</v>
      </c>
      <c r="AG680" s="121">
        <f t="shared" si="1017"/>
        <v>102.18322592109587</v>
      </c>
      <c r="AH680" s="121">
        <f t="shared" si="1017"/>
        <v>123.38294549566585</v>
      </c>
      <c r="AI680" s="121">
        <f t="shared" si="1017"/>
        <v>144.85923481161404</v>
      </c>
      <c r="AJ680" s="121">
        <f t="shared" si="1017"/>
        <v>166.58438586956154</v>
      </c>
      <c r="AK680" s="121">
        <f t="shared" si="1017"/>
        <v>188.56228861480633</v>
      </c>
      <c r="AL680" s="121">
        <f t="shared" si="1017"/>
        <v>210.79688813032783</v>
      </c>
      <c r="AM680" s="121">
        <f t="shared" si="1017"/>
        <v>233.29218544198292</v>
      </c>
      <c r="AN680" s="121">
        <f t="shared" si="1017"/>
        <v>256.05223833535138</v>
      </c>
      <c r="AO680" s="121">
        <f t="shared" si="1017"/>
        <v>279.08116218439989</v>
      </c>
      <c r="AP680" s="121">
        <f t="shared" si="1017"/>
        <v>302.38313079213657</v>
      </c>
      <c r="AQ680" s="121">
        <f t="shared" si="1017"/>
        <v>325.96237724342944</v>
      </c>
      <c r="AR680" s="121">
        <f t="shared" si="1017"/>
        <v>349.82319477016568</v>
      </c>
      <c r="AS680" s="121">
        <f t="shared" si="1017"/>
        <v>373.96993762893078</v>
      </c>
      <c r="AT680" s="121">
        <f t="shared" si="1017"/>
        <v>398.40702199138855</v>
      </c>
      <c r="AU680" s="121">
        <f t="shared" si="1017"/>
        <v>423.13892684754745</v>
      </c>
      <c r="AV680" s="121">
        <f t="shared" si="1017"/>
        <v>448.1701949220992</v>
      </c>
      <c r="AW680" s="121">
        <f t="shared" si="1017"/>
        <v>473.50543360401946</v>
      </c>
      <c r="AX680" s="121">
        <f t="shared" si="1017"/>
        <v>499.14931588962395</v>
      </c>
      <c r="AY680" s="121">
        <f t="shared" si="1017"/>
        <v>525.10658133927336</v>
      </c>
      <c r="AZ680" s="121">
        <f t="shared" si="1017"/>
        <v>551.3820370479275</v>
      </c>
      <c r="BA680" s="121">
        <f t="shared" si="1017"/>
        <v>577.98055862974684</v>
      </c>
      <c r="BB680" s="121">
        <f t="shared" si="1017"/>
        <v>604.90709121694795</v>
      </c>
      <c r="BC680" s="121">
        <f t="shared" si="1017"/>
        <v>632.1666504731179</v>
      </c>
      <c r="BD680" s="121">
        <f t="shared" si="1017"/>
        <v>659.76432362119783</v>
      </c>
      <c r="BE680" s="121">
        <f t="shared" si="1017"/>
        <v>687.70527048634813</v>
      </c>
      <c r="BF680" s="121">
        <f t="shared" si="1017"/>
        <v>715.99472455391253</v>
      </c>
    </row>
    <row r="681" spans="1:58" x14ac:dyDescent="0.3">
      <c r="A681" s="283"/>
      <c r="B681" s="283"/>
      <c r="C681" s="283"/>
      <c r="D681" s="283"/>
      <c r="E681" s="283"/>
      <c r="F681" s="283"/>
      <c r="G681" s="283"/>
      <c r="H681" s="283"/>
      <c r="I681" s="283"/>
      <c r="J681" s="283"/>
      <c r="K681" s="283"/>
      <c r="L681" s="279"/>
      <c r="M681" s="295"/>
      <c r="N681" s="295"/>
      <c r="O681" s="295"/>
      <c r="P681" s="295"/>
      <c r="Q681" s="295"/>
      <c r="R681" s="295"/>
      <c r="S681" s="316"/>
      <c r="T681" s="316"/>
      <c r="U681" s="295"/>
      <c r="V681" s="295"/>
      <c r="W681" s="315"/>
      <c r="X681" s="295"/>
      <c r="Y681" s="394"/>
      <c r="Z681" s="295"/>
      <c r="AA681" s="295"/>
      <c r="AB681" s="295"/>
      <c r="AC681" s="295"/>
      <c r="AD681" s="295"/>
      <c r="AE681" s="295"/>
      <c r="AF681" s="295"/>
      <c r="AG681" s="295"/>
      <c r="AH681" s="295"/>
      <c r="AI681" s="295"/>
      <c r="AJ681" s="295"/>
      <c r="AK681" s="295"/>
      <c r="AL681" s="295"/>
      <c r="AM681" s="295"/>
      <c r="AN681" s="295"/>
      <c r="AO681" s="295"/>
      <c r="AP681" s="295"/>
      <c r="AQ681" s="295"/>
      <c r="AR681" s="295"/>
      <c r="AS681" s="295"/>
      <c r="AT681" s="295"/>
      <c r="AU681" s="295"/>
      <c r="AV681" s="295"/>
      <c r="AW681" s="295"/>
      <c r="AX681" s="295"/>
      <c r="AY681" s="295"/>
      <c r="AZ681" s="295"/>
      <c r="BA681" s="295"/>
      <c r="BB681" s="295"/>
      <c r="BC681" s="295"/>
      <c r="BD681" s="295"/>
      <c r="BE681" s="295"/>
      <c r="BF681" s="295"/>
    </row>
    <row r="682" spans="1:58" x14ac:dyDescent="0.3">
      <c r="A682" s="283"/>
      <c r="B682" s="283"/>
      <c r="C682" s="283"/>
      <c r="D682" s="283"/>
      <c r="E682" s="283"/>
      <c r="F682" s="283"/>
      <c r="G682" s="283"/>
      <c r="H682" s="283"/>
      <c r="I682" s="283"/>
      <c r="J682" s="283"/>
      <c r="K682" s="283"/>
      <c r="L682" s="279"/>
      <c r="M682" s="320" t="s">
        <v>1158</v>
      </c>
      <c r="N682" s="320"/>
      <c r="O682" s="320"/>
      <c r="P682" s="320"/>
      <c r="Q682" s="320"/>
      <c r="R682" s="320"/>
      <c r="S682" s="320"/>
      <c r="T682" s="320"/>
      <c r="U682" s="320"/>
      <c r="V682" s="320"/>
      <c r="W682" s="320"/>
      <c r="X682" s="320"/>
      <c r="Y682" s="394"/>
      <c r="Z682" s="320"/>
      <c r="AA682" s="320"/>
      <c r="AB682" s="320"/>
      <c r="AC682" s="320"/>
      <c r="AD682" s="320"/>
      <c r="AE682" s="320"/>
      <c r="AF682" s="320"/>
      <c r="AG682" s="320"/>
      <c r="AH682" s="320"/>
      <c r="AI682" s="320"/>
      <c r="AJ682" s="320"/>
      <c r="AK682" s="320"/>
      <c r="AL682" s="320"/>
      <c r="AM682" s="320"/>
      <c r="AN682" s="320"/>
      <c r="AO682" s="320"/>
      <c r="AP682" s="320"/>
      <c r="AQ682" s="320"/>
      <c r="AR682" s="320"/>
      <c r="AS682" s="320"/>
      <c r="AT682" s="320"/>
      <c r="AU682" s="320"/>
      <c r="AV682" s="320"/>
      <c r="AW682" s="320"/>
      <c r="AX682" s="320"/>
      <c r="AY682" s="320"/>
      <c r="AZ682" s="320"/>
      <c r="BA682" s="320"/>
      <c r="BB682" s="320"/>
      <c r="BC682" s="320"/>
      <c r="BD682" s="320"/>
      <c r="BE682" s="320"/>
      <c r="BF682" s="320"/>
    </row>
    <row r="683" spans="1:58" x14ac:dyDescent="0.3">
      <c r="A683" s="283"/>
      <c r="B683" s="283"/>
      <c r="C683" s="283"/>
      <c r="D683" s="283"/>
      <c r="E683" s="283"/>
      <c r="F683" s="283"/>
      <c r="G683" s="283"/>
      <c r="H683" s="283"/>
      <c r="I683" s="283"/>
      <c r="J683" s="283"/>
      <c r="K683" s="283"/>
      <c r="L683" s="279"/>
      <c r="M683" s="321" t="s">
        <v>1153</v>
      </c>
      <c r="N683" s="321" t="s">
        <v>1159</v>
      </c>
      <c r="O683" s="321"/>
      <c r="P683" s="321"/>
      <c r="Q683" s="321"/>
      <c r="R683" s="321"/>
      <c r="S683" s="321"/>
      <c r="T683" s="321"/>
      <c r="U683" s="321"/>
      <c r="V683" s="321"/>
      <c r="W683" s="321"/>
      <c r="X683" s="321"/>
      <c r="Y683" s="394"/>
      <c r="Z683" s="321"/>
      <c r="AA683" s="321"/>
      <c r="AB683" s="439">
        <f>SUM(AB684:AB694)</f>
        <v>1884.0400000000002</v>
      </c>
      <c r="AC683" s="440">
        <f>SUM(AC684:AC694)</f>
        <v>1892.2995000000001</v>
      </c>
      <c r="AD683" s="440">
        <f>SUM(AD684:AD694)</f>
        <v>1910.7817925000004</v>
      </c>
      <c r="AE683" s="440">
        <f t="shared" ref="AE683:BF683" si="1018">SUM(AE684:AE694)</f>
        <v>1929.6620844379165</v>
      </c>
      <c r="AF683" s="440">
        <f t="shared" si="1018"/>
        <v>1948.9465897924692</v>
      </c>
      <c r="AG683" s="440">
        <f t="shared" si="1018"/>
        <v>1968.6416373118973</v>
      </c>
      <c r="AH683" s="440">
        <f t="shared" si="1018"/>
        <v>1988.7536725036139</v>
      </c>
      <c r="AI683" s="440">
        <f t="shared" si="1018"/>
        <v>2008.1584789613137</v>
      </c>
      <c r="AJ683" s="440">
        <f t="shared" si="1018"/>
        <v>2027.8680942088504</v>
      </c>
      <c r="AK683" s="440">
        <f t="shared" si="1018"/>
        <v>2047.8867385518993</v>
      </c>
      <c r="AL683" s="440">
        <f t="shared" si="1018"/>
        <v>2068.2186928234914</v>
      </c>
      <c r="AM683" s="440">
        <f t="shared" si="1018"/>
        <v>2088.8682992436211</v>
      </c>
      <c r="AN683" s="440">
        <f t="shared" si="1018"/>
        <v>2109.8399622911097</v>
      </c>
      <c r="AO683" s="440">
        <f t="shared" si="1018"/>
        <v>2131.1381495878823</v>
      </c>
      <c r="AP683" s="440">
        <f t="shared" si="1018"/>
        <v>2152.7673927958581</v>
      </c>
      <c r="AQ683" s="440">
        <f t="shared" si="1018"/>
        <v>2174.7322885266135</v>
      </c>
      <c r="AR683" s="440">
        <f t="shared" si="1018"/>
        <v>2197.03749926401</v>
      </c>
      <c r="AS683" s="440">
        <f t="shared" si="1018"/>
        <v>2219.6877542999728</v>
      </c>
      <c r="AT683" s="440">
        <f t="shared" si="1018"/>
        <v>2242.6878506835992</v>
      </c>
      <c r="AU683" s="440">
        <f t="shared" si="1018"/>
        <v>2266.042654183796</v>
      </c>
      <c r="AV683" s="440">
        <f t="shared" si="1018"/>
        <v>2289.7571002656327</v>
      </c>
      <c r="AW683" s="440">
        <f t="shared" si="1018"/>
        <v>2313.8361950806075</v>
      </c>
      <c r="AX683" s="440">
        <f t="shared" si="1018"/>
        <v>2338.2850164710235</v>
      </c>
      <c r="AY683" s="440">
        <f t="shared" si="1018"/>
        <v>2363.1087149886775</v>
      </c>
      <c r="AZ683" s="440">
        <f t="shared" si="1018"/>
        <v>2388.3125149280672</v>
      </c>
      <c r="BA683" s="440">
        <f t="shared" si="1018"/>
        <v>2413.9017153743171</v>
      </c>
      <c r="BB683" s="440">
        <f t="shared" si="1018"/>
        <v>2439.8816912660382</v>
      </c>
      <c r="BC683" s="440">
        <f t="shared" si="1018"/>
        <v>2466.2578944733327</v>
      </c>
      <c r="BD683" s="440">
        <f t="shared" si="1018"/>
        <v>2493.0358548911622</v>
      </c>
      <c r="BE683" s="440">
        <f t="shared" si="1018"/>
        <v>2520.221181548291</v>
      </c>
      <c r="BF683" s="440">
        <f t="shared" si="1018"/>
        <v>2547.8195637320327</v>
      </c>
    </row>
    <row r="684" spans="1:58" x14ac:dyDescent="0.3">
      <c r="A684" s="283"/>
      <c r="B684" s="283"/>
      <c r="C684" s="283"/>
      <c r="D684" s="283"/>
      <c r="E684" s="283"/>
      <c r="F684" s="283"/>
      <c r="G684" s="283"/>
      <c r="H684" s="283"/>
      <c r="I684" s="283"/>
      <c r="J684" s="283"/>
      <c r="K684" s="283"/>
      <c r="L684" s="279"/>
      <c r="M684" s="311" t="s">
        <v>1143</v>
      </c>
      <c r="N684" s="339">
        <v>40.5</v>
      </c>
      <c r="O684" s="295"/>
      <c r="P684" s="295"/>
      <c r="Q684" s="295"/>
      <c r="R684" s="295"/>
      <c r="S684" s="316"/>
      <c r="T684" s="316"/>
      <c r="U684" s="295"/>
      <c r="V684" s="315"/>
      <c r="W684" s="315"/>
      <c r="X684" s="295"/>
      <c r="Y684" s="394"/>
      <c r="Z684" s="295"/>
      <c r="AA684" s="295"/>
      <c r="AB684" s="314">
        <f>$N684*AB645/1000000</f>
        <v>761.4</v>
      </c>
      <c r="AC684" s="156">
        <f>$N684*AC645/1000000</f>
        <v>754.11</v>
      </c>
      <c r="AD684" s="122">
        <f t="shared" ref="AD684:BF684" si="1019">$N684*AD645/1000000</f>
        <v>751.24438199999997</v>
      </c>
      <c r="AE684" s="122">
        <f t="shared" si="1019"/>
        <v>748.38965334839997</v>
      </c>
      <c r="AF684" s="122">
        <f t="shared" si="1019"/>
        <v>745.54577266567617</v>
      </c>
      <c r="AG684" s="122">
        <f t="shared" si="1019"/>
        <v>742.71269872954645</v>
      </c>
      <c r="AH684" s="122">
        <f t="shared" si="1019"/>
        <v>739.89039047437416</v>
      </c>
      <c r="AI684" s="122">
        <f t="shared" si="1019"/>
        <v>737.67071930295106</v>
      </c>
      <c r="AJ684" s="122">
        <f t="shared" si="1019"/>
        <v>735.45770714504215</v>
      </c>
      <c r="AK684" s="122">
        <f t="shared" si="1019"/>
        <v>733.251334023607</v>
      </c>
      <c r="AL684" s="122">
        <f t="shared" si="1019"/>
        <v>731.05158002153621</v>
      </c>
      <c r="AM684" s="122">
        <f t="shared" si="1019"/>
        <v>728.85842528147157</v>
      </c>
      <c r="AN684" s="122">
        <f t="shared" si="1019"/>
        <v>726.67185000562711</v>
      </c>
      <c r="AO684" s="122">
        <f t="shared" si="1019"/>
        <v>724.49183445561016</v>
      </c>
      <c r="AP684" s="122">
        <f t="shared" si="1019"/>
        <v>722.31835895224333</v>
      </c>
      <c r="AQ684" s="122">
        <f t="shared" si="1019"/>
        <v>720.15140387538668</v>
      </c>
      <c r="AR684" s="122">
        <f t="shared" si="1019"/>
        <v>717.99094966376038</v>
      </c>
      <c r="AS684" s="122">
        <f t="shared" si="1019"/>
        <v>715.83697681476917</v>
      </c>
      <c r="AT684" s="122">
        <f t="shared" si="1019"/>
        <v>713.68946588432493</v>
      </c>
      <c r="AU684" s="122">
        <f t="shared" si="1019"/>
        <v>711.548397486672</v>
      </c>
      <c r="AV684" s="122">
        <f t="shared" si="1019"/>
        <v>709.41375229421203</v>
      </c>
      <c r="AW684" s="122">
        <f t="shared" si="1019"/>
        <v>707.28551103732946</v>
      </c>
      <c r="AX684" s="122">
        <f t="shared" si="1019"/>
        <v>705.16365450421756</v>
      </c>
      <c r="AY684" s="122">
        <f t="shared" si="1019"/>
        <v>703.04816354070488</v>
      </c>
      <c r="AZ684" s="122">
        <f t="shared" si="1019"/>
        <v>700.93901905008272</v>
      </c>
      <c r="BA684" s="122">
        <f t="shared" si="1019"/>
        <v>698.83620199293239</v>
      </c>
      <c r="BB684" s="122">
        <f t="shared" si="1019"/>
        <v>696.7396933869536</v>
      </c>
      <c r="BC684" s="122">
        <f t="shared" si="1019"/>
        <v>694.64947430679285</v>
      </c>
      <c r="BD684" s="122">
        <f t="shared" si="1019"/>
        <v>692.56552588387251</v>
      </c>
      <c r="BE684" s="122">
        <f t="shared" si="1019"/>
        <v>690.48782930622087</v>
      </c>
      <c r="BF684" s="122">
        <f t="shared" si="1019"/>
        <v>688.41636581830232</v>
      </c>
    </row>
    <row r="685" spans="1:58" x14ac:dyDescent="0.3">
      <c r="A685" s="283"/>
      <c r="B685" s="283"/>
      <c r="C685" s="283"/>
      <c r="D685" s="283"/>
      <c r="E685" s="283"/>
      <c r="F685" s="283"/>
      <c r="G685" s="283"/>
      <c r="H685" s="283"/>
      <c r="I685" s="283"/>
      <c r="J685" s="283"/>
      <c r="K685" s="283"/>
      <c r="L685" s="279"/>
      <c r="M685" s="311" t="s">
        <v>1144</v>
      </c>
      <c r="N685" s="339">
        <v>30.1</v>
      </c>
      <c r="O685" s="295"/>
      <c r="P685" s="295"/>
      <c r="Q685" s="295"/>
      <c r="R685" s="295"/>
      <c r="S685" s="316"/>
      <c r="T685" s="316"/>
      <c r="U685" s="295"/>
      <c r="V685" s="295"/>
      <c r="W685" s="315"/>
      <c r="X685" s="295"/>
      <c r="Y685" s="394"/>
      <c r="Z685" s="295"/>
      <c r="AA685" s="295"/>
      <c r="AB685" s="314">
        <f>$N685*AB646/1000000</f>
        <v>689.29</v>
      </c>
      <c r="AC685" s="156">
        <f>$N685*AC646/1000000</f>
        <v>677.55100000000004</v>
      </c>
      <c r="AD685" s="122">
        <f t="shared" ref="AD685:BF685" si="1020">$N685*AD646/1000000</f>
        <v>671.45304099999998</v>
      </c>
      <c r="AE685" s="122">
        <f t="shared" si="1020"/>
        <v>665.4099636310001</v>
      </c>
      <c r="AF685" s="122">
        <f t="shared" si="1020"/>
        <v>659.42127395832097</v>
      </c>
      <c r="AG685" s="122">
        <f t="shared" si="1020"/>
        <v>653.48648249269615</v>
      </c>
      <c r="AH685" s="122">
        <f t="shared" si="1020"/>
        <v>647.60510415026181</v>
      </c>
      <c r="AI685" s="122">
        <f t="shared" si="1020"/>
        <v>644.69088118158572</v>
      </c>
      <c r="AJ685" s="122">
        <f t="shared" si="1020"/>
        <v>641.78977221626849</v>
      </c>
      <c r="AK685" s="122">
        <f t="shared" si="1020"/>
        <v>638.90171824129538</v>
      </c>
      <c r="AL685" s="122">
        <f t="shared" si="1020"/>
        <v>636.02666050920959</v>
      </c>
      <c r="AM685" s="122">
        <f t="shared" si="1020"/>
        <v>633.16454053691825</v>
      </c>
      <c r="AN685" s="122">
        <f t="shared" si="1020"/>
        <v>630.31530010450217</v>
      </c>
      <c r="AO685" s="122">
        <f t="shared" si="1020"/>
        <v>627.47888125403188</v>
      </c>
      <c r="AP685" s="122">
        <f t="shared" si="1020"/>
        <v>624.6552262883888</v>
      </c>
      <c r="AQ685" s="122">
        <f t="shared" si="1020"/>
        <v>621.84427777009103</v>
      </c>
      <c r="AR685" s="122">
        <f t="shared" si="1020"/>
        <v>619.0459785201258</v>
      </c>
      <c r="AS685" s="122">
        <f t="shared" si="1020"/>
        <v>616.26027161678519</v>
      </c>
      <c r="AT685" s="122">
        <f t="shared" si="1020"/>
        <v>613.48710039450964</v>
      </c>
      <c r="AU685" s="122">
        <f t="shared" si="1020"/>
        <v>610.7264084427344</v>
      </c>
      <c r="AV685" s="122">
        <f t="shared" si="1020"/>
        <v>607.97813960474207</v>
      </c>
      <c r="AW685" s="122">
        <f t="shared" si="1020"/>
        <v>605.24223797652076</v>
      </c>
      <c r="AX685" s="122">
        <f t="shared" si="1020"/>
        <v>602.51864790562638</v>
      </c>
      <c r="AY685" s="122">
        <f t="shared" si="1020"/>
        <v>599.80731399005117</v>
      </c>
      <c r="AZ685" s="122">
        <f t="shared" si="1020"/>
        <v>597.10818107709599</v>
      </c>
      <c r="BA685" s="122">
        <f t="shared" si="1020"/>
        <v>594.42119426224895</v>
      </c>
      <c r="BB685" s="122">
        <f t="shared" si="1020"/>
        <v>591.74629888806896</v>
      </c>
      <c r="BC685" s="122">
        <f t="shared" si="1020"/>
        <v>589.08344054307258</v>
      </c>
      <c r="BD685" s="122">
        <f t="shared" si="1020"/>
        <v>586.4325650606288</v>
      </c>
      <c r="BE685" s="122">
        <f t="shared" si="1020"/>
        <v>583.79361851785598</v>
      </c>
      <c r="BF685" s="122">
        <f t="shared" si="1020"/>
        <v>581.16654723452564</v>
      </c>
    </row>
    <row r="686" spans="1:58" x14ac:dyDescent="0.3">
      <c r="A686" s="283"/>
      <c r="B686" s="283"/>
      <c r="C686" s="283"/>
      <c r="D686" s="283"/>
      <c r="E686" s="283"/>
      <c r="F686" s="283"/>
      <c r="G686" s="283"/>
      <c r="H686" s="283"/>
      <c r="I686" s="283"/>
      <c r="J686" s="283"/>
      <c r="K686" s="283"/>
      <c r="L686" s="279"/>
      <c r="M686" s="321" t="s">
        <v>1155</v>
      </c>
      <c r="N686" s="322"/>
      <c r="O686" s="321"/>
      <c r="P686" s="321"/>
      <c r="Q686" s="321"/>
      <c r="R686" s="321"/>
      <c r="S686" s="321"/>
      <c r="T686" s="321"/>
      <c r="U686" s="321"/>
      <c r="V686" s="321"/>
      <c r="W686" s="321"/>
      <c r="X686" s="321"/>
      <c r="Y686" s="394"/>
      <c r="Z686" s="321"/>
      <c r="AA686" s="321"/>
      <c r="AB686" s="321"/>
      <c r="AC686" s="321"/>
      <c r="AD686" s="321"/>
      <c r="AE686" s="321"/>
      <c r="AF686" s="321"/>
      <c r="AG686" s="321"/>
      <c r="AH686" s="321"/>
      <c r="AI686" s="321"/>
      <c r="AJ686" s="321"/>
      <c r="AK686" s="321"/>
      <c r="AL686" s="321"/>
      <c r="AM686" s="321"/>
      <c r="AN686" s="321"/>
      <c r="AO686" s="321"/>
      <c r="AP686" s="321"/>
      <c r="AQ686" s="321"/>
      <c r="AR686" s="321"/>
      <c r="AS686" s="321"/>
      <c r="AT686" s="321"/>
      <c r="AU686" s="321"/>
      <c r="AV686" s="321"/>
      <c r="AW686" s="321"/>
      <c r="AX686" s="321"/>
      <c r="AY686" s="321"/>
      <c r="AZ686" s="321"/>
      <c r="BA686" s="321"/>
      <c r="BB686" s="321"/>
      <c r="BC686" s="321"/>
      <c r="BD686" s="321"/>
      <c r="BE686" s="321"/>
      <c r="BF686" s="321"/>
    </row>
    <row r="687" spans="1:58" x14ac:dyDescent="0.3">
      <c r="A687" s="283"/>
      <c r="B687" s="283"/>
      <c r="C687" s="283"/>
      <c r="D687" s="283"/>
      <c r="E687" s="283"/>
      <c r="F687" s="283"/>
      <c r="G687" s="283"/>
      <c r="H687" s="283"/>
      <c r="I687" s="283"/>
      <c r="J687" s="283"/>
      <c r="K687" s="283"/>
      <c r="L687" s="279"/>
      <c r="M687" s="311" t="s">
        <v>1143</v>
      </c>
      <c r="N687" s="339">
        <v>38.299999999999997</v>
      </c>
      <c r="O687" s="295"/>
      <c r="P687" s="295"/>
      <c r="Q687" s="295"/>
      <c r="R687" s="295"/>
      <c r="S687" s="316"/>
      <c r="T687" s="316"/>
      <c r="U687" s="295"/>
      <c r="V687" s="295"/>
      <c r="W687" s="315"/>
      <c r="X687" s="295"/>
      <c r="Y687" s="394"/>
      <c r="Z687" s="295"/>
      <c r="AA687" s="295"/>
      <c r="AB687" s="314">
        <f>$N687*AB648/1000000</f>
        <v>0</v>
      </c>
      <c r="AC687" s="156">
        <f>$N687*AC648/1000000</f>
        <v>3.2554999999999996</v>
      </c>
      <c r="AD687" s="122">
        <f t="shared" ref="AD687:BF687" si="1021">$N687*AD648/1000000</f>
        <v>6.5374269999999992</v>
      </c>
      <c r="AE687" s="122">
        <f t="shared" si="1021"/>
        <v>9.8574235709224993</v>
      </c>
      <c r="AF687" s="122">
        <f t="shared" si="1021"/>
        <v>13.216089894816282</v>
      </c>
      <c r="AG687" s="122">
        <f t="shared" si="1021"/>
        <v>16.614034850212434</v>
      </c>
      <c r="AH687" s="122">
        <f t="shared" si="1021"/>
        <v>20.051876140853814</v>
      </c>
      <c r="AI687" s="122">
        <f t="shared" si="1021"/>
        <v>22.797953208326749</v>
      </c>
      <c r="AJ687" s="122">
        <f t="shared" si="1021"/>
        <v>25.576006435604217</v>
      </c>
      <c r="AK687" s="122">
        <f t="shared" si="1021"/>
        <v>28.386500382281472</v>
      </c>
      <c r="AL687" s="122">
        <f t="shared" si="1021"/>
        <v>31.229906026077501</v>
      </c>
      <c r="AM687" s="122">
        <f t="shared" si="1021"/>
        <v>34.106700852457692</v>
      </c>
      <c r="AN687" s="122">
        <f t="shared" si="1021"/>
        <v>37.017368945505041</v>
      </c>
      <c r="AO687" s="122">
        <f t="shared" si="1021"/>
        <v>39.962401080057397</v>
      </c>
      <c r="AP687" s="122">
        <f t="shared" si="1021"/>
        <v>42.942294815128363</v>
      </c>
      <c r="AQ687" s="122">
        <f t="shared" si="1021"/>
        <v>45.957554588629733</v>
      </c>
      <c r="AR687" s="122">
        <f t="shared" si="1021"/>
        <v>49.008691813413641</v>
      </c>
      <c r="AS687" s="122">
        <f t="shared" si="1021"/>
        <v>52.09622497465277</v>
      </c>
      <c r="AT687" s="122">
        <f t="shared" si="1021"/>
        <v>55.220679728577309</v>
      </c>
      <c r="AU687" s="122">
        <f t="shared" si="1021"/>
        <v>58.382589002587558</v>
      </c>
      <c r="AV687" s="122">
        <f t="shared" si="1021"/>
        <v>61.582493096761354</v>
      </c>
      <c r="AW687" s="122">
        <f t="shared" si="1021"/>
        <v>64.820939786775753</v>
      </c>
      <c r="AX687" s="122">
        <f t="shared" si="1021"/>
        <v>68.098484428262694</v>
      </c>
      <c r="AY687" s="122">
        <f t="shared" si="1021"/>
        <v>71.415690062618651</v>
      </c>
      <c r="AZ687" s="122">
        <f t="shared" si="1021"/>
        <v>74.773127524288441</v>
      </c>
      <c r="BA687" s="122">
        <f t="shared" si="1021"/>
        <v>78.171375549543896</v>
      </c>
      <c r="BB687" s="122">
        <f t="shared" si="1021"/>
        <v>81.611020886778107</v>
      </c>
      <c r="BC687" s="122">
        <f t="shared" si="1021"/>
        <v>85.092658408336391</v>
      </c>
      <c r="BD687" s="122">
        <f t="shared" si="1021"/>
        <v>88.616891223905441</v>
      </c>
      <c r="BE687" s="122">
        <f t="shared" si="1021"/>
        <v>92.184330795482396</v>
      </c>
      <c r="BF687" s="122">
        <f t="shared" si="1021"/>
        <v>95.795597053945684</v>
      </c>
    </row>
    <row r="688" spans="1:58" x14ac:dyDescent="0.3">
      <c r="A688" s="283"/>
      <c r="B688" s="283"/>
      <c r="C688" s="283"/>
      <c r="D688" s="283"/>
      <c r="E688" s="283"/>
      <c r="F688" s="283"/>
      <c r="G688" s="283"/>
      <c r="H688" s="283"/>
      <c r="I688" s="283"/>
      <c r="J688" s="283"/>
      <c r="K688" s="283"/>
      <c r="L688" s="279"/>
      <c r="M688" s="311" t="s">
        <v>1144</v>
      </c>
      <c r="N688" s="339">
        <v>26.1</v>
      </c>
      <c r="O688" s="295"/>
      <c r="P688" s="295"/>
      <c r="Q688" s="295"/>
      <c r="R688" s="295"/>
      <c r="S688" s="316"/>
      <c r="T688" s="316"/>
      <c r="U688" s="295"/>
      <c r="V688" s="315"/>
      <c r="W688" s="315"/>
      <c r="X688" s="295"/>
      <c r="Y688" s="394"/>
      <c r="Z688" s="295"/>
      <c r="AA688" s="295"/>
      <c r="AB688" s="314">
        <f>$N688*AB649/1000000</f>
        <v>0</v>
      </c>
      <c r="AC688" s="156">
        <f>$N688*AC649/1000000</f>
        <v>7.3079999999999998</v>
      </c>
      <c r="AD688" s="122">
        <f t="shared" ref="AD688:BF688" si="1022">$N688*AD649/1000000</f>
        <v>14.63688</v>
      </c>
      <c r="AE688" s="122">
        <f t="shared" si="1022"/>
        <v>22.057420328999999</v>
      </c>
      <c r="AF688" s="122">
        <f t="shared" si="1022"/>
        <v>29.571790828770002</v>
      </c>
      <c r="AG688" s="122">
        <f t="shared" si="1022"/>
        <v>37.18219871341396</v>
      </c>
      <c r="AH688" s="122">
        <f t="shared" si="1022"/>
        <v>44.890889314136082</v>
      </c>
      <c r="AI688" s="122">
        <f t="shared" si="1022"/>
        <v>48.795518075990742</v>
      </c>
      <c r="AJ688" s="122">
        <f t="shared" si="1022"/>
        <v>52.745392676232136</v>
      </c>
      <c r="AK688" s="122">
        <f t="shared" si="1022"/>
        <v>56.741220350270837</v>
      </c>
      <c r="AL688" s="122">
        <f t="shared" si="1022"/>
        <v>60.783718358162467</v>
      </c>
      <c r="AM688" s="122">
        <f t="shared" si="1022"/>
        <v>64.873614131001304</v>
      </c>
      <c r="AN688" s="122">
        <f t="shared" si="1022"/>
        <v>69.011645419431844</v>
      </c>
      <c r="AO688" s="122">
        <f t="shared" si="1022"/>
        <v>73.19856044430918</v>
      </c>
      <c r="AP688" s="122">
        <f t="shared" si="1022"/>
        <v>77.435118049539312</v>
      </c>
      <c r="AQ688" s="122">
        <f t="shared" si="1022"/>
        <v>81.722087857131186</v>
      </c>
      <c r="AR688" s="122">
        <f t="shared" si="1022"/>
        <v>86.060250424492125</v>
      </c>
      <c r="AS688" s="122">
        <f t="shared" si="1022"/>
        <v>90.450397403999787</v>
      </c>
      <c r="AT688" s="122">
        <f t="shared" si="1022"/>
        <v>94.893331704883167</v>
      </c>
      <c r="AU688" s="122">
        <f t="shared" si="1022"/>
        <v>99.389867657446416</v>
      </c>
      <c r="AV688" s="122">
        <f t="shared" si="1022"/>
        <v>103.94083117966949</v>
      </c>
      <c r="AW688" s="122">
        <f t="shared" si="1022"/>
        <v>108.54705994621986</v>
      </c>
      <c r="AX688" s="122">
        <f t="shared" si="1022"/>
        <v>113.20940355991064</v>
      </c>
      <c r="AY688" s="122">
        <f t="shared" si="1022"/>
        <v>117.92872372564025</v>
      </c>
      <c r="AZ688" s="122">
        <f t="shared" si="1022"/>
        <v>122.70589442684987</v>
      </c>
      <c r="BA688" s="122">
        <f t="shared" si="1022"/>
        <v>127.54180210453512</v>
      </c>
      <c r="BB688" s="122">
        <f t="shared" si="1022"/>
        <v>132.43734583884898</v>
      </c>
      <c r="BC688" s="122">
        <f t="shared" si="1022"/>
        <v>137.39343753333378</v>
      </c>
      <c r="BD688" s="122">
        <f t="shared" si="1022"/>
        <v>142.4110021018198</v>
      </c>
      <c r="BE688" s="122">
        <f t="shared" si="1022"/>
        <v>147.49097765803018</v>
      </c>
      <c r="BF688" s="122">
        <f t="shared" si="1022"/>
        <v>152.63431570793023</v>
      </c>
    </row>
    <row r="689" spans="1:58" x14ac:dyDescent="0.3">
      <c r="A689" s="283"/>
      <c r="B689" s="283"/>
      <c r="C689" s="283"/>
      <c r="D689" s="283"/>
      <c r="E689" s="283"/>
      <c r="F689" s="283"/>
      <c r="G689" s="283"/>
      <c r="H689" s="283"/>
      <c r="I689" s="283"/>
      <c r="J689" s="283"/>
      <c r="K689" s="283"/>
      <c r="L689" s="279"/>
      <c r="M689" s="321" t="s">
        <v>1156</v>
      </c>
      <c r="N689" s="322"/>
      <c r="O689" s="321"/>
      <c r="P689" s="321"/>
      <c r="Q689" s="321"/>
      <c r="R689" s="321"/>
      <c r="S689" s="321"/>
      <c r="T689" s="321"/>
      <c r="U689" s="321"/>
      <c r="V689" s="321"/>
      <c r="W689" s="321"/>
      <c r="X689" s="321"/>
      <c r="Y689" s="394"/>
      <c r="Z689" s="321"/>
      <c r="AA689" s="321"/>
      <c r="AB689" s="321"/>
      <c r="AC689" s="321"/>
      <c r="AD689" s="321"/>
      <c r="AE689" s="321"/>
      <c r="AF689" s="321"/>
      <c r="AG689" s="321"/>
      <c r="AH689" s="321"/>
      <c r="AI689" s="321"/>
      <c r="AJ689" s="321"/>
      <c r="AK689" s="321"/>
      <c r="AL689" s="321"/>
      <c r="AM689" s="321"/>
      <c r="AN689" s="321"/>
      <c r="AO689" s="321"/>
      <c r="AP689" s="321"/>
      <c r="AQ689" s="321"/>
      <c r="AR689" s="321"/>
      <c r="AS689" s="321"/>
      <c r="AT689" s="321"/>
      <c r="AU689" s="321"/>
      <c r="AV689" s="321"/>
      <c r="AW689" s="321"/>
      <c r="AX689" s="321"/>
      <c r="AY689" s="321"/>
      <c r="AZ689" s="321"/>
      <c r="BA689" s="321"/>
      <c r="BB689" s="321"/>
      <c r="BC689" s="321"/>
      <c r="BD689" s="321"/>
      <c r="BE689" s="321"/>
      <c r="BF689" s="321"/>
    </row>
    <row r="690" spans="1:58" x14ac:dyDescent="0.3">
      <c r="A690" s="283"/>
      <c r="B690" s="283"/>
      <c r="C690" s="283"/>
      <c r="D690" s="283"/>
      <c r="E690" s="283"/>
      <c r="F690" s="283"/>
      <c r="G690" s="283"/>
      <c r="H690" s="283"/>
      <c r="I690" s="283"/>
      <c r="J690" s="283"/>
      <c r="K690" s="283"/>
      <c r="L690" s="279"/>
      <c r="M690" s="311" t="s">
        <v>1143</v>
      </c>
      <c r="N690" s="339">
        <v>51.3</v>
      </c>
      <c r="O690" s="295"/>
      <c r="P690" s="295"/>
      <c r="Q690" s="295"/>
      <c r="R690" s="295"/>
      <c r="S690" s="316"/>
      <c r="T690" s="316"/>
      <c r="U690" s="295"/>
      <c r="V690" s="315"/>
      <c r="W690" s="315"/>
      <c r="X690" s="295"/>
      <c r="Y690" s="394"/>
      <c r="Z690" s="295"/>
      <c r="AA690" s="295"/>
      <c r="AB690" s="314">
        <f>$N690*AB651/1000000</f>
        <v>184.68</v>
      </c>
      <c r="AC690" s="156">
        <f>$N690*AC651/1000000</f>
        <v>184.68</v>
      </c>
      <c r="AD690" s="122">
        <f t="shared" ref="AD690:BF690" si="1023">$N690*AD651/1000000</f>
        <v>184.68</v>
      </c>
      <c r="AE690" s="122">
        <f t="shared" si="1023"/>
        <v>184.68</v>
      </c>
      <c r="AF690" s="122">
        <f t="shared" si="1023"/>
        <v>184.68</v>
      </c>
      <c r="AG690" s="122">
        <f t="shared" si="1023"/>
        <v>184.68</v>
      </c>
      <c r="AH690" s="122">
        <f t="shared" si="1023"/>
        <v>184.68</v>
      </c>
      <c r="AI690" s="122">
        <f t="shared" si="1023"/>
        <v>184.68</v>
      </c>
      <c r="AJ690" s="122">
        <f t="shared" si="1023"/>
        <v>184.68</v>
      </c>
      <c r="AK690" s="122">
        <f t="shared" si="1023"/>
        <v>184.68</v>
      </c>
      <c r="AL690" s="122">
        <f t="shared" si="1023"/>
        <v>184.68</v>
      </c>
      <c r="AM690" s="122">
        <f t="shared" si="1023"/>
        <v>184.68</v>
      </c>
      <c r="AN690" s="122">
        <f t="shared" si="1023"/>
        <v>184.68</v>
      </c>
      <c r="AO690" s="122">
        <f t="shared" si="1023"/>
        <v>184.68</v>
      </c>
      <c r="AP690" s="122">
        <f t="shared" si="1023"/>
        <v>184.68</v>
      </c>
      <c r="AQ690" s="122">
        <f t="shared" si="1023"/>
        <v>184.68</v>
      </c>
      <c r="AR690" s="122">
        <f t="shared" si="1023"/>
        <v>184.68</v>
      </c>
      <c r="AS690" s="122">
        <f t="shared" si="1023"/>
        <v>184.68</v>
      </c>
      <c r="AT690" s="122">
        <f t="shared" si="1023"/>
        <v>184.68</v>
      </c>
      <c r="AU690" s="122">
        <f t="shared" si="1023"/>
        <v>184.68</v>
      </c>
      <c r="AV690" s="122">
        <f t="shared" si="1023"/>
        <v>184.68</v>
      </c>
      <c r="AW690" s="122">
        <f t="shared" si="1023"/>
        <v>184.68</v>
      </c>
      <c r="AX690" s="122">
        <f t="shared" si="1023"/>
        <v>184.68</v>
      </c>
      <c r="AY690" s="122">
        <f t="shared" si="1023"/>
        <v>184.68</v>
      </c>
      <c r="AZ690" s="122">
        <f t="shared" si="1023"/>
        <v>184.68</v>
      </c>
      <c r="BA690" s="122">
        <f t="shared" si="1023"/>
        <v>184.68</v>
      </c>
      <c r="BB690" s="122">
        <f t="shared" si="1023"/>
        <v>184.68</v>
      </c>
      <c r="BC690" s="122">
        <f t="shared" si="1023"/>
        <v>184.68</v>
      </c>
      <c r="BD690" s="122">
        <f t="shared" si="1023"/>
        <v>184.68</v>
      </c>
      <c r="BE690" s="122">
        <f t="shared" si="1023"/>
        <v>184.68</v>
      </c>
      <c r="BF690" s="122">
        <f t="shared" si="1023"/>
        <v>184.68</v>
      </c>
    </row>
    <row r="691" spans="1:58" x14ac:dyDescent="0.3">
      <c r="A691" s="283"/>
      <c r="B691" s="283"/>
      <c r="C691" s="283"/>
      <c r="D691" s="283"/>
      <c r="E691" s="283"/>
      <c r="F691" s="283"/>
      <c r="G691" s="283"/>
      <c r="H691" s="283"/>
      <c r="I691" s="283"/>
      <c r="J691" s="283"/>
      <c r="K691" s="283"/>
      <c r="L691" s="279"/>
      <c r="M691" s="311" t="s">
        <v>1144</v>
      </c>
      <c r="N691" s="339">
        <v>30.7</v>
      </c>
      <c r="O691" s="295"/>
      <c r="P691" s="295"/>
      <c r="Q691" s="295"/>
      <c r="R691" s="295"/>
      <c r="S691" s="316"/>
      <c r="T691" s="316"/>
      <c r="U691" s="295"/>
      <c r="V691" s="295"/>
      <c r="W691" s="315"/>
      <c r="X691" s="295"/>
      <c r="Y691" s="394"/>
      <c r="Z691" s="295"/>
      <c r="AA691" s="295"/>
      <c r="AB691" s="314">
        <f>$N691*AB652/1000000</f>
        <v>248.67</v>
      </c>
      <c r="AC691" s="156">
        <f>$N691*AC652/1000000</f>
        <v>248.67</v>
      </c>
      <c r="AD691" s="122">
        <f t="shared" ref="AD691:BF691" si="1024">$N691*AD652/1000000</f>
        <v>248.67</v>
      </c>
      <c r="AE691" s="122">
        <f t="shared" si="1024"/>
        <v>248.67</v>
      </c>
      <c r="AF691" s="122">
        <f t="shared" si="1024"/>
        <v>248.67</v>
      </c>
      <c r="AG691" s="122">
        <f t="shared" si="1024"/>
        <v>248.67</v>
      </c>
      <c r="AH691" s="122">
        <f t="shared" si="1024"/>
        <v>248.67</v>
      </c>
      <c r="AI691" s="122">
        <f t="shared" si="1024"/>
        <v>248.67</v>
      </c>
      <c r="AJ691" s="122">
        <f t="shared" si="1024"/>
        <v>248.67</v>
      </c>
      <c r="AK691" s="122">
        <f t="shared" si="1024"/>
        <v>248.67</v>
      </c>
      <c r="AL691" s="122">
        <f t="shared" si="1024"/>
        <v>248.67</v>
      </c>
      <c r="AM691" s="122">
        <f t="shared" si="1024"/>
        <v>248.67</v>
      </c>
      <c r="AN691" s="122">
        <f t="shared" si="1024"/>
        <v>248.67</v>
      </c>
      <c r="AO691" s="122">
        <f t="shared" si="1024"/>
        <v>248.67</v>
      </c>
      <c r="AP691" s="122">
        <f t="shared" si="1024"/>
        <v>248.67</v>
      </c>
      <c r="AQ691" s="122">
        <f t="shared" si="1024"/>
        <v>248.67</v>
      </c>
      <c r="AR691" s="122">
        <f t="shared" si="1024"/>
        <v>248.67</v>
      </c>
      <c r="AS691" s="122">
        <f t="shared" si="1024"/>
        <v>248.67</v>
      </c>
      <c r="AT691" s="122">
        <f t="shared" si="1024"/>
        <v>248.67</v>
      </c>
      <c r="AU691" s="122">
        <f t="shared" si="1024"/>
        <v>248.67</v>
      </c>
      <c r="AV691" s="122">
        <f t="shared" si="1024"/>
        <v>248.67</v>
      </c>
      <c r="AW691" s="122">
        <f t="shared" si="1024"/>
        <v>248.67</v>
      </c>
      <c r="AX691" s="122">
        <f t="shared" si="1024"/>
        <v>248.67</v>
      </c>
      <c r="AY691" s="122">
        <f t="shared" si="1024"/>
        <v>248.67</v>
      </c>
      <c r="AZ691" s="122">
        <f t="shared" si="1024"/>
        <v>248.67</v>
      </c>
      <c r="BA691" s="122">
        <f t="shared" si="1024"/>
        <v>248.67</v>
      </c>
      <c r="BB691" s="122">
        <f t="shared" si="1024"/>
        <v>248.67</v>
      </c>
      <c r="BC691" s="122">
        <f t="shared" si="1024"/>
        <v>248.67</v>
      </c>
      <c r="BD691" s="122">
        <f t="shared" si="1024"/>
        <v>248.67</v>
      </c>
      <c r="BE691" s="122">
        <f t="shared" si="1024"/>
        <v>248.67</v>
      </c>
      <c r="BF691" s="122">
        <f t="shared" si="1024"/>
        <v>248.67</v>
      </c>
    </row>
    <row r="692" spans="1:58" x14ac:dyDescent="0.3">
      <c r="A692" s="283"/>
      <c r="B692" s="283"/>
      <c r="C692" s="283"/>
      <c r="D692" s="283"/>
      <c r="E692" s="283"/>
      <c r="F692" s="283"/>
      <c r="G692" s="283"/>
      <c r="H692" s="283"/>
      <c r="I692" s="283"/>
      <c r="J692" s="283"/>
      <c r="K692" s="283"/>
      <c r="L692" s="279"/>
      <c r="M692" s="321" t="s">
        <v>1157</v>
      </c>
      <c r="N692" s="322"/>
      <c r="O692" s="321"/>
      <c r="P692" s="321"/>
      <c r="Q692" s="321"/>
      <c r="R692" s="321"/>
      <c r="S692" s="321"/>
      <c r="T692" s="321"/>
      <c r="U692" s="321"/>
      <c r="V692" s="321"/>
      <c r="W692" s="321"/>
      <c r="X692" s="321"/>
      <c r="Y692" s="394"/>
      <c r="Z692" s="321"/>
      <c r="AA692" s="321"/>
      <c r="AB692" s="321"/>
      <c r="AC692" s="321"/>
      <c r="AD692" s="321"/>
      <c r="AE692" s="321"/>
      <c r="AF692" s="321"/>
      <c r="AG692" s="321"/>
      <c r="AH692" s="321"/>
      <c r="AI692" s="321"/>
      <c r="AJ692" s="321"/>
      <c r="AK692" s="321"/>
      <c r="AL692" s="321"/>
      <c r="AM692" s="321"/>
      <c r="AN692" s="321"/>
      <c r="AO692" s="321"/>
      <c r="AP692" s="321"/>
      <c r="AQ692" s="321"/>
      <c r="AR692" s="321"/>
      <c r="AS692" s="321"/>
      <c r="AT692" s="321"/>
      <c r="AU692" s="321"/>
      <c r="AV692" s="321"/>
      <c r="AW692" s="321"/>
      <c r="AX692" s="321"/>
      <c r="AY692" s="321"/>
      <c r="AZ692" s="321"/>
      <c r="BA692" s="321"/>
      <c r="BB692" s="321"/>
      <c r="BC692" s="321"/>
      <c r="BD692" s="321"/>
      <c r="BE692" s="321"/>
      <c r="BF692" s="321"/>
    </row>
    <row r="693" spans="1:58" x14ac:dyDescent="0.3">
      <c r="A693" s="283"/>
      <c r="B693" s="283"/>
      <c r="C693" s="283"/>
      <c r="D693" s="283"/>
      <c r="E693" s="283"/>
      <c r="F693" s="283"/>
      <c r="G693" s="283"/>
      <c r="H693" s="283"/>
      <c r="I693" s="283"/>
      <c r="J693" s="283"/>
      <c r="K693" s="283"/>
      <c r="L693" s="279"/>
      <c r="M693" s="311" t="s">
        <v>1143</v>
      </c>
      <c r="N693" s="339">
        <v>36</v>
      </c>
      <c r="O693" s="295"/>
      <c r="P693" s="295"/>
      <c r="Q693" s="295"/>
      <c r="R693" s="295"/>
      <c r="S693" s="316"/>
      <c r="T693" s="316"/>
      <c r="U693" s="295"/>
      <c r="V693" s="295"/>
      <c r="W693" s="315"/>
      <c r="X693" s="295"/>
      <c r="Y693" s="394"/>
      <c r="Z693" s="295"/>
      <c r="AA693" s="295"/>
      <c r="AB693" s="314">
        <f>$N693*AB654/1000000</f>
        <v>0</v>
      </c>
      <c r="AC693" s="156">
        <f>$N693*AC654/1000000</f>
        <v>8.82</v>
      </c>
      <c r="AD693" s="122">
        <f t="shared" ref="AD693:BF693" si="1025">$N693*AD654/1000000</f>
        <v>17.6990625</v>
      </c>
      <c r="AE693" s="122">
        <f t="shared" si="1025"/>
        <v>26.681120008593748</v>
      </c>
      <c r="AF693" s="122">
        <f t="shared" si="1025"/>
        <v>35.767796283385394</v>
      </c>
      <c r="AG693" s="122">
        <f t="shared" si="1025"/>
        <v>44.960738609805865</v>
      </c>
      <c r="AH693" s="122">
        <f t="shared" si="1025"/>
        <v>54.261618149382912</v>
      </c>
      <c r="AI693" s="122">
        <f t="shared" si="1025"/>
        <v>63.672130293138082</v>
      </c>
      <c r="AJ693" s="122">
        <f t="shared" si="1025"/>
        <v>73.192221313508</v>
      </c>
      <c r="AK693" s="122">
        <f t="shared" si="1025"/>
        <v>82.823483206494657</v>
      </c>
      <c r="AL693" s="122">
        <f t="shared" si="1025"/>
        <v>92.567529962323079</v>
      </c>
      <c r="AM693" s="122">
        <f t="shared" si="1025"/>
        <v>102.42599787256852</v>
      </c>
      <c r="AN693" s="122">
        <f t="shared" si="1025"/>
        <v>112.40054584156236</v>
      </c>
      <c r="AO693" s="122">
        <f t="shared" si="1025"/>
        <v>122.49285570213667</v>
      </c>
      <c r="AP693" s="122">
        <f t="shared" si="1025"/>
        <v>132.70463253576759</v>
      </c>
      <c r="AQ693" s="122">
        <f t="shared" si="1025"/>
        <v>143.03760499717893</v>
      </c>
      <c r="AR693" s="122">
        <f t="shared" si="1025"/>
        <v>153.49352564346842</v>
      </c>
      <c r="AS693" s="122">
        <f t="shared" si="1025"/>
        <v>164.0741712678192</v>
      </c>
      <c r="AT693" s="122">
        <f t="shared" si="1025"/>
        <v>174.78134323786085</v>
      </c>
      <c r="AU693" s="122">
        <f t="shared" si="1025"/>
        <v>185.61686783874455</v>
      </c>
      <c r="AV693" s="122">
        <f t="shared" si="1025"/>
        <v>196.58259662099809</v>
      </c>
      <c r="AW693" s="122">
        <f t="shared" si="1025"/>
        <v>207.6804067532276</v>
      </c>
      <c r="AX693" s="122">
        <f t="shared" si="1025"/>
        <v>218.91220137973315</v>
      </c>
      <c r="AY693" s="122">
        <f t="shared" si="1025"/>
        <v>230.27990998310699</v>
      </c>
      <c r="AZ693" s="122">
        <f t="shared" si="1025"/>
        <v>241.785488751884</v>
      </c>
      <c r="BA693" s="122">
        <f t="shared" si="1025"/>
        <v>253.43092095331426</v>
      </c>
      <c r="BB693" s="122">
        <f t="shared" si="1025"/>
        <v>265.21821731132968</v>
      </c>
      <c r="BC693" s="122">
        <f t="shared" si="1025"/>
        <v>277.14941638977677</v>
      </c>
      <c r="BD693" s="122">
        <f t="shared" si="1025"/>
        <v>289.22658498098929</v>
      </c>
      <c r="BE693" s="122">
        <f t="shared" si="1025"/>
        <v>301.4518184997745</v>
      </c>
      <c r="BF693" s="122">
        <f t="shared" si="1025"/>
        <v>313.8272413828895</v>
      </c>
    </row>
    <row r="694" spans="1:58" x14ac:dyDescent="0.3">
      <c r="A694" s="283"/>
      <c r="B694" s="283"/>
      <c r="C694" s="283"/>
      <c r="D694" s="283"/>
      <c r="E694" s="283"/>
      <c r="F694" s="283"/>
      <c r="G694" s="283"/>
      <c r="H694" s="283"/>
      <c r="I694" s="283"/>
      <c r="J694" s="283"/>
      <c r="K694" s="283"/>
      <c r="L694" s="279"/>
      <c r="M694" s="311" t="s">
        <v>1144</v>
      </c>
      <c r="N694" s="339">
        <v>25.5</v>
      </c>
      <c r="O694" s="295"/>
      <c r="P694" s="295"/>
      <c r="Q694" s="295"/>
      <c r="R694" s="295"/>
      <c r="S694" s="316"/>
      <c r="T694" s="316"/>
      <c r="U694" s="295"/>
      <c r="V694" s="315"/>
      <c r="W694" s="315"/>
      <c r="X694" s="295"/>
      <c r="Y694" s="394"/>
      <c r="Z694" s="295"/>
      <c r="AA694" s="295"/>
      <c r="AB694" s="314">
        <f>$N694*AB655/1000000</f>
        <v>0</v>
      </c>
      <c r="AC694" s="156">
        <f>$N694*AC655/1000000</f>
        <v>7.9050000000000002</v>
      </c>
      <c r="AD694" s="122">
        <f t="shared" ref="AD694:BF694" si="1026">$N694*AD655/1000000</f>
        <v>15.861000000000001</v>
      </c>
      <c r="AE694" s="122">
        <f t="shared" si="1026"/>
        <v>23.916503550000002</v>
      </c>
      <c r="AF694" s="122">
        <f t="shared" si="1026"/>
        <v>32.0738661615</v>
      </c>
      <c r="AG694" s="122">
        <f t="shared" si="1026"/>
        <v>40.33548391622206</v>
      </c>
      <c r="AH694" s="122">
        <f t="shared" si="1026"/>
        <v>48.703794274604945</v>
      </c>
      <c r="AI694" s="122">
        <f t="shared" si="1026"/>
        <v>57.181276899321333</v>
      </c>
      <c r="AJ694" s="122">
        <f t="shared" si="1026"/>
        <v>65.756994422195362</v>
      </c>
      <c r="AK694" s="122">
        <f t="shared" si="1026"/>
        <v>74.432482347949872</v>
      </c>
      <c r="AL694" s="122">
        <f t="shared" si="1026"/>
        <v>83.209297946182048</v>
      </c>
      <c r="AM694" s="122">
        <f t="shared" si="1026"/>
        <v>92.089020569203797</v>
      </c>
      <c r="AN694" s="122">
        <f t="shared" si="1026"/>
        <v>101.07325197448081</v>
      </c>
      <c r="AO694" s="122">
        <f t="shared" si="1026"/>
        <v>110.16361665173682</v>
      </c>
      <c r="AP694" s="122">
        <f t="shared" si="1026"/>
        <v>119.36176215479075</v>
      </c>
      <c r="AQ694" s="122">
        <f t="shared" si="1026"/>
        <v>128.66935943819584</v>
      </c>
      <c r="AR694" s="122">
        <f t="shared" si="1026"/>
        <v>138.08810319874962</v>
      </c>
      <c r="AS694" s="122">
        <f t="shared" si="1026"/>
        <v>147.61971222194637</v>
      </c>
      <c r="AT694" s="122">
        <f t="shared" si="1026"/>
        <v>157.26592973344287</v>
      </c>
      <c r="AU694" s="122">
        <f t="shared" si="1026"/>
        <v>167.02852375561085</v>
      </c>
      <c r="AV694" s="122">
        <f t="shared" si="1026"/>
        <v>176.9092874692497</v>
      </c>
      <c r="AW694" s="122">
        <f t="shared" si="1026"/>
        <v>186.910039580534</v>
      </c>
      <c r="AX694" s="122">
        <f t="shared" si="1026"/>
        <v>197.03262469327262</v>
      </c>
      <c r="AY694" s="122">
        <f t="shared" si="1026"/>
        <v>207.27891368655531</v>
      </c>
      <c r="AZ694" s="122">
        <f t="shared" si="1026"/>
        <v>217.65080409786614</v>
      </c>
      <c r="BA694" s="122">
        <f t="shared" si="1026"/>
        <v>228.15022051174216</v>
      </c>
      <c r="BB694" s="122">
        <f t="shared" si="1026"/>
        <v>238.7791149540584</v>
      </c>
      <c r="BC694" s="122">
        <f t="shared" si="1026"/>
        <v>249.53946729202025</v>
      </c>
      <c r="BD694" s="122">
        <f t="shared" si="1026"/>
        <v>260.43328563994652</v>
      </c>
      <c r="BE694" s="122">
        <f t="shared" si="1026"/>
        <v>271.46260677092693</v>
      </c>
      <c r="BF694" s="122">
        <f t="shared" si="1026"/>
        <v>282.62949653443923</v>
      </c>
    </row>
    <row r="695" spans="1:58" x14ac:dyDescent="0.3">
      <c r="A695" s="283"/>
      <c r="B695" s="283"/>
      <c r="C695" s="283"/>
      <c r="D695" s="283"/>
      <c r="E695" s="283"/>
      <c r="F695" s="283"/>
      <c r="G695" s="283"/>
      <c r="H695" s="283"/>
      <c r="I695" s="283"/>
      <c r="J695" s="283"/>
      <c r="K695" s="283"/>
      <c r="L695" s="279"/>
      <c r="M695" s="311"/>
      <c r="N695" s="312"/>
      <c r="O695" s="295"/>
      <c r="P695" s="295"/>
      <c r="Q695" s="295"/>
      <c r="R695" s="295"/>
      <c r="S695" s="295"/>
      <c r="T695" s="295"/>
      <c r="U695" s="295"/>
      <c r="V695" s="295"/>
      <c r="W695" s="295"/>
      <c r="X695" s="295"/>
      <c r="Y695" s="394"/>
      <c r="Z695" s="295"/>
      <c r="AA695" s="295"/>
      <c r="AB695" s="295"/>
      <c r="AC695" s="295"/>
      <c r="AD695" s="295"/>
      <c r="AE695" s="295"/>
      <c r="AF695" s="295"/>
      <c r="AG695" s="295"/>
      <c r="AH695" s="295"/>
      <c r="AI695" s="295"/>
      <c r="AJ695" s="295"/>
      <c r="AK695" s="295"/>
      <c r="AL695" s="295"/>
      <c r="AM695" s="295"/>
      <c r="AN695" s="295"/>
      <c r="AO695" s="295"/>
      <c r="AP695" s="295"/>
      <c r="AQ695" s="295"/>
      <c r="AR695" s="295"/>
      <c r="AS695" s="295"/>
      <c r="AT695" s="295"/>
      <c r="AU695" s="295"/>
      <c r="AV695" s="295"/>
      <c r="AW695" s="295"/>
      <c r="AX695" s="295"/>
      <c r="AY695" s="295"/>
      <c r="AZ695" s="295"/>
      <c r="BA695" s="295"/>
      <c r="BB695" s="295"/>
      <c r="BC695" s="295"/>
      <c r="BD695" s="295"/>
      <c r="BE695" s="295"/>
      <c r="BF695" s="295"/>
    </row>
    <row r="696" spans="1:58" x14ac:dyDescent="0.3">
      <c r="A696" s="283"/>
      <c r="B696" s="283" t="s">
        <v>888</v>
      </c>
      <c r="C696" s="283" t="s">
        <v>884</v>
      </c>
      <c r="D696" s="283" t="s">
        <v>885</v>
      </c>
      <c r="E696" s="283"/>
      <c r="F696" s="283"/>
      <c r="G696" s="283"/>
      <c r="H696" s="283"/>
      <c r="I696" s="283"/>
      <c r="J696" s="283"/>
      <c r="K696" s="283"/>
      <c r="L696" s="279"/>
      <c r="M696" s="77" t="s">
        <v>896</v>
      </c>
      <c r="N696" s="312" t="s">
        <v>77</v>
      </c>
      <c r="O696" s="295"/>
      <c r="P696" s="295"/>
      <c r="Q696" s="295"/>
      <c r="R696" s="295"/>
      <c r="S696" s="295"/>
      <c r="T696" s="295"/>
      <c r="U696" s="295"/>
      <c r="V696" s="295"/>
      <c r="W696" s="295"/>
      <c r="X696" s="295"/>
      <c r="Y696" s="394"/>
      <c r="Z696" s="295"/>
      <c r="AA696" s="295"/>
      <c r="AB696" s="441">
        <f>AB669+AB683</f>
        <v>10567.960000000001</v>
      </c>
      <c r="AC696" s="442">
        <f>AC669+AC683</f>
        <v>10535.8815</v>
      </c>
      <c r="AD696" s="425">
        <f>AD669+AD683</f>
        <v>10565.232398437502</v>
      </c>
      <c r="AE696" s="425">
        <f t="shared" ref="AE696:BF696" si="1027">AE669+AE683</f>
        <v>10596.024181042589</v>
      </c>
      <c r="AF696" s="425">
        <f t="shared" si="1027"/>
        <v>10628.275414227639</v>
      </c>
      <c r="AG696" s="425">
        <f t="shared" si="1027"/>
        <v>10662.005057906583</v>
      </c>
      <c r="AH696" s="425">
        <f t="shared" si="1027"/>
        <v>10697.232472134878</v>
      </c>
      <c r="AI696" s="425">
        <f t="shared" si="1027"/>
        <v>10738.450455025293</v>
      </c>
      <c r="AJ696" s="425">
        <f t="shared" si="1027"/>
        <v>10780.629357659825</v>
      </c>
      <c r="AK696" s="425">
        <f t="shared" si="1027"/>
        <v>10823.781475688736</v>
      </c>
      <c r="AL696" s="425">
        <f t="shared" si="1027"/>
        <v>10867.919286368789</v>
      </c>
      <c r="AM696" s="425">
        <f t="shared" si="1027"/>
        <v>10913.055451137174</v>
      </c>
      <c r="AN696" s="425">
        <f t="shared" si="1027"/>
        <v>10959.202818222388</v>
      </c>
      <c r="AO696" s="425">
        <f t="shared" si="1027"/>
        <v>11006.37442529255</v>
      </c>
      <c r="AP696" s="425">
        <f t="shared" si="1027"/>
        <v>11054.583502141741</v>
      </c>
      <c r="AQ696" s="425">
        <f t="shared" si="1027"/>
        <v>11103.84347341486</v>
      </c>
      <c r="AR696" s="425">
        <f t="shared" si="1027"/>
        <v>11154.167961371599</v>
      </c>
      <c r="AS696" s="425">
        <f t="shared" si="1027"/>
        <v>11205.570788690031</v>
      </c>
      <c r="AT696" s="425">
        <f t="shared" si="1027"/>
        <v>11258.06598131049</v>
      </c>
      <c r="AU696" s="425">
        <f t="shared" si="1027"/>
        <v>11311.667771320139</v>
      </c>
      <c r="AV696" s="425">
        <f t="shared" si="1027"/>
        <v>11366.39059987902</v>
      </c>
      <c r="AW696" s="425">
        <f t="shared" si="1027"/>
        <v>11422.249120188011</v>
      </c>
      <c r="AX696" s="425">
        <f t="shared" si="1027"/>
        <v>11479.258200499371</v>
      </c>
      <c r="AY696" s="425">
        <f t="shared" si="1027"/>
        <v>11537.432927170474</v>
      </c>
      <c r="AZ696" s="425">
        <f t="shared" si="1027"/>
        <v>11596.788607761318</v>
      </c>
      <c r="BA696" s="425">
        <f t="shared" si="1027"/>
        <v>11657.340774176488</v>
      </c>
      <c r="BB696" s="425">
        <f t="shared" si="1027"/>
        <v>11719.10518585214</v>
      </c>
      <c r="BC696" s="425">
        <f t="shared" si="1027"/>
        <v>11782.097832988729</v>
      </c>
      <c r="BD696" s="425">
        <f t="shared" si="1027"/>
        <v>11846.334939830063</v>
      </c>
      <c r="BE696" s="425">
        <f t="shared" si="1027"/>
        <v>11911.832967989405</v>
      </c>
      <c r="BF696" s="425">
        <f t="shared" si="1027"/>
        <v>11978.608619823226</v>
      </c>
    </row>
    <row r="697" spans="1:58" x14ac:dyDescent="0.3">
      <c r="A697" s="283"/>
      <c r="B697" s="283"/>
      <c r="C697" s="283"/>
      <c r="D697" s="283"/>
      <c r="E697" s="283"/>
      <c r="F697" s="283"/>
      <c r="G697" s="283"/>
      <c r="H697" s="283"/>
      <c r="I697" s="283"/>
      <c r="J697" s="283"/>
      <c r="K697" s="283"/>
      <c r="L697" s="279"/>
      <c r="M697" s="311"/>
      <c r="N697" s="312"/>
      <c r="O697" s="295"/>
      <c r="P697" s="295"/>
      <c r="Q697" s="295"/>
      <c r="R697" s="295"/>
      <c r="S697" s="295"/>
      <c r="T697" s="295"/>
      <c r="U697" s="295"/>
      <c r="V697" s="295"/>
      <c r="W697" s="295"/>
      <c r="X697" s="295"/>
      <c r="Y697" s="394"/>
      <c r="Z697" s="295"/>
      <c r="AA697" s="295"/>
      <c r="AB697" s="295"/>
      <c r="AC697" s="295"/>
      <c r="AD697" s="295"/>
      <c r="AE697" s="295"/>
      <c r="AF697" s="295"/>
      <c r="AG697" s="295"/>
      <c r="AH697" s="295"/>
      <c r="AI697" s="295"/>
      <c r="AJ697" s="295"/>
      <c r="AK697" s="295"/>
      <c r="AL697" s="295"/>
      <c r="AM697" s="295"/>
      <c r="AN697" s="295"/>
      <c r="AO697" s="295"/>
      <c r="AP697" s="295"/>
      <c r="AQ697" s="295"/>
      <c r="AR697" s="295"/>
      <c r="AS697" s="295"/>
      <c r="AT697" s="295"/>
      <c r="AU697" s="295"/>
      <c r="AV697" s="295"/>
      <c r="AW697" s="295"/>
      <c r="AX697" s="295"/>
      <c r="AY697" s="295"/>
      <c r="AZ697" s="295"/>
      <c r="BA697" s="295"/>
      <c r="BB697" s="295"/>
      <c r="BC697" s="295"/>
      <c r="BD697" s="295"/>
      <c r="BE697" s="295"/>
      <c r="BF697" s="295"/>
    </row>
    <row r="698" spans="1:58" x14ac:dyDescent="0.3">
      <c r="A698" s="283"/>
      <c r="B698" s="283"/>
      <c r="C698" s="283"/>
      <c r="D698" s="283"/>
      <c r="E698" s="283"/>
      <c r="F698" s="283"/>
      <c r="G698" s="283"/>
      <c r="H698" s="283"/>
      <c r="I698" s="283"/>
      <c r="J698" s="283"/>
      <c r="K698" s="283"/>
      <c r="L698" s="279"/>
      <c r="M698" s="289" t="s">
        <v>1130</v>
      </c>
      <c r="N698" s="290"/>
      <c r="O698" s="309"/>
      <c r="P698" s="309"/>
      <c r="Q698" s="309"/>
      <c r="R698" s="309"/>
      <c r="S698" s="309"/>
      <c r="T698" s="309"/>
      <c r="U698" s="309"/>
      <c r="V698" s="309"/>
      <c r="W698" s="309"/>
      <c r="X698" s="309"/>
      <c r="Y698" s="397"/>
      <c r="Z698" s="292"/>
      <c r="AA698" s="292"/>
      <c r="AB698" s="310"/>
      <c r="AC698" s="310"/>
      <c r="AD698" s="292"/>
      <c r="AE698" s="292"/>
      <c r="AF698" s="292"/>
      <c r="AG698" s="292"/>
      <c r="AH698" s="292"/>
      <c r="AI698" s="292"/>
      <c r="AJ698" s="292"/>
      <c r="AK698" s="292"/>
      <c r="AL698" s="293"/>
      <c r="AM698" s="291"/>
      <c r="AN698" s="291"/>
      <c r="AO698" s="291"/>
      <c r="AP698" s="291"/>
      <c r="AQ698" s="291"/>
      <c r="AR698" s="291"/>
      <c r="AS698" s="291"/>
      <c r="AT698" s="291"/>
      <c r="AU698" s="291"/>
      <c r="AV698" s="291"/>
      <c r="AW698" s="291"/>
      <c r="AX698" s="291"/>
      <c r="AY698" s="291"/>
      <c r="AZ698" s="291"/>
      <c r="BA698" s="291"/>
      <c r="BB698" s="291"/>
      <c r="BC698" s="291"/>
      <c r="BD698" s="291"/>
      <c r="BE698" s="291"/>
      <c r="BF698" s="291"/>
    </row>
    <row r="699" spans="1:58" x14ac:dyDescent="0.3">
      <c r="A699" s="283" t="str">
        <f>'EE Measures'!D8</f>
        <v>eR1</v>
      </c>
      <c r="B699" s="283" t="s">
        <v>888</v>
      </c>
      <c r="C699" s="283" t="s">
        <v>899</v>
      </c>
      <c r="D699" s="283" t="s">
        <v>900</v>
      </c>
      <c r="E699" s="511">
        <f>INDEX('EE Measures'!IF:IF,MATCH($A699,'EE Measures'!$D:$D,0))</f>
        <v>1</v>
      </c>
      <c r="F699" s="511">
        <f>INDEX('EE Measures'!IG:IG,MATCH($A699,'EE Measures'!$D:$D,0))</f>
        <v>1</v>
      </c>
      <c r="G699" s="511">
        <f>INDEX('EE Measures'!IH:IH,MATCH($A699,'EE Measures'!$D:$D,0))</f>
        <v>1</v>
      </c>
      <c r="H699" s="511">
        <f>INDEX('EE Measures'!II:II,MATCH($A699,'EE Measures'!$D:$D,0))</f>
        <v>1</v>
      </c>
      <c r="I699" s="511">
        <f>INDEX('EE Measures'!IJ:IJ,MATCH($A699,'EE Measures'!$D:$D,0))</f>
        <v>1</v>
      </c>
      <c r="J699" s="511">
        <f>INDEX('EE Measures'!IK:IK,MATCH($A699,'EE Measures'!$D:$D,0))</f>
        <v>1</v>
      </c>
      <c r="K699" s="511">
        <f>INDEX('EE Measures'!IL:IL,MATCH($A699,'EE Measures'!$D:$D,0))</f>
        <v>1</v>
      </c>
      <c r="L699" s="279"/>
      <c r="M699" s="80" t="str">
        <f>INDEX('EE Measures'!$E$8:$E$40,MATCH(A699,'EE Measures'!$D$8:$D$40,0))</f>
        <v>Renovation of apartment buildings (2014-2020)</v>
      </c>
      <c r="N699" s="471" t="s">
        <v>77</v>
      </c>
      <c r="O699" s="295"/>
      <c r="P699" s="295"/>
      <c r="Q699" s="295"/>
      <c r="R699" s="295"/>
      <c r="S699" s="295"/>
      <c r="T699" s="295"/>
      <c r="U699" s="295"/>
      <c r="V699" s="295"/>
      <c r="W699" s="295"/>
      <c r="X699" s="295"/>
      <c r="Y699" s="394"/>
      <c r="Z699" s="283"/>
      <c r="AA699" s="283"/>
      <c r="AB699" s="146"/>
      <c r="AC699" s="146">
        <f>-INDEX('EE Measures'!AR$8:AR$86,MATCH($A699,'EE Measures'!$D$8:$D$86,0))</f>
        <v>-2.5259165613147911</v>
      </c>
      <c r="AD699" s="146">
        <f>-INDEX('EE Measures'!AS$8:AS$86,MATCH($A699,'EE Measures'!$D$8:$D$86,0))</f>
        <v>-2.2836557287179882</v>
      </c>
      <c r="AE699" s="114">
        <f>AD699-INDEX('EE Measures'!AT$8:AT$86,MATCH($A699,'EE Measures'!$D$8:$D$86,0))</f>
        <v>-3.5905503204416429</v>
      </c>
      <c r="AF699" s="114">
        <f>AE699-INDEX('EE Measures'!AU$8:AU$86,MATCH($A699,'EE Measures'!$D$8:$D$86,0))</f>
        <v>-3.5905503204416429</v>
      </c>
      <c r="AG699" s="114">
        <f>AF699-INDEX('EE Measures'!AV$8:AV$86,MATCH($A699,'EE Measures'!$D$8:$D$86,0))</f>
        <v>-3.5905503204416429</v>
      </c>
      <c r="AH699" s="114">
        <f>AG699-INDEX('EE Measures'!AW$8:AW$86,MATCH($A699,'EE Measures'!$D$8:$D$86,0))</f>
        <v>-3.5905503204416429</v>
      </c>
      <c r="AI699" s="114">
        <f>AH699-INDEX('EE Measures'!AX$8:AX$86,MATCH($A699,'EE Measures'!$D$8:$D$86,0))</f>
        <v>-3.5905503204416429</v>
      </c>
      <c r="AJ699" s="114">
        <f>AI699-INDEX('EE Measures'!AY$8:AY$86,MATCH($A699,'EE Measures'!$D$8:$D$86,0))</f>
        <v>-3.5905503204416429</v>
      </c>
      <c r="AK699" s="114">
        <f>AJ699-INDEX('EE Measures'!AZ$8:AZ$86,MATCH($A699,'EE Measures'!$D$8:$D$86,0))</f>
        <v>-3.5905503204416429</v>
      </c>
      <c r="AL699" s="114">
        <f>AK699-INDEX('EE Measures'!BA$8:BA$86,MATCH($A699,'EE Measures'!$D$8:$D$86,0))</f>
        <v>-3.5905503204416429</v>
      </c>
      <c r="AM699" s="283"/>
      <c r="AN699" s="283"/>
      <c r="AO699" s="283"/>
      <c r="AP699" s="283"/>
      <c r="AQ699" s="283"/>
      <c r="AR699" s="283"/>
      <c r="AS699" s="283"/>
      <c r="AT699" s="283"/>
      <c r="AU699" s="283"/>
      <c r="AV699" s="283"/>
      <c r="AW699" s="283"/>
      <c r="AX699" s="283"/>
      <c r="AY699" s="283"/>
      <c r="AZ699" s="283"/>
      <c r="BA699" s="283"/>
      <c r="BB699" s="283"/>
      <c r="BC699" s="283"/>
      <c r="BD699" s="283"/>
      <c r="BE699" s="283"/>
      <c r="BF699" s="283"/>
    </row>
    <row r="700" spans="1:58" x14ac:dyDescent="0.3">
      <c r="A700" s="283" t="str">
        <f>'EE Measures'!D9</f>
        <v>eR2</v>
      </c>
      <c r="B700" s="283" t="s">
        <v>888</v>
      </c>
      <c r="C700" s="283" t="s">
        <v>899</v>
      </c>
      <c r="D700" s="283" t="s">
        <v>900</v>
      </c>
      <c r="E700" s="511">
        <f>INDEX('EE Measures'!IF:IF,MATCH($A700,'EE Measures'!$D:$D,0))</f>
        <v>1</v>
      </c>
      <c r="F700" s="511">
        <f>INDEX('EE Measures'!IG:IG,MATCH($A700,'EE Measures'!$D:$D,0))</f>
        <v>1</v>
      </c>
      <c r="G700" s="511">
        <f>INDEX('EE Measures'!IH:IH,MATCH($A700,'EE Measures'!$D:$D,0))</f>
        <v>1</v>
      </c>
      <c r="H700" s="511">
        <f>INDEX('EE Measures'!II:II,MATCH($A700,'EE Measures'!$D:$D,0))</f>
        <v>1</v>
      </c>
      <c r="I700" s="511">
        <f>INDEX('EE Measures'!IJ:IJ,MATCH($A700,'EE Measures'!$D:$D,0))</f>
        <v>1</v>
      </c>
      <c r="J700" s="511">
        <f>INDEX('EE Measures'!IK:IK,MATCH($A700,'EE Measures'!$D:$D,0))</f>
        <v>1</v>
      </c>
      <c r="K700" s="511">
        <f>INDEX('EE Measures'!IL:IL,MATCH($A700,'EE Measures'!$D:$D,0))</f>
        <v>1</v>
      </c>
      <c r="L700" s="279"/>
      <c r="M700" s="80" t="str">
        <f>INDEX('EE Measures'!$E$8:$E$40,MATCH(A700,'EE Measures'!$D$8:$D$40,0))</f>
        <v>Renovation of private buildings (2019-present)</v>
      </c>
      <c r="N700" s="471" t="s">
        <v>77</v>
      </c>
      <c r="O700" s="295"/>
      <c r="P700" s="295"/>
      <c r="Q700" s="295"/>
      <c r="R700" s="295"/>
      <c r="S700" s="295"/>
      <c r="T700" s="295"/>
      <c r="U700" s="295"/>
      <c r="V700" s="295"/>
      <c r="W700" s="295"/>
      <c r="X700" s="295"/>
      <c r="Y700" s="394"/>
      <c r="Z700" s="283"/>
      <c r="AA700" s="283"/>
      <c r="AB700" s="146"/>
      <c r="AC700" s="146">
        <f>-INDEX('EE Measures'!AR$8:AR$86,MATCH($A700,'EE Measures'!$D$8:$D$86,0))</f>
        <v>-0.25685840707964602</v>
      </c>
      <c r="AD700" s="146">
        <f>-INDEX('EE Measures'!AS$8:AS$86,MATCH($A700,'EE Measures'!$D$8:$D$86,0))</f>
        <v>-1.1415929203539825</v>
      </c>
      <c r="AE700" s="114">
        <f>AD700-INDEX('EE Measures'!AT$8:AT$86,MATCH($A700,'EE Measures'!$D$8:$D$86,0))</f>
        <v>-3.9955752212389388</v>
      </c>
      <c r="AF700" s="114">
        <f>AE700-INDEX('EE Measures'!AU$8:AU$86,MATCH($A700,'EE Measures'!$D$8:$D$86,0))</f>
        <v>-3.9955752212389388</v>
      </c>
      <c r="AG700" s="114">
        <f>AF700-INDEX('EE Measures'!AV$8:AV$86,MATCH($A700,'EE Measures'!$D$8:$D$86,0))</f>
        <v>-3.9955752212389388</v>
      </c>
      <c r="AH700" s="114">
        <f>AG700-INDEX('EE Measures'!AW$8:AW$86,MATCH($A700,'EE Measures'!$D$8:$D$86,0))</f>
        <v>-3.9955752212389388</v>
      </c>
      <c r="AI700" s="114">
        <f>AH700-INDEX('EE Measures'!AX$8:AX$86,MATCH($A700,'EE Measures'!$D$8:$D$86,0))</f>
        <v>-3.9955752212389388</v>
      </c>
      <c r="AJ700" s="114">
        <f>AI700-INDEX('EE Measures'!AY$8:AY$86,MATCH($A700,'EE Measures'!$D$8:$D$86,0))</f>
        <v>-3.9955752212389388</v>
      </c>
      <c r="AK700" s="114">
        <f>AJ700-INDEX('EE Measures'!AZ$8:AZ$86,MATCH($A700,'EE Measures'!$D$8:$D$86,0))</f>
        <v>-3.9955752212389388</v>
      </c>
      <c r="AL700" s="114">
        <f>AK700-INDEX('EE Measures'!BA$8:BA$86,MATCH($A700,'EE Measures'!$D$8:$D$86,0))</f>
        <v>-3.9955752212389388</v>
      </c>
      <c r="AM700" s="283"/>
      <c r="AN700" s="283"/>
      <c r="AO700" s="283"/>
      <c r="AP700" s="283"/>
      <c r="AQ700" s="283"/>
      <c r="AR700" s="283"/>
      <c r="AS700" s="283"/>
      <c r="AT700" s="283"/>
      <c r="AU700" s="283"/>
      <c r="AV700" s="283"/>
      <c r="AW700" s="283"/>
      <c r="AX700" s="283"/>
      <c r="AY700" s="283"/>
      <c r="AZ700" s="283"/>
      <c r="BA700" s="283"/>
      <c r="BB700" s="283"/>
      <c r="BC700" s="283"/>
      <c r="BD700" s="283"/>
      <c r="BE700" s="283"/>
      <c r="BF700" s="283"/>
    </row>
    <row r="701" spans="1:58" x14ac:dyDescent="0.3">
      <c r="A701" s="283" t="str">
        <f>'EE Measures'!D10</f>
        <v>eR3</v>
      </c>
      <c r="B701" s="283" t="s">
        <v>888</v>
      </c>
      <c r="C701" s="283" t="s">
        <v>899</v>
      </c>
      <c r="D701" s="283" t="s">
        <v>900</v>
      </c>
      <c r="E701" s="511">
        <f>INDEX('EE Measures'!IF:IF,MATCH($A701,'EE Measures'!$D:$D,0))</f>
        <v>1</v>
      </c>
      <c r="F701" s="511">
        <f>INDEX('EE Measures'!IG:IG,MATCH($A701,'EE Measures'!$D:$D,0))</f>
        <v>1</v>
      </c>
      <c r="G701" s="511">
        <f>INDEX('EE Measures'!IH:IH,MATCH($A701,'EE Measures'!$D:$D,0))</f>
        <v>1</v>
      </c>
      <c r="H701" s="511">
        <f>INDEX('EE Measures'!II:II,MATCH($A701,'EE Measures'!$D:$D,0))</f>
        <v>1</v>
      </c>
      <c r="I701" s="511">
        <f>INDEX('EE Measures'!IJ:IJ,MATCH($A701,'EE Measures'!$D:$D,0))</f>
        <v>1</v>
      </c>
      <c r="J701" s="511">
        <f>INDEX('EE Measures'!IK:IK,MATCH($A701,'EE Measures'!$D:$D,0))</f>
        <v>1</v>
      </c>
      <c r="K701" s="511">
        <f>INDEX('EE Measures'!IL:IL,MATCH($A701,'EE Measures'!$D:$D,0))</f>
        <v>1</v>
      </c>
      <c r="L701" s="279"/>
      <c r="M701" s="80" t="str">
        <f>INDEX('EE Measures'!$E$8:$E$40,MATCH(A701,'EE Measures'!$D$8:$D$40,0))</f>
        <v>Renovation of rental apartments (2016-present)</v>
      </c>
      <c r="N701" s="471" t="s">
        <v>77</v>
      </c>
      <c r="O701" s="295"/>
      <c r="P701" s="295"/>
      <c r="Q701" s="295"/>
      <c r="R701" s="295"/>
      <c r="S701" s="295"/>
      <c r="T701" s="295"/>
      <c r="U701" s="295"/>
      <c r="V701" s="295"/>
      <c r="W701" s="295"/>
      <c r="X701" s="295"/>
      <c r="Y701" s="394"/>
      <c r="Z701" s="283"/>
      <c r="AA701" s="283"/>
      <c r="AB701" s="146"/>
      <c r="AC701" s="146">
        <f>-INDEX('EE Measures'!AR$8:AR$86,MATCH($A701,'EE Measures'!$D$8:$D$86,0))</f>
        <v>0</v>
      </c>
      <c r="AD701" s="146">
        <f>-INDEX('EE Measures'!AS$8:AS$86,MATCH($A701,'EE Measures'!$D$8:$D$86,0))</f>
        <v>0</v>
      </c>
      <c r="AE701" s="114">
        <f>AD701-INDEX('EE Measures'!AT$8:AT$86,MATCH($A701,'EE Measures'!$D$8:$D$86,0))</f>
        <v>0</v>
      </c>
      <c r="AF701" s="114">
        <f>AE701-INDEX('EE Measures'!AU$8:AU$86,MATCH($A701,'EE Measures'!$D$8:$D$86,0))</f>
        <v>0</v>
      </c>
      <c r="AG701" s="114">
        <f>AF701-INDEX('EE Measures'!AV$8:AV$86,MATCH($A701,'EE Measures'!$D$8:$D$86,0))</f>
        <v>0</v>
      </c>
      <c r="AH701" s="114">
        <f>AG701-INDEX('EE Measures'!AW$8:AW$86,MATCH($A701,'EE Measures'!$D$8:$D$86,0))</f>
        <v>0</v>
      </c>
      <c r="AI701" s="114">
        <f>AH701-INDEX('EE Measures'!AX$8:AX$86,MATCH($A701,'EE Measures'!$D$8:$D$86,0))</f>
        <v>0</v>
      </c>
      <c r="AJ701" s="114">
        <f>AI701-INDEX('EE Measures'!AY$8:AY$86,MATCH($A701,'EE Measures'!$D$8:$D$86,0))</f>
        <v>0</v>
      </c>
      <c r="AK701" s="114">
        <f>AJ701-INDEX('EE Measures'!AZ$8:AZ$86,MATCH($A701,'EE Measures'!$D$8:$D$86,0))</f>
        <v>0</v>
      </c>
      <c r="AL701" s="114">
        <f>AK701-INDEX('EE Measures'!BA$8:BA$86,MATCH($A701,'EE Measures'!$D$8:$D$86,0))</f>
        <v>0</v>
      </c>
      <c r="AM701" s="283"/>
      <c r="AN701" s="283"/>
      <c r="AO701" s="283"/>
      <c r="AP701" s="283"/>
      <c r="AQ701" s="283"/>
      <c r="AR701" s="283"/>
      <c r="AS701" s="283"/>
      <c r="AT701" s="283"/>
      <c r="AU701" s="283"/>
      <c r="AV701" s="283"/>
      <c r="AW701" s="283"/>
      <c r="AX701" s="283"/>
      <c r="AY701" s="283"/>
      <c r="AZ701" s="283"/>
      <c r="BA701" s="283"/>
      <c r="BB701" s="283"/>
      <c r="BC701" s="283"/>
      <c r="BD701" s="283"/>
      <c r="BE701" s="283"/>
      <c r="BF701" s="283"/>
    </row>
    <row r="702" spans="1:58" x14ac:dyDescent="0.3">
      <c r="A702" s="283" t="str">
        <f>'EE Measures'!D11</f>
        <v>eR4</v>
      </c>
      <c r="B702" s="283" t="s">
        <v>888</v>
      </c>
      <c r="C702" s="283" t="s">
        <v>899</v>
      </c>
      <c r="D702" s="283" t="s">
        <v>900</v>
      </c>
      <c r="E702" s="511">
        <f>INDEX('EE Measures'!IF:IF,MATCH($A702,'EE Measures'!$D:$D,0))</f>
        <v>1</v>
      </c>
      <c r="F702" s="511">
        <f>INDEX('EE Measures'!IG:IG,MATCH($A702,'EE Measures'!$D:$D,0))</f>
        <v>1</v>
      </c>
      <c r="G702" s="511">
        <f>INDEX('EE Measures'!IH:IH,MATCH($A702,'EE Measures'!$D:$D,0))</f>
        <v>1</v>
      </c>
      <c r="H702" s="511">
        <f>INDEX('EE Measures'!II:II,MATCH($A702,'EE Measures'!$D:$D,0))</f>
        <v>1</v>
      </c>
      <c r="I702" s="511">
        <f>INDEX('EE Measures'!IJ:IJ,MATCH($A702,'EE Measures'!$D:$D,0))</f>
        <v>1</v>
      </c>
      <c r="J702" s="511">
        <f>INDEX('EE Measures'!IK:IK,MATCH($A702,'EE Measures'!$D:$D,0))</f>
        <v>1</v>
      </c>
      <c r="K702" s="511">
        <f>INDEX('EE Measures'!IL:IL,MATCH($A702,'EE Measures'!$D:$D,0))</f>
        <v>1</v>
      </c>
      <c r="L702" s="279"/>
      <c r="M702" s="80" t="str">
        <f>INDEX('EE Measures'!$E$8:$E$40,MATCH(A702,'EE Measures'!$D$8:$D$40,0))</f>
        <v>Atmospheric air protection programme, including replacing fossil fuel-based heating equipment for apartment associations (2014-present)</v>
      </c>
      <c r="N702" s="471" t="s">
        <v>77</v>
      </c>
      <c r="O702" s="295"/>
      <c r="P702" s="295"/>
      <c r="Q702" s="295"/>
      <c r="R702" s="295"/>
      <c r="S702" s="295"/>
      <c r="T702" s="295"/>
      <c r="U702" s="295"/>
      <c r="V702" s="295"/>
      <c r="W702" s="295"/>
      <c r="X702" s="295"/>
      <c r="Y702" s="394"/>
      <c r="Z702" s="295"/>
      <c r="AA702" s="295"/>
      <c r="AB702" s="146"/>
      <c r="AC702" s="146">
        <f>-INDEX('EE Measures'!AR$8:AR$86,MATCH($A702,'EE Measures'!$D$8:$D$86,0))</f>
        <v>-0.16700000000000004</v>
      </c>
      <c r="AD702" s="146">
        <f>-INDEX('EE Measures'!AS$8:AS$86,MATCH($A702,'EE Measures'!$D$8:$D$86,0))</f>
        <v>-0.16700000000000004</v>
      </c>
      <c r="AE702" s="114">
        <f>AD702-INDEX('EE Measures'!AT$8:AT$86,MATCH($A702,'EE Measures'!$D$8:$D$86,0))</f>
        <v>-0.33400000000000007</v>
      </c>
      <c r="AF702" s="114">
        <f>AE702-INDEX('EE Measures'!AU$8:AU$86,MATCH($A702,'EE Measures'!$D$8:$D$86,0))</f>
        <v>-0.50100000000000011</v>
      </c>
      <c r="AG702" s="114">
        <f>AF702-INDEX('EE Measures'!AV$8:AV$86,MATCH($A702,'EE Measures'!$D$8:$D$86,0))</f>
        <v>-0.66800000000000015</v>
      </c>
      <c r="AH702" s="114">
        <f>AG702-INDEX('EE Measures'!AW$8:AW$86,MATCH($A702,'EE Measures'!$D$8:$D$86,0))</f>
        <v>-0.83500000000000019</v>
      </c>
      <c r="AI702" s="114">
        <f>AH702-INDEX('EE Measures'!AX$8:AX$86,MATCH($A702,'EE Measures'!$D$8:$D$86,0))</f>
        <v>-1.0020000000000002</v>
      </c>
      <c r="AJ702" s="114">
        <f>AI702-INDEX('EE Measures'!AY$8:AY$86,MATCH($A702,'EE Measures'!$D$8:$D$86,0))</f>
        <v>-1.0020000000000002</v>
      </c>
      <c r="AK702" s="114">
        <f>AJ702-INDEX('EE Measures'!AZ$8:AZ$86,MATCH($A702,'EE Measures'!$D$8:$D$86,0))</f>
        <v>-1.0020000000000002</v>
      </c>
      <c r="AL702" s="114">
        <f>AK702-INDEX('EE Measures'!BA$8:BA$86,MATCH($A702,'EE Measures'!$D$8:$D$86,0))</f>
        <v>-1.0020000000000002</v>
      </c>
      <c r="AM702" s="283"/>
      <c r="AN702" s="283"/>
      <c r="AO702" s="283"/>
      <c r="AP702" s="283"/>
      <c r="AQ702" s="283"/>
      <c r="AR702" s="283"/>
      <c r="AS702" s="283"/>
      <c r="AT702" s="283"/>
      <c r="AU702" s="283"/>
      <c r="AV702" s="283"/>
      <c r="AW702" s="283"/>
      <c r="AX702" s="283"/>
      <c r="AY702" s="283"/>
      <c r="AZ702" s="283"/>
      <c r="BA702" s="283"/>
      <c r="BB702" s="283"/>
      <c r="BC702" s="283"/>
      <c r="BD702" s="283"/>
      <c r="BE702" s="283"/>
      <c r="BF702" s="283"/>
    </row>
    <row r="703" spans="1:58" x14ac:dyDescent="0.3">
      <c r="A703" s="283"/>
      <c r="B703" s="283"/>
      <c r="C703" s="283"/>
      <c r="D703" s="283"/>
      <c r="E703" s="283"/>
      <c r="F703" s="283"/>
      <c r="G703" s="283"/>
      <c r="H703" s="283"/>
      <c r="I703" s="283"/>
      <c r="J703" s="283"/>
      <c r="K703" s="283"/>
      <c r="L703" s="279"/>
      <c r="M703" s="88" t="s">
        <v>1160</v>
      </c>
      <c r="N703" s="471" t="s">
        <v>77</v>
      </c>
      <c r="O703" s="295"/>
      <c r="P703" s="295"/>
      <c r="Q703" s="295"/>
      <c r="R703" s="295"/>
      <c r="S703" s="295"/>
      <c r="T703" s="295"/>
      <c r="U703" s="295"/>
      <c r="V703" s="295"/>
      <c r="W703" s="295"/>
      <c r="X703" s="295"/>
      <c r="Y703" s="394"/>
      <c r="Z703" s="295"/>
      <c r="AA703" s="295"/>
      <c r="AB703" s="116">
        <f t="shared" ref="AB703:AC703" si="1028">AB696+SUM(AB699:AB702)</f>
        <v>10567.960000000001</v>
      </c>
      <c r="AC703" s="116">
        <f t="shared" si="1028"/>
        <v>10532.931725031605</v>
      </c>
      <c r="AD703" s="116">
        <f t="shared" ref="AD703:AL703" si="1029">AD696+SUM(AD699:AD702)</f>
        <v>10561.640149788429</v>
      </c>
      <c r="AE703" s="116">
        <f t="shared" si="1029"/>
        <v>10588.104055500908</v>
      </c>
      <c r="AF703" s="116">
        <f t="shared" si="1029"/>
        <v>10620.188288685958</v>
      </c>
      <c r="AG703" s="116">
        <f t="shared" si="1029"/>
        <v>10653.750932364903</v>
      </c>
      <c r="AH703" s="116">
        <f t="shared" si="1029"/>
        <v>10688.811346593197</v>
      </c>
      <c r="AI703" s="116">
        <f t="shared" si="1029"/>
        <v>10729.862329483612</v>
      </c>
      <c r="AJ703" s="116">
        <f t="shared" si="1029"/>
        <v>10772.041232118145</v>
      </c>
      <c r="AK703" s="116">
        <f t="shared" si="1029"/>
        <v>10815.193350147056</v>
      </c>
      <c r="AL703" s="116">
        <f t="shared" si="1029"/>
        <v>10859.331160827109</v>
      </c>
      <c r="AM703" s="283"/>
      <c r="AN703" s="283"/>
      <c r="AO703" s="283"/>
      <c r="AP703" s="283"/>
      <c r="AQ703" s="283"/>
      <c r="AR703" s="283"/>
      <c r="AS703" s="283"/>
      <c r="AT703" s="283"/>
      <c r="AU703" s="283"/>
      <c r="AV703" s="283"/>
      <c r="AW703" s="283"/>
      <c r="AX703" s="283"/>
      <c r="AY703" s="283"/>
      <c r="AZ703" s="283"/>
      <c r="BA703" s="283"/>
      <c r="BB703" s="283"/>
      <c r="BC703" s="283"/>
      <c r="BD703" s="283"/>
      <c r="BE703" s="283"/>
      <c r="BF703" s="283"/>
    </row>
    <row r="704" spans="1:58" ht="14.25" thickBot="1" x14ac:dyDescent="0.35">
      <c r="A704" s="283"/>
      <c r="B704" s="283"/>
      <c r="C704" s="283"/>
      <c r="D704" s="283"/>
      <c r="E704" s="283"/>
      <c r="F704" s="283"/>
      <c r="G704" s="283"/>
      <c r="H704" s="283"/>
      <c r="I704" s="283"/>
      <c r="J704" s="283"/>
      <c r="K704" s="283"/>
      <c r="L704" s="279"/>
      <c r="M704" s="72" t="s">
        <v>915</v>
      </c>
      <c r="N704" s="472" t="s">
        <v>68</v>
      </c>
      <c r="O704" s="295"/>
      <c r="P704" s="295"/>
      <c r="Q704" s="295"/>
      <c r="R704" s="295"/>
      <c r="S704" s="295"/>
      <c r="T704" s="295"/>
      <c r="U704" s="295"/>
      <c r="V704" s="295"/>
      <c r="W704" s="295"/>
      <c r="X704" s="295"/>
      <c r="Y704" s="394"/>
      <c r="Z704" s="295"/>
      <c r="AA704" s="295"/>
      <c r="AB704" s="428">
        <f t="shared" ref="AB704:AC704" si="1030">(AB$696-AB703)/AB$696</f>
        <v>0</v>
      </c>
      <c r="AC704" s="428">
        <f t="shared" si="1030"/>
        <v>2.7997419754523576E-4</v>
      </c>
      <c r="AD704" s="428">
        <f>(AD$696-AD703)/AD$696</f>
        <v>3.4000659082557462E-4</v>
      </c>
      <c r="AE704" s="428">
        <f>((AE$696-AE703)-(AD$696-AD703))/AE$696</f>
        <v>4.0844347074551151E-4</v>
      </c>
      <c r="AF704" s="428">
        <f>((AF$696-AF703)-(AE$696-AE703))/AF$696</f>
        <v>1.5712803205673939E-5</v>
      </c>
      <c r="AG704" s="428">
        <f t="shared" ref="AG704:AL704" si="1031">((AG$696-AG703)-(AF$696-AF703))/AG$696</f>
        <v>1.5663095176982685E-5</v>
      </c>
      <c r="AH704" s="428">
        <f t="shared" si="1031"/>
        <v>1.5611514514272482E-5</v>
      </c>
      <c r="AI704" s="428">
        <f t="shared" si="1031"/>
        <v>1.5551591982371188E-5</v>
      </c>
      <c r="AJ704" s="428">
        <f t="shared" si="1031"/>
        <v>0</v>
      </c>
      <c r="AK704" s="428">
        <f t="shared" si="1031"/>
        <v>0</v>
      </c>
      <c r="AL704" s="429">
        <f t="shared" si="1031"/>
        <v>0</v>
      </c>
      <c r="AM704" s="283"/>
      <c r="AN704" s="283"/>
      <c r="AO704" s="283"/>
      <c r="AP704" s="283"/>
      <c r="AQ704" s="283"/>
      <c r="AR704" s="283"/>
      <c r="AS704" s="283"/>
      <c r="AT704" s="283"/>
      <c r="AU704" s="283"/>
      <c r="AV704" s="283"/>
      <c r="AW704" s="283"/>
      <c r="AX704" s="283"/>
      <c r="AY704" s="283"/>
      <c r="AZ704" s="283"/>
      <c r="BA704" s="283"/>
      <c r="BB704" s="283"/>
      <c r="BC704" s="283"/>
      <c r="BD704" s="283"/>
      <c r="BE704" s="283"/>
      <c r="BF704" s="283"/>
    </row>
    <row r="705" spans="1:58" ht="14.25" thickBot="1" x14ac:dyDescent="0.35">
      <c r="A705" s="283"/>
      <c r="B705" s="283"/>
      <c r="C705" s="283"/>
      <c r="D705" s="283"/>
      <c r="E705" s="283"/>
      <c r="F705" s="283"/>
      <c r="G705" s="283"/>
      <c r="H705" s="283"/>
      <c r="I705" s="283"/>
      <c r="J705" s="283"/>
      <c r="K705" s="283"/>
      <c r="L705" s="279"/>
      <c r="M705" s="72" t="s">
        <v>916</v>
      </c>
      <c r="N705" s="472" t="s">
        <v>68</v>
      </c>
      <c r="O705" s="294"/>
      <c r="P705" s="294"/>
      <c r="Q705" s="294"/>
      <c r="R705" s="294"/>
      <c r="S705" s="294"/>
      <c r="T705" s="294"/>
      <c r="U705" s="294"/>
      <c r="V705" s="294"/>
      <c r="W705" s="294"/>
      <c r="X705" s="294"/>
      <c r="Y705" s="394"/>
      <c r="Z705" s="295"/>
      <c r="AA705" s="295"/>
      <c r="AB705" s="430"/>
      <c r="AC705" s="430"/>
      <c r="AD705" s="430"/>
      <c r="AE705" s="430"/>
      <c r="AF705" s="430"/>
      <c r="AG705" s="430"/>
      <c r="AH705" s="430"/>
      <c r="AI705" s="430"/>
      <c r="AJ705" s="430"/>
      <c r="AK705" s="430"/>
      <c r="AL705" s="431">
        <f>((AL$696-AL703)/AL$696)/9</f>
        <v>8.7803023389649036E-5</v>
      </c>
      <c r="AM705" s="283"/>
      <c r="AN705" s="283"/>
      <c r="AO705" s="283"/>
      <c r="AP705" s="283"/>
      <c r="AQ705" s="283"/>
      <c r="AR705" s="283"/>
      <c r="AS705" s="283"/>
      <c r="AT705" s="283"/>
      <c r="AU705" s="283"/>
      <c r="AV705" s="283"/>
      <c r="AW705" s="283"/>
      <c r="AX705" s="283"/>
      <c r="AY705" s="283"/>
      <c r="AZ705" s="283"/>
      <c r="BA705" s="283"/>
      <c r="BB705" s="283"/>
      <c r="BC705" s="283"/>
      <c r="BD705" s="283"/>
      <c r="BE705" s="283"/>
      <c r="BF705" s="283"/>
    </row>
    <row r="706" spans="1:58" x14ac:dyDescent="0.3">
      <c r="A706" s="283"/>
      <c r="B706" s="283"/>
      <c r="C706" s="283"/>
      <c r="D706" s="283"/>
      <c r="E706" s="283"/>
      <c r="F706" s="283"/>
      <c r="G706" s="283"/>
      <c r="H706" s="283"/>
      <c r="I706" s="283"/>
      <c r="J706" s="283"/>
      <c r="K706" s="283"/>
      <c r="L706" s="279"/>
      <c r="M706" s="289" t="s">
        <v>1131</v>
      </c>
      <c r="N706" s="290"/>
      <c r="O706" s="309"/>
      <c r="P706" s="309"/>
      <c r="Q706" s="309"/>
      <c r="R706" s="309"/>
      <c r="S706" s="309"/>
      <c r="T706" s="309"/>
      <c r="U706" s="309"/>
      <c r="V706" s="309"/>
      <c r="W706" s="309"/>
      <c r="X706" s="309"/>
      <c r="Y706" s="397"/>
      <c r="Z706" s="292"/>
      <c r="AA706" s="292"/>
      <c r="AB706" s="292"/>
      <c r="AC706" s="292"/>
      <c r="AD706" s="292"/>
      <c r="AE706" s="292"/>
      <c r="AF706" s="292"/>
      <c r="AG706" s="292"/>
      <c r="AH706" s="292"/>
      <c r="AI706" s="292"/>
      <c r="AJ706" s="292"/>
      <c r="AK706" s="292"/>
      <c r="AL706" s="293"/>
      <c r="AM706" s="291"/>
      <c r="AN706" s="291"/>
      <c r="AO706" s="291"/>
      <c r="AP706" s="291"/>
      <c r="AQ706" s="291"/>
      <c r="AR706" s="291"/>
      <c r="AS706" s="291"/>
      <c r="AT706" s="291"/>
      <c r="AU706" s="291"/>
      <c r="AV706" s="291"/>
      <c r="AW706" s="291"/>
      <c r="AX706" s="291"/>
      <c r="AY706" s="291"/>
      <c r="AZ706" s="291"/>
      <c r="BA706" s="291"/>
      <c r="BB706" s="291"/>
      <c r="BC706" s="291"/>
      <c r="BD706" s="291"/>
      <c r="BE706" s="291"/>
      <c r="BF706" s="291"/>
    </row>
    <row r="707" spans="1:58" x14ac:dyDescent="0.3">
      <c r="A707" s="283" t="str">
        <f>'EE Measures'!D42</f>
        <v>nR1</v>
      </c>
      <c r="B707" s="283" t="s">
        <v>888</v>
      </c>
      <c r="C707" s="283" t="s">
        <v>917</v>
      </c>
      <c r="D707" s="283" t="s">
        <v>900</v>
      </c>
      <c r="E707" s="511">
        <f>INDEX('EE Measures'!IF:IF,MATCH($A707,'EE Measures'!$D:$D,0))</f>
        <v>0</v>
      </c>
      <c r="F707" s="511">
        <f>INDEX('EE Measures'!IG:IG,MATCH($A707,'EE Measures'!$D:$D,0))</f>
        <v>1</v>
      </c>
      <c r="G707" s="511">
        <f>INDEX('EE Measures'!IH:IH,MATCH($A707,'EE Measures'!$D:$D,0))</f>
        <v>0</v>
      </c>
      <c r="H707" s="511">
        <f>INDEX('EE Measures'!II:II,MATCH($A707,'EE Measures'!$D:$D,0))</f>
        <v>0</v>
      </c>
      <c r="I707" s="511">
        <f>INDEX('EE Measures'!IJ:IJ,MATCH($A707,'EE Measures'!$D:$D,0))</f>
        <v>0</v>
      </c>
      <c r="J707" s="511">
        <f>INDEX('EE Measures'!IK:IK,MATCH($A707,'EE Measures'!$D:$D,0))</f>
        <v>0</v>
      </c>
      <c r="K707" s="511">
        <f>INDEX('EE Measures'!IL:IL,MATCH($A707,'EE Measures'!$D:$D,0))</f>
        <v>0</v>
      </c>
      <c r="L707" s="279"/>
      <c r="M707" s="179" t="str">
        <f>INDEX('EE Measures'!$E$42:$E$86,MATCH($A707,'EE Measures'!$D$42:$D$86,0))</f>
        <v>Obligation scheme for residential sector</v>
      </c>
      <c r="N707" s="471" t="s">
        <v>77</v>
      </c>
      <c r="O707" s="295"/>
      <c r="P707" s="295"/>
      <c r="Q707" s="295"/>
      <c r="R707" s="295"/>
      <c r="S707" s="295"/>
      <c r="T707" s="295"/>
      <c r="U707" s="295"/>
      <c r="V707" s="295"/>
      <c r="W707" s="295"/>
      <c r="X707" s="295"/>
      <c r="Y707" s="394"/>
      <c r="Z707" s="283"/>
      <c r="AA707" s="283"/>
      <c r="AB707" s="146"/>
      <c r="AC707" s="146">
        <f>-INDEX('EE Measures'!AR$8:AR$86,MATCH($A707,'EE Measures'!$D$8:$D$86,0))</f>
        <v>0</v>
      </c>
      <c r="AD707" s="146">
        <f>-INDEX('EE Measures'!AS$8:AS$86,MATCH($A707,'EE Measures'!$D$8:$D$86,0))</f>
        <v>0</v>
      </c>
      <c r="AE707" s="114">
        <f>AD707-INDEX('EE Measures'!AT$8:AT$86,MATCH($A707,'EE Measures'!$D$8:$D$86,0))</f>
        <v>0</v>
      </c>
      <c r="AF707" s="114">
        <f>AE707-INDEX('EE Measures'!AU$8:AU$86,MATCH($A707,'EE Measures'!$D$8:$D$86,0))</f>
        <v>0</v>
      </c>
      <c r="AG707" s="114">
        <f>AF707-INDEX('EE Measures'!AV$8:AV$86,MATCH($A707,'EE Measures'!$D$8:$D$86,0))</f>
        <v>-109</v>
      </c>
      <c r="AH707" s="114">
        <f>AG707-INDEX('EE Measures'!AW$8:AW$86,MATCH($A707,'EE Measures'!$D$8:$D$86,0))</f>
        <v>-218</v>
      </c>
      <c r="AI707" s="114">
        <f>AH707-INDEX('EE Measures'!AX$8:AX$86,MATCH($A707,'EE Measures'!$D$8:$D$86,0))</f>
        <v>-327</v>
      </c>
      <c r="AJ707" s="114">
        <f>AI707-INDEX('EE Measures'!AY$8:AY$86,MATCH($A707,'EE Measures'!$D$8:$D$86,0))</f>
        <v>-436</v>
      </c>
      <c r="AK707" s="114">
        <f>AJ707-INDEX('EE Measures'!AZ$8:AZ$86,MATCH($A707,'EE Measures'!$D$8:$D$86,0))</f>
        <v>-545</v>
      </c>
      <c r="AL707" s="114">
        <f>AK707-INDEX('EE Measures'!BA$8:BA$86,MATCH($A707,'EE Measures'!$D$8:$D$86,0))</f>
        <v>-654</v>
      </c>
      <c r="AM707" s="283"/>
      <c r="AN707" s="283"/>
      <c r="AO707" s="283"/>
      <c r="AP707" s="283"/>
      <c r="AQ707" s="283"/>
      <c r="AR707" s="283"/>
      <c r="AS707" s="283"/>
      <c r="AT707" s="283"/>
      <c r="AU707" s="283"/>
      <c r="AV707" s="283"/>
      <c r="AW707" s="283"/>
      <c r="AX707" s="283"/>
      <c r="AY707" s="283"/>
      <c r="AZ707" s="283"/>
      <c r="BA707" s="283"/>
      <c r="BB707" s="283"/>
      <c r="BC707" s="283"/>
      <c r="BD707" s="283"/>
      <c r="BE707" s="283"/>
      <c r="BF707" s="283"/>
    </row>
    <row r="708" spans="1:58" x14ac:dyDescent="0.3">
      <c r="A708" s="283" t="str">
        <f>'EE Measures'!D43</f>
        <v>nR2</v>
      </c>
      <c r="B708" s="283" t="s">
        <v>888</v>
      </c>
      <c r="C708" s="283" t="s">
        <v>917</v>
      </c>
      <c r="D708" s="283" t="s">
        <v>900</v>
      </c>
      <c r="E708" s="511">
        <f>INDEX('EE Measures'!IF:IF,MATCH($A708,'EE Measures'!$D:$D,0))</f>
        <v>0</v>
      </c>
      <c r="F708" s="511">
        <f>INDEX('EE Measures'!IG:IG,MATCH($A708,'EE Measures'!$D:$D,0))</f>
        <v>1</v>
      </c>
      <c r="G708" s="511">
        <f>INDEX('EE Measures'!IH:IH,MATCH($A708,'EE Measures'!$D:$D,0))</f>
        <v>1</v>
      </c>
      <c r="H708" s="511">
        <f>INDEX('EE Measures'!II:II,MATCH($A708,'EE Measures'!$D:$D,0))</f>
        <v>0</v>
      </c>
      <c r="I708" s="511">
        <f>INDEX('EE Measures'!IJ:IJ,MATCH($A708,'EE Measures'!$D:$D,0))</f>
        <v>1</v>
      </c>
      <c r="J708" s="511">
        <f>INDEX('EE Measures'!IK:IK,MATCH($A708,'EE Measures'!$D:$D,0))</f>
        <v>1</v>
      </c>
      <c r="K708" s="511">
        <f>INDEX('EE Measures'!IL:IL,MATCH($A708,'EE Measures'!$D:$D,0))</f>
        <v>1</v>
      </c>
      <c r="L708" s="279"/>
      <c r="M708" s="179" t="str">
        <f>INDEX('EE Measures'!$E$42:$E$86,MATCH($A708,'EE Measures'!$D$42:$D$86,0))</f>
        <v>MEPS targeting rented/selling dwellings</v>
      </c>
      <c r="N708" s="471" t="s">
        <v>77</v>
      </c>
      <c r="O708" s="295"/>
      <c r="P708" s="295"/>
      <c r="Q708" s="295"/>
      <c r="R708" s="295"/>
      <c r="S708" s="295"/>
      <c r="T708" s="295"/>
      <c r="U708" s="295"/>
      <c r="V708" s="295"/>
      <c r="W708" s="295"/>
      <c r="X708" s="295"/>
      <c r="Y708" s="394"/>
      <c r="Z708" s="283"/>
      <c r="AA708" s="283"/>
      <c r="AB708" s="146"/>
      <c r="AC708" s="146">
        <f>-INDEX('EE Measures'!AR$8:AR$86,MATCH($A708,'EE Measures'!$D$8:$D$86,0))</f>
        <v>0</v>
      </c>
      <c r="AD708" s="146">
        <f>-INDEX('EE Measures'!AS$8:AS$86,MATCH($A708,'EE Measures'!$D$8:$D$86,0))</f>
        <v>0</v>
      </c>
      <c r="AE708" s="114">
        <f>AD708-INDEX('EE Measures'!AT$8:AT$86,MATCH($A708,'EE Measures'!$D$8:$D$86,0))</f>
        <v>0</v>
      </c>
      <c r="AF708" s="114">
        <f>AE708-INDEX('EE Measures'!AU$8:AU$86,MATCH($A708,'EE Measures'!$D$8:$D$86,0))</f>
        <v>0</v>
      </c>
      <c r="AG708" s="114">
        <f>AF708-INDEX('EE Measures'!AV$8:AV$86,MATCH($A708,'EE Measures'!$D$8:$D$86,0))</f>
        <v>-55.3125</v>
      </c>
      <c r="AH708" s="114">
        <f>AG708-INDEX('EE Measures'!AW$8:AW$86,MATCH($A708,'EE Measures'!$D$8:$D$86,0))</f>
        <v>-110.625</v>
      </c>
      <c r="AI708" s="114">
        <f>AH708-INDEX('EE Measures'!AX$8:AX$86,MATCH($A708,'EE Measures'!$D$8:$D$86,0))</f>
        <v>-165.9375</v>
      </c>
      <c r="AJ708" s="114">
        <f>AI708-INDEX('EE Measures'!AY$8:AY$86,MATCH($A708,'EE Measures'!$D$8:$D$86,0))</f>
        <v>-221.25</v>
      </c>
      <c r="AK708" s="114">
        <f>AJ708-INDEX('EE Measures'!AZ$8:AZ$86,MATCH($A708,'EE Measures'!$D$8:$D$86,0))</f>
        <v>-276.5625</v>
      </c>
      <c r="AL708" s="114">
        <f>AK708-INDEX('EE Measures'!BA$8:BA$86,MATCH($A708,'EE Measures'!$D$8:$D$86,0))</f>
        <v>-331.875</v>
      </c>
      <c r="AM708" s="283"/>
      <c r="AN708" s="283"/>
      <c r="AO708" s="283"/>
      <c r="AP708" s="283"/>
      <c r="AQ708" s="283"/>
      <c r="AR708" s="283"/>
      <c r="AS708" s="283"/>
      <c r="AT708" s="283"/>
      <c r="AU708" s="283"/>
      <c r="AV708" s="283"/>
      <c r="AW708" s="283"/>
      <c r="AX708" s="283"/>
      <c r="AY708" s="283"/>
      <c r="AZ708" s="283"/>
      <c r="BA708" s="283"/>
      <c r="BB708" s="283"/>
      <c r="BC708" s="283"/>
      <c r="BD708" s="283"/>
      <c r="BE708" s="283"/>
      <c r="BF708" s="283"/>
    </row>
    <row r="709" spans="1:58" x14ac:dyDescent="0.3">
      <c r="A709" s="283" t="str">
        <f>'EE Measures'!D44</f>
        <v>nR3</v>
      </c>
      <c r="B709" s="283" t="s">
        <v>888</v>
      </c>
      <c r="C709" s="283" t="s">
        <v>917</v>
      </c>
      <c r="D709" s="283" t="s">
        <v>900</v>
      </c>
      <c r="E709" s="511">
        <f>INDEX('EE Measures'!IF:IF,MATCH($A709,'EE Measures'!$D:$D,0))</f>
        <v>0</v>
      </c>
      <c r="F709" s="511">
        <f>INDEX('EE Measures'!IG:IG,MATCH($A709,'EE Measures'!$D:$D,0))</f>
        <v>0</v>
      </c>
      <c r="G709" s="511">
        <f>INDEX('EE Measures'!IH:IH,MATCH($A709,'EE Measures'!$D:$D,0))</f>
        <v>0</v>
      </c>
      <c r="H709" s="511">
        <f>INDEX('EE Measures'!II:II,MATCH($A709,'EE Measures'!$D:$D,0))</f>
        <v>1</v>
      </c>
      <c r="I709" s="511">
        <f>INDEX('EE Measures'!IJ:IJ,MATCH($A709,'EE Measures'!$D:$D,0))</f>
        <v>0</v>
      </c>
      <c r="J709" s="511">
        <f>INDEX('EE Measures'!IK:IK,MATCH($A709,'EE Measures'!$D:$D,0))</f>
        <v>0</v>
      </c>
      <c r="K709" s="511">
        <f>INDEX('EE Measures'!IL:IL,MATCH($A709,'EE Measures'!$D:$D,0))</f>
        <v>0</v>
      </c>
      <c r="L709" s="279"/>
      <c r="M709" s="179" t="str">
        <f>INDEX('EE Measures'!$E$42:$E$86,MATCH($A709,'EE Measures'!$D$42:$D$86,0))</f>
        <v>MEPS for all dwelling (regulatory requirements for EPC class E, F, and G or above)</v>
      </c>
      <c r="N709" s="471" t="s">
        <v>77</v>
      </c>
      <c r="O709" s="295"/>
      <c r="P709" s="295"/>
      <c r="Q709" s="295"/>
      <c r="R709" s="295"/>
      <c r="S709" s="295"/>
      <c r="T709" s="295"/>
      <c r="U709" s="295"/>
      <c r="V709" s="295"/>
      <c r="W709" s="295"/>
      <c r="X709" s="295"/>
      <c r="Y709" s="394"/>
      <c r="Z709" s="283"/>
      <c r="AA709" s="283"/>
      <c r="AB709" s="146"/>
      <c r="AC709" s="146">
        <f>-INDEX('EE Measures'!AR$8:AR$86,MATCH($A709,'EE Measures'!$D$8:$D$86,0))</f>
        <v>0</v>
      </c>
      <c r="AD709" s="146">
        <f>-INDEX('EE Measures'!AS$8:AS$86,MATCH($A709,'EE Measures'!$D$8:$D$86,0))</f>
        <v>0</v>
      </c>
      <c r="AE709" s="114">
        <f>AD709-INDEX('EE Measures'!AT$8:AT$86,MATCH($A709,'EE Measures'!$D$8:$D$86,0))</f>
        <v>0</v>
      </c>
      <c r="AF709" s="114">
        <f>AE709-INDEX('EE Measures'!AU$8:AU$86,MATCH($A709,'EE Measures'!$D$8:$D$86,0))</f>
        <v>0</v>
      </c>
      <c r="AG709" s="114">
        <f>AF709-INDEX('EE Measures'!AV$8:AV$86,MATCH($A709,'EE Measures'!$D$8:$D$86,0))</f>
        <v>-181.609375</v>
      </c>
      <c r="AH709" s="114">
        <f>AG709-INDEX('EE Measures'!AW$8:AW$86,MATCH($A709,'EE Measures'!$D$8:$D$86,0))</f>
        <v>-363.21875</v>
      </c>
      <c r="AI709" s="114">
        <f>AH709-INDEX('EE Measures'!AX$8:AX$86,MATCH($A709,'EE Measures'!$D$8:$D$86,0))</f>
        <v>-544.828125</v>
      </c>
      <c r="AJ709" s="114">
        <f>AI709-INDEX('EE Measures'!AY$8:AY$86,MATCH($A709,'EE Measures'!$D$8:$D$86,0))</f>
        <v>-726.4375</v>
      </c>
      <c r="AK709" s="114">
        <f>AJ709-INDEX('EE Measures'!AZ$8:AZ$86,MATCH($A709,'EE Measures'!$D$8:$D$86,0))</f>
        <v>-908.046875</v>
      </c>
      <c r="AL709" s="114">
        <f>AK709-INDEX('EE Measures'!BA$8:BA$86,MATCH($A709,'EE Measures'!$D$8:$D$86,0))</f>
        <v>-1089.65625</v>
      </c>
      <c r="AM709" s="283"/>
      <c r="AN709" s="283"/>
      <c r="AO709" s="283"/>
      <c r="AP709" s="283"/>
      <c r="AQ709" s="283"/>
      <c r="AR709" s="283"/>
      <c r="AS709" s="283"/>
      <c r="AT709" s="283"/>
      <c r="AU709" s="283"/>
      <c r="AV709" s="283"/>
      <c r="AW709" s="283"/>
      <c r="AX709" s="283"/>
      <c r="AY709" s="283"/>
      <c r="AZ709" s="283"/>
      <c r="BA709" s="283"/>
      <c r="BB709" s="283"/>
      <c r="BC709" s="283"/>
      <c r="BD709" s="283"/>
      <c r="BE709" s="283"/>
      <c r="BF709" s="283"/>
    </row>
    <row r="710" spans="1:58" x14ac:dyDescent="0.3">
      <c r="A710" s="283" t="str">
        <f>'EE Measures'!D45</f>
        <v>nR4</v>
      </c>
      <c r="B710" s="283" t="s">
        <v>888</v>
      </c>
      <c r="C710" s="283" t="s">
        <v>917</v>
      </c>
      <c r="D710" s="283" t="s">
        <v>900</v>
      </c>
      <c r="E710" s="511">
        <f>INDEX('EE Measures'!IF:IF,MATCH($A710,'EE Measures'!$D:$D,0))</f>
        <v>0</v>
      </c>
      <c r="F710" s="511">
        <f>INDEX('EE Measures'!IG:IG,MATCH($A710,'EE Measures'!$D:$D,0))</f>
        <v>1</v>
      </c>
      <c r="G710" s="511">
        <f>INDEX('EE Measures'!IH:IH,MATCH($A710,'EE Measures'!$D:$D,0))</f>
        <v>0.5</v>
      </c>
      <c r="H710" s="511">
        <f>INDEX('EE Measures'!II:II,MATCH($A710,'EE Measures'!$D:$D,0))</f>
        <v>1.2</v>
      </c>
      <c r="I710" s="511">
        <f>INDEX('EE Measures'!IJ:IJ,MATCH($A710,'EE Measures'!$D:$D,0))</f>
        <v>0.5</v>
      </c>
      <c r="J710" s="511">
        <f>INDEX('EE Measures'!IK:IK,MATCH($A710,'EE Measures'!$D:$D,0))</f>
        <v>1</v>
      </c>
      <c r="K710" s="511">
        <f>INDEX('EE Measures'!IL:IL,MATCH($A710,'EE Measures'!$D:$D,0))</f>
        <v>1</v>
      </c>
      <c r="L710" s="279"/>
      <c r="M710" s="179" t="str">
        <f>INDEX('EE Measures'!$E$42:$E$86,MATCH($A710,'EE Measures'!$D$42:$D$86,0))</f>
        <v>Renovation grants for single family houses (20-30% support)</v>
      </c>
      <c r="N710" s="471" t="s">
        <v>77</v>
      </c>
      <c r="O710" s="295"/>
      <c r="P710" s="295"/>
      <c r="Q710" s="295"/>
      <c r="R710" s="295"/>
      <c r="S710" s="295"/>
      <c r="T710" s="295"/>
      <c r="U710" s="295"/>
      <c r="V710" s="295"/>
      <c r="W710" s="295"/>
      <c r="X710" s="295"/>
      <c r="Y710" s="394"/>
      <c r="Z710" s="283"/>
      <c r="AA710" s="283"/>
      <c r="AB710" s="146"/>
      <c r="AC710" s="146">
        <f>-INDEX('EE Measures'!AR$8:AR$86,MATCH($A710,'EE Measures'!$D$8:$D$86,0))</f>
        <v>0</v>
      </c>
      <c r="AD710" s="146">
        <f>-INDEX('EE Measures'!AS$8:AS$86,MATCH($A710,'EE Measures'!$D$8:$D$86,0))</f>
        <v>0</v>
      </c>
      <c r="AE710" s="114">
        <f>AD710-INDEX('EE Measures'!AT$8:AT$86,MATCH($A710,'EE Measures'!$D$8:$D$86,0))</f>
        <v>0</v>
      </c>
      <c r="AF710" s="114">
        <f>AE710-INDEX('EE Measures'!AU$8:AU$86,MATCH($A710,'EE Measures'!$D$8:$D$86,0))</f>
        <v>0</v>
      </c>
      <c r="AG710" s="114">
        <f>AF710-INDEX('EE Measures'!AV$8:AV$86,MATCH($A710,'EE Measures'!$D$8:$D$86,0))</f>
        <v>-8</v>
      </c>
      <c r="AH710" s="114">
        <f>AG710-INDEX('EE Measures'!AW$8:AW$86,MATCH($A710,'EE Measures'!$D$8:$D$86,0))</f>
        <v>-15.843137254901961</v>
      </c>
      <c r="AI710" s="114">
        <f>AH710-INDEX('EE Measures'!AX$8:AX$86,MATCH($A710,'EE Measures'!$D$8:$D$86,0))</f>
        <v>-23.532487504805843</v>
      </c>
      <c r="AJ710" s="114">
        <f>AI710-INDEX('EE Measures'!AY$8:AY$86,MATCH($A710,'EE Measures'!$D$8:$D$86,0))</f>
        <v>-31.071066181182196</v>
      </c>
      <c r="AK710" s="114">
        <f>AJ710-INDEX('EE Measures'!AZ$8:AZ$86,MATCH($A710,'EE Measures'!$D$8:$D$86,0))</f>
        <v>-38.461829589394306</v>
      </c>
      <c r="AL710" s="114">
        <f>AK710-INDEX('EE Measures'!BA$8:BA$86,MATCH($A710,'EE Measures'!$D$8:$D$86,0))</f>
        <v>-45.707676068033628</v>
      </c>
      <c r="AM710" s="283"/>
      <c r="AN710" s="283"/>
      <c r="AO710" s="283"/>
      <c r="AP710" s="283"/>
      <c r="AQ710" s="283"/>
      <c r="AR710" s="283"/>
      <c r="AS710" s="283"/>
      <c r="AT710" s="283"/>
      <c r="AU710" s="283"/>
      <c r="AV710" s="283"/>
      <c r="AW710" s="283"/>
      <c r="AX710" s="283"/>
      <c r="AY710" s="283"/>
      <c r="AZ710" s="283"/>
      <c r="BA710" s="283"/>
      <c r="BB710" s="283"/>
      <c r="BC710" s="283"/>
      <c r="BD710" s="283"/>
      <c r="BE710" s="283"/>
      <c r="BF710" s="283"/>
    </row>
    <row r="711" spans="1:58" x14ac:dyDescent="0.3">
      <c r="A711" s="283" t="str">
        <f>'EE Measures'!D46</f>
        <v>nR5</v>
      </c>
      <c r="B711" s="283" t="s">
        <v>888</v>
      </c>
      <c r="C711" s="283" t="s">
        <v>917</v>
      </c>
      <c r="D711" s="283" t="s">
        <v>900</v>
      </c>
      <c r="E711" s="511">
        <f>INDEX('EE Measures'!IF:IF,MATCH($A711,'EE Measures'!$D:$D,0))</f>
        <v>0</v>
      </c>
      <c r="F711" s="511">
        <f>INDEX('EE Measures'!IG:IG,MATCH($A711,'EE Measures'!$D:$D,0))</f>
        <v>0</v>
      </c>
      <c r="G711" s="511">
        <f>INDEX('EE Measures'!IH:IH,MATCH($A711,'EE Measures'!$D:$D,0))</f>
        <v>0.5</v>
      </c>
      <c r="H711" s="511">
        <f>INDEX('EE Measures'!II:II,MATCH($A711,'EE Measures'!$D:$D,0))</f>
        <v>1</v>
      </c>
      <c r="I711" s="511">
        <f>INDEX('EE Measures'!IJ:IJ,MATCH($A711,'EE Measures'!$D:$D,0))</f>
        <v>0.5</v>
      </c>
      <c r="J711" s="511">
        <f>INDEX('EE Measures'!IK:IK,MATCH($A711,'EE Measures'!$D:$D,0))</f>
        <v>1</v>
      </c>
      <c r="K711" s="511">
        <f>INDEX('EE Measures'!IL:IL,MATCH($A711,'EE Measures'!$D:$D,0))</f>
        <v>1</v>
      </c>
      <c r="L711" s="279"/>
      <c r="M711" s="179" t="str">
        <f>INDEX('EE Measures'!$E$42:$E$86,MATCH($A711,'EE Measures'!$D$42:$D$86,0))</f>
        <v>Tax deduction for renovation works by private persons (=parallel track for single family)</v>
      </c>
      <c r="N711" s="471" t="s">
        <v>77</v>
      </c>
      <c r="O711" s="295"/>
      <c r="P711" s="295"/>
      <c r="Q711" s="295"/>
      <c r="R711" s="295"/>
      <c r="S711" s="295"/>
      <c r="T711" s="295"/>
      <c r="U711" s="295"/>
      <c r="V711" s="295"/>
      <c r="W711" s="295"/>
      <c r="X711" s="295"/>
      <c r="Y711" s="394"/>
      <c r="Z711" s="283"/>
      <c r="AA711" s="283"/>
      <c r="AB711" s="146"/>
      <c r="AC711" s="146">
        <f>-INDEX('EE Measures'!AR$8:AR$86,MATCH($A711,'EE Measures'!$D$8:$D$86,0))</f>
        <v>0</v>
      </c>
      <c r="AD711" s="146">
        <f>-INDEX('EE Measures'!AS$8:AS$86,MATCH($A711,'EE Measures'!$D$8:$D$86,0))</f>
        <v>0</v>
      </c>
      <c r="AE711" s="114">
        <f>AD711-INDEX('EE Measures'!AT$8:AT$86,MATCH($A711,'EE Measures'!$D$8:$D$86,0))</f>
        <v>0</v>
      </c>
      <c r="AF711" s="114">
        <f>AE711-INDEX('EE Measures'!AU$8:AU$86,MATCH($A711,'EE Measures'!$D$8:$D$86,0))</f>
        <v>0</v>
      </c>
      <c r="AG711" s="114">
        <f>AF711-INDEX('EE Measures'!AV$8:AV$86,MATCH($A711,'EE Measures'!$D$8:$D$86,0))</f>
        <v>-7.2000000000000011</v>
      </c>
      <c r="AH711" s="114">
        <f>AG711-INDEX('EE Measures'!AW$8:AW$86,MATCH($A711,'EE Measures'!$D$8:$D$86,0))</f>
        <v>-14.258823529411767</v>
      </c>
      <c r="AI711" s="114">
        <f>AH711-INDEX('EE Measures'!AX$8:AX$86,MATCH($A711,'EE Measures'!$D$8:$D$86,0))</f>
        <v>-21.179238754325262</v>
      </c>
      <c r="AJ711" s="114">
        <f>AI711-INDEX('EE Measures'!AY$8:AY$86,MATCH($A711,'EE Measures'!$D$8:$D$86,0))</f>
        <v>-27.96395956306398</v>
      </c>
      <c r="AK711" s="114">
        <f>AJ711-INDEX('EE Measures'!AZ$8:AZ$86,MATCH($A711,'EE Measures'!$D$8:$D$86,0))</f>
        <v>-34.615646630454883</v>
      </c>
      <c r="AL711" s="114">
        <f>AK711-INDEX('EE Measures'!BA$8:BA$86,MATCH($A711,'EE Measures'!$D$8:$D$86,0))</f>
        <v>-41.136908461230277</v>
      </c>
      <c r="AM711" s="283"/>
      <c r="AN711" s="283"/>
      <c r="AO711" s="283"/>
      <c r="AP711" s="283"/>
      <c r="AQ711" s="283"/>
      <c r="AR711" s="283"/>
      <c r="AS711" s="283"/>
      <c r="AT711" s="283"/>
      <c r="AU711" s="283"/>
      <c r="AV711" s="283"/>
      <c r="AW711" s="283"/>
      <c r="AX711" s="283"/>
      <c r="AY711" s="283"/>
      <c r="AZ711" s="283"/>
      <c r="BA711" s="283"/>
      <c r="BB711" s="283"/>
      <c r="BC711" s="283"/>
      <c r="BD711" s="283"/>
      <c r="BE711" s="283"/>
      <c r="BF711" s="283"/>
    </row>
    <row r="712" spans="1:58" x14ac:dyDescent="0.3">
      <c r="A712" s="283" t="str">
        <f>'EE Measures'!D47</f>
        <v>nR6</v>
      </c>
      <c r="B712" s="283" t="s">
        <v>888</v>
      </c>
      <c r="C712" s="283" t="s">
        <v>917</v>
      </c>
      <c r="D712" s="283" t="s">
        <v>900</v>
      </c>
      <c r="E712" s="511">
        <f>INDEX('EE Measures'!IF:IF,MATCH($A712,'EE Measures'!$D:$D,0))</f>
        <v>0</v>
      </c>
      <c r="F712" s="511">
        <f>INDEX('EE Measures'!IG:IG,MATCH($A712,'EE Measures'!$D:$D,0))</f>
        <v>0</v>
      </c>
      <c r="G712" s="511">
        <f>INDEX('EE Measures'!IH:IH,MATCH($A712,'EE Measures'!$D:$D,0))</f>
        <v>0.5</v>
      </c>
      <c r="H712" s="511">
        <f>INDEX('EE Measures'!II:II,MATCH($A712,'EE Measures'!$D:$D,0))</f>
        <v>1.1000000000000001</v>
      </c>
      <c r="I712" s="511">
        <f>INDEX('EE Measures'!IJ:IJ,MATCH($A712,'EE Measures'!$D:$D,0))</f>
        <v>0.5</v>
      </c>
      <c r="J712" s="511">
        <f>INDEX('EE Measures'!IK:IK,MATCH($A712,'EE Measures'!$D:$D,0))</f>
        <v>0.65</v>
      </c>
      <c r="K712" s="511">
        <f>INDEX('EE Measures'!IL:IL,MATCH($A712,'EE Measures'!$D:$D,0))</f>
        <v>1</v>
      </c>
      <c r="L712" s="279"/>
      <c r="M712" s="179" t="str">
        <f>INDEX('EE Measures'!$E$42:$E$86,MATCH($A712,'EE Measures'!$D$42:$D$86,0))</f>
        <v>Renovation grants for multifamily buildings/housing associations (30% support)</v>
      </c>
      <c r="N712" s="471" t="s">
        <v>77</v>
      </c>
      <c r="O712" s="295"/>
      <c r="P712" s="295"/>
      <c r="Q712" s="295"/>
      <c r="R712" s="295"/>
      <c r="S712" s="295"/>
      <c r="T712" s="295"/>
      <c r="U712" s="295"/>
      <c r="V712" s="295"/>
      <c r="W712" s="295"/>
      <c r="X712" s="295"/>
      <c r="Y712" s="394"/>
      <c r="Z712" s="283"/>
      <c r="AA712" s="283"/>
      <c r="AB712" s="146"/>
      <c r="AC712" s="146">
        <f>-INDEX('EE Measures'!AR$8:AR$86,MATCH($A712,'EE Measures'!$D$8:$D$86,0))</f>
        <v>0</v>
      </c>
      <c r="AD712" s="146">
        <f>-INDEX('EE Measures'!AS$8:AS$86,MATCH($A712,'EE Measures'!$D$8:$D$86,0))</f>
        <v>0</v>
      </c>
      <c r="AE712" s="114">
        <f>AD712-INDEX('EE Measures'!AT$8:AT$86,MATCH($A712,'EE Measures'!$D$8:$D$86,0))</f>
        <v>0</v>
      </c>
      <c r="AF712" s="114">
        <f>AE712-INDEX('EE Measures'!AU$8:AU$86,MATCH($A712,'EE Measures'!$D$8:$D$86,0))</f>
        <v>0</v>
      </c>
      <c r="AG712" s="114">
        <f>AF712-INDEX('EE Measures'!AV$8:AV$86,MATCH($A712,'EE Measures'!$D$8:$D$86,0))</f>
        <v>-120.00000000000001</v>
      </c>
      <c r="AH712" s="114">
        <f>AG712-INDEX('EE Measures'!AW$8:AW$86,MATCH($A712,'EE Measures'!$D$8:$D$86,0))</f>
        <v>-237.64705882352945</v>
      </c>
      <c r="AI712" s="114">
        <f>AH712-INDEX('EE Measures'!AX$8:AX$86,MATCH($A712,'EE Measures'!$D$8:$D$86,0))</f>
        <v>-352.98731257208772</v>
      </c>
      <c r="AJ712" s="114">
        <f>AI712-INDEX('EE Measures'!AY$8:AY$86,MATCH($A712,'EE Measures'!$D$8:$D$86,0))</f>
        <v>-466.06599271773308</v>
      </c>
      <c r="AK712" s="114">
        <f>AJ712-INDEX('EE Measures'!AZ$8:AZ$86,MATCH($A712,'EE Measures'!$D$8:$D$86,0))</f>
        <v>-576.92744384091475</v>
      </c>
      <c r="AL712" s="114">
        <f>AK712-INDEX('EE Measures'!BA$8:BA$86,MATCH($A712,'EE Measures'!$D$8:$D$86,0))</f>
        <v>-685.61514102050467</v>
      </c>
      <c r="AM712" s="283"/>
      <c r="AN712" s="283"/>
      <c r="AO712" s="283"/>
      <c r="AP712" s="283"/>
      <c r="AQ712" s="283"/>
      <c r="AR712" s="283"/>
      <c r="AS712" s="283"/>
      <c r="AT712" s="283"/>
      <c r="AU712" s="283"/>
      <c r="AV712" s="283"/>
      <c r="AW712" s="283"/>
      <c r="AX712" s="283"/>
      <c r="AY712" s="283"/>
      <c r="AZ712" s="283"/>
      <c r="BA712" s="283"/>
      <c r="BB712" s="283"/>
      <c r="BC712" s="283"/>
      <c r="BD712" s="283"/>
      <c r="BE712" s="283"/>
      <c r="BF712" s="283"/>
    </row>
    <row r="713" spans="1:58" x14ac:dyDescent="0.3">
      <c r="A713" s="283" t="str">
        <f>'EE Measures'!D48</f>
        <v>nR7</v>
      </c>
      <c r="B713" s="283" t="s">
        <v>888</v>
      </c>
      <c r="C713" s="283" t="s">
        <v>917</v>
      </c>
      <c r="D713" s="283" t="s">
        <v>900</v>
      </c>
      <c r="E713" s="511">
        <f>INDEX('EE Measures'!IF:IF,MATCH($A713,'EE Measures'!$D:$D,0))</f>
        <v>0</v>
      </c>
      <c r="F713" s="511">
        <f>INDEX('EE Measures'!IG:IG,MATCH($A713,'EE Measures'!$D:$D,0))</f>
        <v>0</v>
      </c>
      <c r="G713" s="511">
        <f>INDEX('EE Measures'!IH:IH,MATCH($A713,'EE Measures'!$D:$D,0))</f>
        <v>0</v>
      </c>
      <c r="H713" s="511">
        <f>INDEX('EE Measures'!II:II,MATCH($A713,'EE Measures'!$D:$D,0))</f>
        <v>0.5</v>
      </c>
      <c r="I713" s="511">
        <f>INDEX('EE Measures'!IJ:IJ,MATCH($A713,'EE Measures'!$D:$D,0))</f>
        <v>0</v>
      </c>
      <c r="J713" s="511">
        <f>INDEX('EE Measures'!IK:IK,MATCH($A713,'EE Measures'!$D:$D,0))</f>
        <v>1</v>
      </c>
      <c r="K713" s="511">
        <f>INDEX('EE Measures'!IL:IL,MATCH($A713,'EE Measures'!$D:$D,0))</f>
        <v>1</v>
      </c>
      <c r="L713" s="279"/>
      <c r="M713" s="179" t="str">
        <f>INDEX('EE Measures'!$E$42:$E$86,MATCH($A713,'EE Measures'!$D$42:$D$86,0))</f>
        <v>Property tax (according to EPC levels)</v>
      </c>
      <c r="N713" s="471" t="s">
        <v>77</v>
      </c>
      <c r="O713" s="295"/>
      <c r="P713" s="295"/>
      <c r="Q713" s="295"/>
      <c r="R713" s="295"/>
      <c r="S713" s="295"/>
      <c r="T713" s="295"/>
      <c r="U713" s="295"/>
      <c r="V713" s="295"/>
      <c r="W713" s="295"/>
      <c r="X713" s="295"/>
      <c r="Y713" s="394"/>
      <c r="Z713" s="283"/>
      <c r="AA713" s="283"/>
      <c r="AB713" s="146"/>
      <c r="AC713" s="146">
        <f>-INDEX('EE Measures'!AR$8:AR$86,MATCH($A713,'EE Measures'!$D$8:$D$86,0))</f>
        <v>0</v>
      </c>
      <c r="AD713" s="146">
        <f>-INDEX('EE Measures'!AS$8:AS$86,MATCH($A713,'EE Measures'!$D$8:$D$86,0))</f>
        <v>0</v>
      </c>
      <c r="AE713" s="114">
        <f>AD713-INDEX('EE Measures'!AT$8:AT$86,MATCH($A713,'EE Measures'!$D$8:$D$86,0))</f>
        <v>0</v>
      </c>
      <c r="AF713" s="114">
        <f>AE713-INDEX('EE Measures'!AU$8:AU$86,MATCH($A713,'EE Measures'!$D$8:$D$86,0))</f>
        <v>0</v>
      </c>
      <c r="AG713" s="114">
        <f>AF713-INDEX('EE Measures'!AV$8:AV$86,MATCH($A713,'EE Measures'!$D$8:$D$86,0))</f>
        <v>-40</v>
      </c>
      <c r="AH713" s="114">
        <f>AG713-INDEX('EE Measures'!AW$8:AW$86,MATCH($A713,'EE Measures'!$D$8:$D$86,0))</f>
        <v>-79.215686274509807</v>
      </c>
      <c r="AI713" s="114">
        <f>AH713-INDEX('EE Measures'!AX$8:AX$86,MATCH($A713,'EE Measures'!$D$8:$D$86,0))</f>
        <v>-117.66243752402923</v>
      </c>
      <c r="AJ713" s="114">
        <f>AI713-INDEX('EE Measures'!AY$8:AY$86,MATCH($A713,'EE Measures'!$D$8:$D$86,0))</f>
        <v>-155.35533090591102</v>
      </c>
      <c r="AK713" s="114">
        <f>AJ713-INDEX('EE Measures'!AZ$8:AZ$86,MATCH($A713,'EE Measures'!$D$8:$D$86,0))</f>
        <v>-192.30914794697159</v>
      </c>
      <c r="AL713" s="114">
        <f>AK713-INDEX('EE Measures'!BA$8:BA$86,MATCH($A713,'EE Measures'!$D$8:$D$86,0))</f>
        <v>-228.53838034016823</v>
      </c>
      <c r="AM713" s="283"/>
      <c r="AN713" s="283"/>
      <c r="AO713" s="283"/>
      <c r="AP713" s="283"/>
      <c r="AQ713" s="283"/>
      <c r="AR713" s="283"/>
      <c r="AS713" s="283"/>
      <c r="AT713" s="283"/>
      <c r="AU713" s="283"/>
      <c r="AV713" s="283"/>
      <c r="AW713" s="283"/>
      <c r="AX713" s="283"/>
      <c r="AY713" s="283"/>
      <c r="AZ713" s="283"/>
      <c r="BA713" s="283"/>
      <c r="BB713" s="283"/>
      <c r="BC713" s="283"/>
      <c r="BD713" s="283"/>
      <c r="BE713" s="283"/>
      <c r="BF713" s="283"/>
    </row>
    <row r="714" spans="1:58" x14ac:dyDescent="0.3">
      <c r="A714" s="283" t="str">
        <f>'EE Measures'!D49</f>
        <v>nR8</v>
      </c>
      <c r="B714" s="283" t="s">
        <v>888</v>
      </c>
      <c r="C714" s="283" t="s">
        <v>917</v>
      </c>
      <c r="D714" s="283" t="s">
        <v>900</v>
      </c>
      <c r="E714" s="511">
        <f>INDEX('EE Measures'!IF:IF,MATCH($A714,'EE Measures'!$D:$D,0))</f>
        <v>0</v>
      </c>
      <c r="F714" s="511">
        <f>INDEX('EE Measures'!IG:IG,MATCH($A714,'EE Measures'!$D:$D,0))</f>
        <v>0</v>
      </c>
      <c r="G714" s="511">
        <f>INDEX('EE Measures'!IH:IH,MATCH($A714,'EE Measures'!$D:$D,0))</f>
        <v>1</v>
      </c>
      <c r="H714" s="511">
        <f>INDEX('EE Measures'!II:II,MATCH($A714,'EE Measures'!$D:$D,0))</f>
        <v>0.5</v>
      </c>
      <c r="I714" s="511">
        <f>INDEX('EE Measures'!IJ:IJ,MATCH($A714,'EE Measures'!$D:$D,0))</f>
        <v>0.5</v>
      </c>
      <c r="J714" s="511">
        <f>INDEX('EE Measures'!IK:IK,MATCH($A714,'EE Measures'!$D:$D,0))</f>
        <v>0</v>
      </c>
      <c r="K714" s="511">
        <f>INDEX('EE Measures'!IL:IL,MATCH($A714,'EE Measures'!$D:$D,0))</f>
        <v>1</v>
      </c>
      <c r="L714" s="279"/>
      <c r="M714" s="179" t="str">
        <f>INDEX('EE Measures'!$E$42:$E$86,MATCH($A714,'EE Measures'!$D$42:$D$86,0))</f>
        <v>CO2 tax for end energy use of residential buildings</v>
      </c>
      <c r="N714" s="471" t="s">
        <v>77</v>
      </c>
      <c r="O714" s="295"/>
      <c r="P714" s="295"/>
      <c r="Q714" s="295"/>
      <c r="R714" s="295"/>
      <c r="S714" s="295"/>
      <c r="T714" s="295"/>
      <c r="U714" s="295"/>
      <c r="V714" s="295"/>
      <c r="W714" s="295"/>
      <c r="X714" s="295"/>
      <c r="Y714" s="394"/>
      <c r="Z714" s="283"/>
      <c r="AA714" s="283"/>
      <c r="AB714" s="146"/>
      <c r="AC714" s="146">
        <f>-INDEX('EE Measures'!AR$8:AR$86,MATCH($A714,'EE Measures'!$D$8:$D$86,0))</f>
        <v>0</v>
      </c>
      <c r="AD714" s="146">
        <f>-INDEX('EE Measures'!AS$8:AS$86,MATCH($A714,'EE Measures'!$D$8:$D$86,0))</f>
        <v>0</v>
      </c>
      <c r="AE714" s="114">
        <f>AD714-INDEX('EE Measures'!AT$8:AT$86,MATCH($A714,'EE Measures'!$D$8:$D$86,0))</f>
        <v>0</v>
      </c>
      <c r="AF714" s="114">
        <f>AE714-INDEX('EE Measures'!AU$8:AU$86,MATCH($A714,'EE Measures'!$D$8:$D$86,0))</f>
        <v>0</v>
      </c>
      <c r="AG714" s="114">
        <f>AF714-INDEX('EE Measures'!AV$8:AV$86,MATCH($A714,'EE Measures'!$D$8:$D$86,0))</f>
        <v>-40</v>
      </c>
      <c r="AH714" s="114">
        <f>AG714-INDEX('EE Measures'!AW$8:AW$86,MATCH($A714,'EE Measures'!$D$8:$D$86,0))</f>
        <v>-79.215686274509807</v>
      </c>
      <c r="AI714" s="114">
        <f>AH714-INDEX('EE Measures'!AX$8:AX$86,MATCH($A714,'EE Measures'!$D$8:$D$86,0))</f>
        <v>-117.66243752402923</v>
      </c>
      <c r="AJ714" s="114">
        <f>AI714-INDEX('EE Measures'!AY$8:AY$86,MATCH($A714,'EE Measures'!$D$8:$D$86,0))</f>
        <v>-155.35533090591102</v>
      </c>
      <c r="AK714" s="114">
        <f>AJ714-INDEX('EE Measures'!AZ$8:AZ$86,MATCH($A714,'EE Measures'!$D$8:$D$86,0))</f>
        <v>-192.30914794697159</v>
      </c>
      <c r="AL714" s="114">
        <f>AK714-INDEX('EE Measures'!BA$8:BA$86,MATCH($A714,'EE Measures'!$D$8:$D$86,0))</f>
        <v>-228.53838034016823</v>
      </c>
      <c r="AM714" s="283"/>
      <c r="AN714" s="283"/>
      <c r="AO714" s="283"/>
      <c r="AP714" s="283"/>
      <c r="AQ714" s="283"/>
      <c r="AR714" s="283"/>
      <c r="AS714" s="283"/>
      <c r="AT714" s="283"/>
      <c r="AU714" s="283"/>
      <c r="AV714" s="283"/>
      <c r="AW714" s="283"/>
      <c r="AX714" s="283"/>
      <c r="AY714" s="283"/>
      <c r="AZ714" s="283"/>
      <c r="BA714" s="283"/>
      <c r="BB714" s="283"/>
      <c r="BC714" s="283"/>
      <c r="BD714" s="283"/>
      <c r="BE714" s="283"/>
      <c r="BF714" s="283"/>
    </row>
    <row r="715" spans="1:58" x14ac:dyDescent="0.3">
      <c r="A715" s="283"/>
      <c r="B715" s="283"/>
      <c r="C715" s="283"/>
      <c r="D715" s="283"/>
      <c r="E715" s="283"/>
      <c r="F715" s="283"/>
      <c r="G715" s="283"/>
      <c r="H715" s="283"/>
      <c r="I715" s="283"/>
      <c r="J715" s="283"/>
      <c r="K715" s="283"/>
      <c r="L715" s="279"/>
      <c r="M715" s="88" t="s">
        <v>914</v>
      </c>
      <c r="N715" s="471" t="s">
        <v>77</v>
      </c>
      <c r="O715" s="295"/>
      <c r="P715" s="295"/>
      <c r="Q715" s="295"/>
      <c r="R715" s="295"/>
      <c r="S715" s="295"/>
      <c r="T715" s="295"/>
      <c r="U715" s="295"/>
      <c r="V715" s="295"/>
      <c r="W715" s="295"/>
      <c r="X715" s="295"/>
      <c r="Y715" s="394"/>
      <c r="Z715" s="283"/>
      <c r="AA715" s="283"/>
      <c r="AB715" s="116">
        <f t="shared" ref="AB715:AC715" si="1032">AB703+SUM(AB707:AB714)</f>
        <v>10567.960000000001</v>
      </c>
      <c r="AC715" s="116">
        <f t="shared" si="1032"/>
        <v>10532.931725031605</v>
      </c>
      <c r="AD715" s="116">
        <f t="shared" ref="AD715:AL715" si="1033">AD703+SUM(AD707:AD714)</f>
        <v>10561.640149788429</v>
      </c>
      <c r="AE715" s="116">
        <f t="shared" si="1033"/>
        <v>10588.104055500908</v>
      </c>
      <c r="AF715" s="116">
        <f t="shared" si="1033"/>
        <v>10620.188288685958</v>
      </c>
      <c r="AG715" s="116">
        <f t="shared" si="1033"/>
        <v>10092.629057364902</v>
      </c>
      <c r="AH715" s="116">
        <f t="shared" si="1033"/>
        <v>9570.7872044363339</v>
      </c>
      <c r="AI715" s="116">
        <f t="shared" si="1033"/>
        <v>9059.0727906043358</v>
      </c>
      <c r="AJ715" s="116">
        <f t="shared" si="1033"/>
        <v>8552.5420518443425</v>
      </c>
      <c r="AK715" s="116">
        <f t="shared" si="1033"/>
        <v>8050.9607591923486</v>
      </c>
      <c r="AL715" s="116">
        <f t="shared" si="1033"/>
        <v>7554.2634245970039</v>
      </c>
      <c r="AM715" s="283"/>
      <c r="AN715" s="283"/>
      <c r="AO715" s="283"/>
      <c r="AP715" s="283"/>
      <c r="AQ715" s="283"/>
      <c r="AR715" s="283"/>
      <c r="AS715" s="283"/>
      <c r="AT715" s="283"/>
      <c r="AU715" s="283"/>
      <c r="AV715" s="283"/>
      <c r="AW715" s="283"/>
      <c r="AX715" s="283"/>
      <c r="AY715" s="283"/>
      <c r="AZ715" s="283"/>
      <c r="BA715" s="283"/>
      <c r="BB715" s="283"/>
      <c r="BC715" s="283"/>
      <c r="BD715" s="283"/>
      <c r="BE715" s="283"/>
      <c r="BF715" s="283"/>
    </row>
    <row r="716" spans="1:58" ht="14.25" thickBot="1" x14ac:dyDescent="0.35">
      <c r="A716" s="283"/>
      <c r="B716" s="283"/>
      <c r="C716" s="283"/>
      <c r="D716" s="283"/>
      <c r="E716" s="283"/>
      <c r="F716" s="283"/>
      <c r="G716" s="283"/>
      <c r="H716" s="283"/>
      <c r="I716" s="283"/>
      <c r="J716" s="283"/>
      <c r="K716" s="283"/>
      <c r="L716" s="279"/>
      <c r="M716" s="72" t="s">
        <v>915</v>
      </c>
      <c r="N716" s="472" t="s">
        <v>68</v>
      </c>
      <c r="O716" s="295"/>
      <c r="P716" s="295"/>
      <c r="Q716" s="295"/>
      <c r="R716" s="295"/>
      <c r="S716" s="295"/>
      <c r="T716" s="295"/>
      <c r="U716" s="295"/>
      <c r="V716" s="295"/>
      <c r="W716" s="295"/>
      <c r="X716" s="295"/>
      <c r="Y716" s="394"/>
      <c r="Z716" s="283"/>
      <c r="AA716" s="283"/>
      <c r="AB716" s="428">
        <f t="shared" ref="AB716:AC716" si="1034">(AB$696-AB715)/AB$696</f>
        <v>0</v>
      </c>
      <c r="AC716" s="428">
        <f t="shared" si="1034"/>
        <v>2.7997419754523576E-4</v>
      </c>
      <c r="AD716" s="428">
        <f>(AD$696-AD715)/AD$696</f>
        <v>3.4000659082557462E-4</v>
      </c>
      <c r="AE716" s="428">
        <f>((AE$696-AE715)-(AD$696-AD715))/AE$696</f>
        <v>4.0844347074551151E-4</v>
      </c>
      <c r="AF716" s="428">
        <f>((AF$696-AF715)-(AE$696-AE715))/AF$696</f>
        <v>1.5712803205673939E-5</v>
      </c>
      <c r="AG716" s="428">
        <f t="shared" ref="AG716" si="1035">((AG$696-AG715)-(AF$696-AF715))/AG$696</f>
        <v>5.2643838748113077E-2</v>
      </c>
      <c r="AH716" s="428">
        <f t="shared" ref="AH716" si="1036">((AH$696-AH715)-(AG$696-AG715))/AH$696</f>
        <v>5.2076017662322262E-2</v>
      </c>
      <c r="AI716" s="428">
        <f t="shared" ref="AI716" si="1037">((AI$696-AI715)-(AH$696-AH715))/AI$696</f>
        <v>5.1490892381373027E-2</v>
      </c>
      <c r="AJ716" s="428">
        <f t="shared" ref="AJ716" si="1038">((AJ$696-AJ715)-(AI$696-AI715))/AJ$696</f>
        <v>5.089773733892982E-2</v>
      </c>
      <c r="AK716" s="428">
        <f t="shared" ref="AK716" si="1039">((AK$696-AK715)-(AJ$696-AJ715))/AK$696</f>
        <v>5.0327458282895768E-2</v>
      </c>
      <c r="AL716" s="429">
        <f t="shared" ref="AL716" si="1040">((AL$696-AL715)-(AK$696-AK715))/AL$696</f>
        <v>4.9764368967456937E-2</v>
      </c>
      <c r="AM716" s="283"/>
      <c r="AN716" s="283"/>
      <c r="AO716" s="283"/>
      <c r="AP716" s="283"/>
      <c r="AQ716" s="283"/>
      <c r="AR716" s="283"/>
      <c r="AS716" s="283"/>
      <c r="AT716" s="283"/>
      <c r="AU716" s="283"/>
      <c r="AV716" s="283"/>
      <c r="AW716" s="283"/>
      <c r="AX716" s="283"/>
      <c r="AY716" s="283"/>
      <c r="AZ716" s="283"/>
      <c r="BA716" s="283"/>
      <c r="BB716" s="283"/>
      <c r="BC716" s="283"/>
      <c r="BD716" s="283"/>
      <c r="BE716" s="283"/>
      <c r="BF716" s="283"/>
    </row>
    <row r="717" spans="1:58" ht="14.25" thickBot="1" x14ac:dyDescent="0.35">
      <c r="A717" s="283"/>
      <c r="B717" s="283"/>
      <c r="C717" s="283"/>
      <c r="D717" s="283"/>
      <c r="E717" s="283"/>
      <c r="F717" s="283"/>
      <c r="G717" s="283"/>
      <c r="H717" s="283"/>
      <c r="I717" s="283"/>
      <c r="J717" s="283"/>
      <c r="K717" s="283"/>
      <c r="L717" s="279"/>
      <c r="M717" s="72" t="s">
        <v>916</v>
      </c>
      <c r="N717" s="472" t="s">
        <v>68</v>
      </c>
      <c r="O717" s="295"/>
      <c r="P717" s="295"/>
      <c r="Q717" s="295"/>
      <c r="R717" s="295"/>
      <c r="S717" s="295"/>
      <c r="T717" s="295"/>
      <c r="U717" s="295"/>
      <c r="V717" s="295"/>
      <c r="W717" s="295"/>
      <c r="X717" s="295"/>
      <c r="Y717" s="394"/>
      <c r="Z717" s="283"/>
      <c r="AA717" s="283"/>
      <c r="AB717" s="430"/>
      <c r="AC717" s="430"/>
      <c r="AD717" s="430"/>
      <c r="AE717" s="430"/>
      <c r="AF717" s="430"/>
      <c r="AG717" s="430"/>
      <c r="AH717" s="430"/>
      <c r="AI717" s="430"/>
      <c r="AJ717" s="430"/>
      <c r="AK717" s="430"/>
      <c r="AL717" s="431">
        <f>((AL$696-AL715)/AL$696)/9</f>
        <v>3.3878056593878866E-2</v>
      </c>
      <c r="AM717" s="283"/>
      <c r="AN717" s="283"/>
      <c r="AO717" s="283"/>
      <c r="AP717" s="283"/>
      <c r="AQ717" s="283"/>
      <c r="AR717" s="283"/>
      <c r="AS717" s="283"/>
      <c r="AT717" s="283"/>
      <c r="AU717" s="283"/>
      <c r="AV717" s="283"/>
      <c r="AW717" s="283"/>
      <c r="AX717" s="283"/>
      <c r="AY717" s="283"/>
      <c r="AZ717" s="283"/>
      <c r="BA717" s="283"/>
      <c r="BB717" s="283"/>
      <c r="BC717" s="283"/>
      <c r="BD717" s="283"/>
      <c r="BE717" s="283"/>
      <c r="BF717" s="283"/>
    </row>
    <row r="718" spans="1:58" ht="12" hidden="1" customHeight="1" x14ac:dyDescent="0.3">
      <c r="A718" s="283"/>
      <c r="B718" s="283"/>
      <c r="C718" s="283"/>
      <c r="D718" s="283"/>
      <c r="E718" s="283"/>
      <c r="F718" s="283"/>
      <c r="G718" s="283"/>
      <c r="H718" s="283"/>
      <c r="I718" s="283"/>
      <c r="J718" s="283"/>
      <c r="K718" s="283"/>
      <c r="L718" s="279"/>
      <c r="M718" s="294"/>
      <c r="N718" s="294"/>
      <c r="O718" s="295"/>
      <c r="P718" s="295"/>
      <c r="Q718" s="295"/>
      <c r="R718" s="295"/>
      <c r="S718" s="295"/>
      <c r="T718" s="295"/>
      <c r="U718" s="295"/>
      <c r="V718" s="295"/>
      <c r="W718" s="295"/>
      <c r="X718" s="295"/>
      <c r="Y718" s="394"/>
      <c r="AB718" s="296"/>
      <c r="AC718" s="296"/>
      <c r="AM718" s="283"/>
      <c r="AN718" s="283"/>
      <c r="AO718" s="283"/>
      <c r="AP718" s="283"/>
      <c r="AQ718" s="283"/>
      <c r="AR718" s="283"/>
      <c r="AS718" s="283"/>
      <c r="AT718" s="283"/>
      <c r="AU718" s="283"/>
      <c r="AV718" s="283"/>
      <c r="AW718" s="283"/>
      <c r="AX718" s="283"/>
      <c r="AY718" s="283"/>
      <c r="AZ718" s="283"/>
      <c r="BA718" s="283"/>
      <c r="BB718" s="283"/>
      <c r="BC718" s="283"/>
      <c r="BD718" s="283"/>
      <c r="BE718" s="283"/>
      <c r="BF718" s="283"/>
    </row>
    <row r="719" spans="1:58" ht="12" hidden="1" customHeight="1" x14ac:dyDescent="0.3">
      <c r="A719" s="283"/>
      <c r="B719" s="283"/>
      <c r="C719" s="283"/>
      <c r="D719" s="283"/>
      <c r="E719" s="283"/>
      <c r="F719" s="283"/>
      <c r="G719" s="283"/>
      <c r="H719" s="283"/>
      <c r="I719" s="283"/>
      <c r="J719" s="283"/>
      <c r="K719" s="283"/>
      <c r="L719" s="279"/>
      <c r="M719" s="294"/>
      <c r="N719" s="294"/>
      <c r="O719" s="295"/>
      <c r="P719" s="295"/>
      <c r="Q719" s="295"/>
      <c r="R719" s="295"/>
      <c r="S719" s="295"/>
      <c r="T719" s="295"/>
      <c r="U719" s="295"/>
      <c r="V719" s="295"/>
      <c r="W719" s="295"/>
      <c r="X719" s="295"/>
      <c r="Y719" s="394"/>
      <c r="AB719" s="296"/>
      <c r="AC719" s="296"/>
      <c r="AM719" s="283"/>
      <c r="AN719" s="283"/>
      <c r="AO719" s="283"/>
      <c r="AP719" s="283"/>
      <c r="AQ719" s="283"/>
      <c r="AR719" s="283"/>
      <c r="AS719" s="283"/>
      <c r="AT719" s="283"/>
      <c r="AU719" s="283"/>
      <c r="AV719" s="283"/>
      <c r="AW719" s="283"/>
      <c r="AX719" s="283"/>
      <c r="AY719" s="283"/>
      <c r="AZ719" s="283"/>
      <c r="BA719" s="283"/>
      <c r="BB719" s="283"/>
      <c r="BC719" s="283"/>
      <c r="BD719" s="283"/>
      <c r="BE719" s="283"/>
      <c r="BF719" s="283"/>
    </row>
    <row r="720" spans="1:58" ht="12" hidden="1" customHeight="1" x14ac:dyDescent="0.3">
      <c r="A720" s="283"/>
      <c r="B720" s="283"/>
      <c r="C720" s="283"/>
      <c r="D720" s="283"/>
      <c r="E720" s="283"/>
      <c r="F720" s="283"/>
      <c r="G720" s="283"/>
      <c r="H720" s="283"/>
      <c r="I720" s="283"/>
      <c r="J720" s="283"/>
      <c r="K720" s="283"/>
      <c r="L720" s="279"/>
      <c r="M720" s="294"/>
      <c r="N720" s="294"/>
      <c r="O720" s="295"/>
      <c r="P720" s="295"/>
      <c r="Q720" s="295"/>
      <c r="R720" s="295"/>
      <c r="S720" s="295"/>
      <c r="T720" s="295"/>
      <c r="U720" s="295"/>
      <c r="V720" s="295"/>
      <c r="W720" s="295"/>
      <c r="X720" s="295"/>
      <c r="Y720" s="394"/>
      <c r="AB720" s="296"/>
      <c r="AC720" s="296"/>
      <c r="AM720" s="283"/>
      <c r="AN720" s="283"/>
      <c r="AO720" s="283"/>
      <c r="AP720" s="283"/>
      <c r="AQ720" s="283"/>
      <c r="AR720" s="283"/>
      <c r="AS720" s="283"/>
      <c r="AT720" s="283"/>
      <c r="AU720" s="283"/>
      <c r="AV720" s="283"/>
      <c r="AW720" s="283"/>
      <c r="AX720" s="283"/>
      <c r="AY720" s="283"/>
      <c r="AZ720" s="283"/>
      <c r="BA720" s="283"/>
      <c r="BB720" s="283"/>
      <c r="BC720" s="283"/>
      <c r="BD720" s="283"/>
      <c r="BE720" s="283"/>
      <c r="BF720" s="283"/>
    </row>
    <row r="721" spans="1:58" ht="12" hidden="1" customHeight="1" x14ac:dyDescent="0.3">
      <c r="A721" s="283"/>
      <c r="B721" s="283"/>
      <c r="C721" s="283"/>
      <c r="D721" s="283"/>
      <c r="E721" s="283"/>
      <c r="F721" s="283"/>
      <c r="G721" s="283"/>
      <c r="H721" s="283"/>
      <c r="I721" s="283"/>
      <c r="J721" s="283"/>
      <c r="K721" s="283"/>
      <c r="L721" s="279"/>
      <c r="M721" s="294"/>
      <c r="N721" s="294"/>
      <c r="O721" s="295"/>
      <c r="P721" s="295"/>
      <c r="Q721" s="295"/>
      <c r="R721" s="295"/>
      <c r="S721" s="295"/>
      <c r="T721" s="295"/>
      <c r="U721" s="295"/>
      <c r="V721" s="295"/>
      <c r="W721" s="295"/>
      <c r="X721" s="295"/>
      <c r="Y721" s="394"/>
      <c r="AB721" s="296"/>
      <c r="AC721" s="296"/>
      <c r="AM721" s="283"/>
      <c r="AN721" s="283"/>
      <c r="AO721" s="283"/>
      <c r="AP721" s="283"/>
      <c r="AQ721" s="283"/>
      <c r="AR721" s="283"/>
      <c r="AS721" s="283"/>
      <c r="AT721" s="283"/>
      <c r="AU721" s="283"/>
      <c r="AV721" s="283"/>
      <c r="AW721" s="283"/>
      <c r="AX721" s="283"/>
      <c r="AY721" s="283"/>
      <c r="AZ721" s="283"/>
      <c r="BA721" s="283"/>
      <c r="BB721" s="283"/>
      <c r="BC721" s="283"/>
      <c r="BD721" s="283"/>
      <c r="BE721" s="283"/>
      <c r="BF721" s="283"/>
    </row>
    <row r="722" spans="1:58" ht="12" hidden="1" customHeight="1" x14ac:dyDescent="0.3">
      <c r="A722" s="283"/>
      <c r="B722" s="283"/>
      <c r="C722" s="283"/>
      <c r="D722" s="283"/>
      <c r="E722" s="283"/>
      <c r="F722" s="283"/>
      <c r="G722" s="283"/>
      <c r="H722" s="283"/>
      <c r="I722" s="283"/>
      <c r="J722" s="283"/>
      <c r="K722" s="283"/>
      <c r="L722" s="279"/>
      <c r="M722" s="294"/>
      <c r="N722" s="294"/>
      <c r="O722" s="297">
        <v>0.59098249053289198</v>
      </c>
      <c r="P722" s="297">
        <v>0.59098249053289198</v>
      </c>
      <c r="Q722" s="297">
        <v>0.59098249053289198</v>
      </c>
      <c r="R722" s="297">
        <v>0.59098249053289198</v>
      </c>
      <c r="S722" s="297">
        <v>0.59098249053289198</v>
      </c>
      <c r="T722" s="297">
        <v>0.59098249053289198</v>
      </c>
      <c r="U722" s="297">
        <v>0.59098249053289198</v>
      </c>
      <c r="V722" s="297">
        <v>0.59098249053289198</v>
      </c>
      <c r="W722" s="297">
        <v>0.59098249053289198</v>
      </c>
      <c r="X722" s="297">
        <v>0.59098249053289198</v>
      </c>
      <c r="Y722" s="394"/>
      <c r="AB722" s="297">
        <v>0.59098249053289198</v>
      </c>
      <c r="AC722" s="297">
        <v>0.59098249053289198</v>
      </c>
      <c r="AM722" s="283"/>
      <c r="AN722" s="283"/>
      <c r="AO722" s="283"/>
      <c r="AP722" s="283"/>
      <c r="AQ722" s="283"/>
      <c r="AR722" s="283"/>
      <c r="AS722" s="283"/>
      <c r="AT722" s="283"/>
      <c r="AU722" s="283"/>
      <c r="AV722" s="283"/>
      <c r="AW722" s="283"/>
      <c r="AX722" s="283"/>
      <c r="AY722" s="283"/>
      <c r="AZ722" s="283"/>
      <c r="BA722" s="283"/>
      <c r="BB722" s="283"/>
      <c r="BC722" s="283"/>
      <c r="BD722" s="283"/>
      <c r="BE722" s="283"/>
      <c r="BF722" s="283"/>
    </row>
    <row r="723" spans="1:58" ht="12" hidden="1" customHeight="1" x14ac:dyDescent="0.3">
      <c r="A723" s="283"/>
      <c r="B723" s="283"/>
      <c r="C723" s="283"/>
      <c r="D723" s="283"/>
      <c r="E723" s="283"/>
      <c r="F723" s="283"/>
      <c r="G723" s="283"/>
      <c r="H723" s="283"/>
      <c r="I723" s="283"/>
      <c r="J723" s="283"/>
      <c r="K723" s="283"/>
      <c r="L723" s="279"/>
      <c r="M723" s="294"/>
      <c r="N723" s="294"/>
      <c r="O723" s="297">
        <v>0.25000000000000006</v>
      </c>
      <c r="P723" s="297">
        <v>0.25199999999999995</v>
      </c>
      <c r="Q723" s="297">
        <v>0.25799999999999995</v>
      </c>
      <c r="R723" s="297">
        <v>0.26</v>
      </c>
      <c r="S723" s="297">
        <v>0.26100000000000001</v>
      </c>
      <c r="T723" s="297">
        <v>0.26200000000000001</v>
      </c>
      <c r="U723" s="297">
        <v>0.27</v>
      </c>
      <c r="V723" s="297">
        <v>0.27200000000000002</v>
      </c>
      <c r="W723" s="297">
        <v>0.28000000000000003</v>
      </c>
      <c r="X723" s="297">
        <v>0.28999999999999998</v>
      </c>
      <c r="Y723" s="394"/>
      <c r="AB723" s="297">
        <v>0.3</v>
      </c>
      <c r="AC723" s="297">
        <v>0.31000000000000005</v>
      </c>
      <c r="AM723" s="283"/>
      <c r="AN723" s="283"/>
      <c r="AO723" s="283"/>
      <c r="AP723" s="283"/>
      <c r="AQ723" s="283"/>
      <c r="AR723" s="283"/>
      <c r="AS723" s="283"/>
      <c r="AT723" s="283"/>
      <c r="AU723" s="283"/>
      <c r="AV723" s="283"/>
      <c r="AW723" s="283"/>
      <c r="AX723" s="283"/>
      <c r="AY723" s="283"/>
      <c r="AZ723" s="283"/>
      <c r="BA723" s="283"/>
      <c r="BB723" s="283"/>
      <c r="BC723" s="283"/>
      <c r="BD723" s="283"/>
      <c r="BE723" s="283"/>
      <c r="BF723" s="283"/>
    </row>
    <row r="724" spans="1:58" ht="12" hidden="1" customHeight="1" x14ac:dyDescent="0.3">
      <c r="A724" s="283"/>
      <c r="B724" s="283"/>
      <c r="C724" s="283"/>
      <c r="D724" s="283"/>
      <c r="E724" s="283"/>
      <c r="F724" s="283"/>
      <c r="G724" s="283"/>
      <c r="H724" s="283"/>
      <c r="I724" s="283"/>
      <c r="J724" s="283"/>
      <c r="K724" s="283"/>
      <c r="L724" s="279"/>
      <c r="M724" s="294"/>
      <c r="N724" s="294"/>
      <c r="O724" s="298"/>
      <c r="P724" s="298"/>
      <c r="Q724" s="298"/>
      <c r="R724" s="298"/>
      <c r="S724" s="298"/>
      <c r="T724" s="298"/>
      <c r="U724" s="298"/>
      <c r="V724" s="298"/>
      <c r="W724" s="298"/>
      <c r="X724" s="298"/>
      <c r="Y724" s="394"/>
      <c r="AB724" s="298"/>
      <c r="AC724" s="298"/>
      <c r="AM724" s="283"/>
      <c r="AN724" s="283"/>
      <c r="AO724" s="283"/>
      <c r="AP724" s="283"/>
      <c r="AQ724" s="283"/>
      <c r="AR724" s="283"/>
      <c r="AS724" s="283"/>
      <c r="AT724" s="283"/>
      <c r="AU724" s="283"/>
      <c r="AV724" s="283"/>
      <c r="AW724" s="283"/>
      <c r="AX724" s="283"/>
      <c r="AY724" s="283"/>
      <c r="AZ724" s="283"/>
      <c r="BA724" s="283"/>
      <c r="BB724" s="283"/>
      <c r="BC724" s="283"/>
      <c r="BD724" s="283"/>
      <c r="BE724" s="283"/>
      <c r="BF724" s="283"/>
    </row>
    <row r="725" spans="1:58" ht="12" hidden="1" customHeight="1" x14ac:dyDescent="0.3">
      <c r="A725" s="283"/>
      <c r="B725" s="283"/>
      <c r="C725" s="283"/>
      <c r="D725" s="283"/>
      <c r="E725" s="283"/>
      <c r="F725" s="283"/>
      <c r="G725" s="283"/>
      <c r="H725" s="283"/>
      <c r="I725" s="283"/>
      <c r="J725" s="283"/>
      <c r="K725" s="283"/>
      <c r="L725" s="279"/>
      <c r="M725" s="294"/>
      <c r="N725" s="294"/>
      <c r="O725" s="299"/>
      <c r="P725" s="299"/>
      <c r="Q725" s="299"/>
      <c r="R725" s="299"/>
      <c r="S725" s="299"/>
      <c r="T725" s="299"/>
      <c r="U725" s="299"/>
      <c r="V725" s="299"/>
      <c r="W725" s="299"/>
      <c r="X725" s="299"/>
      <c r="Y725" s="394"/>
      <c r="AB725" s="299"/>
      <c r="AC725" s="299"/>
      <c r="AM725" s="283"/>
      <c r="AN725" s="283"/>
      <c r="AO725" s="283"/>
      <c r="AP725" s="283"/>
      <c r="AQ725" s="283"/>
      <c r="AR725" s="283"/>
      <c r="AS725" s="283"/>
      <c r="AT725" s="283"/>
      <c r="AU725" s="283"/>
      <c r="AV725" s="283"/>
      <c r="AW725" s="283"/>
      <c r="AX725" s="283"/>
      <c r="AY725" s="283"/>
      <c r="AZ725" s="283"/>
      <c r="BA725" s="283"/>
      <c r="BB725" s="283"/>
      <c r="BC725" s="283"/>
      <c r="BD725" s="283"/>
      <c r="BE725" s="283"/>
      <c r="BF725" s="283"/>
    </row>
    <row r="726" spans="1:58" ht="12" hidden="1" customHeight="1" x14ac:dyDescent="0.3">
      <c r="A726" s="283"/>
      <c r="B726" s="283"/>
      <c r="C726" s="283"/>
      <c r="D726" s="283"/>
      <c r="E726" s="283"/>
      <c r="F726" s="283"/>
      <c r="G726" s="283"/>
      <c r="H726" s="283"/>
      <c r="I726" s="283"/>
      <c r="J726" s="283"/>
      <c r="K726" s="283"/>
      <c r="L726" s="279"/>
      <c r="M726" s="294"/>
      <c r="N726" s="294"/>
      <c r="O726" s="300">
        <v>97.454933793103407</v>
      </c>
      <c r="P726" s="300">
        <v>98.181859296482415</v>
      </c>
      <c r="Q726" s="300">
        <v>86.091666666666669</v>
      </c>
      <c r="R726" s="300">
        <v>76.498756218905484</v>
      </c>
      <c r="S726" s="300">
        <v>89.179317931793179</v>
      </c>
      <c r="T726" s="300">
        <v>102.20444444444445</v>
      </c>
      <c r="U726" s="300">
        <v>121.37222222222223</v>
      </c>
      <c r="V726" s="300">
        <v>111.97222222222221</v>
      </c>
      <c r="W726" s="300">
        <v>99.333333333333314</v>
      </c>
      <c r="X726" s="300">
        <v>108.18055555555554</v>
      </c>
      <c r="Y726" s="394"/>
      <c r="AB726" s="300">
        <v>74.166666666666671</v>
      </c>
      <c r="AC726" s="300">
        <v>54.722222222222221</v>
      </c>
      <c r="AM726" s="283"/>
      <c r="AN726" s="283"/>
      <c r="AO726" s="283"/>
      <c r="AP726" s="283"/>
      <c r="AQ726" s="283"/>
      <c r="AR726" s="283"/>
      <c r="AS726" s="283"/>
      <c r="AT726" s="283"/>
      <c r="AU726" s="283"/>
      <c r="AV726" s="283"/>
      <c r="AW726" s="283"/>
      <c r="AX726" s="283"/>
      <c r="AY726" s="283"/>
      <c r="AZ726" s="283"/>
      <c r="BA726" s="283"/>
      <c r="BB726" s="283"/>
      <c r="BC726" s="283"/>
      <c r="BD726" s="283"/>
      <c r="BE726" s="283"/>
      <c r="BF726" s="283"/>
    </row>
    <row r="727" spans="1:58" ht="12" hidden="1" customHeight="1" x14ac:dyDescent="0.3">
      <c r="A727" s="283"/>
      <c r="B727" s="283"/>
      <c r="C727" s="283"/>
      <c r="D727" s="283"/>
      <c r="E727" s="283"/>
      <c r="F727" s="283"/>
      <c r="G727" s="283"/>
      <c r="H727" s="283"/>
      <c r="I727" s="283"/>
      <c r="J727" s="283"/>
      <c r="K727" s="283"/>
      <c r="L727" s="279"/>
      <c r="M727" s="294"/>
      <c r="N727" s="294"/>
      <c r="O727" s="300">
        <v>50.06</v>
      </c>
      <c r="P727" s="300">
        <v>50.06</v>
      </c>
      <c r="Q727" s="300">
        <v>37.916666666666664</v>
      </c>
      <c r="R727" s="300">
        <v>37.916666666666664</v>
      </c>
      <c r="S727" s="300">
        <v>50.555555555555557</v>
      </c>
      <c r="T727" s="300">
        <v>63.194444444444443</v>
      </c>
      <c r="U727" s="300">
        <v>88.472222222222243</v>
      </c>
      <c r="V727" s="300">
        <v>88.472222222222243</v>
      </c>
      <c r="W727" s="300">
        <v>75.833333333333329</v>
      </c>
      <c r="X727" s="300">
        <v>84.680555555555557</v>
      </c>
      <c r="Y727" s="394"/>
      <c r="AB727" s="300">
        <v>50.555555555555557</v>
      </c>
      <c r="AC727" s="300">
        <v>43.055555555555557</v>
      </c>
      <c r="AM727" s="283"/>
      <c r="AN727" s="283"/>
      <c r="AO727" s="283"/>
      <c r="AP727" s="283"/>
      <c r="AQ727" s="283"/>
      <c r="AR727" s="283"/>
      <c r="AS727" s="283"/>
      <c r="AT727" s="283"/>
      <c r="AU727" s="283"/>
      <c r="AV727" s="283"/>
      <c r="AW727" s="283"/>
      <c r="AX727" s="283"/>
      <c r="AY727" s="283"/>
      <c r="AZ727" s="283"/>
      <c r="BA727" s="283"/>
      <c r="BB727" s="283"/>
      <c r="BC727" s="283"/>
      <c r="BD727" s="283"/>
      <c r="BE727" s="283"/>
      <c r="BF727" s="283"/>
    </row>
    <row r="728" spans="1:58" ht="12" hidden="1" customHeight="1" x14ac:dyDescent="0.3">
      <c r="A728" s="283"/>
      <c r="B728" s="283"/>
      <c r="C728" s="283"/>
      <c r="D728" s="283"/>
      <c r="E728" s="283"/>
      <c r="F728" s="283"/>
      <c r="G728" s="283"/>
      <c r="H728" s="283"/>
      <c r="I728" s="283"/>
      <c r="J728" s="283"/>
      <c r="K728" s="283"/>
      <c r="L728" s="279"/>
      <c r="M728" s="294"/>
      <c r="N728" s="294"/>
      <c r="O728" s="300">
        <v>38.163217816655596</v>
      </c>
      <c r="P728" s="300">
        <v>48.121859296482413</v>
      </c>
      <c r="Q728" s="300">
        <v>48.174999999999997</v>
      </c>
      <c r="R728" s="300">
        <v>38.582089552238806</v>
      </c>
      <c r="S728" s="300">
        <v>38.623762376237629</v>
      </c>
      <c r="T728" s="300">
        <v>39.009999999999991</v>
      </c>
      <c r="U728" s="300">
        <v>32.899999999999991</v>
      </c>
      <c r="V728" s="300">
        <v>23.499999999999996</v>
      </c>
      <c r="W728" s="300">
        <v>23.499999999999996</v>
      </c>
      <c r="X728" s="300">
        <v>23.499999999999996</v>
      </c>
      <c r="Y728" s="394"/>
      <c r="AB728" s="300">
        <v>23.611111111111111</v>
      </c>
      <c r="AC728" s="300">
        <v>11.666666666666666</v>
      </c>
      <c r="AM728" s="283"/>
      <c r="AN728" s="283"/>
      <c r="AO728" s="283"/>
      <c r="AP728" s="283"/>
      <c r="AQ728" s="283"/>
      <c r="AR728" s="283"/>
      <c r="AS728" s="283"/>
      <c r="AT728" s="283"/>
      <c r="AU728" s="283"/>
      <c r="AV728" s="283"/>
      <c r="AW728" s="283"/>
      <c r="AX728" s="283"/>
      <c r="AY728" s="283"/>
      <c r="AZ728" s="283"/>
      <c r="BA728" s="283"/>
      <c r="BB728" s="283"/>
      <c r="BC728" s="283"/>
      <c r="BD728" s="283"/>
      <c r="BE728" s="283"/>
      <c r="BF728" s="283"/>
    </row>
    <row r="729" spans="1:58" ht="12" hidden="1" customHeight="1" x14ac:dyDescent="0.3">
      <c r="A729" s="283"/>
      <c r="B729" s="283"/>
      <c r="C729" s="283"/>
      <c r="D729" s="283"/>
      <c r="E729" s="283"/>
      <c r="F729" s="283"/>
      <c r="G729" s="283"/>
      <c r="H729" s="283"/>
      <c r="I729" s="283"/>
      <c r="J729" s="283"/>
      <c r="K729" s="283"/>
      <c r="L729" s="279"/>
      <c r="M729" s="294"/>
      <c r="N729" s="294"/>
      <c r="O729" s="300">
        <v>0</v>
      </c>
      <c r="P729" s="300">
        <v>0</v>
      </c>
      <c r="Q729" s="300">
        <v>0</v>
      </c>
      <c r="R729" s="300">
        <v>0</v>
      </c>
      <c r="S729" s="300">
        <v>0</v>
      </c>
      <c r="T729" s="300">
        <v>0</v>
      </c>
      <c r="U729" s="300">
        <v>0</v>
      </c>
      <c r="V729" s="300">
        <v>0</v>
      </c>
      <c r="W729" s="300">
        <v>0</v>
      </c>
      <c r="X729" s="300">
        <v>0</v>
      </c>
      <c r="Y729" s="394"/>
      <c r="AB729" s="300">
        <v>0</v>
      </c>
      <c r="AC729" s="300">
        <v>0</v>
      </c>
      <c r="AM729" s="283"/>
      <c r="AN729" s="283"/>
      <c r="AO729" s="283"/>
      <c r="AP729" s="283"/>
      <c r="AQ729" s="283"/>
      <c r="AR729" s="283"/>
      <c r="AS729" s="283"/>
      <c r="AT729" s="283"/>
      <c r="AU729" s="283"/>
      <c r="AV729" s="283"/>
      <c r="AW729" s="283"/>
      <c r="AX729" s="283"/>
      <c r="AY729" s="283"/>
      <c r="AZ729" s="283"/>
      <c r="BA729" s="283"/>
      <c r="BB729" s="283"/>
      <c r="BC729" s="283"/>
      <c r="BD729" s="283"/>
      <c r="BE729" s="283"/>
      <c r="BF729" s="283"/>
    </row>
    <row r="730" spans="1:58" ht="12" hidden="1" customHeight="1" x14ac:dyDescent="0.3">
      <c r="A730" s="283"/>
      <c r="B730" s="283"/>
      <c r="C730" s="283"/>
      <c r="D730" s="283"/>
      <c r="E730" s="283"/>
      <c r="F730" s="283"/>
      <c r="G730" s="283"/>
      <c r="H730" s="283"/>
      <c r="I730" s="283"/>
      <c r="J730" s="283"/>
      <c r="K730" s="283"/>
      <c r="L730" s="279"/>
      <c r="M730" s="294"/>
      <c r="N730" s="294"/>
      <c r="O730" s="300">
        <v>363.97572134416765</v>
      </c>
      <c r="P730" s="300">
        <v>340.62370086439086</v>
      </c>
      <c r="Q730" s="300">
        <v>369.48011031125372</v>
      </c>
      <c r="R730" s="300">
        <v>354.08486631296938</v>
      </c>
      <c r="S730" s="300">
        <v>352.20499999999998</v>
      </c>
      <c r="T730" s="300">
        <v>329.74056527939837</v>
      </c>
      <c r="U730" s="300">
        <v>387.99558513819187</v>
      </c>
      <c r="V730" s="300">
        <v>372.16582299916627</v>
      </c>
      <c r="W730" s="300">
        <v>371.40846790861639</v>
      </c>
      <c r="X730" s="300">
        <v>403.59888771618063</v>
      </c>
      <c r="Y730" s="394"/>
      <c r="AB730" s="300">
        <v>392.33333333333337</v>
      </c>
      <c r="AC730" s="300">
        <v>421.53472222222217</v>
      </c>
      <c r="AM730" s="283"/>
      <c r="AN730" s="283"/>
      <c r="AO730" s="283"/>
      <c r="AP730" s="283"/>
      <c r="AQ730" s="283"/>
      <c r="AR730" s="283"/>
      <c r="AS730" s="283"/>
      <c r="AT730" s="283"/>
      <c r="AU730" s="283"/>
      <c r="AV730" s="283"/>
      <c r="AW730" s="283"/>
      <c r="AX730" s="283"/>
      <c r="AY730" s="283"/>
      <c r="AZ730" s="283"/>
      <c r="BA730" s="283"/>
      <c r="BB730" s="283"/>
      <c r="BC730" s="283"/>
      <c r="BD730" s="283"/>
      <c r="BE730" s="283"/>
      <c r="BF730" s="283"/>
    </row>
    <row r="731" spans="1:58" ht="12" hidden="1" customHeight="1" x14ac:dyDescent="0.3">
      <c r="A731" s="283"/>
      <c r="B731" s="283"/>
      <c r="C731" s="283"/>
      <c r="D731" s="283"/>
      <c r="E731" s="283"/>
      <c r="F731" s="283"/>
      <c r="G731" s="283"/>
      <c r="H731" s="283"/>
      <c r="I731" s="283"/>
      <c r="J731" s="283"/>
      <c r="K731" s="283"/>
      <c r="L731" s="279"/>
      <c r="M731" s="294"/>
      <c r="N731" s="294"/>
      <c r="O731" s="300">
        <v>100.35555555555554</v>
      </c>
      <c r="P731" s="300">
        <v>124.32222222222222</v>
      </c>
      <c r="Q731" s="300">
        <v>114.34444444444443</v>
      </c>
      <c r="R731" s="300">
        <v>114.34444444444443</v>
      </c>
      <c r="S731" s="300">
        <v>95.02555555555557</v>
      </c>
      <c r="T731" s="300">
        <v>59.733333333333327</v>
      </c>
      <c r="U731" s="300">
        <v>22.625</v>
      </c>
      <c r="V731" s="300">
        <v>24.444444444444443</v>
      </c>
      <c r="W731" s="300">
        <v>12.222222222222221</v>
      </c>
      <c r="X731" s="300">
        <v>12.222222222222221</v>
      </c>
      <c r="Y731" s="394"/>
      <c r="AB731" s="300">
        <v>11.111111111111109</v>
      </c>
      <c r="AC731" s="300">
        <v>6.9444444444444446</v>
      </c>
      <c r="AM731" s="283"/>
      <c r="AN731" s="283"/>
      <c r="AO731" s="283"/>
      <c r="AP731" s="283"/>
      <c r="AQ731" s="283"/>
      <c r="AR731" s="283"/>
      <c r="AS731" s="283"/>
      <c r="AT731" s="283"/>
      <c r="AU731" s="283"/>
      <c r="AV731" s="283"/>
      <c r="AW731" s="283"/>
      <c r="AX731" s="283"/>
      <c r="AY731" s="283"/>
      <c r="AZ731" s="283"/>
      <c r="BA731" s="283"/>
      <c r="BB731" s="283"/>
      <c r="BC731" s="283"/>
      <c r="BD731" s="283"/>
      <c r="BE731" s="283"/>
      <c r="BF731" s="283"/>
    </row>
    <row r="732" spans="1:58" ht="12" hidden="1" customHeight="1" x14ac:dyDescent="0.3">
      <c r="A732" s="283"/>
      <c r="B732" s="283"/>
      <c r="C732" s="283"/>
      <c r="D732" s="283"/>
      <c r="E732" s="283"/>
      <c r="F732" s="283"/>
      <c r="G732" s="283"/>
      <c r="H732" s="283"/>
      <c r="I732" s="283"/>
      <c r="J732" s="283"/>
      <c r="K732" s="283"/>
      <c r="L732" s="279"/>
      <c r="M732" s="294"/>
      <c r="N732" s="294"/>
      <c r="O732" s="300">
        <v>60.355555555555547</v>
      </c>
      <c r="P732" s="300">
        <v>75.433333333333323</v>
      </c>
      <c r="Q732" s="300">
        <v>67.899999999999991</v>
      </c>
      <c r="R732" s="300">
        <v>67.899999999999991</v>
      </c>
      <c r="S732" s="300">
        <v>52.803333333333335</v>
      </c>
      <c r="T732" s="300">
        <v>30.177777777777774</v>
      </c>
      <c r="U732" s="300">
        <v>22.625</v>
      </c>
      <c r="V732" s="300">
        <v>24.444444444444443</v>
      </c>
      <c r="W732" s="300">
        <v>12.222222222222221</v>
      </c>
      <c r="X732" s="300">
        <v>12.222222222222221</v>
      </c>
      <c r="Y732" s="394"/>
      <c r="AB732" s="300">
        <v>11.111111111111109</v>
      </c>
      <c r="AC732" s="300">
        <v>11.111111111111109</v>
      </c>
      <c r="AM732" s="283"/>
      <c r="AN732" s="283"/>
      <c r="AO732" s="283"/>
      <c r="AP732" s="283"/>
      <c r="AQ732" s="283"/>
      <c r="AR732" s="283"/>
      <c r="AS732" s="283"/>
      <c r="AT732" s="283"/>
      <c r="AU732" s="283"/>
      <c r="AV732" s="283"/>
      <c r="AW732" s="283"/>
      <c r="AX732" s="283"/>
      <c r="AY732" s="283"/>
      <c r="AZ732" s="283"/>
      <c r="BA732" s="283"/>
      <c r="BB732" s="283"/>
      <c r="BC732" s="283"/>
      <c r="BD732" s="283"/>
      <c r="BE732" s="283"/>
      <c r="BF732" s="283"/>
    </row>
    <row r="733" spans="1:58" ht="12" hidden="1" customHeight="1" x14ac:dyDescent="0.3">
      <c r="A733" s="283"/>
      <c r="B733" s="283"/>
      <c r="C733" s="283"/>
      <c r="D733" s="283"/>
      <c r="E733" s="283"/>
      <c r="F733" s="283"/>
      <c r="G733" s="283"/>
      <c r="H733" s="283"/>
      <c r="I733" s="283"/>
      <c r="J733" s="283"/>
      <c r="K733" s="283"/>
      <c r="L733" s="279"/>
      <c r="M733" s="294"/>
      <c r="N733" s="294"/>
      <c r="O733" s="300">
        <v>0</v>
      </c>
      <c r="P733" s="300">
        <v>0</v>
      </c>
      <c r="Q733" s="300">
        <v>0</v>
      </c>
      <c r="R733" s="300">
        <v>0</v>
      </c>
      <c r="S733" s="300">
        <v>0</v>
      </c>
      <c r="T733" s="300">
        <v>0</v>
      </c>
      <c r="U733" s="300">
        <v>0</v>
      </c>
      <c r="V733" s="300">
        <v>0</v>
      </c>
      <c r="W733" s="300">
        <v>0</v>
      </c>
      <c r="X733" s="300">
        <v>0</v>
      </c>
      <c r="Y733" s="394"/>
      <c r="AB733" s="300">
        <v>0</v>
      </c>
      <c r="AC733" s="300">
        <v>0</v>
      </c>
      <c r="AM733" s="283"/>
      <c r="AN733" s="283"/>
      <c r="AO733" s="283"/>
      <c r="AP733" s="283"/>
      <c r="AQ733" s="283"/>
      <c r="AR733" s="283"/>
      <c r="AS733" s="283"/>
      <c r="AT733" s="283"/>
      <c r="AU733" s="283"/>
      <c r="AV733" s="283"/>
      <c r="AW733" s="283"/>
      <c r="AX733" s="283"/>
      <c r="AY733" s="283"/>
      <c r="AZ733" s="283"/>
      <c r="BA733" s="283"/>
      <c r="BB733" s="283"/>
      <c r="BC733" s="283"/>
      <c r="BD733" s="283"/>
      <c r="BE733" s="283"/>
      <c r="BF733" s="283"/>
    </row>
    <row r="734" spans="1:58" ht="12" hidden="1" customHeight="1" x14ac:dyDescent="0.3">
      <c r="A734" s="283"/>
      <c r="B734" s="283"/>
      <c r="C734" s="283"/>
      <c r="D734" s="283"/>
      <c r="E734" s="283"/>
      <c r="F734" s="283"/>
      <c r="G734" s="283"/>
      <c r="H734" s="283"/>
      <c r="I734" s="283"/>
      <c r="J734" s="283"/>
      <c r="K734" s="283"/>
      <c r="L734" s="279"/>
      <c r="M734" s="294"/>
      <c r="N734" s="294"/>
      <c r="O734" s="300">
        <v>40</v>
      </c>
      <c r="P734" s="300">
        <v>48.888888888888886</v>
      </c>
      <c r="Q734" s="300">
        <v>46.444444444444443</v>
      </c>
      <c r="R734" s="300">
        <v>46.444444444444443</v>
      </c>
      <c r="S734" s="300">
        <v>42.222222222222221</v>
      </c>
      <c r="T734" s="300">
        <v>29.555555555555557</v>
      </c>
      <c r="U734" s="300">
        <v>0</v>
      </c>
      <c r="V734" s="300">
        <v>0</v>
      </c>
      <c r="W734" s="300">
        <v>0</v>
      </c>
      <c r="X734" s="300">
        <v>0</v>
      </c>
      <c r="Y734" s="394"/>
      <c r="AB734" s="300">
        <v>0</v>
      </c>
      <c r="AC734" s="300">
        <v>0</v>
      </c>
      <c r="AM734" s="283"/>
      <c r="AN734" s="283"/>
      <c r="AO734" s="283"/>
      <c r="AP734" s="283"/>
      <c r="AQ734" s="283"/>
      <c r="AR734" s="283"/>
      <c r="AS734" s="283"/>
      <c r="AT734" s="283"/>
      <c r="AU734" s="283"/>
      <c r="AV734" s="283"/>
      <c r="AW734" s="283"/>
      <c r="AX734" s="283"/>
      <c r="AY734" s="283"/>
      <c r="AZ734" s="283"/>
      <c r="BA734" s="283"/>
      <c r="BB734" s="283"/>
      <c r="BC734" s="283"/>
      <c r="BD734" s="283"/>
      <c r="BE734" s="283"/>
      <c r="BF734" s="283"/>
    </row>
    <row r="735" spans="1:58" ht="12" hidden="1" customHeight="1" x14ac:dyDescent="0.3">
      <c r="A735" s="283"/>
      <c r="B735" s="283"/>
      <c r="C735" s="283"/>
      <c r="D735" s="283"/>
      <c r="E735" s="283"/>
      <c r="F735" s="283"/>
      <c r="G735" s="283"/>
      <c r="H735" s="283"/>
      <c r="I735" s="283"/>
      <c r="J735" s="283"/>
      <c r="K735" s="283"/>
      <c r="L735" s="279"/>
      <c r="M735" s="294"/>
      <c r="N735" s="294"/>
      <c r="O735" s="300">
        <v>505.74999999999994</v>
      </c>
      <c r="P735" s="300">
        <v>487.36800000000005</v>
      </c>
      <c r="Q735" s="300">
        <v>504.64799999999997</v>
      </c>
      <c r="R735" s="300">
        <v>484.9</v>
      </c>
      <c r="S735" s="300">
        <v>453.87900000000008</v>
      </c>
      <c r="T735" s="300">
        <v>452.73599999999999</v>
      </c>
      <c r="U735" s="300">
        <v>516.5100000000001</v>
      </c>
      <c r="V735" s="300">
        <v>527.68000000000006</v>
      </c>
      <c r="W735" s="300">
        <v>520.80000000000007</v>
      </c>
      <c r="X735" s="300">
        <v>600.29999999999995</v>
      </c>
      <c r="Y735" s="394"/>
      <c r="AB735" s="300">
        <v>599.41666666666652</v>
      </c>
      <c r="AC735" s="300">
        <v>690.95555555555552</v>
      </c>
      <c r="AM735" s="283"/>
      <c r="AN735" s="283"/>
      <c r="AO735" s="283"/>
      <c r="AP735" s="283"/>
      <c r="AQ735" s="283"/>
      <c r="AR735" s="283"/>
      <c r="AS735" s="283"/>
      <c r="AT735" s="283"/>
      <c r="AU735" s="283"/>
      <c r="AV735" s="283"/>
      <c r="AW735" s="283"/>
      <c r="AX735" s="283"/>
      <c r="AY735" s="283"/>
      <c r="AZ735" s="283"/>
      <c r="BA735" s="283"/>
      <c r="BB735" s="283"/>
      <c r="BC735" s="283"/>
      <c r="BD735" s="283"/>
      <c r="BE735" s="283"/>
      <c r="BF735" s="283"/>
    </row>
    <row r="736" spans="1:58" ht="12" hidden="1" customHeight="1" x14ac:dyDescent="0.3">
      <c r="A736" s="283"/>
      <c r="B736" s="283"/>
      <c r="C736" s="283"/>
      <c r="D736" s="283"/>
      <c r="E736" s="283"/>
      <c r="F736" s="283"/>
      <c r="G736" s="283"/>
      <c r="H736" s="283"/>
      <c r="I736" s="283"/>
      <c r="J736" s="283"/>
      <c r="K736" s="283"/>
      <c r="L736" s="279"/>
      <c r="M736" s="294"/>
      <c r="N736" s="294"/>
      <c r="O736" s="300">
        <v>2619.9149777558086</v>
      </c>
      <c r="P736" s="300">
        <v>2475.7688153510289</v>
      </c>
      <c r="Q736" s="300">
        <v>2515.0204427970921</v>
      </c>
      <c r="R736" s="300">
        <v>2416.5445338099489</v>
      </c>
      <c r="S736" s="300">
        <v>2223.6733755031628</v>
      </c>
      <c r="T736" s="300">
        <v>2164.6691663451647</v>
      </c>
      <c r="U736" s="300">
        <v>2389.1761848754145</v>
      </c>
      <c r="V736" s="300">
        <v>2429.793814432991</v>
      </c>
      <c r="W736" s="300">
        <v>2389.1129032258054</v>
      </c>
      <c r="X736" s="300">
        <v>2544.347826086956</v>
      </c>
      <c r="Y736" s="394"/>
      <c r="AB736" s="300">
        <v>2445.9930179032081</v>
      </c>
      <c r="AC736" s="300">
        <v>2502.0081251834345</v>
      </c>
      <c r="AM736" s="283"/>
      <c r="AN736" s="283"/>
      <c r="AO736" s="283"/>
      <c r="AP736" s="283"/>
      <c r="AQ736" s="283"/>
      <c r="AR736" s="283"/>
      <c r="AS736" s="283"/>
      <c r="AT736" s="283"/>
      <c r="AU736" s="283"/>
      <c r="AV736" s="283"/>
      <c r="AW736" s="283"/>
      <c r="AX736" s="283"/>
      <c r="AY736" s="283"/>
      <c r="AZ736" s="283"/>
      <c r="BA736" s="283"/>
      <c r="BB736" s="283"/>
      <c r="BC736" s="283"/>
      <c r="BD736" s="283"/>
      <c r="BE736" s="283"/>
      <c r="BF736" s="283"/>
    </row>
    <row r="737" spans="1:58" ht="12" hidden="1" customHeight="1" x14ac:dyDescent="0.3">
      <c r="A737" s="283"/>
      <c r="B737" s="283"/>
      <c r="C737" s="283"/>
      <c r="D737" s="283"/>
      <c r="E737" s="283"/>
      <c r="F737" s="283"/>
      <c r="G737" s="283"/>
      <c r="H737" s="283"/>
      <c r="I737" s="283"/>
      <c r="J737" s="283"/>
      <c r="K737" s="283"/>
      <c r="L737" s="279"/>
      <c r="M737" s="294"/>
      <c r="N737" s="294"/>
      <c r="O737" s="300">
        <v>2511.4666666666662</v>
      </c>
      <c r="P737" s="300">
        <v>2119.8611111111109</v>
      </c>
      <c r="Q737" s="300">
        <v>2263.4722222222217</v>
      </c>
      <c r="R737" s="300">
        <v>2172.7777777777778</v>
      </c>
      <c r="S737" s="300">
        <v>2116.9361111111107</v>
      </c>
      <c r="T737" s="300">
        <v>2101.8055555555557</v>
      </c>
      <c r="U737" s="300">
        <v>2231.6666666666665</v>
      </c>
      <c r="V737" s="300">
        <v>2134.0611111111111</v>
      </c>
      <c r="W737" s="300">
        <v>2154.166666666667</v>
      </c>
      <c r="X737" s="300">
        <v>2112.2666666666664</v>
      </c>
      <c r="Y737" s="394"/>
      <c r="AB737" s="300">
        <v>2213.333333333333</v>
      </c>
      <c r="AC737" s="300">
        <v>2165.333333333333</v>
      </c>
      <c r="AM737" s="283"/>
      <c r="AN737" s="283"/>
      <c r="AO737" s="283"/>
      <c r="AP737" s="283"/>
      <c r="AQ737" s="283"/>
      <c r="AR737" s="283"/>
      <c r="AS737" s="283"/>
      <c r="AT737" s="283"/>
      <c r="AU737" s="283"/>
      <c r="AV737" s="283"/>
      <c r="AW737" s="283"/>
      <c r="AX737" s="283"/>
      <c r="AY737" s="283"/>
      <c r="AZ737" s="283"/>
      <c r="BA737" s="283"/>
      <c r="BB737" s="283"/>
      <c r="BC737" s="283"/>
      <c r="BD737" s="283"/>
      <c r="BE737" s="283"/>
      <c r="BF737" s="283"/>
    </row>
    <row r="738" spans="1:58" ht="12" hidden="1" customHeight="1" x14ac:dyDescent="0.3">
      <c r="A738" s="283"/>
      <c r="B738" s="283"/>
      <c r="C738" s="283"/>
      <c r="D738" s="283"/>
      <c r="E738" s="283"/>
      <c r="F738" s="283"/>
      <c r="G738" s="283"/>
      <c r="H738" s="283"/>
      <c r="I738" s="283"/>
      <c r="J738" s="283"/>
      <c r="K738" s="283"/>
      <c r="L738" s="279"/>
      <c r="M738" s="294"/>
      <c r="N738" s="294"/>
      <c r="O738" s="301">
        <v>6198.9178551153018</v>
      </c>
      <c r="P738" s="301">
        <v>5646.1257088452357</v>
      </c>
      <c r="Q738" s="301">
        <v>5853.0568864416791</v>
      </c>
      <c r="R738" s="301">
        <v>5619.1503785640462</v>
      </c>
      <c r="S738" s="301">
        <v>5330.8983601016225</v>
      </c>
      <c r="T738" s="301">
        <v>5210.8890649578962</v>
      </c>
      <c r="U738" s="301">
        <v>5669.3456589024954</v>
      </c>
      <c r="V738" s="301">
        <v>5600.1174152099347</v>
      </c>
      <c r="W738" s="301">
        <v>5547.0435933566432</v>
      </c>
      <c r="X738" s="301">
        <v>5780.9161582475808</v>
      </c>
      <c r="Y738" s="394"/>
      <c r="AB738" s="301">
        <v>5736.3541290143194</v>
      </c>
      <c r="AC738" s="301">
        <v>5841.4984029612133</v>
      </c>
      <c r="AM738" s="283"/>
      <c r="AN738" s="283"/>
      <c r="AO738" s="283"/>
      <c r="AP738" s="283"/>
      <c r="AQ738" s="283"/>
      <c r="AR738" s="283"/>
      <c r="AS738" s="283"/>
      <c r="AT738" s="283"/>
      <c r="AU738" s="283"/>
      <c r="AV738" s="283"/>
      <c r="AW738" s="283"/>
      <c r="AX738" s="283"/>
      <c r="AY738" s="283"/>
      <c r="AZ738" s="283"/>
      <c r="BA738" s="283"/>
      <c r="BB738" s="283"/>
      <c r="BC738" s="283"/>
      <c r="BD738" s="283"/>
      <c r="BE738" s="283"/>
      <c r="BF738" s="283"/>
    </row>
    <row r="739" spans="1:58" ht="12" hidden="1" customHeight="1" x14ac:dyDescent="0.3">
      <c r="A739" s="283"/>
      <c r="B739" s="283"/>
      <c r="C739" s="283"/>
      <c r="D739" s="283"/>
      <c r="E739" s="283"/>
      <c r="F739" s="283"/>
      <c r="G739" s="283"/>
      <c r="H739" s="283"/>
      <c r="I739" s="283"/>
      <c r="J739" s="283"/>
      <c r="K739" s="283"/>
      <c r="L739" s="279"/>
      <c r="M739" s="294"/>
      <c r="N739" s="294"/>
      <c r="O739" s="295">
        <f t="shared" ref="O739:X739" si="1041">IFERROR((O727+O728+O729+O730+O732+O733+O734+O1432+O735+O736+O737)/O738,"")</f>
        <v>0.99851075361987096</v>
      </c>
      <c r="P739" s="295">
        <f t="shared" si="1041"/>
        <v>0.99999999999999989</v>
      </c>
      <c r="Q739" s="295">
        <f t="shared" si="1041"/>
        <v>0.99999999999999989</v>
      </c>
      <c r="R739" s="295">
        <f t="shared" si="1041"/>
        <v>1</v>
      </c>
      <c r="S739" s="295">
        <f t="shared" si="1041"/>
        <v>1</v>
      </c>
      <c r="T739" s="295">
        <f t="shared" si="1041"/>
        <v>1.0000000000000002</v>
      </c>
      <c r="U739" s="295">
        <f t="shared" si="1041"/>
        <v>1</v>
      </c>
      <c r="V739" s="295">
        <f t="shared" si="1041"/>
        <v>1.0000000000000002</v>
      </c>
      <c r="W739" s="295">
        <f t="shared" si="1041"/>
        <v>1.0000000000000002</v>
      </c>
      <c r="X739" s="295">
        <f t="shared" si="1041"/>
        <v>1</v>
      </c>
      <c r="Y739" s="394"/>
      <c r="AB739" s="295">
        <f>IFERROR((AB727+AB728+AB729+AB730+AB732+AB733+AB734+AB1432+AB735+AB736+AB737)/AB738,"")</f>
        <v>0.99999999999999989</v>
      </c>
      <c r="AC739" s="295">
        <f>IFERROR((AC727+AC728+AC729+AC730+AC732+AC733+AC734+AC1432+AC735+AC736+AC737)/AC738,"")</f>
        <v>1.0007132873073377</v>
      </c>
      <c r="AM739" s="283"/>
      <c r="AN739" s="283"/>
      <c r="AO739" s="283"/>
      <c r="AP739" s="283"/>
      <c r="AQ739" s="283"/>
      <c r="AR739" s="283"/>
      <c r="AS739" s="283"/>
      <c r="AT739" s="283"/>
      <c r="AU739" s="283"/>
      <c r="AV739" s="283"/>
      <c r="AW739" s="283"/>
      <c r="AX739" s="283"/>
      <c r="AY739" s="283"/>
      <c r="AZ739" s="283"/>
      <c r="BA739" s="283"/>
      <c r="BB739" s="283"/>
      <c r="BC739" s="283"/>
      <c r="BD739" s="283"/>
      <c r="BE739" s="283"/>
      <c r="BF739" s="283"/>
    </row>
    <row r="740" spans="1:58" ht="12" hidden="1" customHeight="1" x14ac:dyDescent="0.3">
      <c r="A740" s="283"/>
      <c r="B740" s="283"/>
      <c r="C740" s="283"/>
      <c r="D740" s="283"/>
      <c r="E740" s="283"/>
      <c r="F740" s="283"/>
      <c r="G740" s="283"/>
      <c r="H740" s="283"/>
      <c r="I740" s="283"/>
      <c r="J740" s="283"/>
      <c r="K740" s="283"/>
      <c r="L740" s="279"/>
      <c r="M740" s="294"/>
      <c r="N740" s="294"/>
      <c r="O740" s="295">
        <f>IFERROR((O726+O730+O731+O735+O736+O737)/O738,"")</f>
        <v>1</v>
      </c>
      <c r="P740" s="295">
        <f t="shared" ref="P740:X740" si="1042">IFERROR((P726+P730+P731+P735+P736+P737)/P738,"")</f>
        <v>0.99999999999999989</v>
      </c>
      <c r="Q740" s="295">
        <f t="shared" si="1042"/>
        <v>0.99999999999999989</v>
      </c>
      <c r="R740" s="295">
        <f t="shared" si="1042"/>
        <v>1</v>
      </c>
      <c r="S740" s="295">
        <f t="shared" si="1042"/>
        <v>1</v>
      </c>
      <c r="T740" s="295">
        <f t="shared" si="1042"/>
        <v>1.0000000000000002</v>
      </c>
      <c r="U740" s="295">
        <f t="shared" si="1042"/>
        <v>1</v>
      </c>
      <c r="V740" s="295">
        <f t="shared" si="1042"/>
        <v>1.0000000000000002</v>
      </c>
      <c r="W740" s="295">
        <f t="shared" si="1042"/>
        <v>1.0000000000000002</v>
      </c>
      <c r="X740" s="295">
        <f t="shared" si="1042"/>
        <v>1</v>
      </c>
      <c r="Y740" s="394"/>
      <c r="AB740" s="295">
        <f>IFERROR((AB726+AB730+AB731+AB735+AB736+AB737)/AB738,"")</f>
        <v>0.99999999999999989</v>
      </c>
      <c r="AC740" s="295">
        <f>IFERROR((AC726+AC730+AC731+AC735+AC736+AC737)/AC738,"")</f>
        <v>0.99999999999999967</v>
      </c>
      <c r="AM740" s="283"/>
      <c r="AN740" s="283"/>
      <c r="AO740" s="283"/>
      <c r="AP740" s="283"/>
      <c r="AQ740" s="283"/>
      <c r="AR740" s="283"/>
      <c r="AS740" s="283"/>
      <c r="AT740" s="283"/>
      <c r="AU740" s="283"/>
      <c r="AV740" s="283"/>
      <c r="AW740" s="283"/>
      <c r="AX740" s="283"/>
      <c r="AY740" s="283"/>
      <c r="AZ740" s="283"/>
      <c r="BA740" s="283"/>
      <c r="BB740" s="283"/>
      <c r="BC740" s="283"/>
      <c r="BD740" s="283"/>
      <c r="BE740" s="283"/>
      <c r="BF740" s="283"/>
    </row>
    <row r="741" spans="1:58" ht="12" hidden="1" customHeight="1" x14ac:dyDescent="0.3">
      <c r="A741" s="283"/>
      <c r="B741" s="283"/>
      <c r="C741" s="283"/>
      <c r="D741" s="283"/>
      <c r="E741" s="283"/>
      <c r="F741" s="283"/>
      <c r="G741" s="283"/>
      <c r="H741" s="283"/>
      <c r="I741" s="283"/>
      <c r="J741" s="283"/>
      <c r="K741" s="283"/>
      <c r="L741" s="279"/>
      <c r="M741" s="294"/>
      <c r="N741" s="294"/>
      <c r="O741" s="299"/>
      <c r="P741" s="299"/>
      <c r="Q741" s="299"/>
      <c r="R741" s="299"/>
      <c r="S741" s="299"/>
      <c r="T741" s="299"/>
      <c r="U741" s="299"/>
      <c r="V741" s="299"/>
      <c r="W741" s="299"/>
      <c r="X741" s="299"/>
      <c r="Y741" s="394"/>
      <c r="AB741" s="299"/>
      <c r="AC741" s="299"/>
      <c r="AM741" s="283"/>
      <c r="AN741" s="283"/>
      <c r="AO741" s="283"/>
      <c r="AP741" s="283"/>
      <c r="AQ741" s="283"/>
      <c r="AR741" s="283"/>
      <c r="AS741" s="283"/>
      <c r="AT741" s="283"/>
      <c r="AU741" s="283"/>
      <c r="AV741" s="283"/>
      <c r="AW741" s="283"/>
      <c r="AX741" s="283"/>
      <c r="AY741" s="283"/>
      <c r="AZ741" s="283"/>
      <c r="BA741" s="283"/>
      <c r="BB741" s="283"/>
      <c r="BC741" s="283"/>
      <c r="BD741" s="283"/>
      <c r="BE741" s="283"/>
      <c r="BF741" s="283"/>
    </row>
    <row r="742" spans="1:58" ht="12" hidden="1" customHeight="1" x14ac:dyDescent="0.3">
      <c r="A742" s="283"/>
      <c r="B742" s="283"/>
      <c r="C742" s="283"/>
      <c r="D742" s="283"/>
      <c r="E742" s="283"/>
      <c r="F742" s="283"/>
      <c r="G742" s="283"/>
      <c r="H742" s="283"/>
      <c r="I742" s="283"/>
      <c r="J742" s="283"/>
      <c r="K742" s="283"/>
      <c r="L742" s="279"/>
      <c r="M742" s="294"/>
      <c r="N742" s="294"/>
      <c r="O742" s="299"/>
      <c r="P742" s="299"/>
      <c r="Q742" s="299"/>
      <c r="R742" s="299"/>
      <c r="S742" s="299"/>
      <c r="T742" s="299"/>
      <c r="U742" s="299"/>
      <c r="V742" s="299"/>
      <c r="W742" s="299"/>
      <c r="X742" s="299"/>
      <c r="Y742" s="394"/>
      <c r="AB742" s="299"/>
      <c r="AC742" s="299"/>
      <c r="AM742" s="283"/>
      <c r="AN742" s="283"/>
      <c r="AO742" s="283"/>
      <c r="AP742" s="283"/>
      <c r="AQ742" s="283"/>
      <c r="AR742" s="283"/>
      <c r="AS742" s="283"/>
      <c r="AT742" s="283"/>
      <c r="AU742" s="283"/>
      <c r="AV742" s="283"/>
      <c r="AW742" s="283"/>
      <c r="AX742" s="283"/>
      <c r="AY742" s="283"/>
      <c r="AZ742" s="283"/>
      <c r="BA742" s="283"/>
      <c r="BB742" s="283"/>
      <c r="BC742" s="283"/>
      <c r="BD742" s="283"/>
      <c r="BE742" s="283"/>
      <c r="BF742" s="283"/>
    </row>
    <row r="743" spans="1:58" ht="12" hidden="1" customHeight="1" x14ac:dyDescent="0.3">
      <c r="A743" s="283"/>
      <c r="B743" s="283"/>
      <c r="C743" s="283"/>
      <c r="D743" s="283"/>
      <c r="E743" s="283"/>
      <c r="F743" s="283"/>
      <c r="G743" s="283"/>
      <c r="H743" s="283"/>
      <c r="I743" s="283"/>
      <c r="J743" s="283"/>
      <c r="K743" s="283"/>
      <c r="L743" s="279"/>
      <c r="M743" s="294"/>
      <c r="N743" s="294"/>
      <c r="O743" s="300">
        <v>-0.39493379310342769</v>
      </c>
      <c r="P743" s="300">
        <v>10.628140703517603</v>
      </c>
      <c r="Q743" s="300">
        <v>10.575000000000001</v>
      </c>
      <c r="R743" s="300">
        <v>8.4179104477611801</v>
      </c>
      <c r="S743" s="300">
        <v>8.3762376237623695</v>
      </c>
      <c r="T743" s="300">
        <v>7.9900000000000055</v>
      </c>
      <c r="U743" s="300">
        <v>2.3500000000000112</v>
      </c>
      <c r="V743" s="300">
        <v>0</v>
      </c>
      <c r="W743" s="300">
        <v>0</v>
      </c>
      <c r="X743" s="300">
        <v>0</v>
      </c>
      <c r="Y743" s="394"/>
      <c r="AB743" s="300">
        <v>0</v>
      </c>
      <c r="AC743" s="300">
        <v>0</v>
      </c>
      <c r="AM743" s="283"/>
      <c r="AN743" s="283"/>
      <c r="AO743" s="283"/>
      <c r="AP743" s="283"/>
      <c r="AQ743" s="283"/>
      <c r="AR743" s="283"/>
      <c r="AS743" s="283"/>
      <c r="AT743" s="283"/>
      <c r="AU743" s="283"/>
      <c r="AV743" s="283"/>
      <c r="AW743" s="283"/>
      <c r="AX743" s="283"/>
      <c r="AY743" s="283"/>
      <c r="AZ743" s="283"/>
      <c r="BA743" s="283"/>
      <c r="BB743" s="283"/>
      <c r="BC743" s="283"/>
      <c r="BD743" s="283"/>
      <c r="BE743" s="283"/>
      <c r="BF743" s="283"/>
    </row>
    <row r="744" spans="1:58" ht="12" hidden="1" customHeight="1" x14ac:dyDescent="0.3">
      <c r="A744" s="283"/>
      <c r="B744" s="283"/>
      <c r="C744" s="283"/>
      <c r="D744" s="283"/>
      <c r="E744" s="283"/>
      <c r="F744" s="283"/>
      <c r="G744" s="283"/>
      <c r="H744" s="283"/>
      <c r="I744" s="283"/>
      <c r="J744" s="283"/>
      <c r="K744" s="283"/>
      <c r="L744" s="279"/>
      <c r="M744" s="294"/>
      <c r="N744" s="294"/>
      <c r="O744" s="300">
        <v>0</v>
      </c>
      <c r="P744" s="300">
        <v>0</v>
      </c>
      <c r="Q744" s="300">
        <v>0</v>
      </c>
      <c r="R744" s="300">
        <v>0</v>
      </c>
      <c r="S744" s="300">
        <v>0</v>
      </c>
      <c r="T744" s="300">
        <v>0</v>
      </c>
      <c r="U744" s="300">
        <v>0</v>
      </c>
      <c r="V744" s="300">
        <v>0</v>
      </c>
      <c r="W744" s="300">
        <v>0</v>
      </c>
      <c r="X744" s="300">
        <v>0</v>
      </c>
      <c r="Y744" s="394"/>
      <c r="AB744" s="300">
        <v>0</v>
      </c>
      <c r="AC744" s="300">
        <v>0</v>
      </c>
      <c r="AM744" s="283"/>
      <c r="AN744" s="283"/>
      <c r="AO744" s="283"/>
      <c r="AP744" s="283"/>
      <c r="AQ744" s="283"/>
      <c r="AR744" s="283"/>
      <c r="AS744" s="283"/>
      <c r="AT744" s="283"/>
      <c r="AU744" s="283"/>
      <c r="AV744" s="283"/>
      <c r="AW744" s="283"/>
      <c r="AX744" s="283"/>
      <c r="AY744" s="283"/>
      <c r="AZ744" s="283"/>
      <c r="BA744" s="283"/>
      <c r="BB744" s="283"/>
      <c r="BC744" s="283"/>
      <c r="BD744" s="283"/>
      <c r="BE744" s="283"/>
      <c r="BF744" s="283"/>
    </row>
    <row r="745" spans="1:58" ht="12" hidden="1" customHeight="1" x14ac:dyDescent="0.3">
      <c r="A745" s="283"/>
      <c r="B745" s="283"/>
      <c r="C745" s="283"/>
      <c r="D745" s="283"/>
      <c r="E745" s="283"/>
      <c r="F745" s="283"/>
      <c r="G745" s="283"/>
      <c r="H745" s="283"/>
      <c r="I745" s="283"/>
      <c r="J745" s="283"/>
      <c r="K745" s="283"/>
      <c r="L745" s="279"/>
      <c r="M745" s="294"/>
      <c r="N745" s="294"/>
      <c r="O745" s="300">
        <v>8.8367821833444022</v>
      </c>
      <c r="P745" s="300">
        <v>10.628140703517586</v>
      </c>
      <c r="Q745" s="300">
        <v>10.574999999999999</v>
      </c>
      <c r="R745" s="300">
        <v>8.4179104477611943</v>
      </c>
      <c r="S745" s="300">
        <v>8.3762376237623766</v>
      </c>
      <c r="T745" s="300">
        <v>7.9899999999999984</v>
      </c>
      <c r="U745" s="300">
        <v>2.3499999999999996</v>
      </c>
      <c r="V745" s="300">
        <v>0</v>
      </c>
      <c r="W745" s="300">
        <v>0</v>
      </c>
      <c r="X745" s="300">
        <v>0</v>
      </c>
      <c r="Y745" s="394"/>
      <c r="AB745" s="300">
        <v>0</v>
      </c>
      <c r="AC745" s="300">
        <v>0</v>
      </c>
      <c r="AM745" s="283"/>
      <c r="AN745" s="283"/>
      <c r="AO745" s="283"/>
      <c r="AP745" s="283"/>
      <c r="AQ745" s="283"/>
      <c r="AR745" s="283"/>
      <c r="AS745" s="283"/>
      <c r="AT745" s="283"/>
      <c r="AU745" s="283"/>
      <c r="AV745" s="283"/>
      <c r="AW745" s="283"/>
      <c r="AX745" s="283"/>
      <c r="AY745" s="283"/>
      <c r="AZ745" s="283"/>
      <c r="BA745" s="283"/>
      <c r="BB745" s="283"/>
      <c r="BC745" s="283"/>
      <c r="BD745" s="283"/>
      <c r="BE745" s="283"/>
      <c r="BF745" s="283"/>
    </row>
    <row r="746" spans="1:58" ht="12" hidden="1" customHeight="1" x14ac:dyDescent="0.3">
      <c r="A746" s="283"/>
      <c r="B746" s="283"/>
      <c r="C746" s="283"/>
      <c r="D746" s="283"/>
      <c r="E746" s="283"/>
      <c r="F746" s="283"/>
      <c r="G746" s="283"/>
      <c r="H746" s="283"/>
      <c r="I746" s="283"/>
      <c r="J746" s="283"/>
      <c r="K746" s="283"/>
      <c r="L746" s="279"/>
      <c r="M746" s="294"/>
      <c r="N746" s="294"/>
      <c r="O746" s="300">
        <v>0</v>
      </c>
      <c r="P746" s="300">
        <v>0</v>
      </c>
      <c r="Q746" s="300">
        <v>0</v>
      </c>
      <c r="R746" s="300">
        <v>0</v>
      </c>
      <c r="S746" s="300">
        <v>0</v>
      </c>
      <c r="T746" s="300">
        <v>0</v>
      </c>
      <c r="U746" s="300">
        <v>0</v>
      </c>
      <c r="V746" s="300">
        <v>0</v>
      </c>
      <c r="W746" s="300">
        <v>0</v>
      </c>
      <c r="X746" s="300">
        <v>0</v>
      </c>
      <c r="Y746" s="394"/>
      <c r="AB746" s="300">
        <v>0</v>
      </c>
      <c r="AC746" s="300">
        <v>0</v>
      </c>
      <c r="AM746" s="283"/>
      <c r="AN746" s="283"/>
      <c r="AO746" s="283"/>
      <c r="AP746" s="283"/>
      <c r="AQ746" s="283"/>
      <c r="AR746" s="283"/>
      <c r="AS746" s="283"/>
      <c r="AT746" s="283"/>
      <c r="AU746" s="283"/>
      <c r="AV746" s="283"/>
      <c r="AW746" s="283"/>
      <c r="AX746" s="283"/>
      <c r="AY746" s="283"/>
      <c r="AZ746" s="283"/>
      <c r="BA746" s="283"/>
      <c r="BB746" s="283"/>
      <c r="BC746" s="283"/>
      <c r="BD746" s="283"/>
      <c r="BE746" s="283"/>
      <c r="BF746" s="283"/>
    </row>
    <row r="747" spans="1:58" ht="12" hidden="1" customHeight="1" x14ac:dyDescent="0.3">
      <c r="A747" s="283"/>
      <c r="B747" s="283"/>
      <c r="C747" s="283"/>
      <c r="D747" s="283"/>
      <c r="E747" s="283"/>
      <c r="F747" s="283"/>
      <c r="G747" s="283"/>
      <c r="H747" s="283"/>
      <c r="I747" s="283"/>
      <c r="J747" s="283"/>
      <c r="K747" s="283"/>
      <c r="L747" s="279"/>
      <c r="M747" s="294"/>
      <c r="N747" s="294"/>
      <c r="O747" s="300">
        <v>137.31769488347175</v>
      </c>
      <c r="P747" s="300">
        <v>130.24370512336012</v>
      </c>
      <c r="Q747" s="300">
        <v>133.77728131959188</v>
      </c>
      <c r="R747" s="300">
        <v>128.20314125124753</v>
      </c>
      <c r="S747" s="300">
        <v>127.52249999999997</v>
      </c>
      <c r="T747" s="300">
        <v>119.38882535978217</v>
      </c>
      <c r="U747" s="300">
        <v>140.4811601362419</v>
      </c>
      <c r="V747" s="300">
        <v>134.74969453418089</v>
      </c>
      <c r="W747" s="300">
        <v>134.47547976001627</v>
      </c>
      <c r="X747" s="300">
        <v>134.5329625720602</v>
      </c>
      <c r="Y747" s="394"/>
      <c r="AB747" s="300">
        <v>130.7777777777778</v>
      </c>
      <c r="AC747" s="300">
        <v>140.27777777777777</v>
      </c>
      <c r="AM747" s="283"/>
      <c r="AN747" s="283"/>
      <c r="AO747" s="283"/>
      <c r="AP747" s="283"/>
      <c r="AQ747" s="283"/>
      <c r="AR747" s="283"/>
      <c r="AS747" s="283"/>
      <c r="AT747" s="283"/>
      <c r="AU747" s="283"/>
      <c r="AV747" s="283"/>
      <c r="AW747" s="283"/>
      <c r="AX747" s="283"/>
      <c r="AY747" s="283"/>
      <c r="AZ747" s="283"/>
      <c r="BA747" s="283"/>
      <c r="BB747" s="283"/>
      <c r="BC747" s="283"/>
      <c r="BD747" s="283"/>
      <c r="BE747" s="283"/>
      <c r="BF747" s="283"/>
    </row>
    <row r="748" spans="1:58" ht="12" hidden="1" customHeight="1" x14ac:dyDescent="0.3">
      <c r="A748" s="283"/>
      <c r="B748" s="283"/>
      <c r="C748" s="283"/>
      <c r="D748" s="283"/>
      <c r="E748" s="283"/>
      <c r="F748" s="283"/>
      <c r="G748" s="283"/>
      <c r="H748" s="283"/>
      <c r="I748" s="283"/>
      <c r="J748" s="283"/>
      <c r="K748" s="283"/>
      <c r="L748" s="279"/>
      <c r="M748" s="294"/>
      <c r="N748" s="294"/>
      <c r="O748" s="300">
        <v>0</v>
      </c>
      <c r="P748" s="300">
        <v>0</v>
      </c>
      <c r="Q748" s="300">
        <v>0</v>
      </c>
      <c r="R748" s="300">
        <v>0</v>
      </c>
      <c r="S748" s="300">
        <v>0</v>
      </c>
      <c r="T748" s="300">
        <v>0</v>
      </c>
      <c r="U748" s="300">
        <v>0</v>
      </c>
      <c r="V748" s="300">
        <v>0</v>
      </c>
      <c r="W748" s="300">
        <v>0</v>
      </c>
      <c r="X748" s="300">
        <v>0</v>
      </c>
      <c r="Y748" s="394"/>
      <c r="AB748" s="300">
        <v>0</v>
      </c>
      <c r="AC748" s="300">
        <v>0</v>
      </c>
      <c r="AM748" s="283"/>
      <c r="AN748" s="283"/>
      <c r="AO748" s="283"/>
      <c r="AP748" s="283"/>
      <c r="AQ748" s="283"/>
      <c r="AR748" s="283"/>
      <c r="AS748" s="283"/>
      <c r="AT748" s="283"/>
      <c r="AU748" s="283"/>
      <c r="AV748" s="283"/>
      <c r="AW748" s="283"/>
      <c r="AX748" s="283"/>
      <c r="AY748" s="283"/>
      <c r="AZ748" s="283"/>
      <c r="BA748" s="283"/>
      <c r="BB748" s="283"/>
      <c r="BC748" s="283"/>
      <c r="BD748" s="283"/>
      <c r="BE748" s="283"/>
      <c r="BF748" s="283"/>
    </row>
    <row r="749" spans="1:58" ht="12" hidden="1" customHeight="1" x14ac:dyDescent="0.3">
      <c r="A749" s="283"/>
      <c r="B749" s="283"/>
      <c r="C749" s="283"/>
      <c r="D749" s="283"/>
      <c r="E749" s="283"/>
      <c r="F749" s="283"/>
      <c r="G749" s="283"/>
      <c r="H749" s="283"/>
      <c r="I749" s="283"/>
      <c r="J749" s="283"/>
      <c r="K749" s="283"/>
      <c r="L749" s="279"/>
      <c r="M749" s="294"/>
      <c r="N749" s="294"/>
      <c r="O749" s="300">
        <v>0</v>
      </c>
      <c r="P749" s="300">
        <v>0</v>
      </c>
      <c r="Q749" s="300">
        <v>0</v>
      </c>
      <c r="R749" s="300">
        <v>0</v>
      </c>
      <c r="S749" s="300">
        <v>0</v>
      </c>
      <c r="T749" s="300">
        <v>0</v>
      </c>
      <c r="U749" s="300">
        <v>0</v>
      </c>
      <c r="V749" s="300">
        <v>0</v>
      </c>
      <c r="W749" s="300">
        <v>0</v>
      </c>
      <c r="X749" s="300">
        <v>0</v>
      </c>
      <c r="Y749" s="394"/>
      <c r="AB749" s="300">
        <v>0</v>
      </c>
      <c r="AC749" s="300">
        <v>0</v>
      </c>
      <c r="AM749" s="283"/>
      <c r="AN749" s="283"/>
      <c r="AO749" s="283"/>
      <c r="AP749" s="283"/>
      <c r="AQ749" s="283"/>
      <c r="AR749" s="283"/>
      <c r="AS749" s="283"/>
      <c r="AT749" s="283"/>
      <c r="AU749" s="283"/>
      <c r="AV749" s="283"/>
      <c r="AW749" s="283"/>
      <c r="AX749" s="283"/>
      <c r="AY749" s="283"/>
      <c r="AZ749" s="283"/>
      <c r="BA749" s="283"/>
      <c r="BB749" s="283"/>
      <c r="BC749" s="283"/>
      <c r="BD749" s="283"/>
      <c r="BE749" s="283"/>
      <c r="BF749" s="283"/>
    </row>
    <row r="750" spans="1:58" ht="12" hidden="1" customHeight="1" x14ac:dyDescent="0.3">
      <c r="A750" s="283"/>
      <c r="B750" s="283"/>
      <c r="C750" s="283"/>
      <c r="D750" s="283"/>
      <c r="E750" s="283"/>
      <c r="F750" s="283"/>
      <c r="G750" s="283"/>
      <c r="H750" s="283"/>
      <c r="I750" s="283"/>
      <c r="J750" s="283"/>
      <c r="K750" s="283"/>
      <c r="L750" s="279"/>
      <c r="M750" s="294"/>
      <c r="N750" s="294"/>
      <c r="O750" s="300">
        <v>0</v>
      </c>
      <c r="P750" s="300">
        <v>0</v>
      </c>
      <c r="Q750" s="300">
        <v>0</v>
      </c>
      <c r="R750" s="300">
        <v>0</v>
      </c>
      <c r="S750" s="300">
        <v>0</v>
      </c>
      <c r="T750" s="300">
        <v>0</v>
      </c>
      <c r="U750" s="300">
        <v>0</v>
      </c>
      <c r="V750" s="300">
        <v>0</v>
      </c>
      <c r="W750" s="300">
        <v>0</v>
      </c>
      <c r="X750" s="300">
        <v>0</v>
      </c>
      <c r="Y750" s="394"/>
      <c r="AB750" s="300">
        <v>0</v>
      </c>
      <c r="AC750" s="300">
        <v>0</v>
      </c>
      <c r="AM750" s="283"/>
      <c r="AN750" s="283"/>
      <c r="AO750" s="283"/>
      <c r="AP750" s="283"/>
      <c r="AQ750" s="283"/>
      <c r="AR750" s="283"/>
      <c r="AS750" s="283"/>
      <c r="AT750" s="283"/>
      <c r="AU750" s="283"/>
      <c r="AV750" s="283"/>
      <c r="AW750" s="283"/>
      <c r="AX750" s="283"/>
      <c r="AY750" s="283"/>
      <c r="AZ750" s="283"/>
      <c r="BA750" s="283"/>
      <c r="BB750" s="283"/>
      <c r="BC750" s="283"/>
      <c r="BD750" s="283"/>
      <c r="BE750" s="283"/>
      <c r="BF750" s="283"/>
    </row>
    <row r="751" spans="1:58" ht="12" hidden="1" customHeight="1" x14ac:dyDescent="0.3">
      <c r="A751" s="283"/>
      <c r="B751" s="283"/>
      <c r="C751" s="283"/>
      <c r="D751" s="283"/>
      <c r="E751" s="283"/>
      <c r="F751" s="283"/>
      <c r="G751" s="283"/>
      <c r="H751" s="283"/>
      <c r="I751" s="283"/>
      <c r="J751" s="283"/>
      <c r="K751" s="283"/>
      <c r="L751" s="279"/>
      <c r="M751" s="294"/>
      <c r="N751" s="294"/>
      <c r="O751" s="300">
        <v>0</v>
      </c>
      <c r="P751" s="300">
        <v>0</v>
      </c>
      <c r="Q751" s="300">
        <v>0</v>
      </c>
      <c r="R751" s="300">
        <v>0</v>
      </c>
      <c r="S751" s="300">
        <v>0</v>
      </c>
      <c r="T751" s="300">
        <v>0</v>
      </c>
      <c r="U751" s="300">
        <v>0</v>
      </c>
      <c r="V751" s="300">
        <v>0</v>
      </c>
      <c r="W751" s="300">
        <v>0</v>
      </c>
      <c r="X751" s="300">
        <v>0</v>
      </c>
      <c r="Y751" s="394"/>
      <c r="AB751" s="300">
        <v>0</v>
      </c>
      <c r="AC751" s="300">
        <v>0</v>
      </c>
      <c r="AM751" s="283"/>
      <c r="AN751" s="283"/>
      <c r="AO751" s="283"/>
      <c r="AP751" s="283"/>
      <c r="AQ751" s="283"/>
      <c r="AR751" s="283"/>
      <c r="AS751" s="283"/>
      <c r="AT751" s="283"/>
      <c r="AU751" s="283"/>
      <c r="AV751" s="283"/>
      <c r="AW751" s="283"/>
      <c r="AX751" s="283"/>
      <c r="AY751" s="283"/>
      <c r="AZ751" s="283"/>
      <c r="BA751" s="283"/>
      <c r="BB751" s="283"/>
      <c r="BC751" s="283"/>
      <c r="BD751" s="283"/>
      <c r="BE751" s="283"/>
      <c r="BF751" s="283"/>
    </row>
    <row r="752" spans="1:58" ht="12" hidden="1" customHeight="1" x14ac:dyDescent="0.3">
      <c r="A752" s="283"/>
      <c r="B752" s="283"/>
      <c r="C752" s="283"/>
      <c r="D752" s="283"/>
      <c r="E752" s="283"/>
      <c r="F752" s="283"/>
      <c r="G752" s="283"/>
      <c r="H752" s="283"/>
      <c r="I752" s="283"/>
      <c r="J752" s="283"/>
      <c r="K752" s="283"/>
      <c r="L752" s="279"/>
      <c r="M752" s="294"/>
      <c r="N752" s="294"/>
      <c r="O752" s="300">
        <v>1538.9739111330798</v>
      </c>
      <c r="P752" s="300">
        <v>1393.1200735378604</v>
      </c>
      <c r="Q752" s="300">
        <v>1438.0351127584629</v>
      </c>
      <c r="R752" s="300">
        <v>1422.3443550789398</v>
      </c>
      <c r="S752" s="300">
        <v>1246.3266244968372</v>
      </c>
      <c r="T752" s="300">
        <v>1132.2752780992794</v>
      </c>
      <c r="U752" s="300">
        <v>1237.7682595690296</v>
      </c>
      <c r="V752" s="300">
        <v>1270.2061855670092</v>
      </c>
      <c r="W752" s="300">
        <v>1360.8870967741946</v>
      </c>
      <c r="X752" s="300">
        <v>1255.6521739130433</v>
      </c>
      <c r="Y752" s="394"/>
      <c r="AB752" s="300">
        <v>1192.8958709856804</v>
      </c>
      <c r="AC752" s="300">
        <v>1220.2140970387875</v>
      </c>
      <c r="AM752" s="283"/>
      <c r="AN752" s="283"/>
      <c r="AO752" s="283"/>
      <c r="AP752" s="283"/>
      <c r="AQ752" s="283"/>
      <c r="AR752" s="283"/>
      <c r="AS752" s="283"/>
      <c r="AT752" s="283"/>
      <c r="AU752" s="283"/>
      <c r="AV752" s="283"/>
      <c r="AW752" s="283"/>
      <c r="AX752" s="283"/>
      <c r="AY752" s="283"/>
      <c r="AZ752" s="283"/>
      <c r="BA752" s="283"/>
      <c r="BB752" s="283"/>
      <c r="BC752" s="283"/>
      <c r="BD752" s="283"/>
      <c r="BE752" s="283"/>
      <c r="BF752" s="283"/>
    </row>
    <row r="753" spans="1:58" ht="12" hidden="1" customHeight="1" x14ac:dyDescent="0.3">
      <c r="A753" s="283"/>
      <c r="B753" s="283"/>
      <c r="C753" s="283"/>
      <c r="D753" s="283"/>
      <c r="E753" s="283"/>
      <c r="F753" s="283"/>
      <c r="G753" s="283"/>
      <c r="H753" s="283"/>
      <c r="I753" s="283"/>
      <c r="J753" s="283"/>
      <c r="K753" s="283"/>
      <c r="L753" s="279"/>
      <c r="M753" s="294"/>
      <c r="N753" s="294"/>
      <c r="O753" s="300">
        <v>457.47777777777776</v>
      </c>
      <c r="P753" s="300">
        <v>433.31555555555553</v>
      </c>
      <c r="Q753" s="300">
        <v>438.78916666666663</v>
      </c>
      <c r="R753" s="300">
        <v>433.79444444444448</v>
      </c>
      <c r="S753" s="300">
        <v>388.64</v>
      </c>
      <c r="T753" s="300">
        <v>375.85166666666663</v>
      </c>
      <c r="U753" s="300">
        <v>417.09861111111104</v>
      </c>
      <c r="V753" s="300">
        <v>421.80000000000007</v>
      </c>
      <c r="W753" s="300">
        <v>431.25000000000006</v>
      </c>
      <c r="X753" s="300">
        <v>433.2</v>
      </c>
      <c r="Y753" s="394"/>
      <c r="AB753" s="300">
        <v>411.1944444444444</v>
      </c>
      <c r="AC753" s="300">
        <v>420.61111111111109</v>
      </c>
      <c r="AM753" s="283"/>
      <c r="AN753" s="283"/>
      <c r="AO753" s="283"/>
      <c r="AP753" s="283"/>
      <c r="AQ753" s="283"/>
      <c r="AR753" s="283"/>
      <c r="AS753" s="283"/>
      <c r="AT753" s="283"/>
      <c r="AU753" s="283"/>
      <c r="AV753" s="283"/>
      <c r="AW753" s="283"/>
      <c r="AX753" s="283"/>
      <c r="AY753" s="283"/>
      <c r="AZ753" s="283"/>
      <c r="BA753" s="283"/>
      <c r="BB753" s="283"/>
      <c r="BC753" s="283"/>
      <c r="BD753" s="283"/>
      <c r="BE753" s="283"/>
      <c r="BF753" s="283"/>
    </row>
    <row r="754" spans="1:58" ht="12" hidden="1" customHeight="1" x14ac:dyDescent="0.3">
      <c r="A754" s="283"/>
      <c r="B754" s="283"/>
      <c r="C754" s="283"/>
      <c r="D754" s="283"/>
      <c r="E754" s="283"/>
      <c r="F754" s="283"/>
      <c r="G754" s="283"/>
      <c r="H754" s="283"/>
      <c r="I754" s="283"/>
      <c r="J754" s="283"/>
      <c r="K754" s="283"/>
      <c r="L754" s="279"/>
      <c r="M754" s="294"/>
      <c r="N754" s="294"/>
      <c r="O754" s="300">
        <v>1255.250544662309</v>
      </c>
      <c r="P754" s="300">
        <v>1187.122222222222</v>
      </c>
      <c r="Q754" s="300">
        <v>1267.5444444444447</v>
      </c>
      <c r="R754" s="300">
        <v>1216.7555555555555</v>
      </c>
      <c r="S754" s="300">
        <v>1322.5340136054422</v>
      </c>
      <c r="T754" s="300">
        <v>1261.0833333333333</v>
      </c>
      <c r="U754" s="300">
        <v>1338.9999999999998</v>
      </c>
      <c r="V754" s="300">
        <v>1642.3286052009453</v>
      </c>
      <c r="W754" s="300">
        <v>1657.8014184397159</v>
      </c>
      <c r="X754" s="300">
        <v>1558.5300925925931</v>
      </c>
      <c r="Y754" s="394"/>
      <c r="AB754" s="300">
        <v>1633.101851851852</v>
      </c>
      <c r="AC754" s="300">
        <v>1533.7777777777776</v>
      </c>
      <c r="AM754" s="283"/>
      <c r="AN754" s="283"/>
      <c r="AO754" s="283"/>
      <c r="AP754" s="283"/>
      <c r="AQ754" s="283"/>
      <c r="AR754" s="283"/>
      <c r="AS754" s="283"/>
      <c r="AT754" s="283"/>
      <c r="AU754" s="283"/>
      <c r="AV754" s="283"/>
      <c r="AW754" s="283"/>
      <c r="AX754" s="283"/>
      <c r="AY754" s="283"/>
      <c r="AZ754" s="283"/>
      <c r="BA754" s="283"/>
      <c r="BB754" s="283"/>
      <c r="BC754" s="283"/>
      <c r="BD754" s="283"/>
      <c r="BE754" s="283"/>
      <c r="BF754" s="283"/>
    </row>
    <row r="755" spans="1:58" ht="12" hidden="1" customHeight="1" x14ac:dyDescent="0.3">
      <c r="A755" s="283"/>
      <c r="B755" s="283"/>
      <c r="C755" s="283"/>
      <c r="D755" s="283"/>
      <c r="E755" s="283"/>
      <c r="F755" s="283"/>
      <c r="G755" s="283"/>
      <c r="H755" s="283"/>
      <c r="I755" s="283"/>
      <c r="J755" s="283"/>
      <c r="K755" s="283"/>
      <c r="L755" s="279"/>
      <c r="M755" s="294"/>
      <c r="N755" s="294"/>
      <c r="O755" s="301">
        <v>3388.6249946635348</v>
      </c>
      <c r="P755" s="301">
        <v>3154.4296971425156</v>
      </c>
      <c r="Q755" s="301">
        <v>3288.7210051891661</v>
      </c>
      <c r="R755" s="301">
        <v>3209.5154067779476</v>
      </c>
      <c r="S755" s="301">
        <v>3093.3993757260419</v>
      </c>
      <c r="T755" s="301">
        <v>2896.5891034590613</v>
      </c>
      <c r="U755" s="301">
        <v>3136.6980308163825</v>
      </c>
      <c r="V755" s="301">
        <v>3469.0844853021363</v>
      </c>
      <c r="W755" s="301">
        <v>3584.4139949739265</v>
      </c>
      <c r="X755" s="301">
        <v>3381.9152290776965</v>
      </c>
      <c r="Y755" s="394"/>
      <c r="AB755" s="301">
        <v>3367.9699450597545</v>
      </c>
      <c r="AC755" s="302">
        <v>3314.8807637054542</v>
      </c>
      <c r="AM755" s="283"/>
      <c r="AN755" s="283"/>
      <c r="AO755" s="283"/>
      <c r="AP755" s="283"/>
      <c r="AQ755" s="283"/>
      <c r="AR755" s="283"/>
      <c r="AS755" s="283"/>
      <c r="AT755" s="283"/>
      <c r="AU755" s="283"/>
      <c r="AV755" s="283"/>
      <c r="AW755" s="283"/>
      <c r="AX755" s="283"/>
      <c r="AY755" s="283"/>
      <c r="AZ755" s="283"/>
      <c r="BA755" s="283"/>
      <c r="BB755" s="283"/>
      <c r="BC755" s="283"/>
      <c r="BD755" s="283"/>
      <c r="BE755" s="283"/>
      <c r="BF755" s="283"/>
    </row>
    <row r="756" spans="1:58" ht="12" hidden="1" customHeight="1" x14ac:dyDescent="0.3">
      <c r="A756" s="283"/>
      <c r="B756" s="283"/>
      <c r="C756" s="283"/>
      <c r="D756" s="283"/>
      <c r="E756" s="283"/>
      <c r="F756" s="283"/>
      <c r="G756" s="283"/>
      <c r="H756" s="283"/>
      <c r="I756" s="283"/>
      <c r="J756" s="283"/>
      <c r="K756" s="283"/>
      <c r="L756" s="279"/>
      <c r="M756" s="294"/>
      <c r="N756" s="294"/>
      <c r="O756" s="295">
        <f>IFERROR((O744+O745+O746+O747+O749+O750+O751+O752+O753+O754)/O755,"")</f>
        <v>1.0027243250554387</v>
      </c>
      <c r="P756" s="295">
        <f t="shared" ref="P756:X756" si="1043">IFERROR((P744+P745+P746+P747+P749+P750+P751+P752+P753+P754)/P755,"")</f>
        <v>1</v>
      </c>
      <c r="Q756" s="295">
        <f t="shared" si="1043"/>
        <v>1</v>
      </c>
      <c r="R756" s="295">
        <f t="shared" si="1043"/>
        <v>1.0000000000000002</v>
      </c>
      <c r="S756" s="295">
        <f t="shared" si="1043"/>
        <v>0.99999999999999989</v>
      </c>
      <c r="T756" s="295">
        <f t="shared" si="1043"/>
        <v>1</v>
      </c>
      <c r="U756" s="295">
        <f t="shared" si="1043"/>
        <v>0.99999999999999989</v>
      </c>
      <c r="V756" s="295">
        <f t="shared" si="1043"/>
        <v>0.99999999999999978</v>
      </c>
      <c r="W756" s="295">
        <f t="shared" si="1043"/>
        <v>1</v>
      </c>
      <c r="X756" s="295">
        <f t="shared" si="1043"/>
        <v>1</v>
      </c>
      <c r="Y756" s="394"/>
      <c r="AB756" s="295">
        <f>IFERROR((AB744+AB745+AB746+AB747+AB749+AB750+AB751+AB752+AB753+AB754)/AB755,"")</f>
        <v>1</v>
      </c>
      <c r="AC756" s="295">
        <f>IFERROR((AC744+AC745+AC746+AC747+AC749+AC750+AC751+AC752+AC753+AC754)/AC755,"")</f>
        <v>1</v>
      </c>
      <c r="AM756" s="283"/>
      <c r="AN756" s="283"/>
      <c r="AO756" s="283"/>
      <c r="AP756" s="283"/>
      <c r="AQ756" s="283"/>
      <c r="AR756" s="283"/>
      <c r="AS756" s="283"/>
      <c r="AT756" s="283"/>
      <c r="AU756" s="283"/>
      <c r="AV756" s="283"/>
      <c r="AW756" s="283"/>
      <c r="AX756" s="283"/>
      <c r="AY756" s="283"/>
      <c r="AZ756" s="283"/>
      <c r="BA756" s="283"/>
      <c r="BB756" s="283"/>
      <c r="BC756" s="283"/>
      <c r="BD756" s="283"/>
      <c r="BE756" s="283"/>
      <c r="BF756" s="283"/>
    </row>
    <row r="757" spans="1:58" ht="12" hidden="1" customHeight="1" x14ac:dyDescent="0.3">
      <c r="A757" s="283"/>
      <c r="B757" s="283"/>
      <c r="C757" s="283"/>
      <c r="D757" s="283"/>
      <c r="E757" s="283"/>
      <c r="F757" s="283"/>
      <c r="G757" s="283"/>
      <c r="H757" s="283"/>
      <c r="I757" s="283"/>
      <c r="J757" s="283"/>
      <c r="K757" s="283"/>
      <c r="L757" s="279"/>
      <c r="M757" s="294"/>
      <c r="N757" s="294"/>
      <c r="O757" s="295">
        <f>IFERROR((O743+O747+O748+O752+O753+O754)/O755,"")</f>
        <v>1</v>
      </c>
      <c r="P757" s="295">
        <f t="shared" ref="P757:X757" si="1044">IFERROR((P743+P747+P748+P752+P753+P754)/P755,"")</f>
        <v>1</v>
      </c>
      <c r="Q757" s="295">
        <f t="shared" si="1044"/>
        <v>1</v>
      </c>
      <c r="R757" s="295">
        <f t="shared" si="1044"/>
        <v>1.0000000000000002</v>
      </c>
      <c r="S757" s="295">
        <f t="shared" si="1044"/>
        <v>0.99999999999999989</v>
      </c>
      <c r="T757" s="295">
        <f t="shared" si="1044"/>
        <v>1</v>
      </c>
      <c r="U757" s="295">
        <f t="shared" si="1044"/>
        <v>0.99999999999999989</v>
      </c>
      <c r="V757" s="295">
        <f t="shared" si="1044"/>
        <v>0.99999999999999978</v>
      </c>
      <c r="W757" s="295">
        <f t="shared" si="1044"/>
        <v>1</v>
      </c>
      <c r="X757" s="295">
        <f t="shared" si="1044"/>
        <v>1</v>
      </c>
      <c r="Y757" s="394"/>
      <c r="AB757" s="295">
        <f>IFERROR((AB743+AB747+AB748+AB752+AB753+AB754)/AB755,"")</f>
        <v>1</v>
      </c>
      <c r="AC757" s="295">
        <f>IFERROR((AC743+AC747+AC748+AC752+AC753+AC754)/AC755,"")</f>
        <v>1</v>
      </c>
      <c r="AM757" s="283"/>
      <c r="AN757" s="283"/>
      <c r="AO757" s="283"/>
      <c r="AP757" s="283"/>
      <c r="AQ757" s="283"/>
      <c r="AR757" s="283"/>
      <c r="AS757" s="283"/>
      <c r="AT757" s="283"/>
      <c r="AU757" s="283"/>
      <c r="AV757" s="283"/>
      <c r="AW757" s="283"/>
      <c r="AX757" s="283"/>
      <c r="AY757" s="283"/>
      <c r="AZ757" s="283"/>
      <c r="BA757" s="283"/>
      <c r="BB757" s="283"/>
      <c r="BC757" s="283"/>
      <c r="BD757" s="283"/>
      <c r="BE757" s="283"/>
      <c r="BF757" s="283"/>
    </row>
    <row r="758" spans="1:58" ht="12" hidden="1" customHeight="1" x14ac:dyDescent="0.3">
      <c r="A758" s="283"/>
      <c r="B758" s="283"/>
      <c r="C758" s="283"/>
      <c r="D758" s="283"/>
      <c r="E758" s="283"/>
      <c r="F758" s="283"/>
      <c r="G758" s="283"/>
      <c r="H758" s="283"/>
      <c r="I758" s="283"/>
      <c r="J758" s="283"/>
      <c r="K758" s="283"/>
      <c r="L758" s="279"/>
      <c r="M758" s="294"/>
      <c r="N758" s="294"/>
      <c r="O758" s="303"/>
      <c r="P758" s="303"/>
      <c r="Q758" s="303"/>
      <c r="R758" s="303"/>
      <c r="S758" s="303"/>
      <c r="T758" s="303"/>
      <c r="U758" s="303"/>
      <c r="V758" s="303"/>
      <c r="W758" s="303"/>
      <c r="X758" s="303"/>
      <c r="Y758" s="394"/>
      <c r="AB758" s="303"/>
      <c r="AC758" s="303"/>
      <c r="AM758" s="283"/>
      <c r="AN758" s="283"/>
      <c r="AO758" s="283"/>
      <c r="AP758" s="283"/>
      <c r="AQ758" s="283"/>
      <c r="AR758" s="283"/>
      <c r="AS758" s="283"/>
      <c r="AT758" s="283"/>
      <c r="AU758" s="283"/>
      <c r="AV758" s="283"/>
      <c r="AW758" s="283"/>
      <c r="AX758" s="283"/>
      <c r="AY758" s="283"/>
      <c r="AZ758" s="283"/>
      <c r="BA758" s="283"/>
      <c r="BB758" s="283"/>
      <c r="BC758" s="283"/>
      <c r="BD758" s="283"/>
      <c r="BE758" s="283"/>
      <c r="BF758" s="283"/>
    </row>
    <row r="759" spans="1:58" ht="12" hidden="1" customHeight="1" x14ac:dyDescent="0.3">
      <c r="A759" s="283"/>
      <c r="B759" s="283"/>
      <c r="C759" s="283"/>
      <c r="D759" s="283"/>
      <c r="E759" s="283"/>
      <c r="F759" s="283"/>
      <c r="G759" s="283"/>
      <c r="H759" s="283"/>
      <c r="I759" s="283"/>
      <c r="J759" s="283"/>
      <c r="K759" s="283"/>
      <c r="L759" s="279"/>
      <c r="M759" s="294"/>
      <c r="N759" s="294"/>
      <c r="O759" s="303"/>
      <c r="P759" s="303"/>
      <c r="Q759" s="303"/>
      <c r="R759" s="303"/>
      <c r="S759" s="303"/>
      <c r="T759" s="303"/>
      <c r="U759" s="303"/>
      <c r="V759" s="303"/>
      <c r="W759" s="303"/>
      <c r="X759" s="303"/>
      <c r="Y759" s="394"/>
      <c r="AB759" s="303"/>
      <c r="AC759" s="303"/>
      <c r="AM759" s="283"/>
      <c r="AN759" s="283"/>
      <c r="AO759" s="283"/>
      <c r="AP759" s="283"/>
      <c r="AQ759" s="283"/>
      <c r="AR759" s="283"/>
      <c r="AS759" s="283"/>
      <c r="AT759" s="283"/>
      <c r="AU759" s="283"/>
      <c r="AV759" s="283"/>
      <c r="AW759" s="283"/>
      <c r="AX759" s="283"/>
      <c r="AY759" s="283"/>
      <c r="AZ759" s="283"/>
      <c r="BA759" s="283"/>
      <c r="BB759" s="283"/>
      <c r="BC759" s="283"/>
      <c r="BD759" s="283"/>
      <c r="BE759" s="283"/>
      <c r="BF759" s="283"/>
    </row>
    <row r="760" spans="1:58" ht="12" hidden="1" customHeight="1" x14ac:dyDescent="0.3">
      <c r="A760" s="283"/>
      <c r="B760" s="283"/>
      <c r="C760" s="283"/>
      <c r="D760" s="283"/>
      <c r="E760" s="283"/>
      <c r="F760" s="283"/>
      <c r="G760" s="283"/>
      <c r="H760" s="283"/>
      <c r="I760" s="283"/>
      <c r="J760" s="283"/>
      <c r="K760" s="283"/>
      <c r="L760" s="279"/>
      <c r="M760" s="294"/>
      <c r="N760" s="294"/>
      <c r="O760" s="300">
        <v>0</v>
      </c>
      <c r="P760" s="300">
        <v>0</v>
      </c>
      <c r="Q760" s="300">
        <v>0</v>
      </c>
      <c r="R760" s="300">
        <v>0</v>
      </c>
      <c r="S760" s="300">
        <v>0</v>
      </c>
      <c r="T760" s="300">
        <v>0</v>
      </c>
      <c r="U760" s="300">
        <v>0</v>
      </c>
      <c r="V760" s="300">
        <v>0</v>
      </c>
      <c r="W760" s="300">
        <v>0</v>
      </c>
      <c r="X760" s="300">
        <v>0</v>
      </c>
      <c r="Y760" s="394"/>
      <c r="AB760" s="300">
        <v>0</v>
      </c>
      <c r="AC760" s="300">
        <v>0</v>
      </c>
      <c r="AM760" s="283"/>
      <c r="AN760" s="283"/>
      <c r="AO760" s="283"/>
      <c r="AP760" s="283"/>
      <c r="AQ760" s="283"/>
      <c r="AR760" s="283"/>
      <c r="AS760" s="283"/>
      <c r="AT760" s="283"/>
      <c r="AU760" s="283"/>
      <c r="AV760" s="283"/>
      <c r="AW760" s="283"/>
      <c r="AX760" s="283"/>
      <c r="AY760" s="283"/>
      <c r="AZ760" s="283"/>
      <c r="BA760" s="283"/>
      <c r="BB760" s="283"/>
      <c r="BC760" s="283"/>
      <c r="BD760" s="283"/>
      <c r="BE760" s="283"/>
      <c r="BF760" s="283"/>
    </row>
    <row r="761" spans="1:58" ht="12" hidden="1" customHeight="1" x14ac:dyDescent="0.3">
      <c r="A761" s="283"/>
      <c r="B761" s="283"/>
      <c r="C761" s="283"/>
      <c r="D761" s="283"/>
      <c r="E761" s="283"/>
      <c r="F761" s="283"/>
      <c r="G761" s="283"/>
      <c r="H761" s="283"/>
      <c r="I761" s="283"/>
      <c r="J761" s="283"/>
      <c r="K761" s="283"/>
      <c r="L761" s="279"/>
      <c r="M761" s="294"/>
      <c r="N761" s="294"/>
      <c r="O761" s="300">
        <v>0</v>
      </c>
      <c r="P761" s="300">
        <v>0</v>
      </c>
      <c r="Q761" s="300">
        <v>0</v>
      </c>
      <c r="R761" s="300">
        <v>0</v>
      </c>
      <c r="S761" s="300">
        <v>0</v>
      </c>
      <c r="T761" s="300">
        <v>0</v>
      </c>
      <c r="U761" s="300">
        <v>0</v>
      </c>
      <c r="V761" s="300">
        <v>0</v>
      </c>
      <c r="W761" s="300">
        <v>0</v>
      </c>
      <c r="X761" s="300">
        <v>0</v>
      </c>
      <c r="Y761" s="394"/>
      <c r="AB761" s="300">
        <v>0</v>
      </c>
      <c r="AC761" s="300">
        <v>0</v>
      </c>
      <c r="AM761" s="283"/>
      <c r="AN761" s="283"/>
      <c r="AO761" s="283"/>
      <c r="AP761" s="283"/>
      <c r="AQ761" s="283"/>
      <c r="AR761" s="283"/>
      <c r="AS761" s="283"/>
      <c r="AT761" s="283"/>
      <c r="AU761" s="283"/>
      <c r="AV761" s="283"/>
      <c r="AW761" s="283"/>
      <c r="AX761" s="283"/>
      <c r="AY761" s="283"/>
      <c r="AZ761" s="283"/>
      <c r="BA761" s="283"/>
      <c r="BB761" s="283"/>
      <c r="BC761" s="283"/>
      <c r="BD761" s="283"/>
      <c r="BE761" s="283"/>
      <c r="BF761" s="283"/>
    </row>
    <row r="762" spans="1:58" ht="12" hidden="1" customHeight="1" x14ac:dyDescent="0.3">
      <c r="A762" s="283"/>
      <c r="B762" s="283"/>
      <c r="C762" s="283"/>
      <c r="D762" s="283"/>
      <c r="E762" s="283"/>
      <c r="F762" s="283"/>
      <c r="G762" s="283"/>
      <c r="H762" s="283"/>
      <c r="I762" s="283"/>
      <c r="J762" s="283"/>
      <c r="K762" s="283"/>
      <c r="L762" s="279"/>
      <c r="M762" s="294"/>
      <c r="N762" s="294"/>
      <c r="O762" s="300">
        <v>0</v>
      </c>
      <c r="P762" s="300">
        <v>0</v>
      </c>
      <c r="Q762" s="300">
        <v>0</v>
      </c>
      <c r="R762" s="300">
        <v>0</v>
      </c>
      <c r="S762" s="300">
        <v>0</v>
      </c>
      <c r="T762" s="300">
        <v>0</v>
      </c>
      <c r="U762" s="300">
        <v>0</v>
      </c>
      <c r="V762" s="300">
        <v>0</v>
      </c>
      <c r="W762" s="300">
        <v>0</v>
      </c>
      <c r="X762" s="300">
        <v>0</v>
      </c>
      <c r="Y762" s="394"/>
      <c r="AB762" s="300">
        <v>0</v>
      </c>
      <c r="AC762" s="300">
        <v>0</v>
      </c>
      <c r="AM762" s="283"/>
      <c r="AN762" s="283"/>
      <c r="AO762" s="283"/>
      <c r="AP762" s="283"/>
      <c r="AQ762" s="283"/>
      <c r="AR762" s="283"/>
      <c r="AS762" s="283"/>
      <c r="AT762" s="283"/>
      <c r="AU762" s="283"/>
      <c r="AV762" s="283"/>
      <c r="AW762" s="283"/>
      <c r="AX762" s="283"/>
      <c r="AY762" s="283"/>
      <c r="AZ762" s="283"/>
      <c r="BA762" s="283"/>
      <c r="BB762" s="283"/>
      <c r="BC762" s="283"/>
      <c r="BD762" s="283"/>
      <c r="BE762" s="283"/>
      <c r="BF762" s="283"/>
    </row>
    <row r="763" spans="1:58" ht="12" hidden="1" customHeight="1" x14ac:dyDescent="0.3">
      <c r="A763" s="283"/>
      <c r="B763" s="283"/>
      <c r="C763" s="283"/>
      <c r="D763" s="283"/>
      <c r="E763" s="283"/>
      <c r="F763" s="283"/>
      <c r="G763" s="283"/>
      <c r="H763" s="283"/>
      <c r="I763" s="283"/>
      <c r="J763" s="283"/>
      <c r="K763" s="283"/>
      <c r="L763" s="279"/>
      <c r="M763" s="294"/>
      <c r="N763" s="294"/>
      <c r="O763" s="300">
        <v>0</v>
      </c>
      <c r="P763" s="300">
        <v>0</v>
      </c>
      <c r="Q763" s="300">
        <v>0</v>
      </c>
      <c r="R763" s="300">
        <v>0</v>
      </c>
      <c r="S763" s="300">
        <v>0</v>
      </c>
      <c r="T763" s="300">
        <v>0</v>
      </c>
      <c r="U763" s="300">
        <v>0</v>
      </c>
      <c r="V763" s="300">
        <v>0</v>
      </c>
      <c r="W763" s="300">
        <v>0</v>
      </c>
      <c r="X763" s="300">
        <v>0</v>
      </c>
      <c r="Y763" s="394"/>
      <c r="AB763" s="300">
        <v>0</v>
      </c>
      <c r="AC763" s="300">
        <v>0</v>
      </c>
      <c r="AM763" s="283"/>
      <c r="AN763" s="283"/>
      <c r="AO763" s="283"/>
      <c r="AP763" s="283"/>
      <c r="AQ763" s="283"/>
      <c r="AR763" s="283"/>
      <c r="AS763" s="283"/>
      <c r="AT763" s="283"/>
      <c r="AU763" s="283"/>
      <c r="AV763" s="283"/>
      <c r="AW763" s="283"/>
      <c r="AX763" s="283"/>
      <c r="AY763" s="283"/>
      <c r="AZ763" s="283"/>
      <c r="BA763" s="283"/>
      <c r="BB763" s="283"/>
      <c r="BC763" s="283"/>
      <c r="BD763" s="283"/>
      <c r="BE763" s="283"/>
      <c r="BF763" s="283"/>
    </row>
    <row r="764" spans="1:58" ht="12" hidden="1" customHeight="1" x14ac:dyDescent="0.3">
      <c r="A764" s="283"/>
      <c r="B764" s="283"/>
      <c r="C764" s="283"/>
      <c r="D764" s="283"/>
      <c r="E764" s="283"/>
      <c r="F764" s="283"/>
      <c r="G764" s="283"/>
      <c r="H764" s="283"/>
      <c r="I764" s="283"/>
      <c r="J764" s="283"/>
      <c r="K764" s="283"/>
      <c r="L764" s="279"/>
      <c r="M764" s="294"/>
      <c r="N764" s="294"/>
      <c r="O764" s="300">
        <v>137.31769488347175</v>
      </c>
      <c r="P764" s="300">
        <v>130.24370512336012</v>
      </c>
      <c r="Q764" s="300">
        <v>133.77728131959188</v>
      </c>
      <c r="R764" s="300">
        <v>128.20314125124753</v>
      </c>
      <c r="S764" s="300">
        <v>127.52249999999997</v>
      </c>
      <c r="T764" s="300">
        <v>119.38882535978217</v>
      </c>
      <c r="U764" s="300">
        <v>140.4811601362419</v>
      </c>
      <c r="V764" s="300">
        <v>134.74969453418089</v>
      </c>
      <c r="W764" s="300">
        <v>134.47547976001627</v>
      </c>
      <c r="X764" s="300">
        <v>134.5329625720602</v>
      </c>
      <c r="Y764" s="394"/>
      <c r="AB764" s="300">
        <v>130.7777777777778</v>
      </c>
      <c r="AC764" s="300">
        <v>139.57638888888889</v>
      </c>
      <c r="AM764" s="283"/>
      <c r="AN764" s="283"/>
      <c r="AO764" s="283"/>
      <c r="AP764" s="283"/>
      <c r="AQ764" s="283"/>
      <c r="AR764" s="283"/>
      <c r="AS764" s="283"/>
      <c r="AT764" s="283"/>
      <c r="AU764" s="283"/>
      <c r="AV764" s="283"/>
      <c r="AW764" s="283"/>
      <c r="AX764" s="283"/>
      <c r="AY764" s="283"/>
      <c r="AZ764" s="283"/>
      <c r="BA764" s="283"/>
      <c r="BB764" s="283"/>
      <c r="BC764" s="283"/>
      <c r="BD764" s="283"/>
      <c r="BE764" s="283"/>
      <c r="BF764" s="283"/>
    </row>
    <row r="765" spans="1:58" ht="12" hidden="1" customHeight="1" x14ac:dyDescent="0.3">
      <c r="A765" s="283"/>
      <c r="B765" s="283"/>
      <c r="C765" s="283"/>
      <c r="D765" s="283"/>
      <c r="E765" s="283"/>
      <c r="F765" s="283"/>
      <c r="G765" s="283"/>
      <c r="H765" s="283"/>
      <c r="I765" s="283"/>
      <c r="J765" s="283"/>
      <c r="K765" s="283"/>
      <c r="L765" s="279"/>
      <c r="M765" s="294"/>
      <c r="N765" s="294"/>
      <c r="O765" s="300">
        <v>0</v>
      </c>
      <c r="P765" s="300">
        <v>0</v>
      </c>
      <c r="Q765" s="300">
        <v>0</v>
      </c>
      <c r="R765" s="300">
        <v>0</v>
      </c>
      <c r="S765" s="300">
        <v>0</v>
      </c>
      <c r="T765" s="300">
        <v>0</v>
      </c>
      <c r="U765" s="300">
        <v>0</v>
      </c>
      <c r="V765" s="300">
        <v>0</v>
      </c>
      <c r="W765" s="300">
        <v>0</v>
      </c>
      <c r="X765" s="300">
        <v>0</v>
      </c>
      <c r="Y765" s="394"/>
      <c r="AB765" s="300">
        <v>0</v>
      </c>
      <c r="AC765" s="300">
        <v>0</v>
      </c>
      <c r="AM765" s="283"/>
      <c r="AN765" s="283"/>
      <c r="AO765" s="283"/>
      <c r="AP765" s="283"/>
      <c r="AQ765" s="283"/>
      <c r="AR765" s="283"/>
      <c r="AS765" s="283"/>
      <c r="AT765" s="283"/>
      <c r="AU765" s="283"/>
      <c r="AV765" s="283"/>
      <c r="AW765" s="283"/>
      <c r="AX765" s="283"/>
      <c r="AY765" s="283"/>
      <c r="AZ765" s="283"/>
      <c r="BA765" s="283"/>
      <c r="BB765" s="283"/>
      <c r="BC765" s="283"/>
      <c r="BD765" s="283"/>
      <c r="BE765" s="283"/>
      <c r="BF765" s="283"/>
    </row>
    <row r="766" spans="1:58" ht="12" hidden="1" customHeight="1" x14ac:dyDescent="0.3">
      <c r="A766" s="283"/>
      <c r="B766" s="283"/>
      <c r="C766" s="283"/>
      <c r="D766" s="283"/>
      <c r="E766" s="283"/>
      <c r="F766" s="283"/>
      <c r="G766" s="283"/>
      <c r="H766" s="283"/>
      <c r="I766" s="283"/>
      <c r="J766" s="283"/>
      <c r="K766" s="283"/>
      <c r="L766" s="279"/>
      <c r="M766" s="294"/>
      <c r="N766" s="294"/>
      <c r="O766" s="300">
        <v>0</v>
      </c>
      <c r="P766" s="300">
        <v>0</v>
      </c>
      <c r="Q766" s="300">
        <v>0</v>
      </c>
      <c r="R766" s="300">
        <v>0</v>
      </c>
      <c r="S766" s="300">
        <v>0</v>
      </c>
      <c r="T766" s="300">
        <v>0</v>
      </c>
      <c r="U766" s="300">
        <v>0</v>
      </c>
      <c r="V766" s="300">
        <v>0</v>
      </c>
      <c r="W766" s="300">
        <v>0</v>
      </c>
      <c r="X766" s="300">
        <v>0</v>
      </c>
      <c r="Y766" s="394"/>
      <c r="AB766" s="300">
        <v>0</v>
      </c>
      <c r="AC766" s="300">
        <v>0</v>
      </c>
      <c r="AM766" s="283"/>
      <c r="AN766" s="283"/>
      <c r="AO766" s="283"/>
      <c r="AP766" s="283"/>
      <c r="AQ766" s="283"/>
      <c r="AR766" s="283"/>
      <c r="AS766" s="283"/>
      <c r="AT766" s="283"/>
      <c r="AU766" s="283"/>
      <c r="AV766" s="283"/>
      <c r="AW766" s="283"/>
      <c r="AX766" s="283"/>
      <c r="AY766" s="283"/>
      <c r="AZ766" s="283"/>
      <c r="BA766" s="283"/>
      <c r="BB766" s="283"/>
      <c r="BC766" s="283"/>
      <c r="BD766" s="283"/>
      <c r="BE766" s="283"/>
      <c r="BF766" s="283"/>
    </row>
    <row r="767" spans="1:58" ht="12" hidden="1" customHeight="1" x14ac:dyDescent="0.3">
      <c r="A767" s="283"/>
      <c r="B767" s="283"/>
      <c r="C767" s="283"/>
      <c r="D767" s="283"/>
      <c r="E767" s="283"/>
      <c r="F767" s="283"/>
      <c r="G767" s="283"/>
      <c r="H767" s="283"/>
      <c r="I767" s="283"/>
      <c r="J767" s="283"/>
      <c r="K767" s="283"/>
      <c r="L767" s="279"/>
      <c r="M767" s="294"/>
      <c r="N767" s="294"/>
      <c r="O767" s="300">
        <v>0</v>
      </c>
      <c r="P767" s="300">
        <v>0</v>
      </c>
      <c r="Q767" s="300">
        <v>0</v>
      </c>
      <c r="R767" s="300">
        <v>0</v>
      </c>
      <c r="S767" s="300">
        <v>0</v>
      </c>
      <c r="T767" s="300">
        <v>0</v>
      </c>
      <c r="U767" s="300">
        <v>0</v>
      </c>
      <c r="V767" s="300">
        <v>0</v>
      </c>
      <c r="W767" s="300">
        <v>0</v>
      </c>
      <c r="X767" s="300">
        <v>0</v>
      </c>
      <c r="Y767" s="394"/>
      <c r="AB767" s="300">
        <v>0</v>
      </c>
      <c r="AC767" s="300">
        <v>0</v>
      </c>
      <c r="AM767" s="283"/>
      <c r="AN767" s="283"/>
      <c r="AO767" s="283"/>
      <c r="AP767" s="283"/>
      <c r="AQ767" s="283"/>
      <c r="AR767" s="283"/>
      <c r="AS767" s="283"/>
      <c r="AT767" s="283"/>
      <c r="AU767" s="283"/>
      <c r="AV767" s="283"/>
      <c r="AW767" s="283"/>
      <c r="AX767" s="283"/>
      <c r="AY767" s="283"/>
      <c r="AZ767" s="283"/>
      <c r="BA767" s="283"/>
      <c r="BB767" s="283"/>
      <c r="BC767" s="283"/>
      <c r="BD767" s="283"/>
      <c r="BE767" s="283"/>
      <c r="BF767" s="283"/>
    </row>
    <row r="768" spans="1:58" ht="12" hidden="1" customHeight="1" x14ac:dyDescent="0.3">
      <c r="A768" s="283"/>
      <c r="B768" s="283"/>
      <c r="C768" s="283"/>
      <c r="D768" s="283"/>
      <c r="E768" s="283"/>
      <c r="F768" s="283"/>
      <c r="G768" s="283"/>
      <c r="H768" s="283"/>
      <c r="I768" s="283"/>
      <c r="J768" s="283"/>
      <c r="K768" s="283"/>
      <c r="L768" s="279"/>
      <c r="M768" s="294"/>
      <c r="N768" s="294"/>
      <c r="O768" s="300">
        <v>0</v>
      </c>
      <c r="P768" s="300">
        <v>0</v>
      </c>
      <c r="Q768" s="300">
        <v>0</v>
      </c>
      <c r="R768" s="300">
        <v>0</v>
      </c>
      <c r="S768" s="300">
        <v>0</v>
      </c>
      <c r="T768" s="300">
        <v>0</v>
      </c>
      <c r="U768" s="300">
        <v>0</v>
      </c>
      <c r="V768" s="300">
        <v>0</v>
      </c>
      <c r="W768" s="300">
        <v>0</v>
      </c>
      <c r="X768" s="300">
        <v>0</v>
      </c>
      <c r="Y768" s="394"/>
      <c r="AB768" s="300">
        <v>0</v>
      </c>
      <c r="AC768" s="300">
        <v>0</v>
      </c>
      <c r="AM768" s="283"/>
      <c r="AN768" s="283"/>
      <c r="AO768" s="283"/>
      <c r="AP768" s="283"/>
      <c r="AQ768" s="283"/>
      <c r="AR768" s="283"/>
      <c r="AS768" s="283"/>
      <c r="AT768" s="283"/>
      <c r="AU768" s="283"/>
      <c r="AV768" s="283"/>
      <c r="AW768" s="283"/>
      <c r="AX768" s="283"/>
      <c r="AY768" s="283"/>
      <c r="AZ768" s="283"/>
      <c r="BA768" s="283"/>
      <c r="BB768" s="283"/>
      <c r="BC768" s="283"/>
      <c r="BD768" s="283"/>
      <c r="BE768" s="283"/>
      <c r="BF768" s="283"/>
    </row>
    <row r="769" spans="1:58" ht="12" hidden="1" customHeight="1" x14ac:dyDescent="0.3">
      <c r="A769" s="283"/>
      <c r="B769" s="283"/>
      <c r="C769" s="283"/>
      <c r="D769" s="283"/>
      <c r="E769" s="283"/>
      <c r="F769" s="283"/>
      <c r="G769" s="283"/>
      <c r="H769" s="283"/>
      <c r="I769" s="283"/>
      <c r="J769" s="283"/>
      <c r="K769" s="283"/>
      <c r="L769" s="279"/>
      <c r="M769" s="294"/>
      <c r="N769" s="294"/>
      <c r="O769" s="300">
        <v>141.60999999999999</v>
      </c>
      <c r="P769" s="300">
        <v>137.31400000000002</v>
      </c>
      <c r="Q769" s="300">
        <v>140.83199999999999</v>
      </c>
      <c r="R769" s="300">
        <v>132.41499999999996</v>
      </c>
      <c r="S769" s="300">
        <v>126.94700000000002</v>
      </c>
      <c r="T769" s="300">
        <v>127.872</v>
      </c>
      <c r="U769" s="300">
        <v>137.73600000000002</v>
      </c>
      <c r="V769" s="300">
        <v>141.62</v>
      </c>
      <c r="W769" s="300">
        <v>133.92000000000002</v>
      </c>
      <c r="X769" s="300">
        <v>146.97</v>
      </c>
      <c r="Y769" s="394"/>
      <c r="AB769" s="300">
        <v>139.86388888888888</v>
      </c>
      <c r="AC769" s="300">
        <v>153.79333333333332</v>
      </c>
      <c r="AM769" s="283"/>
      <c r="AN769" s="283"/>
      <c r="AO769" s="283"/>
      <c r="AP769" s="283"/>
      <c r="AQ769" s="283"/>
      <c r="AR769" s="283"/>
      <c r="AS769" s="283"/>
      <c r="AT769" s="283"/>
      <c r="AU769" s="283"/>
      <c r="AV769" s="283"/>
      <c r="AW769" s="283"/>
      <c r="AX769" s="283"/>
      <c r="AY769" s="283"/>
      <c r="AZ769" s="283"/>
      <c r="BA769" s="283"/>
      <c r="BB769" s="283"/>
      <c r="BC769" s="283"/>
      <c r="BD769" s="283"/>
      <c r="BE769" s="283"/>
      <c r="BF769" s="283"/>
    </row>
    <row r="770" spans="1:58" ht="12" hidden="1" customHeight="1" x14ac:dyDescent="0.3">
      <c r="A770" s="283"/>
      <c r="B770" s="283"/>
      <c r="C770" s="283"/>
      <c r="D770" s="283"/>
      <c r="E770" s="283"/>
      <c r="F770" s="283"/>
      <c r="G770" s="283"/>
      <c r="H770" s="283"/>
      <c r="I770" s="283"/>
      <c r="J770" s="283"/>
      <c r="K770" s="283"/>
      <c r="L770" s="279"/>
      <c r="M770" s="294"/>
      <c r="N770" s="294"/>
      <c r="O770" s="300">
        <v>1157.7272331154684</v>
      </c>
      <c r="P770" s="300">
        <v>932.73888888888882</v>
      </c>
      <c r="Q770" s="300">
        <v>995.92777777777826</v>
      </c>
      <c r="R770" s="300">
        <v>956.02222222222235</v>
      </c>
      <c r="S770" s="300">
        <v>880.80765306122441</v>
      </c>
      <c r="T770" s="300">
        <v>840.72222222222229</v>
      </c>
      <c r="U770" s="300">
        <v>892.66666666666663</v>
      </c>
      <c r="V770" s="300">
        <v>764.16583924349891</v>
      </c>
      <c r="W770" s="300">
        <v>771.36524822695048</v>
      </c>
      <c r="X770" s="300">
        <v>729.75879629629537</v>
      </c>
      <c r="Y770" s="394"/>
      <c r="AB770" s="300">
        <v>764.67592592592587</v>
      </c>
      <c r="AC770" s="300">
        <v>811.99999999999989</v>
      </c>
      <c r="AM770" s="283"/>
      <c r="AN770" s="283"/>
      <c r="AO770" s="283"/>
      <c r="AP770" s="283"/>
      <c r="AQ770" s="283"/>
      <c r="AR770" s="283"/>
      <c r="AS770" s="283"/>
      <c r="AT770" s="283"/>
      <c r="AU770" s="283"/>
      <c r="AV770" s="283"/>
      <c r="AW770" s="283"/>
      <c r="AX770" s="283"/>
      <c r="AY770" s="283"/>
      <c r="AZ770" s="283"/>
      <c r="BA770" s="283"/>
      <c r="BB770" s="283"/>
      <c r="BC770" s="283"/>
      <c r="BD770" s="283"/>
      <c r="BE770" s="283"/>
      <c r="BF770" s="283"/>
    </row>
    <row r="771" spans="1:58" ht="12" hidden="1" customHeight="1" x14ac:dyDescent="0.3">
      <c r="A771" s="283"/>
      <c r="B771" s="283"/>
      <c r="C771" s="283"/>
      <c r="D771" s="283"/>
      <c r="E771" s="283"/>
      <c r="F771" s="283"/>
      <c r="G771" s="283"/>
      <c r="H771" s="283"/>
      <c r="I771" s="283"/>
      <c r="J771" s="283"/>
      <c r="K771" s="283"/>
      <c r="L771" s="279"/>
      <c r="M771" s="294"/>
      <c r="N771" s="294"/>
      <c r="O771" s="301">
        <v>1436.6549279989404</v>
      </c>
      <c r="P771" s="301">
        <v>1200.2965940122488</v>
      </c>
      <c r="Q771" s="301">
        <v>1270.53705909737</v>
      </c>
      <c r="R771" s="301">
        <v>1216.64036347347</v>
      </c>
      <c r="S771" s="301">
        <v>1135.2771530612245</v>
      </c>
      <c r="T771" s="301">
        <v>1087.9830475820045</v>
      </c>
      <c r="U771" s="301">
        <v>1170.8838268029085</v>
      </c>
      <c r="V771" s="301">
        <v>1040.5355337776798</v>
      </c>
      <c r="W771" s="301">
        <v>1039.7607279869667</v>
      </c>
      <c r="X771" s="301">
        <v>1011.2617588683556</v>
      </c>
      <c r="Y771" s="394"/>
      <c r="AB771" s="301">
        <v>1035.3175925925925</v>
      </c>
      <c r="AC771" s="302">
        <v>1105.3697222222222</v>
      </c>
      <c r="AM771" s="283"/>
      <c r="AN771" s="283"/>
      <c r="AO771" s="283"/>
      <c r="AP771" s="283"/>
      <c r="AQ771" s="283"/>
      <c r="AR771" s="283"/>
      <c r="AS771" s="283"/>
      <c r="AT771" s="283"/>
      <c r="AU771" s="283"/>
      <c r="AV771" s="283"/>
      <c r="AW771" s="283"/>
      <c r="AX771" s="283"/>
      <c r="AY771" s="283"/>
      <c r="AZ771" s="283"/>
      <c r="BA771" s="283"/>
      <c r="BB771" s="283"/>
      <c r="BC771" s="283"/>
      <c r="BD771" s="283"/>
      <c r="BE771" s="283"/>
      <c r="BF771" s="283"/>
    </row>
    <row r="772" spans="1:58" ht="12" hidden="1" customHeight="1" x14ac:dyDescent="0.3">
      <c r="A772" s="283"/>
      <c r="B772" s="283"/>
      <c r="C772" s="283"/>
      <c r="D772" s="283"/>
      <c r="E772" s="283"/>
      <c r="F772" s="283"/>
      <c r="G772" s="283"/>
      <c r="H772" s="283"/>
      <c r="I772" s="283"/>
      <c r="J772" s="283"/>
      <c r="K772" s="283"/>
      <c r="L772" s="279"/>
      <c r="M772" s="294"/>
      <c r="N772" s="294"/>
      <c r="O772" s="295">
        <f>IFERROR((O761+O762+O763+O764+O766+O767+O768+O769+O770)/O771,"")</f>
        <v>0.99999999999999989</v>
      </c>
      <c r="P772" s="295">
        <f t="shared" ref="P772:X772" si="1045">IFERROR((P761+P762+P763+P764+P766+P767+P768+P769+P770)/P771,"")</f>
        <v>1.0000000000000002</v>
      </c>
      <c r="Q772" s="295">
        <f t="shared" si="1045"/>
        <v>1.0000000000000002</v>
      </c>
      <c r="R772" s="295">
        <f t="shared" si="1045"/>
        <v>0.99999999999999978</v>
      </c>
      <c r="S772" s="295">
        <f t="shared" si="1045"/>
        <v>1</v>
      </c>
      <c r="T772" s="295">
        <f t="shared" si="1045"/>
        <v>1</v>
      </c>
      <c r="U772" s="295">
        <f t="shared" si="1045"/>
        <v>1</v>
      </c>
      <c r="V772" s="295">
        <f t="shared" si="1045"/>
        <v>1</v>
      </c>
      <c r="W772" s="295">
        <f t="shared" si="1045"/>
        <v>1</v>
      </c>
      <c r="X772" s="295">
        <f t="shared" si="1045"/>
        <v>1</v>
      </c>
      <c r="Y772" s="394"/>
      <c r="AB772" s="295">
        <f>IFERROR((AB761+AB762+AB763+AB764+AB766+AB767+AB768+AB769+AB770)/AB771,"")</f>
        <v>1</v>
      </c>
      <c r="AC772" s="295">
        <f>IFERROR((AC761+AC762+AC763+AC764+AC766+AC767+AC768+AC769+AC770)/AC771,"")</f>
        <v>1</v>
      </c>
      <c r="AM772" s="283"/>
      <c r="AN772" s="283"/>
      <c r="AO772" s="283"/>
      <c r="AP772" s="283"/>
      <c r="AQ772" s="283"/>
      <c r="AR772" s="283"/>
      <c r="AS772" s="283"/>
      <c r="AT772" s="283"/>
      <c r="AU772" s="283"/>
      <c r="AV772" s="283"/>
      <c r="AW772" s="283"/>
      <c r="AX772" s="283"/>
      <c r="AY772" s="283"/>
      <c r="AZ772" s="283"/>
      <c r="BA772" s="283"/>
      <c r="BB772" s="283"/>
      <c r="BC772" s="283"/>
      <c r="BD772" s="283"/>
      <c r="BE772" s="283"/>
      <c r="BF772" s="283"/>
    </row>
    <row r="773" spans="1:58" ht="12" hidden="1" customHeight="1" x14ac:dyDescent="0.3">
      <c r="A773" s="283"/>
      <c r="B773" s="283"/>
      <c r="C773" s="283"/>
      <c r="D773" s="283"/>
      <c r="E773" s="283"/>
      <c r="F773" s="283"/>
      <c r="G773" s="283"/>
      <c r="H773" s="283"/>
      <c r="I773" s="283"/>
      <c r="J773" s="283"/>
      <c r="K773" s="283"/>
      <c r="L773" s="279"/>
      <c r="M773" s="294"/>
      <c r="N773" s="294"/>
      <c r="O773" s="295">
        <f>IFERROR((O760+O764+O765+O769+O770)/O771,"")</f>
        <v>0.99999999999999989</v>
      </c>
      <c r="P773" s="295">
        <f t="shared" ref="P773:X773" si="1046">IFERROR((P760+P764+P765+P769+P770)/P771,"")</f>
        <v>1.0000000000000002</v>
      </c>
      <c r="Q773" s="295">
        <f t="shared" si="1046"/>
        <v>1.0000000000000002</v>
      </c>
      <c r="R773" s="295">
        <f t="shared" si="1046"/>
        <v>0.99999999999999978</v>
      </c>
      <c r="S773" s="295">
        <f t="shared" si="1046"/>
        <v>1</v>
      </c>
      <c r="T773" s="295">
        <f t="shared" si="1046"/>
        <v>1</v>
      </c>
      <c r="U773" s="295">
        <f t="shared" si="1046"/>
        <v>1</v>
      </c>
      <c r="V773" s="295">
        <f t="shared" si="1046"/>
        <v>1</v>
      </c>
      <c r="W773" s="295">
        <f t="shared" si="1046"/>
        <v>1</v>
      </c>
      <c r="X773" s="295">
        <f t="shared" si="1046"/>
        <v>1</v>
      </c>
      <c r="Y773" s="394"/>
      <c r="AB773" s="295">
        <f>IFERROR((AB760+AB764+AB765+AB769+AB770)/AB771,"")</f>
        <v>1</v>
      </c>
      <c r="AC773" s="295">
        <f>IFERROR((AC760+AC764+AC765+AC769+AC770)/AC771,"")</f>
        <v>1</v>
      </c>
      <c r="AM773" s="283"/>
      <c r="AN773" s="283"/>
      <c r="AO773" s="283"/>
      <c r="AP773" s="283"/>
      <c r="AQ773" s="283"/>
      <c r="AR773" s="283"/>
      <c r="AS773" s="283"/>
      <c r="AT773" s="283"/>
      <c r="AU773" s="283"/>
      <c r="AV773" s="283"/>
      <c r="AW773" s="283"/>
      <c r="AX773" s="283"/>
      <c r="AY773" s="283"/>
      <c r="AZ773" s="283"/>
      <c r="BA773" s="283"/>
      <c r="BB773" s="283"/>
      <c r="BC773" s="283"/>
      <c r="BD773" s="283"/>
      <c r="BE773" s="283"/>
      <c r="BF773" s="283"/>
    </row>
    <row r="774" spans="1:58" ht="12" hidden="1" customHeight="1" x14ac:dyDescent="0.3">
      <c r="A774" s="283"/>
      <c r="B774" s="283"/>
      <c r="C774" s="283"/>
      <c r="D774" s="283"/>
      <c r="E774" s="283"/>
      <c r="F774" s="283"/>
      <c r="G774" s="283"/>
      <c r="H774" s="283"/>
      <c r="I774" s="283"/>
      <c r="J774" s="283"/>
      <c r="K774" s="283"/>
      <c r="L774" s="279"/>
      <c r="M774" s="294"/>
      <c r="N774" s="294"/>
      <c r="O774" s="303"/>
      <c r="P774" s="303"/>
      <c r="Q774" s="303"/>
      <c r="R774" s="303"/>
      <c r="S774" s="303"/>
      <c r="T774" s="303"/>
      <c r="U774" s="303"/>
      <c r="V774" s="303"/>
      <c r="W774" s="303"/>
      <c r="X774" s="303"/>
      <c r="Y774" s="394"/>
      <c r="AB774" s="303"/>
      <c r="AC774" s="303"/>
      <c r="AM774" s="283"/>
      <c r="AN774" s="283"/>
      <c r="AO774" s="283"/>
      <c r="AP774" s="283"/>
      <c r="AQ774" s="283"/>
      <c r="AR774" s="283"/>
      <c r="AS774" s="283"/>
      <c r="AT774" s="283"/>
      <c r="AU774" s="283"/>
      <c r="AV774" s="283"/>
      <c r="AW774" s="283"/>
      <c r="AX774" s="283"/>
      <c r="AY774" s="283"/>
      <c r="AZ774" s="283"/>
      <c r="BA774" s="283"/>
      <c r="BB774" s="283"/>
      <c r="BC774" s="283"/>
      <c r="BD774" s="283"/>
      <c r="BE774" s="283"/>
      <c r="BF774" s="283"/>
    </row>
    <row r="775" spans="1:58" ht="12" hidden="1" customHeight="1" x14ac:dyDescent="0.3">
      <c r="A775" s="283"/>
      <c r="B775" s="283"/>
      <c r="C775" s="283"/>
      <c r="D775" s="283"/>
      <c r="E775" s="283"/>
      <c r="F775" s="283"/>
      <c r="G775" s="283"/>
      <c r="H775" s="283"/>
      <c r="I775" s="283"/>
      <c r="J775" s="283"/>
      <c r="K775" s="283"/>
      <c r="L775" s="279"/>
      <c r="M775" s="294"/>
      <c r="N775" s="294"/>
      <c r="O775" s="303"/>
      <c r="P775" s="303"/>
      <c r="Q775" s="303"/>
      <c r="R775" s="303"/>
      <c r="S775" s="303"/>
      <c r="T775" s="303"/>
      <c r="U775" s="303"/>
      <c r="V775" s="303"/>
      <c r="W775" s="303"/>
      <c r="X775" s="303"/>
      <c r="Y775" s="394"/>
      <c r="AB775" s="303"/>
      <c r="AC775" s="303"/>
      <c r="AM775" s="283"/>
      <c r="AN775" s="283"/>
      <c r="AO775" s="283"/>
      <c r="AP775" s="283"/>
      <c r="AQ775" s="283"/>
      <c r="AR775" s="283"/>
      <c r="AS775" s="283"/>
      <c r="AT775" s="283"/>
      <c r="AU775" s="283"/>
      <c r="AV775" s="283"/>
      <c r="AW775" s="283"/>
      <c r="AX775" s="283"/>
      <c r="AY775" s="283"/>
      <c r="AZ775" s="283"/>
      <c r="BA775" s="283"/>
      <c r="BB775" s="283"/>
      <c r="BC775" s="283"/>
      <c r="BD775" s="283"/>
      <c r="BE775" s="283"/>
      <c r="BF775" s="283"/>
    </row>
    <row r="776" spans="1:58" ht="12" hidden="1" customHeight="1" x14ac:dyDescent="0.3">
      <c r="A776" s="283"/>
      <c r="B776" s="283"/>
      <c r="C776" s="283"/>
      <c r="D776" s="283"/>
      <c r="E776" s="283"/>
      <c r="F776" s="283"/>
      <c r="G776" s="283"/>
      <c r="H776" s="283"/>
      <c r="I776" s="283"/>
      <c r="J776" s="283"/>
      <c r="K776" s="283"/>
      <c r="L776" s="279"/>
      <c r="M776" s="294"/>
      <c r="N776" s="294"/>
      <c r="O776" s="303"/>
      <c r="P776" s="303"/>
      <c r="Q776" s="303"/>
      <c r="R776" s="303"/>
      <c r="S776" s="303"/>
      <c r="T776" s="303"/>
      <c r="U776" s="303"/>
      <c r="V776" s="303"/>
      <c r="W776" s="303"/>
      <c r="X776" s="303"/>
      <c r="Y776" s="394"/>
      <c r="AB776" s="303"/>
      <c r="AC776" s="303"/>
      <c r="AM776" s="283"/>
      <c r="AN776" s="283"/>
      <c r="AO776" s="283"/>
      <c r="AP776" s="283"/>
      <c r="AQ776" s="283"/>
      <c r="AR776" s="283"/>
      <c r="AS776" s="283"/>
      <c r="AT776" s="283"/>
      <c r="AU776" s="283"/>
      <c r="AV776" s="283"/>
      <c r="AW776" s="283"/>
      <c r="AX776" s="283"/>
      <c r="AY776" s="283"/>
      <c r="AZ776" s="283"/>
      <c r="BA776" s="283"/>
      <c r="BB776" s="283"/>
      <c r="BC776" s="283"/>
      <c r="BD776" s="283"/>
      <c r="BE776" s="283"/>
      <c r="BF776" s="283"/>
    </row>
    <row r="777" spans="1:58" ht="12" hidden="1" customHeight="1" x14ac:dyDescent="0.3">
      <c r="A777" s="283"/>
      <c r="B777" s="283"/>
      <c r="C777" s="283"/>
      <c r="D777" s="283"/>
      <c r="E777" s="283"/>
      <c r="F777" s="283"/>
      <c r="G777" s="283"/>
      <c r="H777" s="283"/>
      <c r="I777" s="283"/>
      <c r="J777" s="283"/>
      <c r="K777" s="283"/>
      <c r="L777" s="279"/>
      <c r="M777" s="294"/>
      <c r="N777" s="294"/>
      <c r="O777" s="300">
        <v>918.16222222222211</v>
      </c>
      <c r="P777" s="300">
        <v>876.00244444444456</v>
      </c>
      <c r="Q777" s="300">
        <v>871.73083333333352</v>
      </c>
      <c r="R777" s="300">
        <v>813.89055555555535</v>
      </c>
      <c r="S777" s="300">
        <v>769.53400000000022</v>
      </c>
      <c r="T777" s="300">
        <v>771.54033333333336</v>
      </c>
      <c r="U777" s="300">
        <v>841.65538888888909</v>
      </c>
      <c r="V777" s="300">
        <v>848.90000000000009</v>
      </c>
      <c r="W777" s="300">
        <v>774.02999999999975</v>
      </c>
      <c r="X777" s="300">
        <v>889.53000000000009</v>
      </c>
      <c r="Y777" s="394"/>
      <c r="AB777" s="300">
        <v>847.58055555555541</v>
      </c>
      <c r="AC777" s="300">
        <v>963.5288888888889</v>
      </c>
      <c r="AM777" s="283"/>
      <c r="AN777" s="283"/>
      <c r="AO777" s="283"/>
      <c r="AP777" s="283"/>
      <c r="AQ777" s="283"/>
      <c r="AR777" s="283"/>
      <c r="AS777" s="283"/>
      <c r="AT777" s="283"/>
      <c r="AU777" s="283"/>
      <c r="AV777" s="283"/>
      <c r="AW777" s="283"/>
      <c r="AX777" s="283"/>
      <c r="AY777" s="283"/>
      <c r="AZ777" s="283"/>
      <c r="BA777" s="283"/>
      <c r="BB777" s="283"/>
      <c r="BC777" s="283"/>
      <c r="BD777" s="283"/>
      <c r="BE777" s="283"/>
      <c r="BF777" s="283"/>
    </row>
    <row r="778" spans="1:58" ht="12" hidden="1" customHeight="1" x14ac:dyDescent="0.3">
      <c r="A778" s="283"/>
      <c r="B778" s="283"/>
      <c r="C778" s="283"/>
      <c r="D778" s="283"/>
      <c r="E778" s="283"/>
      <c r="F778" s="283"/>
      <c r="G778" s="283"/>
      <c r="H778" s="283"/>
      <c r="I778" s="283"/>
      <c r="J778" s="283"/>
      <c r="K778" s="283"/>
      <c r="L778" s="279"/>
      <c r="M778" s="294"/>
      <c r="N778" s="294"/>
      <c r="O778" s="303"/>
      <c r="P778" s="303"/>
      <c r="Q778" s="303"/>
      <c r="R778" s="303"/>
      <c r="S778" s="303"/>
      <c r="T778" s="303"/>
      <c r="U778" s="303"/>
      <c r="V778" s="303"/>
      <c r="W778" s="303"/>
      <c r="X778" s="303"/>
      <c r="Y778" s="394"/>
      <c r="AB778" s="303"/>
      <c r="AC778" s="303"/>
      <c r="AM778" s="283"/>
      <c r="AN778" s="283"/>
      <c r="AO778" s="283"/>
      <c r="AP778" s="283"/>
      <c r="AQ778" s="283"/>
      <c r="AR778" s="283"/>
      <c r="AS778" s="283"/>
      <c r="AT778" s="283"/>
      <c r="AU778" s="283"/>
      <c r="AV778" s="283"/>
      <c r="AW778" s="283"/>
      <c r="AX778" s="283"/>
      <c r="AY778" s="283"/>
      <c r="AZ778" s="283"/>
      <c r="BA778" s="283"/>
      <c r="BB778" s="283"/>
      <c r="BC778" s="283"/>
      <c r="BD778" s="283"/>
      <c r="BE778" s="283"/>
      <c r="BF778" s="283"/>
    </row>
    <row r="779" spans="1:58" ht="12" hidden="1" customHeight="1" x14ac:dyDescent="0.3">
      <c r="A779" s="283"/>
      <c r="B779" s="283"/>
      <c r="C779" s="283"/>
      <c r="D779" s="283"/>
      <c r="E779" s="283"/>
      <c r="F779" s="283"/>
      <c r="G779" s="283"/>
      <c r="H779" s="283"/>
      <c r="I779" s="283"/>
      <c r="J779" s="283"/>
      <c r="K779" s="283"/>
      <c r="L779" s="279"/>
      <c r="M779" s="294"/>
      <c r="N779" s="294"/>
      <c r="O779" s="303"/>
      <c r="P779" s="303"/>
      <c r="Q779" s="303"/>
      <c r="R779" s="303"/>
      <c r="S779" s="303"/>
      <c r="T779" s="303"/>
      <c r="U779" s="303"/>
      <c r="V779" s="303"/>
      <c r="W779" s="303"/>
      <c r="X779" s="303"/>
      <c r="Y779" s="394"/>
      <c r="AB779" s="303"/>
      <c r="AC779" s="303"/>
      <c r="AM779" s="283"/>
      <c r="AN779" s="283"/>
      <c r="AO779" s="283"/>
      <c r="AP779" s="283"/>
      <c r="AQ779" s="283"/>
      <c r="AR779" s="283"/>
      <c r="AS779" s="283"/>
      <c r="AT779" s="283"/>
      <c r="AU779" s="283"/>
      <c r="AV779" s="283"/>
      <c r="AW779" s="283"/>
      <c r="AX779" s="283"/>
      <c r="AY779" s="283"/>
      <c r="AZ779" s="283"/>
      <c r="BA779" s="283"/>
      <c r="BB779" s="283"/>
      <c r="BC779" s="283"/>
      <c r="BD779" s="283"/>
      <c r="BE779" s="283"/>
      <c r="BF779" s="283"/>
    </row>
    <row r="780" spans="1:58" ht="12" hidden="1" customHeight="1" x14ac:dyDescent="0.3">
      <c r="A780" s="283"/>
      <c r="B780" s="283"/>
      <c r="C780" s="283"/>
      <c r="D780" s="283"/>
      <c r="E780" s="283"/>
      <c r="F780" s="283"/>
      <c r="G780" s="283"/>
      <c r="H780" s="283"/>
      <c r="I780" s="283"/>
      <c r="J780" s="283"/>
      <c r="K780" s="283"/>
      <c r="L780" s="279"/>
      <c r="M780" s="294"/>
      <c r="N780" s="294"/>
      <c r="O780" s="304"/>
      <c r="P780" s="304"/>
      <c r="Q780" s="304"/>
      <c r="R780" s="304"/>
      <c r="S780" s="304"/>
      <c r="T780" s="304"/>
      <c r="U780" s="304"/>
      <c r="V780" s="304"/>
      <c r="W780" s="304"/>
      <c r="X780" s="304"/>
      <c r="Y780" s="394"/>
      <c r="AB780" s="304"/>
      <c r="AC780" s="304"/>
      <c r="AM780" s="283"/>
      <c r="AN780" s="283"/>
      <c r="AO780" s="283"/>
      <c r="AP780" s="283"/>
      <c r="AQ780" s="283"/>
      <c r="AR780" s="283"/>
      <c r="AS780" s="283"/>
      <c r="AT780" s="283"/>
      <c r="AU780" s="283"/>
      <c r="AV780" s="283"/>
      <c r="AW780" s="283"/>
      <c r="AX780" s="283"/>
      <c r="AY780" s="283"/>
      <c r="AZ780" s="283"/>
      <c r="BA780" s="283"/>
      <c r="BB780" s="283"/>
      <c r="BC780" s="283"/>
      <c r="BD780" s="283"/>
      <c r="BE780" s="283"/>
      <c r="BF780" s="283"/>
    </row>
    <row r="781" spans="1:58" ht="12" hidden="1" customHeight="1" x14ac:dyDescent="0.3">
      <c r="A781" s="283"/>
      <c r="B781" s="283"/>
      <c r="C781" s="283"/>
      <c r="D781" s="283"/>
      <c r="E781" s="283"/>
      <c r="F781" s="283"/>
      <c r="G781" s="283"/>
      <c r="H781" s="283"/>
      <c r="I781" s="283"/>
      <c r="J781" s="283"/>
      <c r="K781" s="283"/>
      <c r="L781" s="279"/>
      <c r="M781" s="294"/>
      <c r="N781" s="294"/>
      <c r="O781" s="305">
        <v>2010</v>
      </c>
      <c r="P781" s="305">
        <v>2011</v>
      </c>
      <c r="Q781" s="305">
        <v>2012</v>
      </c>
      <c r="R781" s="305">
        <v>2013</v>
      </c>
      <c r="S781" s="305">
        <v>2014</v>
      </c>
      <c r="T781" s="305">
        <v>2015</v>
      </c>
      <c r="U781" s="305">
        <v>2016</v>
      </c>
      <c r="V781" s="305">
        <v>2017</v>
      </c>
      <c r="W781" s="305">
        <v>2018</v>
      </c>
      <c r="X781" s="305">
        <v>2019</v>
      </c>
      <c r="Y781" s="394"/>
      <c r="AB781" s="305">
        <v>2020</v>
      </c>
      <c r="AC781" s="305">
        <v>2021</v>
      </c>
      <c r="AM781" s="283"/>
      <c r="AN781" s="283"/>
      <c r="AO781" s="283"/>
      <c r="AP781" s="283"/>
      <c r="AQ781" s="283"/>
      <c r="AR781" s="283"/>
      <c r="AS781" s="283"/>
      <c r="AT781" s="283"/>
      <c r="AU781" s="283"/>
      <c r="AV781" s="283"/>
      <c r="AW781" s="283"/>
      <c r="AX781" s="283"/>
      <c r="AY781" s="283"/>
      <c r="AZ781" s="283"/>
      <c r="BA781" s="283"/>
      <c r="BB781" s="283"/>
      <c r="BC781" s="283"/>
      <c r="BD781" s="283"/>
      <c r="BE781" s="283"/>
      <c r="BF781" s="283"/>
    </row>
    <row r="782" spans="1:58" ht="12" hidden="1" customHeight="1" x14ac:dyDescent="0.3">
      <c r="A782" s="283"/>
      <c r="B782" s="283"/>
      <c r="C782" s="283"/>
      <c r="D782" s="283"/>
      <c r="E782" s="283"/>
      <c r="F782" s="283"/>
      <c r="G782" s="283"/>
      <c r="H782" s="283"/>
      <c r="I782" s="283"/>
      <c r="J782" s="283"/>
      <c r="K782" s="283"/>
      <c r="L782" s="279"/>
      <c r="M782" s="294"/>
      <c r="N782" s="294"/>
      <c r="O782" s="295">
        <f>O794</f>
        <v>0.99998846310295642</v>
      </c>
      <c r="P782" s="295">
        <f t="shared" ref="P782:X782" si="1047">P794</f>
        <v>1.0000082744510796</v>
      </c>
      <c r="Q782" s="295">
        <f t="shared" si="1047"/>
        <v>1.0006015173459657</v>
      </c>
      <c r="R782" s="295">
        <f t="shared" si="1047"/>
        <v>1.0000000000000002</v>
      </c>
      <c r="S782" s="295">
        <f t="shared" si="1047"/>
        <v>1</v>
      </c>
      <c r="T782" s="295">
        <f t="shared" si="1047"/>
        <v>1</v>
      </c>
      <c r="U782" s="295">
        <f t="shared" si="1047"/>
        <v>1.0003620709499177</v>
      </c>
      <c r="V782" s="295">
        <f t="shared" si="1047"/>
        <v>1.0002257285028537</v>
      </c>
      <c r="W782" s="295">
        <f t="shared" si="1047"/>
        <v>1.0000000000000002</v>
      </c>
      <c r="X782" s="295">
        <f t="shared" si="1047"/>
        <v>1.0000000000000002</v>
      </c>
      <c r="Y782" s="394"/>
      <c r="AB782" s="295">
        <f>AB794</f>
        <v>0.99999999999999989</v>
      </c>
      <c r="AC782" s="295">
        <f>AC794</f>
        <v>0.99999999999999967</v>
      </c>
      <c r="AM782" s="283"/>
      <c r="AN782" s="283"/>
      <c r="AO782" s="283"/>
      <c r="AP782" s="283"/>
      <c r="AQ782" s="283"/>
      <c r="AR782" s="283"/>
      <c r="AS782" s="283"/>
      <c r="AT782" s="283"/>
      <c r="AU782" s="283"/>
      <c r="AV782" s="283"/>
      <c r="AW782" s="283"/>
      <c r="AX782" s="283"/>
      <c r="AY782" s="283"/>
      <c r="AZ782" s="283"/>
      <c r="BA782" s="283"/>
      <c r="BB782" s="283"/>
      <c r="BC782" s="283"/>
      <c r="BD782" s="283"/>
      <c r="BE782" s="283"/>
      <c r="BF782" s="283"/>
    </row>
    <row r="783" spans="1:58" ht="12" hidden="1" customHeight="1" x14ac:dyDescent="0.3">
      <c r="A783" s="283"/>
      <c r="B783" s="283"/>
      <c r="C783" s="283"/>
      <c r="D783" s="283"/>
      <c r="E783" s="283"/>
      <c r="F783" s="283"/>
      <c r="G783" s="283"/>
      <c r="H783" s="283"/>
      <c r="I783" s="283"/>
      <c r="J783" s="283"/>
      <c r="K783" s="283"/>
      <c r="L783" s="279"/>
      <c r="M783" s="294"/>
      <c r="N783" s="294"/>
      <c r="O783" s="295">
        <f>O803</f>
        <v>1</v>
      </c>
      <c r="P783" s="295">
        <f t="shared" ref="P783:X783" si="1048">P803</f>
        <v>1.0000000000000002</v>
      </c>
      <c r="Q783" s="295">
        <f t="shared" si="1048"/>
        <v>1.0000000000000002</v>
      </c>
      <c r="R783" s="295">
        <f t="shared" si="1048"/>
        <v>1</v>
      </c>
      <c r="S783" s="295">
        <f t="shared" si="1048"/>
        <v>1.0000000000000002</v>
      </c>
      <c r="T783" s="295">
        <f t="shared" si="1048"/>
        <v>1</v>
      </c>
      <c r="U783" s="295">
        <f t="shared" si="1048"/>
        <v>1</v>
      </c>
      <c r="V783" s="295">
        <f t="shared" si="1048"/>
        <v>1.0000000000000002</v>
      </c>
      <c r="W783" s="295">
        <f t="shared" si="1048"/>
        <v>0.99999999999999989</v>
      </c>
      <c r="X783" s="295">
        <f t="shared" si="1048"/>
        <v>1</v>
      </c>
      <c r="Y783" s="394"/>
      <c r="AB783" s="295">
        <f>AB803</f>
        <v>0.99999999999999989</v>
      </c>
      <c r="AC783" s="295">
        <f>AC803</f>
        <v>1</v>
      </c>
      <c r="AM783" s="283"/>
      <c r="AN783" s="283"/>
      <c r="AO783" s="283"/>
      <c r="AP783" s="283"/>
      <c r="AQ783" s="283"/>
      <c r="AR783" s="283"/>
      <c r="AS783" s="283"/>
      <c r="AT783" s="283"/>
      <c r="AU783" s="283"/>
      <c r="AV783" s="283"/>
      <c r="AW783" s="283"/>
      <c r="AX783" s="283"/>
      <c r="AY783" s="283"/>
      <c r="AZ783" s="283"/>
      <c r="BA783" s="283"/>
      <c r="BB783" s="283"/>
      <c r="BC783" s="283"/>
      <c r="BD783" s="283"/>
      <c r="BE783" s="283"/>
      <c r="BF783" s="283"/>
    </row>
    <row r="784" spans="1:58" ht="12" hidden="1" customHeight="1" x14ac:dyDescent="0.3">
      <c r="A784" s="283"/>
      <c r="B784" s="283"/>
      <c r="C784" s="283"/>
      <c r="D784" s="283"/>
      <c r="E784" s="283"/>
      <c r="F784" s="283"/>
      <c r="G784" s="283"/>
      <c r="H784" s="283"/>
      <c r="I784" s="283"/>
      <c r="J784" s="283"/>
      <c r="K784" s="283"/>
      <c r="L784" s="279"/>
      <c r="M784" s="294"/>
      <c r="N784" s="294"/>
      <c r="O784" s="306"/>
      <c r="P784" s="306"/>
      <c r="Q784" s="306"/>
      <c r="R784" s="306"/>
      <c r="S784" s="306"/>
      <c r="T784" s="306"/>
      <c r="U784" s="306"/>
      <c r="V784" s="306"/>
      <c r="W784" s="306"/>
      <c r="X784" s="306"/>
      <c r="Y784" s="394"/>
      <c r="AB784" s="306"/>
      <c r="AC784" s="306"/>
      <c r="AM784" s="283"/>
      <c r="AN784" s="283"/>
      <c r="AO784" s="283"/>
      <c r="AP784" s="283"/>
      <c r="AQ784" s="283"/>
      <c r="AR784" s="283"/>
      <c r="AS784" s="283"/>
      <c r="AT784" s="283"/>
      <c r="AU784" s="283"/>
      <c r="AV784" s="283"/>
      <c r="AW784" s="283"/>
      <c r="AX784" s="283"/>
      <c r="AY784" s="283"/>
      <c r="AZ784" s="283"/>
      <c r="BA784" s="283"/>
      <c r="BB784" s="283"/>
      <c r="BC784" s="283"/>
      <c r="BD784" s="283"/>
      <c r="BE784" s="283"/>
      <c r="BF784" s="283"/>
    </row>
    <row r="785" spans="1:58" ht="12" hidden="1" customHeight="1" x14ac:dyDescent="0.3">
      <c r="A785" s="283"/>
      <c r="B785" s="283"/>
      <c r="C785" s="283"/>
      <c r="D785" s="283"/>
      <c r="E785" s="283"/>
      <c r="F785" s="283"/>
      <c r="G785" s="283"/>
      <c r="H785" s="283"/>
      <c r="I785" s="283"/>
      <c r="J785" s="283"/>
      <c r="K785" s="283"/>
      <c r="L785" s="279"/>
      <c r="M785" s="294"/>
      <c r="N785" s="294"/>
      <c r="O785" s="306"/>
      <c r="P785" s="306"/>
      <c r="Q785" s="306"/>
      <c r="R785" s="306"/>
      <c r="S785" s="306"/>
      <c r="T785" s="306"/>
      <c r="U785" s="306"/>
      <c r="V785" s="306"/>
      <c r="W785" s="306"/>
      <c r="X785" s="306"/>
      <c r="Y785" s="394"/>
      <c r="AB785" s="306"/>
      <c r="AC785" s="306"/>
      <c r="AM785" s="283"/>
      <c r="AN785" s="283"/>
      <c r="AO785" s="283"/>
      <c r="AP785" s="283"/>
      <c r="AQ785" s="283"/>
      <c r="AR785" s="283"/>
      <c r="AS785" s="283"/>
      <c r="AT785" s="283"/>
      <c r="AU785" s="283"/>
      <c r="AV785" s="283"/>
      <c r="AW785" s="283"/>
      <c r="AX785" s="283"/>
      <c r="AY785" s="283"/>
      <c r="AZ785" s="283"/>
      <c r="BA785" s="283"/>
      <c r="BB785" s="283"/>
      <c r="BC785" s="283"/>
      <c r="BD785" s="283"/>
      <c r="BE785" s="283"/>
      <c r="BF785" s="283"/>
    </row>
    <row r="786" spans="1:58" ht="12" hidden="1" customHeight="1" x14ac:dyDescent="0.3">
      <c r="A786" s="283"/>
      <c r="B786" s="283"/>
      <c r="C786" s="283"/>
      <c r="D786" s="283"/>
      <c r="E786" s="283"/>
      <c r="F786" s="283"/>
      <c r="G786" s="283"/>
      <c r="H786" s="283"/>
      <c r="I786" s="283"/>
      <c r="J786" s="283"/>
      <c r="K786" s="283"/>
      <c r="L786" s="279"/>
      <c r="M786" s="294"/>
      <c r="N786" s="294"/>
      <c r="O786" s="306"/>
      <c r="P786" s="306"/>
      <c r="Q786" s="306"/>
      <c r="R786" s="306"/>
      <c r="S786" s="306"/>
      <c r="T786" s="306"/>
      <c r="U786" s="306"/>
      <c r="V786" s="306"/>
      <c r="W786" s="306"/>
      <c r="X786" s="306"/>
      <c r="Y786" s="394"/>
      <c r="AB786" s="306"/>
      <c r="AC786" s="306"/>
      <c r="AM786" s="283"/>
      <c r="AN786" s="283"/>
      <c r="AO786" s="283"/>
      <c r="AP786" s="283"/>
      <c r="AQ786" s="283"/>
      <c r="AR786" s="283"/>
      <c r="AS786" s="283"/>
      <c r="AT786" s="283"/>
      <c r="AU786" s="283"/>
      <c r="AV786" s="283"/>
      <c r="AW786" s="283"/>
      <c r="AX786" s="283"/>
      <c r="AY786" s="283"/>
      <c r="AZ786" s="283"/>
      <c r="BA786" s="283"/>
      <c r="BB786" s="283"/>
      <c r="BC786" s="283"/>
      <c r="BD786" s="283"/>
      <c r="BE786" s="283"/>
      <c r="BF786" s="283"/>
    </row>
    <row r="787" spans="1:58" ht="12" hidden="1" customHeight="1" x14ac:dyDescent="0.3">
      <c r="A787" s="283"/>
      <c r="B787" s="283"/>
      <c r="C787" s="283"/>
      <c r="D787" s="283"/>
      <c r="E787" s="283"/>
      <c r="F787" s="283"/>
      <c r="G787" s="283"/>
      <c r="H787" s="283"/>
      <c r="I787" s="283"/>
      <c r="J787" s="283"/>
      <c r="K787" s="283"/>
      <c r="L787" s="279"/>
      <c r="M787" s="294"/>
      <c r="N787" s="294"/>
      <c r="O787" s="307">
        <v>11.942222222222222</v>
      </c>
      <c r="P787" s="307">
        <v>10.876944444444444</v>
      </c>
      <c r="Q787" s="307">
        <v>11.290833333333333</v>
      </c>
      <c r="R787" s="307">
        <v>10.859196704371021</v>
      </c>
      <c r="S787" s="307">
        <v>10.329108888888889</v>
      </c>
      <c r="T787" s="307">
        <v>9.967001549332295</v>
      </c>
      <c r="U787" s="307">
        <v>10.8225</v>
      </c>
      <c r="V787" s="307">
        <v>10.961111111111112</v>
      </c>
      <c r="W787" s="307">
        <v>10.945248316317539</v>
      </c>
      <c r="X787" s="307">
        <v>11.063623146193635</v>
      </c>
      <c r="Y787" s="394"/>
      <c r="AB787" s="307">
        <v>10.987222222222222</v>
      </c>
      <c r="AC787" s="307">
        <v>11.225277777777777</v>
      </c>
      <c r="AM787" s="283"/>
      <c r="AN787" s="283"/>
      <c r="AO787" s="283"/>
      <c r="AP787" s="283"/>
      <c r="AQ787" s="283"/>
      <c r="AR787" s="283"/>
      <c r="AS787" s="283"/>
      <c r="AT787" s="283"/>
      <c r="AU787" s="283"/>
      <c r="AV787" s="283"/>
      <c r="AW787" s="283"/>
      <c r="AX787" s="283"/>
      <c r="AY787" s="283"/>
      <c r="AZ787" s="283"/>
      <c r="BA787" s="283"/>
      <c r="BB787" s="283"/>
      <c r="BC787" s="283"/>
      <c r="BD787" s="283"/>
      <c r="BE787" s="283"/>
      <c r="BF787" s="283"/>
    </row>
    <row r="788" spans="1:58" ht="12" hidden="1" customHeight="1" x14ac:dyDescent="0.3">
      <c r="A788" s="283"/>
      <c r="B788" s="283"/>
      <c r="C788" s="283"/>
      <c r="D788" s="283"/>
      <c r="E788" s="283"/>
      <c r="F788" s="283"/>
      <c r="G788" s="283"/>
      <c r="H788" s="283"/>
      <c r="I788" s="283"/>
      <c r="J788" s="283"/>
      <c r="K788" s="283"/>
      <c r="L788" s="279"/>
      <c r="M788" s="294"/>
      <c r="N788" s="294"/>
      <c r="O788" s="307">
        <f>O738/1000</f>
        <v>6.1989178551153019</v>
      </c>
      <c r="P788" s="307">
        <f t="shared" ref="P788:X788" si="1049">P738/1000</f>
        <v>5.6461257088452355</v>
      </c>
      <c r="Q788" s="307">
        <f t="shared" si="1049"/>
        <v>5.8530568864416788</v>
      </c>
      <c r="R788" s="307">
        <f t="shared" si="1049"/>
        <v>5.6191503785640462</v>
      </c>
      <c r="S788" s="307">
        <f t="shared" si="1049"/>
        <v>5.3308983601016227</v>
      </c>
      <c r="T788" s="307">
        <f t="shared" si="1049"/>
        <v>5.2108890649578958</v>
      </c>
      <c r="U788" s="307">
        <f t="shared" si="1049"/>
        <v>5.6693456589024951</v>
      </c>
      <c r="V788" s="307">
        <f t="shared" si="1049"/>
        <v>5.6001174152099349</v>
      </c>
      <c r="W788" s="307">
        <f t="shared" si="1049"/>
        <v>5.5470435933566433</v>
      </c>
      <c r="X788" s="307">
        <f t="shared" si="1049"/>
        <v>5.7809161582475808</v>
      </c>
      <c r="Y788" s="394"/>
      <c r="AB788" s="307">
        <f>AB738/1000</f>
        <v>5.7363541290143196</v>
      </c>
      <c r="AC788" s="307">
        <f>AC738/1000</f>
        <v>5.8414984029612134</v>
      </c>
      <c r="AM788" s="283"/>
      <c r="AN788" s="283"/>
      <c r="AO788" s="283"/>
      <c r="AP788" s="283"/>
      <c r="AQ788" s="283"/>
      <c r="AR788" s="283"/>
      <c r="AS788" s="283"/>
      <c r="AT788" s="283"/>
      <c r="AU788" s="283"/>
      <c r="AV788" s="283"/>
      <c r="AW788" s="283"/>
      <c r="AX788" s="283"/>
      <c r="AY788" s="283"/>
      <c r="AZ788" s="283"/>
      <c r="BA788" s="283"/>
      <c r="BB788" s="283"/>
      <c r="BC788" s="283"/>
      <c r="BD788" s="283"/>
      <c r="BE788" s="283"/>
      <c r="BF788" s="283"/>
    </row>
    <row r="789" spans="1:58" ht="12" hidden="1" customHeight="1" x14ac:dyDescent="0.3">
      <c r="A789" s="283"/>
      <c r="B789" s="283"/>
      <c r="C789" s="283"/>
      <c r="D789" s="283"/>
      <c r="E789" s="283"/>
      <c r="F789" s="283"/>
      <c r="G789" s="283"/>
      <c r="H789" s="283"/>
      <c r="I789" s="283"/>
      <c r="J789" s="283"/>
      <c r="K789" s="283"/>
      <c r="L789" s="279"/>
      <c r="M789" s="294"/>
      <c r="N789" s="294"/>
      <c r="O789" s="307">
        <f>O755/1000</f>
        <v>3.3886249946635347</v>
      </c>
      <c r="P789" s="307">
        <f t="shared" ref="P789:X789" si="1050">P755/1000</f>
        <v>3.1544296971425156</v>
      </c>
      <c r="Q789" s="307">
        <f t="shared" si="1050"/>
        <v>3.2887210051891662</v>
      </c>
      <c r="R789" s="307">
        <f t="shared" si="1050"/>
        <v>3.2095154067779474</v>
      </c>
      <c r="S789" s="307">
        <f t="shared" si="1050"/>
        <v>3.0933993757260421</v>
      </c>
      <c r="T789" s="307">
        <f t="shared" si="1050"/>
        <v>2.8965891034590614</v>
      </c>
      <c r="U789" s="307">
        <f t="shared" si="1050"/>
        <v>3.1366980308163823</v>
      </c>
      <c r="V789" s="307">
        <f t="shared" si="1050"/>
        <v>3.4690844853021363</v>
      </c>
      <c r="W789" s="307">
        <f t="shared" si="1050"/>
        <v>3.5844139949739264</v>
      </c>
      <c r="X789" s="307">
        <f t="shared" si="1050"/>
        <v>3.3819152290776966</v>
      </c>
      <c r="Y789" s="394"/>
      <c r="AB789" s="307">
        <f>AB755/1000</f>
        <v>3.3679699450597544</v>
      </c>
      <c r="AC789" s="307">
        <f>AC755/1000</f>
        <v>3.314880763705454</v>
      </c>
      <c r="AM789" s="283"/>
      <c r="AN789" s="283"/>
      <c r="AO789" s="283"/>
      <c r="AP789" s="283"/>
      <c r="AQ789" s="283"/>
      <c r="AR789" s="283"/>
      <c r="AS789" s="283"/>
      <c r="AT789" s="283"/>
      <c r="AU789" s="283"/>
      <c r="AV789" s="283"/>
      <c r="AW789" s="283"/>
      <c r="AX789" s="283"/>
      <c r="AY789" s="283"/>
      <c r="AZ789" s="283"/>
      <c r="BA789" s="283"/>
      <c r="BB789" s="283"/>
      <c r="BC789" s="283"/>
      <c r="BD789" s="283"/>
      <c r="BE789" s="283"/>
      <c r="BF789" s="283"/>
    </row>
    <row r="790" spans="1:58" ht="12" hidden="1" customHeight="1" x14ac:dyDescent="0.3">
      <c r="A790" s="283"/>
      <c r="B790" s="283"/>
      <c r="C790" s="283"/>
      <c r="D790" s="283"/>
      <c r="E790" s="283"/>
      <c r="F790" s="283"/>
      <c r="G790" s="283"/>
      <c r="H790" s="283"/>
      <c r="I790" s="283"/>
      <c r="J790" s="283"/>
      <c r="K790" s="283"/>
      <c r="L790" s="279"/>
      <c r="M790" s="294"/>
      <c r="N790" s="294"/>
      <c r="O790" s="307">
        <f>O771/1000</f>
        <v>1.4366549279989405</v>
      </c>
      <c r="P790" s="307">
        <f t="shared" ref="P790:X790" si="1051">P771/1000</f>
        <v>1.2002965940122488</v>
      </c>
      <c r="Q790" s="307">
        <f t="shared" si="1051"/>
        <v>1.2705370590973701</v>
      </c>
      <c r="R790" s="307">
        <f t="shared" si="1051"/>
        <v>1.2166403634734699</v>
      </c>
      <c r="S790" s="307">
        <f t="shared" si="1051"/>
        <v>1.1352771530612245</v>
      </c>
      <c r="T790" s="307">
        <f t="shared" si="1051"/>
        <v>1.0879830475820045</v>
      </c>
      <c r="U790" s="307">
        <f t="shared" si="1051"/>
        <v>1.1708838268029085</v>
      </c>
      <c r="V790" s="307">
        <f t="shared" si="1051"/>
        <v>1.0405355337776798</v>
      </c>
      <c r="W790" s="307">
        <f t="shared" si="1051"/>
        <v>1.0397607279869667</v>
      </c>
      <c r="X790" s="307">
        <f t="shared" si="1051"/>
        <v>1.0112617588683557</v>
      </c>
      <c r="Y790" s="394"/>
      <c r="AB790" s="307">
        <f>AB771/1000</f>
        <v>1.0353175925925926</v>
      </c>
      <c r="AC790" s="307">
        <f>AC771/1000</f>
        <v>1.1053697222222223</v>
      </c>
      <c r="AM790" s="283"/>
      <c r="AN790" s="283"/>
      <c r="AO790" s="283"/>
      <c r="AP790" s="283"/>
      <c r="AQ790" s="283"/>
      <c r="AR790" s="283"/>
      <c r="AS790" s="283"/>
      <c r="AT790" s="283"/>
      <c r="AU790" s="283"/>
      <c r="AV790" s="283"/>
      <c r="AW790" s="283"/>
      <c r="AX790" s="283"/>
      <c r="AY790" s="283"/>
      <c r="AZ790" s="283"/>
      <c r="BA790" s="283"/>
      <c r="BB790" s="283"/>
      <c r="BC790" s="283"/>
      <c r="BD790" s="283"/>
      <c r="BE790" s="283"/>
      <c r="BF790" s="283"/>
    </row>
    <row r="791" spans="1:58" ht="12" hidden="1" customHeight="1" x14ac:dyDescent="0.3">
      <c r="A791" s="283"/>
      <c r="B791" s="283"/>
      <c r="C791" s="283"/>
      <c r="D791" s="283"/>
      <c r="E791" s="283"/>
      <c r="F791" s="283"/>
      <c r="G791" s="283"/>
      <c r="H791" s="283"/>
      <c r="I791" s="283"/>
      <c r="J791" s="283"/>
      <c r="K791" s="283"/>
      <c r="L791" s="279"/>
      <c r="M791" s="294"/>
      <c r="N791" s="294"/>
      <c r="O791" s="307">
        <f>O777/1000</f>
        <v>0.9181622222222221</v>
      </c>
      <c r="P791" s="307">
        <f t="shared" ref="P791:X791" si="1052">P777/1000</f>
        <v>0.87600244444444453</v>
      </c>
      <c r="Q791" s="307">
        <f t="shared" si="1052"/>
        <v>0.87173083333333357</v>
      </c>
      <c r="R791" s="307">
        <f t="shared" si="1052"/>
        <v>0.81389055555555534</v>
      </c>
      <c r="S791" s="307">
        <f t="shared" si="1052"/>
        <v>0.76953400000000027</v>
      </c>
      <c r="T791" s="307">
        <f t="shared" si="1052"/>
        <v>0.77154033333333338</v>
      </c>
      <c r="U791" s="307">
        <f t="shared" si="1052"/>
        <v>0.84165538888888913</v>
      </c>
      <c r="V791" s="307">
        <f t="shared" si="1052"/>
        <v>0.8489000000000001</v>
      </c>
      <c r="W791" s="307">
        <f t="shared" si="1052"/>
        <v>0.77402999999999977</v>
      </c>
      <c r="X791" s="307">
        <f t="shared" si="1052"/>
        <v>0.88953000000000004</v>
      </c>
      <c r="Y791" s="394"/>
      <c r="AB791" s="307">
        <f>AB777/1000</f>
        <v>0.84758055555555545</v>
      </c>
      <c r="AC791" s="307">
        <f>AC777/1000</f>
        <v>0.96352888888888888</v>
      </c>
      <c r="AM791" s="283"/>
      <c r="AN791" s="283"/>
      <c r="AO791" s="283"/>
      <c r="AP791" s="283"/>
      <c r="AQ791" s="283"/>
      <c r="AR791" s="283"/>
      <c r="AS791" s="283"/>
      <c r="AT791" s="283"/>
      <c r="AU791" s="283"/>
      <c r="AV791" s="283"/>
      <c r="AW791" s="283"/>
      <c r="AX791" s="283"/>
      <c r="AY791" s="283"/>
      <c r="AZ791" s="283"/>
      <c r="BA791" s="283"/>
      <c r="BB791" s="283"/>
      <c r="BC791" s="283"/>
      <c r="BD791" s="283"/>
      <c r="BE791" s="283"/>
      <c r="BF791" s="283"/>
    </row>
    <row r="792" spans="1:58" ht="12" hidden="1" customHeight="1" x14ac:dyDescent="0.3">
      <c r="A792" s="283"/>
      <c r="B792" s="283"/>
      <c r="C792" s="283"/>
      <c r="D792" s="283"/>
      <c r="E792" s="283"/>
      <c r="F792" s="283"/>
      <c r="G792" s="283"/>
      <c r="H792" s="283"/>
      <c r="I792" s="283"/>
      <c r="J792" s="283"/>
      <c r="K792" s="283"/>
      <c r="L792" s="279"/>
      <c r="M792" s="294"/>
      <c r="N792" s="294"/>
      <c r="O792" s="307">
        <v>0</v>
      </c>
      <c r="P792" s="307">
        <v>0</v>
      </c>
      <c r="Q792" s="307">
        <v>0</v>
      </c>
      <c r="R792" s="307">
        <v>0</v>
      </c>
      <c r="S792" s="307">
        <v>0</v>
      </c>
      <c r="T792" s="307">
        <v>0</v>
      </c>
      <c r="U792" s="307">
        <v>0</v>
      </c>
      <c r="V792" s="307">
        <v>0</v>
      </c>
      <c r="W792" s="307">
        <v>0</v>
      </c>
      <c r="X792" s="307">
        <v>0</v>
      </c>
      <c r="Y792" s="394"/>
      <c r="AB792" s="307">
        <v>0</v>
      </c>
      <c r="AC792" s="307">
        <v>0</v>
      </c>
      <c r="AM792" s="283"/>
      <c r="AN792" s="283"/>
      <c r="AO792" s="283"/>
      <c r="AP792" s="283"/>
      <c r="AQ792" s="283"/>
      <c r="AR792" s="283"/>
      <c r="AS792" s="283"/>
      <c r="AT792" s="283"/>
      <c r="AU792" s="283"/>
      <c r="AV792" s="283"/>
      <c r="AW792" s="283"/>
      <c r="AX792" s="283"/>
      <c r="AY792" s="283"/>
      <c r="AZ792" s="283"/>
      <c r="BA792" s="283"/>
      <c r="BB792" s="283"/>
      <c r="BC792" s="283"/>
      <c r="BD792" s="283"/>
      <c r="BE792" s="283"/>
      <c r="BF792" s="283"/>
    </row>
    <row r="793" spans="1:58" ht="12" hidden="1" customHeight="1" x14ac:dyDescent="0.3">
      <c r="A793" s="283"/>
      <c r="B793" s="283"/>
      <c r="C793" s="283"/>
      <c r="D793" s="283"/>
      <c r="E793" s="283"/>
      <c r="F793" s="283"/>
      <c r="G793" s="283"/>
      <c r="H793" s="283"/>
      <c r="I793" s="283"/>
      <c r="J793" s="283"/>
      <c r="K793" s="283"/>
      <c r="L793" s="279"/>
      <c r="M793" s="294"/>
      <c r="N793" s="294"/>
      <c r="O793" s="307">
        <f>SUM(O788:O792)</f>
        <v>11.942359999999999</v>
      </c>
      <c r="P793" s="307">
        <f t="shared" ref="P793:X793" si="1053">SUM(P788:P792)</f>
        <v>10.876854444444444</v>
      </c>
      <c r="Q793" s="307">
        <f t="shared" si="1053"/>
        <v>11.284045784061549</v>
      </c>
      <c r="R793" s="307">
        <f t="shared" si="1053"/>
        <v>10.859196704371019</v>
      </c>
      <c r="S793" s="307">
        <f t="shared" si="1053"/>
        <v>10.329108888888889</v>
      </c>
      <c r="T793" s="307">
        <f t="shared" si="1053"/>
        <v>9.967001549332295</v>
      </c>
      <c r="U793" s="307">
        <f t="shared" si="1053"/>
        <v>10.818582905410674</v>
      </c>
      <c r="V793" s="307">
        <f t="shared" si="1053"/>
        <v>10.958637434289752</v>
      </c>
      <c r="W793" s="307">
        <f t="shared" si="1053"/>
        <v>10.945248316317535</v>
      </c>
      <c r="X793" s="307">
        <f t="shared" si="1053"/>
        <v>11.063623146193633</v>
      </c>
      <c r="Y793" s="394"/>
      <c r="AB793" s="307">
        <f>SUM(AB788:AB792)</f>
        <v>10.987222222222224</v>
      </c>
      <c r="AC793" s="307">
        <f>SUM(AC788:AC792)</f>
        <v>11.22527777777778</v>
      </c>
      <c r="AM793" s="283"/>
      <c r="AN793" s="283"/>
      <c r="AO793" s="283"/>
      <c r="AP793" s="283"/>
      <c r="AQ793" s="283"/>
      <c r="AR793" s="283"/>
      <c r="AS793" s="283"/>
      <c r="AT793" s="283"/>
      <c r="AU793" s="283"/>
      <c r="AV793" s="283"/>
      <c r="AW793" s="283"/>
      <c r="AX793" s="283"/>
      <c r="AY793" s="283"/>
      <c r="AZ793" s="283"/>
      <c r="BA793" s="283"/>
      <c r="BB793" s="283"/>
      <c r="BC793" s="283"/>
      <c r="BD793" s="283"/>
      <c r="BE793" s="283"/>
      <c r="BF793" s="283"/>
    </row>
    <row r="794" spans="1:58" ht="12" hidden="1" customHeight="1" x14ac:dyDescent="0.3">
      <c r="A794" s="283"/>
      <c r="B794" s="283"/>
      <c r="C794" s="283"/>
      <c r="D794" s="283"/>
      <c r="E794" s="283"/>
      <c r="F794" s="283"/>
      <c r="G794" s="283"/>
      <c r="H794" s="283"/>
      <c r="I794" s="283"/>
      <c r="J794" s="283"/>
      <c r="K794" s="283"/>
      <c r="L794" s="279"/>
      <c r="M794" s="294"/>
      <c r="N794" s="294"/>
      <c r="O794" s="295">
        <f>O787/O793</f>
        <v>0.99998846310295642</v>
      </c>
      <c r="P794" s="295">
        <f t="shared" ref="P794:X794" si="1054">P787/P793</f>
        <v>1.0000082744510796</v>
      </c>
      <c r="Q794" s="295">
        <f t="shared" si="1054"/>
        <v>1.0006015173459657</v>
      </c>
      <c r="R794" s="295">
        <f t="shared" si="1054"/>
        <v>1.0000000000000002</v>
      </c>
      <c r="S794" s="295">
        <f t="shared" si="1054"/>
        <v>1</v>
      </c>
      <c r="T794" s="295">
        <f t="shared" si="1054"/>
        <v>1</v>
      </c>
      <c r="U794" s="295">
        <f t="shared" si="1054"/>
        <v>1.0003620709499177</v>
      </c>
      <c r="V794" s="295">
        <f t="shared" si="1054"/>
        <v>1.0002257285028537</v>
      </c>
      <c r="W794" s="295">
        <f t="shared" si="1054"/>
        <v>1.0000000000000002</v>
      </c>
      <c r="X794" s="295">
        <f t="shared" si="1054"/>
        <v>1.0000000000000002</v>
      </c>
      <c r="Y794" s="394"/>
      <c r="AB794" s="295">
        <f>AB787/AB793</f>
        <v>0.99999999999999989</v>
      </c>
      <c r="AC794" s="295">
        <f>AC787/AC793</f>
        <v>0.99999999999999967</v>
      </c>
      <c r="AM794" s="283"/>
      <c r="AN794" s="283"/>
      <c r="AO794" s="283"/>
      <c r="AP794" s="283"/>
      <c r="AQ794" s="283"/>
      <c r="AR794" s="283"/>
      <c r="AS794" s="283"/>
      <c r="AT794" s="283"/>
      <c r="AU794" s="283"/>
      <c r="AV794" s="283"/>
      <c r="AW794" s="283"/>
      <c r="AX794" s="283"/>
      <c r="AY794" s="283"/>
      <c r="AZ794" s="283"/>
      <c r="BA794" s="283"/>
      <c r="BB794" s="283"/>
      <c r="BC794" s="283"/>
      <c r="BD794" s="283"/>
      <c r="BE794" s="283"/>
      <c r="BF794" s="283"/>
    </row>
    <row r="795" spans="1:58" ht="12" hidden="1" customHeight="1" x14ac:dyDescent="0.3">
      <c r="A795" s="283"/>
      <c r="B795" s="283"/>
      <c r="C795" s="283"/>
      <c r="D795" s="283"/>
      <c r="E795" s="283"/>
      <c r="F795" s="283"/>
      <c r="G795" s="283"/>
      <c r="H795" s="283"/>
      <c r="I795" s="283"/>
      <c r="J795" s="283"/>
      <c r="K795" s="283"/>
      <c r="L795" s="279"/>
      <c r="M795" s="294"/>
      <c r="N795" s="294"/>
      <c r="O795" s="308"/>
      <c r="P795" s="308"/>
      <c r="Q795" s="308"/>
      <c r="R795" s="308"/>
      <c r="S795" s="308"/>
      <c r="T795" s="308"/>
      <c r="U795" s="308"/>
      <c r="V795" s="308"/>
      <c r="W795" s="308"/>
      <c r="X795" s="308"/>
      <c r="Y795" s="394"/>
      <c r="AB795" s="308"/>
      <c r="AC795" s="308"/>
      <c r="AM795" s="283"/>
      <c r="AN795" s="283"/>
      <c r="AO795" s="283"/>
      <c r="AP795" s="283"/>
      <c r="AQ795" s="283"/>
      <c r="AR795" s="283"/>
      <c r="AS795" s="283"/>
      <c r="AT795" s="283"/>
      <c r="AU795" s="283"/>
      <c r="AV795" s="283"/>
      <c r="AW795" s="283"/>
      <c r="AX795" s="283"/>
      <c r="AY795" s="283"/>
      <c r="AZ795" s="283"/>
      <c r="BA795" s="283"/>
      <c r="BB795" s="283"/>
      <c r="BC795" s="283"/>
      <c r="BD795" s="283"/>
      <c r="BE795" s="283"/>
      <c r="BF795" s="283"/>
    </row>
    <row r="796" spans="1:58" ht="12" hidden="1" customHeight="1" x14ac:dyDescent="0.3">
      <c r="A796" s="283"/>
      <c r="B796" s="283"/>
      <c r="C796" s="283"/>
      <c r="D796" s="283"/>
      <c r="E796" s="283"/>
      <c r="F796" s="283"/>
      <c r="G796" s="283"/>
      <c r="H796" s="283"/>
      <c r="I796" s="283"/>
      <c r="J796" s="283"/>
      <c r="K796" s="283"/>
      <c r="L796" s="279"/>
      <c r="M796" s="294"/>
      <c r="N796" s="294"/>
      <c r="O796" s="307">
        <v>2.0229999999999997</v>
      </c>
      <c r="P796" s="307">
        <v>1.9339999999999999</v>
      </c>
      <c r="Q796" s="307">
        <v>1.956</v>
      </c>
      <c r="R796" s="307">
        <v>1.8649999999999998</v>
      </c>
      <c r="S796" s="307">
        <v>1.7390000000000001</v>
      </c>
      <c r="T796" s="307">
        <v>1.728</v>
      </c>
      <c r="U796" s="307">
        <v>1.9130000000000003</v>
      </c>
      <c r="V796" s="307">
        <v>1.9400000000000002</v>
      </c>
      <c r="W796" s="307">
        <v>1.86</v>
      </c>
      <c r="X796" s="307">
        <v>2.0699999999999998</v>
      </c>
      <c r="Y796" s="394"/>
      <c r="AB796" s="307">
        <v>1.9980555555555555</v>
      </c>
      <c r="AC796" s="307">
        <v>2.2288888888888887</v>
      </c>
      <c r="AM796" s="283"/>
      <c r="AN796" s="283"/>
      <c r="AO796" s="283"/>
      <c r="AP796" s="283"/>
      <c r="AQ796" s="283"/>
      <c r="AR796" s="283"/>
      <c r="AS796" s="283"/>
      <c r="AT796" s="283"/>
      <c r="AU796" s="283"/>
      <c r="AV796" s="283"/>
      <c r="AW796" s="283"/>
      <c r="AX796" s="283"/>
      <c r="AY796" s="283"/>
      <c r="AZ796" s="283"/>
      <c r="BA796" s="283"/>
      <c r="BB796" s="283"/>
      <c r="BC796" s="283"/>
      <c r="BD796" s="283"/>
      <c r="BE796" s="283"/>
      <c r="BF796" s="283"/>
    </row>
    <row r="797" spans="1:58" ht="12" hidden="1" customHeight="1" x14ac:dyDescent="0.3">
      <c r="A797" s="283"/>
      <c r="B797" s="283"/>
      <c r="C797" s="283"/>
      <c r="D797" s="283"/>
      <c r="E797" s="283"/>
      <c r="F797" s="283"/>
      <c r="G797" s="283"/>
      <c r="H797" s="283"/>
      <c r="I797" s="283"/>
      <c r="J797" s="283"/>
      <c r="K797" s="283"/>
      <c r="L797" s="279"/>
      <c r="M797" s="294"/>
      <c r="N797" s="294"/>
      <c r="O797" s="307">
        <f>O735/1000</f>
        <v>0.50574999999999992</v>
      </c>
      <c r="P797" s="307">
        <f t="shared" ref="P797:X797" si="1055">P735/1000</f>
        <v>0.48736800000000008</v>
      </c>
      <c r="Q797" s="307">
        <f t="shared" si="1055"/>
        <v>0.50464799999999999</v>
      </c>
      <c r="R797" s="307">
        <f t="shared" si="1055"/>
        <v>0.4849</v>
      </c>
      <c r="S797" s="307">
        <f t="shared" si="1055"/>
        <v>0.45387900000000009</v>
      </c>
      <c r="T797" s="307">
        <f t="shared" si="1055"/>
        <v>0.45273599999999997</v>
      </c>
      <c r="U797" s="307">
        <f t="shared" si="1055"/>
        <v>0.51651000000000014</v>
      </c>
      <c r="V797" s="307">
        <f t="shared" si="1055"/>
        <v>0.52768000000000004</v>
      </c>
      <c r="W797" s="307">
        <f t="shared" si="1055"/>
        <v>0.52080000000000004</v>
      </c>
      <c r="X797" s="307">
        <f t="shared" si="1055"/>
        <v>0.60029999999999994</v>
      </c>
      <c r="Y797" s="394"/>
      <c r="AB797" s="307">
        <f>AB735/1000</f>
        <v>0.59941666666666649</v>
      </c>
      <c r="AC797" s="307">
        <f>AC735/1000</f>
        <v>0.69095555555555555</v>
      </c>
      <c r="AM797" s="283"/>
      <c r="AN797" s="283"/>
      <c r="AO797" s="283"/>
      <c r="AP797" s="283"/>
      <c r="AQ797" s="283"/>
      <c r="AR797" s="283"/>
      <c r="AS797" s="283"/>
      <c r="AT797" s="283"/>
      <c r="AU797" s="283"/>
      <c r="AV797" s="283"/>
      <c r="AW797" s="283"/>
      <c r="AX797" s="283"/>
      <c r="AY797" s="283"/>
      <c r="AZ797" s="283"/>
      <c r="BA797" s="283"/>
      <c r="BB797" s="283"/>
      <c r="BC797" s="283"/>
      <c r="BD797" s="283"/>
      <c r="BE797" s="283"/>
      <c r="BF797" s="283"/>
    </row>
    <row r="798" spans="1:58" ht="12" hidden="1" customHeight="1" x14ac:dyDescent="0.3">
      <c r="A798" s="283"/>
      <c r="B798" s="283"/>
      <c r="C798" s="283"/>
      <c r="D798" s="283"/>
      <c r="E798" s="283"/>
      <c r="F798" s="283"/>
      <c r="G798" s="283"/>
      <c r="H798" s="283"/>
      <c r="I798" s="283"/>
      <c r="J798" s="283"/>
      <c r="K798" s="283"/>
      <c r="L798" s="279"/>
      <c r="M798" s="294"/>
      <c r="N798" s="294"/>
      <c r="O798" s="307">
        <f>O753/1000</f>
        <v>0.45747777777777776</v>
      </c>
      <c r="P798" s="307">
        <f t="shared" ref="P798:X798" si="1056">P753/1000</f>
        <v>0.43331555555555551</v>
      </c>
      <c r="Q798" s="307">
        <f t="shared" si="1056"/>
        <v>0.43878916666666662</v>
      </c>
      <c r="R798" s="307">
        <f t="shared" si="1056"/>
        <v>0.43379444444444448</v>
      </c>
      <c r="S798" s="307">
        <f t="shared" si="1056"/>
        <v>0.38863999999999999</v>
      </c>
      <c r="T798" s="307">
        <f t="shared" si="1056"/>
        <v>0.37585166666666664</v>
      </c>
      <c r="U798" s="307">
        <f t="shared" si="1056"/>
        <v>0.41709861111111102</v>
      </c>
      <c r="V798" s="307">
        <f t="shared" si="1056"/>
        <v>0.42180000000000006</v>
      </c>
      <c r="W798" s="307">
        <f t="shared" si="1056"/>
        <v>0.43125000000000008</v>
      </c>
      <c r="X798" s="307">
        <f t="shared" si="1056"/>
        <v>0.43319999999999997</v>
      </c>
      <c r="Y798" s="394"/>
      <c r="AB798" s="307">
        <f>AB753/1000</f>
        <v>0.41119444444444442</v>
      </c>
      <c r="AC798" s="307">
        <f>AC753/1000</f>
        <v>0.4206111111111111</v>
      </c>
      <c r="AM798" s="283"/>
      <c r="AN798" s="283"/>
      <c r="AO798" s="283"/>
      <c r="AP798" s="283"/>
      <c r="AQ798" s="283"/>
      <c r="AR798" s="283"/>
      <c r="AS798" s="283"/>
      <c r="AT798" s="283"/>
      <c r="AU798" s="283"/>
      <c r="AV798" s="283"/>
      <c r="AW798" s="283"/>
      <c r="AX798" s="283"/>
      <c r="AY798" s="283"/>
      <c r="AZ798" s="283"/>
      <c r="BA798" s="283"/>
      <c r="BB798" s="283"/>
      <c r="BC798" s="283"/>
      <c r="BD798" s="283"/>
      <c r="BE798" s="283"/>
      <c r="BF798" s="283"/>
    </row>
    <row r="799" spans="1:58" ht="12" hidden="1" customHeight="1" x14ac:dyDescent="0.3">
      <c r="A799" s="283"/>
      <c r="B799" s="283"/>
      <c r="C799" s="283"/>
      <c r="D799" s="283"/>
      <c r="E799" s="283"/>
      <c r="F799" s="283"/>
      <c r="G799" s="283"/>
      <c r="H799" s="283"/>
      <c r="I799" s="283"/>
      <c r="J799" s="283"/>
      <c r="K799" s="283"/>
      <c r="L799" s="279"/>
      <c r="M799" s="294"/>
      <c r="N799" s="294"/>
      <c r="O799" s="307">
        <f>O769/1000</f>
        <v>0.14160999999999999</v>
      </c>
      <c r="P799" s="307">
        <f t="shared" ref="P799:X799" si="1057">P769/1000</f>
        <v>0.13731400000000002</v>
      </c>
      <c r="Q799" s="307">
        <f t="shared" si="1057"/>
        <v>0.14083199999999998</v>
      </c>
      <c r="R799" s="307">
        <f t="shared" si="1057"/>
        <v>0.13241499999999998</v>
      </c>
      <c r="S799" s="307">
        <f t="shared" si="1057"/>
        <v>0.126947</v>
      </c>
      <c r="T799" s="307">
        <f t="shared" si="1057"/>
        <v>0.12787200000000001</v>
      </c>
      <c r="U799" s="307">
        <f t="shared" si="1057"/>
        <v>0.13773600000000003</v>
      </c>
      <c r="V799" s="307">
        <f t="shared" si="1057"/>
        <v>0.14162</v>
      </c>
      <c r="W799" s="307">
        <f t="shared" si="1057"/>
        <v>0.13392000000000001</v>
      </c>
      <c r="X799" s="307">
        <f t="shared" si="1057"/>
        <v>0.14696999999999999</v>
      </c>
      <c r="Y799" s="394"/>
      <c r="AB799" s="307">
        <f>AB769/1000</f>
        <v>0.13986388888888887</v>
      </c>
      <c r="AC799" s="307">
        <f>AC769/1000</f>
        <v>0.15379333333333331</v>
      </c>
      <c r="AM799" s="283"/>
      <c r="AN799" s="283"/>
      <c r="AO799" s="283"/>
      <c r="AP799" s="283"/>
      <c r="AQ799" s="283"/>
      <c r="AR799" s="283"/>
      <c r="AS799" s="283"/>
      <c r="AT799" s="283"/>
      <c r="AU799" s="283"/>
      <c r="AV799" s="283"/>
      <c r="AW799" s="283"/>
      <c r="AX799" s="283"/>
      <c r="AY799" s="283"/>
      <c r="AZ799" s="283"/>
      <c r="BA799" s="283"/>
      <c r="BB799" s="283"/>
      <c r="BC799" s="283"/>
      <c r="BD799" s="283"/>
      <c r="BE799" s="283"/>
      <c r="BF799" s="283"/>
    </row>
    <row r="800" spans="1:58" ht="12" hidden="1" customHeight="1" x14ac:dyDescent="0.3">
      <c r="A800" s="283"/>
      <c r="B800" s="283"/>
      <c r="C800" s="283"/>
      <c r="D800" s="283"/>
      <c r="E800" s="283"/>
      <c r="F800" s="283"/>
      <c r="G800" s="283"/>
      <c r="H800" s="283"/>
      <c r="I800" s="283"/>
      <c r="J800" s="283"/>
      <c r="K800" s="283"/>
      <c r="L800" s="279"/>
      <c r="M800" s="294"/>
      <c r="N800" s="294"/>
      <c r="O800" s="307">
        <v>0</v>
      </c>
      <c r="P800" s="307">
        <v>0</v>
      </c>
      <c r="Q800" s="307">
        <v>0</v>
      </c>
      <c r="R800" s="307">
        <v>0</v>
      </c>
      <c r="S800" s="307">
        <v>0</v>
      </c>
      <c r="T800" s="307">
        <v>0</v>
      </c>
      <c r="U800" s="307">
        <v>0</v>
      </c>
      <c r="V800" s="307">
        <v>0</v>
      </c>
      <c r="W800" s="307">
        <v>0</v>
      </c>
      <c r="X800" s="307">
        <v>0</v>
      </c>
      <c r="Y800" s="394"/>
      <c r="AB800" s="307">
        <v>0</v>
      </c>
      <c r="AC800" s="307">
        <v>0</v>
      </c>
      <c r="AM800" s="283"/>
      <c r="AN800" s="283"/>
      <c r="AO800" s="283"/>
      <c r="AP800" s="283"/>
      <c r="AQ800" s="283"/>
      <c r="AR800" s="283"/>
      <c r="AS800" s="283"/>
      <c r="AT800" s="283"/>
      <c r="AU800" s="283"/>
      <c r="AV800" s="283"/>
      <c r="AW800" s="283"/>
      <c r="AX800" s="283"/>
      <c r="AY800" s="283"/>
      <c r="AZ800" s="283"/>
      <c r="BA800" s="283"/>
      <c r="BB800" s="283"/>
      <c r="BC800" s="283"/>
      <c r="BD800" s="283"/>
      <c r="BE800" s="283"/>
      <c r="BF800" s="283"/>
    </row>
    <row r="801" spans="1:58" ht="12" hidden="1" customHeight="1" x14ac:dyDescent="0.3">
      <c r="A801" s="283"/>
      <c r="B801" s="283"/>
      <c r="C801" s="283"/>
      <c r="D801" s="283"/>
      <c r="E801" s="283"/>
      <c r="F801" s="283"/>
      <c r="G801" s="283"/>
      <c r="H801" s="283"/>
      <c r="I801" s="283"/>
      <c r="J801" s="283"/>
      <c r="K801" s="283"/>
      <c r="L801" s="279"/>
      <c r="M801" s="294"/>
      <c r="N801" s="294"/>
      <c r="O801" s="307">
        <f>O777/1000</f>
        <v>0.9181622222222221</v>
      </c>
      <c r="P801" s="307">
        <f t="shared" ref="P801:X801" si="1058">P777/1000</f>
        <v>0.87600244444444453</v>
      </c>
      <c r="Q801" s="307">
        <f t="shared" si="1058"/>
        <v>0.87173083333333357</v>
      </c>
      <c r="R801" s="307">
        <f t="shared" si="1058"/>
        <v>0.81389055555555534</v>
      </c>
      <c r="S801" s="307">
        <f t="shared" si="1058"/>
        <v>0.76953400000000027</v>
      </c>
      <c r="T801" s="307">
        <f t="shared" si="1058"/>
        <v>0.77154033333333338</v>
      </c>
      <c r="U801" s="307">
        <f t="shared" si="1058"/>
        <v>0.84165538888888913</v>
      </c>
      <c r="V801" s="307">
        <f t="shared" si="1058"/>
        <v>0.8489000000000001</v>
      </c>
      <c r="W801" s="307">
        <f t="shared" si="1058"/>
        <v>0.77402999999999977</v>
      </c>
      <c r="X801" s="307">
        <f t="shared" si="1058"/>
        <v>0.88953000000000004</v>
      </c>
      <c r="Y801" s="394"/>
      <c r="AB801" s="307">
        <f>AB777/1000</f>
        <v>0.84758055555555545</v>
      </c>
      <c r="AC801" s="307">
        <f>AC777/1000</f>
        <v>0.96352888888888888</v>
      </c>
      <c r="AM801" s="283"/>
      <c r="AN801" s="283"/>
      <c r="AO801" s="283"/>
      <c r="AP801" s="283"/>
      <c r="AQ801" s="283"/>
      <c r="AR801" s="283"/>
      <c r="AS801" s="283"/>
      <c r="AT801" s="283"/>
      <c r="AU801" s="283"/>
      <c r="AV801" s="283"/>
      <c r="AW801" s="283"/>
      <c r="AX801" s="283"/>
      <c r="AY801" s="283"/>
      <c r="AZ801" s="283"/>
      <c r="BA801" s="283"/>
      <c r="BB801" s="283"/>
      <c r="BC801" s="283"/>
      <c r="BD801" s="283"/>
      <c r="BE801" s="283"/>
      <c r="BF801" s="283"/>
    </row>
    <row r="802" spans="1:58" ht="12" hidden="1" customHeight="1" x14ac:dyDescent="0.3">
      <c r="A802" s="283"/>
      <c r="B802" s="283"/>
      <c r="C802" s="283"/>
      <c r="D802" s="283"/>
      <c r="E802" s="283"/>
      <c r="F802" s="283"/>
      <c r="G802" s="283"/>
      <c r="H802" s="283"/>
      <c r="I802" s="283"/>
      <c r="J802" s="283"/>
      <c r="K802" s="283"/>
      <c r="L802" s="279"/>
      <c r="M802" s="294"/>
      <c r="N802" s="294"/>
      <c r="O802" s="307">
        <v>0</v>
      </c>
      <c r="P802" s="307">
        <v>0</v>
      </c>
      <c r="Q802" s="307">
        <v>0</v>
      </c>
      <c r="R802" s="307">
        <v>0</v>
      </c>
      <c r="S802" s="307">
        <v>0</v>
      </c>
      <c r="T802" s="307">
        <v>0</v>
      </c>
      <c r="U802" s="307">
        <v>0</v>
      </c>
      <c r="V802" s="307">
        <v>0</v>
      </c>
      <c r="W802" s="307">
        <v>0</v>
      </c>
      <c r="X802" s="307">
        <v>0</v>
      </c>
      <c r="Y802" s="394"/>
      <c r="AB802" s="307">
        <v>0</v>
      </c>
      <c r="AC802" s="307">
        <v>0</v>
      </c>
      <c r="AM802" s="283"/>
      <c r="AN802" s="283"/>
      <c r="AO802" s="283"/>
      <c r="AP802" s="283"/>
      <c r="AQ802" s="283"/>
      <c r="AR802" s="283"/>
      <c r="AS802" s="283"/>
      <c r="AT802" s="283"/>
      <c r="AU802" s="283"/>
      <c r="AV802" s="283"/>
      <c r="AW802" s="283"/>
      <c r="AX802" s="283"/>
      <c r="AY802" s="283"/>
      <c r="AZ802" s="283"/>
      <c r="BA802" s="283"/>
      <c r="BB802" s="283"/>
      <c r="BC802" s="283"/>
      <c r="BD802" s="283"/>
      <c r="BE802" s="283"/>
      <c r="BF802" s="283"/>
    </row>
    <row r="803" spans="1:58" ht="12" hidden="1" customHeight="1" x14ac:dyDescent="0.3">
      <c r="A803" s="283"/>
      <c r="B803" s="283"/>
      <c r="C803" s="283"/>
      <c r="D803" s="283"/>
      <c r="E803" s="283"/>
      <c r="F803" s="283"/>
      <c r="G803" s="283"/>
      <c r="H803" s="283"/>
      <c r="I803" s="283"/>
      <c r="J803" s="283"/>
      <c r="K803" s="283"/>
      <c r="L803" s="279"/>
      <c r="M803" s="294"/>
      <c r="N803" s="294"/>
      <c r="O803" s="295">
        <f>(O797+O798+O799+O800+O801)/O796</f>
        <v>1</v>
      </c>
      <c r="P803" s="295">
        <f t="shared" ref="P803:X803" si="1059">(P797+P798+P799+P800+P801)/P796</f>
        <v>1.0000000000000002</v>
      </c>
      <c r="Q803" s="295">
        <f t="shared" si="1059"/>
        <v>1.0000000000000002</v>
      </c>
      <c r="R803" s="295">
        <f t="shared" si="1059"/>
        <v>1</v>
      </c>
      <c r="S803" s="295">
        <f t="shared" si="1059"/>
        <v>1.0000000000000002</v>
      </c>
      <c r="T803" s="295">
        <f t="shared" si="1059"/>
        <v>1</v>
      </c>
      <c r="U803" s="295">
        <f t="shared" si="1059"/>
        <v>1</v>
      </c>
      <c r="V803" s="295">
        <f t="shared" si="1059"/>
        <v>1.0000000000000002</v>
      </c>
      <c r="W803" s="295">
        <f t="shared" si="1059"/>
        <v>0.99999999999999989</v>
      </c>
      <c r="X803" s="295">
        <f t="shared" si="1059"/>
        <v>1</v>
      </c>
      <c r="Y803" s="394"/>
      <c r="AB803" s="295">
        <f>(AB797+AB798+AB799+AB800+AB801)/AB796</f>
        <v>0.99999999999999989</v>
      </c>
      <c r="AC803" s="295">
        <f>(AC797+AC798+AC799+AC800+AC801)/AC796</f>
        <v>1</v>
      </c>
      <c r="AM803" s="283"/>
      <c r="AN803" s="283"/>
      <c r="AO803" s="283"/>
      <c r="AP803" s="283"/>
      <c r="AQ803" s="283"/>
      <c r="AR803" s="283"/>
      <c r="AS803" s="283"/>
      <c r="AT803" s="283"/>
      <c r="AU803" s="283"/>
      <c r="AV803" s="283"/>
      <c r="AW803" s="283"/>
      <c r="AX803" s="283"/>
      <c r="AY803" s="283"/>
      <c r="AZ803" s="283"/>
      <c r="BA803" s="283"/>
      <c r="BB803" s="283"/>
      <c r="BC803" s="283"/>
      <c r="BD803" s="283"/>
      <c r="BE803" s="283"/>
      <c r="BF803" s="283"/>
    </row>
    <row r="804" spans="1:58" ht="12" hidden="1" customHeight="1" x14ac:dyDescent="0.3">
      <c r="A804" s="283"/>
      <c r="B804" s="283"/>
      <c r="C804" s="283"/>
      <c r="D804" s="283"/>
      <c r="E804" s="283"/>
      <c r="F804" s="283"/>
      <c r="G804" s="283"/>
      <c r="H804" s="283"/>
      <c r="I804" s="283"/>
      <c r="J804" s="283"/>
      <c r="K804" s="283"/>
      <c r="L804" s="279"/>
      <c r="M804" s="294"/>
      <c r="N804" s="294"/>
      <c r="O804" s="306"/>
      <c r="P804" s="306"/>
      <c r="Q804" s="306"/>
      <c r="R804" s="306"/>
      <c r="S804" s="306"/>
      <c r="T804" s="306"/>
      <c r="U804" s="306"/>
      <c r="V804" s="306"/>
      <c r="W804" s="306"/>
      <c r="X804" s="306"/>
      <c r="Y804" s="394"/>
      <c r="AB804" s="306"/>
      <c r="AC804" s="306"/>
      <c r="AM804" s="283"/>
      <c r="AN804" s="283"/>
      <c r="AO804" s="283"/>
      <c r="AP804" s="283"/>
      <c r="AQ804" s="283"/>
      <c r="AR804" s="283"/>
      <c r="AS804" s="283"/>
      <c r="AT804" s="283"/>
      <c r="AU804" s="283"/>
      <c r="AV804" s="283"/>
      <c r="AW804" s="283"/>
      <c r="AX804" s="283"/>
      <c r="AY804" s="283"/>
      <c r="AZ804" s="283"/>
      <c r="BA804" s="283"/>
      <c r="BB804" s="283"/>
      <c r="BC804" s="283"/>
      <c r="BD804" s="283"/>
      <c r="BE804" s="283"/>
      <c r="BF804" s="283"/>
    </row>
    <row r="805" spans="1:58" ht="12" hidden="1" customHeight="1" x14ac:dyDescent="0.3">
      <c r="A805" s="283"/>
      <c r="B805" s="283"/>
      <c r="C805" s="283"/>
      <c r="D805" s="283"/>
      <c r="E805" s="283"/>
      <c r="F805" s="283"/>
      <c r="G805" s="283"/>
      <c r="H805" s="283"/>
      <c r="I805" s="283"/>
      <c r="J805" s="283"/>
      <c r="K805" s="283"/>
      <c r="L805" s="279"/>
      <c r="M805" s="294"/>
      <c r="N805" s="294"/>
      <c r="O805" s="307">
        <v>1.0995981604478282</v>
      </c>
      <c r="P805" s="307">
        <v>0.91887610922116014</v>
      </c>
      <c r="Q805" s="307">
        <v>1.030387709919542</v>
      </c>
      <c r="R805" s="307">
        <v>0.93469769785985546</v>
      </c>
      <c r="S805" s="307">
        <v>0.93218901308565971</v>
      </c>
      <c r="T805" s="307">
        <v>0.85397879655128961</v>
      </c>
      <c r="U805" s="307">
        <v>0.94687663120758847</v>
      </c>
      <c r="V805" s="307">
        <v>0.94712862465575876</v>
      </c>
      <c r="W805" s="307">
        <v>0.9145202224742156</v>
      </c>
      <c r="X805" s="307">
        <v>0.87366353474809655</v>
      </c>
      <c r="Y805" s="394"/>
      <c r="AB805" s="307">
        <v>0.8212286480551505</v>
      </c>
      <c r="AC805" s="307">
        <v>0.95960005039868956</v>
      </c>
      <c r="AM805" s="283"/>
      <c r="AN805" s="283"/>
      <c r="AO805" s="283"/>
      <c r="AP805" s="283"/>
      <c r="AQ805" s="283"/>
      <c r="AR805" s="283"/>
      <c r="AS805" s="283"/>
      <c r="AT805" s="283"/>
      <c r="AU805" s="283"/>
      <c r="AV805" s="283"/>
      <c r="AW805" s="283"/>
      <c r="AX805" s="283"/>
      <c r="AY805" s="283"/>
      <c r="AZ805" s="283"/>
      <c r="BA805" s="283"/>
      <c r="BB805" s="283"/>
      <c r="BC805" s="283"/>
      <c r="BD805" s="283"/>
      <c r="BE805" s="283"/>
      <c r="BF805" s="283"/>
    </row>
    <row r="806" spans="1:58" ht="12" hidden="1" customHeight="1" x14ac:dyDescent="0.3">
      <c r="A806" s="283"/>
      <c r="B806" s="283"/>
      <c r="C806" s="283"/>
      <c r="D806" s="283"/>
      <c r="E806" s="283"/>
      <c r="F806" s="283"/>
      <c r="G806" s="283"/>
      <c r="H806" s="283"/>
      <c r="I806" s="283"/>
      <c r="J806" s="283"/>
      <c r="K806" s="283"/>
      <c r="L806" s="279"/>
      <c r="M806" s="294"/>
      <c r="N806" s="294"/>
      <c r="O806" s="307">
        <f>IFERROR(O812/(O812+(O787-O788)),"")</f>
        <v>0.49762356085801973</v>
      </c>
      <c r="P806" s="307">
        <f t="shared" ref="P806:X806" si="1060">IFERROR(P812/(P812+(P787-P788)),"")</f>
        <v>0.53798067091810142</v>
      </c>
      <c r="Q806" s="307">
        <f t="shared" si="1060"/>
        <v>0.51165093933513328</v>
      </c>
      <c r="R806" s="307">
        <f t="shared" si="1060"/>
        <v>0.53255888372246629</v>
      </c>
      <c r="S806" s="307">
        <f t="shared" si="1060"/>
        <v>0.53180984103835238</v>
      </c>
      <c r="T806" s="307">
        <f t="shared" si="1060"/>
        <v>0.55779412451797727</v>
      </c>
      <c r="U806" s="307">
        <f t="shared" si="1060"/>
        <v>0.53605144293633789</v>
      </c>
      <c r="V806" s="307">
        <f t="shared" si="1060"/>
        <v>0.52308154071842394</v>
      </c>
      <c r="W806" s="307">
        <f t="shared" si="1060"/>
        <v>0.52678703236323898</v>
      </c>
      <c r="X806" s="307">
        <f t="shared" si="1060"/>
        <v>0.55251226114585084</v>
      </c>
      <c r="Y806" s="394"/>
      <c r="AB806" s="307">
        <f>IFERROR(AB812/(AB812+(AB787-AB788)),"")</f>
        <v>0.56558220590259289</v>
      </c>
      <c r="AC806" s="307">
        <f>IFERROR(AC812/(AC812+(AC787-AC788)),"")</f>
        <v>0.5296238084993008</v>
      </c>
      <c r="AM806" s="283"/>
      <c r="AN806" s="283"/>
      <c r="AO806" s="283"/>
      <c r="AP806" s="283"/>
      <c r="AQ806" s="283"/>
      <c r="AR806" s="283"/>
      <c r="AS806" s="283"/>
      <c r="AT806" s="283"/>
      <c r="AU806" s="283"/>
      <c r="AV806" s="283"/>
      <c r="AW806" s="283"/>
      <c r="AX806" s="283"/>
      <c r="AY806" s="283"/>
      <c r="AZ806" s="283"/>
      <c r="BA806" s="283"/>
      <c r="BB806" s="283"/>
      <c r="BC806" s="283"/>
      <c r="BD806" s="283"/>
      <c r="BE806" s="283"/>
      <c r="BF806" s="283"/>
    </row>
    <row r="807" spans="1:58" ht="12" hidden="1" customHeight="1" x14ac:dyDescent="0.3">
      <c r="A807" s="283"/>
      <c r="B807" s="283"/>
      <c r="C807" s="283"/>
      <c r="D807" s="283"/>
      <c r="E807" s="283"/>
      <c r="F807" s="283"/>
      <c r="G807" s="283"/>
      <c r="H807" s="283"/>
      <c r="I807" s="283"/>
      <c r="J807" s="283"/>
      <c r="K807" s="283"/>
      <c r="L807" s="279"/>
      <c r="M807" s="294"/>
      <c r="N807" s="294"/>
      <c r="O807" s="307">
        <f>O723</f>
        <v>0.25000000000000006</v>
      </c>
      <c r="P807" s="307">
        <f t="shared" ref="P807:X807" si="1061">P723</f>
        <v>0.25199999999999995</v>
      </c>
      <c r="Q807" s="307">
        <f t="shared" si="1061"/>
        <v>0.25799999999999995</v>
      </c>
      <c r="R807" s="307">
        <f t="shared" si="1061"/>
        <v>0.26</v>
      </c>
      <c r="S807" s="307">
        <f t="shared" si="1061"/>
        <v>0.26100000000000001</v>
      </c>
      <c r="T807" s="307">
        <f t="shared" si="1061"/>
        <v>0.26200000000000001</v>
      </c>
      <c r="U807" s="307">
        <f t="shared" si="1061"/>
        <v>0.27</v>
      </c>
      <c r="V807" s="307">
        <f t="shared" si="1061"/>
        <v>0.27200000000000002</v>
      </c>
      <c r="W807" s="307">
        <f t="shared" si="1061"/>
        <v>0.28000000000000003</v>
      </c>
      <c r="X807" s="307">
        <f t="shared" si="1061"/>
        <v>0.28999999999999998</v>
      </c>
      <c r="Y807" s="394"/>
      <c r="AB807" s="307">
        <f>AB723</f>
        <v>0.3</v>
      </c>
      <c r="AC807" s="307">
        <f>AC723</f>
        <v>0.31000000000000005</v>
      </c>
      <c r="AM807" s="283"/>
      <c r="AN807" s="283"/>
      <c r="AO807" s="283"/>
      <c r="AP807" s="283"/>
      <c r="AQ807" s="283"/>
      <c r="AR807" s="283"/>
      <c r="AS807" s="283"/>
      <c r="AT807" s="283"/>
      <c r="AU807" s="283"/>
      <c r="AV807" s="283"/>
      <c r="AW807" s="283"/>
      <c r="AX807" s="283"/>
      <c r="AY807" s="283"/>
      <c r="AZ807" s="283"/>
      <c r="BA807" s="283"/>
      <c r="BB807" s="283"/>
      <c r="BC807" s="283"/>
      <c r="BD807" s="283"/>
      <c r="BE807" s="283"/>
      <c r="BF807" s="283"/>
    </row>
    <row r="808" spans="1:58" ht="12" hidden="1" customHeight="1" x14ac:dyDescent="0.3">
      <c r="A808" s="283"/>
      <c r="B808" s="283"/>
      <c r="C808" s="283"/>
      <c r="D808" s="283"/>
      <c r="E808" s="283"/>
      <c r="F808" s="283"/>
      <c r="G808" s="283"/>
      <c r="H808" s="283"/>
      <c r="I808" s="283"/>
      <c r="J808" s="283"/>
      <c r="K808" s="283"/>
      <c r="L808" s="279"/>
      <c r="M808" s="294"/>
      <c r="N808" s="294"/>
      <c r="O808" s="307">
        <v>0</v>
      </c>
      <c r="P808" s="307">
        <v>0</v>
      </c>
      <c r="Q808" s="307">
        <v>0</v>
      </c>
      <c r="R808" s="307">
        <v>0</v>
      </c>
      <c r="S808" s="307">
        <v>0</v>
      </c>
      <c r="T808" s="307">
        <v>0</v>
      </c>
      <c r="U808" s="307">
        <v>0</v>
      </c>
      <c r="V808" s="307">
        <v>0</v>
      </c>
      <c r="W808" s="307">
        <v>0</v>
      </c>
      <c r="X808" s="307">
        <v>0</v>
      </c>
      <c r="Y808" s="394"/>
      <c r="AB808" s="307">
        <v>0</v>
      </c>
      <c r="AC808" s="307">
        <v>0</v>
      </c>
      <c r="AM808" s="283"/>
      <c r="AN808" s="283"/>
      <c r="AO808" s="283"/>
      <c r="AP808" s="283"/>
      <c r="AQ808" s="283"/>
      <c r="AR808" s="283"/>
      <c r="AS808" s="283"/>
      <c r="AT808" s="283"/>
      <c r="AU808" s="283"/>
      <c r="AV808" s="283"/>
      <c r="AW808" s="283"/>
      <c r="AX808" s="283"/>
      <c r="AY808" s="283"/>
      <c r="AZ808" s="283"/>
      <c r="BA808" s="283"/>
      <c r="BB808" s="283"/>
      <c r="BC808" s="283"/>
      <c r="BD808" s="283"/>
      <c r="BE808" s="283"/>
      <c r="BF808" s="283"/>
    </row>
    <row r="809" spans="1:58" ht="12" hidden="1" customHeight="1" x14ac:dyDescent="0.3">
      <c r="A809" s="283"/>
      <c r="B809" s="283"/>
      <c r="C809" s="283"/>
      <c r="D809" s="283"/>
      <c r="E809" s="283"/>
      <c r="F809" s="283"/>
      <c r="G809" s="283"/>
      <c r="H809" s="283"/>
      <c r="I809" s="283"/>
      <c r="J809" s="283"/>
      <c r="K809" s="283"/>
      <c r="L809" s="279"/>
      <c r="M809" s="294"/>
      <c r="N809" s="294"/>
      <c r="O809" s="307"/>
      <c r="P809" s="307"/>
      <c r="Q809" s="307"/>
      <c r="R809" s="307"/>
      <c r="S809" s="307"/>
      <c r="T809" s="307"/>
      <c r="U809" s="307"/>
      <c r="V809" s="307"/>
      <c r="W809" s="307"/>
      <c r="X809" s="307"/>
      <c r="Y809" s="394"/>
      <c r="AB809" s="307"/>
      <c r="AC809" s="307"/>
      <c r="AM809" s="283"/>
      <c r="AN809" s="283"/>
      <c r="AO809" s="283"/>
      <c r="AP809" s="283"/>
      <c r="AQ809" s="283"/>
      <c r="AR809" s="283"/>
      <c r="AS809" s="283"/>
      <c r="AT809" s="283"/>
      <c r="AU809" s="283"/>
      <c r="AV809" s="283"/>
      <c r="AW809" s="283"/>
      <c r="AX809" s="283"/>
      <c r="AY809" s="283"/>
      <c r="AZ809" s="283"/>
      <c r="BA809" s="283"/>
      <c r="BB809" s="283"/>
      <c r="BC809" s="283"/>
      <c r="BD809" s="283"/>
      <c r="BE809" s="283"/>
      <c r="BF809" s="283"/>
    </row>
    <row r="810" spans="1:58" ht="12" hidden="1" customHeight="1" x14ac:dyDescent="0.3">
      <c r="A810" s="283"/>
      <c r="B810" s="283"/>
      <c r="C810" s="283"/>
      <c r="D810" s="283"/>
      <c r="E810" s="283"/>
      <c r="F810" s="283"/>
      <c r="G810" s="283"/>
      <c r="H810" s="283"/>
      <c r="I810" s="283"/>
      <c r="J810" s="283"/>
      <c r="K810" s="283"/>
      <c r="L810" s="279"/>
      <c r="M810" s="294"/>
      <c r="N810" s="294"/>
      <c r="O810" s="307">
        <f>IFERROR(O787/(1-(O807*0.9)*(1-O805)),"")</f>
        <v>11.680467773944837</v>
      </c>
      <c r="P810" s="307">
        <f t="shared" ref="P810:X810" si="1062">IFERROR(P787/(1-(P807*0.9)*(1-P805)),"")</f>
        <v>11.080819313499646</v>
      </c>
      <c r="Q810" s="307">
        <f t="shared" si="1062"/>
        <v>11.211723120760436</v>
      </c>
      <c r="R810" s="307">
        <f t="shared" si="1062"/>
        <v>11.02770823233797</v>
      </c>
      <c r="S810" s="307">
        <f t="shared" si="1062"/>
        <v>10.496302399217363</v>
      </c>
      <c r="T810" s="307">
        <f t="shared" si="1062"/>
        <v>10.322421085316636</v>
      </c>
      <c r="U810" s="307">
        <f t="shared" si="1062"/>
        <v>10.964034486740516</v>
      </c>
      <c r="V810" s="307">
        <f t="shared" si="1062"/>
        <v>11.104840086726396</v>
      </c>
      <c r="W810" s="307">
        <f t="shared" si="1062"/>
        <v>11.186209377941323</v>
      </c>
      <c r="X810" s="307">
        <f t="shared" si="1062"/>
        <v>11.44087238341276</v>
      </c>
      <c r="Y810" s="394"/>
      <c r="AB810" s="307">
        <f>IFERROR(AB787/(1-(AB807*0.9)*(1-AB805)),"")</f>
        <v>11.544452936112398</v>
      </c>
      <c r="AC810" s="307">
        <f>IFERROR(AC787/(1-(AC807*0.9)*(1-AC805)),"")</f>
        <v>11.353246875620354</v>
      </c>
      <c r="AM810" s="283"/>
      <c r="AN810" s="283"/>
      <c r="AO810" s="283"/>
      <c r="AP810" s="283"/>
      <c r="AQ810" s="283"/>
      <c r="AR810" s="283"/>
      <c r="AS810" s="283"/>
      <c r="AT810" s="283"/>
      <c r="AU810" s="283"/>
      <c r="AV810" s="283"/>
      <c r="AW810" s="283"/>
      <c r="AX810" s="283"/>
      <c r="AY810" s="283"/>
      <c r="AZ810" s="283"/>
      <c r="BA810" s="283"/>
      <c r="BB810" s="283"/>
      <c r="BC810" s="283"/>
      <c r="BD810" s="283"/>
      <c r="BE810" s="283"/>
      <c r="BF810" s="283"/>
    </row>
    <row r="811" spans="1:58" ht="12" hidden="1" customHeight="1" x14ac:dyDescent="0.3">
      <c r="A811" s="283"/>
      <c r="B811" s="283"/>
      <c r="C811" s="283"/>
      <c r="D811" s="283"/>
      <c r="E811" s="283"/>
      <c r="F811" s="283"/>
      <c r="G811" s="283"/>
      <c r="H811" s="283"/>
      <c r="I811" s="283"/>
      <c r="J811" s="283"/>
      <c r="K811" s="283"/>
      <c r="L811" s="279"/>
      <c r="M811" s="294"/>
      <c r="N811" s="294"/>
      <c r="O811" s="307">
        <f>IFERROR(O796/(1-(O723*0.9)*(1-O805)),"")</f>
        <v>1.9786590692241683</v>
      </c>
      <c r="P811" s="307">
        <f t="shared" ref="P811:X811" si="1063">IFERROR(P796/(1-(P723*0.9)*(1-P805)),"")</f>
        <v>1.9702504376818943</v>
      </c>
      <c r="Q811" s="307">
        <f t="shared" si="1063"/>
        <v>1.9422951146984202</v>
      </c>
      <c r="R811" s="307">
        <f t="shared" si="1063"/>
        <v>1.8939408147042642</v>
      </c>
      <c r="S811" s="307">
        <f t="shared" si="1063"/>
        <v>1.7671485574011112</v>
      </c>
      <c r="T811" s="307">
        <f t="shared" si="1063"/>
        <v>1.7896198317157967</v>
      </c>
      <c r="U811" s="307">
        <f t="shared" si="1063"/>
        <v>1.9380178307354687</v>
      </c>
      <c r="V811" s="307">
        <f t="shared" si="1063"/>
        <v>1.965438498877272</v>
      </c>
      <c r="W811" s="307">
        <f t="shared" si="1063"/>
        <v>1.9009481413000073</v>
      </c>
      <c r="X811" s="307">
        <f t="shared" si="1063"/>
        <v>2.1405831996195799</v>
      </c>
      <c r="Y811" s="394"/>
      <c r="AB811" s="307">
        <f>IFERROR(AB796/(1-(AB723*0.9)*(1-AB805)),"")</f>
        <v>2.0993894415092398</v>
      </c>
      <c r="AC811" s="307">
        <f>IFERROR(AC796/(1-(AC723*0.9)*(1-AC805)),"")</f>
        <v>2.2542984071163228</v>
      </c>
      <c r="AM811" s="283"/>
      <c r="AN811" s="283"/>
      <c r="AO811" s="283"/>
      <c r="AP811" s="283"/>
      <c r="AQ811" s="283"/>
      <c r="AR811" s="283"/>
      <c r="AS811" s="283"/>
      <c r="AT811" s="283"/>
      <c r="AU811" s="283"/>
      <c r="AV811" s="283"/>
      <c r="AW811" s="283"/>
      <c r="AX811" s="283"/>
      <c r="AY811" s="283"/>
      <c r="AZ811" s="283"/>
      <c r="BA811" s="283"/>
      <c r="BB811" s="283"/>
      <c r="BC811" s="283"/>
      <c r="BD811" s="283"/>
      <c r="BE811" s="283"/>
      <c r="BF811" s="283"/>
    </row>
    <row r="812" spans="1:58" ht="12" hidden="1" customHeight="1" x14ac:dyDescent="0.3">
      <c r="A812" s="283"/>
      <c r="B812" s="283"/>
      <c r="C812" s="283"/>
      <c r="D812" s="283"/>
      <c r="E812" s="283"/>
      <c r="F812" s="283"/>
      <c r="G812" s="283"/>
      <c r="H812" s="283"/>
      <c r="I812" s="283"/>
      <c r="J812" s="283"/>
      <c r="K812" s="283"/>
      <c r="L812" s="279"/>
      <c r="M812" s="294"/>
      <c r="N812" s="294"/>
      <c r="O812" s="307">
        <f>IFERROR(O788/(1-(0.9*(1-O805))),"")</f>
        <v>5.688968167242094</v>
      </c>
      <c r="P812" s="307">
        <f t="shared" ref="P812:X812" si="1064">IFERROR(P788/(1-(0.9*(1-P805))),"")</f>
        <v>6.0908260665644303</v>
      </c>
      <c r="Q812" s="307">
        <f t="shared" si="1064"/>
        <v>5.6972433266456397</v>
      </c>
      <c r="R812" s="307">
        <f t="shared" si="1064"/>
        <v>5.9700208748194319</v>
      </c>
      <c r="S812" s="307">
        <f t="shared" si="1064"/>
        <v>5.6773887616213585</v>
      </c>
      <c r="T812" s="307">
        <f t="shared" si="1064"/>
        <v>5.9993133208346325</v>
      </c>
      <c r="U812" s="307">
        <f t="shared" si="1064"/>
        <v>5.9540131727145891</v>
      </c>
      <c r="V812" s="307">
        <f t="shared" si="1064"/>
        <v>5.8799083735572166</v>
      </c>
      <c r="W812" s="307">
        <f t="shared" si="1064"/>
        <v>6.0093540130553276</v>
      </c>
      <c r="X812" s="307">
        <f t="shared" si="1064"/>
        <v>6.5225482833449897</v>
      </c>
      <c r="Y812" s="394"/>
      <c r="AB812" s="307">
        <f>IFERROR(AB788/(1-(0.9*(1-AB805))),"")</f>
        <v>6.8362705197894504</v>
      </c>
      <c r="AC812" s="307">
        <f>IFERROR(AC788/(1-(0.9*(1-AC805))),"")</f>
        <v>6.0619091444939643</v>
      </c>
      <c r="AM812" s="283"/>
      <c r="AN812" s="283"/>
      <c r="AO812" s="283"/>
      <c r="AP812" s="283"/>
      <c r="AQ812" s="283"/>
      <c r="AR812" s="283"/>
      <c r="AS812" s="283"/>
      <c r="AT812" s="283"/>
      <c r="AU812" s="283"/>
      <c r="AV812" s="283"/>
      <c r="AW812" s="283"/>
      <c r="AX812" s="283"/>
      <c r="AY812" s="283"/>
      <c r="AZ812" s="283"/>
      <c r="BA812" s="283"/>
      <c r="BB812" s="283"/>
      <c r="BC812" s="283"/>
      <c r="BD812" s="283"/>
      <c r="BE812" s="283"/>
      <c r="BF812" s="283"/>
    </row>
    <row r="813" spans="1:58" ht="12" hidden="1" customHeight="1" x14ac:dyDescent="0.3">
      <c r="A813" s="283"/>
      <c r="B813" s="283"/>
      <c r="C813" s="283"/>
      <c r="D813" s="283"/>
      <c r="E813" s="283"/>
      <c r="F813" s="283"/>
      <c r="G813" s="283"/>
      <c r="H813" s="283"/>
      <c r="I813" s="283"/>
      <c r="J813" s="283"/>
      <c r="K813" s="283"/>
      <c r="L813" s="279"/>
      <c r="M813" s="294"/>
      <c r="N813" s="294"/>
      <c r="O813" s="307"/>
      <c r="P813" s="307"/>
      <c r="Q813" s="307"/>
      <c r="R813" s="307"/>
      <c r="S813" s="307"/>
      <c r="T813" s="307"/>
      <c r="U813" s="307"/>
      <c r="V813" s="307"/>
      <c r="W813" s="307"/>
      <c r="X813" s="307"/>
      <c r="Y813" s="394"/>
      <c r="AB813" s="307"/>
      <c r="AC813" s="307"/>
      <c r="AM813" s="283"/>
      <c r="AN813" s="283"/>
      <c r="AO813" s="283"/>
      <c r="AP813" s="283"/>
      <c r="AQ813" s="283"/>
      <c r="AR813" s="283"/>
      <c r="AS813" s="283"/>
      <c r="AT813" s="283"/>
      <c r="AU813" s="283"/>
      <c r="AV813" s="283"/>
      <c r="AW813" s="283"/>
      <c r="AX813" s="283"/>
      <c r="AY813" s="283"/>
      <c r="AZ813" s="283"/>
      <c r="BA813" s="283"/>
      <c r="BB813" s="283"/>
      <c r="BC813" s="283"/>
      <c r="BD813" s="283"/>
      <c r="BE813" s="283"/>
      <c r="BF813" s="283"/>
    </row>
    <row r="814" spans="1:58" x14ac:dyDescent="0.3">
      <c r="A814" s="283"/>
      <c r="B814" s="283"/>
      <c r="C814" s="283"/>
      <c r="D814" s="283"/>
      <c r="E814" s="283"/>
      <c r="F814" s="283"/>
      <c r="G814" s="283"/>
      <c r="H814" s="283"/>
      <c r="I814" s="283"/>
      <c r="J814" s="283"/>
      <c r="K814" s="283"/>
      <c r="L814" s="279"/>
      <c r="M814" s="294"/>
      <c r="N814" s="294"/>
      <c r="O814" s="283"/>
      <c r="P814" s="283"/>
      <c r="Q814" s="283"/>
      <c r="R814" s="283"/>
      <c r="S814" s="283"/>
      <c r="T814" s="283"/>
      <c r="U814" s="283"/>
      <c r="V814" s="283"/>
      <c r="W814" s="283"/>
      <c r="X814" s="283"/>
      <c r="Y814" s="394"/>
      <c r="Z814" s="283"/>
      <c r="AA814" s="283"/>
      <c r="AB814" s="283"/>
      <c r="AC814" s="283"/>
      <c r="AD814" s="283"/>
      <c r="AE814" s="283"/>
      <c r="AF814" s="283"/>
      <c r="AG814" s="283"/>
      <c r="AH814" s="283"/>
      <c r="AI814" s="283"/>
      <c r="AJ814" s="283"/>
      <c r="AK814" s="283"/>
      <c r="AL814" s="283"/>
      <c r="AM814" s="283"/>
      <c r="AN814" s="283"/>
      <c r="AO814" s="283"/>
      <c r="AP814" s="283"/>
      <c r="AQ814" s="283"/>
      <c r="AR814" s="283"/>
      <c r="AS814" s="283"/>
      <c r="AT814" s="283"/>
      <c r="AU814" s="283"/>
      <c r="AV814" s="283"/>
      <c r="AW814" s="283"/>
      <c r="AX814" s="283"/>
      <c r="AY814" s="283"/>
      <c r="AZ814" s="283"/>
      <c r="BA814" s="283"/>
      <c r="BB814" s="283"/>
      <c r="BC814" s="283"/>
      <c r="BD814" s="283"/>
      <c r="BE814" s="283"/>
      <c r="BF814" s="283"/>
    </row>
    <row r="815" spans="1:58" s="123" customFormat="1" x14ac:dyDescent="0.3">
      <c r="A815" s="250"/>
      <c r="B815" s="250"/>
      <c r="C815" s="250"/>
      <c r="D815" s="250"/>
      <c r="E815" s="250"/>
      <c r="F815" s="250"/>
      <c r="G815" s="250"/>
      <c r="H815" s="250"/>
      <c r="I815" s="250"/>
      <c r="J815" s="250"/>
      <c r="K815" s="250"/>
      <c r="L815" s="251" t="s">
        <v>1161</v>
      </c>
      <c r="M815" s="251"/>
      <c r="N815" s="251" t="s">
        <v>59</v>
      </c>
      <c r="O815" s="252"/>
      <c r="P815" s="252"/>
      <c r="Q815" s="252"/>
      <c r="R815" s="252"/>
      <c r="S815" s="252"/>
      <c r="T815" s="252"/>
      <c r="U815" s="252"/>
      <c r="V815" s="252"/>
      <c r="W815" s="252"/>
      <c r="X815" s="252"/>
      <c r="Y815" s="394"/>
      <c r="Z815" s="252"/>
      <c r="AA815" s="252"/>
      <c r="AB815" s="252"/>
      <c r="AC815" s="252"/>
      <c r="AD815" s="250"/>
      <c r="AE815" s="250"/>
      <c r="AF815" s="250"/>
      <c r="AG815" s="250"/>
      <c r="AH815" s="250"/>
      <c r="AI815" s="250"/>
      <c r="AJ815" s="250"/>
      <c r="AK815" s="250"/>
      <c r="AL815" s="250"/>
      <c r="AM815" s="250"/>
      <c r="AN815" s="250"/>
      <c r="AO815" s="250"/>
      <c r="AP815" s="250"/>
      <c r="AQ815" s="250"/>
      <c r="AR815" s="250"/>
      <c r="AS815" s="250"/>
      <c r="AT815" s="250"/>
      <c r="AU815" s="250"/>
      <c r="AV815" s="250"/>
      <c r="AW815" s="250"/>
      <c r="AX815" s="250"/>
      <c r="AY815" s="250"/>
      <c r="AZ815" s="250"/>
      <c r="BA815" s="250"/>
      <c r="BB815" s="250"/>
      <c r="BC815" s="250"/>
      <c r="BD815" s="250"/>
      <c r="BE815" s="250"/>
      <c r="BF815" s="250"/>
    </row>
    <row r="816" spans="1:58" x14ac:dyDescent="0.3">
      <c r="A816" s="183"/>
      <c r="B816" s="183"/>
      <c r="C816" s="183"/>
      <c r="D816" s="183"/>
      <c r="E816" s="183"/>
      <c r="F816" s="183"/>
      <c r="G816" s="183"/>
      <c r="H816" s="183"/>
      <c r="I816" s="183"/>
      <c r="J816" s="183"/>
      <c r="K816" s="183"/>
      <c r="L816" s="250"/>
      <c r="M816" s="272" t="s">
        <v>922</v>
      </c>
      <c r="N816" s="273"/>
      <c r="O816" s="274"/>
      <c r="P816" s="274"/>
      <c r="Q816" s="274"/>
      <c r="R816" s="274"/>
      <c r="S816" s="274"/>
      <c r="T816" s="274"/>
      <c r="U816" s="274"/>
      <c r="V816" s="274"/>
      <c r="W816" s="274"/>
      <c r="X816" s="274"/>
      <c r="Y816" s="394"/>
      <c r="Z816" s="275"/>
      <c r="AA816" s="275"/>
      <c r="AB816" s="274"/>
      <c r="AC816" s="274"/>
      <c r="AD816" s="271"/>
      <c r="AE816" s="271"/>
      <c r="AF816" s="271"/>
      <c r="AG816" s="271"/>
      <c r="AH816" s="271"/>
      <c r="AI816" s="271"/>
      <c r="AJ816" s="271"/>
      <c r="AK816" s="271"/>
      <c r="AL816" s="271"/>
      <c r="AM816" s="271"/>
      <c r="AN816" s="271"/>
      <c r="AO816" s="271"/>
      <c r="AP816" s="271"/>
      <c r="AQ816" s="271"/>
      <c r="AR816" s="271"/>
      <c r="AS816" s="271"/>
      <c r="AT816" s="271"/>
      <c r="AU816" s="271"/>
      <c r="AV816" s="271"/>
      <c r="AW816" s="271"/>
      <c r="AX816" s="271"/>
      <c r="AY816" s="271"/>
      <c r="AZ816" s="271"/>
      <c r="BA816" s="271"/>
      <c r="BB816" s="271"/>
      <c r="BC816" s="271"/>
      <c r="BD816" s="271"/>
      <c r="BE816" s="271"/>
      <c r="BF816" s="271"/>
    </row>
    <row r="817" spans="1:58" ht="47.1" customHeight="1" x14ac:dyDescent="0.3">
      <c r="A817" s="183"/>
      <c r="B817" s="183"/>
      <c r="C817" s="183"/>
      <c r="D817" s="183"/>
      <c r="E817" s="183"/>
      <c r="F817" s="183"/>
      <c r="G817" s="183"/>
      <c r="H817" s="183"/>
      <c r="I817" s="183"/>
      <c r="J817" s="183"/>
      <c r="K817" s="183"/>
      <c r="L817" s="250"/>
      <c r="M817" s="324" t="s">
        <v>1133</v>
      </c>
      <c r="N817" s="325"/>
      <c r="O817" s="276"/>
      <c r="P817" s="276"/>
      <c r="Q817" s="276"/>
      <c r="R817" s="276"/>
      <c r="S817" s="276"/>
      <c r="T817" s="276"/>
      <c r="U817" s="276"/>
      <c r="V817" s="276"/>
      <c r="W817" s="276"/>
      <c r="X817" s="276"/>
      <c r="Y817" s="394"/>
      <c r="Z817" s="2123" t="s">
        <v>1134</v>
      </c>
      <c r="AA817" s="2131"/>
      <c r="AB817" s="443">
        <f>AB825+AB835+AB840+AB845</f>
        <v>22650000</v>
      </c>
      <c r="AC817" s="444">
        <f>AC825+AC835+AC840+AC845</f>
        <v>22805000</v>
      </c>
      <c r="AD817" s="444">
        <f>AD825+AD835+AD840+AD845</f>
        <v>23080039.263761371</v>
      </c>
      <c r="AE817" s="444">
        <f t="shared" ref="AE817:BF821" si="1065">AE825+AE835+AE840+AE845</f>
        <v>23361080.483491551</v>
      </c>
      <c r="AF817" s="444">
        <f t="shared" si="1065"/>
        <v>23648226.965187922</v>
      </c>
      <c r="AG817" s="444">
        <f t="shared" si="1065"/>
        <v>23941584.07762308</v>
      </c>
      <c r="AH817" s="444">
        <f t="shared" si="1065"/>
        <v>24241259.291661214</v>
      </c>
      <c r="AI817" s="444">
        <f t="shared" si="1065"/>
        <v>24544418.217079852</v>
      </c>
      <c r="AJ817" s="444">
        <f t="shared" si="1065"/>
        <v>24853767.86382769</v>
      </c>
      <c r="AK817" s="444">
        <f t="shared" si="1065"/>
        <v>25169415.696570367</v>
      </c>
      <c r="AL817" s="444">
        <f t="shared" si="1065"/>
        <v>25491471.270809282</v>
      </c>
      <c r="AM817" s="444">
        <f t="shared" si="1065"/>
        <v>25820046.272806525</v>
      </c>
      <c r="AN817" s="444">
        <f t="shared" si="1065"/>
        <v>26155254.560296848</v>
      </c>
      <c r="AO817" s="444">
        <f t="shared" si="1065"/>
        <v>26497212.204002235</v>
      </c>
      <c r="AP817" s="444">
        <f t="shared" si="1065"/>
        <v>26846037.529965013</v>
      </c>
      <c r="AQ817" s="444">
        <f t="shared" si="1065"/>
        <v>27201851.162715577</v>
      </c>
      <c r="AR817" s="444">
        <f t="shared" si="1065"/>
        <v>27564776.069291346</v>
      </c>
      <c r="AS817" s="444">
        <f t="shared" si="1065"/>
        <v>27934937.604123756</v>
      </c>
      <c r="AT817" s="444">
        <f t="shared" si="1065"/>
        <v>28312463.55481042</v>
      </c>
      <c r="AU817" s="444">
        <f t="shared" si="1065"/>
        <v>28697484.188790057</v>
      </c>
      <c r="AV817" s="444">
        <f t="shared" si="1065"/>
        <v>29090132.300938006</v>
      </c>
      <c r="AW817" s="444">
        <f t="shared" si="1065"/>
        <v>29490543.262100585</v>
      </c>
      <c r="AX817" s="444">
        <f t="shared" si="1065"/>
        <v>29898855.068586871</v>
      </c>
      <c r="AY817" s="444">
        <f t="shared" si="1065"/>
        <v>30315208.392636877</v>
      </c>
      <c r="AZ817" s="444">
        <f t="shared" si="1065"/>
        <v>30739746.63388548</v>
      </c>
      <c r="BA817" s="444">
        <f t="shared" si="1065"/>
        <v>31172615.971841786</v>
      </c>
      <c r="BB817" s="444">
        <f t="shared" si="1065"/>
        <v>31613965.419404179</v>
      </c>
      <c r="BC817" s="444">
        <f t="shared" si="1065"/>
        <v>32063946.877431422</v>
      </c>
      <c r="BD817" s="444">
        <f t="shared" si="1065"/>
        <v>32522715.19039087</v>
      </c>
      <c r="BE817" s="444">
        <f t="shared" si="1065"/>
        <v>32990428.20310514</v>
      </c>
      <c r="BF817" s="444">
        <f t="shared" si="1065"/>
        <v>33467246.818618979</v>
      </c>
    </row>
    <row r="818" spans="1:58" x14ac:dyDescent="0.3">
      <c r="A818" s="183"/>
      <c r="B818" s="183"/>
      <c r="C818" s="183"/>
      <c r="D818" s="183"/>
      <c r="E818" s="183"/>
      <c r="F818" s="183"/>
      <c r="G818" s="183"/>
      <c r="H818" s="183"/>
      <c r="I818" s="183"/>
      <c r="J818" s="183"/>
      <c r="K818" s="183"/>
      <c r="L818" s="250"/>
      <c r="M818" s="328" t="s">
        <v>1162</v>
      </c>
      <c r="N818" s="325"/>
      <c r="O818" s="276"/>
      <c r="P818" s="276"/>
      <c r="Q818" s="276"/>
      <c r="R818" s="276"/>
      <c r="S818" s="276"/>
      <c r="T818" s="276"/>
      <c r="U818" s="276"/>
      <c r="V818" s="276"/>
      <c r="W818" s="276"/>
      <c r="X818" s="276"/>
      <c r="Y818" s="394"/>
      <c r="Z818" s="941"/>
      <c r="AA818" s="941"/>
      <c r="AB818" s="447">
        <f t="shared" ref="AB818:AC818" si="1066">AB826+AB836+AB841+AB846</f>
        <v>5800000</v>
      </c>
      <c r="AC818" s="447">
        <f t="shared" si="1066"/>
        <v>5855000</v>
      </c>
      <c r="AD818" s="447">
        <f t="shared" ref="AD818:AS821" si="1067">AD826+AD836+AD841+AD846</f>
        <v>5943974.1673783092</v>
      </c>
      <c r="AE818" s="447">
        <f t="shared" si="1067"/>
        <v>6035081.8638007473</v>
      </c>
      <c r="AF818" s="447">
        <f t="shared" si="1067"/>
        <v>6128365.5210317643</v>
      </c>
      <c r="AG818" s="447">
        <f t="shared" si="1067"/>
        <v>6223868.4765065359</v>
      </c>
      <c r="AH818" s="447">
        <f t="shared" si="1067"/>
        <v>6321634.9921344332</v>
      </c>
      <c r="AI818" s="447">
        <f t="shared" si="1067"/>
        <v>6421710.2734971019</v>
      </c>
      <c r="AJ818" s="447">
        <f t="shared" si="1067"/>
        <v>6524140.4894493511</v>
      </c>
      <c r="AK818" s="447">
        <f t="shared" si="1067"/>
        <v>6628972.792131329</v>
      </c>
      <c r="AL818" s="447">
        <f t="shared" si="1067"/>
        <v>6736255.3374005165</v>
      </c>
      <c r="AM818" s="447">
        <f t="shared" si="1067"/>
        <v>6846037.3056923691</v>
      </c>
      <c r="AN818" s="447">
        <f t="shared" si="1067"/>
        <v>6958368.9233185295</v>
      </c>
      <c r="AO818" s="447">
        <f t="shared" si="1067"/>
        <v>7073301.4842117773</v>
      </c>
      <c r="AP818" s="447">
        <f t="shared" si="1067"/>
        <v>7190887.3721270375</v>
      </c>
      <c r="AQ818" s="447">
        <f t="shared" si="1067"/>
        <v>7311180.0833079983</v>
      </c>
      <c r="AR818" s="447">
        <f t="shared" si="1067"/>
        <v>7434234.2496290524</v>
      </c>
      <c r="AS818" s="447">
        <f t="shared" si="1067"/>
        <v>7560105.6622225102</v>
      </c>
      <c r="AT818" s="447">
        <f t="shared" si="1065"/>
        <v>7688851.2956012329</v>
      </c>
      <c r="AU818" s="447">
        <f t="shared" si="1065"/>
        <v>7820529.3322870173</v>
      </c>
      <c r="AV818" s="447">
        <f t="shared" si="1065"/>
        <v>7955199.1879553422</v>
      </c>
      <c r="AW818" s="447">
        <f t="shared" si="1065"/>
        <v>8092921.5371072358</v>
      </c>
      <c r="AX818" s="447">
        <f t="shared" si="1065"/>
        <v>8233758.3392793136</v>
      </c>
      <c r="AY818" s="447">
        <f t="shared" si="1065"/>
        <v>8377772.8658032119</v>
      </c>
      <c r="AZ818" s="447">
        <f t="shared" si="1065"/>
        <v>8525029.7271259241</v>
      </c>
      <c r="BA818" s="447">
        <f t="shared" si="1065"/>
        <v>8675594.9007027522</v>
      </c>
      <c r="BB818" s="447">
        <f t="shared" si="1065"/>
        <v>8829535.7594748661</v>
      </c>
      <c r="BC818" s="447">
        <f t="shared" si="1065"/>
        <v>8986921.1009436529</v>
      </c>
      <c r="BD818" s="447">
        <f t="shared" si="1065"/>
        <v>9147821.1768543925</v>
      </c>
      <c r="BE818" s="447">
        <f t="shared" si="1065"/>
        <v>9312307.7235019431</v>
      </c>
      <c r="BF818" s="447">
        <f t="shared" si="1065"/>
        <v>9480453.992671486</v>
      </c>
    </row>
    <row r="819" spans="1:58" x14ac:dyDescent="0.3">
      <c r="A819" s="183"/>
      <c r="B819" s="183"/>
      <c r="C819" s="183"/>
      <c r="D819" s="183"/>
      <c r="E819" s="183"/>
      <c r="F819" s="183"/>
      <c r="G819" s="183"/>
      <c r="H819" s="183"/>
      <c r="I819" s="183"/>
      <c r="J819" s="183"/>
      <c r="K819" s="183"/>
      <c r="L819" s="250"/>
      <c r="M819" s="328" t="s">
        <v>417</v>
      </c>
      <c r="N819" s="325"/>
      <c r="O819" s="276"/>
      <c r="P819" s="276"/>
      <c r="Q819" s="276"/>
      <c r="R819" s="276"/>
      <c r="S819" s="276"/>
      <c r="T819" s="276"/>
      <c r="U819" s="276"/>
      <c r="V819" s="276"/>
      <c r="W819" s="276"/>
      <c r="X819" s="276"/>
      <c r="Y819" s="394"/>
      <c r="Z819" s="941"/>
      <c r="AA819" s="941"/>
      <c r="AB819" s="447">
        <f t="shared" ref="AB819:AC819" si="1068">AB827+AB837+AB842+AB847</f>
        <v>6600000</v>
      </c>
      <c r="AC819" s="447">
        <f t="shared" si="1068"/>
        <v>6645000</v>
      </c>
      <c r="AD819" s="447">
        <f t="shared" si="1067"/>
        <v>6735653.6869826941</v>
      </c>
      <c r="AE819" s="447">
        <f t="shared" si="1065"/>
        <v>6828393.3393008094</v>
      </c>
      <c r="AF819" s="447">
        <f t="shared" si="1065"/>
        <v>6923255.7215214837</v>
      </c>
      <c r="AG819" s="447">
        <f t="shared" si="1065"/>
        <v>7020278.3342851754</v>
      </c>
      <c r="AH819" s="447">
        <f t="shared" si="1065"/>
        <v>7119499.4281406049</v>
      </c>
      <c r="AI819" s="447">
        <f t="shared" si="1065"/>
        <v>7220958.0176478699</v>
      </c>
      <c r="AJ819" s="447">
        <f t="shared" si="1065"/>
        <v>7324693.895754843</v>
      </c>
      <c r="AK819" s="447">
        <f t="shared" si="1065"/>
        <v>7430747.6484520789</v>
      </c>
      <c r="AL819" s="447">
        <f t="shared" si="1065"/>
        <v>7539160.6697115451</v>
      </c>
      <c r="AM819" s="447">
        <f t="shared" si="1065"/>
        <v>7649975.1767145991</v>
      </c>
      <c r="AN819" s="447">
        <f t="shared" si="1065"/>
        <v>7763234.2253747471</v>
      </c>
      <c r="AO819" s="447">
        <f t="shared" si="1065"/>
        <v>7878981.7261607805</v>
      </c>
      <c r="AP819" s="447">
        <f t="shared" si="1065"/>
        <v>7997262.4602260878</v>
      </c>
      <c r="AQ819" s="447">
        <f t="shared" si="1065"/>
        <v>8118122.0958499387</v>
      </c>
      <c r="AR819" s="447">
        <f t="shared" si="1065"/>
        <v>8241607.2051967233</v>
      </c>
      <c r="AS819" s="447">
        <f t="shared" si="1065"/>
        <v>8367765.2813992407</v>
      </c>
      <c r="AT819" s="447">
        <f t="shared" si="1065"/>
        <v>8496644.7559721991</v>
      </c>
      <c r="AU819" s="447">
        <f t="shared" si="1065"/>
        <v>8628295.0165622681</v>
      </c>
      <c r="AV819" s="447">
        <f t="shared" si="1065"/>
        <v>8762766.425041087</v>
      </c>
      <c r="AW819" s="447">
        <f t="shared" si="1065"/>
        <v>8900110.3359478451</v>
      </c>
      <c r="AX819" s="447">
        <f t="shared" si="1065"/>
        <v>9040379.1152880229</v>
      </c>
      <c r="AY819" s="447">
        <f t="shared" si="1065"/>
        <v>9183626.1596952267</v>
      </c>
      <c r="AZ819" s="447">
        <f t="shared" si="1065"/>
        <v>9329905.9159629401</v>
      </c>
      <c r="BA819" s="447">
        <f t="shared" si="1065"/>
        <v>9479273.9009533692</v>
      </c>
      <c r="BB819" s="447">
        <f t="shared" si="1065"/>
        <v>9631786.7218905315</v>
      </c>
      <c r="BC819" s="447">
        <f t="shared" si="1065"/>
        <v>9787502.0970449634</v>
      </c>
      <c r="BD819" s="447">
        <f t="shared" si="1065"/>
        <v>9946478.8768175319</v>
      </c>
      <c r="BE819" s="447">
        <f t="shared" si="1065"/>
        <v>10108777.06523001</v>
      </c>
      <c r="BF819" s="447">
        <f t="shared" si="1065"/>
        <v>10274457.841830164</v>
      </c>
    </row>
    <row r="820" spans="1:58" x14ac:dyDescent="0.3">
      <c r="A820" s="183"/>
      <c r="B820" s="183"/>
      <c r="C820" s="183"/>
      <c r="D820" s="183"/>
      <c r="E820" s="183"/>
      <c r="F820" s="183"/>
      <c r="G820" s="183"/>
      <c r="H820" s="183"/>
      <c r="I820" s="183"/>
      <c r="J820" s="183"/>
      <c r="K820" s="183"/>
      <c r="L820" s="250"/>
      <c r="M820" s="328" t="s">
        <v>1163</v>
      </c>
      <c r="N820" s="325"/>
      <c r="O820" s="276"/>
      <c r="P820" s="276"/>
      <c r="Q820" s="276"/>
      <c r="R820" s="276"/>
      <c r="S820" s="276"/>
      <c r="T820" s="276"/>
      <c r="U820" s="276"/>
      <c r="V820" s="276"/>
      <c r="W820" s="276"/>
      <c r="X820" s="276"/>
      <c r="Y820" s="394"/>
      <c r="Z820" s="941"/>
      <c r="AA820" s="941"/>
      <c r="AB820" s="447">
        <f t="shared" ref="AB820:AC820" si="1069">AB828+AB838+AB843+AB848</f>
        <v>4250000</v>
      </c>
      <c r="AC820" s="447">
        <f t="shared" si="1069"/>
        <v>4275000</v>
      </c>
      <c r="AD820" s="447">
        <f t="shared" si="1067"/>
        <v>4316199.1374269007</v>
      </c>
      <c r="AE820" s="447">
        <f t="shared" si="1065"/>
        <v>4358499.0426456006</v>
      </c>
      <c r="AF820" s="447">
        <f t="shared" si="1065"/>
        <v>4401916.0854733055</v>
      </c>
      <c r="AG820" s="447">
        <f t="shared" si="1065"/>
        <v>4446466.9663333464</v>
      </c>
      <c r="AH820" s="447">
        <f t="shared" si="1065"/>
        <v>4492168.7218853561</v>
      </c>
      <c r="AI820" s="447">
        <f t="shared" si="1065"/>
        <v>4536094.7274858532</v>
      </c>
      <c r="AJ820" s="447">
        <f t="shared" si="1065"/>
        <v>4580857.9233965017</v>
      </c>
      <c r="AK820" s="447">
        <f t="shared" si="1065"/>
        <v>4626469.8335780622</v>
      </c>
      <c r="AL820" s="447">
        <f t="shared" si="1065"/>
        <v>4672942.165341164</v>
      </c>
      <c r="AM820" s="447">
        <f t="shared" si="1065"/>
        <v>4720286.8120725276</v>
      </c>
      <c r="AN820" s="447">
        <f t="shared" si="1065"/>
        <v>4768515.8560030013</v>
      </c>
      <c r="AO820" s="447">
        <f t="shared" si="1065"/>
        <v>4817641.5710180327</v>
      </c>
      <c r="AP820" s="447">
        <f t="shared" si="1065"/>
        <v>4867676.4255112354</v>
      </c>
      <c r="AQ820" s="447">
        <f t="shared" si="1065"/>
        <v>4918633.0852816897</v>
      </c>
      <c r="AR820" s="447">
        <f t="shared" si="1065"/>
        <v>4970524.4164756406</v>
      </c>
      <c r="AS820" s="447">
        <f t="shared" si="1065"/>
        <v>5023363.488573269</v>
      </c>
      <c r="AT820" s="447">
        <f t="shared" si="1065"/>
        <v>5077163.5774212126</v>
      </c>
      <c r="AU820" s="447">
        <f t="shared" si="1065"/>
        <v>5131938.1683115298</v>
      </c>
      <c r="AV820" s="447">
        <f t="shared" si="1065"/>
        <v>5187700.9591078144</v>
      </c>
      <c r="AW820" s="447">
        <f t="shared" si="1065"/>
        <v>5244465.8634191658</v>
      </c>
      <c r="AX820" s="447">
        <f t="shared" si="1065"/>
        <v>5302247.0138227493</v>
      </c>
      <c r="AY820" s="447">
        <f t="shared" si="1065"/>
        <v>5361058.7651356654</v>
      </c>
      <c r="AZ820" s="447">
        <f t="shared" si="1065"/>
        <v>5420915.6977369003</v>
      </c>
      <c r="BA820" s="447">
        <f t="shared" si="1065"/>
        <v>5481832.6209400827</v>
      </c>
      <c r="BB820" s="447">
        <f t="shared" si="1065"/>
        <v>5543824.5764178485</v>
      </c>
      <c r="BC820" s="447">
        <f t="shared" si="1065"/>
        <v>5606906.8416785663</v>
      </c>
      <c r="BD820" s="447">
        <f t="shared" si="1065"/>
        <v>5671094.9335962413</v>
      </c>
      <c r="BE820" s="447">
        <f t="shared" si="1065"/>
        <v>5736404.6119943829</v>
      </c>
      <c r="BF820" s="447">
        <f t="shared" si="1065"/>
        <v>5802851.8832846601</v>
      </c>
    </row>
    <row r="821" spans="1:58" x14ac:dyDescent="0.3">
      <c r="A821" s="183"/>
      <c r="B821" s="183"/>
      <c r="C821" s="183"/>
      <c r="D821" s="183"/>
      <c r="E821" s="183"/>
      <c r="F821" s="183"/>
      <c r="G821" s="183"/>
      <c r="H821" s="183"/>
      <c r="I821" s="183"/>
      <c r="J821" s="183"/>
      <c r="K821" s="183"/>
      <c r="L821" s="250"/>
      <c r="M821" s="328" t="s">
        <v>1164</v>
      </c>
      <c r="N821" s="325"/>
      <c r="O821" s="276"/>
      <c r="P821" s="276"/>
      <c r="Q821" s="276"/>
      <c r="R821" s="276"/>
      <c r="S821" s="276"/>
      <c r="T821" s="276"/>
      <c r="U821" s="276"/>
      <c r="V821" s="276"/>
      <c r="W821" s="276"/>
      <c r="X821" s="276"/>
      <c r="Y821" s="394"/>
      <c r="Z821" s="941"/>
      <c r="AA821" s="941"/>
      <c r="AB821" s="447">
        <f t="shared" ref="AB821:AC821" si="1070">AB829+AB839+AB844+AB849</f>
        <v>6000000</v>
      </c>
      <c r="AC821" s="447">
        <f t="shared" si="1070"/>
        <v>6030000</v>
      </c>
      <c r="AD821" s="447">
        <f t="shared" si="1067"/>
        <v>6084212.2719734665</v>
      </c>
      <c r="AE821" s="447">
        <f t="shared" si="1065"/>
        <v>6139106.2377443919</v>
      </c>
      <c r="AF821" s="447">
        <f t="shared" si="1065"/>
        <v>6194689.6371613676</v>
      </c>
      <c r="AG821" s="447">
        <f t="shared" si="1065"/>
        <v>6250970.3004980227</v>
      </c>
      <c r="AH821" s="447">
        <f t="shared" si="1065"/>
        <v>6307956.1495008189</v>
      </c>
      <c r="AI821" s="447">
        <f t="shared" si="1065"/>
        <v>6365655.1984490259</v>
      </c>
      <c r="AJ821" s="447">
        <f t="shared" si="1065"/>
        <v>6424075.5552269937</v>
      </c>
      <c r="AK821" s="447">
        <f t="shared" si="1065"/>
        <v>6483225.4224088965</v>
      </c>
      <c r="AL821" s="447">
        <f t="shared" si="1065"/>
        <v>6543113.098356057</v>
      </c>
      <c r="AM821" s="447">
        <f t="shared" si="1065"/>
        <v>6603746.9783270275</v>
      </c>
      <c r="AN821" s="447">
        <f t="shared" si="1065"/>
        <v>6665135.5556005677</v>
      </c>
      <c r="AO821" s="447">
        <f t="shared" si="1065"/>
        <v>6727287.4226116464</v>
      </c>
      <c r="AP821" s="447">
        <f t="shared" si="1065"/>
        <v>6790211.2721006516</v>
      </c>
      <c r="AQ821" s="447">
        <f t="shared" si="1065"/>
        <v>6853915.8982759491</v>
      </c>
      <c r="AR821" s="447">
        <f t="shared" si="1065"/>
        <v>6918410.1979899323</v>
      </c>
      <c r="AS821" s="447">
        <f t="shared" si="1065"/>
        <v>6983703.1719287373</v>
      </c>
      <c r="AT821" s="447">
        <f t="shared" si="1065"/>
        <v>7049803.925815776</v>
      </c>
      <c r="AU821" s="447">
        <f t="shared" si="1065"/>
        <v>7116721.6716292435</v>
      </c>
      <c r="AV821" s="447">
        <f t="shared" si="1065"/>
        <v>7184465.7288337629</v>
      </c>
      <c r="AW821" s="447">
        <f t="shared" si="1065"/>
        <v>7253045.5256263409</v>
      </c>
      <c r="AX821" s="447">
        <f t="shared" si="1065"/>
        <v>7322470.6001967881</v>
      </c>
      <c r="AY821" s="447">
        <f t="shared" si="1065"/>
        <v>7392750.6020027772</v>
      </c>
      <c r="AZ821" s="447">
        <f t="shared" si="1065"/>
        <v>7463895.293059716</v>
      </c>
      <c r="BA821" s="447">
        <f t="shared" si="1065"/>
        <v>7535914.549245581</v>
      </c>
      <c r="BB821" s="447">
        <f t="shared" si="1065"/>
        <v>7608818.3616209356</v>
      </c>
      <c r="BC821" s="447">
        <f t="shared" si="1065"/>
        <v>7682616.8377642408</v>
      </c>
      <c r="BD821" s="447">
        <f t="shared" si="1065"/>
        <v>7757320.2031227052</v>
      </c>
      <c r="BE821" s="447">
        <f t="shared" si="1065"/>
        <v>7832938.8023788035</v>
      </c>
      <c r="BF821" s="447">
        <f t="shared" si="1065"/>
        <v>7909483.1008326672</v>
      </c>
    </row>
    <row r="822" spans="1:58" x14ac:dyDescent="0.3">
      <c r="A822" s="183"/>
      <c r="B822" s="183"/>
      <c r="C822" s="183"/>
      <c r="D822" s="183"/>
      <c r="E822" s="183"/>
      <c r="F822" s="183"/>
      <c r="G822" s="183"/>
      <c r="H822" s="183"/>
      <c r="I822" s="183"/>
      <c r="J822" s="183"/>
      <c r="K822" s="183"/>
      <c r="L822" s="250"/>
      <c r="M822" s="324"/>
      <c r="N822" s="325"/>
      <c r="O822" s="276"/>
      <c r="P822" s="276"/>
      <c r="Q822" s="276"/>
      <c r="R822" s="276"/>
      <c r="S822" s="276"/>
      <c r="T822" s="276"/>
      <c r="U822" s="276"/>
      <c r="V822" s="276"/>
      <c r="W822" s="276"/>
      <c r="X822" s="276"/>
      <c r="Y822" s="394"/>
      <c r="Z822" s="941"/>
      <c r="AA822" s="945" t="s">
        <v>1135</v>
      </c>
      <c r="AB822" s="443"/>
      <c r="AC822" s="444"/>
      <c r="AD822" s="947">
        <f t="shared" ref="AD822:BF822" si="1071">(AD817-AC817)/AC817</f>
        <v>1.2060480761296706E-2</v>
      </c>
      <c r="AE822" s="946">
        <f t="shared" si="1071"/>
        <v>1.2176808562516208E-2</v>
      </c>
      <c r="AF822" s="946">
        <f t="shared" si="1071"/>
        <v>1.2291660991420634E-2</v>
      </c>
      <c r="AG822" s="946">
        <f t="shared" si="1071"/>
        <v>1.2405036236627948E-2</v>
      </c>
      <c r="AH822" s="946">
        <f t="shared" si="1071"/>
        <v>1.2516933427066926E-2</v>
      </c>
      <c r="AI822" s="946">
        <f t="shared" si="1071"/>
        <v>1.2505906635094727E-2</v>
      </c>
      <c r="AJ822" s="946">
        <f t="shared" si="1071"/>
        <v>1.2603665893069323E-2</v>
      </c>
      <c r="AK822" s="946">
        <f t="shared" si="1071"/>
        <v>1.2700200407121035E-2</v>
      </c>
      <c r="AL822" s="946">
        <f t="shared" si="1071"/>
        <v>1.2795512542740471E-2</v>
      </c>
      <c r="AM822" s="946">
        <f t="shared" si="1071"/>
        <v>1.2889605252934163E-2</v>
      </c>
      <c r="AN822" s="946">
        <f t="shared" si="1071"/>
        <v>1.298248205865386E-2</v>
      </c>
      <c r="AO822" s="946">
        <f t="shared" si="1071"/>
        <v>1.3074147029120164E-2</v>
      </c>
      <c r="AP822" s="946">
        <f t="shared" si="1071"/>
        <v>1.3164604762084758E-2</v>
      </c>
      <c r="AQ822" s="946">
        <f t="shared" si="1071"/>
        <v>1.3253860364063457E-2</v>
      </c>
      <c r="AR822" s="946">
        <f t="shared" si="1071"/>
        <v>1.334191943058695E-2</v>
      </c>
      <c r="AS822" s="946">
        <f t="shared" si="1071"/>
        <v>1.3428788026498446E-2</v>
      </c>
      <c r="AT822" s="946">
        <f t="shared" si="1071"/>
        <v>1.3514472666333538E-2</v>
      </c>
      <c r="AU822" s="946">
        <f t="shared" si="1071"/>
        <v>1.3598980294818618E-2</v>
      </c>
      <c r="AV822" s="946">
        <f t="shared" si="1071"/>
        <v>1.3682318267513068E-2</v>
      </c>
      <c r="AW822" s="946">
        <f t="shared" si="1071"/>
        <v>1.3764494331628293E-2</v>
      </c>
      <c r="AX822" s="946">
        <f t="shared" si="1071"/>
        <v>1.3845516607048173E-2</v>
      </c>
      <c r="AY822" s="946">
        <f t="shared" si="1071"/>
        <v>1.3925393567576629E-2</v>
      </c>
      <c r="AZ822" s="946">
        <f t="shared" si="1071"/>
        <v>1.4004134022437335E-2</v>
      </c>
      <c r="BA822" s="946">
        <f t="shared" si="1071"/>
        <v>1.4081747098043379E-2</v>
      </c>
      <c r="BB822" s="946">
        <f t="shared" si="1071"/>
        <v>1.4158242220064675E-2</v>
      </c>
      <c r="BC822" s="946">
        <f t="shared" si="1071"/>
        <v>1.4233629095799913E-2</v>
      </c>
      <c r="BD822" s="946">
        <f t="shared" si="1071"/>
        <v>1.4307917696880819E-2</v>
      </c>
      <c r="BE822" s="946">
        <f t="shared" si="1071"/>
        <v>1.4381118242318849E-2</v>
      </c>
      <c r="BF822" s="946">
        <f t="shared" si="1071"/>
        <v>1.4453241181906195E-2</v>
      </c>
    </row>
    <row r="823" spans="1:58" x14ac:dyDescent="0.3">
      <c r="A823" s="183"/>
      <c r="B823" s="183"/>
      <c r="C823" s="183"/>
      <c r="D823" s="183"/>
      <c r="E823" s="183"/>
      <c r="F823" s="183"/>
      <c r="G823" s="183"/>
      <c r="H823" s="183"/>
      <c r="I823" s="183"/>
      <c r="J823" s="183"/>
      <c r="K823" s="183"/>
      <c r="L823" s="250"/>
      <c r="M823" s="324"/>
      <c r="N823" s="325"/>
      <c r="O823" s="276"/>
      <c r="P823" s="276"/>
      <c r="Q823" s="276"/>
      <c r="R823" s="276"/>
      <c r="S823" s="276"/>
      <c r="T823" s="276"/>
      <c r="U823" s="276"/>
      <c r="V823" s="276"/>
      <c r="W823" s="276"/>
      <c r="X823" s="276"/>
      <c r="Y823" s="394"/>
      <c r="Z823" s="941"/>
      <c r="AA823" s="945" t="s">
        <v>1136</v>
      </c>
      <c r="AB823" s="443"/>
      <c r="AC823" s="444"/>
      <c r="AD823" s="948">
        <f>((AD836/AD835)*$Z$836)+((AD837/AD835)*$Z$837)+((AD838/AD835)*$Z$838)+((AD839/AD835)*$Z$839)</f>
        <v>8.4591923089133401E-3</v>
      </c>
      <c r="AE823" s="948">
        <f t="shared" ref="AE823:AH823" si="1072">((AE836/AE835)*$Z$836)+((AE837/AE835)*$Z$837)+((AE838/AE835)*$Z$838)+((AE839/AE835)*$Z$839)</f>
        <v>8.4596007320601515E-3</v>
      </c>
      <c r="AF823" s="948">
        <f t="shared" si="1072"/>
        <v>8.4601300624523278E-3</v>
      </c>
      <c r="AG823" s="948">
        <f t="shared" si="1072"/>
        <v>8.4607220695735799E-3</v>
      </c>
      <c r="AH823" s="948">
        <f t="shared" si="1072"/>
        <v>8.4613571308185601E-3</v>
      </c>
      <c r="AI823" s="949">
        <f>((AI836/AI835)*$AA$836)+((AI837/AI835)*$AA$837)+((AI838/AI835)*$AA$838)+((AI839/AI835)*$AA$839)</f>
        <v>7.7672438585828837E-3</v>
      </c>
      <c r="AJ823" s="949">
        <f t="shared" ref="AJ823:BF823" si="1073">((AJ836/AJ835)*$AA$836)+((AJ837/AJ835)*$AA$837)+((AJ838/AJ835)*$AA$838)+((AJ839/AJ835)*$AA$839)</f>
        <v>7.7750648762098364E-3</v>
      </c>
      <c r="AK823" s="949">
        <f t="shared" si="1073"/>
        <v>7.7816424496494688E-3</v>
      </c>
      <c r="AL823" s="949">
        <f t="shared" si="1073"/>
        <v>7.7873384893931688E-3</v>
      </c>
      <c r="AM823" s="949">
        <f t="shared" si="1073"/>
        <v>7.7923888506824732E-3</v>
      </c>
      <c r="AN823" s="949">
        <f t="shared" si="1073"/>
        <v>7.7969537907640789E-3</v>
      </c>
      <c r="AO823" s="949">
        <f t="shared" si="1073"/>
        <v>7.801145985770073E-3</v>
      </c>
      <c r="AP823" s="949">
        <f t="shared" si="1073"/>
        <v>7.8050469472342714E-3</v>
      </c>
      <c r="AQ823" s="949">
        <f t="shared" si="1073"/>
        <v>7.8087170801618569E-3</v>
      </c>
      <c r="AR823" s="949">
        <f t="shared" si="1073"/>
        <v>7.8122020816471689E-3</v>
      </c>
      <c r="AS823" s="949">
        <f t="shared" si="1073"/>
        <v>7.8155371445736699E-3</v>
      </c>
      <c r="AT823" s="949">
        <f t="shared" si="1073"/>
        <v>7.8187497973098881E-3</v>
      </c>
      <c r="AU823" s="949">
        <f t="shared" si="1073"/>
        <v>7.8218618692700789E-3</v>
      </c>
      <c r="AV823" s="949">
        <f t="shared" si="1073"/>
        <v>7.8248908809560834E-3</v>
      </c>
      <c r="AW823" s="949">
        <f t="shared" si="1073"/>
        <v>7.8278510459372508E-3</v>
      </c>
      <c r="AX823" s="949">
        <f t="shared" si="1073"/>
        <v>7.8307540055472594E-3</v>
      </c>
      <c r="AY823" s="949">
        <f t="shared" si="1073"/>
        <v>7.8336093759447181E-3</v>
      </c>
      <c r="AZ823" s="949">
        <f t="shared" si="1073"/>
        <v>7.8364251611677122E-3</v>
      </c>
      <c r="BA823" s="949">
        <f t="shared" si="1073"/>
        <v>7.8392080689814077E-3</v>
      </c>
      <c r="BB823" s="949">
        <f t="shared" si="1073"/>
        <v>7.8419637552047498E-3</v>
      </c>
      <c r="BC823" s="949">
        <f t="shared" si="1073"/>
        <v>7.8446970147277167E-3</v>
      </c>
      <c r="BD823" s="949">
        <f t="shared" si="1073"/>
        <v>7.8474119323168005E-3</v>
      </c>
      <c r="BE823" s="949">
        <f t="shared" si="1073"/>
        <v>7.8501120027534947E-3</v>
      </c>
      <c r="BF823" s="949">
        <f t="shared" si="1073"/>
        <v>7.8528002273461957E-3</v>
      </c>
    </row>
    <row r="824" spans="1:58" x14ac:dyDescent="0.3">
      <c r="A824" s="183"/>
      <c r="B824" s="183"/>
      <c r="C824" s="183"/>
      <c r="D824" s="183"/>
      <c r="E824" s="183"/>
      <c r="F824" s="183"/>
      <c r="G824" s="183"/>
      <c r="H824" s="183"/>
      <c r="I824" s="183"/>
      <c r="J824" s="183"/>
      <c r="K824" s="183"/>
      <c r="L824" s="250"/>
      <c r="M824" s="324"/>
      <c r="N824" s="325"/>
      <c r="O824" s="276"/>
      <c r="P824" s="276"/>
      <c r="Q824" s="276"/>
      <c r="R824" s="276"/>
      <c r="S824" s="276"/>
      <c r="T824" s="276"/>
      <c r="U824" s="276"/>
      <c r="V824" s="276"/>
      <c r="W824" s="276"/>
      <c r="X824" s="276"/>
      <c r="Y824" s="394"/>
      <c r="Z824" s="941"/>
      <c r="AA824" s="945" t="s">
        <v>1137</v>
      </c>
      <c r="AB824" s="443"/>
      <c r="AC824" s="444"/>
      <c r="AD824" s="946">
        <f>AD822+AD823</f>
        <v>2.0519673070210048E-2</v>
      </c>
      <c r="AE824" s="946">
        <f t="shared" ref="AE824:BF824" si="1074">AE822+AE823</f>
        <v>2.0636409294576358E-2</v>
      </c>
      <c r="AF824" s="946">
        <f t="shared" si="1074"/>
        <v>2.075179105387296E-2</v>
      </c>
      <c r="AG824" s="946">
        <f t="shared" si="1074"/>
        <v>2.0865758306201528E-2</v>
      </c>
      <c r="AH824" s="946">
        <f t="shared" si="1074"/>
        <v>2.0978290557885484E-2</v>
      </c>
      <c r="AI824" s="946">
        <f t="shared" si="1074"/>
        <v>2.0273150493677609E-2</v>
      </c>
      <c r="AJ824" s="946">
        <f t="shared" si="1074"/>
        <v>2.0378730769279159E-2</v>
      </c>
      <c r="AK824" s="946">
        <f t="shared" si="1074"/>
        <v>2.0481842856770502E-2</v>
      </c>
      <c r="AL824" s="946">
        <f t="shared" si="1074"/>
        <v>2.0582851032133639E-2</v>
      </c>
      <c r="AM824" s="946">
        <f t="shared" si="1074"/>
        <v>2.0681994103616638E-2</v>
      </c>
      <c r="AN824" s="946">
        <f t="shared" si="1074"/>
        <v>2.0779435849417938E-2</v>
      </c>
      <c r="AO824" s="946">
        <f t="shared" si="1074"/>
        <v>2.0875293014890238E-2</v>
      </c>
      <c r="AP824" s="946">
        <f t="shared" si="1074"/>
        <v>2.0969651709319029E-2</v>
      </c>
      <c r="AQ824" s="946">
        <f t="shared" si="1074"/>
        <v>2.1062577444225315E-2</v>
      </c>
      <c r="AR824" s="946">
        <f t="shared" si="1074"/>
        <v>2.1154121512234121E-2</v>
      </c>
      <c r="AS824" s="946">
        <f t="shared" si="1074"/>
        <v>2.1244325171072116E-2</v>
      </c>
      <c r="AT824" s="946">
        <f t="shared" si="1074"/>
        <v>2.1333222463643428E-2</v>
      </c>
      <c r="AU824" s="946">
        <f t="shared" si="1074"/>
        <v>2.1420842164088696E-2</v>
      </c>
      <c r="AV824" s="946">
        <f t="shared" si="1074"/>
        <v>2.1507209148469153E-2</v>
      </c>
      <c r="AW824" s="946">
        <f t="shared" si="1074"/>
        <v>2.1592345377565544E-2</v>
      </c>
      <c r="AX824" s="946">
        <f t="shared" si="1074"/>
        <v>2.167627061259543E-2</v>
      </c>
      <c r="AY824" s="946">
        <f t="shared" si="1074"/>
        <v>2.1759002943521347E-2</v>
      </c>
      <c r="AZ824" s="946">
        <f t="shared" si="1074"/>
        <v>2.1840559183605047E-2</v>
      </c>
      <c r="BA824" s="946">
        <f t="shared" si="1074"/>
        <v>2.1920955167024789E-2</v>
      </c>
      <c r="BB824" s="946">
        <f t="shared" si="1074"/>
        <v>2.2000205975269423E-2</v>
      </c>
      <c r="BC824" s="946">
        <f t="shared" si="1074"/>
        <v>2.2078326110527631E-2</v>
      </c>
      <c r="BD824" s="946">
        <f t="shared" si="1074"/>
        <v>2.2155329629197619E-2</v>
      </c>
      <c r="BE824" s="946">
        <f t="shared" si="1074"/>
        <v>2.2231230245072342E-2</v>
      </c>
      <c r="BF824" s="946">
        <f t="shared" si="1074"/>
        <v>2.2306041409252391E-2</v>
      </c>
    </row>
    <row r="825" spans="1:58" x14ac:dyDescent="0.3">
      <c r="A825" s="183"/>
      <c r="B825" s="183"/>
      <c r="C825" s="183"/>
      <c r="D825" s="183"/>
      <c r="E825" s="183"/>
      <c r="F825" s="183"/>
      <c r="G825" s="183"/>
      <c r="H825" s="183"/>
      <c r="I825" s="183"/>
      <c r="J825" s="183"/>
      <c r="K825" s="183"/>
      <c r="L825" s="250"/>
      <c r="M825" s="326" t="s">
        <v>1139</v>
      </c>
      <c r="N825" s="327" t="s">
        <v>1140</v>
      </c>
      <c r="O825" s="277"/>
      <c r="P825" s="277"/>
      <c r="Q825" s="277"/>
      <c r="R825" s="277"/>
      <c r="S825" s="277"/>
      <c r="T825" s="277"/>
      <c r="U825" s="277"/>
      <c r="V825" s="277"/>
      <c r="W825" s="277"/>
      <c r="X825" s="277"/>
      <c r="Y825" s="394"/>
      <c r="Z825" s="265" t="s">
        <v>1141</v>
      </c>
      <c r="AA825" s="265" t="s">
        <v>1142</v>
      </c>
      <c r="AB825" s="445">
        <f>SUM(AB826:AB829)</f>
        <v>16700000</v>
      </c>
      <c r="AC825" s="436">
        <f>SUM(AC826:AC829)</f>
        <v>16457750</v>
      </c>
      <c r="AD825" s="436">
        <f>SUM(AD826:AD829)</f>
        <v>16335539.26376137</v>
      </c>
      <c r="AE825" s="436">
        <f>SUM(AE826:AE829)</f>
        <v>16214355.729952428</v>
      </c>
      <c r="AF825" s="436">
        <f t="shared" ref="AF825:AI825" si="1075">SUM(AF826:AF829)</f>
        <v>16094190.237500707</v>
      </c>
      <c r="AG825" s="436">
        <f t="shared" si="1075"/>
        <v>15975033.709269922</v>
      </c>
      <c r="AH825" s="436">
        <f t="shared" si="1075"/>
        <v>15856877.151280535</v>
      </c>
      <c r="AI825" s="436">
        <f t="shared" si="1075"/>
        <v>15749718.754978029</v>
      </c>
      <c r="AJ825" s="436">
        <f t="shared" ref="AJ825:BF825" si="1076">SUM(AJ826:AJ829)</f>
        <v>15643373.637016471</v>
      </c>
      <c r="AK825" s="436">
        <f t="shared" si="1076"/>
        <v>15537835.208373658</v>
      </c>
      <c r="AL825" s="436">
        <f t="shared" si="1076"/>
        <v>15433096.935357956</v>
      </c>
      <c r="AM825" s="436">
        <f t="shared" si="1076"/>
        <v>15329152.339133628</v>
      </c>
      <c r="AN825" s="436">
        <f t="shared" si="1076"/>
        <v>15225994.995250251</v>
      </c>
      <c r="AO825" s="436">
        <f t="shared" si="1076"/>
        <v>15123618.533176251</v>
      </c>
      <c r="AP825" s="436">
        <f t="shared" si="1076"/>
        <v>15022016.635836497</v>
      </c>
      <c r="AQ825" s="436">
        <f t="shared" si="1076"/>
        <v>14921183.039153913</v>
      </c>
      <c r="AR825" s="436">
        <f t="shared" si="1076"/>
        <v>14821111.531595081</v>
      </c>
      <c r="AS825" s="436">
        <f t="shared" si="1076"/>
        <v>14721795.95371981</v>
      </c>
      <c r="AT825" s="436">
        <f t="shared" si="1076"/>
        <v>14623230.197734602</v>
      </c>
      <c r="AU825" s="436">
        <f t="shared" si="1076"/>
        <v>14525408.207050014</v>
      </c>
      <c r="AV825" s="436">
        <f t="shared" si="1076"/>
        <v>14428323.975841891</v>
      </c>
      <c r="AW825" s="436">
        <f t="shared" si="1076"/>
        <v>14331971.548616372</v>
      </c>
      <c r="AX825" s="436">
        <f t="shared" si="1076"/>
        <v>14236345.019778715</v>
      </c>
      <c r="AY825" s="436">
        <f t="shared" si="1076"/>
        <v>14141438.533205856</v>
      </c>
      <c r="AZ825" s="436">
        <f t="shared" si="1076"/>
        <v>14047246.2818227</v>
      </c>
      <c r="BA825" s="436">
        <f t="shared" si="1076"/>
        <v>13953762.507182062</v>
      </c>
      <c r="BB825" s="436">
        <f t="shared" si="1076"/>
        <v>13860981.499048304</v>
      </c>
      <c r="BC825" s="436">
        <f t="shared" si="1076"/>
        <v>13768897.594984567</v>
      </c>
      <c r="BD825" s="436">
        <f t="shared" si="1076"/>
        <v>13677505.179943576</v>
      </c>
      <c r="BE825" s="436">
        <f t="shared" si="1076"/>
        <v>13586798.685862049</v>
      </c>
      <c r="BF825" s="436">
        <f t="shared" si="1076"/>
        <v>13496772.591258574</v>
      </c>
    </row>
    <row r="826" spans="1:58" x14ac:dyDescent="0.3">
      <c r="A826" s="183"/>
      <c r="B826" s="183"/>
      <c r="C826" s="183"/>
      <c r="D826" s="183"/>
      <c r="E826" s="183"/>
      <c r="F826" s="183"/>
      <c r="G826" s="183"/>
      <c r="H826" s="183"/>
      <c r="I826" s="183"/>
      <c r="J826" s="183"/>
      <c r="K826" s="183"/>
      <c r="L826" s="250"/>
      <c r="M826" s="328" t="s">
        <v>1162</v>
      </c>
      <c r="N826" s="329" t="s">
        <v>1140</v>
      </c>
      <c r="O826" s="262"/>
      <c r="P826" s="262"/>
      <c r="Q826" s="262"/>
      <c r="R826" s="262"/>
      <c r="S826" s="262"/>
      <c r="T826" s="262"/>
      <c r="U826" s="262"/>
      <c r="V826" s="262"/>
      <c r="W826" s="262"/>
      <c r="X826" s="262"/>
      <c r="Y826" s="394"/>
      <c r="Z826" s="448">
        <f>(AC826*(1-Z836))/AC826</f>
        <v>0.99188727583262171</v>
      </c>
      <c r="AA826" s="438">
        <f>Z826</f>
        <v>0.99188727583262171</v>
      </c>
      <c r="AB826" s="446">
        <v>4200000</v>
      </c>
      <c r="AC826" s="447">
        <f>AB826-AB863-AB858</f>
        <v>4132500</v>
      </c>
      <c r="AD826" s="447">
        <f>Z826*AC826</f>
        <v>4098974.1673783092</v>
      </c>
      <c r="AE826" s="447">
        <f>$Z826*AD826</f>
        <v>4065720.3205891601</v>
      </c>
      <c r="AF826" s="447">
        <f t="shared" ref="AF826:AH829" si="1077">$Z826*AE826</f>
        <v>4032736.2530865152</v>
      </c>
      <c r="AG826" s="447">
        <f t="shared" si="1077"/>
        <v>4000019.7762254379</v>
      </c>
      <c r="AH826" s="447">
        <f t="shared" si="1077"/>
        <v>3967568.7191168629</v>
      </c>
      <c r="AI826" s="522">
        <f t="shared" ref="AI826:AX828" si="1078">$AA826*AH826</f>
        <v>3935380.9284835495</v>
      </c>
      <c r="AJ826" s="522">
        <f t="shared" si="1078"/>
        <v>3903454.2685172013</v>
      </c>
      <c r="AK826" s="522">
        <f t="shared" si="1078"/>
        <v>3871786.6207367457</v>
      </c>
      <c r="AL826" s="522">
        <f t="shared" si="1078"/>
        <v>3840375.8838477628</v>
      </c>
      <c r="AM826" s="522">
        <f t="shared" si="1078"/>
        <v>3809219.9736030544</v>
      </c>
      <c r="AN826" s="522">
        <f t="shared" si="1078"/>
        <v>3778316.8226643447</v>
      </c>
      <c r="AO826" s="522">
        <f t="shared" si="1078"/>
        <v>3747664.3804651038</v>
      </c>
      <c r="AP826" s="522">
        <f t="shared" si="1078"/>
        <v>3717260.613074482</v>
      </c>
      <c r="AQ826" s="522">
        <f t="shared" si="1078"/>
        <v>3687103.5030623493</v>
      </c>
      <c r="AR826" s="522">
        <f t="shared" si="1078"/>
        <v>3657191.0493654301</v>
      </c>
      <c r="AS826" s="522">
        <f t="shared" si="1078"/>
        <v>3627521.2671545236</v>
      </c>
      <c r="AT826" s="522">
        <f t="shared" si="1078"/>
        <v>3598092.1877028006</v>
      </c>
      <c r="AU826" s="522">
        <f t="shared" si="1078"/>
        <v>3568901.8582551689</v>
      </c>
      <c r="AV826" s="522">
        <f t="shared" si="1078"/>
        <v>3539948.3418987007</v>
      </c>
      <c r="AW826" s="522">
        <f t="shared" si="1078"/>
        <v>3511229.7174341083</v>
      </c>
      <c r="AX826" s="522">
        <f t="shared" si="1078"/>
        <v>3482744.0792482635</v>
      </c>
      <c r="AY826" s="522">
        <f t="shared" ref="AJ826:BF828" si="1079">$AA826*AX826</f>
        <v>3454489.5371877523</v>
      </c>
      <c r="AZ826" s="522">
        <f t="shared" si="1079"/>
        <v>3426464.2164334538</v>
      </c>
      <c r="BA826" s="522">
        <f t="shared" si="1079"/>
        <v>3398666.2573761372</v>
      </c>
      <c r="BB826" s="522">
        <f t="shared" si="1079"/>
        <v>3371093.8154930687</v>
      </c>
      <c r="BC826" s="522">
        <f t="shared" si="1079"/>
        <v>3343745.0612256187</v>
      </c>
      <c r="BD826" s="522">
        <f t="shared" si="1079"/>
        <v>3316618.1798578617</v>
      </c>
      <c r="BE826" s="522">
        <f t="shared" si="1079"/>
        <v>3289711.3713961625</v>
      </c>
      <c r="BF826" s="522">
        <f t="shared" si="1079"/>
        <v>3263022.8504497376</v>
      </c>
    </row>
    <row r="827" spans="1:58" x14ac:dyDescent="0.3">
      <c r="A827" s="183"/>
      <c r="B827" s="183"/>
      <c r="C827" s="183"/>
      <c r="D827" s="183"/>
      <c r="E827" s="183"/>
      <c r="F827" s="183"/>
      <c r="G827" s="183"/>
      <c r="H827" s="183"/>
      <c r="I827" s="183"/>
      <c r="J827" s="183"/>
      <c r="K827" s="183"/>
      <c r="L827" s="250"/>
      <c r="M827" s="328" t="s">
        <v>417</v>
      </c>
      <c r="N827" s="329" t="s">
        <v>1140</v>
      </c>
      <c r="O827" s="262"/>
      <c r="P827" s="262"/>
      <c r="Q827" s="262"/>
      <c r="R827" s="262"/>
      <c r="S827" s="262"/>
      <c r="T827" s="262"/>
      <c r="U827" s="262"/>
      <c r="V827" s="262"/>
      <c r="W827" s="262"/>
      <c r="X827" s="262"/>
      <c r="Y827" s="394"/>
      <c r="Z827" s="448">
        <f>(AC827*(1-Z837))/AC827</f>
        <v>0.99059443190368701</v>
      </c>
      <c r="AA827" s="438">
        <f>Z827</f>
        <v>0.99059443190368701</v>
      </c>
      <c r="AB827" s="446">
        <v>4000000</v>
      </c>
      <c r="AC827" s="447">
        <f>AB827-AB864-AB859</f>
        <v>3917500</v>
      </c>
      <c r="AD827" s="447">
        <f>Z827*AC827</f>
        <v>3880653.6869826941</v>
      </c>
      <c r="AE827" s="447">
        <f t="shared" ref="AE827:AH829" si="1080">$Z827*AD827</f>
        <v>3844153.9344715704</v>
      </c>
      <c r="AF827" s="447">
        <f t="shared" si="1080"/>
        <v>3807997.4828681885</v>
      </c>
      <c r="AG827" s="447">
        <f t="shared" si="1080"/>
        <v>3772181.1032324834</v>
      </c>
      <c r="AH827" s="447">
        <f t="shared" si="1080"/>
        <v>3736701.5969944051</v>
      </c>
      <c r="AI827" s="522">
        <f t="shared" si="1078"/>
        <v>3701555.7956682728</v>
      </c>
      <c r="AJ827" s="522">
        <f t="shared" si="1079"/>
        <v>3666740.560569813</v>
      </c>
      <c r="AK827" s="522">
        <f t="shared" si="1079"/>
        <v>3632252.7825358608</v>
      </c>
      <c r="AL827" s="522">
        <f t="shared" si="1079"/>
        <v>3598089.3816466974</v>
      </c>
      <c r="AM827" s="522">
        <f t="shared" si="1079"/>
        <v>3564247.3069509985</v>
      </c>
      <c r="AN827" s="522">
        <f t="shared" si="1079"/>
        <v>3530723.5361933708</v>
      </c>
      <c r="AO827" s="522">
        <f t="shared" si="1079"/>
        <v>3497515.075544449</v>
      </c>
      <c r="AP827" s="522">
        <f t="shared" si="1079"/>
        <v>3464618.9593335344</v>
      </c>
      <c r="AQ827" s="522">
        <f t="shared" si="1079"/>
        <v>3432032.249783746</v>
      </c>
      <c r="AR827" s="522">
        <f t="shared" si="1079"/>
        <v>3399752.0367496628</v>
      </c>
      <c r="AS827" s="522">
        <f t="shared" si="1079"/>
        <v>3367775.4374574353</v>
      </c>
      <c r="AT827" s="522">
        <f t="shared" si="1079"/>
        <v>3336099.5962473392</v>
      </c>
      <c r="AU827" s="522">
        <f t="shared" si="1079"/>
        <v>3304721.6843187525</v>
      </c>
      <c r="AV827" s="522">
        <f t="shared" si="1079"/>
        <v>3273638.8994775303</v>
      </c>
      <c r="AW827" s="522">
        <f t="shared" si="1079"/>
        <v>3242848.4658857551</v>
      </c>
      <c r="AX827" s="522">
        <f t="shared" si="1079"/>
        <v>3212347.6338138427</v>
      </c>
      <c r="AY827" s="522">
        <f t="shared" si="1079"/>
        <v>3182133.6793949767</v>
      </c>
      <c r="AZ827" s="522">
        <f t="shared" si="1079"/>
        <v>3152203.9043818563</v>
      </c>
      <c r="BA827" s="522">
        <f t="shared" si="1079"/>
        <v>3122555.6359057291</v>
      </c>
      <c r="BB827" s="522">
        <f t="shared" si="1079"/>
        <v>3093186.2262376919</v>
      </c>
      <c r="BC827" s="522">
        <f t="shared" si="1079"/>
        <v>3064093.0525522358</v>
      </c>
      <c r="BD827" s="522">
        <f t="shared" si="1079"/>
        <v>3035273.516693016</v>
      </c>
      <c r="BE827" s="522">
        <f t="shared" si="1079"/>
        <v>3006725.0449408246</v>
      </c>
      <c r="BF827" s="522">
        <f t="shared" si="1079"/>
        <v>2978445.0877837441</v>
      </c>
    </row>
    <row r="828" spans="1:58" x14ac:dyDescent="0.3">
      <c r="A828" s="183"/>
      <c r="B828" s="183"/>
      <c r="C828" s="183"/>
      <c r="D828" s="183"/>
      <c r="E828" s="183"/>
      <c r="F828" s="183"/>
      <c r="G828" s="183"/>
      <c r="H828" s="183"/>
      <c r="I828" s="183"/>
      <c r="J828" s="183"/>
      <c r="K828" s="183"/>
      <c r="L828" s="250"/>
      <c r="M828" s="328" t="s">
        <v>1163</v>
      </c>
      <c r="N828" s="329" t="s">
        <v>1140</v>
      </c>
      <c r="O828" s="262"/>
      <c r="P828" s="262"/>
      <c r="Q828" s="262"/>
      <c r="R828" s="262"/>
      <c r="S828" s="262"/>
      <c r="T828" s="262"/>
      <c r="U828" s="262"/>
      <c r="V828" s="262"/>
      <c r="W828" s="262"/>
      <c r="X828" s="262"/>
      <c r="Y828" s="394"/>
      <c r="Z828" s="448">
        <f>(AC828*(1-Z838))/AC828</f>
        <v>0.99011695906432751</v>
      </c>
      <c r="AA828" s="523">
        <f>(AC828*(1-AA838))/AC828</f>
        <v>0.99299999999999999</v>
      </c>
      <c r="AB828" s="446">
        <v>3700000</v>
      </c>
      <c r="AC828" s="447">
        <f>AB828-AB865-AB860</f>
        <v>3647750</v>
      </c>
      <c r="AD828" s="447">
        <f>Z828*AC828</f>
        <v>3611699.1374269007</v>
      </c>
      <c r="AE828" s="447">
        <f t="shared" si="1080"/>
        <v>3576004.5670043775</v>
      </c>
      <c r="AF828" s="447">
        <f t="shared" si="1077"/>
        <v>3540662.7674825215</v>
      </c>
      <c r="AG828" s="447">
        <f t="shared" si="1077"/>
        <v>3505670.2524120803</v>
      </c>
      <c r="AH828" s="447">
        <f t="shared" si="1077"/>
        <v>3471023.5698005222</v>
      </c>
      <c r="AI828" s="522">
        <f t="shared" si="1078"/>
        <v>3446726.4048119183</v>
      </c>
      <c r="AJ828" s="522">
        <f t="shared" si="1079"/>
        <v>3422599.3199782348</v>
      </c>
      <c r="AK828" s="522">
        <f t="shared" si="1079"/>
        <v>3398641.1247383873</v>
      </c>
      <c r="AL828" s="522">
        <f t="shared" si="1079"/>
        <v>3374850.6368652186</v>
      </c>
      <c r="AM828" s="522">
        <f t="shared" si="1079"/>
        <v>3351226.6824071622</v>
      </c>
      <c r="AN828" s="522">
        <f t="shared" si="1079"/>
        <v>3327768.0956303119</v>
      </c>
      <c r="AO828" s="522">
        <f t="shared" si="1079"/>
        <v>3304473.7189608999</v>
      </c>
      <c r="AP828" s="522">
        <f t="shared" si="1079"/>
        <v>3281342.4029281735</v>
      </c>
      <c r="AQ828" s="522">
        <f t="shared" si="1079"/>
        <v>3258373.0061076763</v>
      </c>
      <c r="AR828" s="522">
        <f t="shared" si="1079"/>
        <v>3235564.3950649225</v>
      </c>
      <c r="AS828" s="522">
        <f t="shared" si="1079"/>
        <v>3212915.4442994678</v>
      </c>
      <c r="AT828" s="522">
        <f t="shared" si="1079"/>
        <v>3190425.0361893717</v>
      </c>
      <c r="AU828" s="522">
        <f t="shared" si="1079"/>
        <v>3168092.0609360463</v>
      </c>
      <c r="AV828" s="522">
        <f t="shared" si="1079"/>
        <v>3145915.4165094942</v>
      </c>
      <c r="AW828" s="522">
        <f t="shared" si="1079"/>
        <v>3123894.0085939276</v>
      </c>
      <c r="AX828" s="522">
        <f t="shared" si="1079"/>
        <v>3102026.7505337703</v>
      </c>
      <c r="AY828" s="522">
        <f t="shared" si="1079"/>
        <v>3080312.5632800339</v>
      </c>
      <c r="AZ828" s="522">
        <f t="shared" si="1079"/>
        <v>3058750.3753370736</v>
      </c>
      <c r="BA828" s="522">
        <f t="shared" si="1079"/>
        <v>3037339.1227097139</v>
      </c>
      <c r="BB828" s="522">
        <f t="shared" si="1079"/>
        <v>3016077.7488507461</v>
      </c>
      <c r="BC828" s="522">
        <f t="shared" si="1079"/>
        <v>2994965.204608791</v>
      </c>
      <c r="BD828" s="522">
        <f t="shared" si="1079"/>
        <v>2974000.4481765293</v>
      </c>
      <c r="BE828" s="522">
        <f t="shared" si="1079"/>
        <v>2953182.4450392937</v>
      </c>
      <c r="BF828" s="522">
        <f t="shared" si="1079"/>
        <v>2932510.1679240186</v>
      </c>
    </row>
    <row r="829" spans="1:58" x14ac:dyDescent="0.3">
      <c r="A829" s="183"/>
      <c r="B829" s="183"/>
      <c r="C829" s="183"/>
      <c r="D829" s="183"/>
      <c r="E829" s="183"/>
      <c r="F829" s="183"/>
      <c r="G829" s="183"/>
      <c r="H829" s="183"/>
      <c r="I829" s="183"/>
      <c r="J829" s="183"/>
      <c r="K829" s="183"/>
      <c r="L829" s="250"/>
      <c r="M829" s="328" t="s">
        <v>1164</v>
      </c>
      <c r="N829" s="329" t="s">
        <v>1140</v>
      </c>
      <c r="O829" s="262"/>
      <c r="P829" s="262"/>
      <c r="Q829" s="262"/>
      <c r="R829" s="262"/>
      <c r="S829" s="262"/>
      <c r="T829" s="262"/>
      <c r="U829" s="262"/>
      <c r="V829" s="262"/>
      <c r="W829" s="262"/>
      <c r="X829" s="262"/>
      <c r="Y829" s="394"/>
      <c r="Z829" s="448">
        <f>(AC829*(1-Z839))/AC829</f>
        <v>0.99668325041459382</v>
      </c>
      <c r="AA829" s="438">
        <f>Z829</f>
        <v>0.99668325041459382</v>
      </c>
      <c r="AB829" s="446">
        <v>4800000</v>
      </c>
      <c r="AC829" s="447">
        <f>AB829-AB866-AB861</f>
        <v>4760000</v>
      </c>
      <c r="AD829" s="447">
        <f>Z829*AC829</f>
        <v>4744212.2719734665</v>
      </c>
      <c r="AE829" s="447">
        <f t="shared" si="1080"/>
        <v>4728476.90788732</v>
      </c>
      <c r="AF829" s="447">
        <f t="shared" si="1077"/>
        <v>4712793.7340634819</v>
      </c>
      <c r="AG829" s="447">
        <f t="shared" si="1077"/>
        <v>4697162.5773999216</v>
      </c>
      <c r="AH829" s="447">
        <f t="shared" si="1077"/>
        <v>4681583.2653687447</v>
      </c>
      <c r="AI829" s="522">
        <f>$AA829*AH829</f>
        <v>4666055.6260142885</v>
      </c>
      <c r="AJ829" s="522">
        <f t="shared" ref="AJ829:BF829" si="1081">$AA829*AI829</f>
        <v>4650579.4879512237</v>
      </c>
      <c r="AK829" s="522">
        <f t="shared" si="1081"/>
        <v>4635154.6803626632</v>
      </c>
      <c r="AL829" s="522">
        <f t="shared" si="1081"/>
        <v>4619781.0329982769</v>
      </c>
      <c r="AM829" s="522">
        <f t="shared" si="1081"/>
        <v>4604458.3761724122</v>
      </c>
      <c r="AN829" s="522">
        <f t="shared" si="1081"/>
        <v>4589186.5407622224</v>
      </c>
      <c r="AO829" s="522">
        <f t="shared" si="1081"/>
        <v>4573965.3582057981</v>
      </c>
      <c r="AP829" s="522">
        <f t="shared" si="1081"/>
        <v>4558794.6605003066</v>
      </c>
      <c r="AQ829" s="522">
        <f t="shared" si="1081"/>
        <v>4543674.2802001406</v>
      </c>
      <c r="AR829" s="522">
        <f t="shared" si="1081"/>
        <v>4528604.0504150661</v>
      </c>
      <c r="AS829" s="522">
        <f t="shared" si="1081"/>
        <v>4513583.8048083829</v>
      </c>
      <c r="AT829" s="522">
        <f t="shared" si="1081"/>
        <v>4498613.3775950884</v>
      </c>
      <c r="AU829" s="522">
        <f t="shared" si="1081"/>
        <v>4483692.6035400471</v>
      </c>
      <c r="AV829" s="522">
        <f t="shared" si="1081"/>
        <v>4468821.3179561673</v>
      </c>
      <c r="AW829" s="522">
        <f t="shared" si="1081"/>
        <v>4453999.356702582</v>
      </c>
      <c r="AX829" s="522">
        <f t="shared" si="1081"/>
        <v>4439226.556182839</v>
      </c>
      <c r="AY829" s="522">
        <f t="shared" si="1081"/>
        <v>4424502.7533430951</v>
      </c>
      <c r="AZ829" s="522">
        <f t="shared" si="1081"/>
        <v>4409827.7856703158</v>
      </c>
      <c r="BA829" s="522">
        <f t="shared" si="1081"/>
        <v>4395201.491190481</v>
      </c>
      <c r="BB829" s="522">
        <f t="shared" si="1081"/>
        <v>4380623.7084667981</v>
      </c>
      <c r="BC829" s="522">
        <f t="shared" si="1081"/>
        <v>4366094.2765979208</v>
      </c>
      <c r="BD829" s="522">
        <f t="shared" si="1081"/>
        <v>4351613.0352161704</v>
      </c>
      <c r="BE829" s="522">
        <f t="shared" si="1081"/>
        <v>4337179.8244857686</v>
      </c>
      <c r="BF829" s="522">
        <f t="shared" si="1081"/>
        <v>4322794.485101073</v>
      </c>
    </row>
    <row r="830" spans="1:58" s="108" customFormat="1" x14ac:dyDescent="0.3">
      <c r="A830" s="1265"/>
      <c r="B830" s="1265"/>
      <c r="C830" s="1265"/>
      <c r="D830" s="1265"/>
      <c r="E830" s="1265"/>
      <c r="F830" s="1265"/>
      <c r="G830" s="1265"/>
      <c r="H830" s="1265"/>
      <c r="I830" s="1265"/>
      <c r="J830" s="1265"/>
      <c r="K830" s="1265"/>
      <c r="L830" s="1266"/>
      <c r="M830" s="331" t="s">
        <v>1165</v>
      </c>
      <c r="N830" s="327" t="s">
        <v>1140</v>
      </c>
      <c r="O830" s="270"/>
      <c r="P830" s="270"/>
      <c r="Q830" s="270"/>
      <c r="R830" s="270"/>
      <c r="S830" s="270"/>
      <c r="T830" s="270"/>
      <c r="U830" s="270"/>
      <c r="V830" s="270"/>
      <c r="W830" s="270"/>
      <c r="X830" s="270"/>
      <c r="Y830" s="1269"/>
      <c r="Z830" s="1270"/>
      <c r="AA830" s="1271"/>
      <c r="AB830" s="1267">
        <v>0</v>
      </c>
      <c r="AC830" s="1268">
        <f>AC835-AB835</f>
        <v>172250</v>
      </c>
      <c r="AD830" s="1268">
        <f>AD835-AC835</f>
        <v>172250</v>
      </c>
      <c r="AE830" s="1268">
        <f>AE835-AD835</f>
        <v>174411.45359635638</v>
      </c>
      <c r="AF830" s="1268">
        <f t="shared" ref="AF830:BF834" si="1082">AF835-AE835</f>
        <v>176622.97555512673</v>
      </c>
      <c r="AG830" s="1268">
        <f t="shared" si="1082"/>
        <v>178885.44335986511</v>
      </c>
      <c r="AH830" s="1268">
        <f t="shared" si="1082"/>
        <v>181199.75233208085</v>
      </c>
      <c r="AI830" s="1268">
        <f t="shared" si="1082"/>
        <v>170615.70965788676</v>
      </c>
      <c r="AJ830" s="1268">
        <f t="shared" si="1082"/>
        <v>172880.72382000228</v>
      </c>
      <c r="AK830" s="1268">
        <f t="shared" si="1082"/>
        <v>175194.51483949088</v>
      </c>
      <c r="AL830" s="1268">
        <f t="shared" si="1082"/>
        <v>177557.95485656802</v>
      </c>
      <c r="AM830" s="1268">
        <f t="shared" si="1082"/>
        <v>179971.93335500406</v>
      </c>
      <c r="AN830" s="1268">
        <f t="shared" si="1082"/>
        <v>182437.35749735963</v>
      </c>
      <c r="AO830" s="1268">
        <f t="shared" si="1082"/>
        <v>184955.15246686619</v>
      </c>
      <c r="AP830" s="1268">
        <f t="shared" si="1082"/>
        <v>187526.26181611139</v>
      </c>
      <c r="AQ830" s="1268">
        <f t="shared" si="1082"/>
        <v>190151.64782263432</v>
      </c>
      <c r="AR830" s="1268">
        <f t="shared" si="1082"/>
        <v>192832.29185159598</v>
      </c>
      <c r="AS830" s="1268">
        <f t="shared" si="1082"/>
        <v>195569.19472564198</v>
      </c>
      <c r="AT830" s="1268">
        <f t="shared" si="1082"/>
        <v>198363.37710211892</v>
      </c>
      <c r="AU830" s="1268">
        <f t="shared" si="1082"/>
        <v>201215.87985777343</v>
      </c>
      <c r="AV830" s="1268">
        <f t="shared" si="1082"/>
        <v>204127.76448109932</v>
      </c>
      <c r="AW830" s="1268">
        <f t="shared" si="1082"/>
        <v>207100.11347247288</v>
      </c>
      <c r="AX830" s="1268">
        <f t="shared" si="1082"/>
        <v>210134.03075223137</v>
      </c>
      <c r="AY830" s="1268">
        <f t="shared" si="1082"/>
        <v>213230.64207686344</v>
      </c>
      <c r="AZ830" s="1268">
        <f t="shared" si="1082"/>
        <v>216391.09546345845</v>
      </c>
      <c r="BA830" s="1268">
        <f t="shared" si="1082"/>
        <v>219616.56162258517</v>
      </c>
      <c r="BB830" s="1268">
        <f t="shared" si="1082"/>
        <v>222908.23439978343</v>
      </c>
      <c r="BC830" s="1268">
        <f t="shared" si="1082"/>
        <v>226267.33122579008</v>
      </c>
      <c r="BD830" s="1268">
        <f t="shared" si="1082"/>
        <v>229695.09357575141</v>
      </c>
      <c r="BE830" s="1268">
        <f t="shared" si="1082"/>
        <v>233192.78743751254</v>
      </c>
      <c r="BF830" s="1268">
        <f t="shared" si="1082"/>
        <v>236761.70378924999</v>
      </c>
    </row>
    <row r="831" spans="1:58" x14ac:dyDescent="0.3">
      <c r="A831" s="183"/>
      <c r="B831" s="183"/>
      <c r="C831" s="183"/>
      <c r="D831" s="183"/>
      <c r="E831" s="183"/>
      <c r="F831" s="183"/>
      <c r="G831" s="183"/>
      <c r="H831" s="183"/>
      <c r="I831" s="183"/>
      <c r="J831" s="183"/>
      <c r="K831" s="183"/>
      <c r="L831" s="250"/>
      <c r="M831" s="328" t="s">
        <v>1162</v>
      </c>
      <c r="N831" s="329" t="s">
        <v>1140</v>
      </c>
      <c r="O831" s="262"/>
      <c r="P831" s="262"/>
      <c r="Q831" s="262"/>
      <c r="R831" s="262"/>
      <c r="S831" s="262"/>
      <c r="T831" s="262"/>
      <c r="U831" s="262"/>
      <c r="V831" s="262"/>
      <c r="W831" s="262"/>
      <c r="X831" s="262"/>
      <c r="Y831" s="394"/>
      <c r="Z831" s="448"/>
      <c r="AA831" s="438"/>
      <c r="AB831" s="446">
        <v>0</v>
      </c>
      <c r="AC831" s="447">
        <f t="shared" ref="AC831:AC834" si="1083">AC836-AB836</f>
        <v>47500</v>
      </c>
      <c r="AD831" s="447">
        <f>AD836-AC836</f>
        <v>47500</v>
      </c>
      <c r="AE831" s="447">
        <f t="shared" ref="AE831:AT834" si="1084">AE836-AD836</f>
        <v>48221.822877962375</v>
      </c>
      <c r="AF831" s="447">
        <f t="shared" si="1084"/>
        <v>48960.954488562857</v>
      </c>
      <c r="AG831" s="447">
        <f t="shared" si="1084"/>
        <v>49717.73906900236</v>
      </c>
      <c r="AH831" s="447">
        <f t="shared" si="1084"/>
        <v>50492.528203938622</v>
      </c>
      <c r="AI831" s="447">
        <f t="shared" si="1084"/>
        <v>51285.680978033401</v>
      </c>
      <c r="AJ831" s="447">
        <f t="shared" si="1084"/>
        <v>52097.56413170154</v>
      </c>
      <c r="AK831" s="447">
        <f t="shared" si="1084"/>
        <v>52928.55222012708</v>
      </c>
      <c r="AL831" s="447">
        <f t="shared" si="1084"/>
        <v>53779.027775617084</v>
      </c>
      <c r="AM831" s="447">
        <f t="shared" si="1084"/>
        <v>54649.38147336035</v>
      </c>
      <c r="AN831" s="447">
        <f t="shared" si="1084"/>
        <v>55540.012300663977</v>
      </c>
      <c r="AO831" s="447">
        <f t="shared" si="1084"/>
        <v>56451.327729740413</v>
      </c>
      <c r="AP831" s="447">
        <f t="shared" si="1084"/>
        <v>57383.743894117768</v>
      </c>
      <c r="AQ831" s="447">
        <f t="shared" si="1084"/>
        <v>58337.685768750496</v>
      </c>
      <c r="AR831" s="447">
        <f t="shared" si="1084"/>
        <v>59313.587353907758</v>
      </c>
      <c r="AS831" s="447">
        <f t="shared" si="1084"/>
        <v>60311.891862917109</v>
      </c>
      <c r="AT831" s="447">
        <f t="shared" si="1084"/>
        <v>61333.051913846168</v>
      </c>
      <c r="AU831" s="447">
        <f t="shared" si="1082"/>
        <v>62377.529725202126</v>
      </c>
      <c r="AV831" s="447">
        <f t="shared" si="1082"/>
        <v>63445.797315735836</v>
      </c>
      <c r="AW831" s="447">
        <f t="shared" si="1082"/>
        <v>64538.336708433693</v>
      </c>
      <c r="AX831" s="447">
        <f t="shared" si="1082"/>
        <v>65655.640138786286</v>
      </c>
      <c r="AY831" s="447">
        <f t="shared" si="1082"/>
        <v>66798.210267423885</v>
      </c>
      <c r="AZ831" s="447">
        <f t="shared" si="1082"/>
        <v>67966.56039720797</v>
      </c>
      <c r="BA831" s="447">
        <f t="shared" si="1082"/>
        <v>69161.214694872964</v>
      </c>
      <c r="BB831" s="447">
        <f t="shared" si="1082"/>
        <v>70382.708417315269</v>
      </c>
      <c r="BC831" s="447">
        <f t="shared" si="1082"/>
        <v>71631.588142622728</v>
      </c>
      <c r="BD831" s="447">
        <f t="shared" si="1082"/>
        <v>72908.41200594767</v>
      </c>
      <c r="BE831" s="447">
        <f t="shared" si="1082"/>
        <v>74213.749940321781</v>
      </c>
      <c r="BF831" s="447">
        <f t="shared" si="1082"/>
        <v>75548.183922517812</v>
      </c>
    </row>
    <row r="832" spans="1:58" x14ac:dyDescent="0.3">
      <c r="A832" s="183"/>
      <c r="B832" s="183"/>
      <c r="C832" s="183"/>
      <c r="D832" s="183"/>
      <c r="E832" s="183"/>
      <c r="F832" s="183"/>
      <c r="G832" s="183"/>
      <c r="H832" s="183"/>
      <c r="I832" s="183"/>
      <c r="J832" s="183"/>
      <c r="K832" s="183"/>
      <c r="L832" s="250"/>
      <c r="M832" s="328" t="s">
        <v>417</v>
      </c>
      <c r="N832" s="329" t="s">
        <v>1140</v>
      </c>
      <c r="O832" s="262"/>
      <c r="P832" s="262"/>
      <c r="Q832" s="262"/>
      <c r="R832" s="262"/>
      <c r="S832" s="262"/>
      <c r="T832" s="262"/>
      <c r="U832" s="262"/>
      <c r="V832" s="262"/>
      <c r="W832" s="262"/>
      <c r="X832" s="262"/>
      <c r="Y832" s="394"/>
      <c r="Z832" s="448"/>
      <c r="AA832" s="438"/>
      <c r="AB832" s="446">
        <v>0</v>
      </c>
      <c r="AC832" s="447">
        <f t="shared" si="1083"/>
        <v>62500</v>
      </c>
      <c r="AD832" s="447">
        <f>AD837-AC837</f>
        <v>62500</v>
      </c>
      <c r="AE832" s="447">
        <f t="shared" si="1084"/>
        <v>63352.649426097574</v>
      </c>
      <c r="AF832" s="447">
        <f t="shared" si="1082"/>
        <v>64224.91854120401</v>
      </c>
      <c r="AG832" s="447">
        <f t="shared" si="1082"/>
        <v>65117.153136959008</v>
      </c>
      <c r="AH832" s="447">
        <f t="shared" si="1082"/>
        <v>66029.705928190146</v>
      </c>
      <c r="AI832" s="447">
        <f t="shared" si="1082"/>
        <v>66962.936683038075</v>
      </c>
      <c r="AJ832" s="447">
        <f t="shared" si="1082"/>
        <v>67917.212355604512</v>
      </c>
      <c r="AK832" s="447">
        <f t="shared" si="1082"/>
        <v>68892.907221170492</v>
      </c>
      <c r="AL832" s="447">
        <f t="shared" si="1082"/>
        <v>69890.403014033916</v>
      </c>
      <c r="AM832" s="447">
        <f t="shared" si="1082"/>
        <v>70910.089068016736</v>
      </c>
      <c r="AN832" s="447">
        <f t="shared" si="1082"/>
        <v>71952.362459693337</v>
      </c>
      <c r="AO832" s="447">
        <f t="shared" si="1082"/>
        <v>73017.628154390026</v>
      </c>
      <c r="AP832" s="447">
        <f t="shared" si="1082"/>
        <v>74106.299155011075</v>
      </c>
      <c r="AQ832" s="447">
        <f t="shared" si="1082"/>
        <v>75218.796653744299</v>
      </c>
      <c r="AR832" s="447">
        <f t="shared" si="1082"/>
        <v>76355.550186699955</v>
      </c>
      <c r="AS832" s="447">
        <f t="shared" si="1082"/>
        <v>77516.99779154174</v>
      </c>
      <c r="AT832" s="447">
        <f t="shared" si="1082"/>
        <v>78703.586168164387</v>
      </c>
      <c r="AU832" s="447">
        <f t="shared" si="1082"/>
        <v>79915.770842477446</v>
      </c>
      <c r="AV832" s="447">
        <f t="shared" si="1082"/>
        <v>81154.016333354637</v>
      </c>
      <c r="AW832" s="447">
        <f t="shared" si="1082"/>
        <v>82418.796322809299</v>
      </c>
      <c r="AX832" s="447">
        <f t="shared" si="1082"/>
        <v>83710.593829456717</v>
      </c>
      <c r="AY832" s="447">
        <f t="shared" si="1082"/>
        <v>85029.901385327568</v>
      </c>
      <c r="AZ832" s="447">
        <f t="shared" si="1082"/>
        <v>86377.221216095146</v>
      </c>
      <c r="BA832" s="447">
        <f t="shared" si="1082"/>
        <v>87753.065424783155</v>
      </c>
      <c r="BB832" s="447">
        <f t="shared" si="1082"/>
        <v>89157.956179019762</v>
      </c>
      <c r="BC832" s="447">
        <f t="shared" si="1082"/>
        <v>90592.425901904935</v>
      </c>
      <c r="BD832" s="447">
        <f t="shared" si="1082"/>
        <v>92057.0174665628</v>
      </c>
      <c r="BE832" s="447">
        <f t="shared" si="1082"/>
        <v>93552.284394446295</v>
      </c>
      <c r="BF832" s="447">
        <f t="shared" si="1082"/>
        <v>95078.791057467926</v>
      </c>
    </row>
    <row r="833" spans="1:58" x14ac:dyDescent="0.3">
      <c r="A833" s="183"/>
      <c r="B833" s="183"/>
      <c r="C833" s="183"/>
      <c r="D833" s="183"/>
      <c r="E833" s="183"/>
      <c r="F833" s="183"/>
      <c r="G833" s="183"/>
      <c r="H833" s="183"/>
      <c r="I833" s="183"/>
      <c r="J833" s="183"/>
      <c r="K833" s="183"/>
      <c r="L833" s="250"/>
      <c r="M833" s="328" t="s">
        <v>1163</v>
      </c>
      <c r="N833" s="329" t="s">
        <v>1140</v>
      </c>
      <c r="O833" s="262"/>
      <c r="P833" s="262"/>
      <c r="Q833" s="262"/>
      <c r="R833" s="262"/>
      <c r="S833" s="262"/>
      <c r="T833" s="262"/>
      <c r="U833" s="262"/>
      <c r="V833" s="262"/>
      <c r="W833" s="262"/>
      <c r="X833" s="262"/>
      <c r="Y833" s="394"/>
      <c r="Z833" s="448"/>
      <c r="AA833" s="438"/>
      <c r="AB833" s="446">
        <v>0</v>
      </c>
      <c r="AC833" s="447">
        <f t="shared" si="1083"/>
        <v>42250</v>
      </c>
      <c r="AD833" s="447">
        <f>AD838-AC838</f>
        <v>42250</v>
      </c>
      <c r="AE833" s="447">
        <f t="shared" si="1084"/>
        <v>42657.172761704453</v>
      </c>
      <c r="AF833" s="447">
        <f t="shared" si="1082"/>
        <v>43075.224456555938</v>
      </c>
      <c r="AG833" s="447">
        <f t="shared" si="1082"/>
        <v>43504.316868127993</v>
      </c>
      <c r="AH833" s="447">
        <f t="shared" si="1082"/>
        <v>43944.615047388041</v>
      </c>
      <c r="AI833" s="447">
        <f t="shared" si="1082"/>
        <v>31445.181053197477</v>
      </c>
      <c r="AJ833" s="447">
        <f t="shared" si="1082"/>
        <v>31752.663092400995</v>
      </c>
      <c r="AK833" s="447">
        <f t="shared" si="1082"/>
        <v>32066.005463775538</v>
      </c>
      <c r="AL833" s="447">
        <f t="shared" si="1082"/>
        <v>32385.288835046464</v>
      </c>
      <c r="AM833" s="447">
        <f t="shared" si="1082"/>
        <v>32710.595157388132</v>
      </c>
      <c r="AN833" s="447">
        <f t="shared" si="1082"/>
        <v>33042.007684507698</v>
      </c>
      <c r="AO833" s="447">
        <f t="shared" si="1082"/>
        <v>33379.610992020986</v>
      </c>
      <c r="AP833" s="447">
        <f t="shared" si="1082"/>
        <v>33723.49099712621</v>
      </c>
      <c r="AQ833" s="447">
        <f t="shared" si="1082"/>
        <v>34073.734978578635</v>
      </c>
      <c r="AR833" s="447">
        <f t="shared" si="1082"/>
        <v>34430.431596971815</v>
      </c>
      <c r="AS833" s="447">
        <f t="shared" si="1082"/>
        <v>34793.67091532948</v>
      </c>
      <c r="AT833" s="447">
        <f t="shared" si="1082"/>
        <v>35163.544420012855</v>
      </c>
      <c r="AU833" s="447">
        <f t="shared" si="1082"/>
        <v>35540.145041948534</v>
      </c>
      <c r="AV833" s="447">
        <f t="shared" si="1082"/>
        <v>35923.567178180674</v>
      </c>
      <c r="AW833" s="447">
        <f t="shared" si="1082"/>
        <v>36313.906713754754</v>
      </c>
      <c r="AX833" s="447">
        <f t="shared" si="1082"/>
        <v>36711.261043934152</v>
      </c>
      <c r="AY833" s="447">
        <f t="shared" si="1082"/>
        <v>37115.729096759227</v>
      </c>
      <c r="AZ833" s="447">
        <f t="shared" si="1082"/>
        <v>37527.411355949705</v>
      </c>
      <c r="BA833" s="447">
        <f t="shared" si="1082"/>
        <v>37946.409884158289</v>
      </c>
      <c r="BB833" s="447">
        <f t="shared" si="1082"/>
        <v>38372.828346580616</v>
      </c>
      <c r="BC833" s="447">
        <f t="shared" si="1082"/>
        <v>38806.772034924943</v>
      </c>
      <c r="BD833" s="447">
        <f t="shared" si="1082"/>
        <v>39248.347891749931</v>
      </c>
      <c r="BE833" s="447">
        <f t="shared" si="1082"/>
        <v>39697.664535173681</v>
      </c>
      <c r="BF833" s="447">
        <f t="shared" si="1082"/>
        <v>40154.832283960655</v>
      </c>
    </row>
    <row r="834" spans="1:58" x14ac:dyDescent="0.3">
      <c r="A834" s="183"/>
      <c r="B834" s="183"/>
      <c r="C834" s="183"/>
      <c r="D834" s="183"/>
      <c r="E834" s="183"/>
      <c r="F834" s="183"/>
      <c r="G834" s="183"/>
      <c r="H834" s="183"/>
      <c r="I834" s="183"/>
      <c r="J834" s="183"/>
      <c r="K834" s="183"/>
      <c r="L834" s="250"/>
      <c r="M834" s="328" t="s">
        <v>1164</v>
      </c>
      <c r="N834" s="329" t="s">
        <v>1140</v>
      </c>
      <c r="O834" s="262"/>
      <c r="P834" s="262"/>
      <c r="Q834" s="262"/>
      <c r="R834" s="262"/>
      <c r="S834" s="262"/>
      <c r="T834" s="262"/>
      <c r="U834" s="262"/>
      <c r="V834" s="262"/>
      <c r="W834" s="262"/>
      <c r="X834" s="262"/>
      <c r="Y834" s="394"/>
      <c r="Z834" s="448"/>
      <c r="AA834" s="438"/>
      <c r="AB834" s="446">
        <v>0</v>
      </c>
      <c r="AC834" s="447">
        <f t="shared" si="1083"/>
        <v>20000</v>
      </c>
      <c r="AD834" s="447">
        <f>AD839-AC839</f>
        <v>20000</v>
      </c>
      <c r="AE834" s="447">
        <f t="shared" si="1084"/>
        <v>20179.80853059193</v>
      </c>
      <c r="AF834" s="447">
        <f t="shared" si="1082"/>
        <v>20361.878068803948</v>
      </c>
      <c r="AG834" s="447">
        <f t="shared" si="1082"/>
        <v>20546.234285775688</v>
      </c>
      <c r="AH834" s="447">
        <f t="shared" si="1082"/>
        <v>20732.903152563929</v>
      </c>
      <c r="AI834" s="447">
        <f t="shared" si="1082"/>
        <v>20921.910943617986</v>
      </c>
      <c r="AJ834" s="447">
        <f t="shared" si="1082"/>
        <v>21113.284240295266</v>
      </c>
      <c r="AK834" s="447">
        <f t="shared" si="1082"/>
        <v>21307.049934417882</v>
      </c>
      <c r="AL834" s="447">
        <f t="shared" si="1082"/>
        <v>21503.23523187032</v>
      </c>
      <c r="AM834" s="447">
        <f t="shared" si="1082"/>
        <v>21701.867656238988</v>
      </c>
      <c r="AN834" s="447">
        <f t="shared" si="1082"/>
        <v>21902.975052494294</v>
      </c>
      <c r="AO834" s="447">
        <f t="shared" si="1082"/>
        <v>22106.585590714996</v>
      </c>
      <c r="AP834" s="447">
        <f t="shared" si="1082"/>
        <v>22312.727769856225</v>
      </c>
      <c r="AQ834" s="447">
        <f t="shared" si="1082"/>
        <v>22521.430421561061</v>
      </c>
      <c r="AR834" s="447">
        <f t="shared" si="1082"/>
        <v>22732.722714016389</v>
      </c>
      <c r="AS834" s="447">
        <f t="shared" si="1082"/>
        <v>22946.634155853826</v>
      </c>
      <c r="AT834" s="447">
        <f t="shared" si="1082"/>
        <v>23163.194600095332</v>
      </c>
      <c r="AU834" s="447">
        <f t="shared" si="1082"/>
        <v>23382.434248145204</v>
      </c>
      <c r="AV834" s="447">
        <f t="shared" si="1082"/>
        <v>23604.38365382835</v>
      </c>
      <c r="AW834" s="447">
        <f t="shared" si="1082"/>
        <v>23829.073727475188</v>
      </c>
      <c r="AX834" s="447">
        <f t="shared" si="1082"/>
        <v>24056.535740054213</v>
      </c>
      <c r="AY834" s="447">
        <f t="shared" si="1082"/>
        <v>24286.801327352528</v>
      </c>
      <c r="AZ834" s="447">
        <f t="shared" si="1082"/>
        <v>24519.902494204871</v>
      </c>
      <c r="BA834" s="447">
        <f t="shared" si="1082"/>
        <v>24755.871618771809</v>
      </c>
      <c r="BB834" s="447">
        <f t="shared" si="1082"/>
        <v>24994.741456867545</v>
      </c>
      <c r="BC834" s="447">
        <f t="shared" si="1082"/>
        <v>25236.54514633806</v>
      </c>
      <c r="BD834" s="447">
        <f t="shared" si="1082"/>
        <v>25481.316211490077</v>
      </c>
      <c r="BE834" s="447">
        <f t="shared" si="1082"/>
        <v>25729.088567571132</v>
      </c>
      <c r="BF834" s="447">
        <f t="shared" si="1082"/>
        <v>25979.896525302785</v>
      </c>
    </row>
    <row r="835" spans="1:58" x14ac:dyDescent="0.3">
      <c r="A835" s="183"/>
      <c r="B835" s="183"/>
      <c r="C835" s="183"/>
      <c r="D835" s="183"/>
      <c r="E835" s="183"/>
      <c r="F835" s="183"/>
      <c r="G835" s="183"/>
      <c r="H835" s="183"/>
      <c r="I835" s="183"/>
      <c r="J835" s="183"/>
      <c r="K835" s="183"/>
      <c r="L835" s="250"/>
      <c r="M835" s="326" t="s">
        <v>1145</v>
      </c>
      <c r="N835" s="327" t="s">
        <v>1140</v>
      </c>
      <c r="O835" s="278"/>
      <c r="P835" s="278"/>
      <c r="Q835" s="278"/>
      <c r="R835" s="278"/>
      <c r="S835" s="278"/>
      <c r="T835" s="278"/>
      <c r="U835" s="278"/>
      <c r="V835" s="278"/>
      <c r="W835" s="278"/>
      <c r="X835" s="278"/>
      <c r="Y835" s="394"/>
      <c r="Z835" s="266"/>
      <c r="AA835" s="266"/>
      <c r="AB835" s="445">
        <f>SUM(AB836:AB839)</f>
        <v>0</v>
      </c>
      <c r="AC835" s="436">
        <f>SUM(AC836:AC839)</f>
        <v>172250</v>
      </c>
      <c r="AD835" s="436">
        <f>SUM(AD836:AD839)</f>
        <v>344500</v>
      </c>
      <c r="AE835" s="436">
        <f>SUM(AE836:AE839)</f>
        <v>518911.45359635638</v>
      </c>
      <c r="AF835" s="436">
        <f t="shared" ref="AF835:AI835" si="1085">SUM(AF836:AF839)</f>
        <v>695534.42915148311</v>
      </c>
      <c r="AG835" s="436">
        <f t="shared" si="1085"/>
        <v>874419.87251134822</v>
      </c>
      <c r="AH835" s="436">
        <f t="shared" si="1085"/>
        <v>1055619.6248434291</v>
      </c>
      <c r="AI835" s="436">
        <f t="shared" si="1085"/>
        <v>1226235.3345013158</v>
      </c>
      <c r="AJ835" s="436">
        <f t="shared" ref="AJ835:BF835" si="1086">SUM(AJ836:AJ839)</f>
        <v>1399116.0583213181</v>
      </c>
      <c r="AK835" s="436">
        <f t="shared" si="1086"/>
        <v>1574310.573160809</v>
      </c>
      <c r="AL835" s="436">
        <f t="shared" si="1086"/>
        <v>1751868.528017377</v>
      </c>
      <c r="AM835" s="436">
        <f t="shared" si="1086"/>
        <v>1931840.4613723811</v>
      </c>
      <c r="AN835" s="436">
        <f t="shared" si="1086"/>
        <v>2114277.8188697407</v>
      </c>
      <c r="AO835" s="436">
        <f t="shared" si="1086"/>
        <v>2299232.9713366069</v>
      </c>
      <c r="AP835" s="436">
        <f t="shared" si="1086"/>
        <v>2486759.2331527183</v>
      </c>
      <c r="AQ835" s="436">
        <f t="shared" si="1086"/>
        <v>2676910.8809753526</v>
      </c>
      <c r="AR835" s="436">
        <f t="shared" si="1086"/>
        <v>2869743.1728269486</v>
      </c>
      <c r="AS835" s="436">
        <f t="shared" si="1086"/>
        <v>3065312.3675525906</v>
      </c>
      <c r="AT835" s="436">
        <f t="shared" si="1086"/>
        <v>3263675.7446547095</v>
      </c>
      <c r="AU835" s="436">
        <f t="shared" si="1086"/>
        <v>3464891.6245124829</v>
      </c>
      <c r="AV835" s="436">
        <f t="shared" si="1086"/>
        <v>3669019.3889935822</v>
      </c>
      <c r="AW835" s="436">
        <f t="shared" si="1086"/>
        <v>3876119.5024660551</v>
      </c>
      <c r="AX835" s="436">
        <f t="shared" si="1086"/>
        <v>4086253.5332182865</v>
      </c>
      <c r="AY835" s="436">
        <f t="shared" si="1086"/>
        <v>4299484.1752951499</v>
      </c>
      <c r="AZ835" s="436">
        <f t="shared" si="1086"/>
        <v>4515875.2707586084</v>
      </c>
      <c r="BA835" s="436">
        <f t="shared" si="1086"/>
        <v>4735491.8323811935</v>
      </c>
      <c r="BB835" s="436">
        <f t="shared" si="1086"/>
        <v>4958400.066780977</v>
      </c>
      <c r="BC835" s="436">
        <f t="shared" si="1086"/>
        <v>5184667.398006767</v>
      </c>
      <c r="BD835" s="436">
        <f t="shared" si="1086"/>
        <v>5414362.4915825184</v>
      </c>
      <c r="BE835" s="436">
        <f t="shared" si="1086"/>
        <v>5647555.279020031</v>
      </c>
      <c r="BF835" s="436">
        <f t="shared" si="1086"/>
        <v>5884316.982809281</v>
      </c>
    </row>
    <row r="836" spans="1:58" x14ac:dyDescent="0.3">
      <c r="A836" s="183"/>
      <c r="B836" s="183"/>
      <c r="C836" s="183"/>
      <c r="D836" s="183"/>
      <c r="E836" s="183"/>
      <c r="F836" s="183"/>
      <c r="G836" s="183"/>
      <c r="H836" s="183"/>
      <c r="I836" s="183"/>
      <c r="J836" s="183"/>
      <c r="K836" s="183"/>
      <c r="L836" s="250"/>
      <c r="M836" s="328" t="s">
        <v>1162</v>
      </c>
      <c r="N836" s="329" t="s">
        <v>1140</v>
      </c>
      <c r="O836" s="262"/>
      <c r="P836" s="262"/>
      <c r="Q836" s="262"/>
      <c r="R836" s="262"/>
      <c r="S836" s="262"/>
      <c r="T836" s="262"/>
      <c r="U836" s="262"/>
      <c r="V836" s="262"/>
      <c r="W836" s="262"/>
      <c r="X836" s="262"/>
      <c r="Y836" s="394"/>
      <c r="Z836" s="448">
        <f>AC836/(AC826+AC841+AC846+AC836)</f>
        <v>8.1127241673783091E-3</v>
      </c>
      <c r="AA836" s="438">
        <f>Z836</f>
        <v>8.1127241673783091E-3</v>
      </c>
      <c r="AB836" s="446">
        <v>0</v>
      </c>
      <c r="AC836" s="447">
        <f>AB858</f>
        <v>47500</v>
      </c>
      <c r="AD836" s="447">
        <f>AC836+Z836*(AC826+AC836+AC841+AC846)</f>
        <v>95000</v>
      </c>
      <c r="AE836" s="447">
        <f t="shared" ref="AE836:AH839" si="1087">AD836+$Z836*(AD826+AD836+AD841+AD846)</f>
        <v>143221.82287796238</v>
      </c>
      <c r="AF836" s="447">
        <f t="shared" si="1087"/>
        <v>192182.77736652523</v>
      </c>
      <c r="AG836" s="447">
        <f t="shared" si="1087"/>
        <v>241900.51643552759</v>
      </c>
      <c r="AH836" s="447">
        <f t="shared" si="1087"/>
        <v>292393.04463946621</v>
      </c>
      <c r="AI836" s="522">
        <f t="shared" ref="AI836:BF836" si="1088">AH836+$AA836*(AH826+AH836+AH841+AH846)</f>
        <v>343678.72561749961</v>
      </c>
      <c r="AJ836" s="522">
        <f t="shared" si="1088"/>
        <v>395776.28974920115</v>
      </c>
      <c r="AK836" s="522">
        <f t="shared" si="1088"/>
        <v>448704.84196932823</v>
      </c>
      <c r="AL836" s="522">
        <f t="shared" si="1088"/>
        <v>502483.86974494532</v>
      </c>
      <c r="AM836" s="522">
        <f t="shared" si="1088"/>
        <v>557133.25121830567</v>
      </c>
      <c r="AN836" s="522">
        <f t="shared" si="1088"/>
        <v>612673.26351896964</v>
      </c>
      <c r="AO836" s="522">
        <f t="shared" si="1088"/>
        <v>669124.59124871006</v>
      </c>
      <c r="AP836" s="522">
        <f t="shared" si="1088"/>
        <v>726508.33514282783</v>
      </c>
      <c r="AQ836" s="522">
        <f t="shared" si="1088"/>
        <v>784846.02091157832</v>
      </c>
      <c r="AR836" s="522">
        <f t="shared" si="1088"/>
        <v>844159.60826548608</v>
      </c>
      <c r="AS836" s="522">
        <f t="shared" si="1088"/>
        <v>904471.50012840319</v>
      </c>
      <c r="AT836" s="522">
        <f t="shared" si="1088"/>
        <v>965804.55204224936</v>
      </c>
      <c r="AU836" s="522">
        <f t="shared" si="1088"/>
        <v>1028182.0817674515</v>
      </c>
      <c r="AV836" s="522">
        <f t="shared" si="1088"/>
        <v>1091627.8790831873</v>
      </c>
      <c r="AW836" s="522">
        <f t="shared" si="1088"/>
        <v>1156166.215791621</v>
      </c>
      <c r="AX836" s="522">
        <f t="shared" si="1088"/>
        <v>1221821.8559304073</v>
      </c>
      <c r="AY836" s="522">
        <f t="shared" si="1088"/>
        <v>1288620.0661978312</v>
      </c>
      <c r="AZ836" s="522">
        <f t="shared" si="1088"/>
        <v>1356586.6265950392</v>
      </c>
      <c r="BA836" s="522">
        <f t="shared" si="1088"/>
        <v>1425747.8412899121</v>
      </c>
      <c r="BB836" s="522">
        <f t="shared" si="1088"/>
        <v>1496130.5497072274</v>
      </c>
      <c r="BC836" s="522">
        <f t="shared" si="1088"/>
        <v>1567762.1378498501</v>
      </c>
      <c r="BD836" s="522">
        <f t="shared" si="1088"/>
        <v>1640670.5498557978</v>
      </c>
      <c r="BE836" s="522">
        <f t="shared" si="1088"/>
        <v>1714884.2997961196</v>
      </c>
      <c r="BF836" s="522">
        <f t="shared" si="1088"/>
        <v>1790432.4837186374</v>
      </c>
    </row>
    <row r="837" spans="1:58" x14ac:dyDescent="0.3">
      <c r="A837" s="183"/>
      <c r="B837" s="183"/>
      <c r="C837" s="183"/>
      <c r="D837" s="183"/>
      <c r="E837" s="183"/>
      <c r="F837" s="183"/>
      <c r="G837" s="183"/>
      <c r="H837" s="183"/>
      <c r="I837" s="183"/>
      <c r="J837" s="183"/>
      <c r="K837" s="183"/>
      <c r="L837" s="250"/>
      <c r="M837" s="328" t="s">
        <v>417</v>
      </c>
      <c r="N837" s="329" t="s">
        <v>1140</v>
      </c>
      <c r="O837" s="262"/>
      <c r="P837" s="262"/>
      <c r="Q837" s="262"/>
      <c r="R837" s="262"/>
      <c r="S837" s="262"/>
      <c r="T837" s="262"/>
      <c r="U837" s="262"/>
      <c r="V837" s="262"/>
      <c r="W837" s="262"/>
      <c r="X837" s="262"/>
      <c r="Y837" s="394"/>
      <c r="Z837" s="448">
        <f>AC837/(AC827+AC842+AC847+AC837)</f>
        <v>9.4055680963130179E-3</v>
      </c>
      <c r="AA837" s="438">
        <f>Z837</f>
        <v>9.4055680963130179E-3</v>
      </c>
      <c r="AB837" s="446">
        <v>0</v>
      </c>
      <c r="AC837" s="447">
        <f>AB859</f>
        <v>62500</v>
      </c>
      <c r="AD837" s="447">
        <f>AC837+Z837*(AC827+AC837+AC842+AC847)</f>
        <v>125000</v>
      </c>
      <c r="AE837" s="447">
        <f t="shared" si="1087"/>
        <v>188352.64942609757</v>
      </c>
      <c r="AF837" s="447">
        <f t="shared" si="1087"/>
        <v>252577.56796730158</v>
      </c>
      <c r="AG837" s="447">
        <f t="shared" si="1087"/>
        <v>317694.72110426059</v>
      </c>
      <c r="AH837" s="447">
        <f t="shared" si="1087"/>
        <v>383724.42703245074</v>
      </c>
      <c r="AI837" s="522">
        <f t="shared" ref="AI837:BF837" si="1089">AH837+$AA837*(AH827+AH837+AH842+AH847)</f>
        <v>450687.36371548881</v>
      </c>
      <c r="AJ837" s="522">
        <f t="shared" si="1089"/>
        <v>518604.57607109332</v>
      </c>
      <c r="AK837" s="522">
        <f t="shared" si="1089"/>
        <v>587497.48329226382</v>
      </c>
      <c r="AL837" s="522">
        <f t="shared" si="1089"/>
        <v>657387.88630629773</v>
      </c>
      <c r="AM837" s="522">
        <f t="shared" si="1089"/>
        <v>728297.97537431447</v>
      </c>
      <c r="AN837" s="522">
        <f t="shared" si="1089"/>
        <v>800250.33783400781</v>
      </c>
      <c r="AO837" s="522">
        <f t="shared" si="1089"/>
        <v>873267.96598839783</v>
      </c>
      <c r="AP837" s="522">
        <f t="shared" si="1089"/>
        <v>947374.26514340891</v>
      </c>
      <c r="AQ837" s="522">
        <f t="shared" si="1089"/>
        <v>1022593.0617971532</v>
      </c>
      <c r="AR837" s="522">
        <f t="shared" si="1089"/>
        <v>1098948.6119838532</v>
      </c>
      <c r="AS837" s="522">
        <f t="shared" si="1089"/>
        <v>1176465.6097753949</v>
      </c>
      <c r="AT837" s="522">
        <f t="shared" si="1089"/>
        <v>1255169.1959435593</v>
      </c>
      <c r="AU837" s="522">
        <f t="shared" si="1089"/>
        <v>1335084.9667860367</v>
      </c>
      <c r="AV837" s="522">
        <f t="shared" si="1089"/>
        <v>1416238.9831193914</v>
      </c>
      <c r="AW837" s="522">
        <f t="shared" si="1089"/>
        <v>1498657.7794422007</v>
      </c>
      <c r="AX837" s="522">
        <f t="shared" si="1089"/>
        <v>1582368.3732716574</v>
      </c>
      <c r="AY837" s="522">
        <f t="shared" si="1089"/>
        <v>1667398.274656985</v>
      </c>
      <c r="AZ837" s="522">
        <f t="shared" si="1089"/>
        <v>1753775.4958730801</v>
      </c>
      <c r="BA837" s="522">
        <f t="shared" si="1089"/>
        <v>1841528.5612978633</v>
      </c>
      <c r="BB837" s="522">
        <f t="shared" si="1089"/>
        <v>1930686.517476883</v>
      </c>
      <c r="BC837" s="522">
        <f t="shared" si="1089"/>
        <v>2021278.943378788</v>
      </c>
      <c r="BD837" s="522">
        <f t="shared" si="1089"/>
        <v>2113335.9608453508</v>
      </c>
      <c r="BE837" s="522">
        <f t="shared" si="1089"/>
        <v>2206888.245239797</v>
      </c>
      <c r="BF837" s="522">
        <f t="shared" si="1089"/>
        <v>2301967.036297265</v>
      </c>
    </row>
    <row r="838" spans="1:58" x14ac:dyDescent="0.3">
      <c r="A838" s="183"/>
      <c r="B838" s="183"/>
      <c r="C838" s="183"/>
      <c r="D838" s="183"/>
      <c r="E838" s="183"/>
      <c r="F838" s="183"/>
      <c r="G838" s="183"/>
      <c r="H838" s="183"/>
      <c r="I838" s="183"/>
      <c r="J838" s="183"/>
      <c r="K838" s="183"/>
      <c r="L838" s="250"/>
      <c r="M838" s="328" t="s">
        <v>1163</v>
      </c>
      <c r="N838" s="329" t="s">
        <v>1140</v>
      </c>
      <c r="O838" s="262"/>
      <c r="P838" s="262"/>
      <c r="Q838" s="262"/>
      <c r="R838" s="262"/>
      <c r="S838" s="262"/>
      <c r="T838" s="262"/>
      <c r="U838" s="262"/>
      <c r="V838" s="262"/>
      <c r="W838" s="262"/>
      <c r="X838" s="262"/>
      <c r="Y838" s="394"/>
      <c r="Z838" s="448">
        <f>AC838/(AC828+AC843+AC848+AC838)</f>
        <v>9.8830409356725143E-3</v>
      </c>
      <c r="AA838" s="524">
        <v>7.0000000000000001E-3</v>
      </c>
      <c r="AB838" s="446">
        <v>0</v>
      </c>
      <c r="AC838" s="447">
        <f>AB860</f>
        <v>42250</v>
      </c>
      <c r="AD838" s="447">
        <f>AC838+Z838*(AC828+AC838+AC843+AC848)</f>
        <v>84500</v>
      </c>
      <c r="AE838" s="447">
        <f t="shared" si="1087"/>
        <v>127157.17276170445</v>
      </c>
      <c r="AF838" s="447">
        <f t="shared" si="1087"/>
        <v>170232.39721826039</v>
      </c>
      <c r="AG838" s="447">
        <f t="shared" si="1087"/>
        <v>213736.71408638838</v>
      </c>
      <c r="AH838" s="447">
        <f t="shared" si="1087"/>
        <v>257681.32913377642</v>
      </c>
      <c r="AI838" s="522">
        <f>AH838+$AA838*(AH828+AH838+AH843+AH848)</f>
        <v>289126.5101869739</v>
      </c>
      <c r="AJ838" s="522">
        <f t="shared" ref="AJ838:BF838" si="1090">AI838+$AA838*(AI828+AI838+AI843+AI848)</f>
        <v>320879.1732793749</v>
      </c>
      <c r="AK838" s="522">
        <f t="shared" si="1090"/>
        <v>352945.17874315043</v>
      </c>
      <c r="AL838" s="522">
        <f t="shared" si="1090"/>
        <v>385330.4675781969</v>
      </c>
      <c r="AM838" s="522">
        <f t="shared" si="1090"/>
        <v>418041.06273558503</v>
      </c>
      <c r="AN838" s="522">
        <f t="shared" si="1090"/>
        <v>451083.07042009273</v>
      </c>
      <c r="AO838" s="522">
        <f t="shared" si="1090"/>
        <v>484462.68141211371</v>
      </c>
      <c r="AP838" s="522">
        <f t="shared" si="1090"/>
        <v>518186.17240923992</v>
      </c>
      <c r="AQ838" s="522">
        <f t="shared" si="1090"/>
        <v>552259.90738781856</v>
      </c>
      <c r="AR838" s="522">
        <f t="shared" si="1090"/>
        <v>586690.33898479037</v>
      </c>
      <c r="AS838" s="522">
        <f t="shared" si="1090"/>
        <v>621484.00990011985</v>
      </c>
      <c r="AT838" s="522">
        <f t="shared" si="1090"/>
        <v>656647.55432013271</v>
      </c>
      <c r="AU838" s="522">
        <f t="shared" si="1090"/>
        <v>692187.69936208124</v>
      </c>
      <c r="AV838" s="522">
        <f t="shared" si="1090"/>
        <v>728111.26654026192</v>
      </c>
      <c r="AW838" s="522">
        <f t="shared" si="1090"/>
        <v>764425.17325401667</v>
      </c>
      <c r="AX838" s="522">
        <f t="shared" si="1090"/>
        <v>801136.43429795082</v>
      </c>
      <c r="AY838" s="522">
        <f t="shared" si="1090"/>
        <v>838252.16339471005</v>
      </c>
      <c r="AZ838" s="522">
        <f t="shared" si="1090"/>
        <v>875779.57475065975</v>
      </c>
      <c r="BA838" s="522">
        <f t="shared" si="1090"/>
        <v>913725.98463481804</v>
      </c>
      <c r="BB838" s="522">
        <f t="shared" si="1090"/>
        <v>952098.81298139866</v>
      </c>
      <c r="BC838" s="522">
        <f t="shared" si="1090"/>
        <v>990905.5850163236</v>
      </c>
      <c r="BD838" s="522">
        <f t="shared" si="1090"/>
        <v>1030153.9329080735</v>
      </c>
      <c r="BE838" s="522">
        <f t="shared" si="1090"/>
        <v>1069851.5974432472</v>
      </c>
      <c r="BF838" s="522">
        <f t="shared" si="1090"/>
        <v>1110006.4297272079</v>
      </c>
    </row>
    <row r="839" spans="1:58" x14ac:dyDescent="0.3">
      <c r="A839" s="183"/>
      <c r="B839" s="183"/>
      <c r="C839" s="183"/>
      <c r="D839" s="183"/>
      <c r="E839" s="183"/>
      <c r="F839" s="183"/>
      <c r="G839" s="183"/>
      <c r="H839" s="183"/>
      <c r="I839" s="183"/>
      <c r="J839" s="183"/>
      <c r="K839" s="183"/>
      <c r="L839" s="250"/>
      <c r="M839" s="328" t="s">
        <v>1164</v>
      </c>
      <c r="N839" s="329" t="s">
        <v>1140</v>
      </c>
      <c r="O839" s="262"/>
      <c r="P839" s="262"/>
      <c r="Q839" s="262"/>
      <c r="R839" s="262"/>
      <c r="S839" s="262"/>
      <c r="T839" s="262"/>
      <c r="U839" s="262"/>
      <c r="V839" s="262"/>
      <c r="W839" s="262"/>
      <c r="X839" s="262"/>
      <c r="Y839" s="394"/>
      <c r="Z839" s="448">
        <f>AC839/(AC829+AC844+AC849+AC839)</f>
        <v>3.3167495854063019E-3</v>
      </c>
      <c r="AA839" s="438">
        <f>Z839</f>
        <v>3.3167495854063019E-3</v>
      </c>
      <c r="AB839" s="446">
        <v>0</v>
      </c>
      <c r="AC839" s="447">
        <f>AB861</f>
        <v>20000</v>
      </c>
      <c r="AD839" s="447">
        <f>AC839+Z839*(AC829+AC839+AC844+AC849)</f>
        <v>40000</v>
      </c>
      <c r="AE839" s="447">
        <f t="shared" si="1087"/>
        <v>60179.80853059193</v>
      </c>
      <c r="AF839" s="447">
        <f t="shared" si="1087"/>
        <v>80541.686599395878</v>
      </c>
      <c r="AG839" s="447">
        <f t="shared" si="1087"/>
        <v>101087.92088517157</v>
      </c>
      <c r="AH839" s="447">
        <f t="shared" si="1087"/>
        <v>121820.8240377355</v>
      </c>
      <c r="AI839" s="522">
        <f>AH839+$AA839*(AH829+AH839+AH844+AH849)</f>
        <v>142742.73498135348</v>
      </c>
      <c r="AJ839" s="522">
        <f t="shared" ref="AJ839:BF839" si="1091">AI839+$AA839*(AI829+AI839+AI844+AI849)</f>
        <v>163856.01922164875</v>
      </c>
      <c r="AK839" s="522">
        <f t="shared" si="1091"/>
        <v>185163.06915606663</v>
      </c>
      <c r="AL839" s="522">
        <f t="shared" si="1091"/>
        <v>206666.30438793695</v>
      </c>
      <c r="AM839" s="522">
        <f t="shared" si="1091"/>
        <v>228368.17204417594</v>
      </c>
      <c r="AN839" s="522">
        <f t="shared" si="1091"/>
        <v>250271.14709667023</v>
      </c>
      <c r="AO839" s="522">
        <f t="shared" si="1091"/>
        <v>272377.73268738523</v>
      </c>
      <c r="AP839" s="522">
        <f t="shared" si="1091"/>
        <v>294690.46045724145</v>
      </c>
      <c r="AQ839" s="522">
        <f t="shared" si="1091"/>
        <v>317211.89087880251</v>
      </c>
      <c r="AR839" s="522">
        <f t="shared" si="1091"/>
        <v>339944.6135928189</v>
      </c>
      <c r="AS839" s="522">
        <f t="shared" si="1091"/>
        <v>362891.24774867273</v>
      </c>
      <c r="AT839" s="522">
        <f t="shared" si="1091"/>
        <v>386054.44234876806</v>
      </c>
      <c r="AU839" s="522">
        <f t="shared" si="1091"/>
        <v>409436.87659691327</v>
      </c>
      <c r="AV839" s="522">
        <f t="shared" si="1091"/>
        <v>433041.26025074162</v>
      </c>
      <c r="AW839" s="522">
        <f t="shared" si="1091"/>
        <v>456870.3339782168</v>
      </c>
      <c r="AX839" s="522">
        <f t="shared" si="1091"/>
        <v>480926.86971827102</v>
      </c>
      <c r="AY839" s="522">
        <f t="shared" si="1091"/>
        <v>505213.67104562355</v>
      </c>
      <c r="AZ839" s="522">
        <f t="shared" si="1091"/>
        <v>529733.57353982842</v>
      </c>
      <c r="BA839" s="522">
        <f t="shared" si="1091"/>
        <v>554489.44515860023</v>
      </c>
      <c r="BB839" s="522">
        <f t="shared" si="1091"/>
        <v>579484.18661546777</v>
      </c>
      <c r="BC839" s="522">
        <f t="shared" si="1091"/>
        <v>604720.73176180583</v>
      </c>
      <c r="BD839" s="522">
        <f t="shared" si="1091"/>
        <v>630202.04797329591</v>
      </c>
      <c r="BE839" s="522">
        <f t="shared" si="1091"/>
        <v>655931.13654086704</v>
      </c>
      <c r="BF839" s="522">
        <f t="shared" si="1091"/>
        <v>681911.03306616982</v>
      </c>
    </row>
    <row r="840" spans="1:58" x14ac:dyDescent="0.3">
      <c r="A840" s="183"/>
      <c r="B840" s="183"/>
      <c r="C840" s="183"/>
      <c r="D840" s="183"/>
      <c r="E840" s="183"/>
      <c r="F840" s="183"/>
      <c r="G840" s="183"/>
      <c r="H840" s="183"/>
      <c r="I840" s="183"/>
      <c r="J840" s="183"/>
      <c r="K840" s="183"/>
      <c r="L840" s="250"/>
      <c r="M840" s="326" t="s">
        <v>1146</v>
      </c>
      <c r="N840" s="327" t="s">
        <v>1140</v>
      </c>
      <c r="O840" s="278"/>
      <c r="P840" s="278"/>
      <c r="Q840" s="278"/>
      <c r="R840" s="278"/>
      <c r="S840" s="278"/>
      <c r="T840" s="278"/>
      <c r="U840" s="278"/>
      <c r="V840" s="278"/>
      <c r="W840" s="278"/>
      <c r="X840" s="278"/>
      <c r="Y840" s="394"/>
      <c r="Z840" s="265"/>
      <c r="AA840" s="265"/>
      <c r="AB840" s="445">
        <f>SUM(AB841:AB844)</f>
        <v>5950000</v>
      </c>
      <c r="AC840" s="436">
        <f>SUM(AC841:AC844)</f>
        <v>5950000</v>
      </c>
      <c r="AD840" s="436">
        <f>SUM(AD841:AD844)</f>
        <v>5950000</v>
      </c>
      <c r="AE840" s="436">
        <f>SUM(AE841:AE844)</f>
        <v>5950000</v>
      </c>
      <c r="AF840" s="436">
        <f t="shared" ref="AF840:AI840" si="1092">SUM(AF841:AF844)</f>
        <v>5950000</v>
      </c>
      <c r="AG840" s="436">
        <f t="shared" si="1092"/>
        <v>5950000</v>
      </c>
      <c r="AH840" s="436">
        <f t="shared" si="1092"/>
        <v>5950000</v>
      </c>
      <c r="AI840" s="436">
        <f t="shared" si="1092"/>
        <v>5950000</v>
      </c>
      <c r="AJ840" s="436">
        <f t="shared" ref="AJ840:BF840" si="1093">SUM(AJ841:AJ844)</f>
        <v>5950000</v>
      </c>
      <c r="AK840" s="436">
        <f t="shared" si="1093"/>
        <v>5950000</v>
      </c>
      <c r="AL840" s="436">
        <f t="shared" si="1093"/>
        <v>5950000</v>
      </c>
      <c r="AM840" s="436">
        <f t="shared" si="1093"/>
        <v>5950000</v>
      </c>
      <c r="AN840" s="436">
        <f t="shared" si="1093"/>
        <v>5950000</v>
      </c>
      <c r="AO840" s="436">
        <f t="shared" si="1093"/>
        <v>5950000</v>
      </c>
      <c r="AP840" s="436">
        <f t="shared" si="1093"/>
        <v>5950000</v>
      </c>
      <c r="AQ840" s="436">
        <f t="shared" si="1093"/>
        <v>5950000</v>
      </c>
      <c r="AR840" s="436">
        <f t="shared" si="1093"/>
        <v>5950000</v>
      </c>
      <c r="AS840" s="436">
        <f t="shared" si="1093"/>
        <v>5950000</v>
      </c>
      <c r="AT840" s="436">
        <f t="shared" si="1093"/>
        <v>5950000</v>
      </c>
      <c r="AU840" s="436">
        <f t="shared" si="1093"/>
        <v>5950000</v>
      </c>
      <c r="AV840" s="436">
        <f t="shared" si="1093"/>
        <v>5950000</v>
      </c>
      <c r="AW840" s="436">
        <f t="shared" si="1093"/>
        <v>5950000</v>
      </c>
      <c r="AX840" s="436">
        <f t="shared" si="1093"/>
        <v>5950000</v>
      </c>
      <c r="AY840" s="436">
        <f t="shared" si="1093"/>
        <v>5950000</v>
      </c>
      <c r="AZ840" s="436">
        <f t="shared" si="1093"/>
        <v>5950000</v>
      </c>
      <c r="BA840" s="436">
        <f t="shared" si="1093"/>
        <v>5950000</v>
      </c>
      <c r="BB840" s="436">
        <f t="shared" si="1093"/>
        <v>5950000</v>
      </c>
      <c r="BC840" s="436">
        <f t="shared" si="1093"/>
        <v>5950000</v>
      </c>
      <c r="BD840" s="436">
        <f t="shared" si="1093"/>
        <v>5950000</v>
      </c>
      <c r="BE840" s="436">
        <f t="shared" si="1093"/>
        <v>5950000</v>
      </c>
      <c r="BF840" s="436">
        <f t="shared" si="1093"/>
        <v>5950000</v>
      </c>
    </row>
    <row r="841" spans="1:58" x14ac:dyDescent="0.3">
      <c r="A841" s="183"/>
      <c r="B841" s="183"/>
      <c r="C841" s="183"/>
      <c r="D841" s="183"/>
      <c r="E841" s="183"/>
      <c r="F841" s="183"/>
      <c r="G841" s="183"/>
      <c r="H841" s="183"/>
      <c r="I841" s="183"/>
      <c r="J841" s="183"/>
      <c r="K841" s="183"/>
      <c r="L841" s="250"/>
      <c r="M841" s="328" t="s">
        <v>1162</v>
      </c>
      <c r="N841" s="329" t="s">
        <v>1140</v>
      </c>
      <c r="O841" s="262"/>
      <c r="P841" s="262"/>
      <c r="Q841" s="262"/>
      <c r="R841" s="262"/>
      <c r="S841" s="262"/>
      <c r="T841" s="262"/>
      <c r="U841" s="262"/>
      <c r="V841" s="262"/>
      <c r="W841" s="262"/>
      <c r="X841" s="262"/>
      <c r="Y841" s="394"/>
      <c r="Z841" s="448">
        <f>AC841/AB841</f>
        <v>1</v>
      </c>
      <c r="AA841" s="525">
        <f>Z841</f>
        <v>1</v>
      </c>
      <c r="AB841" s="446">
        <v>1600000</v>
      </c>
      <c r="AC841" s="447">
        <f t="shared" ref="AC841:AC844" si="1094">AB841</f>
        <v>1600000</v>
      </c>
      <c r="AD841" s="447">
        <f>Z841*AC841</f>
        <v>1600000</v>
      </c>
      <c r="AE841" s="447">
        <f>$Z841*AD841</f>
        <v>1600000</v>
      </c>
      <c r="AF841" s="447">
        <f t="shared" ref="AF841:AH844" si="1095">$Z841*AE841</f>
        <v>1600000</v>
      </c>
      <c r="AG841" s="447">
        <f t="shared" si="1095"/>
        <v>1600000</v>
      </c>
      <c r="AH841" s="447">
        <f t="shared" si="1095"/>
        <v>1600000</v>
      </c>
      <c r="AI841" s="522">
        <f>$AA841*AH841</f>
        <v>1600000</v>
      </c>
      <c r="AJ841" s="522">
        <f t="shared" ref="AJ841:BF844" si="1096">$AA841*AI841</f>
        <v>1600000</v>
      </c>
      <c r="AK841" s="522">
        <f t="shared" si="1096"/>
        <v>1600000</v>
      </c>
      <c r="AL841" s="522">
        <f t="shared" si="1096"/>
        <v>1600000</v>
      </c>
      <c r="AM841" s="522">
        <f t="shared" si="1096"/>
        <v>1600000</v>
      </c>
      <c r="AN841" s="522">
        <f t="shared" si="1096"/>
        <v>1600000</v>
      </c>
      <c r="AO841" s="522">
        <f t="shared" si="1096"/>
        <v>1600000</v>
      </c>
      <c r="AP841" s="522">
        <f t="shared" si="1096"/>
        <v>1600000</v>
      </c>
      <c r="AQ841" s="522">
        <f t="shared" si="1096"/>
        <v>1600000</v>
      </c>
      <c r="AR841" s="522">
        <f t="shared" si="1096"/>
        <v>1600000</v>
      </c>
      <c r="AS841" s="522">
        <f t="shared" si="1096"/>
        <v>1600000</v>
      </c>
      <c r="AT841" s="522">
        <f t="shared" si="1096"/>
        <v>1600000</v>
      </c>
      <c r="AU841" s="522">
        <f t="shared" si="1096"/>
        <v>1600000</v>
      </c>
      <c r="AV841" s="522">
        <f t="shared" si="1096"/>
        <v>1600000</v>
      </c>
      <c r="AW841" s="522">
        <f t="shared" si="1096"/>
        <v>1600000</v>
      </c>
      <c r="AX841" s="522">
        <f t="shared" si="1096"/>
        <v>1600000</v>
      </c>
      <c r="AY841" s="522">
        <f t="shared" si="1096"/>
        <v>1600000</v>
      </c>
      <c r="AZ841" s="522">
        <f t="shared" si="1096"/>
        <v>1600000</v>
      </c>
      <c r="BA841" s="522">
        <f t="shared" si="1096"/>
        <v>1600000</v>
      </c>
      <c r="BB841" s="522">
        <f t="shared" si="1096"/>
        <v>1600000</v>
      </c>
      <c r="BC841" s="522">
        <f t="shared" si="1096"/>
        <v>1600000</v>
      </c>
      <c r="BD841" s="522">
        <f t="shared" si="1096"/>
        <v>1600000</v>
      </c>
      <c r="BE841" s="522">
        <f t="shared" si="1096"/>
        <v>1600000</v>
      </c>
      <c r="BF841" s="522">
        <f t="shared" si="1096"/>
        <v>1600000</v>
      </c>
    </row>
    <row r="842" spans="1:58" x14ac:dyDescent="0.3">
      <c r="A842" s="183"/>
      <c r="B842" s="183"/>
      <c r="C842" s="183"/>
      <c r="D842" s="183"/>
      <c r="E842" s="183"/>
      <c r="F842" s="183"/>
      <c r="G842" s="183"/>
      <c r="H842" s="183"/>
      <c r="I842" s="183"/>
      <c r="J842" s="183"/>
      <c r="K842" s="183"/>
      <c r="L842" s="250"/>
      <c r="M842" s="328" t="s">
        <v>417</v>
      </c>
      <c r="N842" s="329" t="s">
        <v>1140</v>
      </c>
      <c r="O842" s="262"/>
      <c r="P842" s="262"/>
      <c r="Q842" s="262"/>
      <c r="R842" s="262"/>
      <c r="S842" s="262"/>
      <c r="T842" s="262"/>
      <c r="U842" s="262"/>
      <c r="V842" s="262"/>
      <c r="W842" s="262"/>
      <c r="X842" s="262"/>
      <c r="Y842" s="394"/>
      <c r="Z842" s="448">
        <f>AC842/AB842</f>
        <v>1</v>
      </c>
      <c r="AA842" s="525">
        <f t="shared" ref="AA842:AA849" si="1097">Z842</f>
        <v>1</v>
      </c>
      <c r="AB842" s="446">
        <v>2600000</v>
      </c>
      <c r="AC842" s="447">
        <f t="shared" si="1094"/>
        <v>2600000</v>
      </c>
      <c r="AD842" s="447">
        <f>Z842*AC842</f>
        <v>2600000</v>
      </c>
      <c r="AE842" s="447">
        <f t="shared" ref="AE842:AH844" si="1098">$Z842*AD842</f>
        <v>2600000</v>
      </c>
      <c r="AF842" s="447">
        <f t="shared" si="1098"/>
        <v>2600000</v>
      </c>
      <c r="AG842" s="447">
        <f t="shared" si="1098"/>
        <v>2600000</v>
      </c>
      <c r="AH842" s="447">
        <f t="shared" si="1098"/>
        <v>2600000</v>
      </c>
      <c r="AI842" s="522">
        <f t="shared" ref="AI842:AX844" si="1099">$AA842*AH842</f>
        <v>2600000</v>
      </c>
      <c r="AJ842" s="522">
        <f t="shared" si="1099"/>
        <v>2600000</v>
      </c>
      <c r="AK842" s="522">
        <f t="shared" si="1099"/>
        <v>2600000</v>
      </c>
      <c r="AL842" s="522">
        <f t="shared" si="1099"/>
        <v>2600000</v>
      </c>
      <c r="AM842" s="522">
        <f t="shared" si="1099"/>
        <v>2600000</v>
      </c>
      <c r="AN842" s="522">
        <f t="shared" si="1099"/>
        <v>2600000</v>
      </c>
      <c r="AO842" s="522">
        <f t="shared" si="1099"/>
        <v>2600000</v>
      </c>
      <c r="AP842" s="522">
        <f t="shared" si="1099"/>
        <v>2600000</v>
      </c>
      <c r="AQ842" s="522">
        <f t="shared" si="1099"/>
        <v>2600000</v>
      </c>
      <c r="AR842" s="522">
        <f t="shared" si="1099"/>
        <v>2600000</v>
      </c>
      <c r="AS842" s="522">
        <f t="shared" si="1099"/>
        <v>2600000</v>
      </c>
      <c r="AT842" s="522">
        <f t="shared" si="1099"/>
        <v>2600000</v>
      </c>
      <c r="AU842" s="522">
        <f t="shared" si="1099"/>
        <v>2600000</v>
      </c>
      <c r="AV842" s="522">
        <f t="shared" si="1099"/>
        <v>2600000</v>
      </c>
      <c r="AW842" s="522">
        <f t="shared" si="1099"/>
        <v>2600000</v>
      </c>
      <c r="AX842" s="522">
        <f t="shared" si="1099"/>
        <v>2600000</v>
      </c>
      <c r="AY842" s="522">
        <f t="shared" si="1096"/>
        <v>2600000</v>
      </c>
      <c r="AZ842" s="522">
        <f t="shared" si="1096"/>
        <v>2600000</v>
      </c>
      <c r="BA842" s="522">
        <f t="shared" si="1096"/>
        <v>2600000</v>
      </c>
      <c r="BB842" s="522">
        <f t="shared" si="1096"/>
        <v>2600000</v>
      </c>
      <c r="BC842" s="522">
        <f t="shared" si="1096"/>
        <v>2600000</v>
      </c>
      <c r="BD842" s="522">
        <f t="shared" si="1096"/>
        <v>2600000</v>
      </c>
      <c r="BE842" s="522">
        <f t="shared" si="1096"/>
        <v>2600000</v>
      </c>
      <c r="BF842" s="522">
        <f t="shared" si="1096"/>
        <v>2600000</v>
      </c>
    </row>
    <row r="843" spans="1:58" x14ac:dyDescent="0.3">
      <c r="A843" s="183"/>
      <c r="B843" s="183"/>
      <c r="C843" s="183"/>
      <c r="D843" s="183"/>
      <c r="E843" s="183"/>
      <c r="F843" s="183"/>
      <c r="G843" s="183"/>
      <c r="H843" s="183"/>
      <c r="I843" s="183"/>
      <c r="J843" s="183"/>
      <c r="K843" s="183"/>
      <c r="L843" s="250"/>
      <c r="M843" s="328" t="s">
        <v>1163</v>
      </c>
      <c r="N843" s="329" t="s">
        <v>1140</v>
      </c>
      <c r="O843" s="262"/>
      <c r="P843" s="262"/>
      <c r="Q843" s="262"/>
      <c r="R843" s="262"/>
      <c r="S843" s="262"/>
      <c r="T843" s="262"/>
      <c r="U843" s="262"/>
      <c r="V843" s="262"/>
      <c r="W843" s="262"/>
      <c r="X843" s="262"/>
      <c r="Y843" s="394"/>
      <c r="Z843" s="448">
        <f>AC843/AB843</f>
        <v>1</v>
      </c>
      <c r="AA843" s="525">
        <f t="shared" si="1097"/>
        <v>1</v>
      </c>
      <c r="AB843" s="446">
        <v>550000</v>
      </c>
      <c r="AC843" s="447">
        <f t="shared" si="1094"/>
        <v>550000</v>
      </c>
      <c r="AD843" s="447">
        <f>Z843*AC843</f>
        <v>550000</v>
      </c>
      <c r="AE843" s="447">
        <f t="shared" si="1098"/>
        <v>550000</v>
      </c>
      <c r="AF843" s="447">
        <f t="shared" si="1095"/>
        <v>550000</v>
      </c>
      <c r="AG843" s="447">
        <f t="shared" si="1095"/>
        <v>550000</v>
      </c>
      <c r="AH843" s="447">
        <f t="shared" si="1095"/>
        <v>550000</v>
      </c>
      <c r="AI843" s="522">
        <f t="shared" si="1099"/>
        <v>550000</v>
      </c>
      <c r="AJ843" s="522">
        <f t="shared" si="1096"/>
        <v>550000</v>
      </c>
      <c r="AK843" s="522">
        <f t="shared" si="1096"/>
        <v>550000</v>
      </c>
      <c r="AL843" s="522">
        <f t="shared" si="1096"/>
        <v>550000</v>
      </c>
      <c r="AM843" s="522">
        <f t="shared" si="1096"/>
        <v>550000</v>
      </c>
      <c r="AN843" s="522">
        <f t="shared" si="1096"/>
        <v>550000</v>
      </c>
      <c r="AO843" s="522">
        <f t="shared" si="1096"/>
        <v>550000</v>
      </c>
      <c r="AP843" s="522">
        <f t="shared" si="1096"/>
        <v>550000</v>
      </c>
      <c r="AQ843" s="522">
        <f t="shared" si="1096"/>
        <v>550000</v>
      </c>
      <c r="AR843" s="522">
        <f t="shared" si="1096"/>
        <v>550000</v>
      </c>
      <c r="AS843" s="522">
        <f t="shared" si="1096"/>
        <v>550000</v>
      </c>
      <c r="AT843" s="522">
        <f t="shared" si="1096"/>
        <v>550000</v>
      </c>
      <c r="AU843" s="522">
        <f t="shared" si="1096"/>
        <v>550000</v>
      </c>
      <c r="AV843" s="522">
        <f t="shared" si="1096"/>
        <v>550000</v>
      </c>
      <c r="AW843" s="522">
        <f t="shared" si="1096"/>
        <v>550000</v>
      </c>
      <c r="AX843" s="522">
        <f t="shared" si="1096"/>
        <v>550000</v>
      </c>
      <c r="AY843" s="522">
        <f t="shared" si="1096"/>
        <v>550000</v>
      </c>
      <c r="AZ843" s="522">
        <f t="shared" si="1096"/>
        <v>550000</v>
      </c>
      <c r="BA843" s="522">
        <f t="shared" si="1096"/>
        <v>550000</v>
      </c>
      <c r="BB843" s="522">
        <f t="shared" si="1096"/>
        <v>550000</v>
      </c>
      <c r="BC843" s="522">
        <f t="shared" si="1096"/>
        <v>550000</v>
      </c>
      <c r="BD843" s="522">
        <f t="shared" si="1096"/>
        <v>550000</v>
      </c>
      <c r="BE843" s="522">
        <f t="shared" si="1096"/>
        <v>550000</v>
      </c>
      <c r="BF843" s="522">
        <f t="shared" si="1096"/>
        <v>550000</v>
      </c>
    </row>
    <row r="844" spans="1:58" x14ac:dyDescent="0.3">
      <c r="A844" s="183"/>
      <c r="B844" s="183"/>
      <c r="C844" s="183"/>
      <c r="D844" s="183"/>
      <c r="E844" s="183"/>
      <c r="F844" s="183"/>
      <c r="G844" s="183"/>
      <c r="H844" s="183"/>
      <c r="I844" s="183"/>
      <c r="J844" s="183"/>
      <c r="K844" s="183"/>
      <c r="L844" s="250"/>
      <c r="M844" s="328" t="s">
        <v>1164</v>
      </c>
      <c r="N844" s="329" t="s">
        <v>1140</v>
      </c>
      <c r="O844" s="262"/>
      <c r="P844" s="262"/>
      <c r="Q844" s="262"/>
      <c r="R844" s="262"/>
      <c r="S844" s="262"/>
      <c r="T844" s="262"/>
      <c r="U844" s="262"/>
      <c r="V844" s="262"/>
      <c r="W844" s="262"/>
      <c r="X844" s="262"/>
      <c r="Y844" s="394"/>
      <c r="Z844" s="448">
        <f>AC844/AB844</f>
        <v>1</v>
      </c>
      <c r="AA844" s="525">
        <f t="shared" si="1097"/>
        <v>1</v>
      </c>
      <c r="AB844" s="446">
        <v>1200000</v>
      </c>
      <c r="AC844" s="447">
        <f t="shared" si="1094"/>
        <v>1200000</v>
      </c>
      <c r="AD844" s="447">
        <f>Z844*AC844</f>
        <v>1200000</v>
      </c>
      <c r="AE844" s="447">
        <f t="shared" si="1098"/>
        <v>1200000</v>
      </c>
      <c r="AF844" s="447">
        <f t="shared" si="1095"/>
        <v>1200000</v>
      </c>
      <c r="AG844" s="447">
        <f t="shared" si="1095"/>
        <v>1200000</v>
      </c>
      <c r="AH844" s="447">
        <f t="shared" si="1095"/>
        <v>1200000</v>
      </c>
      <c r="AI844" s="522">
        <f t="shared" si="1099"/>
        <v>1200000</v>
      </c>
      <c r="AJ844" s="522">
        <f t="shared" si="1096"/>
        <v>1200000</v>
      </c>
      <c r="AK844" s="522">
        <f t="shared" si="1096"/>
        <v>1200000</v>
      </c>
      <c r="AL844" s="522">
        <f t="shared" si="1096"/>
        <v>1200000</v>
      </c>
      <c r="AM844" s="522">
        <f t="shared" si="1096"/>
        <v>1200000</v>
      </c>
      <c r="AN844" s="522">
        <f t="shared" si="1096"/>
        <v>1200000</v>
      </c>
      <c r="AO844" s="522">
        <f t="shared" si="1096"/>
        <v>1200000</v>
      </c>
      <c r="AP844" s="522">
        <f t="shared" si="1096"/>
        <v>1200000</v>
      </c>
      <c r="AQ844" s="522">
        <f t="shared" si="1096"/>
        <v>1200000</v>
      </c>
      <c r="AR844" s="522">
        <f t="shared" si="1096"/>
        <v>1200000</v>
      </c>
      <c r="AS844" s="522">
        <f t="shared" si="1096"/>
        <v>1200000</v>
      </c>
      <c r="AT844" s="522">
        <f t="shared" si="1096"/>
        <v>1200000</v>
      </c>
      <c r="AU844" s="522">
        <f t="shared" si="1096"/>
        <v>1200000</v>
      </c>
      <c r="AV844" s="522">
        <f t="shared" si="1096"/>
        <v>1200000</v>
      </c>
      <c r="AW844" s="522">
        <f t="shared" si="1096"/>
        <v>1200000</v>
      </c>
      <c r="AX844" s="522">
        <f t="shared" si="1096"/>
        <v>1200000</v>
      </c>
      <c r="AY844" s="522">
        <f t="shared" si="1096"/>
        <v>1200000</v>
      </c>
      <c r="AZ844" s="522">
        <f t="shared" si="1096"/>
        <v>1200000</v>
      </c>
      <c r="BA844" s="522">
        <f t="shared" si="1096"/>
        <v>1200000</v>
      </c>
      <c r="BB844" s="522">
        <f t="shared" si="1096"/>
        <v>1200000</v>
      </c>
      <c r="BC844" s="522">
        <f t="shared" si="1096"/>
        <v>1200000</v>
      </c>
      <c r="BD844" s="522">
        <f t="shared" si="1096"/>
        <v>1200000</v>
      </c>
      <c r="BE844" s="522">
        <f t="shared" si="1096"/>
        <v>1200000</v>
      </c>
      <c r="BF844" s="522">
        <f t="shared" si="1096"/>
        <v>1200000</v>
      </c>
    </row>
    <row r="845" spans="1:58" x14ac:dyDescent="0.3">
      <c r="A845" s="183"/>
      <c r="B845" s="183"/>
      <c r="C845" s="183"/>
      <c r="D845" s="183"/>
      <c r="E845" s="183"/>
      <c r="F845" s="183"/>
      <c r="G845" s="183"/>
      <c r="H845" s="183"/>
      <c r="I845" s="183"/>
      <c r="J845" s="183"/>
      <c r="K845" s="183"/>
      <c r="L845" s="250"/>
      <c r="M845" s="326" t="s">
        <v>1147</v>
      </c>
      <c r="N845" s="327" t="s">
        <v>1140</v>
      </c>
      <c r="O845" s="278"/>
      <c r="P845" s="278"/>
      <c r="Q845" s="278"/>
      <c r="R845" s="278"/>
      <c r="S845" s="278"/>
      <c r="T845" s="278"/>
      <c r="U845" s="278"/>
      <c r="V845" s="278"/>
      <c r="W845" s="278"/>
      <c r="X845" s="278"/>
      <c r="Y845" s="394"/>
      <c r="Z845" s="265"/>
      <c r="AA845" s="265"/>
      <c r="AB845" s="445">
        <f>SUM(AB846:AB849)</f>
        <v>0</v>
      </c>
      <c r="AC845" s="436">
        <f>SUM(AC846:AC849)</f>
        <v>225000</v>
      </c>
      <c r="AD845" s="436">
        <f>SUM(AD846:AD849)</f>
        <v>450000</v>
      </c>
      <c r="AE845" s="436">
        <f>SUM(AE846:AE849)</f>
        <v>677813.29994276457</v>
      </c>
      <c r="AF845" s="436">
        <f t="shared" ref="AF845:AI845" si="1100">SUM(AF846:AF849)</f>
        <v>908502.29853573081</v>
      </c>
      <c r="AG845" s="436">
        <f t="shared" si="1100"/>
        <v>1142130.4958418077</v>
      </c>
      <c r="AH845" s="436">
        <f t="shared" si="1100"/>
        <v>1378762.5155372494</v>
      </c>
      <c r="AI845" s="436">
        <f t="shared" si="1100"/>
        <v>1618464.1276005048</v>
      </c>
      <c r="AJ845" s="436">
        <f t="shared" ref="AJ845:BF845" si="1101">SUM(AJ846:AJ849)</f>
        <v>1861278.1684898997</v>
      </c>
      <c r="AK845" s="436">
        <f t="shared" si="1101"/>
        <v>2107269.9150359002</v>
      </c>
      <c r="AL845" s="436">
        <f t="shared" si="1101"/>
        <v>2356505.8074339479</v>
      </c>
      <c r="AM845" s="436">
        <f t="shared" si="1101"/>
        <v>2609053.4723005164</v>
      </c>
      <c r="AN845" s="436">
        <f t="shared" si="1101"/>
        <v>2864981.7461768556</v>
      </c>
      <c r="AO845" s="436">
        <f t="shared" si="1101"/>
        <v>3124360.6994893788</v>
      </c>
      <c r="AP845" s="436">
        <f t="shared" si="1101"/>
        <v>3387261.6609757985</v>
      </c>
      <c r="AQ845" s="436">
        <f t="shared" si="1101"/>
        <v>3653757.242586311</v>
      </c>
      <c r="AR845" s="436">
        <f t="shared" si="1101"/>
        <v>3923921.364869317</v>
      </c>
      <c r="AS845" s="436">
        <f t="shared" si="1101"/>
        <v>4197829.2828513579</v>
      </c>
      <c r="AT845" s="436">
        <f t="shared" si="1101"/>
        <v>4475557.6124211121</v>
      </c>
      <c r="AU845" s="436">
        <f t="shared" si="1101"/>
        <v>4757184.3572275601</v>
      </c>
      <c r="AV845" s="436">
        <f t="shared" si="1101"/>
        <v>5042788.9361025328</v>
      </c>
      <c r="AW845" s="436">
        <f t="shared" si="1101"/>
        <v>5332452.2110181581</v>
      </c>
      <c r="AX845" s="436">
        <f t="shared" si="1101"/>
        <v>5626256.5155898705</v>
      </c>
      <c r="AY845" s="436">
        <f t="shared" si="1101"/>
        <v>5924285.6841358719</v>
      </c>
      <c r="AZ845" s="436">
        <f t="shared" si="1101"/>
        <v>6226625.0813041702</v>
      </c>
      <c r="BA845" s="436">
        <f t="shared" si="1101"/>
        <v>6533361.6322785309</v>
      </c>
      <c r="BB845" s="436">
        <f t="shared" si="1101"/>
        <v>6844583.8535749</v>
      </c>
      <c r="BC845" s="436">
        <f t="shared" si="1101"/>
        <v>7160381.8844400886</v>
      </c>
      <c r="BD845" s="436">
        <f t="shared" si="1101"/>
        <v>7480847.5188647751</v>
      </c>
      <c r="BE845" s="436">
        <f t="shared" si="1101"/>
        <v>7806074.23822306</v>
      </c>
      <c r="BF845" s="436">
        <f t="shared" si="1101"/>
        <v>8136157.244551125</v>
      </c>
    </row>
    <row r="846" spans="1:58" x14ac:dyDescent="0.3">
      <c r="A846" s="183"/>
      <c r="B846" s="183"/>
      <c r="C846" s="183"/>
      <c r="D846" s="183"/>
      <c r="E846" s="183"/>
      <c r="F846" s="183"/>
      <c r="G846" s="183"/>
      <c r="H846" s="183"/>
      <c r="I846" s="183"/>
      <c r="J846" s="183"/>
      <c r="K846" s="183"/>
      <c r="L846" s="250"/>
      <c r="M846" s="328" t="s">
        <v>1162</v>
      </c>
      <c r="N846" s="329" t="s">
        <v>1140</v>
      </c>
      <c r="O846" s="262"/>
      <c r="P846" s="262"/>
      <c r="Q846" s="262"/>
      <c r="R846" s="262"/>
      <c r="S846" s="262"/>
      <c r="T846" s="262"/>
      <c r="U846" s="262"/>
      <c r="V846" s="262"/>
      <c r="W846" s="262"/>
      <c r="X846" s="262"/>
      <c r="Y846" s="394"/>
      <c r="Z846" s="448">
        <f>AC846/(AC826+AC836+AC841+AC846)</f>
        <v>1.2809564474807857E-2</v>
      </c>
      <c r="AA846" s="405">
        <f t="shared" si="1097"/>
        <v>1.2809564474807857E-2</v>
      </c>
      <c r="AB846" s="446">
        <v>0</v>
      </c>
      <c r="AC846" s="447">
        <f>AB853</f>
        <v>75000</v>
      </c>
      <c r="AD846" s="447">
        <f>AC846+Z846*(AC826+AC836+AC841+AC846)</f>
        <v>150000</v>
      </c>
      <c r="AE846" s="447">
        <f t="shared" ref="AE846:AH849" si="1102">AD846+$Z846*(AD826+AD836+AD841+AD846)</f>
        <v>226139.72033362481</v>
      </c>
      <c r="AF846" s="447">
        <f t="shared" si="1102"/>
        <v>303446.49057872407</v>
      </c>
      <c r="AG846" s="447">
        <f t="shared" si="1102"/>
        <v>381948.1838455699</v>
      </c>
      <c r="AH846" s="447">
        <f t="shared" si="1102"/>
        <v>461673.22837810451</v>
      </c>
      <c r="AI846" s="522">
        <f t="shared" ref="AI846:BF846" si="1103">AH846+$AA846*(AH826+AH836+AH841+AH846)</f>
        <v>542650.61939605197</v>
      </c>
      <c r="AJ846" s="522">
        <f t="shared" si="1103"/>
        <v>624909.93118294911</v>
      </c>
      <c r="AK846" s="522">
        <f t="shared" si="1103"/>
        <v>708481.32942525507</v>
      </c>
      <c r="AL846" s="522">
        <f t="shared" si="1103"/>
        <v>793395.58380780835</v>
      </c>
      <c r="AM846" s="522">
        <f t="shared" si="1103"/>
        <v>879684.0808710088</v>
      </c>
      <c r="AN846" s="522">
        <f t="shared" si="1103"/>
        <v>967378.83713521506</v>
      </c>
      <c r="AO846" s="522">
        <f t="shared" si="1103"/>
        <v>1056512.5124979632</v>
      </c>
      <c r="AP846" s="522">
        <f t="shared" si="1103"/>
        <v>1147118.4239097279</v>
      </c>
      <c r="AQ846" s="522">
        <f t="shared" si="1103"/>
        <v>1239230.5593340709</v>
      </c>
      <c r="AR846" s="522">
        <f t="shared" si="1103"/>
        <v>1332883.5919981357</v>
      </c>
      <c r="AS846" s="522">
        <f t="shared" si="1103"/>
        <v>1428112.8949395837</v>
      </c>
      <c r="AT846" s="522">
        <f t="shared" si="1103"/>
        <v>1524954.5558561829</v>
      </c>
      <c r="AU846" s="522">
        <f t="shared" si="1103"/>
        <v>1623445.3922643969</v>
      </c>
      <c r="AV846" s="522">
        <f t="shared" si="1103"/>
        <v>1723622.9669734535</v>
      </c>
      <c r="AW846" s="522">
        <f t="shared" si="1103"/>
        <v>1825525.6038815065</v>
      </c>
      <c r="AX846" s="522">
        <f t="shared" si="1103"/>
        <v>1929192.4041006428</v>
      </c>
      <c r="AY846" s="522">
        <f t="shared" si="1103"/>
        <v>2034663.262417628</v>
      </c>
      <c r="AZ846" s="522">
        <f t="shared" si="1103"/>
        <v>2141978.8840974299</v>
      </c>
      <c r="BA846" s="522">
        <f t="shared" si="1103"/>
        <v>2251180.8020367031</v>
      </c>
      <c r="BB846" s="522">
        <f t="shared" si="1103"/>
        <v>2362311.3942745691</v>
      </c>
      <c r="BC846" s="522">
        <f t="shared" si="1103"/>
        <v>2475413.9018681841</v>
      </c>
      <c r="BD846" s="522">
        <f t="shared" si="1103"/>
        <v>2590532.4471407332</v>
      </c>
      <c r="BE846" s="522">
        <f t="shared" si="1103"/>
        <v>2707712.0523096621</v>
      </c>
      <c r="BF846" s="522">
        <f t="shared" si="1103"/>
        <v>2826998.6585031115</v>
      </c>
    </row>
    <row r="847" spans="1:58" x14ac:dyDescent="0.3">
      <c r="A847" s="183"/>
      <c r="B847" s="183"/>
      <c r="C847" s="183"/>
      <c r="D847" s="183"/>
      <c r="E847" s="183"/>
      <c r="F847" s="183"/>
      <c r="G847" s="183"/>
      <c r="H847" s="183"/>
      <c r="I847" s="183"/>
      <c r="J847" s="183"/>
      <c r="K847" s="183"/>
      <c r="L847" s="250"/>
      <c r="M847" s="328" t="s">
        <v>417</v>
      </c>
      <c r="N847" s="329" t="s">
        <v>1140</v>
      </c>
      <c r="O847" s="262"/>
      <c r="P847" s="262"/>
      <c r="Q847" s="262"/>
      <c r="R847" s="262"/>
      <c r="S847" s="262"/>
      <c r="T847" s="262"/>
      <c r="U847" s="262"/>
      <c r="V847" s="262"/>
      <c r="W847" s="262"/>
      <c r="X847" s="262"/>
      <c r="Y847" s="394"/>
      <c r="Z847" s="448">
        <f>AC847/(AC827+AC837+AC842+AC847)</f>
        <v>9.7817908201655382E-3</v>
      </c>
      <c r="AA847" s="405">
        <f t="shared" si="1097"/>
        <v>9.7817908201655382E-3</v>
      </c>
      <c r="AB847" s="446">
        <v>0</v>
      </c>
      <c r="AC847" s="447">
        <f>AB854</f>
        <v>65000</v>
      </c>
      <c r="AD847" s="447">
        <f>AC847+Z847*(AC827+AC837+AC842+AC847)</f>
        <v>130000</v>
      </c>
      <c r="AE847" s="447">
        <f t="shared" si="1102"/>
        <v>195886.75540314149</v>
      </c>
      <c r="AF847" s="447">
        <f t="shared" si="1102"/>
        <v>262680.67068599362</v>
      </c>
      <c r="AG847" s="447">
        <f t="shared" si="1102"/>
        <v>330402.50994843105</v>
      </c>
      <c r="AH847" s="447">
        <f t="shared" si="1102"/>
        <v>399073.40411374881</v>
      </c>
      <c r="AI847" s="522">
        <f t="shared" ref="AI847:BF847" si="1104">AH847+$AA847*(AH827+AH837+AH842+AH847)</f>
        <v>468714.85826410836</v>
      </c>
      <c r="AJ847" s="522">
        <f t="shared" si="1104"/>
        <v>539348.75911393703</v>
      </c>
      <c r="AK847" s="522">
        <f t="shared" si="1104"/>
        <v>610997.38262395433</v>
      </c>
      <c r="AL847" s="522">
        <f t="shared" si="1104"/>
        <v>683683.4017585495</v>
      </c>
      <c r="AM847" s="522">
        <f t="shared" si="1104"/>
        <v>757429.89438928699</v>
      </c>
      <c r="AN847" s="522">
        <f t="shared" si="1104"/>
        <v>832260.35134736809</v>
      </c>
      <c r="AO847" s="522">
        <f t="shared" si="1104"/>
        <v>908198.68462793366</v>
      </c>
      <c r="AP847" s="522">
        <f t="shared" si="1104"/>
        <v>985269.23574914527</v>
      </c>
      <c r="AQ847" s="522">
        <f t="shared" si="1104"/>
        <v>1063496.7842690393</v>
      </c>
      <c r="AR847" s="522">
        <f t="shared" si="1104"/>
        <v>1142906.5564632071</v>
      </c>
      <c r="AS847" s="522">
        <f t="shared" si="1104"/>
        <v>1223524.2341664105</v>
      </c>
      <c r="AT847" s="522">
        <f t="shared" si="1104"/>
        <v>1305375.9637813014</v>
      </c>
      <c r="AU847" s="522">
        <f t="shared" si="1104"/>
        <v>1388488.365457478</v>
      </c>
      <c r="AV847" s="522">
        <f t="shared" si="1104"/>
        <v>1472888.5424441667</v>
      </c>
      <c r="AW847" s="522">
        <f t="shared" si="1104"/>
        <v>1558604.0906198884</v>
      </c>
      <c r="AX847" s="522">
        <f t="shared" si="1104"/>
        <v>1645663.1082025236</v>
      </c>
      <c r="AY847" s="522">
        <f t="shared" si="1104"/>
        <v>1734094.2056432641</v>
      </c>
      <c r="AZ847" s="522">
        <f t="shared" si="1104"/>
        <v>1823926.515708003</v>
      </c>
      <c r="BA847" s="522">
        <f t="shared" si="1104"/>
        <v>1915189.7037497773</v>
      </c>
      <c r="BB847" s="522">
        <f t="shared" si="1104"/>
        <v>2007913.9781759577</v>
      </c>
      <c r="BC847" s="522">
        <f t="shared" si="1104"/>
        <v>2102130.1011139387</v>
      </c>
      <c r="BD847" s="522">
        <f t="shared" si="1104"/>
        <v>2197869.3992791642</v>
      </c>
      <c r="BE847" s="522">
        <f t="shared" si="1104"/>
        <v>2295163.7750493884</v>
      </c>
      <c r="BF847" s="522">
        <f t="shared" si="1104"/>
        <v>2394045.7177491551</v>
      </c>
    </row>
    <row r="848" spans="1:58" x14ac:dyDescent="0.3">
      <c r="A848" s="183"/>
      <c r="B848" s="183"/>
      <c r="C848" s="183"/>
      <c r="D848" s="183"/>
      <c r="E848" s="183"/>
      <c r="F848" s="183"/>
      <c r="G848" s="183"/>
      <c r="H848" s="183"/>
      <c r="I848" s="183"/>
      <c r="J848" s="183"/>
      <c r="K848" s="183"/>
      <c r="L848" s="250"/>
      <c r="M848" s="328" t="s">
        <v>1163</v>
      </c>
      <c r="N848" s="329" t="s">
        <v>1140</v>
      </c>
      <c r="O848" s="262"/>
      <c r="P848" s="262"/>
      <c r="Q848" s="262"/>
      <c r="R848" s="262"/>
      <c r="S848" s="262"/>
      <c r="T848" s="262"/>
      <c r="U848" s="262"/>
      <c r="V848" s="262"/>
      <c r="W848" s="262"/>
      <c r="X848" s="262"/>
      <c r="Y848" s="394"/>
      <c r="Z848" s="448">
        <f>AC848/(AC828+AC838+AC843+AC848)</f>
        <v>8.1871345029239772E-3</v>
      </c>
      <c r="AA848" s="405">
        <f t="shared" si="1097"/>
        <v>8.1871345029239772E-3</v>
      </c>
      <c r="AB848" s="446">
        <v>0</v>
      </c>
      <c r="AC848" s="447">
        <f>AB855</f>
        <v>35000</v>
      </c>
      <c r="AD848" s="447">
        <f>AC848+Z848*(AC828+AC838+AC843+AC848)</f>
        <v>70000</v>
      </c>
      <c r="AE848" s="447">
        <f t="shared" si="1102"/>
        <v>105337.30287951848</v>
      </c>
      <c r="AF848" s="447">
        <f t="shared" si="1102"/>
        <v>141020.92077252339</v>
      </c>
      <c r="AG848" s="447">
        <f t="shared" si="1102"/>
        <v>177059.99983487793</v>
      </c>
      <c r="AH848" s="447">
        <f t="shared" si="1102"/>
        <v>213463.82295105737</v>
      </c>
      <c r="AI848" s="522">
        <f t="shared" ref="AI848:BF848" si="1105">AH848+$AA848*(AH828+AH838+AH843+AH848)</f>
        <v>250241.81248696087</v>
      </c>
      <c r="AJ848" s="522">
        <f t="shared" si="1105"/>
        <v>287379.43013889185</v>
      </c>
      <c r="AK848" s="522">
        <f t="shared" si="1105"/>
        <v>324883.53009652405</v>
      </c>
      <c r="AL848" s="522">
        <f t="shared" si="1105"/>
        <v>362761.06089774793</v>
      </c>
      <c r="AM848" s="522">
        <f t="shared" si="1105"/>
        <v>401019.06692978088</v>
      </c>
      <c r="AN848" s="522">
        <f t="shared" si="1105"/>
        <v>439664.68995259691</v>
      </c>
      <c r="AO848" s="522">
        <f t="shared" si="1105"/>
        <v>478705.17064501916</v>
      </c>
      <c r="AP848" s="522">
        <f t="shared" si="1105"/>
        <v>518147.85017382179</v>
      </c>
      <c r="AQ848" s="522">
        <f t="shared" si="1105"/>
        <v>558000.17178619443</v>
      </c>
      <c r="AR848" s="522">
        <f t="shared" si="1105"/>
        <v>598269.6824259276</v>
      </c>
      <c r="AS848" s="522">
        <f t="shared" si="1105"/>
        <v>638964.03437368141</v>
      </c>
      <c r="AT848" s="522">
        <f t="shared" si="1105"/>
        <v>680090.98691170814</v>
      </c>
      <c r="AU848" s="522">
        <f t="shared" si="1105"/>
        <v>721658.40801340225</v>
      </c>
      <c r="AV848" s="522">
        <f t="shared" si="1105"/>
        <v>763674.27605805802</v>
      </c>
      <c r="AW848" s="522">
        <f t="shared" si="1105"/>
        <v>806146.68157122144</v>
      </c>
      <c r="AX848" s="522">
        <f t="shared" si="1105"/>
        <v>849083.82899102743</v>
      </c>
      <c r="AY848" s="522">
        <f t="shared" si="1105"/>
        <v>892494.03846092126</v>
      </c>
      <c r="AZ848" s="522">
        <f t="shared" si="1105"/>
        <v>936385.7476491665</v>
      </c>
      <c r="BA848" s="522">
        <f t="shared" si="1105"/>
        <v>980767.51359555044</v>
      </c>
      <c r="BB848" s="522">
        <f t="shared" si="1105"/>
        <v>1025648.0145857031</v>
      </c>
      <c r="BC848" s="522">
        <f t="shared" si="1105"/>
        <v>1071036.0520534515</v>
      </c>
      <c r="BD848" s="522">
        <f t="shared" si="1105"/>
        <v>1116940.5525116387</v>
      </c>
      <c r="BE848" s="522">
        <f t="shared" si="1105"/>
        <v>1163370.569511842</v>
      </c>
      <c r="BF848" s="522">
        <f t="shared" si="1105"/>
        <v>1210335.2856334334</v>
      </c>
    </row>
    <row r="849" spans="1:58" x14ac:dyDescent="0.3">
      <c r="A849" s="183"/>
      <c r="B849" s="183"/>
      <c r="C849" s="183"/>
      <c r="D849" s="183"/>
      <c r="E849" s="183"/>
      <c r="F849" s="183"/>
      <c r="G849" s="183"/>
      <c r="H849" s="183"/>
      <c r="I849" s="183"/>
      <c r="J849" s="183"/>
      <c r="K849" s="183"/>
      <c r="L849" s="250"/>
      <c r="M849" s="328" t="s">
        <v>1164</v>
      </c>
      <c r="N849" s="329" t="s">
        <v>1140</v>
      </c>
      <c r="O849" s="262"/>
      <c r="P849" s="262"/>
      <c r="Q849" s="262"/>
      <c r="R849" s="262"/>
      <c r="S849" s="262"/>
      <c r="T849" s="262"/>
      <c r="U849" s="262"/>
      <c r="V849" s="262"/>
      <c r="W849" s="262"/>
      <c r="X849" s="262"/>
      <c r="Y849" s="394"/>
      <c r="Z849" s="448">
        <f>AC849/(AC829+AC839+AC844+AC849)</f>
        <v>8.291873963515755E-3</v>
      </c>
      <c r="AA849" s="405">
        <f t="shared" si="1097"/>
        <v>8.291873963515755E-3</v>
      </c>
      <c r="AB849" s="446">
        <v>0</v>
      </c>
      <c r="AC849" s="447">
        <f>AB856</f>
        <v>50000</v>
      </c>
      <c r="AD849" s="447">
        <f>AC849+Z849*(AC829+AC839+AC844+AC849)</f>
        <v>100000</v>
      </c>
      <c r="AE849" s="447">
        <f t="shared" si="1102"/>
        <v>150449.52132647982</v>
      </c>
      <c r="AF849" s="447">
        <f t="shared" si="1102"/>
        <v>201354.21649848972</v>
      </c>
      <c r="AG849" s="447">
        <f t="shared" si="1102"/>
        <v>252719.80221292895</v>
      </c>
      <c r="AH849" s="447">
        <f t="shared" si="1102"/>
        <v>304552.06009433873</v>
      </c>
      <c r="AI849" s="522">
        <f t="shared" ref="AI849:BF849" si="1106">AH849+$AA849*(AH829+AH839+AH844+AH849)</f>
        <v>356856.83745338366</v>
      </c>
      <c r="AJ849" s="522">
        <f t="shared" si="1106"/>
        <v>409640.04805412184</v>
      </c>
      <c r="AK849" s="522">
        <f t="shared" si="1106"/>
        <v>462907.67289016658</v>
      </c>
      <c r="AL849" s="522">
        <f t="shared" si="1106"/>
        <v>516665.76096984232</v>
      </c>
      <c r="AM849" s="522">
        <f t="shared" si="1106"/>
        <v>570920.43011043977</v>
      </c>
      <c r="AN849" s="522">
        <f t="shared" si="1106"/>
        <v>625677.86774167547</v>
      </c>
      <c r="AO849" s="522">
        <f t="shared" si="1106"/>
        <v>680944.33171846299</v>
      </c>
      <c r="AP849" s="522">
        <f t="shared" si="1106"/>
        <v>736726.15114310349</v>
      </c>
      <c r="AQ849" s="522">
        <f t="shared" si="1106"/>
        <v>793029.72719700611</v>
      </c>
      <c r="AR849" s="522">
        <f t="shared" si="1106"/>
        <v>849861.53398204711</v>
      </c>
      <c r="AS849" s="522">
        <f t="shared" si="1106"/>
        <v>907228.11937168171</v>
      </c>
      <c r="AT849" s="522">
        <f t="shared" si="1106"/>
        <v>965136.10587192001</v>
      </c>
      <c r="AU849" s="522">
        <f t="shared" si="1106"/>
        <v>1023592.191492283</v>
      </c>
      <c r="AV849" s="522">
        <f t="shared" si="1106"/>
        <v>1082603.1506268538</v>
      </c>
      <c r="AW849" s="522">
        <f t="shared" si="1106"/>
        <v>1142175.8349455418</v>
      </c>
      <c r="AX849" s="522">
        <f t="shared" si="1106"/>
        <v>1202317.1742956773</v>
      </c>
      <c r="AY849" s="522">
        <f t="shared" si="1106"/>
        <v>1263034.1776140586</v>
      </c>
      <c r="AZ849" s="522">
        <f t="shared" si="1106"/>
        <v>1324333.9338495708</v>
      </c>
      <c r="BA849" s="522">
        <f t="shared" si="1106"/>
        <v>1386223.6128965004</v>
      </c>
      <c r="BB849" s="522">
        <f t="shared" si="1106"/>
        <v>1448710.4665386693</v>
      </c>
      <c r="BC849" s="522">
        <f t="shared" si="1106"/>
        <v>1511801.8294045145</v>
      </c>
      <c r="BD849" s="522">
        <f t="shared" si="1106"/>
        <v>1575505.1199332396</v>
      </c>
      <c r="BE849" s="522">
        <f t="shared" si="1106"/>
        <v>1639827.8413521675</v>
      </c>
      <c r="BF849" s="522">
        <f t="shared" si="1106"/>
        <v>1704777.5826654246</v>
      </c>
    </row>
    <row r="850" spans="1:58" x14ac:dyDescent="0.3">
      <c r="A850" s="183"/>
      <c r="B850" s="183"/>
      <c r="C850" s="183"/>
      <c r="D850" s="183"/>
      <c r="E850" s="183"/>
      <c r="F850" s="183"/>
      <c r="G850" s="183"/>
      <c r="H850" s="183"/>
      <c r="I850" s="183"/>
      <c r="J850" s="183"/>
      <c r="K850" s="183"/>
      <c r="L850" s="250"/>
      <c r="M850" s="328"/>
      <c r="N850" s="329"/>
      <c r="O850" s="262"/>
      <c r="P850" s="262"/>
      <c r="Q850" s="262"/>
      <c r="R850" s="262"/>
      <c r="S850" s="262"/>
      <c r="T850" s="262"/>
      <c r="U850" s="262"/>
      <c r="V850" s="262"/>
      <c r="W850" s="262"/>
      <c r="X850" s="262"/>
      <c r="Y850" s="394"/>
      <c r="Z850" s="183"/>
      <c r="AA850" s="183"/>
      <c r="AB850" s="262"/>
      <c r="AC850" s="262"/>
      <c r="AD850" s="183"/>
      <c r="AE850" s="183"/>
      <c r="AF850" s="183"/>
      <c r="AG850" s="183"/>
      <c r="AH850" s="183"/>
      <c r="AI850" s="183"/>
      <c r="AJ850" s="183"/>
      <c r="AK850" s="183"/>
      <c r="AL850" s="183"/>
      <c r="AM850" s="183"/>
      <c r="AN850" s="183"/>
      <c r="AO850" s="183"/>
      <c r="AP850" s="183"/>
      <c r="AQ850" s="183"/>
      <c r="AR850" s="183"/>
      <c r="AS850" s="183"/>
      <c r="AT850" s="183"/>
      <c r="AU850" s="183"/>
      <c r="AV850" s="183"/>
      <c r="AW850" s="183"/>
      <c r="AX850" s="183"/>
      <c r="AY850" s="183"/>
      <c r="AZ850" s="183"/>
      <c r="BA850" s="183"/>
      <c r="BB850" s="183"/>
      <c r="BC850" s="183"/>
      <c r="BD850" s="183"/>
      <c r="BE850" s="183"/>
      <c r="BF850" s="183"/>
    </row>
    <row r="851" spans="1:58" ht="12" hidden="1" customHeight="1" x14ac:dyDescent="0.3">
      <c r="A851" s="183"/>
      <c r="B851" s="183"/>
      <c r="C851" s="183"/>
      <c r="D851" s="183"/>
      <c r="E851" s="183"/>
      <c r="F851" s="183"/>
      <c r="G851" s="183"/>
      <c r="H851" s="183"/>
      <c r="I851" s="183"/>
      <c r="J851" s="183"/>
      <c r="K851" s="183"/>
      <c r="L851" s="250"/>
      <c r="M851" s="330" t="s">
        <v>1148</v>
      </c>
      <c r="N851" s="329"/>
      <c r="O851" s="262"/>
      <c r="P851" s="262"/>
      <c r="Q851" s="262"/>
      <c r="R851" s="262"/>
      <c r="S851" s="262"/>
      <c r="T851" s="262"/>
      <c r="U851" s="262"/>
      <c r="V851" s="262"/>
      <c r="W851" s="262"/>
      <c r="X851" s="262"/>
      <c r="Y851" s="394"/>
      <c r="Z851" s="183"/>
      <c r="AA851" s="183"/>
      <c r="AB851" s="262"/>
      <c r="AC851" s="262"/>
      <c r="AD851" s="183"/>
      <c r="AE851" s="183"/>
      <c r="AF851" s="183"/>
      <c r="AG851" s="183"/>
      <c r="AH851" s="183"/>
      <c r="AI851" s="183"/>
      <c r="AJ851" s="183"/>
      <c r="AK851" s="183"/>
      <c r="AL851" s="183"/>
      <c r="AM851" s="183"/>
      <c r="AN851" s="183"/>
      <c r="AO851" s="183"/>
      <c r="AP851" s="183"/>
      <c r="AQ851" s="183"/>
      <c r="AR851" s="183"/>
      <c r="AS851" s="183"/>
      <c r="AT851" s="183"/>
      <c r="AU851" s="183"/>
      <c r="AV851" s="183"/>
      <c r="AW851" s="183"/>
      <c r="AX851" s="183"/>
      <c r="AY851" s="183"/>
      <c r="AZ851" s="183"/>
      <c r="BA851" s="183"/>
      <c r="BB851" s="183"/>
      <c r="BC851" s="183"/>
      <c r="BD851" s="183"/>
      <c r="BE851" s="183"/>
      <c r="BF851" s="183"/>
    </row>
    <row r="852" spans="1:58" ht="12" hidden="1" customHeight="1" x14ac:dyDescent="0.3">
      <c r="A852" s="183"/>
      <c r="B852" s="183"/>
      <c r="C852" s="183"/>
      <c r="D852" s="183"/>
      <c r="E852" s="183"/>
      <c r="F852" s="183"/>
      <c r="G852" s="183"/>
      <c r="H852" s="183"/>
      <c r="I852" s="183"/>
      <c r="J852" s="183"/>
      <c r="K852" s="183"/>
      <c r="L852" s="250"/>
      <c r="M852" s="331" t="s">
        <v>1149</v>
      </c>
      <c r="N852" s="332" t="s">
        <v>1140</v>
      </c>
      <c r="O852" s="262"/>
      <c r="P852" s="262"/>
      <c r="Q852" s="262"/>
      <c r="R852" s="262"/>
      <c r="S852" s="262"/>
      <c r="T852" s="262"/>
      <c r="U852" s="262"/>
      <c r="V852" s="262"/>
      <c r="W852" s="262"/>
      <c r="X852" s="262"/>
      <c r="Y852" s="394"/>
      <c r="Z852" s="183"/>
      <c r="AA852" s="183"/>
      <c r="AB852" s="262">
        <f>SUM(AB853:AB856)</f>
        <v>225000</v>
      </c>
      <c r="AC852" s="262"/>
      <c r="AD852" s="183"/>
      <c r="AE852" s="183"/>
      <c r="AF852" s="183"/>
      <c r="AG852" s="183"/>
      <c r="AH852" s="183"/>
      <c r="AI852" s="183"/>
      <c r="AJ852" s="183"/>
      <c r="AK852" s="183"/>
      <c r="AL852" s="183"/>
      <c r="AM852" s="183"/>
      <c r="AN852" s="183"/>
      <c r="AO852" s="183"/>
      <c r="AP852" s="183"/>
      <c r="AQ852" s="183"/>
      <c r="AR852" s="183"/>
      <c r="AS852" s="183"/>
      <c r="AT852" s="183"/>
      <c r="AU852" s="183"/>
      <c r="AV852" s="183"/>
      <c r="AW852" s="183"/>
      <c r="AX852" s="183"/>
      <c r="AY852" s="183"/>
      <c r="AZ852" s="183"/>
      <c r="BA852" s="183"/>
      <c r="BB852" s="183"/>
      <c r="BC852" s="183"/>
      <c r="BD852" s="183"/>
      <c r="BE852" s="183"/>
      <c r="BF852" s="183"/>
    </row>
    <row r="853" spans="1:58" ht="12" hidden="1" customHeight="1" x14ac:dyDescent="0.3">
      <c r="A853" s="183"/>
      <c r="B853" s="183"/>
      <c r="C853" s="183"/>
      <c r="D853" s="183"/>
      <c r="E853" s="183"/>
      <c r="F853" s="183"/>
      <c r="G853" s="183"/>
      <c r="H853" s="183"/>
      <c r="I853" s="183"/>
      <c r="J853" s="183"/>
      <c r="K853" s="183"/>
      <c r="L853" s="250"/>
      <c r="M853" s="328" t="s">
        <v>1162</v>
      </c>
      <c r="N853" s="329" t="s">
        <v>1140</v>
      </c>
      <c r="O853" s="262"/>
      <c r="P853" s="262"/>
      <c r="Q853" s="262"/>
      <c r="R853" s="262"/>
      <c r="S853" s="262"/>
      <c r="T853" s="262"/>
      <c r="U853" s="262"/>
      <c r="V853" s="262"/>
      <c r="W853" s="262"/>
      <c r="X853" s="262"/>
      <c r="Y853" s="394"/>
      <c r="Z853" s="183"/>
      <c r="AA853" s="183"/>
      <c r="AB853" s="262">
        <v>75000</v>
      </c>
      <c r="AC853" s="262">
        <f>AB853/(AB826+AB841)</f>
        <v>1.2931034482758621E-2</v>
      </c>
      <c r="AD853" s="183"/>
      <c r="AE853" s="183"/>
      <c r="AF853" s="183"/>
      <c r="AG853" s="183"/>
      <c r="AH853" s="183"/>
      <c r="AI853" s="183"/>
      <c r="AJ853" s="183"/>
      <c r="AK853" s="183"/>
      <c r="AL853" s="183"/>
      <c r="AM853" s="183"/>
      <c r="AN853" s="183"/>
      <c r="AO853" s="183"/>
      <c r="AP853" s="183"/>
      <c r="AQ853" s="183"/>
      <c r="AR853" s="183"/>
      <c r="AS853" s="183"/>
      <c r="AT853" s="183"/>
      <c r="AU853" s="183"/>
      <c r="AV853" s="183"/>
      <c r="AW853" s="183"/>
      <c r="AX853" s="183"/>
      <c r="AY853" s="183"/>
      <c r="AZ853" s="183"/>
      <c r="BA853" s="183"/>
      <c r="BB853" s="183"/>
      <c r="BC853" s="183"/>
      <c r="BD853" s="183"/>
      <c r="BE853" s="183"/>
      <c r="BF853" s="183"/>
    </row>
    <row r="854" spans="1:58" ht="12" hidden="1" customHeight="1" x14ac:dyDescent="0.3">
      <c r="A854" s="183"/>
      <c r="B854" s="183"/>
      <c r="C854" s="183"/>
      <c r="D854" s="183"/>
      <c r="E854" s="183"/>
      <c r="F854" s="183"/>
      <c r="G854" s="183"/>
      <c r="H854" s="183"/>
      <c r="I854" s="183"/>
      <c r="J854" s="183"/>
      <c r="K854" s="183"/>
      <c r="L854" s="250"/>
      <c r="M854" s="328" t="s">
        <v>417</v>
      </c>
      <c r="N854" s="329" t="s">
        <v>1140</v>
      </c>
      <c r="O854" s="262"/>
      <c r="P854" s="262"/>
      <c r="Q854" s="262"/>
      <c r="R854" s="262"/>
      <c r="S854" s="262"/>
      <c r="T854" s="262"/>
      <c r="U854" s="262"/>
      <c r="V854" s="262"/>
      <c r="W854" s="262"/>
      <c r="X854" s="262"/>
      <c r="Y854" s="394"/>
      <c r="Z854" s="183"/>
      <c r="AA854" s="183"/>
      <c r="AB854" s="262">
        <v>65000</v>
      </c>
      <c r="AC854" s="262">
        <f>AB854/(AB827+AB842)</f>
        <v>9.8484848484848477E-3</v>
      </c>
      <c r="AD854" s="183"/>
      <c r="AE854" s="183"/>
      <c r="AF854" s="183"/>
      <c r="AG854" s="183"/>
      <c r="AH854" s="183"/>
      <c r="AI854" s="183"/>
      <c r="AJ854" s="183"/>
      <c r="AK854" s="183"/>
      <c r="AL854" s="183"/>
      <c r="AM854" s="183"/>
      <c r="AN854" s="183"/>
      <c r="AO854" s="183"/>
      <c r="AP854" s="183"/>
      <c r="AQ854" s="183"/>
      <c r="AR854" s="183"/>
      <c r="AS854" s="183"/>
      <c r="AT854" s="183"/>
      <c r="AU854" s="183"/>
      <c r="AV854" s="183"/>
      <c r="AW854" s="183"/>
      <c r="AX854" s="183"/>
      <c r="AY854" s="183"/>
      <c r="AZ854" s="183"/>
      <c r="BA854" s="183"/>
      <c r="BB854" s="183"/>
      <c r="BC854" s="183"/>
      <c r="BD854" s="183"/>
      <c r="BE854" s="183"/>
      <c r="BF854" s="183"/>
    </row>
    <row r="855" spans="1:58" ht="12" hidden="1" customHeight="1" x14ac:dyDescent="0.3">
      <c r="A855" s="183"/>
      <c r="B855" s="183"/>
      <c r="C855" s="183"/>
      <c r="D855" s="183"/>
      <c r="E855" s="183"/>
      <c r="F855" s="183"/>
      <c r="G855" s="183"/>
      <c r="H855" s="183"/>
      <c r="I855" s="183"/>
      <c r="J855" s="183"/>
      <c r="K855" s="183"/>
      <c r="L855" s="250"/>
      <c r="M855" s="328" t="s">
        <v>1163</v>
      </c>
      <c r="N855" s="329" t="s">
        <v>1140</v>
      </c>
      <c r="O855" s="262"/>
      <c r="P855" s="262"/>
      <c r="Q855" s="262"/>
      <c r="R855" s="262"/>
      <c r="S855" s="262"/>
      <c r="T855" s="262"/>
      <c r="U855" s="262"/>
      <c r="V855" s="262"/>
      <c r="W855" s="262"/>
      <c r="X855" s="262"/>
      <c r="Y855" s="394"/>
      <c r="Z855" s="183"/>
      <c r="AA855" s="183"/>
      <c r="AB855" s="262">
        <v>35000</v>
      </c>
      <c r="AC855" s="262">
        <f>AB855/(AB828+AB843)</f>
        <v>8.2352941176470594E-3</v>
      </c>
      <c r="AD855" s="183"/>
      <c r="AE855" s="183"/>
      <c r="AF855" s="183"/>
      <c r="AG855" s="183"/>
      <c r="AH855" s="183"/>
      <c r="AI855" s="183"/>
      <c r="AJ855" s="183"/>
      <c r="AK855" s="183"/>
      <c r="AL855" s="183"/>
      <c r="AM855" s="183"/>
      <c r="AN855" s="183"/>
      <c r="AO855" s="183"/>
      <c r="AP855" s="183"/>
      <c r="AQ855" s="183"/>
      <c r="AR855" s="183"/>
      <c r="AS855" s="183"/>
      <c r="AT855" s="183"/>
      <c r="AU855" s="183"/>
      <c r="AV855" s="183"/>
      <c r="AW855" s="183"/>
      <c r="AX855" s="183"/>
      <c r="AY855" s="183"/>
      <c r="AZ855" s="183"/>
      <c r="BA855" s="183"/>
      <c r="BB855" s="183"/>
      <c r="BC855" s="183"/>
      <c r="BD855" s="183"/>
      <c r="BE855" s="183"/>
      <c r="BF855" s="183"/>
    </row>
    <row r="856" spans="1:58" ht="12" hidden="1" customHeight="1" x14ac:dyDescent="0.3">
      <c r="A856" s="183"/>
      <c r="B856" s="183"/>
      <c r="C856" s="183"/>
      <c r="D856" s="183"/>
      <c r="E856" s="183"/>
      <c r="F856" s="183"/>
      <c r="G856" s="183"/>
      <c r="H856" s="183"/>
      <c r="I856" s="183"/>
      <c r="J856" s="183"/>
      <c r="K856" s="183"/>
      <c r="L856" s="250"/>
      <c r="M856" s="328" t="s">
        <v>1164</v>
      </c>
      <c r="N856" s="329" t="s">
        <v>1140</v>
      </c>
      <c r="O856" s="262"/>
      <c r="P856" s="262"/>
      <c r="Q856" s="262"/>
      <c r="R856" s="262"/>
      <c r="S856" s="262"/>
      <c r="T856" s="262"/>
      <c r="U856" s="262"/>
      <c r="V856" s="262"/>
      <c r="W856" s="262"/>
      <c r="X856" s="262"/>
      <c r="Y856" s="394"/>
      <c r="Z856" s="183"/>
      <c r="AA856" s="183"/>
      <c r="AB856" s="262">
        <v>50000</v>
      </c>
      <c r="AC856" s="262">
        <f>AB856/(AB829+AB844)</f>
        <v>8.3333333333333332E-3</v>
      </c>
      <c r="AD856" s="183"/>
      <c r="AE856" s="183"/>
      <c r="AF856" s="183"/>
      <c r="AG856" s="183"/>
      <c r="AH856" s="183"/>
      <c r="AI856" s="183"/>
      <c r="AJ856" s="183"/>
      <c r="AK856" s="183"/>
      <c r="AL856" s="183"/>
      <c r="AM856" s="183"/>
      <c r="AN856" s="183"/>
      <c r="AO856" s="183"/>
      <c r="AP856" s="183"/>
      <c r="AQ856" s="183"/>
      <c r="AR856" s="183"/>
      <c r="AS856" s="183"/>
      <c r="AT856" s="183"/>
      <c r="AU856" s="183"/>
      <c r="AV856" s="183"/>
      <c r="AW856" s="183"/>
      <c r="AX856" s="183"/>
      <c r="AY856" s="183"/>
      <c r="AZ856" s="183"/>
      <c r="BA856" s="183"/>
      <c r="BB856" s="183"/>
      <c r="BC856" s="183"/>
      <c r="BD856" s="183"/>
      <c r="BE856" s="183"/>
      <c r="BF856" s="183"/>
    </row>
    <row r="857" spans="1:58" ht="12" hidden="1" customHeight="1" x14ac:dyDescent="0.3">
      <c r="A857" s="183"/>
      <c r="B857" s="183"/>
      <c r="C857" s="183"/>
      <c r="D857" s="183"/>
      <c r="E857" s="183"/>
      <c r="F857" s="183"/>
      <c r="G857" s="183"/>
      <c r="H857" s="183"/>
      <c r="I857" s="183"/>
      <c r="J857" s="183"/>
      <c r="K857" s="183"/>
      <c r="L857" s="250"/>
      <c r="M857" s="331" t="s">
        <v>1150</v>
      </c>
      <c r="N857" s="332" t="s">
        <v>1140</v>
      </c>
      <c r="O857" s="262"/>
      <c r="P857" s="262"/>
      <c r="Q857" s="262"/>
      <c r="R857" s="262"/>
      <c r="S857" s="262"/>
      <c r="T857" s="262"/>
      <c r="U857" s="262"/>
      <c r="V857" s="262"/>
      <c r="W857" s="262"/>
      <c r="X857" s="262"/>
      <c r="Y857" s="394"/>
      <c r="Z857" s="183"/>
      <c r="AA857" s="183"/>
      <c r="AB857" s="262">
        <f>SUM(AB858:AB861)</f>
        <v>172250</v>
      </c>
      <c r="AC857" s="262"/>
      <c r="AD857" s="183"/>
      <c r="AE857" s="183"/>
      <c r="AF857" s="183"/>
      <c r="AG857" s="183"/>
      <c r="AH857" s="183"/>
      <c r="AI857" s="183"/>
      <c r="AJ857" s="183"/>
      <c r="AK857" s="183"/>
      <c r="AL857" s="183"/>
      <c r="AM857" s="183"/>
      <c r="AN857" s="183"/>
      <c r="AO857" s="183"/>
      <c r="AP857" s="183"/>
      <c r="AQ857" s="183"/>
      <c r="AR857" s="183"/>
      <c r="AS857" s="183"/>
      <c r="AT857" s="183"/>
      <c r="AU857" s="183"/>
      <c r="AV857" s="183"/>
      <c r="AW857" s="183"/>
      <c r="AX857" s="183"/>
      <c r="AY857" s="183"/>
      <c r="AZ857" s="183"/>
      <c r="BA857" s="183"/>
      <c r="BB857" s="183"/>
      <c r="BC857" s="183"/>
      <c r="BD857" s="183"/>
      <c r="BE857" s="183"/>
      <c r="BF857" s="183"/>
    </row>
    <row r="858" spans="1:58" ht="12" hidden="1" customHeight="1" x14ac:dyDescent="0.3">
      <c r="A858" s="183"/>
      <c r="B858" s="183"/>
      <c r="C858" s="183"/>
      <c r="D858" s="183"/>
      <c r="E858" s="183"/>
      <c r="F858" s="183"/>
      <c r="G858" s="183"/>
      <c r="H858" s="183"/>
      <c r="I858" s="183"/>
      <c r="J858" s="183"/>
      <c r="K858" s="183"/>
      <c r="L858" s="250"/>
      <c r="M858" s="328" t="s">
        <v>1162</v>
      </c>
      <c r="N858" s="329" t="s">
        <v>1140</v>
      </c>
      <c r="O858" s="262"/>
      <c r="P858" s="262"/>
      <c r="Q858" s="262"/>
      <c r="R858" s="262"/>
      <c r="S858" s="262"/>
      <c r="T858" s="262"/>
      <c r="U858" s="262"/>
      <c r="V858" s="262"/>
      <c r="W858" s="262"/>
      <c r="X858" s="262"/>
      <c r="Y858" s="394"/>
      <c r="Z858" s="183"/>
      <c r="AA858" s="183"/>
      <c r="AB858" s="262">
        <v>47500</v>
      </c>
      <c r="AC858" s="262">
        <f>AB858/(AC826+AC841)</f>
        <v>8.2860880941997388E-3</v>
      </c>
      <c r="AD858" s="183"/>
      <c r="AE858" s="183"/>
      <c r="AF858" s="183"/>
      <c r="AG858" s="183"/>
      <c r="AH858" s="183"/>
      <c r="AI858" s="183"/>
      <c r="AJ858" s="183"/>
      <c r="AK858" s="183"/>
      <c r="AL858" s="183"/>
      <c r="AM858" s="183"/>
      <c r="AN858" s="183"/>
      <c r="AO858" s="183"/>
      <c r="AP858" s="183"/>
      <c r="AQ858" s="183"/>
      <c r="AR858" s="183"/>
      <c r="AS858" s="183"/>
      <c r="AT858" s="183"/>
      <c r="AU858" s="183"/>
      <c r="AV858" s="183"/>
      <c r="AW858" s="183"/>
      <c r="AX858" s="183"/>
      <c r="AY858" s="183"/>
      <c r="AZ858" s="183"/>
      <c r="BA858" s="183"/>
      <c r="BB858" s="183"/>
      <c r="BC858" s="183"/>
      <c r="BD858" s="183"/>
      <c r="BE858" s="183"/>
      <c r="BF858" s="183"/>
    </row>
    <row r="859" spans="1:58" ht="12" hidden="1" customHeight="1" x14ac:dyDescent="0.3">
      <c r="A859" s="183"/>
      <c r="B859" s="183"/>
      <c r="C859" s="183"/>
      <c r="D859" s="183"/>
      <c r="E859" s="183"/>
      <c r="F859" s="183"/>
      <c r="G859" s="183"/>
      <c r="H859" s="183"/>
      <c r="I859" s="183"/>
      <c r="J859" s="183"/>
      <c r="K859" s="183"/>
      <c r="L859" s="250"/>
      <c r="M859" s="328" t="s">
        <v>417</v>
      </c>
      <c r="N859" s="329" t="s">
        <v>1140</v>
      </c>
      <c r="O859" s="262"/>
      <c r="P859" s="262"/>
      <c r="Q859" s="262"/>
      <c r="R859" s="262"/>
      <c r="S859" s="262"/>
      <c r="T859" s="262"/>
      <c r="U859" s="262"/>
      <c r="V859" s="262"/>
      <c r="W859" s="262"/>
      <c r="X859" s="262"/>
      <c r="Y859" s="394"/>
      <c r="Z859" s="183"/>
      <c r="AA859" s="183"/>
      <c r="AB859" s="262">
        <v>62500</v>
      </c>
      <c r="AC859" s="262">
        <f>AB859/(AC827+AC842)</f>
        <v>9.5895665515918684E-3</v>
      </c>
      <c r="AD859" s="183"/>
      <c r="AE859" s="183"/>
      <c r="AF859" s="183"/>
      <c r="AG859" s="183"/>
      <c r="AH859" s="183"/>
      <c r="AI859" s="183"/>
      <c r="AJ859" s="183"/>
      <c r="AK859" s="183"/>
      <c r="AL859" s="183"/>
      <c r="AM859" s="183"/>
      <c r="AN859" s="183"/>
      <c r="AO859" s="183"/>
      <c r="AP859" s="183"/>
      <c r="AQ859" s="183"/>
      <c r="AR859" s="183"/>
      <c r="AS859" s="183"/>
      <c r="AT859" s="183"/>
      <c r="AU859" s="183"/>
      <c r="AV859" s="183"/>
      <c r="AW859" s="183"/>
      <c r="AX859" s="183"/>
      <c r="AY859" s="183"/>
      <c r="AZ859" s="183"/>
      <c r="BA859" s="183"/>
      <c r="BB859" s="183"/>
      <c r="BC859" s="183"/>
      <c r="BD859" s="183"/>
      <c r="BE859" s="183"/>
      <c r="BF859" s="183"/>
    </row>
    <row r="860" spans="1:58" ht="12" hidden="1" customHeight="1" x14ac:dyDescent="0.3">
      <c r="A860" s="183"/>
      <c r="B860" s="183"/>
      <c r="C860" s="183"/>
      <c r="D860" s="183"/>
      <c r="E860" s="183"/>
      <c r="F860" s="183"/>
      <c r="G860" s="183"/>
      <c r="H860" s="183"/>
      <c r="I860" s="183"/>
      <c r="J860" s="183"/>
      <c r="K860" s="183"/>
      <c r="L860" s="250"/>
      <c r="M860" s="328" t="s">
        <v>1163</v>
      </c>
      <c r="N860" s="329" t="s">
        <v>1140</v>
      </c>
      <c r="O860" s="262"/>
      <c r="P860" s="262"/>
      <c r="Q860" s="262"/>
      <c r="R860" s="262"/>
      <c r="S860" s="262"/>
      <c r="T860" s="262"/>
      <c r="U860" s="262"/>
      <c r="V860" s="262"/>
      <c r="W860" s="262"/>
      <c r="X860" s="262"/>
      <c r="Y860" s="394"/>
      <c r="Z860" s="183"/>
      <c r="AA860" s="183"/>
      <c r="AB860" s="262">
        <v>42250</v>
      </c>
      <c r="AC860" s="262">
        <f>AB860/(AC828+AC843)</f>
        <v>1.0064915728664166E-2</v>
      </c>
      <c r="AD860" s="183"/>
      <c r="AE860" s="183"/>
      <c r="AF860" s="183"/>
      <c r="AG860" s="183"/>
      <c r="AH860" s="183"/>
      <c r="AI860" s="183"/>
      <c r="AJ860" s="183"/>
      <c r="AK860" s="183"/>
      <c r="AL860" s="183"/>
      <c r="AM860" s="183"/>
      <c r="AN860" s="183"/>
      <c r="AO860" s="183"/>
      <c r="AP860" s="183"/>
      <c r="AQ860" s="183"/>
      <c r="AR860" s="183"/>
      <c r="AS860" s="183"/>
      <c r="AT860" s="183"/>
      <c r="AU860" s="183"/>
      <c r="AV860" s="183"/>
      <c r="AW860" s="183"/>
      <c r="AX860" s="183"/>
      <c r="AY860" s="183"/>
      <c r="AZ860" s="183"/>
      <c r="BA860" s="183"/>
      <c r="BB860" s="183"/>
      <c r="BC860" s="183"/>
      <c r="BD860" s="183"/>
      <c r="BE860" s="183"/>
      <c r="BF860" s="183"/>
    </row>
    <row r="861" spans="1:58" ht="12" hidden="1" customHeight="1" x14ac:dyDescent="0.3">
      <c r="A861" s="183"/>
      <c r="B861" s="183"/>
      <c r="C861" s="183"/>
      <c r="D861" s="183"/>
      <c r="E861" s="183"/>
      <c r="F861" s="183"/>
      <c r="G861" s="183"/>
      <c r="H861" s="183"/>
      <c r="I861" s="183"/>
      <c r="J861" s="183"/>
      <c r="K861" s="183"/>
      <c r="L861" s="250"/>
      <c r="M861" s="328" t="s">
        <v>1164</v>
      </c>
      <c r="N861" s="329" t="s">
        <v>1140</v>
      </c>
      <c r="O861" s="262"/>
      <c r="P861" s="262"/>
      <c r="Q861" s="262"/>
      <c r="R861" s="262"/>
      <c r="S861" s="262"/>
      <c r="T861" s="262"/>
      <c r="U861" s="262"/>
      <c r="V861" s="262"/>
      <c r="W861" s="262"/>
      <c r="X861" s="262"/>
      <c r="Y861" s="394"/>
      <c r="Z861" s="183"/>
      <c r="AA861" s="183"/>
      <c r="AB861" s="262">
        <v>20000</v>
      </c>
      <c r="AC861" s="262">
        <f>AB861/(AC829+AC844)</f>
        <v>3.3557046979865771E-3</v>
      </c>
      <c r="AD861" s="183"/>
      <c r="AE861" s="183"/>
      <c r="AF861" s="183"/>
      <c r="AG861" s="183"/>
      <c r="AH861" s="183"/>
      <c r="AI861" s="183"/>
      <c r="AJ861" s="183"/>
      <c r="AK861" s="183"/>
      <c r="AL861" s="183"/>
      <c r="AM861" s="183"/>
      <c r="AN861" s="183"/>
      <c r="AO861" s="183"/>
      <c r="AP861" s="183"/>
      <c r="AQ861" s="183"/>
      <c r="AR861" s="183"/>
      <c r="AS861" s="183"/>
      <c r="AT861" s="183"/>
      <c r="AU861" s="183"/>
      <c r="AV861" s="183"/>
      <c r="AW861" s="183"/>
      <c r="AX861" s="183"/>
      <c r="AY861" s="183"/>
      <c r="AZ861" s="183"/>
      <c r="BA861" s="183"/>
      <c r="BB861" s="183"/>
      <c r="BC861" s="183"/>
      <c r="BD861" s="183"/>
      <c r="BE861" s="183"/>
      <c r="BF861" s="183"/>
    </row>
    <row r="862" spans="1:58" ht="12" hidden="1" customHeight="1" x14ac:dyDescent="0.3">
      <c r="A862" s="183"/>
      <c r="B862" s="183"/>
      <c r="C862" s="183"/>
      <c r="D862" s="183"/>
      <c r="E862" s="183"/>
      <c r="F862" s="183"/>
      <c r="G862" s="183"/>
      <c r="H862" s="183"/>
      <c r="I862" s="183"/>
      <c r="J862" s="183"/>
      <c r="K862" s="183"/>
      <c r="L862" s="250"/>
      <c r="M862" s="331" t="s">
        <v>1151</v>
      </c>
      <c r="N862" s="332" t="s">
        <v>1140</v>
      </c>
      <c r="O862" s="262"/>
      <c r="P862" s="262"/>
      <c r="Q862" s="262"/>
      <c r="R862" s="262"/>
      <c r="S862" s="262"/>
      <c r="T862" s="262"/>
      <c r="U862" s="262"/>
      <c r="V862" s="262"/>
      <c r="W862" s="262"/>
      <c r="X862" s="262"/>
      <c r="Y862" s="394"/>
      <c r="Z862" s="183"/>
      <c r="AA862" s="183"/>
      <c r="AB862" s="262">
        <f>SUM(AB863:AB866)</f>
        <v>70000</v>
      </c>
      <c r="AC862" s="262"/>
      <c r="AD862" s="183"/>
      <c r="AE862" s="183"/>
      <c r="AF862" s="183"/>
      <c r="AG862" s="183"/>
      <c r="AH862" s="183"/>
      <c r="AI862" s="183"/>
      <c r="AJ862" s="183"/>
      <c r="AK862" s="183"/>
      <c r="AL862" s="183"/>
      <c r="AM862" s="183"/>
      <c r="AN862" s="183"/>
      <c r="AO862" s="183"/>
      <c r="AP862" s="183"/>
      <c r="AQ862" s="183"/>
      <c r="AR862" s="183"/>
      <c r="AS862" s="183"/>
      <c r="AT862" s="183"/>
      <c r="AU862" s="183"/>
      <c r="AV862" s="183"/>
      <c r="AW862" s="183"/>
      <c r="AX862" s="183"/>
      <c r="AY862" s="183"/>
      <c r="AZ862" s="183"/>
      <c r="BA862" s="183"/>
      <c r="BB862" s="183"/>
      <c r="BC862" s="183"/>
      <c r="BD862" s="183"/>
      <c r="BE862" s="183"/>
      <c r="BF862" s="183"/>
    </row>
    <row r="863" spans="1:58" ht="12" hidden="1" customHeight="1" x14ac:dyDescent="0.3">
      <c r="A863" s="183"/>
      <c r="B863" s="183"/>
      <c r="C863" s="183"/>
      <c r="D863" s="183"/>
      <c r="E863" s="183"/>
      <c r="F863" s="183"/>
      <c r="G863" s="183"/>
      <c r="H863" s="183"/>
      <c r="I863" s="183"/>
      <c r="J863" s="183"/>
      <c r="K863" s="183"/>
      <c r="L863" s="250"/>
      <c r="M863" s="328" t="s">
        <v>1162</v>
      </c>
      <c r="N863" s="329" t="s">
        <v>1140</v>
      </c>
      <c r="O863" s="270"/>
      <c r="P863" s="270"/>
      <c r="Q863" s="270"/>
      <c r="R863" s="270"/>
      <c r="S863" s="270"/>
      <c r="T863" s="270"/>
      <c r="U863" s="270"/>
      <c r="V863" s="270"/>
      <c r="W863" s="270"/>
      <c r="X863" s="270"/>
      <c r="Y863" s="394"/>
      <c r="Z863" s="183"/>
      <c r="AA863" s="183"/>
      <c r="AB863" s="270">
        <v>20000</v>
      </c>
      <c r="AC863" s="270">
        <f>AB863/(AB826+AB841)</f>
        <v>3.4482758620689655E-3</v>
      </c>
      <c r="AD863" s="183"/>
      <c r="AE863" s="183"/>
      <c r="AF863" s="183"/>
      <c r="AG863" s="183"/>
      <c r="AH863" s="183"/>
      <c r="AI863" s="183"/>
      <c r="AJ863" s="183"/>
      <c r="AK863" s="183"/>
      <c r="AL863" s="183"/>
      <c r="AM863" s="183"/>
      <c r="AN863" s="183"/>
      <c r="AO863" s="183"/>
      <c r="AP863" s="183"/>
      <c r="AQ863" s="183"/>
      <c r="AR863" s="183"/>
      <c r="AS863" s="183"/>
      <c r="AT863" s="183"/>
      <c r="AU863" s="183"/>
      <c r="AV863" s="183"/>
      <c r="AW863" s="183"/>
      <c r="AX863" s="183"/>
      <c r="AY863" s="183"/>
      <c r="AZ863" s="183"/>
      <c r="BA863" s="183"/>
      <c r="BB863" s="183"/>
      <c r="BC863" s="183"/>
      <c r="BD863" s="183"/>
      <c r="BE863" s="183"/>
      <c r="BF863" s="183"/>
    </row>
    <row r="864" spans="1:58" ht="12" hidden="1" customHeight="1" x14ac:dyDescent="0.3">
      <c r="A864" s="183"/>
      <c r="B864" s="183"/>
      <c r="C864" s="183"/>
      <c r="D864" s="183"/>
      <c r="E864" s="183"/>
      <c r="F864" s="183"/>
      <c r="G864" s="183"/>
      <c r="H864" s="183"/>
      <c r="I864" s="183"/>
      <c r="J864" s="183"/>
      <c r="K864" s="183"/>
      <c r="L864" s="250"/>
      <c r="M864" s="328" t="s">
        <v>417</v>
      </c>
      <c r="N864" s="329" t="s">
        <v>1140</v>
      </c>
      <c r="O864" s="262"/>
      <c r="P864" s="262"/>
      <c r="Q864" s="262"/>
      <c r="R864" s="262"/>
      <c r="S864" s="262"/>
      <c r="T864" s="262"/>
      <c r="U864" s="262"/>
      <c r="V864" s="262"/>
      <c r="W864" s="262"/>
      <c r="X864" s="262"/>
      <c r="Y864" s="394"/>
      <c r="Z864" s="183"/>
      <c r="AA864" s="183"/>
      <c r="AB864" s="262">
        <v>20000</v>
      </c>
      <c r="AC864" s="262">
        <f>AB864/(AB827+AB842)</f>
        <v>3.0303030303030303E-3</v>
      </c>
      <c r="AD864" s="183"/>
      <c r="AE864" s="183"/>
      <c r="AF864" s="183"/>
      <c r="AG864" s="183"/>
      <c r="AH864" s="183"/>
      <c r="AI864" s="183"/>
      <c r="AJ864" s="183"/>
      <c r="AK864" s="183"/>
      <c r="AL864" s="183"/>
      <c r="AM864" s="183"/>
      <c r="AN864" s="183"/>
      <c r="AO864" s="183"/>
      <c r="AP864" s="183"/>
      <c r="AQ864" s="183"/>
      <c r="AR864" s="183"/>
      <c r="AS864" s="183"/>
      <c r="AT864" s="183"/>
      <c r="AU864" s="183"/>
      <c r="AV864" s="183"/>
      <c r="AW864" s="183"/>
      <c r="AX864" s="183"/>
      <c r="AY864" s="183"/>
      <c r="AZ864" s="183"/>
      <c r="BA864" s="183"/>
      <c r="BB864" s="183"/>
      <c r="BC864" s="183"/>
      <c r="BD864" s="183"/>
      <c r="BE864" s="183"/>
      <c r="BF864" s="183"/>
    </row>
    <row r="865" spans="1:58" ht="12" hidden="1" customHeight="1" x14ac:dyDescent="0.3">
      <c r="A865" s="183"/>
      <c r="B865" s="183"/>
      <c r="C865" s="183"/>
      <c r="D865" s="183"/>
      <c r="E865" s="183"/>
      <c r="F865" s="183"/>
      <c r="G865" s="183"/>
      <c r="H865" s="183"/>
      <c r="I865" s="183"/>
      <c r="J865" s="183"/>
      <c r="K865" s="183"/>
      <c r="L865" s="250"/>
      <c r="M865" s="328" t="s">
        <v>1163</v>
      </c>
      <c r="N865" s="329" t="s">
        <v>1140</v>
      </c>
      <c r="O865" s="261" t="str">
        <f>IFERROR((#REF!+O862)/O825,"")</f>
        <v/>
      </c>
      <c r="P865" s="261" t="str">
        <f>IFERROR((#REF!+P862)/P825,"")</f>
        <v/>
      </c>
      <c r="Q865" s="261" t="str">
        <f>IFERROR((#REF!+Q862)/Q825,"")</f>
        <v/>
      </c>
      <c r="R865" s="261" t="str">
        <f>IFERROR((#REF!+R862)/R825,"")</f>
        <v/>
      </c>
      <c r="S865" s="261" t="str">
        <f>IFERROR((#REF!+S862)/S825,"")</f>
        <v/>
      </c>
      <c r="T865" s="261" t="str">
        <f>IFERROR((#REF!+T862)/T825,"")</f>
        <v/>
      </c>
      <c r="U865" s="261" t="str">
        <f>IFERROR((#REF!+U862)/U825,"")</f>
        <v/>
      </c>
      <c r="V865" s="261" t="str">
        <f>IFERROR((#REF!+V862)/V825,"")</f>
        <v/>
      </c>
      <c r="W865" s="261" t="str">
        <f>IFERROR((#REF!+W862)/W825,"")</f>
        <v/>
      </c>
      <c r="X865" s="261" t="str">
        <f>IFERROR((#REF!+X862)/X825,"")</f>
        <v/>
      </c>
      <c r="Y865" s="394"/>
      <c r="Z865" s="183"/>
      <c r="AA865" s="183"/>
      <c r="AB865" s="261">
        <v>10000</v>
      </c>
      <c r="AC865" s="261">
        <f>AB865/(AB828+AB843)</f>
        <v>2.352941176470588E-3</v>
      </c>
      <c r="AD865" s="183"/>
      <c r="AE865" s="183"/>
      <c r="AF865" s="183"/>
      <c r="AG865" s="183"/>
      <c r="AH865" s="183"/>
      <c r="AI865" s="183"/>
      <c r="AJ865" s="183"/>
      <c r="AK865" s="183"/>
      <c r="AL865" s="183"/>
      <c r="AM865" s="183"/>
      <c r="AN865" s="183"/>
      <c r="AO865" s="183"/>
      <c r="AP865" s="183"/>
      <c r="AQ865" s="183"/>
      <c r="AR865" s="183"/>
      <c r="AS865" s="183"/>
      <c r="AT865" s="183"/>
      <c r="AU865" s="183"/>
      <c r="AV865" s="183"/>
      <c r="AW865" s="183"/>
      <c r="AX865" s="183"/>
      <c r="AY865" s="183"/>
      <c r="AZ865" s="183"/>
      <c r="BA865" s="183"/>
      <c r="BB865" s="183"/>
      <c r="BC865" s="183"/>
      <c r="BD865" s="183"/>
      <c r="BE865" s="183"/>
      <c r="BF865" s="183"/>
    </row>
    <row r="866" spans="1:58" ht="12" hidden="1" customHeight="1" x14ac:dyDescent="0.3">
      <c r="A866" s="183"/>
      <c r="B866" s="183"/>
      <c r="C866" s="183"/>
      <c r="D866" s="183"/>
      <c r="E866" s="183"/>
      <c r="F866" s="183"/>
      <c r="G866" s="183"/>
      <c r="H866" s="183"/>
      <c r="I866" s="183"/>
      <c r="J866" s="183"/>
      <c r="K866" s="183"/>
      <c r="L866" s="250"/>
      <c r="M866" s="328" t="s">
        <v>1164</v>
      </c>
      <c r="N866" s="329" t="s">
        <v>1140</v>
      </c>
      <c r="O866" s="261" t="str">
        <f>IFERROR((#REF!+O864)/#REF!,"")</f>
        <v/>
      </c>
      <c r="P866" s="261" t="str">
        <f>IFERROR((#REF!+P864)/#REF!,"")</f>
        <v/>
      </c>
      <c r="Q866" s="261" t="str">
        <f>IFERROR((#REF!+Q864)/#REF!,"")</f>
        <v/>
      </c>
      <c r="R866" s="261" t="str">
        <f>IFERROR((#REF!+R864)/#REF!,"")</f>
        <v/>
      </c>
      <c r="S866" s="261" t="str">
        <f>IFERROR((#REF!+S863)/S826,"")</f>
        <v/>
      </c>
      <c r="T866" s="261" t="str">
        <f>IFERROR((#REF!+T863)/T826,"")</f>
        <v/>
      </c>
      <c r="U866" s="261" t="str">
        <f>IFERROR((#REF!+U863)/U826,"")</f>
        <v/>
      </c>
      <c r="V866" s="261" t="str">
        <f>IFERROR((#REF!+V863)/V826,"")</f>
        <v/>
      </c>
      <c r="W866" s="261" t="str">
        <f>IFERROR((#REF!+W863)/W826,"")</f>
        <v/>
      </c>
      <c r="X866" s="261" t="str">
        <f>IFERROR((#REF!+X864)/#REF!,"")</f>
        <v/>
      </c>
      <c r="Y866" s="394"/>
      <c r="Z866" s="183"/>
      <c r="AA866" s="183"/>
      <c r="AB866" s="261">
        <v>20000</v>
      </c>
      <c r="AC866" s="261">
        <f>AB866/(AB829+AB844)</f>
        <v>3.3333333333333335E-3</v>
      </c>
      <c r="AD866" s="183"/>
      <c r="AE866" s="183"/>
      <c r="AF866" s="183"/>
      <c r="AG866" s="183"/>
      <c r="AH866" s="183"/>
      <c r="AI866" s="183"/>
      <c r="AJ866" s="183"/>
      <c r="AK866" s="183"/>
      <c r="AL866" s="183"/>
      <c r="AM866" s="183"/>
      <c r="AN866" s="183"/>
      <c r="AO866" s="183"/>
      <c r="AP866" s="183"/>
      <c r="AQ866" s="183"/>
      <c r="AR866" s="183"/>
      <c r="AS866" s="183"/>
      <c r="AT866" s="183"/>
      <c r="AU866" s="183"/>
      <c r="AV866" s="183"/>
      <c r="AW866" s="183"/>
      <c r="AX866" s="183"/>
      <c r="AY866" s="183"/>
      <c r="AZ866" s="183"/>
      <c r="BA866" s="183"/>
      <c r="BB866" s="183"/>
      <c r="BC866" s="183"/>
      <c r="BD866" s="183"/>
      <c r="BE866" s="183"/>
      <c r="BF866" s="183"/>
    </row>
    <row r="867" spans="1:58" ht="12" hidden="1" customHeight="1" x14ac:dyDescent="0.3">
      <c r="A867" s="183"/>
      <c r="B867" s="183"/>
      <c r="C867" s="183"/>
      <c r="D867" s="183"/>
      <c r="E867" s="183"/>
      <c r="F867" s="183"/>
      <c r="G867" s="183"/>
      <c r="H867" s="183"/>
      <c r="I867" s="183"/>
      <c r="J867" s="183"/>
      <c r="K867" s="183"/>
      <c r="L867" s="250"/>
      <c r="M867" s="328"/>
      <c r="N867" s="329"/>
      <c r="O867" s="261"/>
      <c r="P867" s="261"/>
      <c r="Q867" s="261"/>
      <c r="R867" s="261"/>
      <c r="S867" s="261" t="str">
        <f>IFERROR((#REF!+S864)/S827,"")</f>
        <v/>
      </c>
      <c r="T867" s="261" t="str">
        <f>IFERROR((#REF!+T864)/T827,"")</f>
        <v/>
      </c>
      <c r="U867" s="261" t="str">
        <f>IFERROR((#REF!+U864)/U827,"")</f>
        <v/>
      </c>
      <c r="V867" s="261" t="str">
        <f>IFERROR((#REF!+V864)/V827,"")</f>
        <v/>
      </c>
      <c r="W867" s="261" t="str">
        <f>IFERROR((#REF!+W864)/W827,"")</f>
        <v/>
      </c>
      <c r="X867" s="261"/>
      <c r="Y867" s="394"/>
      <c r="Z867" s="183"/>
      <c r="AA867" s="183"/>
      <c r="AB867" s="261"/>
      <c r="AC867" s="261"/>
      <c r="AD867" s="183"/>
      <c r="AE867" s="183"/>
      <c r="AF867" s="183"/>
      <c r="AG867" s="183"/>
      <c r="AH867" s="183"/>
      <c r="AI867" s="183"/>
      <c r="AJ867" s="183"/>
      <c r="AK867" s="183"/>
      <c r="AL867" s="183"/>
      <c r="AM867" s="183"/>
      <c r="AN867" s="183"/>
      <c r="AO867" s="183"/>
      <c r="AP867" s="183"/>
      <c r="AQ867" s="183"/>
      <c r="AR867" s="183"/>
      <c r="AS867" s="183"/>
      <c r="AT867" s="183"/>
      <c r="AU867" s="183"/>
      <c r="AV867" s="183"/>
      <c r="AW867" s="183"/>
      <c r="AX867" s="183"/>
      <c r="AY867" s="183"/>
      <c r="AZ867" s="183"/>
      <c r="BA867" s="183"/>
      <c r="BB867" s="183"/>
      <c r="BC867" s="183"/>
      <c r="BD867" s="183"/>
      <c r="BE867" s="183"/>
      <c r="BF867" s="183"/>
    </row>
    <row r="868" spans="1:58" x14ac:dyDescent="0.3">
      <c r="A868" s="183"/>
      <c r="B868" s="183"/>
      <c r="C868" s="183"/>
      <c r="D868" s="183"/>
      <c r="E868" s="183"/>
      <c r="F868" s="183"/>
      <c r="G868" s="183"/>
      <c r="H868" s="183"/>
      <c r="I868" s="183"/>
      <c r="J868" s="183"/>
      <c r="K868" s="183"/>
      <c r="L868" s="250"/>
      <c r="M868" s="324" t="s">
        <v>1152</v>
      </c>
      <c r="N868" s="325"/>
      <c r="O868" s="276"/>
      <c r="P868" s="276"/>
      <c r="Q868" s="276"/>
      <c r="R868" s="276"/>
      <c r="S868" s="276" t="str">
        <f>IFERROR((#REF!+S865)/S828,"")</f>
        <v/>
      </c>
      <c r="T868" s="276" t="str">
        <f>IFERROR((#REF!+T865)/T828,"")</f>
        <v/>
      </c>
      <c r="U868" s="276" t="str">
        <f>IFERROR((#REF!+U865)/U828,"")</f>
        <v/>
      </c>
      <c r="V868" s="276" t="str">
        <f>IFERROR((#REF!+V865)/V828,"")</f>
        <v/>
      </c>
      <c r="W868" s="276" t="str">
        <f>IFERROR((#REF!+W865)/W828,"")</f>
        <v/>
      </c>
      <c r="X868" s="276"/>
      <c r="Y868" s="394"/>
      <c r="Z868" s="278"/>
      <c r="AA868" s="278"/>
      <c r="AB868" s="276"/>
      <c r="AC868" s="276"/>
      <c r="AD868" s="278"/>
      <c r="AE868" s="278"/>
      <c r="AF868" s="278"/>
      <c r="AG868" s="278"/>
      <c r="AH868" s="278"/>
      <c r="AI868" s="278"/>
      <c r="AJ868" s="278"/>
      <c r="AK868" s="278"/>
      <c r="AL868" s="278"/>
      <c r="AM868" s="278"/>
      <c r="AN868" s="278"/>
      <c r="AO868" s="278"/>
      <c r="AP868" s="278"/>
      <c r="AQ868" s="278"/>
      <c r="AR868" s="278"/>
      <c r="AS868" s="278"/>
      <c r="AT868" s="278"/>
      <c r="AU868" s="278"/>
      <c r="AV868" s="278"/>
      <c r="AW868" s="278"/>
      <c r="AX868" s="278"/>
      <c r="AY868" s="278"/>
      <c r="AZ868" s="278"/>
      <c r="BA868" s="278"/>
      <c r="BB868" s="278"/>
      <c r="BC868" s="278"/>
      <c r="BD868" s="278"/>
      <c r="BE868" s="278"/>
      <c r="BF868" s="278"/>
    </row>
    <row r="869" spans="1:58" x14ac:dyDescent="0.3">
      <c r="A869" s="183"/>
      <c r="B869" s="183"/>
      <c r="C869" s="183"/>
      <c r="D869" s="183"/>
      <c r="E869" s="183"/>
      <c r="F869" s="183"/>
      <c r="G869" s="183"/>
      <c r="H869" s="183"/>
      <c r="I869" s="183"/>
      <c r="J869" s="183"/>
      <c r="K869" s="183"/>
      <c r="L869" s="250"/>
      <c r="M869" s="326" t="s">
        <v>1166</v>
      </c>
      <c r="N869" s="327"/>
      <c r="O869" s="277" t="s">
        <v>1154</v>
      </c>
      <c r="P869" s="277"/>
      <c r="Q869" s="277"/>
      <c r="R869" s="277"/>
      <c r="S869" s="277" t="str">
        <f>IFERROR((#REF!+S866)/S829,"")</f>
        <v/>
      </c>
      <c r="T869" s="277" t="str">
        <f>IFERROR((#REF!+T866)/T829,"")</f>
        <v/>
      </c>
      <c r="U869" s="277" t="str">
        <f>IFERROR((#REF!+U866)/U829,"")</f>
        <v/>
      </c>
      <c r="V869" s="277" t="str">
        <f>IFERROR((#REF!+V866)/V829,"")</f>
        <v/>
      </c>
      <c r="W869" s="277" t="str">
        <f>IFERROR((#REF!+W866)/W829,"")</f>
        <v/>
      </c>
      <c r="X869" s="277"/>
      <c r="Y869" s="394"/>
      <c r="Z869" s="183"/>
      <c r="AA869" s="183"/>
      <c r="AB869" s="445">
        <f>SUM(AB870:AB888)</f>
        <v>2628.2249999999999</v>
      </c>
      <c r="AC869" s="436">
        <f>SUM(AC870:AC888)</f>
        <v>2620.3932500000001</v>
      </c>
      <c r="AD869" s="436">
        <f>SUM(AD870:AD888)</f>
        <v>2626.7859532008279</v>
      </c>
      <c r="AE869" s="436">
        <f t="shared" ref="AE869:BF869" si="1107">SUM(AE870:AE888)</f>
        <v>2633.5348527844703</v>
      </c>
      <c r="AF869" s="436">
        <f t="shared" si="1107"/>
        <v>2640.6442943505808</v>
      </c>
      <c r="AG869" s="436">
        <f t="shared" si="1107"/>
        <v>2648.1187240432814</v>
      </c>
      <c r="AH869" s="436">
        <f t="shared" si="1107"/>
        <v>2655.9626903000353</v>
      </c>
      <c r="AI869" s="436">
        <f t="shared" si="1107"/>
        <v>2664.6311301597671</v>
      </c>
      <c r="AJ869" s="436">
        <f t="shared" si="1107"/>
        <v>2673.6521061451695</v>
      </c>
      <c r="AK869" s="436">
        <f t="shared" si="1107"/>
        <v>2683.0303186426308</v>
      </c>
      <c r="AL869" s="436">
        <f t="shared" si="1107"/>
        <v>2692.7705681836565</v>
      </c>
      <c r="AM869" s="436">
        <f t="shared" si="1107"/>
        <v>2702.8777572407412</v>
      </c>
      <c r="AN869" s="436">
        <f t="shared" si="1107"/>
        <v>2713.356892059116</v>
      </c>
      <c r="AO869" s="436">
        <f t="shared" si="1107"/>
        <v>2724.2130845250576</v>
      </c>
      <c r="AP869" s="436">
        <f t="shared" si="1107"/>
        <v>2735.4515540714833</v>
      </c>
      <c r="AQ869" s="436">
        <f t="shared" si="1107"/>
        <v>2747.077629621559</v>
      </c>
      <c r="AR869" s="436">
        <f t="shared" si="1107"/>
        <v>2759.0967515710499</v>
      </c>
      <c r="AS869" s="436">
        <f t="shared" si="1107"/>
        <v>2771.5144738101899</v>
      </c>
      <c r="AT869" s="436">
        <f t="shared" si="1107"/>
        <v>2784.3364657858169</v>
      </c>
      <c r="AU869" s="436">
        <f t="shared" si="1107"/>
        <v>2797.5685146045739</v>
      </c>
      <c r="AV869" s="436">
        <f t="shared" si="1107"/>
        <v>2811.2165271779841</v>
      </c>
      <c r="AW869" s="436">
        <f t="shared" si="1107"/>
        <v>2825.2865324102049</v>
      </c>
      <c r="AX869" s="436">
        <f t="shared" si="1107"/>
        <v>2839.7846834293014</v>
      </c>
      <c r="AY869" s="436">
        <f t="shared" si="1107"/>
        <v>2854.7172598628913</v>
      </c>
      <c r="AZ869" s="436">
        <f t="shared" si="1107"/>
        <v>2870.0906701590307</v>
      </c>
      <c r="BA869" s="436">
        <f t="shared" si="1107"/>
        <v>2885.9114539532252</v>
      </c>
      <c r="BB869" s="436">
        <f t="shared" si="1107"/>
        <v>2902.1862844824632</v>
      </c>
      <c r="BC869" s="436">
        <f t="shared" si="1107"/>
        <v>2918.9219710472121</v>
      </c>
      <c r="BD869" s="436">
        <f t="shared" si="1107"/>
        <v>2936.1254615222911</v>
      </c>
      <c r="BE869" s="436">
        <f t="shared" si="1107"/>
        <v>2953.8038449176042</v>
      </c>
      <c r="BF869" s="436">
        <f t="shared" si="1107"/>
        <v>2971.9643539896961</v>
      </c>
    </row>
    <row r="870" spans="1:58" x14ac:dyDescent="0.3">
      <c r="A870" s="183"/>
      <c r="B870" s="183"/>
      <c r="C870" s="183"/>
      <c r="D870" s="183"/>
      <c r="E870" s="183"/>
      <c r="F870" s="183"/>
      <c r="G870" s="183"/>
      <c r="H870" s="183"/>
      <c r="I870" s="183"/>
      <c r="J870" s="183"/>
      <c r="K870" s="183"/>
      <c r="L870" s="250"/>
      <c r="M870" s="328" t="s">
        <v>1162</v>
      </c>
      <c r="N870" s="329" t="s">
        <v>77</v>
      </c>
      <c r="O870" s="323">
        <v>103.1</v>
      </c>
      <c r="P870" s="262"/>
      <c r="Q870" s="262"/>
      <c r="R870" s="262"/>
      <c r="S870" s="262" t="str">
        <f>IFERROR((#REF!+S869)/S837,"")</f>
        <v/>
      </c>
      <c r="T870" s="262" t="str">
        <f>IFERROR((#REF!+T869)/T837,"")</f>
        <v/>
      </c>
      <c r="U870" s="262" t="str">
        <f>IFERROR((#REF!+U869)/U837,"")</f>
        <v/>
      </c>
      <c r="V870" s="262" t="str">
        <f>IFERROR((#REF!+V869)/V837,"")</f>
        <v/>
      </c>
      <c r="W870" s="262" t="str">
        <f>IFERROR((#REF!+W869)/W837,"")</f>
        <v/>
      </c>
      <c r="X870" s="262"/>
      <c r="Y870" s="394"/>
      <c r="Z870" s="183"/>
      <c r="AA870" s="183"/>
      <c r="AB870" s="446">
        <f>$O870*AB826/1000000</f>
        <v>433.02</v>
      </c>
      <c r="AC870" s="447">
        <f>$O870*AC826/1000000</f>
        <v>426.06074999999998</v>
      </c>
      <c r="AD870" s="447">
        <f>$O870*AD826/1000000</f>
        <v>422.60423665670368</v>
      </c>
      <c r="AE870" s="447">
        <f t="shared" ref="AE870:BF870" si="1108">$O870*AE826/1000000</f>
        <v>419.17576505274235</v>
      </c>
      <c r="AF870" s="447">
        <f t="shared" si="1108"/>
        <v>415.7751076932197</v>
      </c>
      <c r="AG870" s="447">
        <f t="shared" si="1108"/>
        <v>412.40203892884261</v>
      </c>
      <c r="AH870" s="447">
        <f t="shared" si="1108"/>
        <v>409.05633494094855</v>
      </c>
      <c r="AI870" s="447">
        <f t="shared" si="1108"/>
        <v>405.73777372665393</v>
      </c>
      <c r="AJ870" s="447">
        <f t="shared" si="1108"/>
        <v>402.44613508412345</v>
      </c>
      <c r="AK870" s="447">
        <f t="shared" si="1108"/>
        <v>399.18120059795842</v>
      </c>
      <c r="AL870" s="447">
        <f t="shared" si="1108"/>
        <v>395.94275362470432</v>
      </c>
      <c r="AM870" s="447">
        <f t="shared" si="1108"/>
        <v>392.73057927847486</v>
      </c>
      <c r="AN870" s="447">
        <f t="shared" si="1108"/>
        <v>389.54446441669393</v>
      </c>
      <c r="AO870" s="447">
        <f t="shared" si="1108"/>
        <v>386.3841976259522</v>
      </c>
      <c r="AP870" s="447">
        <f t="shared" si="1108"/>
        <v>383.24956920797911</v>
      </c>
      <c r="AQ870" s="447">
        <f t="shared" si="1108"/>
        <v>380.1403711657282</v>
      </c>
      <c r="AR870" s="447">
        <f t="shared" si="1108"/>
        <v>377.05639718957588</v>
      </c>
      <c r="AS870" s="447">
        <f t="shared" si="1108"/>
        <v>373.99744264363136</v>
      </c>
      <c r="AT870" s="447">
        <f t="shared" si="1108"/>
        <v>370.96330455215872</v>
      </c>
      <c r="AU870" s="447">
        <f t="shared" si="1108"/>
        <v>367.95378158610794</v>
      </c>
      <c r="AV870" s="447">
        <f t="shared" si="1108"/>
        <v>364.96867404975603</v>
      </c>
      <c r="AW870" s="447">
        <f t="shared" si="1108"/>
        <v>362.00778386745657</v>
      </c>
      <c r="AX870" s="447">
        <f t="shared" si="1108"/>
        <v>359.07091457049597</v>
      </c>
      <c r="AY870" s="447">
        <f t="shared" si="1108"/>
        <v>356.15787128405725</v>
      </c>
      <c r="AZ870" s="447">
        <f t="shared" si="1108"/>
        <v>353.26846071428906</v>
      </c>
      <c r="BA870" s="447">
        <f t="shared" si="1108"/>
        <v>350.40249113547975</v>
      </c>
      <c r="BB870" s="447">
        <f t="shared" si="1108"/>
        <v>347.55977237733538</v>
      </c>
      <c r="BC870" s="447">
        <f t="shared" si="1108"/>
        <v>344.74011581236124</v>
      </c>
      <c r="BD870" s="447">
        <f t="shared" si="1108"/>
        <v>341.9433343433455</v>
      </c>
      <c r="BE870" s="447">
        <f t="shared" si="1108"/>
        <v>339.16924239094436</v>
      </c>
      <c r="BF870" s="447">
        <f t="shared" si="1108"/>
        <v>336.41765588136792</v>
      </c>
    </row>
    <row r="871" spans="1:58" x14ac:dyDescent="0.3">
      <c r="A871" s="183"/>
      <c r="B871" s="183"/>
      <c r="C871" s="183"/>
      <c r="D871" s="183"/>
      <c r="E871" s="183"/>
      <c r="F871" s="183"/>
      <c r="G871" s="183"/>
      <c r="H871" s="183"/>
      <c r="I871" s="183"/>
      <c r="J871" s="183"/>
      <c r="K871" s="183"/>
      <c r="L871" s="250"/>
      <c r="M871" s="328" t="s">
        <v>417</v>
      </c>
      <c r="N871" s="329" t="s">
        <v>77</v>
      </c>
      <c r="O871" s="323">
        <v>103.1</v>
      </c>
      <c r="P871" s="262"/>
      <c r="Q871" s="262"/>
      <c r="R871" s="262"/>
      <c r="S871" s="262" t="str">
        <f>IFERROR((#REF!+#REF!)/S838,"")</f>
        <v/>
      </c>
      <c r="T871" s="262" t="str">
        <f>IFERROR((#REF!+#REF!)/T838,"")</f>
        <v/>
      </c>
      <c r="U871" s="262" t="str">
        <f>IFERROR((#REF!+#REF!)/U838,"")</f>
        <v/>
      </c>
      <c r="V871" s="262" t="str">
        <f>IFERROR((#REF!+#REF!)/V838,"")</f>
        <v/>
      </c>
      <c r="W871" s="262" t="str">
        <f>IFERROR((#REF!+#REF!)/W838,"")</f>
        <v/>
      </c>
      <c r="X871" s="262"/>
      <c r="Y871" s="394"/>
      <c r="Z871" s="183"/>
      <c r="AA871" s="183"/>
      <c r="AB871" s="446">
        <f t="shared" ref="AB871:AC873" si="1109">$O871*AB827/1000000</f>
        <v>412.4</v>
      </c>
      <c r="AC871" s="447">
        <f t="shared" si="1109"/>
        <v>403.89425</v>
      </c>
      <c r="AD871" s="447">
        <f t="shared" ref="AD871:BF871" si="1110">$O871*AD827/1000000</f>
        <v>400.09539512791576</v>
      </c>
      <c r="AE871" s="447">
        <f t="shared" si="1110"/>
        <v>396.33227064401888</v>
      </c>
      <c r="AF871" s="447">
        <f t="shared" si="1110"/>
        <v>392.60454048371025</v>
      </c>
      <c r="AG871" s="447">
        <f t="shared" si="1110"/>
        <v>388.91187174326905</v>
      </c>
      <c r="AH871" s="447">
        <f t="shared" si="1110"/>
        <v>385.2539346501232</v>
      </c>
      <c r="AI871" s="447">
        <f t="shared" si="1110"/>
        <v>381.63040253339892</v>
      </c>
      <c r="AJ871" s="447">
        <f t="shared" si="1110"/>
        <v>378.04095179474768</v>
      </c>
      <c r="AK871" s="447">
        <f t="shared" si="1110"/>
        <v>374.48526187944719</v>
      </c>
      <c r="AL871" s="447">
        <f t="shared" si="1110"/>
        <v>370.96301524777448</v>
      </c>
      <c r="AM871" s="447">
        <f t="shared" si="1110"/>
        <v>367.4738973466479</v>
      </c>
      <c r="AN871" s="447">
        <f t="shared" si="1110"/>
        <v>364.01759658153651</v>
      </c>
      <c r="AO871" s="447">
        <f t="shared" si="1110"/>
        <v>360.59380428863267</v>
      </c>
      <c r="AP871" s="447">
        <f t="shared" si="1110"/>
        <v>357.2022147072874</v>
      </c>
      <c r="AQ871" s="447">
        <f t="shared" si="1110"/>
        <v>353.8425249527042</v>
      </c>
      <c r="AR871" s="447">
        <f t="shared" si="1110"/>
        <v>350.51443498889023</v>
      </c>
      <c r="AS871" s="447">
        <f t="shared" si="1110"/>
        <v>347.21764760186153</v>
      </c>
      <c r="AT871" s="447">
        <f t="shared" si="1110"/>
        <v>343.95186837310064</v>
      </c>
      <c r="AU871" s="447">
        <f t="shared" si="1110"/>
        <v>340.71680565326341</v>
      </c>
      <c r="AV871" s="447">
        <f t="shared" si="1110"/>
        <v>337.51217053613334</v>
      </c>
      <c r="AW871" s="447">
        <f t="shared" si="1110"/>
        <v>334.33767683282133</v>
      </c>
      <c r="AX871" s="447">
        <f t="shared" si="1110"/>
        <v>331.19304104620721</v>
      </c>
      <c r="AY871" s="447">
        <f t="shared" si="1110"/>
        <v>328.07798234562205</v>
      </c>
      <c r="AZ871" s="447">
        <f t="shared" si="1110"/>
        <v>324.99222254176937</v>
      </c>
      <c r="BA871" s="447">
        <f t="shared" si="1110"/>
        <v>321.93548606188062</v>
      </c>
      <c r="BB871" s="447">
        <f t="shared" si="1110"/>
        <v>318.90749992510604</v>
      </c>
      <c r="BC871" s="447">
        <f t="shared" si="1110"/>
        <v>315.90799371813546</v>
      </c>
      <c r="BD871" s="447">
        <f t="shared" si="1110"/>
        <v>312.93669957104993</v>
      </c>
      <c r="BE871" s="447">
        <f t="shared" si="1110"/>
        <v>309.99335213339901</v>
      </c>
      <c r="BF871" s="447">
        <f t="shared" si="1110"/>
        <v>307.07768855050404</v>
      </c>
    </row>
    <row r="872" spans="1:58" x14ac:dyDescent="0.3">
      <c r="A872" s="183"/>
      <c r="B872" s="183"/>
      <c r="C872" s="183"/>
      <c r="D872" s="183"/>
      <c r="E872" s="183"/>
      <c r="F872" s="183"/>
      <c r="G872" s="183"/>
      <c r="H872" s="183"/>
      <c r="I872" s="183"/>
      <c r="J872" s="183"/>
      <c r="K872" s="183"/>
      <c r="L872" s="250"/>
      <c r="M872" s="328" t="s">
        <v>1163</v>
      </c>
      <c r="N872" s="329" t="s">
        <v>77</v>
      </c>
      <c r="O872" s="323">
        <v>106.6</v>
      </c>
      <c r="P872" s="262"/>
      <c r="Q872" s="262"/>
      <c r="R872" s="262"/>
      <c r="S872" s="262" t="str">
        <f>IFERROR((#REF!+#REF!)/S839,"")</f>
        <v/>
      </c>
      <c r="T872" s="262" t="str">
        <f>IFERROR((#REF!+#REF!)/T839,"")</f>
        <v/>
      </c>
      <c r="U872" s="262" t="str">
        <f>IFERROR((#REF!+#REF!)/U839,"")</f>
        <v/>
      </c>
      <c r="V872" s="262" t="str">
        <f>IFERROR((#REF!+#REF!)/V839,"")</f>
        <v/>
      </c>
      <c r="W872" s="262" t="str">
        <f>IFERROR((#REF!+#REF!)/W839,"")</f>
        <v/>
      </c>
      <c r="X872" s="262"/>
      <c r="Y872" s="394"/>
      <c r="Z872" s="183"/>
      <c r="AA872" s="183"/>
      <c r="AB872" s="446">
        <f t="shared" si="1109"/>
        <v>394.42</v>
      </c>
      <c r="AC872" s="447">
        <f t="shared" si="1109"/>
        <v>388.85014999999999</v>
      </c>
      <c r="AD872" s="447">
        <f t="shared" ref="AD872:BF872" si="1111">$O872*AD828/1000000</f>
        <v>385.0071280497076</v>
      </c>
      <c r="AE872" s="447">
        <f t="shared" si="1111"/>
        <v>381.20208684266663</v>
      </c>
      <c r="AF872" s="447">
        <f t="shared" si="1111"/>
        <v>377.43465101363677</v>
      </c>
      <c r="AG872" s="447">
        <f t="shared" si="1111"/>
        <v>373.70444890712776</v>
      </c>
      <c r="AH872" s="447">
        <f t="shared" si="1111"/>
        <v>370.01111254073567</v>
      </c>
      <c r="AI872" s="447">
        <f t="shared" si="1111"/>
        <v>367.4210347529505</v>
      </c>
      <c r="AJ872" s="447">
        <f t="shared" si="1111"/>
        <v>364.8490875096798</v>
      </c>
      <c r="AK872" s="447">
        <f t="shared" si="1111"/>
        <v>362.2951438971121</v>
      </c>
      <c r="AL872" s="447">
        <f t="shared" si="1111"/>
        <v>359.75907788983227</v>
      </c>
      <c r="AM872" s="447">
        <f t="shared" si="1111"/>
        <v>357.24076434460346</v>
      </c>
      <c r="AN872" s="447">
        <f t="shared" si="1111"/>
        <v>354.74007899419121</v>
      </c>
      <c r="AO872" s="447">
        <f t="shared" si="1111"/>
        <v>352.2568984412319</v>
      </c>
      <c r="AP872" s="447">
        <f t="shared" si="1111"/>
        <v>349.79110015214331</v>
      </c>
      <c r="AQ872" s="447">
        <f t="shared" si="1111"/>
        <v>347.34256245107832</v>
      </c>
      <c r="AR872" s="447">
        <f t="shared" si="1111"/>
        <v>344.91116451392071</v>
      </c>
      <c r="AS872" s="447">
        <f t="shared" si="1111"/>
        <v>342.49678636232323</v>
      </c>
      <c r="AT872" s="447">
        <f t="shared" si="1111"/>
        <v>340.09930885778704</v>
      </c>
      <c r="AU872" s="447">
        <f t="shared" si="1111"/>
        <v>337.71861369578255</v>
      </c>
      <c r="AV872" s="447">
        <f t="shared" si="1111"/>
        <v>335.35458339991209</v>
      </c>
      <c r="AW872" s="447">
        <f t="shared" si="1111"/>
        <v>333.00710131611265</v>
      </c>
      <c r="AX872" s="447">
        <f t="shared" si="1111"/>
        <v>330.67605160689993</v>
      </c>
      <c r="AY872" s="447">
        <f t="shared" si="1111"/>
        <v>328.3613192456516</v>
      </c>
      <c r="AZ872" s="447">
        <f t="shared" si="1111"/>
        <v>326.06279001093202</v>
      </c>
      <c r="BA872" s="447">
        <f t="shared" si="1111"/>
        <v>323.78035048085547</v>
      </c>
      <c r="BB872" s="447">
        <f t="shared" si="1111"/>
        <v>321.51388802748954</v>
      </c>
      <c r="BC872" s="447">
        <f t="shared" si="1111"/>
        <v>319.26329081129711</v>
      </c>
      <c r="BD872" s="447">
        <f t="shared" si="1111"/>
        <v>317.02844777561802</v>
      </c>
      <c r="BE872" s="447">
        <f t="shared" si="1111"/>
        <v>314.80924864118867</v>
      </c>
      <c r="BF872" s="447">
        <f t="shared" si="1111"/>
        <v>312.60558390070037</v>
      </c>
    </row>
    <row r="873" spans="1:58" x14ac:dyDescent="0.3">
      <c r="A873" s="183"/>
      <c r="B873" s="183"/>
      <c r="C873" s="183"/>
      <c r="D873" s="183"/>
      <c r="E873" s="183"/>
      <c r="F873" s="183"/>
      <c r="G873" s="183"/>
      <c r="H873" s="183"/>
      <c r="I873" s="183"/>
      <c r="J873" s="183"/>
      <c r="K873" s="183"/>
      <c r="L873" s="250"/>
      <c r="M873" s="328" t="s">
        <v>1164</v>
      </c>
      <c r="N873" s="329" t="s">
        <v>77</v>
      </c>
      <c r="O873" s="323">
        <v>177.1</v>
      </c>
      <c r="P873" s="262"/>
      <c r="Q873" s="262"/>
      <c r="R873" s="262"/>
      <c r="S873" s="262" t="str">
        <f>IFERROR((#REF!+S870)/S840,"")</f>
        <v/>
      </c>
      <c r="T873" s="262" t="str">
        <f>IFERROR((#REF!+T870)/T840,"")</f>
        <v/>
      </c>
      <c r="U873" s="262" t="str">
        <f>IFERROR((#REF!+U870)/U840,"")</f>
        <v/>
      </c>
      <c r="V873" s="262" t="str">
        <f>IFERROR((#REF!+V870)/V840,"")</f>
        <v/>
      </c>
      <c r="W873" s="262" t="str">
        <f>IFERROR((#REF!+W870)/W840,"")</f>
        <v/>
      </c>
      <c r="X873" s="262"/>
      <c r="Y873" s="394"/>
      <c r="Z873" s="183"/>
      <c r="AA873" s="183"/>
      <c r="AB873" s="446">
        <f t="shared" si="1109"/>
        <v>850.08</v>
      </c>
      <c r="AC873" s="447">
        <f t="shared" si="1109"/>
        <v>842.99599999999998</v>
      </c>
      <c r="AD873" s="447">
        <f t="shared" ref="AD873:BF873" si="1112">$O873*AD829/1000000</f>
        <v>840.19999336650085</v>
      </c>
      <c r="AE873" s="447">
        <f t="shared" si="1112"/>
        <v>837.4132603868444</v>
      </c>
      <c r="AF873" s="447">
        <f t="shared" si="1112"/>
        <v>834.63577030264264</v>
      </c>
      <c r="AG873" s="447">
        <f t="shared" si="1112"/>
        <v>831.86749245752605</v>
      </c>
      <c r="AH873" s="447">
        <f t="shared" si="1112"/>
        <v>829.1083962968047</v>
      </c>
      <c r="AI873" s="447">
        <f t="shared" si="1112"/>
        <v>826.35845136713056</v>
      </c>
      <c r="AJ873" s="447">
        <f t="shared" si="1112"/>
        <v>823.6176273161617</v>
      </c>
      <c r="AK873" s="447">
        <f t="shared" si="1112"/>
        <v>820.88589389222761</v>
      </c>
      <c r="AL873" s="447">
        <f t="shared" si="1112"/>
        <v>818.16322094399482</v>
      </c>
      <c r="AM873" s="447">
        <f t="shared" si="1112"/>
        <v>815.44957842013423</v>
      </c>
      <c r="AN873" s="447">
        <f t="shared" si="1112"/>
        <v>812.74493636898956</v>
      </c>
      <c r="AO873" s="447">
        <f t="shared" si="1112"/>
        <v>810.04926493824689</v>
      </c>
      <c r="AP873" s="447">
        <f t="shared" si="1112"/>
        <v>807.36253437460425</v>
      </c>
      <c r="AQ873" s="447">
        <f t="shared" si="1112"/>
        <v>804.68471502344494</v>
      </c>
      <c r="AR873" s="447">
        <f t="shared" si="1112"/>
        <v>802.01577732850819</v>
      </c>
      <c r="AS873" s="447">
        <f t="shared" si="1112"/>
        <v>799.35569183156451</v>
      </c>
      <c r="AT873" s="447">
        <f t="shared" si="1112"/>
        <v>796.70442917209016</v>
      </c>
      <c r="AU873" s="447">
        <f t="shared" si="1112"/>
        <v>794.06196008694235</v>
      </c>
      <c r="AV873" s="447">
        <f t="shared" si="1112"/>
        <v>791.4282554100372</v>
      </c>
      <c r="AW873" s="447">
        <f t="shared" si="1112"/>
        <v>788.80328607202716</v>
      </c>
      <c r="AX873" s="447">
        <f t="shared" si="1112"/>
        <v>786.18702309998071</v>
      </c>
      <c r="AY873" s="447">
        <f t="shared" si="1112"/>
        <v>783.57943761706213</v>
      </c>
      <c r="AZ873" s="447">
        <f t="shared" si="1112"/>
        <v>780.9805008422129</v>
      </c>
      <c r="BA873" s="447">
        <f t="shared" si="1112"/>
        <v>778.39018408983418</v>
      </c>
      <c r="BB873" s="447">
        <f t="shared" si="1112"/>
        <v>775.80845876946989</v>
      </c>
      <c r="BC873" s="447">
        <f t="shared" si="1112"/>
        <v>773.23529638549178</v>
      </c>
      <c r="BD873" s="447">
        <f t="shared" si="1112"/>
        <v>770.67066853678375</v>
      </c>
      <c r="BE873" s="447">
        <f t="shared" si="1112"/>
        <v>768.11454691642962</v>
      </c>
      <c r="BF873" s="447">
        <f t="shared" si="1112"/>
        <v>765.5669033114001</v>
      </c>
    </row>
    <row r="874" spans="1:58" x14ac:dyDescent="0.3">
      <c r="A874" s="183"/>
      <c r="B874" s="183"/>
      <c r="C874" s="183"/>
      <c r="D874" s="183"/>
      <c r="E874" s="183"/>
      <c r="F874" s="183"/>
      <c r="G874" s="183"/>
      <c r="H874" s="183"/>
      <c r="I874" s="183"/>
      <c r="J874" s="183"/>
      <c r="K874" s="183"/>
      <c r="L874" s="250"/>
      <c r="M874" s="326" t="s">
        <v>1167</v>
      </c>
      <c r="N874" s="327"/>
      <c r="O874" s="278"/>
      <c r="P874" s="278"/>
      <c r="Q874" s="278"/>
      <c r="R874" s="278"/>
      <c r="S874" s="278" t="str">
        <f>IFERROR((#REF!+S871)/S841,"")</f>
        <v/>
      </c>
      <c r="T874" s="278" t="str">
        <f>IFERROR((#REF!+T871)/T841,"")</f>
        <v/>
      </c>
      <c r="U874" s="278" t="str">
        <f>IFERROR((#REF!+U871)/U841,"")</f>
        <v/>
      </c>
      <c r="V874" s="278" t="str">
        <f>IFERROR((#REF!+V871)/V841,"")</f>
        <v/>
      </c>
      <c r="W874" s="278" t="str">
        <f>IFERROR((#REF!+W871)/W841,"")</f>
        <v/>
      </c>
      <c r="X874" s="278"/>
      <c r="Y874" s="394"/>
      <c r="Z874" s="278"/>
      <c r="AA874" s="278"/>
      <c r="AB874" s="278"/>
      <c r="AC874" s="278"/>
      <c r="AD874" s="278"/>
      <c r="AE874" s="278"/>
      <c r="AF874" s="278"/>
      <c r="AG874" s="278"/>
      <c r="AH874" s="278"/>
      <c r="AI874" s="278"/>
      <c r="AJ874" s="278"/>
      <c r="AK874" s="278"/>
      <c r="AL874" s="278"/>
      <c r="AM874" s="278"/>
      <c r="AN874" s="278"/>
      <c r="AO874" s="278"/>
      <c r="AP874" s="278"/>
      <c r="AQ874" s="278"/>
      <c r="AR874" s="278"/>
      <c r="AS874" s="278"/>
      <c r="AT874" s="278"/>
      <c r="AU874" s="278"/>
      <c r="AV874" s="278"/>
      <c r="AW874" s="278"/>
      <c r="AX874" s="278"/>
      <c r="AY874" s="278"/>
      <c r="AZ874" s="278"/>
      <c r="BA874" s="278"/>
      <c r="BB874" s="278"/>
      <c r="BC874" s="278"/>
      <c r="BD874" s="278"/>
      <c r="BE874" s="278"/>
      <c r="BF874" s="278"/>
    </row>
    <row r="875" spans="1:58" x14ac:dyDescent="0.3">
      <c r="A875" s="183"/>
      <c r="B875" s="183"/>
      <c r="C875" s="183"/>
      <c r="D875" s="183"/>
      <c r="E875" s="183"/>
      <c r="F875" s="183"/>
      <c r="G875" s="183"/>
      <c r="H875" s="183"/>
      <c r="I875" s="183"/>
      <c r="J875" s="183"/>
      <c r="K875" s="183"/>
      <c r="L875" s="250"/>
      <c r="M875" s="328" t="s">
        <v>1162</v>
      </c>
      <c r="N875" s="329" t="s">
        <v>77</v>
      </c>
      <c r="O875" s="323">
        <v>48.6</v>
      </c>
      <c r="P875" s="262"/>
      <c r="Q875" s="262"/>
      <c r="R875" s="262"/>
      <c r="S875" s="262" t="str">
        <f>IFERROR((#REF!+S874)/S844,"")</f>
        <v/>
      </c>
      <c r="T875" s="262" t="str">
        <f>IFERROR((#REF!+T874)/T844,"")</f>
        <v/>
      </c>
      <c r="U875" s="262" t="str">
        <f>IFERROR((#REF!+U874)/U844,"")</f>
        <v/>
      </c>
      <c r="V875" s="262" t="str">
        <f>IFERROR((#REF!+V874)/V844,"")</f>
        <v/>
      </c>
      <c r="W875" s="262" t="str">
        <f>IFERROR((#REF!+W874)/W844,"")</f>
        <v/>
      </c>
      <c r="X875" s="262"/>
      <c r="Y875" s="394"/>
      <c r="Z875" s="183"/>
      <c r="AA875" s="183"/>
      <c r="AB875" s="446">
        <f t="shared" ref="AB875:AC878" si="1113">$O875*AB836/1000000</f>
        <v>0</v>
      </c>
      <c r="AC875" s="447">
        <f t="shared" si="1113"/>
        <v>2.3085</v>
      </c>
      <c r="AD875" s="447">
        <f t="shared" ref="AD875:BF875" si="1114">$O875*AD836/1000000</f>
        <v>4.617</v>
      </c>
      <c r="AE875" s="447">
        <f t="shared" si="1114"/>
        <v>6.9605805918689718</v>
      </c>
      <c r="AF875" s="447">
        <f t="shared" si="1114"/>
        <v>9.3400829800131273</v>
      </c>
      <c r="AG875" s="447">
        <f t="shared" si="1114"/>
        <v>11.756365098766642</v>
      </c>
      <c r="AH875" s="447">
        <f t="shared" si="1114"/>
        <v>14.210301969478058</v>
      </c>
      <c r="AI875" s="447">
        <f t="shared" si="1114"/>
        <v>16.702786065010482</v>
      </c>
      <c r="AJ875" s="447">
        <f t="shared" si="1114"/>
        <v>19.234727681811176</v>
      </c>
      <c r="AK875" s="447">
        <f t="shared" si="1114"/>
        <v>21.807055319709352</v>
      </c>
      <c r="AL875" s="447">
        <f t="shared" si="1114"/>
        <v>24.420716069604346</v>
      </c>
      <c r="AM875" s="447">
        <f t="shared" si="1114"/>
        <v>27.076676009209656</v>
      </c>
      <c r="AN875" s="447">
        <f t="shared" si="1114"/>
        <v>29.775920607021924</v>
      </c>
      <c r="AO875" s="447">
        <f t="shared" si="1114"/>
        <v>32.519455134687306</v>
      </c>
      <c r="AP875" s="447">
        <f t="shared" si="1114"/>
        <v>35.308305087941427</v>
      </c>
      <c r="AQ875" s="447">
        <f t="shared" si="1114"/>
        <v>38.143516616302705</v>
      </c>
      <c r="AR875" s="447">
        <f t="shared" si="1114"/>
        <v>41.026156961702625</v>
      </c>
      <c r="AS875" s="447">
        <f t="shared" si="1114"/>
        <v>43.957314906240398</v>
      </c>
      <c r="AT875" s="447">
        <f t="shared" si="1114"/>
        <v>46.93810122925332</v>
      </c>
      <c r="AU875" s="447">
        <f t="shared" si="1114"/>
        <v>49.969649173898148</v>
      </c>
      <c r="AV875" s="447">
        <f t="shared" si="1114"/>
        <v>53.053114923442905</v>
      </c>
      <c r="AW875" s="447">
        <f t="shared" si="1114"/>
        <v>56.189678087472778</v>
      </c>
      <c r="AX875" s="447">
        <f t="shared" si="1114"/>
        <v>59.380542198217796</v>
      </c>
      <c r="AY875" s="447">
        <f t="shared" si="1114"/>
        <v>62.626935217214601</v>
      </c>
      <c r="AZ875" s="447">
        <f t="shared" si="1114"/>
        <v>65.930110052518899</v>
      </c>
      <c r="BA875" s="447">
        <f t="shared" si="1114"/>
        <v>69.291345086689731</v>
      </c>
      <c r="BB875" s="447">
        <f t="shared" si="1114"/>
        <v>72.711944715771253</v>
      </c>
      <c r="BC875" s="447">
        <f t="shared" si="1114"/>
        <v>76.193239899502728</v>
      </c>
      <c r="BD875" s="447">
        <f t="shared" si="1114"/>
        <v>79.736588722991783</v>
      </c>
      <c r="BE875" s="447">
        <f t="shared" si="1114"/>
        <v>83.343376970091413</v>
      </c>
      <c r="BF875" s="447">
        <f t="shared" si="1114"/>
        <v>87.015018708725776</v>
      </c>
    </row>
    <row r="876" spans="1:58" x14ac:dyDescent="0.3">
      <c r="A876" s="183"/>
      <c r="B876" s="183"/>
      <c r="C876" s="183"/>
      <c r="D876" s="183"/>
      <c r="E876" s="183"/>
      <c r="F876" s="183"/>
      <c r="G876" s="183"/>
      <c r="H876" s="183"/>
      <c r="I876" s="183"/>
      <c r="J876" s="183"/>
      <c r="K876" s="183"/>
      <c r="L876" s="250"/>
      <c r="M876" s="328" t="s">
        <v>417</v>
      </c>
      <c r="N876" s="329" t="s">
        <v>77</v>
      </c>
      <c r="O876" s="323">
        <v>48.6</v>
      </c>
      <c r="P876" s="262"/>
      <c r="Q876" s="262"/>
      <c r="R876" s="262"/>
      <c r="S876" s="262" t="str">
        <f>IFERROR((#REF!+#REF!)/S845,"")</f>
        <v/>
      </c>
      <c r="T876" s="262" t="str">
        <f>IFERROR((#REF!+#REF!)/T845,"")</f>
        <v/>
      </c>
      <c r="U876" s="262" t="str">
        <f>IFERROR((#REF!+#REF!)/U845,"")</f>
        <v/>
      </c>
      <c r="V876" s="262" t="str">
        <f>IFERROR((#REF!+#REF!)/V845,"")</f>
        <v/>
      </c>
      <c r="W876" s="262" t="str">
        <f>IFERROR((#REF!+#REF!)/W845,"")</f>
        <v/>
      </c>
      <c r="X876" s="262"/>
      <c r="Y876" s="394"/>
      <c r="Z876" s="183"/>
      <c r="AA876" s="183"/>
      <c r="AB876" s="446">
        <f t="shared" si="1113"/>
        <v>0</v>
      </c>
      <c r="AC876" s="447">
        <f t="shared" si="1113"/>
        <v>3.0375000000000001</v>
      </c>
      <c r="AD876" s="447">
        <f t="shared" ref="AD876:BF876" si="1115">$O876*AD837/1000000</f>
        <v>6.0750000000000002</v>
      </c>
      <c r="AE876" s="447">
        <f t="shared" si="1115"/>
        <v>9.1539387621083428</v>
      </c>
      <c r="AF876" s="447">
        <f t="shared" si="1115"/>
        <v>12.275269803210858</v>
      </c>
      <c r="AG876" s="447">
        <f t="shared" si="1115"/>
        <v>15.439963445667066</v>
      </c>
      <c r="AH876" s="447">
        <f t="shared" si="1115"/>
        <v>18.649007153777106</v>
      </c>
      <c r="AI876" s="447">
        <f t="shared" si="1115"/>
        <v>21.903405876572759</v>
      </c>
      <c r="AJ876" s="447">
        <f t="shared" si="1115"/>
        <v>25.204182397055138</v>
      </c>
      <c r="AK876" s="447">
        <f t="shared" si="1115"/>
        <v>28.552377688004022</v>
      </c>
      <c r="AL876" s="447">
        <f t="shared" si="1115"/>
        <v>31.949051274486074</v>
      </c>
      <c r="AM876" s="447">
        <f t="shared" si="1115"/>
        <v>35.395281603191684</v>
      </c>
      <c r="AN876" s="447">
        <f t="shared" si="1115"/>
        <v>38.892166418732778</v>
      </c>
      <c r="AO876" s="447">
        <f t="shared" si="1115"/>
        <v>42.440823147036134</v>
      </c>
      <c r="AP876" s="447">
        <f t="shared" si="1115"/>
        <v>46.042389285969676</v>
      </c>
      <c r="AQ876" s="447">
        <f t="shared" si="1115"/>
        <v>49.698022803341651</v>
      </c>
      <c r="AR876" s="447">
        <f t="shared" si="1115"/>
        <v>53.408902542415269</v>
      </c>
      <c r="AS876" s="447">
        <f t="shared" si="1115"/>
        <v>57.1762286350842</v>
      </c>
      <c r="AT876" s="447">
        <f t="shared" si="1115"/>
        <v>61.001222922856989</v>
      </c>
      <c r="AU876" s="447">
        <f t="shared" si="1115"/>
        <v>64.885129385801392</v>
      </c>
      <c r="AV876" s="447">
        <f t="shared" si="1115"/>
        <v>68.829214579602422</v>
      </c>
      <c r="AW876" s="447">
        <f t="shared" si="1115"/>
        <v>72.834768080890953</v>
      </c>
      <c r="AX876" s="447">
        <f t="shared" si="1115"/>
        <v>76.903102941002544</v>
      </c>
      <c r="AY876" s="447">
        <f t="shared" si="1115"/>
        <v>81.035556148329462</v>
      </c>
      <c r="AZ876" s="447">
        <f t="shared" si="1115"/>
        <v>85.233489099431694</v>
      </c>
      <c r="BA876" s="447">
        <f t="shared" si="1115"/>
        <v>89.498288079076161</v>
      </c>
      <c r="BB876" s="447">
        <f t="shared" si="1115"/>
        <v>93.831364749376519</v>
      </c>
      <c r="BC876" s="447">
        <f t="shared" si="1115"/>
        <v>98.234156648209094</v>
      </c>
      <c r="BD876" s="447">
        <f t="shared" si="1115"/>
        <v>102.70812769708405</v>
      </c>
      <c r="BE876" s="447">
        <f t="shared" si="1115"/>
        <v>107.25476871865413</v>
      </c>
      <c r="BF876" s="447">
        <f t="shared" si="1115"/>
        <v>111.87559796404707</v>
      </c>
    </row>
    <row r="877" spans="1:58" x14ac:dyDescent="0.3">
      <c r="A877" s="183"/>
      <c r="B877" s="183"/>
      <c r="C877" s="183"/>
      <c r="D877" s="183"/>
      <c r="E877" s="183"/>
      <c r="F877" s="183"/>
      <c r="G877" s="183"/>
      <c r="H877" s="183"/>
      <c r="I877" s="183"/>
      <c r="J877" s="183"/>
      <c r="K877" s="183"/>
      <c r="L877" s="250"/>
      <c r="M877" s="328" t="s">
        <v>1163</v>
      </c>
      <c r="N877" s="329" t="s">
        <v>77</v>
      </c>
      <c r="O877" s="323">
        <v>47.6</v>
      </c>
      <c r="P877" s="262"/>
      <c r="Q877" s="262"/>
      <c r="R877" s="262"/>
      <c r="S877" s="262" t="str">
        <f>IFERROR((#REF!+#REF!)/S846,"")</f>
        <v/>
      </c>
      <c r="T877" s="262" t="str">
        <f>IFERROR((#REF!+#REF!)/T846,"")</f>
        <v/>
      </c>
      <c r="U877" s="262" t="str">
        <f>IFERROR((#REF!+#REF!)/U846,"")</f>
        <v/>
      </c>
      <c r="V877" s="262" t="str">
        <f>IFERROR((#REF!+#REF!)/V846,"")</f>
        <v/>
      </c>
      <c r="W877" s="262" t="str">
        <f>IFERROR((#REF!+#REF!)/W846,"")</f>
        <v/>
      </c>
      <c r="X877" s="262"/>
      <c r="Y877" s="394"/>
      <c r="Z877" s="183"/>
      <c r="AA877" s="183"/>
      <c r="AB877" s="446">
        <f t="shared" si="1113"/>
        <v>0</v>
      </c>
      <c r="AC877" s="447">
        <f t="shared" si="1113"/>
        <v>2.0110999999999999</v>
      </c>
      <c r="AD877" s="447">
        <f t="shared" ref="AD877:BF877" si="1116">$O877*AD838/1000000</f>
        <v>4.0221999999999998</v>
      </c>
      <c r="AE877" s="447">
        <f t="shared" si="1116"/>
        <v>6.0526814234571313</v>
      </c>
      <c r="AF877" s="447">
        <f t="shared" si="1116"/>
        <v>8.103062107589194</v>
      </c>
      <c r="AG877" s="447">
        <f t="shared" si="1116"/>
        <v>10.173867590512087</v>
      </c>
      <c r="AH877" s="447">
        <f t="shared" si="1116"/>
        <v>12.265631266767759</v>
      </c>
      <c r="AI877" s="447">
        <f t="shared" si="1116"/>
        <v>13.762421884899959</v>
      </c>
      <c r="AJ877" s="447">
        <f t="shared" si="1116"/>
        <v>15.273848648098244</v>
      </c>
      <c r="AK877" s="447">
        <f t="shared" si="1116"/>
        <v>16.800190508173962</v>
      </c>
      <c r="AL877" s="447">
        <f t="shared" si="1116"/>
        <v>18.341730256722176</v>
      </c>
      <c r="AM877" s="447">
        <f t="shared" si="1116"/>
        <v>19.898754586213851</v>
      </c>
      <c r="AN877" s="447">
        <f t="shared" si="1116"/>
        <v>21.471554151996415</v>
      </c>
      <c r="AO877" s="447">
        <f t="shared" si="1116"/>
        <v>23.060423635216612</v>
      </c>
      <c r="AP877" s="447">
        <f t="shared" si="1116"/>
        <v>24.665661806679822</v>
      </c>
      <c r="AQ877" s="447">
        <f t="shared" si="1116"/>
        <v>26.287571591660164</v>
      </c>
      <c r="AR877" s="447">
        <f t="shared" si="1116"/>
        <v>27.926460135676024</v>
      </c>
      <c r="AS877" s="447">
        <f t="shared" si="1116"/>
        <v>29.582638871245706</v>
      </c>
      <c r="AT877" s="447">
        <f t="shared" si="1116"/>
        <v>31.25642358563832</v>
      </c>
      <c r="AU877" s="447">
        <f t="shared" si="1116"/>
        <v>32.948134489635066</v>
      </c>
      <c r="AV877" s="447">
        <f t="shared" si="1116"/>
        <v>34.658096287316468</v>
      </c>
      <c r="AW877" s="447">
        <f t="shared" si="1116"/>
        <v>36.386638246891195</v>
      </c>
      <c r="AX877" s="447">
        <f t="shared" si="1116"/>
        <v>38.134094272582466</v>
      </c>
      <c r="AY877" s="447">
        <f t="shared" si="1116"/>
        <v>39.900802977588199</v>
      </c>
      <c r="AZ877" s="447">
        <f t="shared" si="1116"/>
        <v>41.687107758131404</v>
      </c>
      <c r="BA877" s="447">
        <f t="shared" si="1116"/>
        <v>43.49335686861734</v>
      </c>
      <c r="BB877" s="447">
        <f t="shared" si="1116"/>
        <v>45.319903497914574</v>
      </c>
      <c r="BC877" s="447">
        <f t="shared" si="1116"/>
        <v>47.167105846777005</v>
      </c>
      <c r="BD877" s="447">
        <f t="shared" si="1116"/>
        <v>49.035327206424306</v>
      </c>
      <c r="BE877" s="447">
        <f t="shared" si="1116"/>
        <v>50.924936038298569</v>
      </c>
      <c r="BF877" s="447">
        <f t="shared" si="1116"/>
        <v>52.836306055015093</v>
      </c>
    </row>
    <row r="878" spans="1:58" x14ac:dyDescent="0.3">
      <c r="A878" s="183"/>
      <c r="B878" s="183"/>
      <c r="C878" s="183"/>
      <c r="D878" s="183"/>
      <c r="E878" s="183"/>
      <c r="F878" s="183"/>
      <c r="G878" s="183"/>
      <c r="H878" s="183"/>
      <c r="I878" s="183"/>
      <c r="J878" s="183"/>
      <c r="K878" s="183"/>
      <c r="L878" s="250"/>
      <c r="M878" s="328" t="s">
        <v>1164</v>
      </c>
      <c r="N878" s="329" t="s">
        <v>77</v>
      </c>
      <c r="O878" s="323">
        <v>89.4</v>
      </c>
      <c r="P878" s="262"/>
      <c r="Q878" s="262"/>
      <c r="R878" s="262"/>
      <c r="S878" s="262" t="str">
        <f>IFERROR((#REF!+S875)/S847,"")</f>
        <v/>
      </c>
      <c r="T878" s="262" t="str">
        <f>IFERROR((#REF!+T875)/T847,"")</f>
        <v/>
      </c>
      <c r="U878" s="262" t="str">
        <f>IFERROR((#REF!+U875)/U847,"")</f>
        <v/>
      </c>
      <c r="V878" s="262" t="str">
        <f>IFERROR((#REF!+V875)/V847,"")</f>
        <v/>
      </c>
      <c r="W878" s="262" t="str">
        <f>IFERROR((#REF!+W875)/W847,"")</f>
        <v/>
      </c>
      <c r="X878" s="262"/>
      <c r="Y878" s="394"/>
      <c r="Z878" s="183"/>
      <c r="AA878" s="183"/>
      <c r="AB878" s="446">
        <f t="shared" si="1113"/>
        <v>0</v>
      </c>
      <c r="AC878" s="447">
        <f t="shared" si="1113"/>
        <v>1.788</v>
      </c>
      <c r="AD878" s="447">
        <f t="shared" ref="AD878:BF878" si="1117">$O878*AD839/1000000</f>
        <v>3.5760000000000001</v>
      </c>
      <c r="AE878" s="447">
        <f t="shared" si="1117"/>
        <v>5.3800748826349194</v>
      </c>
      <c r="AF878" s="447">
        <f t="shared" si="1117"/>
        <v>7.2004267819859917</v>
      </c>
      <c r="AG878" s="447">
        <f t="shared" si="1117"/>
        <v>9.0372601271343385</v>
      </c>
      <c r="AH878" s="447">
        <f t="shared" si="1117"/>
        <v>10.890781668973554</v>
      </c>
      <c r="AI878" s="447">
        <f t="shared" si="1117"/>
        <v>12.761200507333003</v>
      </c>
      <c r="AJ878" s="447">
        <f t="shared" si="1117"/>
        <v>14.648728118415399</v>
      </c>
      <c r="AK878" s="447">
        <f t="shared" si="1117"/>
        <v>16.553578382552356</v>
      </c>
      <c r="AL878" s="447">
        <f t="shared" si="1117"/>
        <v>18.475967612281565</v>
      </c>
      <c r="AM878" s="447">
        <f t="shared" si="1117"/>
        <v>20.41611458074933</v>
      </c>
      <c r="AN878" s="447">
        <f t="shared" si="1117"/>
        <v>22.37424055044232</v>
      </c>
      <c r="AO878" s="447">
        <f t="shared" si="1117"/>
        <v>24.350569302252239</v>
      </c>
      <c r="AP878" s="447">
        <f t="shared" si="1117"/>
        <v>26.345327164877389</v>
      </c>
      <c r="AQ878" s="447">
        <f t="shared" si="1117"/>
        <v>28.358743044564946</v>
      </c>
      <c r="AR878" s="447">
        <f t="shared" si="1117"/>
        <v>30.391048455198014</v>
      </c>
      <c r="AS878" s="447">
        <f t="shared" si="1117"/>
        <v>32.442477548731347</v>
      </c>
      <c r="AT878" s="447">
        <f t="shared" si="1117"/>
        <v>34.513267145979867</v>
      </c>
      <c r="AU878" s="447">
        <f t="shared" si="1117"/>
        <v>36.603656767764043</v>
      </c>
      <c r="AV878" s="447">
        <f t="shared" si="1117"/>
        <v>38.713888666416302</v>
      </c>
      <c r="AW878" s="447">
        <f t="shared" si="1117"/>
        <v>40.844207857652584</v>
      </c>
      <c r="AX878" s="447">
        <f t="shared" si="1117"/>
        <v>42.994862152813432</v>
      </c>
      <c r="AY878" s="447">
        <f t="shared" si="1117"/>
        <v>45.166102191478743</v>
      </c>
      <c r="AZ878" s="447">
        <f t="shared" si="1117"/>
        <v>47.358181474460665</v>
      </c>
      <c r="BA878" s="447">
        <f t="shared" si="1117"/>
        <v>49.571356397178867</v>
      </c>
      <c r="BB878" s="447">
        <f t="shared" si="1117"/>
        <v>51.805886283422822</v>
      </c>
      <c r="BC878" s="447">
        <f t="shared" si="1117"/>
        <v>54.062033419505447</v>
      </c>
      <c r="BD878" s="447">
        <f t="shared" si="1117"/>
        <v>56.340063088812656</v>
      </c>
      <c r="BE878" s="447">
        <f t="shared" si="1117"/>
        <v>58.640243606753522</v>
      </c>
      <c r="BF878" s="447">
        <f t="shared" si="1117"/>
        <v>60.962846356115584</v>
      </c>
    </row>
    <row r="879" spans="1:58" x14ac:dyDescent="0.3">
      <c r="A879" s="183"/>
      <c r="B879" s="183"/>
      <c r="C879" s="183"/>
      <c r="D879" s="183"/>
      <c r="E879" s="183"/>
      <c r="F879" s="183"/>
      <c r="G879" s="183"/>
      <c r="H879" s="183"/>
      <c r="I879" s="183"/>
      <c r="J879" s="183"/>
      <c r="K879" s="183"/>
      <c r="L879" s="250"/>
      <c r="M879" s="326" t="s">
        <v>1168</v>
      </c>
      <c r="N879" s="327"/>
      <c r="O879" s="278"/>
      <c r="P879" s="278"/>
      <c r="Q879" s="278"/>
      <c r="R879" s="278"/>
      <c r="S879" s="278" t="str">
        <f>IFERROR((#REF!+S876)/S848,"")</f>
        <v/>
      </c>
      <c r="T879" s="278" t="str">
        <f>IFERROR((#REF!+T876)/T848,"")</f>
        <v/>
      </c>
      <c r="U879" s="278" t="str">
        <f>IFERROR((#REF!+U876)/U848,"")</f>
        <v/>
      </c>
      <c r="V879" s="278" t="str">
        <f>IFERROR((#REF!+V876)/V848,"")</f>
        <v/>
      </c>
      <c r="W879" s="278" t="str">
        <f>IFERROR((#REF!+W876)/W848,"")</f>
        <v/>
      </c>
      <c r="X879" s="278"/>
      <c r="Y879" s="394"/>
      <c r="Z879" s="278"/>
      <c r="AA879" s="278"/>
      <c r="AB879" s="278"/>
      <c r="AC879" s="278"/>
      <c r="AD879" s="278"/>
      <c r="AE879" s="278"/>
      <c r="AF879" s="278"/>
      <c r="AG879" s="278"/>
      <c r="AH879" s="278"/>
      <c r="AI879" s="278"/>
      <c r="AJ879" s="278"/>
      <c r="AK879" s="278"/>
      <c r="AL879" s="278"/>
      <c r="AM879" s="278"/>
      <c r="AN879" s="278"/>
      <c r="AO879" s="278"/>
      <c r="AP879" s="278"/>
      <c r="AQ879" s="278"/>
      <c r="AR879" s="278"/>
      <c r="AS879" s="278"/>
      <c r="AT879" s="278"/>
      <c r="AU879" s="278"/>
      <c r="AV879" s="278"/>
      <c r="AW879" s="278"/>
      <c r="AX879" s="278"/>
      <c r="AY879" s="278"/>
      <c r="AZ879" s="278"/>
      <c r="BA879" s="278"/>
      <c r="BB879" s="278"/>
      <c r="BC879" s="278"/>
      <c r="BD879" s="278"/>
      <c r="BE879" s="278"/>
      <c r="BF879" s="278"/>
    </row>
    <row r="880" spans="1:58" x14ac:dyDescent="0.3">
      <c r="A880" s="183"/>
      <c r="B880" s="183"/>
      <c r="C880" s="183"/>
      <c r="D880" s="183"/>
      <c r="E880" s="183"/>
      <c r="F880" s="183"/>
      <c r="G880" s="183"/>
      <c r="H880" s="183"/>
      <c r="I880" s="183"/>
      <c r="J880" s="183"/>
      <c r="K880" s="183"/>
      <c r="L880" s="250"/>
      <c r="M880" s="328" t="s">
        <v>1162</v>
      </c>
      <c r="N880" s="329" t="s">
        <v>77</v>
      </c>
      <c r="O880" s="323">
        <v>77.400000000000006</v>
      </c>
      <c r="P880" s="262"/>
      <c r="Q880" s="262"/>
      <c r="R880" s="262"/>
      <c r="S880" s="262" t="str">
        <f>IFERROR((#REF!+S879)/S851,"")</f>
        <v/>
      </c>
      <c r="T880" s="262" t="str">
        <f>IFERROR((#REF!+T879)/T851,"")</f>
        <v/>
      </c>
      <c r="U880" s="262" t="str">
        <f>IFERROR((#REF!+U879)/U851,"")</f>
        <v/>
      </c>
      <c r="V880" s="262" t="str">
        <f>IFERROR((#REF!+V879)/V851,"")</f>
        <v/>
      </c>
      <c r="W880" s="262" t="str">
        <f>IFERROR((#REF!+W879)/W851,"")</f>
        <v/>
      </c>
      <c r="X880" s="262"/>
      <c r="Y880" s="394"/>
      <c r="Z880" s="183"/>
      <c r="AA880" s="183"/>
      <c r="AB880" s="446">
        <f t="shared" ref="AB880:AC883" si="1118">$O880*AB841/1000000</f>
        <v>123.84000000000002</v>
      </c>
      <c r="AC880" s="447">
        <f t="shared" si="1118"/>
        <v>123.84000000000002</v>
      </c>
      <c r="AD880" s="447">
        <f t="shared" ref="AD880:BF880" si="1119">$O880*AD841/1000000</f>
        <v>123.84000000000002</v>
      </c>
      <c r="AE880" s="447">
        <f t="shared" si="1119"/>
        <v>123.84000000000002</v>
      </c>
      <c r="AF880" s="447">
        <f t="shared" si="1119"/>
        <v>123.84000000000002</v>
      </c>
      <c r="AG880" s="447">
        <f t="shared" si="1119"/>
        <v>123.84000000000002</v>
      </c>
      <c r="AH880" s="447">
        <f t="shared" si="1119"/>
        <v>123.84000000000002</v>
      </c>
      <c r="AI880" s="447">
        <f t="shared" si="1119"/>
        <v>123.84000000000002</v>
      </c>
      <c r="AJ880" s="447">
        <f t="shared" si="1119"/>
        <v>123.84000000000002</v>
      </c>
      <c r="AK880" s="447">
        <f t="shared" si="1119"/>
        <v>123.84000000000002</v>
      </c>
      <c r="AL880" s="447">
        <f t="shared" si="1119"/>
        <v>123.84000000000002</v>
      </c>
      <c r="AM880" s="447">
        <f t="shared" si="1119"/>
        <v>123.84000000000002</v>
      </c>
      <c r="AN880" s="447">
        <f t="shared" si="1119"/>
        <v>123.84000000000002</v>
      </c>
      <c r="AO880" s="447">
        <f t="shared" si="1119"/>
        <v>123.84000000000002</v>
      </c>
      <c r="AP880" s="447">
        <f t="shared" si="1119"/>
        <v>123.84000000000002</v>
      </c>
      <c r="AQ880" s="447">
        <f t="shared" si="1119"/>
        <v>123.84000000000002</v>
      </c>
      <c r="AR880" s="447">
        <f t="shared" si="1119"/>
        <v>123.84000000000002</v>
      </c>
      <c r="AS880" s="447">
        <f t="shared" si="1119"/>
        <v>123.84000000000002</v>
      </c>
      <c r="AT880" s="447">
        <f t="shared" si="1119"/>
        <v>123.84000000000002</v>
      </c>
      <c r="AU880" s="447">
        <f t="shared" si="1119"/>
        <v>123.84000000000002</v>
      </c>
      <c r="AV880" s="447">
        <f t="shared" si="1119"/>
        <v>123.84000000000002</v>
      </c>
      <c r="AW880" s="447">
        <f t="shared" si="1119"/>
        <v>123.84000000000002</v>
      </c>
      <c r="AX880" s="447">
        <f t="shared" si="1119"/>
        <v>123.84000000000002</v>
      </c>
      <c r="AY880" s="447">
        <f t="shared" si="1119"/>
        <v>123.84000000000002</v>
      </c>
      <c r="AZ880" s="447">
        <f t="shared" si="1119"/>
        <v>123.84000000000002</v>
      </c>
      <c r="BA880" s="447">
        <f t="shared" si="1119"/>
        <v>123.84000000000002</v>
      </c>
      <c r="BB880" s="447">
        <f t="shared" si="1119"/>
        <v>123.84000000000002</v>
      </c>
      <c r="BC880" s="447">
        <f t="shared" si="1119"/>
        <v>123.84000000000002</v>
      </c>
      <c r="BD880" s="447">
        <f t="shared" si="1119"/>
        <v>123.84000000000002</v>
      </c>
      <c r="BE880" s="447">
        <f t="shared" si="1119"/>
        <v>123.84000000000002</v>
      </c>
      <c r="BF880" s="447">
        <f t="shared" si="1119"/>
        <v>123.84000000000002</v>
      </c>
    </row>
    <row r="881" spans="1:58" x14ac:dyDescent="0.3">
      <c r="A881" s="183"/>
      <c r="B881" s="183"/>
      <c r="C881" s="183"/>
      <c r="D881" s="183"/>
      <c r="E881" s="183"/>
      <c r="F881" s="183"/>
      <c r="G881" s="183"/>
      <c r="H881" s="183"/>
      <c r="I881" s="183"/>
      <c r="J881" s="183"/>
      <c r="K881" s="183"/>
      <c r="L881" s="250"/>
      <c r="M881" s="328" t="s">
        <v>417</v>
      </c>
      <c r="N881" s="329" t="s">
        <v>77</v>
      </c>
      <c r="O881" s="323">
        <v>77.400000000000006</v>
      </c>
      <c r="P881" s="262"/>
      <c r="Q881" s="262"/>
      <c r="R881" s="262"/>
      <c r="S881" s="262" t="str">
        <f>IFERROR((#REF!+#REF!)/S852,"")</f>
        <v/>
      </c>
      <c r="T881" s="262" t="str">
        <f>IFERROR((#REF!+#REF!)/T852,"")</f>
        <v/>
      </c>
      <c r="U881" s="262" t="str">
        <f>IFERROR((#REF!+#REF!)/U852,"")</f>
        <v/>
      </c>
      <c r="V881" s="262" t="str">
        <f>IFERROR((#REF!+#REF!)/V852,"")</f>
        <v/>
      </c>
      <c r="W881" s="262" t="str">
        <f>IFERROR((#REF!+#REF!)/W852,"")</f>
        <v/>
      </c>
      <c r="X881" s="262"/>
      <c r="Y881" s="394"/>
      <c r="Z881" s="183"/>
      <c r="AA881" s="183"/>
      <c r="AB881" s="446">
        <f t="shared" si="1118"/>
        <v>201.24</v>
      </c>
      <c r="AC881" s="447">
        <f t="shared" si="1118"/>
        <v>201.24</v>
      </c>
      <c r="AD881" s="447">
        <f t="shared" ref="AD881:BF881" si="1120">$O881*AD842/1000000</f>
        <v>201.24</v>
      </c>
      <c r="AE881" s="447">
        <f t="shared" si="1120"/>
        <v>201.24</v>
      </c>
      <c r="AF881" s="447">
        <f t="shared" si="1120"/>
        <v>201.24</v>
      </c>
      <c r="AG881" s="447">
        <f t="shared" si="1120"/>
        <v>201.24</v>
      </c>
      <c r="AH881" s="447">
        <f t="shared" si="1120"/>
        <v>201.24</v>
      </c>
      <c r="AI881" s="447">
        <f t="shared" si="1120"/>
        <v>201.24</v>
      </c>
      <c r="AJ881" s="447">
        <f t="shared" si="1120"/>
        <v>201.24</v>
      </c>
      <c r="AK881" s="447">
        <f t="shared" si="1120"/>
        <v>201.24</v>
      </c>
      <c r="AL881" s="447">
        <f t="shared" si="1120"/>
        <v>201.24</v>
      </c>
      <c r="AM881" s="447">
        <f t="shared" si="1120"/>
        <v>201.24</v>
      </c>
      <c r="AN881" s="447">
        <f t="shared" si="1120"/>
        <v>201.24</v>
      </c>
      <c r="AO881" s="447">
        <f t="shared" si="1120"/>
        <v>201.24</v>
      </c>
      <c r="AP881" s="447">
        <f t="shared" si="1120"/>
        <v>201.24</v>
      </c>
      <c r="AQ881" s="447">
        <f t="shared" si="1120"/>
        <v>201.24</v>
      </c>
      <c r="AR881" s="447">
        <f t="shared" si="1120"/>
        <v>201.24</v>
      </c>
      <c r="AS881" s="447">
        <f t="shared" si="1120"/>
        <v>201.24</v>
      </c>
      <c r="AT881" s="447">
        <f t="shared" si="1120"/>
        <v>201.24</v>
      </c>
      <c r="AU881" s="447">
        <f t="shared" si="1120"/>
        <v>201.24</v>
      </c>
      <c r="AV881" s="447">
        <f t="shared" si="1120"/>
        <v>201.24</v>
      </c>
      <c r="AW881" s="447">
        <f t="shared" si="1120"/>
        <v>201.24</v>
      </c>
      <c r="AX881" s="447">
        <f t="shared" si="1120"/>
        <v>201.24</v>
      </c>
      <c r="AY881" s="447">
        <f t="shared" si="1120"/>
        <v>201.24</v>
      </c>
      <c r="AZ881" s="447">
        <f t="shared" si="1120"/>
        <v>201.24</v>
      </c>
      <c r="BA881" s="447">
        <f t="shared" si="1120"/>
        <v>201.24</v>
      </c>
      <c r="BB881" s="447">
        <f t="shared" si="1120"/>
        <v>201.24</v>
      </c>
      <c r="BC881" s="447">
        <f t="shared" si="1120"/>
        <v>201.24</v>
      </c>
      <c r="BD881" s="447">
        <f t="shared" si="1120"/>
        <v>201.24</v>
      </c>
      <c r="BE881" s="447">
        <f t="shared" si="1120"/>
        <v>201.24</v>
      </c>
      <c r="BF881" s="447">
        <f t="shared" si="1120"/>
        <v>201.24</v>
      </c>
    </row>
    <row r="882" spans="1:58" x14ac:dyDescent="0.3">
      <c r="A882" s="183"/>
      <c r="B882" s="183"/>
      <c r="C882" s="183"/>
      <c r="D882" s="183"/>
      <c r="E882" s="183"/>
      <c r="F882" s="183"/>
      <c r="G882" s="183"/>
      <c r="H882" s="183"/>
      <c r="I882" s="183"/>
      <c r="J882" s="183"/>
      <c r="K882" s="183"/>
      <c r="L882" s="250"/>
      <c r="M882" s="328" t="s">
        <v>1163</v>
      </c>
      <c r="N882" s="329" t="s">
        <v>77</v>
      </c>
      <c r="O882" s="323">
        <v>75.900000000000006</v>
      </c>
      <c r="P882" s="262"/>
      <c r="Q882" s="262"/>
      <c r="R882" s="262"/>
      <c r="S882" s="262" t="str">
        <f>IFERROR((#REF!+#REF!)/S853,"")</f>
        <v/>
      </c>
      <c r="T882" s="262" t="str">
        <f>IFERROR((#REF!+#REF!)/T853,"")</f>
        <v/>
      </c>
      <c r="U882" s="262" t="str">
        <f>IFERROR((#REF!+#REF!)/U853,"")</f>
        <v/>
      </c>
      <c r="V882" s="262" t="str">
        <f>IFERROR((#REF!+#REF!)/V853,"")</f>
        <v/>
      </c>
      <c r="W882" s="262" t="str">
        <f>IFERROR((#REF!+#REF!)/W853,"")</f>
        <v/>
      </c>
      <c r="X882" s="262"/>
      <c r="Y882" s="394"/>
      <c r="Z882" s="183"/>
      <c r="AA882" s="183"/>
      <c r="AB882" s="446">
        <f t="shared" si="1118"/>
        <v>41.744999999999997</v>
      </c>
      <c r="AC882" s="447">
        <f t="shared" si="1118"/>
        <v>41.744999999999997</v>
      </c>
      <c r="AD882" s="447">
        <f t="shared" ref="AD882:BF882" si="1121">$O882*AD843/1000000</f>
        <v>41.744999999999997</v>
      </c>
      <c r="AE882" s="447">
        <f t="shared" si="1121"/>
        <v>41.744999999999997</v>
      </c>
      <c r="AF882" s="447">
        <f t="shared" si="1121"/>
        <v>41.744999999999997</v>
      </c>
      <c r="AG882" s="447">
        <f t="shared" si="1121"/>
        <v>41.744999999999997</v>
      </c>
      <c r="AH882" s="447">
        <f t="shared" si="1121"/>
        <v>41.744999999999997</v>
      </c>
      <c r="AI882" s="447">
        <f t="shared" si="1121"/>
        <v>41.744999999999997</v>
      </c>
      <c r="AJ882" s="447">
        <f t="shared" si="1121"/>
        <v>41.744999999999997</v>
      </c>
      <c r="AK882" s="447">
        <f t="shared" si="1121"/>
        <v>41.744999999999997</v>
      </c>
      <c r="AL882" s="447">
        <f t="shared" si="1121"/>
        <v>41.744999999999997</v>
      </c>
      <c r="AM882" s="447">
        <f t="shared" si="1121"/>
        <v>41.744999999999997</v>
      </c>
      <c r="AN882" s="447">
        <f t="shared" si="1121"/>
        <v>41.744999999999997</v>
      </c>
      <c r="AO882" s="447">
        <f t="shared" si="1121"/>
        <v>41.744999999999997</v>
      </c>
      <c r="AP882" s="447">
        <f t="shared" si="1121"/>
        <v>41.744999999999997</v>
      </c>
      <c r="AQ882" s="447">
        <f t="shared" si="1121"/>
        <v>41.744999999999997</v>
      </c>
      <c r="AR882" s="447">
        <f t="shared" si="1121"/>
        <v>41.744999999999997</v>
      </c>
      <c r="AS882" s="447">
        <f t="shared" si="1121"/>
        <v>41.744999999999997</v>
      </c>
      <c r="AT882" s="447">
        <f t="shared" si="1121"/>
        <v>41.744999999999997</v>
      </c>
      <c r="AU882" s="447">
        <f t="shared" si="1121"/>
        <v>41.744999999999997</v>
      </c>
      <c r="AV882" s="447">
        <f t="shared" si="1121"/>
        <v>41.744999999999997</v>
      </c>
      <c r="AW882" s="447">
        <f t="shared" si="1121"/>
        <v>41.744999999999997</v>
      </c>
      <c r="AX882" s="447">
        <f t="shared" si="1121"/>
        <v>41.744999999999997</v>
      </c>
      <c r="AY882" s="447">
        <f t="shared" si="1121"/>
        <v>41.744999999999997</v>
      </c>
      <c r="AZ882" s="447">
        <f t="shared" si="1121"/>
        <v>41.744999999999997</v>
      </c>
      <c r="BA882" s="447">
        <f t="shared" si="1121"/>
        <v>41.744999999999997</v>
      </c>
      <c r="BB882" s="447">
        <f t="shared" si="1121"/>
        <v>41.744999999999997</v>
      </c>
      <c r="BC882" s="447">
        <f t="shared" si="1121"/>
        <v>41.744999999999997</v>
      </c>
      <c r="BD882" s="447">
        <f t="shared" si="1121"/>
        <v>41.744999999999997</v>
      </c>
      <c r="BE882" s="447">
        <f t="shared" si="1121"/>
        <v>41.744999999999997</v>
      </c>
      <c r="BF882" s="447">
        <f t="shared" si="1121"/>
        <v>41.744999999999997</v>
      </c>
    </row>
    <row r="883" spans="1:58" x14ac:dyDescent="0.3">
      <c r="A883" s="183"/>
      <c r="B883" s="183"/>
      <c r="C883" s="183"/>
      <c r="D883" s="183"/>
      <c r="E883" s="183"/>
      <c r="F883" s="183"/>
      <c r="G883" s="183"/>
      <c r="H883" s="183"/>
      <c r="I883" s="183"/>
      <c r="J883" s="183"/>
      <c r="K883" s="183"/>
      <c r="L883" s="250"/>
      <c r="M883" s="328" t="s">
        <v>1164</v>
      </c>
      <c r="N883" s="329" t="s">
        <v>77</v>
      </c>
      <c r="O883" s="323">
        <v>142.9</v>
      </c>
      <c r="P883" s="262"/>
      <c r="Q883" s="262"/>
      <c r="R883" s="262"/>
      <c r="S883" s="262" t="str">
        <f>IFERROR((#REF!+S880)/S854,"")</f>
        <v/>
      </c>
      <c r="T883" s="262" t="str">
        <f>IFERROR((#REF!+T880)/T854,"")</f>
        <v/>
      </c>
      <c r="U883" s="262" t="str">
        <f>IFERROR((#REF!+U880)/U854,"")</f>
        <v/>
      </c>
      <c r="V883" s="262" t="str">
        <f>IFERROR((#REF!+V880)/V854,"")</f>
        <v/>
      </c>
      <c r="W883" s="262" t="str">
        <f>IFERROR((#REF!+W880)/W854,"")</f>
        <v/>
      </c>
      <c r="X883" s="262"/>
      <c r="Y883" s="394"/>
      <c r="Z883" s="183"/>
      <c r="AA883" s="183"/>
      <c r="AB883" s="446">
        <f t="shared" si="1118"/>
        <v>171.48</v>
      </c>
      <c r="AC883" s="447">
        <f t="shared" si="1118"/>
        <v>171.48</v>
      </c>
      <c r="AD883" s="447">
        <f t="shared" ref="AD883:BF883" si="1122">$O883*AD844/1000000</f>
        <v>171.48</v>
      </c>
      <c r="AE883" s="447">
        <f t="shared" si="1122"/>
        <v>171.48</v>
      </c>
      <c r="AF883" s="447">
        <f t="shared" si="1122"/>
        <v>171.48</v>
      </c>
      <c r="AG883" s="447">
        <f t="shared" si="1122"/>
        <v>171.48</v>
      </c>
      <c r="AH883" s="447">
        <f t="shared" si="1122"/>
        <v>171.48</v>
      </c>
      <c r="AI883" s="447">
        <f t="shared" si="1122"/>
        <v>171.48</v>
      </c>
      <c r="AJ883" s="447">
        <f t="shared" si="1122"/>
        <v>171.48</v>
      </c>
      <c r="AK883" s="447">
        <f t="shared" si="1122"/>
        <v>171.48</v>
      </c>
      <c r="AL883" s="447">
        <f t="shared" si="1122"/>
        <v>171.48</v>
      </c>
      <c r="AM883" s="447">
        <f t="shared" si="1122"/>
        <v>171.48</v>
      </c>
      <c r="AN883" s="447">
        <f t="shared" si="1122"/>
        <v>171.48</v>
      </c>
      <c r="AO883" s="447">
        <f t="shared" si="1122"/>
        <v>171.48</v>
      </c>
      <c r="AP883" s="447">
        <f t="shared" si="1122"/>
        <v>171.48</v>
      </c>
      <c r="AQ883" s="447">
        <f t="shared" si="1122"/>
        <v>171.48</v>
      </c>
      <c r="AR883" s="447">
        <f t="shared" si="1122"/>
        <v>171.48</v>
      </c>
      <c r="AS883" s="447">
        <f t="shared" si="1122"/>
        <v>171.48</v>
      </c>
      <c r="AT883" s="447">
        <f t="shared" si="1122"/>
        <v>171.48</v>
      </c>
      <c r="AU883" s="447">
        <f t="shared" si="1122"/>
        <v>171.48</v>
      </c>
      <c r="AV883" s="447">
        <f t="shared" si="1122"/>
        <v>171.48</v>
      </c>
      <c r="AW883" s="447">
        <f t="shared" si="1122"/>
        <v>171.48</v>
      </c>
      <c r="AX883" s="447">
        <f t="shared" si="1122"/>
        <v>171.48</v>
      </c>
      <c r="AY883" s="447">
        <f t="shared" si="1122"/>
        <v>171.48</v>
      </c>
      <c r="AZ883" s="447">
        <f t="shared" si="1122"/>
        <v>171.48</v>
      </c>
      <c r="BA883" s="447">
        <f t="shared" si="1122"/>
        <v>171.48</v>
      </c>
      <c r="BB883" s="447">
        <f t="shared" si="1122"/>
        <v>171.48</v>
      </c>
      <c r="BC883" s="447">
        <f t="shared" si="1122"/>
        <v>171.48</v>
      </c>
      <c r="BD883" s="447">
        <f t="shared" si="1122"/>
        <v>171.48</v>
      </c>
      <c r="BE883" s="447">
        <f t="shared" si="1122"/>
        <v>171.48</v>
      </c>
      <c r="BF883" s="447">
        <f t="shared" si="1122"/>
        <v>171.48</v>
      </c>
    </row>
    <row r="884" spans="1:58" x14ac:dyDescent="0.3">
      <c r="A884" s="183"/>
      <c r="B884" s="183"/>
      <c r="C884" s="183"/>
      <c r="D884" s="183"/>
      <c r="E884" s="183"/>
      <c r="F884" s="183"/>
      <c r="G884" s="183"/>
      <c r="H884" s="183"/>
      <c r="I884" s="183"/>
      <c r="J884" s="183"/>
      <c r="K884" s="183"/>
      <c r="L884" s="250"/>
      <c r="M884" s="326" t="s">
        <v>1169</v>
      </c>
      <c r="N884" s="327"/>
      <c r="O884" s="278"/>
      <c r="P884" s="278"/>
      <c r="Q884" s="278"/>
      <c r="R884" s="278"/>
      <c r="S884" s="278" t="str">
        <f>IFERROR((#REF!+S881)/S855,"")</f>
        <v/>
      </c>
      <c r="T884" s="278" t="str">
        <f>IFERROR((#REF!+T881)/T855,"")</f>
        <v/>
      </c>
      <c r="U884" s="278" t="str">
        <f>IFERROR((#REF!+U881)/U855,"")</f>
        <v/>
      </c>
      <c r="V884" s="278" t="str">
        <f>IFERROR((#REF!+V881)/V855,"")</f>
        <v/>
      </c>
      <c r="W884" s="278" t="str">
        <f>IFERROR((#REF!+W881)/W855,"")</f>
        <v/>
      </c>
      <c r="X884" s="278"/>
      <c r="Y884" s="394"/>
      <c r="Z884" s="278"/>
      <c r="AA884" s="278"/>
      <c r="AB884" s="278"/>
      <c r="AC884" s="278"/>
      <c r="AD884" s="278"/>
      <c r="AE884" s="278"/>
      <c r="AF884" s="278"/>
      <c r="AG884" s="278"/>
      <c r="AH884" s="278"/>
      <c r="AI884" s="278"/>
      <c r="AJ884" s="278"/>
      <c r="AK884" s="278"/>
      <c r="AL884" s="278"/>
      <c r="AM884" s="278"/>
      <c r="AN884" s="278"/>
      <c r="AO884" s="278"/>
      <c r="AP884" s="278"/>
      <c r="AQ884" s="278"/>
      <c r="AR884" s="278"/>
      <c r="AS884" s="278"/>
      <c r="AT884" s="278"/>
      <c r="AU884" s="278"/>
      <c r="AV884" s="278"/>
      <c r="AW884" s="278"/>
      <c r="AX884" s="278"/>
      <c r="AY884" s="278"/>
      <c r="AZ884" s="278"/>
      <c r="BA884" s="278"/>
      <c r="BB884" s="278"/>
      <c r="BC884" s="278"/>
      <c r="BD884" s="278"/>
      <c r="BE884" s="278"/>
      <c r="BF884" s="278"/>
    </row>
    <row r="885" spans="1:58" x14ac:dyDescent="0.3">
      <c r="A885" s="183"/>
      <c r="B885" s="183"/>
      <c r="C885" s="183"/>
      <c r="D885" s="183"/>
      <c r="E885" s="183"/>
      <c r="F885" s="183"/>
      <c r="G885" s="183"/>
      <c r="H885" s="183"/>
      <c r="I885" s="183"/>
      <c r="J885" s="183"/>
      <c r="K885" s="183"/>
      <c r="L885" s="250"/>
      <c r="M885" s="328" t="s">
        <v>1162</v>
      </c>
      <c r="N885" s="329" t="s">
        <v>77</v>
      </c>
      <c r="O885" s="323">
        <v>41.8</v>
      </c>
      <c r="P885" s="262"/>
      <c r="Q885" s="262"/>
      <c r="R885" s="262"/>
      <c r="S885" s="262" t="str">
        <f>IFERROR((#REF!+S884)/S858,"")</f>
        <v/>
      </c>
      <c r="T885" s="262" t="str">
        <f>IFERROR((#REF!+T884)/T858,"")</f>
        <v/>
      </c>
      <c r="U885" s="262" t="str">
        <f>IFERROR((#REF!+U884)/U858,"")</f>
        <v/>
      </c>
      <c r="V885" s="262" t="str">
        <f>IFERROR((#REF!+V884)/V858,"")</f>
        <v/>
      </c>
      <c r="W885" s="262" t="str">
        <f>IFERROR((#REF!+W884)/W858,"")</f>
        <v/>
      </c>
      <c r="X885" s="262"/>
      <c r="Y885" s="394"/>
      <c r="Z885" s="183"/>
      <c r="AA885" s="183"/>
      <c r="AB885" s="446">
        <f t="shared" ref="AB885:AC888" si="1123">$O885*AB846/1000000</f>
        <v>0</v>
      </c>
      <c r="AC885" s="447">
        <f t="shared" si="1123"/>
        <v>3.1349999999999998</v>
      </c>
      <c r="AD885" s="447">
        <f t="shared" ref="AD885:BF885" si="1124">$O885*AD846/1000000</f>
        <v>6.27</v>
      </c>
      <c r="AE885" s="447">
        <f t="shared" si="1124"/>
        <v>9.452640309945517</v>
      </c>
      <c r="AF885" s="447">
        <f t="shared" si="1124"/>
        <v>12.684063306190666</v>
      </c>
      <c r="AG885" s="447">
        <f t="shared" si="1124"/>
        <v>15.965434084744821</v>
      </c>
      <c r="AH885" s="447">
        <f t="shared" si="1124"/>
        <v>19.297940946204765</v>
      </c>
      <c r="AI885" s="447">
        <f t="shared" si="1124"/>
        <v>22.682795890754971</v>
      </c>
      <c r="AJ885" s="447">
        <f t="shared" si="1124"/>
        <v>26.121235123447271</v>
      </c>
      <c r="AK885" s="447">
        <f t="shared" si="1124"/>
        <v>29.614519569975659</v>
      </c>
      <c r="AL885" s="447">
        <f t="shared" si="1124"/>
        <v>33.163935403166384</v>
      </c>
      <c r="AM885" s="447">
        <f t="shared" si="1124"/>
        <v>36.770794580408165</v>
      </c>
      <c r="AN885" s="447">
        <f t="shared" si="1124"/>
        <v>40.436435392251987</v>
      </c>
      <c r="AO885" s="447">
        <f t="shared" si="1124"/>
        <v>44.162223022414857</v>
      </c>
      <c r="AP885" s="447">
        <f t="shared" si="1124"/>
        <v>47.949550119426625</v>
      </c>
      <c r="AQ885" s="447">
        <f t="shared" si="1124"/>
        <v>51.799837380164163</v>
      </c>
      <c r="AR885" s="447">
        <f t="shared" si="1124"/>
        <v>55.714534145522066</v>
      </c>
      <c r="AS885" s="447">
        <f t="shared" si="1124"/>
        <v>59.695119008474599</v>
      </c>
      <c r="AT885" s="447">
        <f t="shared" si="1124"/>
        <v>63.743100434788445</v>
      </c>
      <c r="AU885" s="447">
        <f t="shared" si="1124"/>
        <v>67.860017396651784</v>
      </c>
      <c r="AV885" s="447">
        <f t="shared" si="1124"/>
        <v>72.047440019490352</v>
      </c>
      <c r="AW885" s="447">
        <f t="shared" si="1124"/>
        <v>76.306970242246976</v>
      </c>
      <c r="AX885" s="447">
        <f t="shared" si="1124"/>
        <v>80.640242491406852</v>
      </c>
      <c r="AY885" s="447">
        <f t="shared" si="1124"/>
        <v>85.048924369056834</v>
      </c>
      <c r="AZ885" s="447">
        <f t="shared" si="1124"/>
        <v>89.534717355272562</v>
      </c>
      <c r="BA885" s="447">
        <f t="shared" si="1124"/>
        <v>94.099357525134181</v>
      </c>
      <c r="BB885" s="447">
        <f t="shared" si="1124"/>
        <v>98.744616280676979</v>
      </c>
      <c r="BC885" s="447">
        <f t="shared" si="1124"/>
        <v>103.47230109809009</v>
      </c>
      <c r="BD885" s="447">
        <f t="shared" si="1124"/>
        <v>108.28425629048265</v>
      </c>
      <c r="BE885" s="447">
        <f t="shared" si="1124"/>
        <v>113.18236378654386</v>
      </c>
      <c r="BF885" s="447">
        <f t="shared" si="1124"/>
        <v>118.16854392543004</v>
      </c>
    </row>
    <row r="886" spans="1:58" x14ac:dyDescent="0.3">
      <c r="A886" s="183"/>
      <c r="B886" s="183"/>
      <c r="C886" s="183"/>
      <c r="D886" s="183"/>
      <c r="E886" s="183"/>
      <c r="F886" s="183"/>
      <c r="G886" s="183"/>
      <c r="H886" s="183"/>
      <c r="I886" s="183"/>
      <c r="J886" s="183"/>
      <c r="K886" s="183"/>
      <c r="L886" s="250"/>
      <c r="M886" s="328" t="s">
        <v>417</v>
      </c>
      <c r="N886" s="329" t="s">
        <v>77</v>
      </c>
      <c r="O886" s="323">
        <v>41.8</v>
      </c>
      <c r="P886" s="262"/>
      <c r="Q886" s="262"/>
      <c r="R886" s="262"/>
      <c r="S886" s="262" t="str">
        <f>IFERROR((#REF!+#REF!)/S859,"")</f>
        <v/>
      </c>
      <c r="T886" s="262" t="str">
        <f>IFERROR((#REF!+#REF!)/T859,"")</f>
        <v/>
      </c>
      <c r="U886" s="262" t="str">
        <f>IFERROR((#REF!+#REF!)/U859,"")</f>
        <v/>
      </c>
      <c r="V886" s="262" t="str">
        <f>IFERROR((#REF!+#REF!)/V859,"")</f>
        <v/>
      </c>
      <c r="W886" s="262" t="str">
        <f>IFERROR((#REF!+#REF!)/W859,"")</f>
        <v/>
      </c>
      <c r="X886" s="262"/>
      <c r="Y886" s="394"/>
      <c r="Z886" s="183"/>
      <c r="AA886" s="183"/>
      <c r="AB886" s="446">
        <f t="shared" si="1123"/>
        <v>0</v>
      </c>
      <c r="AC886" s="447">
        <f t="shared" si="1123"/>
        <v>2.7170000000000001</v>
      </c>
      <c r="AD886" s="447">
        <f t="shared" ref="AD886:BF886" si="1125">$O886*AD847/1000000</f>
        <v>5.4340000000000002</v>
      </c>
      <c r="AE886" s="447">
        <f t="shared" si="1125"/>
        <v>8.1880663758513137</v>
      </c>
      <c r="AF886" s="447">
        <f t="shared" si="1125"/>
        <v>10.980052034674532</v>
      </c>
      <c r="AG886" s="447">
        <f t="shared" si="1125"/>
        <v>13.810824915844416</v>
      </c>
      <c r="AH886" s="447">
        <f t="shared" si="1125"/>
        <v>16.681268291954702</v>
      </c>
      <c r="AI886" s="447">
        <f t="shared" si="1125"/>
        <v>19.592281075439729</v>
      </c>
      <c r="AJ886" s="447">
        <f t="shared" si="1125"/>
        <v>22.544778130962566</v>
      </c>
      <c r="AK886" s="447">
        <f t="shared" si="1125"/>
        <v>25.539690593681289</v>
      </c>
      <c r="AL886" s="447">
        <f t="shared" si="1125"/>
        <v>28.577966193507365</v>
      </c>
      <c r="AM886" s="447">
        <f t="shared" si="1125"/>
        <v>31.660569585472192</v>
      </c>
      <c r="AN886" s="447">
        <f t="shared" si="1125"/>
        <v>34.788482686319988</v>
      </c>
      <c r="AO886" s="447">
        <f t="shared" si="1125"/>
        <v>37.962705017447625</v>
      </c>
      <c r="AP886" s="447">
        <f t="shared" si="1125"/>
        <v>41.184254054314273</v>
      </c>
      <c r="AQ886" s="447">
        <f t="shared" si="1125"/>
        <v>44.454165582445839</v>
      </c>
      <c r="AR886" s="447">
        <f t="shared" si="1125"/>
        <v>47.773494060162051</v>
      </c>
      <c r="AS886" s="447">
        <f t="shared" si="1125"/>
        <v>51.143312988155955</v>
      </c>
      <c r="AT886" s="447">
        <f t="shared" si="1125"/>
        <v>54.564715286058394</v>
      </c>
      <c r="AU886" s="447">
        <f t="shared" si="1125"/>
        <v>58.038813676122579</v>
      </c>
      <c r="AV886" s="447">
        <f t="shared" si="1125"/>
        <v>61.566741074166167</v>
      </c>
      <c r="AW886" s="447">
        <f t="shared" si="1125"/>
        <v>65.149650987911329</v>
      </c>
      <c r="AX886" s="447">
        <f t="shared" si="1125"/>
        <v>68.788717922865487</v>
      </c>
      <c r="AY886" s="447">
        <f t="shared" si="1125"/>
        <v>72.485137795888434</v>
      </c>
      <c r="AZ886" s="447">
        <f t="shared" si="1125"/>
        <v>76.240128356594525</v>
      </c>
      <c r="BA886" s="447">
        <f t="shared" si="1125"/>
        <v>80.054929616740694</v>
      </c>
      <c r="BB886" s="447">
        <f t="shared" si="1125"/>
        <v>83.930804287755024</v>
      </c>
      <c r="BC886" s="447">
        <f t="shared" si="1125"/>
        <v>87.869038226562637</v>
      </c>
      <c r="BD886" s="447">
        <f t="shared" si="1125"/>
        <v>91.870940889869047</v>
      </c>
      <c r="BE886" s="447">
        <f t="shared" si="1125"/>
        <v>95.937845797064426</v>
      </c>
      <c r="BF886" s="447">
        <f t="shared" si="1125"/>
        <v>100.07111100191467</v>
      </c>
    </row>
    <row r="887" spans="1:58" x14ac:dyDescent="0.3">
      <c r="A887" s="183"/>
      <c r="B887" s="183"/>
      <c r="C887" s="183"/>
      <c r="D887" s="183"/>
      <c r="E887" s="183"/>
      <c r="F887" s="183"/>
      <c r="G887" s="183"/>
      <c r="H887" s="183"/>
      <c r="I887" s="183"/>
      <c r="J887" s="183"/>
      <c r="K887" s="183"/>
      <c r="L887" s="250"/>
      <c r="M887" s="328" t="s">
        <v>1163</v>
      </c>
      <c r="N887" s="329" t="s">
        <v>77</v>
      </c>
      <c r="O887" s="323">
        <v>41</v>
      </c>
      <c r="P887" s="262"/>
      <c r="Q887" s="262"/>
      <c r="R887" s="262"/>
      <c r="S887" s="262" t="str">
        <f>IFERROR((#REF!+#REF!)/S860,"")</f>
        <v/>
      </c>
      <c r="T887" s="262" t="str">
        <f>IFERROR((#REF!+#REF!)/T860,"")</f>
        <v/>
      </c>
      <c r="U887" s="262" t="str">
        <f>IFERROR((#REF!+#REF!)/U860,"")</f>
        <v/>
      </c>
      <c r="V887" s="262" t="str">
        <f>IFERROR((#REF!+#REF!)/V860,"")</f>
        <v/>
      </c>
      <c r="W887" s="262" t="str">
        <f>IFERROR((#REF!+#REF!)/W860,"")</f>
        <v/>
      </c>
      <c r="X887" s="262"/>
      <c r="Y887" s="394"/>
      <c r="Z887" s="183"/>
      <c r="AA887" s="183"/>
      <c r="AB887" s="446">
        <f t="shared" si="1123"/>
        <v>0</v>
      </c>
      <c r="AC887" s="447">
        <f t="shared" si="1123"/>
        <v>1.4350000000000001</v>
      </c>
      <c r="AD887" s="447">
        <f t="shared" ref="AD887:BF887" si="1126">$O887*AD848/1000000</f>
        <v>2.87</v>
      </c>
      <c r="AE887" s="447">
        <f t="shared" si="1126"/>
        <v>4.3188294180602584</v>
      </c>
      <c r="AF887" s="447">
        <f t="shared" si="1126"/>
        <v>5.7818577516734591</v>
      </c>
      <c r="AG887" s="447">
        <f t="shared" si="1126"/>
        <v>7.2594599932299957</v>
      </c>
      <c r="AH887" s="447">
        <f t="shared" si="1126"/>
        <v>8.7520167409933531</v>
      </c>
      <c r="AI887" s="447">
        <f t="shared" si="1126"/>
        <v>10.259914311965396</v>
      </c>
      <c r="AJ887" s="447">
        <f t="shared" si="1126"/>
        <v>11.782556635694565</v>
      </c>
      <c r="AK887" s="447">
        <f t="shared" si="1126"/>
        <v>13.320224733957486</v>
      </c>
      <c r="AL887" s="447">
        <f t="shared" si="1126"/>
        <v>14.873203496807665</v>
      </c>
      <c r="AM887" s="447">
        <f t="shared" si="1126"/>
        <v>16.441781744121016</v>
      </c>
      <c r="AN887" s="447">
        <f t="shared" si="1126"/>
        <v>18.026252288056476</v>
      </c>
      <c r="AO887" s="447">
        <f t="shared" si="1126"/>
        <v>19.626911996445788</v>
      </c>
      <c r="AP887" s="447">
        <f t="shared" si="1126"/>
        <v>21.244061857126695</v>
      </c>
      <c r="AQ887" s="447">
        <f t="shared" si="1126"/>
        <v>22.878007043233971</v>
      </c>
      <c r="AR887" s="447">
        <f t="shared" si="1126"/>
        <v>24.529056979463032</v>
      </c>
      <c r="AS887" s="447">
        <f t="shared" si="1126"/>
        <v>26.197525409320939</v>
      </c>
      <c r="AT887" s="447">
        <f t="shared" si="1126"/>
        <v>27.883730463380036</v>
      </c>
      <c r="AU887" s="447">
        <f t="shared" si="1126"/>
        <v>29.587994728549493</v>
      </c>
      <c r="AV887" s="447">
        <f t="shared" si="1126"/>
        <v>31.310645318380377</v>
      </c>
      <c r="AW887" s="447">
        <f t="shared" si="1126"/>
        <v>33.052013944420082</v>
      </c>
      <c r="AX887" s="447">
        <f t="shared" si="1126"/>
        <v>34.812436988632129</v>
      </c>
      <c r="AY887" s="447">
        <f t="shared" si="1126"/>
        <v>36.59225557689777</v>
      </c>
      <c r="AZ887" s="447">
        <f t="shared" si="1126"/>
        <v>38.391815653615822</v>
      </c>
      <c r="BA887" s="447">
        <f t="shared" si="1126"/>
        <v>40.211468057417569</v>
      </c>
      <c r="BB887" s="447">
        <f t="shared" si="1126"/>
        <v>42.051568598013823</v>
      </c>
      <c r="BC887" s="447">
        <f t="shared" si="1126"/>
        <v>43.91247813419151</v>
      </c>
      <c r="BD887" s="447">
        <f t="shared" si="1126"/>
        <v>45.794562652977191</v>
      </c>
      <c r="BE887" s="447">
        <f t="shared" si="1126"/>
        <v>47.698193349985523</v>
      </c>
      <c r="BF887" s="447">
        <f t="shared" si="1126"/>
        <v>49.623746710970764</v>
      </c>
    </row>
    <row r="888" spans="1:58" x14ac:dyDescent="0.3">
      <c r="A888" s="183"/>
      <c r="B888" s="183"/>
      <c r="C888" s="183"/>
      <c r="D888" s="183"/>
      <c r="E888" s="183"/>
      <c r="F888" s="183"/>
      <c r="G888" s="183"/>
      <c r="H888" s="183"/>
      <c r="I888" s="183"/>
      <c r="J888" s="183"/>
      <c r="K888" s="183"/>
      <c r="L888" s="250"/>
      <c r="M888" s="328" t="s">
        <v>1164</v>
      </c>
      <c r="N888" s="329" t="s">
        <v>77</v>
      </c>
      <c r="O888" s="323">
        <v>77.099999999999994</v>
      </c>
      <c r="P888" s="262"/>
      <c r="Q888" s="262"/>
      <c r="R888" s="262"/>
      <c r="S888" s="262" t="str">
        <f>IFERROR((#REF!+S885)/S861,"")</f>
        <v/>
      </c>
      <c r="T888" s="262" t="str">
        <f>IFERROR((#REF!+T885)/T861,"")</f>
        <v/>
      </c>
      <c r="U888" s="262" t="str">
        <f>IFERROR((#REF!+U885)/U861,"")</f>
        <v/>
      </c>
      <c r="V888" s="262" t="str">
        <f>IFERROR((#REF!+V885)/V861,"")</f>
        <v/>
      </c>
      <c r="W888" s="262" t="str">
        <f>IFERROR((#REF!+W885)/W861,"")</f>
        <v/>
      </c>
      <c r="X888" s="262"/>
      <c r="Y888" s="394"/>
      <c r="Z888" s="183"/>
      <c r="AA888" s="183"/>
      <c r="AB888" s="446">
        <f t="shared" si="1123"/>
        <v>0</v>
      </c>
      <c r="AC888" s="447">
        <f t="shared" si="1123"/>
        <v>3.8549999999999995</v>
      </c>
      <c r="AD888" s="447">
        <f t="shared" ref="AD888:BF888" si="1127">$O888*AD849/1000000</f>
        <v>7.7099999999999991</v>
      </c>
      <c r="AE888" s="447">
        <f t="shared" si="1127"/>
        <v>11.599658094271593</v>
      </c>
      <c r="AF888" s="447">
        <f t="shared" si="1127"/>
        <v>15.524410092033555</v>
      </c>
      <c r="AG888" s="447">
        <f t="shared" si="1127"/>
        <v>19.48469675061682</v>
      </c>
      <c r="AH888" s="447">
        <f t="shared" si="1127"/>
        <v>23.480963833273513</v>
      </c>
      <c r="AI888" s="447">
        <f t="shared" si="1127"/>
        <v>27.513662167655877</v>
      </c>
      <c r="AJ888" s="447">
        <f t="shared" si="1127"/>
        <v>31.583247704972791</v>
      </c>
      <c r="AK888" s="447">
        <f t="shared" si="1127"/>
        <v>35.690181579831837</v>
      </c>
      <c r="AL888" s="447">
        <f t="shared" si="1127"/>
        <v>39.83493017077484</v>
      </c>
      <c r="AM888" s="447">
        <f t="shared" si="1127"/>
        <v>44.017965161514901</v>
      </c>
      <c r="AN888" s="447">
        <f t="shared" si="1127"/>
        <v>48.239763602883173</v>
      </c>
      <c r="AO888" s="447">
        <f t="shared" si="1127"/>
        <v>52.500807975493494</v>
      </c>
      <c r="AP888" s="447">
        <f t="shared" si="1127"/>
        <v>56.801586253133273</v>
      </c>
      <c r="AQ888" s="447">
        <f t="shared" si="1127"/>
        <v>61.142591966889164</v>
      </c>
      <c r="AR888" s="447">
        <f t="shared" si="1127"/>
        <v>65.524324270015825</v>
      </c>
      <c r="AS888" s="447">
        <f t="shared" si="1127"/>
        <v>69.94728800355665</v>
      </c>
      <c r="AT888" s="447">
        <f t="shared" si="1127"/>
        <v>74.411993762725032</v>
      </c>
      <c r="AU888" s="447">
        <f t="shared" si="1127"/>
        <v>78.918957964055011</v>
      </c>
      <c r="AV888" s="447">
        <f t="shared" si="1127"/>
        <v>83.468702913330418</v>
      </c>
      <c r="AW888" s="447">
        <f t="shared" si="1127"/>
        <v>88.061756874301267</v>
      </c>
      <c r="AX888" s="447">
        <f t="shared" si="1127"/>
        <v>92.698654138196716</v>
      </c>
      <c r="AY888" s="447">
        <f t="shared" si="1127"/>
        <v>97.379935094043915</v>
      </c>
      <c r="AZ888" s="447">
        <f t="shared" si="1127"/>
        <v>102.10614629980191</v>
      </c>
      <c r="BA888" s="447">
        <f t="shared" si="1127"/>
        <v>106.87784055432017</v>
      </c>
      <c r="BB888" s="447">
        <f t="shared" si="1127"/>
        <v>111.6955769701314</v>
      </c>
      <c r="BC888" s="447">
        <f t="shared" si="1127"/>
        <v>116.55992104708805</v>
      </c>
      <c r="BD888" s="447">
        <f t="shared" si="1127"/>
        <v>121.47144474685277</v>
      </c>
      <c r="BE888" s="447">
        <f t="shared" si="1127"/>
        <v>126.4307265682521</v>
      </c>
      <c r="BF888" s="447">
        <f t="shared" si="1127"/>
        <v>131.43835162350422</v>
      </c>
    </row>
    <row r="889" spans="1:58" x14ac:dyDescent="0.3">
      <c r="A889" s="183"/>
      <c r="B889" s="183"/>
      <c r="C889" s="183"/>
      <c r="D889" s="183"/>
      <c r="E889" s="183"/>
      <c r="F889" s="183"/>
      <c r="G889" s="183"/>
      <c r="H889" s="183"/>
      <c r="I889" s="183"/>
      <c r="J889" s="183"/>
      <c r="K889" s="183"/>
      <c r="L889" s="250"/>
      <c r="M889" s="183"/>
      <c r="N889" s="329"/>
      <c r="O889" s="183"/>
      <c r="P889" s="183"/>
      <c r="Q889" s="183"/>
      <c r="R889" s="183"/>
      <c r="S889" s="183"/>
      <c r="T889" s="183"/>
      <c r="U889" s="183"/>
      <c r="V889" s="183"/>
      <c r="W889" s="183"/>
      <c r="X889" s="183"/>
      <c r="Y889" s="394"/>
      <c r="Z889" s="183"/>
      <c r="AA889" s="183"/>
      <c r="AB889" s="446"/>
      <c r="AC889" s="447"/>
      <c r="AD889" s="183"/>
      <c r="AE889" s="183"/>
      <c r="AF889" s="183"/>
      <c r="AG889" s="183"/>
      <c r="AH889" s="183"/>
      <c r="AI889" s="183"/>
      <c r="AJ889" s="183"/>
      <c r="AK889" s="183"/>
      <c r="AL889" s="183"/>
      <c r="AM889" s="183"/>
      <c r="AN889" s="183"/>
      <c r="AO889" s="183"/>
      <c r="AP889" s="183"/>
      <c r="AQ889" s="183"/>
      <c r="AR889" s="183"/>
      <c r="AS889" s="183"/>
      <c r="AT889" s="183"/>
      <c r="AU889" s="183"/>
      <c r="AV889" s="183"/>
      <c r="AW889" s="183"/>
      <c r="AX889" s="183"/>
      <c r="AY889" s="183"/>
      <c r="AZ889" s="183"/>
      <c r="BA889" s="183"/>
      <c r="BB889" s="183"/>
      <c r="BC889" s="183"/>
      <c r="BD889" s="183"/>
      <c r="BE889" s="183"/>
      <c r="BF889" s="183"/>
    </row>
    <row r="890" spans="1:58" x14ac:dyDescent="0.3">
      <c r="A890" s="183"/>
      <c r="B890" s="183"/>
      <c r="C890" s="183"/>
      <c r="D890" s="183"/>
      <c r="E890" s="183"/>
      <c r="F890" s="183"/>
      <c r="G890" s="183"/>
      <c r="H890" s="183"/>
      <c r="I890" s="183"/>
      <c r="J890" s="183"/>
      <c r="K890" s="183"/>
      <c r="L890" s="250"/>
      <c r="M890" s="324" t="s">
        <v>1158</v>
      </c>
      <c r="N890" s="325"/>
      <c r="O890" s="276"/>
      <c r="P890" s="276"/>
      <c r="Q890" s="276"/>
      <c r="R890" s="276"/>
      <c r="S890" s="276" t="str">
        <f>IFERROR((#REF!+S887)/S855,"")</f>
        <v/>
      </c>
      <c r="T890" s="276" t="str">
        <f>IFERROR((#REF!+T887)/T855,"")</f>
        <v/>
      </c>
      <c r="U890" s="276" t="str">
        <f>IFERROR((#REF!+U887)/U855,"")</f>
        <v/>
      </c>
      <c r="V890" s="276" t="str">
        <f>IFERROR((#REF!+V887)/V855,"")</f>
        <v/>
      </c>
      <c r="W890" s="276" t="str">
        <f>IFERROR((#REF!+W887)/W855,"")</f>
        <v/>
      </c>
      <c r="X890" s="276"/>
      <c r="Y890" s="394"/>
      <c r="Z890" s="183"/>
      <c r="AA890" s="183"/>
      <c r="AB890" s="276"/>
      <c r="AC890" s="276"/>
      <c r="AD890" s="183"/>
      <c r="AE890" s="183"/>
      <c r="AF890" s="183"/>
      <c r="AG890" s="183"/>
      <c r="AH890" s="183"/>
      <c r="AI890" s="183"/>
      <c r="AJ890" s="183"/>
      <c r="AK890" s="183"/>
      <c r="AL890" s="183"/>
      <c r="AM890" s="183"/>
      <c r="AN890" s="183"/>
      <c r="AO890" s="183"/>
      <c r="AP890" s="183"/>
      <c r="AQ890" s="183"/>
      <c r="AR890" s="183"/>
      <c r="AS890" s="183"/>
      <c r="AT890" s="183"/>
      <c r="AU890" s="183"/>
      <c r="AV890" s="183"/>
      <c r="AW890" s="183"/>
      <c r="AX890" s="183"/>
      <c r="AY890" s="183"/>
      <c r="AZ890" s="183"/>
      <c r="BA890" s="183"/>
      <c r="BB890" s="183"/>
      <c r="BC890" s="183"/>
      <c r="BD890" s="183"/>
      <c r="BE890" s="183"/>
      <c r="BF890" s="183"/>
    </row>
    <row r="891" spans="1:58" x14ac:dyDescent="0.3">
      <c r="A891" s="183"/>
      <c r="B891" s="183"/>
      <c r="C891" s="183"/>
      <c r="D891" s="183"/>
      <c r="E891" s="183"/>
      <c r="F891" s="183"/>
      <c r="G891" s="183"/>
      <c r="H891" s="183"/>
      <c r="I891" s="183"/>
      <c r="J891" s="183"/>
      <c r="K891" s="183"/>
      <c r="L891" s="250"/>
      <c r="M891" s="326" t="s">
        <v>1166</v>
      </c>
      <c r="N891" s="327"/>
      <c r="O891" s="277" t="s">
        <v>1159</v>
      </c>
      <c r="P891" s="277"/>
      <c r="Q891" s="277"/>
      <c r="R891" s="277"/>
      <c r="S891" s="277" t="str">
        <f>IFERROR((#REF!+S888)/S856,"")</f>
        <v/>
      </c>
      <c r="T891" s="277" t="str">
        <f>IFERROR((#REF!+T888)/T856,"")</f>
        <v/>
      </c>
      <c r="U891" s="277" t="str">
        <f>IFERROR((#REF!+U888)/U856,"")</f>
        <v/>
      </c>
      <c r="V891" s="277" t="str">
        <f>IFERROR((#REF!+V888)/V856,"")</f>
        <v/>
      </c>
      <c r="W891" s="277" t="str">
        <f>IFERROR((#REF!+W888)/W856,"")</f>
        <v/>
      </c>
      <c r="X891" s="277"/>
      <c r="Y891" s="394"/>
      <c r="Z891" s="183"/>
      <c r="AA891" s="183"/>
      <c r="AB891" s="445">
        <f>SUM(AB892:AB910)</f>
        <v>2754.0349999999999</v>
      </c>
      <c r="AC891" s="436">
        <f>SUM(AC892:AC910)</f>
        <v>2764.6824499999998</v>
      </c>
      <c r="AD891" s="436">
        <f>SUM(AD892:AD910)</f>
        <v>2790.4563775024344</v>
      </c>
      <c r="AE891" s="436">
        <f t="shared" ref="AE891:BF891" si="1128">SUM(AE892:AE910)</f>
        <v>2816.8337914517574</v>
      </c>
      <c r="AF891" s="436">
        <f t="shared" si="1128"/>
        <v>2843.8243007259612</v>
      </c>
      <c r="AG891" s="436">
        <f t="shared" si="1128"/>
        <v>2871.4377077908271</v>
      </c>
      <c r="AH891" s="436">
        <f t="shared" si="1128"/>
        <v>2899.6840123142811</v>
      </c>
      <c r="AI891" s="436">
        <f t="shared" si="1128"/>
        <v>2928.5233910653005</v>
      </c>
      <c r="AJ891" s="436">
        <f t="shared" si="1128"/>
        <v>2957.9916827978905</v>
      </c>
      <c r="AK891" s="436">
        <f t="shared" si="1128"/>
        <v>2988.0991154898002</v>
      </c>
      <c r="AL891" s="436">
        <f t="shared" si="1128"/>
        <v>3018.8561179567218</v>
      </c>
      <c r="AM891" s="436">
        <f t="shared" si="1128"/>
        <v>3050.2733236254271</v>
      </c>
      <c r="AN891" s="436">
        <f t="shared" si="1128"/>
        <v>3082.3615743814507</v>
      </c>
      <c r="AO891" s="436">
        <f t="shared" si="1128"/>
        <v>3115.1319244927668</v>
      </c>
      <c r="AP891" s="436">
        <f t="shared" si="1128"/>
        <v>3148.5956446109849</v>
      </c>
      <c r="AQ891" s="436">
        <f t="shared" si="1128"/>
        <v>3182.7642258515834</v>
      </c>
      <c r="AR891" s="436">
        <f t="shared" si="1128"/>
        <v>3217.6493839547375</v>
      </c>
      <c r="AS891" s="436">
        <f t="shared" si="1128"/>
        <v>3253.2630635283335</v>
      </c>
      <c r="AT891" s="436">
        <f t="shared" si="1128"/>
        <v>3289.6174423748012</v>
      </c>
      <c r="AU891" s="436">
        <f t="shared" si="1128"/>
        <v>3326.7249359034054</v>
      </c>
      <c r="AV891" s="436">
        <f t="shared" si="1128"/>
        <v>3364.5982016296957</v>
      </c>
      <c r="AW891" s="436">
        <f t="shared" si="1128"/>
        <v>3403.2501437638402</v>
      </c>
      <c r="AX891" s="436">
        <f t="shared" si="1128"/>
        <v>3442.6939178895832</v>
      </c>
      <c r="AY891" s="436">
        <f t="shared" si="1128"/>
        <v>3482.9429357356362</v>
      </c>
      <c r="AZ891" s="436">
        <f t="shared" si="1128"/>
        <v>3524.0108700413261</v>
      </c>
      <c r="BA891" s="436">
        <f t="shared" si="1128"/>
        <v>3565.9116595183564</v>
      </c>
      <c r="BB891" s="436">
        <f t="shared" si="1128"/>
        <v>3608.6595139105962</v>
      </c>
      <c r="BC891" s="436">
        <f t="shared" si="1128"/>
        <v>3652.2689191538284</v>
      </c>
      <c r="BD891" s="436">
        <f t="shared" si="1128"/>
        <v>3696.7546426374365</v>
      </c>
      <c r="BE891" s="436">
        <f t="shared" si="1128"/>
        <v>3742.1317385700568</v>
      </c>
      <c r="BF891" s="436">
        <f t="shared" si="1128"/>
        <v>3788.4155534512456</v>
      </c>
    </row>
    <row r="892" spans="1:58" x14ac:dyDescent="0.3">
      <c r="A892" s="183"/>
      <c r="B892" s="183"/>
      <c r="C892" s="183"/>
      <c r="D892" s="183"/>
      <c r="E892" s="183"/>
      <c r="F892" s="183"/>
      <c r="G892" s="183"/>
      <c r="H892" s="183"/>
      <c r="I892" s="183"/>
      <c r="J892" s="183"/>
      <c r="K892" s="183"/>
      <c r="L892" s="250"/>
      <c r="M892" s="328" t="s">
        <v>1162</v>
      </c>
      <c r="N892" s="329" t="s">
        <v>77</v>
      </c>
      <c r="O892" s="323">
        <v>123.5</v>
      </c>
      <c r="P892" s="262"/>
      <c r="Q892" s="262"/>
      <c r="R892" s="262"/>
      <c r="S892" s="262" t="str">
        <f>IFERROR((#REF!+S891)/S859,"")</f>
        <v/>
      </c>
      <c r="T892" s="262" t="str">
        <f>IFERROR((#REF!+T891)/T859,"")</f>
        <v/>
      </c>
      <c r="U892" s="262" t="str">
        <f>IFERROR((#REF!+U891)/U859,"")</f>
        <v/>
      </c>
      <c r="V892" s="262" t="str">
        <f>IFERROR((#REF!+V891)/V859,"")</f>
        <v/>
      </c>
      <c r="W892" s="262" t="str">
        <f>IFERROR((#REF!+W891)/W859,"")</f>
        <v/>
      </c>
      <c r="X892" s="262"/>
      <c r="Y892" s="394"/>
      <c r="Z892" s="183"/>
      <c r="AA892" s="183"/>
      <c r="AB892" s="446">
        <f>$O892*AB826/1000000</f>
        <v>518.70000000000005</v>
      </c>
      <c r="AC892" s="447">
        <f>$O892*AC826/1000000</f>
        <v>510.36374999999998</v>
      </c>
      <c r="AD892" s="447">
        <f>$O892*AD826/1000000</f>
        <v>506.22330967122122</v>
      </c>
      <c r="AE892" s="447">
        <f t="shared" ref="AE892:BF892" si="1129">$O892*AE826/1000000</f>
        <v>502.11645959276126</v>
      </c>
      <c r="AF892" s="447">
        <f t="shared" si="1129"/>
        <v>498.04292725618461</v>
      </c>
      <c r="AG892" s="447">
        <f t="shared" si="1129"/>
        <v>494.00244236384157</v>
      </c>
      <c r="AH892" s="447">
        <f t="shared" si="1129"/>
        <v>489.99473681093258</v>
      </c>
      <c r="AI892" s="447">
        <f t="shared" si="1129"/>
        <v>486.01954466771838</v>
      </c>
      <c r="AJ892" s="447">
        <f t="shared" si="1129"/>
        <v>482.07660216187435</v>
      </c>
      <c r="AK892" s="447">
        <f t="shared" si="1129"/>
        <v>478.1656476609881</v>
      </c>
      <c r="AL892" s="447">
        <f t="shared" si="1129"/>
        <v>474.28642165519869</v>
      </c>
      <c r="AM892" s="447">
        <f t="shared" si="1129"/>
        <v>470.43866673997724</v>
      </c>
      <c r="AN892" s="447">
        <f t="shared" si="1129"/>
        <v>466.62212759904656</v>
      </c>
      <c r="AO892" s="447">
        <f t="shared" si="1129"/>
        <v>462.83655098744026</v>
      </c>
      <c r="AP892" s="447">
        <f t="shared" si="1129"/>
        <v>459.08168571469849</v>
      </c>
      <c r="AQ892" s="447">
        <f t="shared" si="1129"/>
        <v>455.3572826282001</v>
      </c>
      <c r="AR892" s="447">
        <f t="shared" si="1129"/>
        <v>451.66309459663063</v>
      </c>
      <c r="AS892" s="447">
        <f t="shared" si="1129"/>
        <v>447.99887649358368</v>
      </c>
      <c r="AT892" s="447">
        <f t="shared" si="1129"/>
        <v>444.36438518129586</v>
      </c>
      <c r="AU892" s="447">
        <f t="shared" si="1129"/>
        <v>440.75937949451333</v>
      </c>
      <c r="AV892" s="447">
        <f t="shared" si="1129"/>
        <v>437.18362022448952</v>
      </c>
      <c r="AW892" s="447">
        <f t="shared" si="1129"/>
        <v>433.63687010311236</v>
      </c>
      <c r="AX892" s="447">
        <f t="shared" si="1129"/>
        <v>430.11889378716052</v>
      </c>
      <c r="AY892" s="447">
        <f t="shared" si="1129"/>
        <v>426.62945784268743</v>
      </c>
      <c r="AZ892" s="447">
        <f t="shared" si="1129"/>
        <v>423.16833072953153</v>
      </c>
      <c r="BA892" s="447">
        <f t="shared" si="1129"/>
        <v>419.7352827859529</v>
      </c>
      <c r="BB892" s="447">
        <f t="shared" si="1129"/>
        <v>416.330086213394</v>
      </c>
      <c r="BC892" s="447">
        <f t="shared" si="1129"/>
        <v>412.95251506136395</v>
      </c>
      <c r="BD892" s="447">
        <f t="shared" si="1129"/>
        <v>409.60234521244593</v>
      </c>
      <c r="BE892" s="447">
        <f t="shared" si="1129"/>
        <v>406.27935436742609</v>
      </c>
      <c r="BF892" s="447">
        <f t="shared" si="1129"/>
        <v>402.98332203054264</v>
      </c>
    </row>
    <row r="893" spans="1:58" x14ac:dyDescent="0.3">
      <c r="A893" s="183"/>
      <c r="B893" s="183"/>
      <c r="C893" s="183"/>
      <c r="D893" s="183"/>
      <c r="E893" s="183"/>
      <c r="F893" s="183"/>
      <c r="G893" s="183"/>
      <c r="H893" s="183"/>
      <c r="I893" s="183"/>
      <c r="J893" s="183"/>
      <c r="K893" s="183"/>
      <c r="L893" s="250"/>
      <c r="M893" s="328" t="s">
        <v>417</v>
      </c>
      <c r="N893" s="329" t="s">
        <v>77</v>
      </c>
      <c r="O893" s="323">
        <v>123.5</v>
      </c>
      <c r="P893" s="262"/>
      <c r="Q893" s="262"/>
      <c r="R893" s="262"/>
      <c r="S893" s="262" t="str">
        <f>IFERROR((#REF!+#REF!)/S860,"")</f>
        <v/>
      </c>
      <c r="T893" s="262" t="str">
        <f>IFERROR((#REF!+#REF!)/T860,"")</f>
        <v/>
      </c>
      <c r="U893" s="262" t="str">
        <f>IFERROR((#REF!+#REF!)/U860,"")</f>
        <v/>
      </c>
      <c r="V893" s="262" t="str">
        <f>IFERROR((#REF!+#REF!)/V860,"")</f>
        <v/>
      </c>
      <c r="W893" s="262" t="str">
        <f>IFERROR((#REF!+#REF!)/W860,"")</f>
        <v/>
      </c>
      <c r="X893" s="262"/>
      <c r="Y893" s="394"/>
      <c r="Z893" s="183"/>
      <c r="AA893" s="183"/>
      <c r="AB893" s="446">
        <f t="shared" ref="AB893:AC895" si="1130">$O893*AB827/1000000</f>
        <v>494</v>
      </c>
      <c r="AC893" s="447">
        <f t="shared" si="1130"/>
        <v>483.81124999999997</v>
      </c>
      <c r="AD893" s="447">
        <f t="shared" ref="AD893:BF893" si="1131">$O893*AD827/1000000</f>
        <v>479.26073034236271</v>
      </c>
      <c r="AE893" s="447">
        <f t="shared" si="1131"/>
        <v>474.75301090723895</v>
      </c>
      <c r="AF893" s="447">
        <f t="shared" si="1131"/>
        <v>470.28768913422124</v>
      </c>
      <c r="AG893" s="447">
        <f t="shared" si="1131"/>
        <v>465.86436624921168</v>
      </c>
      <c r="AH893" s="447">
        <f t="shared" si="1131"/>
        <v>461.48264722880907</v>
      </c>
      <c r="AI893" s="447">
        <f t="shared" si="1131"/>
        <v>457.14214076503168</v>
      </c>
      <c r="AJ893" s="447">
        <f t="shared" si="1131"/>
        <v>452.8424592303719</v>
      </c>
      <c r="AK893" s="447">
        <f t="shared" si="1131"/>
        <v>448.58321864317884</v>
      </c>
      <c r="AL893" s="447">
        <f t="shared" si="1131"/>
        <v>444.3640386333671</v>
      </c>
      <c r="AM893" s="447">
        <f t="shared" si="1131"/>
        <v>440.18454240844835</v>
      </c>
      <c r="AN893" s="447">
        <f t="shared" si="1131"/>
        <v>436.04435671988131</v>
      </c>
      <c r="AO893" s="447">
        <f t="shared" si="1131"/>
        <v>431.94311182973945</v>
      </c>
      <c r="AP893" s="447">
        <f t="shared" si="1131"/>
        <v>427.88044147769148</v>
      </c>
      <c r="AQ893" s="447">
        <f t="shared" si="1131"/>
        <v>423.85598284829263</v>
      </c>
      <c r="AR893" s="447">
        <f t="shared" si="1131"/>
        <v>419.86937653858331</v>
      </c>
      <c r="AS893" s="447">
        <f t="shared" si="1131"/>
        <v>415.92026652599327</v>
      </c>
      <c r="AT893" s="447">
        <f t="shared" si="1131"/>
        <v>412.00830013654638</v>
      </c>
      <c r="AU893" s="447">
        <f t="shared" si="1131"/>
        <v>408.13312801336593</v>
      </c>
      <c r="AV893" s="447">
        <f t="shared" si="1131"/>
        <v>404.29440408547498</v>
      </c>
      <c r="AW893" s="447">
        <f t="shared" si="1131"/>
        <v>400.49178553689075</v>
      </c>
      <c r="AX893" s="447">
        <f t="shared" si="1131"/>
        <v>396.72493277600955</v>
      </c>
      <c r="AY893" s="447">
        <f t="shared" si="1131"/>
        <v>392.99350940527961</v>
      </c>
      <c r="AZ893" s="447">
        <f t="shared" si="1131"/>
        <v>389.29718219115927</v>
      </c>
      <c r="BA893" s="447">
        <f t="shared" si="1131"/>
        <v>385.63562103435754</v>
      </c>
      <c r="BB893" s="447">
        <f t="shared" si="1131"/>
        <v>382.00849894035497</v>
      </c>
      <c r="BC893" s="447">
        <f t="shared" si="1131"/>
        <v>378.41549199020113</v>
      </c>
      <c r="BD893" s="447">
        <f t="shared" si="1131"/>
        <v>374.85627931158746</v>
      </c>
      <c r="BE893" s="447">
        <f t="shared" si="1131"/>
        <v>371.33054305019181</v>
      </c>
      <c r="BF893" s="447">
        <f t="shared" si="1131"/>
        <v>367.83796834129237</v>
      </c>
    </row>
    <row r="894" spans="1:58" x14ac:dyDescent="0.3">
      <c r="A894" s="183"/>
      <c r="B894" s="183"/>
      <c r="C894" s="183"/>
      <c r="D894" s="183"/>
      <c r="E894" s="183"/>
      <c r="F894" s="183"/>
      <c r="G894" s="183"/>
      <c r="H894" s="183"/>
      <c r="I894" s="183"/>
      <c r="J894" s="183"/>
      <c r="K894" s="183"/>
      <c r="L894" s="250"/>
      <c r="M894" s="328" t="s">
        <v>1163</v>
      </c>
      <c r="N894" s="329" t="s">
        <v>77</v>
      </c>
      <c r="O894" s="323">
        <v>77.7</v>
      </c>
      <c r="P894" s="262"/>
      <c r="Q894" s="262"/>
      <c r="R894" s="262"/>
      <c r="S894" s="262" t="str">
        <f>IFERROR((#REF!+#REF!)/S861,"")</f>
        <v/>
      </c>
      <c r="T894" s="262" t="str">
        <f>IFERROR((#REF!+#REF!)/T861,"")</f>
        <v/>
      </c>
      <c r="U894" s="262" t="str">
        <f>IFERROR((#REF!+#REF!)/U861,"")</f>
        <v/>
      </c>
      <c r="V894" s="262" t="str">
        <f>IFERROR((#REF!+#REF!)/V861,"")</f>
        <v/>
      </c>
      <c r="W894" s="262" t="str">
        <f>IFERROR((#REF!+#REF!)/W861,"")</f>
        <v/>
      </c>
      <c r="X894" s="262"/>
      <c r="Y894" s="394"/>
      <c r="Z894" s="183"/>
      <c r="AA894" s="183"/>
      <c r="AB894" s="446">
        <f t="shared" si="1130"/>
        <v>287.49</v>
      </c>
      <c r="AC894" s="447">
        <f t="shared" si="1130"/>
        <v>283.43017500000002</v>
      </c>
      <c r="AD894" s="447">
        <f t="shared" ref="AD894:BF894" si="1132">$O894*AD828/1000000</f>
        <v>280.62902297807022</v>
      </c>
      <c r="AE894" s="447">
        <f t="shared" si="1132"/>
        <v>277.85555485624013</v>
      </c>
      <c r="AF894" s="447">
        <f t="shared" si="1132"/>
        <v>275.10949703339196</v>
      </c>
      <c r="AG894" s="447">
        <f t="shared" si="1132"/>
        <v>272.39057861241866</v>
      </c>
      <c r="AH894" s="447">
        <f t="shared" si="1132"/>
        <v>269.6985313735006</v>
      </c>
      <c r="AI894" s="447">
        <f t="shared" si="1132"/>
        <v>267.81064165388602</v>
      </c>
      <c r="AJ894" s="447">
        <f t="shared" si="1132"/>
        <v>265.93596716230883</v>
      </c>
      <c r="AK894" s="447">
        <f t="shared" si="1132"/>
        <v>264.07441539217268</v>
      </c>
      <c r="AL894" s="447">
        <f t="shared" si="1132"/>
        <v>262.2258944844275</v>
      </c>
      <c r="AM894" s="447">
        <f t="shared" si="1132"/>
        <v>260.39031322303651</v>
      </c>
      <c r="AN894" s="447">
        <f t="shared" si="1132"/>
        <v>258.56758103047525</v>
      </c>
      <c r="AO894" s="447">
        <f t="shared" si="1132"/>
        <v>256.75760796326193</v>
      </c>
      <c r="AP894" s="447">
        <f t="shared" si="1132"/>
        <v>254.96030470751907</v>
      </c>
      <c r="AQ894" s="447">
        <f t="shared" si="1132"/>
        <v>253.17558257456645</v>
      </c>
      <c r="AR894" s="447">
        <f t="shared" si="1132"/>
        <v>251.40335349654447</v>
      </c>
      <c r="AS894" s="447">
        <f t="shared" si="1132"/>
        <v>249.64353002206866</v>
      </c>
      <c r="AT894" s="447">
        <f t="shared" si="1132"/>
        <v>247.8960253119142</v>
      </c>
      <c r="AU894" s="447">
        <f t="shared" si="1132"/>
        <v>246.16075313473081</v>
      </c>
      <c r="AV894" s="447">
        <f t="shared" si="1132"/>
        <v>244.43762786278771</v>
      </c>
      <c r="AW894" s="447">
        <f t="shared" si="1132"/>
        <v>242.7265644677482</v>
      </c>
      <c r="AX894" s="447">
        <f t="shared" si="1132"/>
        <v>241.02747851647396</v>
      </c>
      <c r="AY894" s="447">
        <f t="shared" si="1132"/>
        <v>239.34028616685865</v>
      </c>
      <c r="AZ894" s="447">
        <f t="shared" si="1132"/>
        <v>237.66490416369064</v>
      </c>
      <c r="BA894" s="447">
        <f t="shared" si="1132"/>
        <v>236.00124983454478</v>
      </c>
      <c r="BB894" s="447">
        <f t="shared" si="1132"/>
        <v>234.349241085703</v>
      </c>
      <c r="BC894" s="447">
        <f t="shared" si="1132"/>
        <v>232.70879639810306</v>
      </c>
      <c r="BD894" s="447">
        <f t="shared" si="1132"/>
        <v>231.07983482331633</v>
      </c>
      <c r="BE894" s="447">
        <f t="shared" si="1132"/>
        <v>229.46227597955314</v>
      </c>
      <c r="BF894" s="447">
        <f t="shared" si="1132"/>
        <v>227.85604004769627</v>
      </c>
    </row>
    <row r="895" spans="1:58" x14ac:dyDescent="0.3">
      <c r="A895" s="183"/>
      <c r="B895" s="183"/>
      <c r="C895" s="183"/>
      <c r="D895" s="183"/>
      <c r="E895" s="183"/>
      <c r="F895" s="183"/>
      <c r="G895" s="183"/>
      <c r="H895" s="183"/>
      <c r="I895" s="183"/>
      <c r="J895" s="183"/>
      <c r="K895" s="183"/>
      <c r="L895" s="250"/>
      <c r="M895" s="328" t="s">
        <v>1164</v>
      </c>
      <c r="N895" s="329" t="s">
        <v>77</v>
      </c>
      <c r="O895" s="323">
        <v>166.6</v>
      </c>
      <c r="P895" s="262"/>
      <c r="Q895" s="262"/>
      <c r="R895" s="262"/>
      <c r="S895" s="262" t="str">
        <f>IFERROR((#REF!+S892)/S862,"")</f>
        <v/>
      </c>
      <c r="T895" s="262" t="str">
        <f>IFERROR((#REF!+T892)/T862,"")</f>
        <v/>
      </c>
      <c r="U895" s="262" t="str">
        <f>IFERROR((#REF!+U892)/U862,"")</f>
        <v/>
      </c>
      <c r="V895" s="262" t="str">
        <f>IFERROR((#REF!+V892)/V862,"")</f>
        <v/>
      </c>
      <c r="W895" s="262" t="str">
        <f>IFERROR((#REF!+W892)/W862,"")</f>
        <v/>
      </c>
      <c r="X895" s="262"/>
      <c r="Y895" s="394"/>
      <c r="Z895" s="183"/>
      <c r="AA895" s="183"/>
      <c r="AB895" s="446">
        <f t="shared" si="1130"/>
        <v>799.68</v>
      </c>
      <c r="AC895" s="447">
        <f t="shared" si="1130"/>
        <v>793.01599999999996</v>
      </c>
      <c r="AD895" s="447">
        <f t="shared" ref="AD895:BF895" si="1133">$O895*AD829/1000000</f>
        <v>790.3857645107795</v>
      </c>
      <c r="AE895" s="447">
        <f t="shared" si="1133"/>
        <v>787.76425285402752</v>
      </c>
      <c r="AF895" s="447">
        <f t="shared" si="1133"/>
        <v>785.15143609497602</v>
      </c>
      <c r="AG895" s="447">
        <f t="shared" si="1133"/>
        <v>782.54728539482687</v>
      </c>
      <c r="AH895" s="447">
        <f t="shared" si="1133"/>
        <v>779.95177201043282</v>
      </c>
      <c r="AI895" s="447">
        <f t="shared" si="1133"/>
        <v>777.36486729398052</v>
      </c>
      <c r="AJ895" s="447">
        <f t="shared" si="1133"/>
        <v>774.78654269267383</v>
      </c>
      <c r="AK895" s="447">
        <f t="shared" si="1133"/>
        <v>772.21676974841967</v>
      </c>
      <c r="AL895" s="447">
        <f t="shared" si="1133"/>
        <v>769.65552009751298</v>
      </c>
      <c r="AM895" s="447">
        <f t="shared" si="1133"/>
        <v>767.10276547032379</v>
      </c>
      <c r="AN895" s="447">
        <f t="shared" si="1133"/>
        <v>764.55847769098625</v>
      </c>
      <c r="AO895" s="447">
        <f t="shared" si="1133"/>
        <v>762.02262867708589</v>
      </c>
      <c r="AP895" s="447">
        <f t="shared" si="1133"/>
        <v>759.49519043935106</v>
      </c>
      <c r="AQ895" s="447">
        <f t="shared" si="1133"/>
        <v>756.97613508134339</v>
      </c>
      <c r="AR895" s="447">
        <f t="shared" si="1133"/>
        <v>754.46543479914999</v>
      </c>
      <c r="AS895" s="447">
        <f t="shared" si="1133"/>
        <v>751.96306188107656</v>
      </c>
      <c r="AT895" s="447">
        <f t="shared" si="1133"/>
        <v>749.46898870734162</v>
      </c>
      <c r="AU895" s="447">
        <f t="shared" si="1133"/>
        <v>746.98318774977179</v>
      </c>
      <c r="AV895" s="447">
        <f t="shared" si="1133"/>
        <v>744.50563157149747</v>
      </c>
      <c r="AW895" s="447">
        <f t="shared" si="1133"/>
        <v>742.0362928266502</v>
      </c>
      <c r="AX895" s="447">
        <f t="shared" si="1133"/>
        <v>739.57514426006094</v>
      </c>
      <c r="AY895" s="447">
        <f t="shared" si="1133"/>
        <v>737.12215870695957</v>
      </c>
      <c r="AZ895" s="447">
        <f t="shared" si="1133"/>
        <v>734.67730909267459</v>
      </c>
      <c r="BA895" s="447">
        <f t="shared" si="1133"/>
        <v>732.24056843233404</v>
      </c>
      <c r="BB895" s="447">
        <f t="shared" si="1133"/>
        <v>729.81190983056854</v>
      </c>
      <c r="BC895" s="447">
        <f t="shared" si="1133"/>
        <v>727.39130648121352</v>
      </c>
      <c r="BD895" s="447">
        <f t="shared" si="1133"/>
        <v>724.97873166701402</v>
      </c>
      <c r="BE895" s="447">
        <f t="shared" si="1133"/>
        <v>722.57415875932895</v>
      </c>
      <c r="BF895" s="447">
        <f t="shared" si="1133"/>
        <v>720.17756121783873</v>
      </c>
    </row>
    <row r="896" spans="1:58" x14ac:dyDescent="0.3">
      <c r="A896" s="183"/>
      <c r="B896" s="183"/>
      <c r="C896" s="183"/>
      <c r="D896" s="183"/>
      <c r="E896" s="183"/>
      <c r="F896" s="183"/>
      <c r="G896" s="183"/>
      <c r="H896" s="183"/>
      <c r="I896" s="183"/>
      <c r="J896" s="183"/>
      <c r="K896" s="183"/>
      <c r="L896" s="250"/>
      <c r="M896" s="326" t="s">
        <v>1167</v>
      </c>
      <c r="N896" s="327"/>
      <c r="O896" s="278"/>
      <c r="P896" s="278"/>
      <c r="Q896" s="278"/>
      <c r="R896" s="278"/>
      <c r="S896" s="278" t="str">
        <f>IFERROR((#REF!+S893)/S863,"")</f>
        <v/>
      </c>
      <c r="T896" s="278" t="str">
        <f>IFERROR((#REF!+T893)/T863,"")</f>
        <v/>
      </c>
      <c r="U896" s="278" t="str">
        <f>IFERROR((#REF!+U893)/U863,"")</f>
        <v/>
      </c>
      <c r="V896" s="278" t="str">
        <f>IFERROR((#REF!+V893)/V863,"")</f>
        <v/>
      </c>
      <c r="W896" s="278" t="str">
        <f>IFERROR((#REF!+W893)/W863,"")</f>
        <v/>
      </c>
      <c r="X896" s="278"/>
      <c r="Y896" s="394"/>
      <c r="Z896" s="278"/>
      <c r="AA896" s="278"/>
      <c r="AB896" s="278"/>
      <c r="AC896" s="278"/>
      <c r="AD896" s="278"/>
      <c r="AE896" s="278"/>
      <c r="AF896" s="278"/>
      <c r="AG896" s="278"/>
      <c r="AH896" s="278"/>
      <c r="AI896" s="278"/>
      <c r="AJ896" s="278"/>
      <c r="AK896" s="278"/>
      <c r="AL896" s="278"/>
      <c r="AM896" s="278"/>
      <c r="AN896" s="278"/>
      <c r="AO896" s="278"/>
      <c r="AP896" s="278"/>
      <c r="AQ896" s="278"/>
      <c r="AR896" s="278"/>
      <c r="AS896" s="278"/>
      <c r="AT896" s="278"/>
      <c r="AU896" s="278"/>
      <c r="AV896" s="278"/>
      <c r="AW896" s="278"/>
      <c r="AX896" s="278"/>
      <c r="AY896" s="278"/>
      <c r="AZ896" s="278"/>
      <c r="BA896" s="278"/>
      <c r="BB896" s="278"/>
      <c r="BC896" s="278"/>
      <c r="BD896" s="278"/>
      <c r="BE896" s="278"/>
      <c r="BF896" s="278"/>
    </row>
    <row r="897" spans="1:58" x14ac:dyDescent="0.3">
      <c r="A897" s="183"/>
      <c r="B897" s="183"/>
      <c r="C897" s="183"/>
      <c r="D897" s="183"/>
      <c r="E897" s="183"/>
      <c r="F897" s="183"/>
      <c r="G897" s="183"/>
      <c r="H897" s="183"/>
      <c r="I897" s="183"/>
      <c r="J897" s="183"/>
      <c r="K897" s="183"/>
      <c r="L897" s="250"/>
      <c r="M897" s="328" t="s">
        <v>1162</v>
      </c>
      <c r="N897" s="329" t="s">
        <v>77</v>
      </c>
      <c r="O897" s="323">
        <v>95.2</v>
      </c>
      <c r="P897" s="262"/>
      <c r="Q897" s="262"/>
      <c r="R897" s="262"/>
      <c r="S897" s="262" t="str">
        <f>IFERROR((#REF!+S896)/S866,"")</f>
        <v/>
      </c>
      <c r="T897" s="262" t="str">
        <f>IFERROR((#REF!+T896)/T866,"")</f>
        <v/>
      </c>
      <c r="U897" s="262" t="str">
        <f>IFERROR((#REF!+U896)/U866,"")</f>
        <v/>
      </c>
      <c r="V897" s="262" t="str">
        <f>IFERROR((#REF!+V896)/V866,"")</f>
        <v/>
      </c>
      <c r="W897" s="262" t="str">
        <f>IFERROR((#REF!+W896)/W866,"")</f>
        <v/>
      </c>
      <c r="X897" s="262"/>
      <c r="Y897" s="394"/>
      <c r="Z897" s="183"/>
      <c r="AA897" s="183"/>
      <c r="AB897" s="446">
        <f t="shared" ref="AB897:AC900" si="1134">$O897*AB836/1000000</f>
        <v>0</v>
      </c>
      <c r="AC897" s="447">
        <f t="shared" si="1134"/>
        <v>4.5220000000000002</v>
      </c>
      <c r="AD897" s="447">
        <f t="shared" ref="AD897:BF897" si="1135">$O897*AD836/1000000</f>
        <v>9.0440000000000005</v>
      </c>
      <c r="AE897" s="447">
        <f t="shared" si="1135"/>
        <v>13.634717537982018</v>
      </c>
      <c r="AF897" s="447">
        <f t="shared" si="1135"/>
        <v>18.295800405293203</v>
      </c>
      <c r="AG897" s="447">
        <f t="shared" si="1135"/>
        <v>23.028929164662227</v>
      </c>
      <c r="AH897" s="447">
        <f t="shared" si="1135"/>
        <v>27.835817849677184</v>
      </c>
      <c r="AI897" s="447">
        <f t="shared" si="1135"/>
        <v>32.718214678785962</v>
      </c>
      <c r="AJ897" s="447">
        <f t="shared" si="1135"/>
        <v>37.677902784123951</v>
      </c>
      <c r="AK897" s="447">
        <f t="shared" si="1135"/>
        <v>42.71670095548005</v>
      </c>
      <c r="AL897" s="447">
        <f t="shared" si="1135"/>
        <v>47.8364643997188</v>
      </c>
      <c r="AM897" s="447">
        <f t="shared" si="1135"/>
        <v>53.039085515982705</v>
      </c>
      <c r="AN897" s="447">
        <f t="shared" si="1135"/>
        <v>58.326494687005912</v>
      </c>
      <c r="AO897" s="447">
        <f t="shared" si="1135"/>
        <v>63.700661086877197</v>
      </c>
      <c r="AP897" s="447">
        <f t="shared" si="1135"/>
        <v>69.163593505597206</v>
      </c>
      <c r="AQ897" s="447">
        <f t="shared" si="1135"/>
        <v>74.717341190782264</v>
      </c>
      <c r="AR897" s="447">
        <f t="shared" si="1135"/>
        <v>80.36399470687428</v>
      </c>
      <c r="AS897" s="447">
        <f t="shared" si="1135"/>
        <v>86.105686812223979</v>
      </c>
      <c r="AT897" s="447">
        <f t="shared" si="1135"/>
        <v>91.944593354422139</v>
      </c>
      <c r="AU897" s="447">
        <f t="shared" si="1135"/>
        <v>97.882934184261387</v>
      </c>
      <c r="AV897" s="447">
        <f t="shared" si="1135"/>
        <v>103.92297408871944</v>
      </c>
      <c r="AW897" s="447">
        <f t="shared" si="1135"/>
        <v>110.06702374336233</v>
      </c>
      <c r="AX897" s="447">
        <f t="shared" si="1135"/>
        <v>116.31744068457478</v>
      </c>
      <c r="AY897" s="447">
        <f t="shared" si="1135"/>
        <v>122.67663030203353</v>
      </c>
      <c r="AZ897" s="447">
        <f t="shared" si="1135"/>
        <v>129.14704685184773</v>
      </c>
      <c r="BA897" s="447">
        <f t="shared" si="1135"/>
        <v>135.73119449079962</v>
      </c>
      <c r="BB897" s="447">
        <f t="shared" si="1135"/>
        <v>142.43162833212804</v>
      </c>
      <c r="BC897" s="447">
        <f t="shared" si="1135"/>
        <v>149.25095552330575</v>
      </c>
      <c r="BD897" s="447">
        <f t="shared" si="1135"/>
        <v>156.19183634627197</v>
      </c>
      <c r="BE897" s="447">
        <f t="shared" si="1135"/>
        <v>163.2569853405906</v>
      </c>
      <c r="BF897" s="447">
        <f t="shared" si="1135"/>
        <v>170.44917245001429</v>
      </c>
    </row>
    <row r="898" spans="1:58" x14ac:dyDescent="0.3">
      <c r="A898" s="183"/>
      <c r="B898" s="183"/>
      <c r="C898" s="183"/>
      <c r="D898" s="183"/>
      <c r="E898" s="183"/>
      <c r="F898" s="183"/>
      <c r="G898" s="183"/>
      <c r="H898" s="183"/>
      <c r="I898" s="183"/>
      <c r="J898" s="183"/>
      <c r="K898" s="183"/>
      <c r="L898" s="250"/>
      <c r="M898" s="328" t="s">
        <v>417</v>
      </c>
      <c r="N898" s="329" t="s">
        <v>77</v>
      </c>
      <c r="O898" s="323">
        <v>95.2</v>
      </c>
      <c r="P898" s="262"/>
      <c r="Q898" s="262"/>
      <c r="R898" s="262"/>
      <c r="S898" s="262" t="str">
        <f>IFERROR((#REF!+#REF!)/S867,"")</f>
        <v/>
      </c>
      <c r="T898" s="262" t="str">
        <f>IFERROR((#REF!+#REF!)/T867,"")</f>
        <v/>
      </c>
      <c r="U898" s="262" t="str">
        <f>IFERROR((#REF!+#REF!)/U867,"")</f>
        <v/>
      </c>
      <c r="V898" s="262" t="str">
        <f>IFERROR((#REF!+#REF!)/V867,"")</f>
        <v/>
      </c>
      <c r="W898" s="262" t="str">
        <f>IFERROR((#REF!+#REF!)/W867,"")</f>
        <v/>
      </c>
      <c r="X898" s="262"/>
      <c r="Y898" s="394"/>
      <c r="Z898" s="183"/>
      <c r="AA898" s="183"/>
      <c r="AB898" s="446">
        <f t="shared" si="1134"/>
        <v>0</v>
      </c>
      <c r="AC898" s="447">
        <f t="shared" si="1134"/>
        <v>5.95</v>
      </c>
      <c r="AD898" s="447">
        <f t="shared" ref="AD898:BF898" si="1136">$O898*AD837/1000000</f>
        <v>11.9</v>
      </c>
      <c r="AE898" s="447">
        <f t="shared" si="1136"/>
        <v>17.931172225364492</v>
      </c>
      <c r="AF898" s="447">
        <f t="shared" si="1136"/>
        <v>24.045384470487111</v>
      </c>
      <c r="AG898" s="447">
        <f t="shared" si="1136"/>
        <v>30.244537449125609</v>
      </c>
      <c r="AH898" s="447">
        <f t="shared" si="1136"/>
        <v>36.530565453489309</v>
      </c>
      <c r="AI898" s="447">
        <f t="shared" si="1136"/>
        <v>42.905437025714541</v>
      </c>
      <c r="AJ898" s="447">
        <f t="shared" si="1136"/>
        <v>49.371155641968087</v>
      </c>
      <c r="AK898" s="447">
        <f t="shared" si="1136"/>
        <v>55.929760409423515</v>
      </c>
      <c r="AL898" s="447">
        <f t="shared" si="1136"/>
        <v>62.583326776359542</v>
      </c>
      <c r="AM898" s="447">
        <f t="shared" si="1136"/>
        <v>69.333967255634747</v>
      </c>
      <c r="AN898" s="447">
        <f t="shared" si="1136"/>
        <v>76.18383216179754</v>
      </c>
      <c r="AO898" s="447">
        <f t="shared" si="1136"/>
        <v>83.135110362095475</v>
      </c>
      <c r="AP898" s="447">
        <f t="shared" si="1136"/>
        <v>90.190030041652534</v>
      </c>
      <c r="AQ898" s="447">
        <f t="shared" si="1136"/>
        <v>97.350859483088982</v>
      </c>
      <c r="AR898" s="447">
        <f t="shared" si="1136"/>
        <v>104.61990786086282</v>
      </c>
      <c r="AS898" s="447">
        <f t="shared" si="1136"/>
        <v>111.99952605061759</v>
      </c>
      <c r="AT898" s="447">
        <f t="shared" si="1136"/>
        <v>119.49210745382685</v>
      </c>
      <c r="AU898" s="447">
        <f t="shared" si="1136"/>
        <v>127.1000888380307</v>
      </c>
      <c r="AV898" s="447">
        <f t="shared" si="1136"/>
        <v>134.82595119296607</v>
      </c>
      <c r="AW898" s="447">
        <f t="shared" si="1136"/>
        <v>142.67222060289748</v>
      </c>
      <c r="AX898" s="447">
        <f t="shared" si="1136"/>
        <v>150.64146913546179</v>
      </c>
      <c r="AY898" s="447">
        <f t="shared" si="1136"/>
        <v>158.73631574734497</v>
      </c>
      <c r="AZ898" s="447">
        <f t="shared" si="1136"/>
        <v>166.95942720711722</v>
      </c>
      <c r="BA898" s="447">
        <f t="shared" si="1136"/>
        <v>175.3135190355566</v>
      </c>
      <c r="BB898" s="447">
        <f t="shared" si="1136"/>
        <v>183.80135646379927</v>
      </c>
      <c r="BC898" s="447">
        <f t="shared" si="1136"/>
        <v>192.42575540966061</v>
      </c>
      <c r="BD898" s="447">
        <f t="shared" si="1136"/>
        <v>201.18958347247741</v>
      </c>
      <c r="BE898" s="447">
        <f t="shared" si="1136"/>
        <v>210.0957609468287</v>
      </c>
      <c r="BF898" s="447">
        <f t="shared" si="1136"/>
        <v>219.14726185549964</v>
      </c>
    </row>
    <row r="899" spans="1:58" x14ac:dyDescent="0.3">
      <c r="A899" s="183"/>
      <c r="B899" s="183"/>
      <c r="C899" s="183"/>
      <c r="D899" s="183"/>
      <c r="E899" s="183"/>
      <c r="F899" s="183"/>
      <c r="G899" s="183"/>
      <c r="H899" s="183"/>
      <c r="I899" s="183"/>
      <c r="J899" s="183"/>
      <c r="K899" s="183"/>
      <c r="L899" s="250"/>
      <c r="M899" s="328" t="s">
        <v>1163</v>
      </c>
      <c r="N899" s="329" t="s">
        <v>77</v>
      </c>
      <c r="O899" s="323">
        <v>63.9</v>
      </c>
      <c r="P899" s="262"/>
      <c r="Q899" s="262"/>
      <c r="R899" s="262"/>
      <c r="S899" s="262" t="str">
        <f>IFERROR((#REF!+#REF!)/S868,"")</f>
        <v/>
      </c>
      <c r="T899" s="262" t="str">
        <f>IFERROR((#REF!+#REF!)/T868,"")</f>
        <v/>
      </c>
      <c r="U899" s="262" t="str">
        <f>IFERROR((#REF!+#REF!)/U868,"")</f>
        <v/>
      </c>
      <c r="V899" s="262" t="str">
        <f>IFERROR((#REF!+#REF!)/V868,"")</f>
        <v/>
      </c>
      <c r="W899" s="262" t="str">
        <f>IFERROR((#REF!+#REF!)/W868,"")</f>
        <v/>
      </c>
      <c r="X899" s="262"/>
      <c r="Y899" s="394"/>
      <c r="Z899" s="183"/>
      <c r="AA899" s="183"/>
      <c r="AB899" s="446">
        <f t="shared" si="1134"/>
        <v>0</v>
      </c>
      <c r="AC899" s="447">
        <f t="shared" si="1134"/>
        <v>2.6997749999999998</v>
      </c>
      <c r="AD899" s="447">
        <f t="shared" ref="AD899:BF899" si="1137">$O899*AD838/1000000</f>
        <v>5.3995499999999996</v>
      </c>
      <c r="AE899" s="447">
        <f t="shared" si="1137"/>
        <v>8.1253433394729146</v>
      </c>
      <c r="AF899" s="447">
        <f t="shared" si="1137"/>
        <v>10.877850182246839</v>
      </c>
      <c r="AG899" s="447">
        <f t="shared" si="1137"/>
        <v>13.657776030120218</v>
      </c>
      <c r="AH899" s="447">
        <f t="shared" si="1137"/>
        <v>16.465836931648315</v>
      </c>
      <c r="AI899" s="447">
        <f t="shared" si="1137"/>
        <v>18.475184000947632</v>
      </c>
      <c r="AJ899" s="447">
        <f t="shared" si="1137"/>
        <v>20.504179172552057</v>
      </c>
      <c r="AK899" s="447">
        <f t="shared" si="1137"/>
        <v>22.553196921687313</v>
      </c>
      <c r="AL899" s="447">
        <f t="shared" si="1137"/>
        <v>24.622616878246781</v>
      </c>
      <c r="AM899" s="447">
        <f t="shared" si="1137"/>
        <v>26.712823908803884</v>
      </c>
      <c r="AN899" s="447">
        <f t="shared" si="1137"/>
        <v>28.824208199843923</v>
      </c>
      <c r="AO899" s="447">
        <f t="shared" si="1137"/>
        <v>30.957165342234063</v>
      </c>
      <c r="AP899" s="447">
        <f t="shared" si="1137"/>
        <v>33.112096416950429</v>
      </c>
      <c r="AQ899" s="447">
        <f t="shared" si="1137"/>
        <v>35.289408082081607</v>
      </c>
      <c r="AR899" s="447">
        <f t="shared" si="1137"/>
        <v>37.489512661128103</v>
      </c>
      <c r="AS899" s="447">
        <f t="shared" si="1137"/>
        <v>39.71282823261766</v>
      </c>
      <c r="AT899" s="447">
        <f t="shared" si="1137"/>
        <v>41.959778721056473</v>
      </c>
      <c r="AU899" s="447">
        <f t="shared" si="1137"/>
        <v>44.230793989236986</v>
      </c>
      <c r="AV899" s="447">
        <f t="shared" si="1137"/>
        <v>46.526309931922732</v>
      </c>
      <c r="AW899" s="447">
        <f t="shared" si="1137"/>
        <v>48.846768570931665</v>
      </c>
      <c r="AX899" s="447">
        <f t="shared" si="1137"/>
        <v>51.19261815163906</v>
      </c>
      <c r="AY899" s="447">
        <f t="shared" si="1137"/>
        <v>53.564313240921976</v>
      </c>
      <c r="AZ899" s="447">
        <f t="shared" si="1137"/>
        <v>55.962314826567159</v>
      </c>
      <c r="BA899" s="447">
        <f t="shared" si="1137"/>
        <v>58.387090418164874</v>
      </c>
      <c r="BB899" s="447">
        <f t="shared" si="1137"/>
        <v>60.839114149511374</v>
      </c>
      <c r="BC899" s="447">
        <f t="shared" si="1137"/>
        <v>63.318866882543077</v>
      </c>
      <c r="BD899" s="447">
        <f t="shared" si="1137"/>
        <v>65.82683631282589</v>
      </c>
      <c r="BE899" s="447">
        <f t="shared" si="1137"/>
        <v>68.363517076623495</v>
      </c>
      <c r="BF899" s="447">
        <f t="shared" si="1137"/>
        <v>70.929410859568577</v>
      </c>
    </row>
    <row r="900" spans="1:58" x14ac:dyDescent="0.3">
      <c r="A900" s="183"/>
      <c r="B900" s="183"/>
      <c r="C900" s="183"/>
      <c r="D900" s="183"/>
      <c r="E900" s="183"/>
      <c r="F900" s="183"/>
      <c r="G900" s="183"/>
      <c r="H900" s="183"/>
      <c r="I900" s="183"/>
      <c r="J900" s="183"/>
      <c r="K900" s="183"/>
      <c r="L900" s="250"/>
      <c r="M900" s="328" t="s">
        <v>1164</v>
      </c>
      <c r="N900" s="329" t="s">
        <v>77</v>
      </c>
      <c r="O900" s="323">
        <v>160.1</v>
      </c>
      <c r="P900" s="262"/>
      <c r="Q900" s="262"/>
      <c r="R900" s="262"/>
      <c r="S900" s="262" t="str">
        <f>IFERROR((#REF!+S897)/S869,"")</f>
        <v/>
      </c>
      <c r="T900" s="262" t="str">
        <f>IFERROR((#REF!+T897)/T869,"")</f>
        <v/>
      </c>
      <c r="U900" s="262" t="str">
        <f>IFERROR((#REF!+U897)/U869,"")</f>
        <v/>
      </c>
      <c r="V900" s="262" t="str">
        <f>IFERROR((#REF!+V897)/V869,"")</f>
        <v/>
      </c>
      <c r="W900" s="262" t="str">
        <f>IFERROR((#REF!+W897)/W869,"")</f>
        <v/>
      </c>
      <c r="X900" s="262"/>
      <c r="Y900" s="394"/>
      <c r="Z900" s="183"/>
      <c r="AA900" s="183"/>
      <c r="AB900" s="446">
        <f t="shared" si="1134"/>
        <v>0</v>
      </c>
      <c r="AC900" s="447">
        <f t="shared" si="1134"/>
        <v>3.202</v>
      </c>
      <c r="AD900" s="447">
        <f t="shared" ref="AD900:BF900" si="1138">$O900*AD839/1000000</f>
        <v>6.4039999999999999</v>
      </c>
      <c r="AE900" s="447">
        <f t="shared" si="1138"/>
        <v>9.6347873457477675</v>
      </c>
      <c r="AF900" s="447">
        <f t="shared" si="1138"/>
        <v>12.894724024563279</v>
      </c>
      <c r="AG900" s="447">
        <f t="shared" si="1138"/>
        <v>16.184176133715965</v>
      </c>
      <c r="AH900" s="447">
        <f t="shared" si="1138"/>
        <v>19.503513928441453</v>
      </c>
      <c r="AI900" s="447">
        <f t="shared" si="1138"/>
        <v>22.853111870514692</v>
      </c>
      <c r="AJ900" s="447">
        <f t="shared" si="1138"/>
        <v>26.233348677385962</v>
      </c>
      <c r="AK900" s="447">
        <f t="shared" si="1138"/>
        <v>29.64460737188627</v>
      </c>
      <c r="AL900" s="447">
        <f t="shared" si="1138"/>
        <v>33.087275332508703</v>
      </c>
      <c r="AM900" s="447">
        <f t="shared" si="1138"/>
        <v>36.561744344272569</v>
      </c>
      <c r="AN900" s="447">
        <f t="shared" si="1138"/>
        <v>40.068410650176908</v>
      </c>
      <c r="AO900" s="447">
        <f t="shared" si="1138"/>
        <v>43.607675003250378</v>
      </c>
      <c r="AP900" s="447">
        <f t="shared" si="1138"/>
        <v>47.179942719204355</v>
      </c>
      <c r="AQ900" s="447">
        <f t="shared" si="1138"/>
        <v>50.785623729696283</v>
      </c>
      <c r="AR900" s="447">
        <f t="shared" si="1138"/>
        <v>54.425132636210307</v>
      </c>
      <c r="AS900" s="447">
        <f t="shared" si="1138"/>
        <v>58.098888764562503</v>
      </c>
      <c r="AT900" s="447">
        <f t="shared" si="1138"/>
        <v>61.807316220037762</v>
      </c>
      <c r="AU900" s="447">
        <f t="shared" si="1138"/>
        <v>65.550843943165802</v>
      </c>
      <c r="AV900" s="447">
        <f t="shared" si="1138"/>
        <v>69.329905766143725</v>
      </c>
      <c r="AW900" s="447">
        <f t="shared" si="1138"/>
        <v>73.144940469912513</v>
      </c>
      <c r="AX900" s="447">
        <f t="shared" si="1138"/>
        <v>76.996391841895189</v>
      </c>
      <c r="AY900" s="447">
        <f t="shared" si="1138"/>
        <v>80.884708734404327</v>
      </c>
      <c r="AZ900" s="447">
        <f t="shared" si="1138"/>
        <v>84.810345123726535</v>
      </c>
      <c r="BA900" s="447">
        <f t="shared" si="1138"/>
        <v>88.773760169891901</v>
      </c>
      <c r="BB900" s="447">
        <f t="shared" si="1138"/>
        <v>92.775418277136382</v>
      </c>
      <c r="BC900" s="447">
        <f t="shared" si="1138"/>
        <v>96.815789155065104</v>
      </c>
      <c r="BD900" s="447">
        <f t="shared" si="1138"/>
        <v>100.89534788052467</v>
      </c>
      <c r="BE900" s="447">
        <f t="shared" si="1138"/>
        <v>105.01457496019282</v>
      </c>
      <c r="BF900" s="447">
        <f t="shared" si="1138"/>
        <v>109.17395639389377</v>
      </c>
    </row>
    <row r="901" spans="1:58" x14ac:dyDescent="0.3">
      <c r="A901" s="183"/>
      <c r="B901" s="183"/>
      <c r="C901" s="183"/>
      <c r="D901" s="183"/>
      <c r="E901" s="183"/>
      <c r="F901" s="183"/>
      <c r="G901" s="183"/>
      <c r="H901" s="183"/>
      <c r="I901" s="183"/>
      <c r="J901" s="183"/>
      <c r="K901" s="183"/>
      <c r="L901" s="250"/>
      <c r="M901" s="326" t="s">
        <v>1168</v>
      </c>
      <c r="N901" s="327"/>
      <c r="O901" s="278"/>
      <c r="P901" s="278"/>
      <c r="Q901" s="278"/>
      <c r="R901" s="278"/>
      <c r="S901" s="278" t="str">
        <f>IFERROR((#REF!+S898)/S870,"")</f>
        <v/>
      </c>
      <c r="T901" s="278" t="str">
        <f>IFERROR((#REF!+T898)/T870,"")</f>
        <v/>
      </c>
      <c r="U901" s="278" t="str">
        <f>IFERROR((#REF!+U898)/U870,"")</f>
        <v/>
      </c>
      <c r="V901" s="278" t="str">
        <f>IFERROR((#REF!+V898)/V870,"")</f>
        <v/>
      </c>
      <c r="W901" s="278" t="str">
        <f>IFERROR((#REF!+W898)/W870,"")</f>
        <v/>
      </c>
      <c r="X901" s="278"/>
      <c r="Y901" s="394"/>
      <c r="Z901" s="278"/>
      <c r="AA901" s="278"/>
      <c r="AB901" s="278"/>
      <c r="AC901" s="278"/>
      <c r="AD901" s="278"/>
      <c r="AE901" s="278"/>
      <c r="AF901" s="278"/>
      <c r="AG901" s="278"/>
      <c r="AH901" s="278"/>
      <c r="AI901" s="278"/>
      <c r="AJ901" s="278"/>
      <c r="AK901" s="278"/>
      <c r="AL901" s="278"/>
      <c r="AM901" s="278"/>
      <c r="AN901" s="278"/>
      <c r="AO901" s="278"/>
      <c r="AP901" s="278"/>
      <c r="AQ901" s="278"/>
      <c r="AR901" s="278"/>
      <c r="AS901" s="278"/>
      <c r="AT901" s="278"/>
      <c r="AU901" s="278"/>
      <c r="AV901" s="278"/>
      <c r="AW901" s="278"/>
      <c r="AX901" s="278"/>
      <c r="AY901" s="278"/>
      <c r="AZ901" s="278"/>
      <c r="BA901" s="278"/>
      <c r="BB901" s="278"/>
      <c r="BC901" s="278"/>
      <c r="BD901" s="278"/>
      <c r="BE901" s="278"/>
      <c r="BF901" s="278"/>
    </row>
    <row r="902" spans="1:58" x14ac:dyDescent="0.3">
      <c r="A902" s="183"/>
      <c r="B902" s="183"/>
      <c r="C902" s="183"/>
      <c r="D902" s="183"/>
      <c r="E902" s="183"/>
      <c r="F902" s="183"/>
      <c r="G902" s="183"/>
      <c r="H902" s="183"/>
      <c r="I902" s="183"/>
      <c r="J902" s="183"/>
      <c r="K902" s="183"/>
      <c r="L902" s="250"/>
      <c r="M902" s="328" t="s">
        <v>1162</v>
      </c>
      <c r="N902" s="329" t="s">
        <v>77</v>
      </c>
      <c r="O902" s="323">
        <v>99.4</v>
      </c>
      <c r="P902" s="262"/>
      <c r="Q902" s="262"/>
      <c r="R902" s="262"/>
      <c r="S902" s="262" t="str">
        <f>IFERROR((#REF!+S901)/S873,"")</f>
        <v/>
      </c>
      <c r="T902" s="262" t="str">
        <f>IFERROR((#REF!+T901)/T873,"")</f>
        <v/>
      </c>
      <c r="U902" s="262" t="str">
        <f>IFERROR((#REF!+U901)/U873,"")</f>
        <v/>
      </c>
      <c r="V902" s="262" t="str">
        <f>IFERROR((#REF!+V901)/V873,"")</f>
        <v/>
      </c>
      <c r="W902" s="262" t="str">
        <f>IFERROR((#REF!+W901)/W873,"")</f>
        <v/>
      </c>
      <c r="X902" s="262"/>
      <c r="Y902" s="394"/>
      <c r="Z902" s="183"/>
      <c r="AA902" s="183"/>
      <c r="AB902" s="446">
        <f t="shared" ref="AB902:AC905" si="1139">$O902*AB841/1000000</f>
        <v>159.04</v>
      </c>
      <c r="AC902" s="447">
        <f t="shared" si="1139"/>
        <v>159.04</v>
      </c>
      <c r="AD902" s="447">
        <f t="shared" ref="AD902:BF902" si="1140">$O902*AD841/1000000</f>
        <v>159.04</v>
      </c>
      <c r="AE902" s="447">
        <f t="shared" si="1140"/>
        <v>159.04</v>
      </c>
      <c r="AF902" s="447">
        <f t="shared" si="1140"/>
        <v>159.04</v>
      </c>
      <c r="AG902" s="447">
        <f t="shared" si="1140"/>
        <v>159.04</v>
      </c>
      <c r="AH902" s="447">
        <f t="shared" si="1140"/>
        <v>159.04</v>
      </c>
      <c r="AI902" s="447">
        <f t="shared" si="1140"/>
        <v>159.04</v>
      </c>
      <c r="AJ902" s="447">
        <f t="shared" si="1140"/>
        <v>159.04</v>
      </c>
      <c r="AK902" s="447">
        <f t="shared" si="1140"/>
        <v>159.04</v>
      </c>
      <c r="AL902" s="447">
        <f t="shared" si="1140"/>
        <v>159.04</v>
      </c>
      <c r="AM902" s="447">
        <f t="shared" si="1140"/>
        <v>159.04</v>
      </c>
      <c r="AN902" s="447">
        <f t="shared" si="1140"/>
        <v>159.04</v>
      </c>
      <c r="AO902" s="447">
        <f t="shared" si="1140"/>
        <v>159.04</v>
      </c>
      <c r="AP902" s="447">
        <f t="shared" si="1140"/>
        <v>159.04</v>
      </c>
      <c r="AQ902" s="447">
        <f t="shared" si="1140"/>
        <v>159.04</v>
      </c>
      <c r="AR902" s="447">
        <f t="shared" si="1140"/>
        <v>159.04</v>
      </c>
      <c r="AS902" s="447">
        <f t="shared" si="1140"/>
        <v>159.04</v>
      </c>
      <c r="AT902" s="447">
        <f t="shared" si="1140"/>
        <v>159.04</v>
      </c>
      <c r="AU902" s="447">
        <f t="shared" si="1140"/>
        <v>159.04</v>
      </c>
      <c r="AV902" s="447">
        <f t="shared" si="1140"/>
        <v>159.04</v>
      </c>
      <c r="AW902" s="447">
        <f t="shared" si="1140"/>
        <v>159.04</v>
      </c>
      <c r="AX902" s="447">
        <f t="shared" si="1140"/>
        <v>159.04</v>
      </c>
      <c r="AY902" s="447">
        <f t="shared" si="1140"/>
        <v>159.04</v>
      </c>
      <c r="AZ902" s="447">
        <f t="shared" si="1140"/>
        <v>159.04</v>
      </c>
      <c r="BA902" s="447">
        <f t="shared" si="1140"/>
        <v>159.04</v>
      </c>
      <c r="BB902" s="447">
        <f t="shared" si="1140"/>
        <v>159.04</v>
      </c>
      <c r="BC902" s="447">
        <f t="shared" si="1140"/>
        <v>159.04</v>
      </c>
      <c r="BD902" s="447">
        <f t="shared" si="1140"/>
        <v>159.04</v>
      </c>
      <c r="BE902" s="447">
        <f t="shared" si="1140"/>
        <v>159.04</v>
      </c>
      <c r="BF902" s="447">
        <f t="shared" si="1140"/>
        <v>159.04</v>
      </c>
    </row>
    <row r="903" spans="1:58" x14ac:dyDescent="0.3">
      <c r="A903" s="183"/>
      <c r="B903" s="183"/>
      <c r="C903" s="183"/>
      <c r="D903" s="183"/>
      <c r="E903" s="183"/>
      <c r="F903" s="183"/>
      <c r="G903" s="183"/>
      <c r="H903" s="183"/>
      <c r="I903" s="183"/>
      <c r="J903" s="183"/>
      <c r="K903" s="183"/>
      <c r="L903" s="250"/>
      <c r="M903" s="328" t="s">
        <v>417</v>
      </c>
      <c r="N903" s="329" t="s">
        <v>77</v>
      </c>
      <c r="O903" s="323">
        <v>99.4</v>
      </c>
      <c r="P903" s="262"/>
      <c r="Q903" s="262"/>
      <c r="R903" s="262"/>
      <c r="S903" s="262" t="str">
        <f>IFERROR((#REF!+#REF!)/S874,"")</f>
        <v/>
      </c>
      <c r="T903" s="262" t="str">
        <f>IFERROR((#REF!+#REF!)/T874,"")</f>
        <v/>
      </c>
      <c r="U903" s="262" t="str">
        <f>IFERROR((#REF!+#REF!)/U874,"")</f>
        <v/>
      </c>
      <c r="V903" s="262" t="str">
        <f>IFERROR((#REF!+#REF!)/V874,"")</f>
        <v/>
      </c>
      <c r="W903" s="262" t="str">
        <f>IFERROR((#REF!+#REF!)/W874,"")</f>
        <v/>
      </c>
      <c r="X903" s="262"/>
      <c r="Y903" s="394"/>
      <c r="Z903" s="183"/>
      <c r="AA903" s="183"/>
      <c r="AB903" s="446">
        <f t="shared" si="1139"/>
        <v>258.44</v>
      </c>
      <c r="AC903" s="447">
        <f t="shared" si="1139"/>
        <v>258.44</v>
      </c>
      <c r="AD903" s="447">
        <f t="shared" ref="AD903:BF903" si="1141">$O903*AD842/1000000</f>
        <v>258.44</v>
      </c>
      <c r="AE903" s="447">
        <f t="shared" si="1141"/>
        <v>258.44</v>
      </c>
      <c r="AF903" s="447">
        <f t="shared" si="1141"/>
        <v>258.44</v>
      </c>
      <c r="AG903" s="447">
        <f t="shared" si="1141"/>
        <v>258.44</v>
      </c>
      <c r="AH903" s="447">
        <f t="shared" si="1141"/>
        <v>258.44</v>
      </c>
      <c r="AI903" s="447">
        <f t="shared" si="1141"/>
        <v>258.44</v>
      </c>
      <c r="AJ903" s="447">
        <f t="shared" si="1141"/>
        <v>258.44</v>
      </c>
      <c r="AK903" s="447">
        <f t="shared" si="1141"/>
        <v>258.44</v>
      </c>
      <c r="AL903" s="447">
        <f t="shared" si="1141"/>
        <v>258.44</v>
      </c>
      <c r="AM903" s="447">
        <f t="shared" si="1141"/>
        <v>258.44</v>
      </c>
      <c r="AN903" s="447">
        <f t="shared" si="1141"/>
        <v>258.44</v>
      </c>
      <c r="AO903" s="447">
        <f t="shared" si="1141"/>
        <v>258.44</v>
      </c>
      <c r="AP903" s="447">
        <f t="shared" si="1141"/>
        <v>258.44</v>
      </c>
      <c r="AQ903" s="447">
        <f t="shared" si="1141"/>
        <v>258.44</v>
      </c>
      <c r="AR903" s="447">
        <f t="shared" si="1141"/>
        <v>258.44</v>
      </c>
      <c r="AS903" s="447">
        <f t="shared" si="1141"/>
        <v>258.44</v>
      </c>
      <c r="AT903" s="447">
        <f t="shared" si="1141"/>
        <v>258.44</v>
      </c>
      <c r="AU903" s="447">
        <f t="shared" si="1141"/>
        <v>258.44</v>
      </c>
      <c r="AV903" s="447">
        <f t="shared" si="1141"/>
        <v>258.44</v>
      </c>
      <c r="AW903" s="447">
        <f t="shared" si="1141"/>
        <v>258.44</v>
      </c>
      <c r="AX903" s="447">
        <f t="shared" si="1141"/>
        <v>258.44</v>
      </c>
      <c r="AY903" s="447">
        <f t="shared" si="1141"/>
        <v>258.44</v>
      </c>
      <c r="AZ903" s="447">
        <f t="shared" si="1141"/>
        <v>258.44</v>
      </c>
      <c r="BA903" s="447">
        <f t="shared" si="1141"/>
        <v>258.44</v>
      </c>
      <c r="BB903" s="447">
        <f t="shared" si="1141"/>
        <v>258.44</v>
      </c>
      <c r="BC903" s="447">
        <f t="shared" si="1141"/>
        <v>258.44</v>
      </c>
      <c r="BD903" s="447">
        <f t="shared" si="1141"/>
        <v>258.44</v>
      </c>
      <c r="BE903" s="447">
        <f t="shared" si="1141"/>
        <v>258.44</v>
      </c>
      <c r="BF903" s="447">
        <f t="shared" si="1141"/>
        <v>258.44</v>
      </c>
    </row>
    <row r="904" spans="1:58" x14ac:dyDescent="0.3">
      <c r="A904" s="183"/>
      <c r="B904" s="183"/>
      <c r="C904" s="183"/>
      <c r="D904" s="183"/>
      <c r="E904" s="183"/>
      <c r="F904" s="183"/>
      <c r="G904" s="183"/>
      <c r="H904" s="183"/>
      <c r="I904" s="183"/>
      <c r="J904" s="183"/>
      <c r="K904" s="183"/>
      <c r="L904" s="250"/>
      <c r="M904" s="328" t="s">
        <v>1163</v>
      </c>
      <c r="N904" s="329" t="s">
        <v>77</v>
      </c>
      <c r="O904" s="323">
        <v>67.5</v>
      </c>
      <c r="P904" s="262"/>
      <c r="Q904" s="262"/>
      <c r="R904" s="262"/>
      <c r="S904" s="262" t="str">
        <f>IFERROR((#REF!+#REF!)/S875,"")</f>
        <v/>
      </c>
      <c r="T904" s="262" t="str">
        <f>IFERROR((#REF!+#REF!)/T875,"")</f>
        <v/>
      </c>
      <c r="U904" s="262" t="str">
        <f>IFERROR((#REF!+#REF!)/U875,"")</f>
        <v/>
      </c>
      <c r="V904" s="262" t="str">
        <f>IFERROR((#REF!+#REF!)/V875,"")</f>
        <v/>
      </c>
      <c r="W904" s="262" t="str">
        <f>IFERROR((#REF!+#REF!)/W875,"")</f>
        <v/>
      </c>
      <c r="X904" s="262"/>
      <c r="Y904" s="394"/>
      <c r="Z904" s="183"/>
      <c r="AA904" s="183"/>
      <c r="AB904" s="446">
        <f t="shared" si="1139"/>
        <v>37.125</v>
      </c>
      <c r="AC904" s="447">
        <f t="shared" si="1139"/>
        <v>37.125</v>
      </c>
      <c r="AD904" s="447">
        <f t="shared" ref="AD904:BF904" si="1142">$O904*AD843/1000000</f>
        <v>37.125</v>
      </c>
      <c r="AE904" s="447">
        <f t="shared" si="1142"/>
        <v>37.125</v>
      </c>
      <c r="AF904" s="447">
        <f t="shared" si="1142"/>
        <v>37.125</v>
      </c>
      <c r="AG904" s="447">
        <f t="shared" si="1142"/>
        <v>37.125</v>
      </c>
      <c r="AH904" s="447">
        <f t="shared" si="1142"/>
        <v>37.125</v>
      </c>
      <c r="AI904" s="447">
        <f t="shared" si="1142"/>
        <v>37.125</v>
      </c>
      <c r="AJ904" s="447">
        <f t="shared" si="1142"/>
        <v>37.125</v>
      </c>
      <c r="AK904" s="447">
        <f t="shared" si="1142"/>
        <v>37.125</v>
      </c>
      <c r="AL904" s="447">
        <f t="shared" si="1142"/>
        <v>37.125</v>
      </c>
      <c r="AM904" s="447">
        <f t="shared" si="1142"/>
        <v>37.125</v>
      </c>
      <c r="AN904" s="447">
        <f t="shared" si="1142"/>
        <v>37.125</v>
      </c>
      <c r="AO904" s="447">
        <f t="shared" si="1142"/>
        <v>37.125</v>
      </c>
      <c r="AP904" s="447">
        <f t="shared" si="1142"/>
        <v>37.125</v>
      </c>
      <c r="AQ904" s="447">
        <f t="shared" si="1142"/>
        <v>37.125</v>
      </c>
      <c r="AR904" s="447">
        <f t="shared" si="1142"/>
        <v>37.125</v>
      </c>
      <c r="AS904" s="447">
        <f t="shared" si="1142"/>
        <v>37.125</v>
      </c>
      <c r="AT904" s="447">
        <f t="shared" si="1142"/>
        <v>37.125</v>
      </c>
      <c r="AU904" s="447">
        <f t="shared" si="1142"/>
        <v>37.125</v>
      </c>
      <c r="AV904" s="447">
        <f t="shared" si="1142"/>
        <v>37.125</v>
      </c>
      <c r="AW904" s="447">
        <f t="shared" si="1142"/>
        <v>37.125</v>
      </c>
      <c r="AX904" s="447">
        <f t="shared" si="1142"/>
        <v>37.125</v>
      </c>
      <c r="AY904" s="447">
        <f t="shared" si="1142"/>
        <v>37.125</v>
      </c>
      <c r="AZ904" s="447">
        <f t="shared" si="1142"/>
        <v>37.125</v>
      </c>
      <c r="BA904" s="447">
        <f t="shared" si="1142"/>
        <v>37.125</v>
      </c>
      <c r="BB904" s="447">
        <f t="shared" si="1142"/>
        <v>37.125</v>
      </c>
      <c r="BC904" s="447">
        <f t="shared" si="1142"/>
        <v>37.125</v>
      </c>
      <c r="BD904" s="447">
        <f t="shared" si="1142"/>
        <v>37.125</v>
      </c>
      <c r="BE904" s="447">
        <f t="shared" si="1142"/>
        <v>37.125</v>
      </c>
      <c r="BF904" s="447">
        <f t="shared" si="1142"/>
        <v>37.125</v>
      </c>
    </row>
    <row r="905" spans="1:58" x14ac:dyDescent="0.3">
      <c r="A905" s="183"/>
      <c r="B905" s="183"/>
      <c r="C905" s="183"/>
      <c r="D905" s="183"/>
      <c r="E905" s="183"/>
      <c r="F905" s="183"/>
      <c r="G905" s="183"/>
      <c r="H905" s="183"/>
      <c r="I905" s="183"/>
      <c r="J905" s="183"/>
      <c r="K905" s="183"/>
      <c r="L905" s="250"/>
      <c r="M905" s="328" t="s">
        <v>1164</v>
      </c>
      <c r="N905" s="329" t="s">
        <v>77</v>
      </c>
      <c r="O905" s="323">
        <v>166.3</v>
      </c>
      <c r="P905" s="262"/>
      <c r="Q905" s="262"/>
      <c r="R905" s="262"/>
      <c r="S905" s="262" t="str">
        <f>IFERROR((#REF!+S902)/S876,"")</f>
        <v/>
      </c>
      <c r="T905" s="262" t="str">
        <f>IFERROR((#REF!+T902)/T876,"")</f>
        <v/>
      </c>
      <c r="U905" s="262" t="str">
        <f>IFERROR((#REF!+U902)/U876,"")</f>
        <v/>
      </c>
      <c r="V905" s="262" t="str">
        <f>IFERROR((#REF!+V902)/V876,"")</f>
        <v/>
      </c>
      <c r="W905" s="262" t="str">
        <f>IFERROR((#REF!+W902)/W876,"")</f>
        <v/>
      </c>
      <c r="X905" s="262"/>
      <c r="Y905" s="394"/>
      <c r="Z905" s="183"/>
      <c r="AA905" s="183"/>
      <c r="AB905" s="446">
        <f t="shared" si="1139"/>
        <v>199.56</v>
      </c>
      <c r="AC905" s="447">
        <f t="shared" si="1139"/>
        <v>199.56</v>
      </c>
      <c r="AD905" s="447">
        <f t="shared" ref="AD905:BF905" si="1143">$O905*AD844/1000000</f>
        <v>199.56</v>
      </c>
      <c r="AE905" s="447">
        <f t="shared" si="1143"/>
        <v>199.56</v>
      </c>
      <c r="AF905" s="447">
        <f t="shared" si="1143"/>
        <v>199.56</v>
      </c>
      <c r="AG905" s="447">
        <f t="shared" si="1143"/>
        <v>199.56</v>
      </c>
      <c r="AH905" s="447">
        <f t="shared" si="1143"/>
        <v>199.56</v>
      </c>
      <c r="AI905" s="447">
        <f t="shared" si="1143"/>
        <v>199.56</v>
      </c>
      <c r="AJ905" s="447">
        <f t="shared" si="1143"/>
        <v>199.56</v>
      </c>
      <c r="AK905" s="447">
        <f t="shared" si="1143"/>
        <v>199.56</v>
      </c>
      <c r="AL905" s="447">
        <f t="shared" si="1143"/>
        <v>199.56</v>
      </c>
      <c r="AM905" s="447">
        <f t="shared" si="1143"/>
        <v>199.56</v>
      </c>
      <c r="AN905" s="447">
        <f t="shared" si="1143"/>
        <v>199.56</v>
      </c>
      <c r="AO905" s="447">
        <f t="shared" si="1143"/>
        <v>199.56</v>
      </c>
      <c r="AP905" s="447">
        <f t="shared" si="1143"/>
        <v>199.56</v>
      </c>
      <c r="AQ905" s="447">
        <f t="shared" si="1143"/>
        <v>199.56</v>
      </c>
      <c r="AR905" s="447">
        <f t="shared" si="1143"/>
        <v>199.56</v>
      </c>
      <c r="AS905" s="447">
        <f t="shared" si="1143"/>
        <v>199.56</v>
      </c>
      <c r="AT905" s="447">
        <f t="shared" si="1143"/>
        <v>199.56</v>
      </c>
      <c r="AU905" s="447">
        <f t="shared" si="1143"/>
        <v>199.56</v>
      </c>
      <c r="AV905" s="447">
        <f t="shared" si="1143"/>
        <v>199.56</v>
      </c>
      <c r="AW905" s="447">
        <f t="shared" si="1143"/>
        <v>199.56</v>
      </c>
      <c r="AX905" s="447">
        <f t="shared" si="1143"/>
        <v>199.56</v>
      </c>
      <c r="AY905" s="447">
        <f t="shared" si="1143"/>
        <v>199.56</v>
      </c>
      <c r="AZ905" s="447">
        <f t="shared" si="1143"/>
        <v>199.56</v>
      </c>
      <c r="BA905" s="447">
        <f t="shared" si="1143"/>
        <v>199.56</v>
      </c>
      <c r="BB905" s="447">
        <f t="shared" si="1143"/>
        <v>199.56</v>
      </c>
      <c r="BC905" s="447">
        <f t="shared" si="1143"/>
        <v>199.56</v>
      </c>
      <c r="BD905" s="447">
        <f t="shared" si="1143"/>
        <v>199.56</v>
      </c>
      <c r="BE905" s="447">
        <f t="shared" si="1143"/>
        <v>199.56</v>
      </c>
      <c r="BF905" s="447">
        <f t="shared" si="1143"/>
        <v>199.56</v>
      </c>
    </row>
    <row r="906" spans="1:58" x14ac:dyDescent="0.3">
      <c r="A906" s="183"/>
      <c r="B906" s="183"/>
      <c r="C906" s="183"/>
      <c r="D906" s="183"/>
      <c r="E906" s="183"/>
      <c r="F906" s="183"/>
      <c r="G906" s="183"/>
      <c r="H906" s="183"/>
      <c r="I906" s="183"/>
      <c r="J906" s="183"/>
      <c r="K906" s="183"/>
      <c r="L906" s="250"/>
      <c r="M906" s="326" t="s">
        <v>1169</v>
      </c>
      <c r="N906" s="327"/>
      <c r="O906" s="278"/>
      <c r="P906" s="278"/>
      <c r="Q906" s="278"/>
      <c r="R906" s="278"/>
      <c r="S906" s="278" t="str">
        <f>IFERROR((#REF!+S903)/S877,"")</f>
        <v/>
      </c>
      <c r="T906" s="278" t="str">
        <f>IFERROR((#REF!+T903)/T877,"")</f>
        <v/>
      </c>
      <c r="U906" s="278" t="str">
        <f>IFERROR((#REF!+U903)/U877,"")</f>
        <v/>
      </c>
      <c r="V906" s="278" t="str">
        <f>IFERROR((#REF!+V903)/V877,"")</f>
        <v/>
      </c>
      <c r="W906" s="278" t="str">
        <f>IFERROR((#REF!+W903)/W877,"")</f>
        <v/>
      </c>
      <c r="X906" s="278"/>
      <c r="Y906" s="394"/>
      <c r="Z906" s="278"/>
      <c r="AA906" s="278"/>
      <c r="AB906" s="278"/>
      <c r="AC906" s="278"/>
      <c r="AD906" s="278"/>
      <c r="AE906" s="278"/>
      <c r="AF906" s="278"/>
      <c r="AG906" s="278"/>
      <c r="AH906" s="278"/>
      <c r="AI906" s="278"/>
      <c r="AJ906" s="278"/>
      <c r="AK906" s="278"/>
      <c r="AL906" s="278"/>
      <c r="AM906" s="278"/>
      <c r="AN906" s="278"/>
      <c r="AO906" s="278"/>
      <c r="AP906" s="278"/>
      <c r="AQ906" s="278"/>
      <c r="AR906" s="278"/>
      <c r="AS906" s="278"/>
      <c r="AT906" s="278"/>
      <c r="AU906" s="278"/>
      <c r="AV906" s="278"/>
      <c r="AW906" s="278"/>
      <c r="AX906" s="278"/>
      <c r="AY906" s="278"/>
      <c r="AZ906" s="278"/>
      <c r="BA906" s="278"/>
      <c r="BB906" s="278"/>
      <c r="BC906" s="278"/>
      <c r="BD906" s="278"/>
      <c r="BE906" s="278"/>
      <c r="BF906" s="278"/>
    </row>
    <row r="907" spans="1:58" x14ac:dyDescent="0.3">
      <c r="A907" s="183"/>
      <c r="B907" s="183"/>
      <c r="C907" s="183"/>
      <c r="D907" s="183"/>
      <c r="E907" s="183"/>
      <c r="F907" s="183"/>
      <c r="G907" s="183"/>
      <c r="H907" s="183"/>
      <c r="I907" s="183"/>
      <c r="J907" s="183"/>
      <c r="K907" s="183"/>
      <c r="L907" s="250"/>
      <c r="M907" s="328" t="s">
        <v>1162</v>
      </c>
      <c r="N907" s="329" t="s">
        <v>77</v>
      </c>
      <c r="O907" s="323">
        <v>95.2</v>
      </c>
      <c r="P907" s="262"/>
      <c r="Q907" s="262"/>
      <c r="R907" s="262"/>
      <c r="S907" s="262" t="str">
        <f>IFERROR((#REF!+S906)/S880,"")</f>
        <v/>
      </c>
      <c r="T907" s="262" t="str">
        <f>IFERROR((#REF!+T906)/T880,"")</f>
        <v/>
      </c>
      <c r="U907" s="262" t="str">
        <f>IFERROR((#REF!+U906)/U880,"")</f>
        <v/>
      </c>
      <c r="V907" s="262" t="str">
        <f>IFERROR((#REF!+V906)/V880,"")</f>
        <v/>
      </c>
      <c r="W907" s="262" t="str">
        <f>IFERROR((#REF!+W906)/W880,"")</f>
        <v/>
      </c>
      <c r="X907" s="262"/>
      <c r="Y907" s="394"/>
      <c r="Z907" s="183"/>
      <c r="AA907" s="183"/>
      <c r="AB907" s="446">
        <f t="shared" ref="AB907:AC910" si="1144">$O907*AB846/1000000</f>
        <v>0</v>
      </c>
      <c r="AC907" s="447">
        <f t="shared" si="1144"/>
        <v>7.14</v>
      </c>
      <c r="AD907" s="447">
        <f t="shared" ref="AD907:BF907" si="1145">$O907*AD846/1000000</f>
        <v>14.28</v>
      </c>
      <c r="AE907" s="447">
        <f t="shared" si="1145"/>
        <v>21.528501375761081</v>
      </c>
      <c r="AF907" s="447">
        <f t="shared" si="1145"/>
        <v>28.888105903094534</v>
      </c>
      <c r="AG907" s="447">
        <f t="shared" si="1145"/>
        <v>36.36146710209826</v>
      </c>
      <c r="AH907" s="447">
        <f t="shared" si="1145"/>
        <v>43.95129134159555</v>
      </c>
      <c r="AI907" s="447">
        <f t="shared" si="1145"/>
        <v>51.660338966504149</v>
      </c>
      <c r="AJ907" s="447">
        <f t="shared" si="1145"/>
        <v>59.491425448616759</v>
      </c>
      <c r="AK907" s="447">
        <f t="shared" si="1145"/>
        <v>67.447422561284284</v>
      </c>
      <c r="AL907" s="447">
        <f t="shared" si="1145"/>
        <v>75.531259578503352</v>
      </c>
      <c r="AM907" s="447">
        <f t="shared" si="1145"/>
        <v>83.745924498920033</v>
      </c>
      <c r="AN907" s="447">
        <f t="shared" si="1145"/>
        <v>92.094465295272471</v>
      </c>
      <c r="AO907" s="447">
        <f t="shared" si="1145"/>
        <v>100.57999118980609</v>
      </c>
      <c r="AP907" s="447">
        <f t="shared" si="1145"/>
        <v>109.2056739562061</v>
      </c>
      <c r="AQ907" s="447">
        <f t="shared" si="1145"/>
        <v>117.97474924860356</v>
      </c>
      <c r="AR907" s="447">
        <f t="shared" si="1145"/>
        <v>126.89051795822252</v>
      </c>
      <c r="AS907" s="447">
        <f t="shared" si="1145"/>
        <v>135.95634759824836</v>
      </c>
      <c r="AT907" s="447">
        <f t="shared" si="1145"/>
        <v>145.1756737175086</v>
      </c>
      <c r="AU907" s="447">
        <f t="shared" si="1145"/>
        <v>154.55200134357059</v>
      </c>
      <c r="AV907" s="447">
        <f t="shared" si="1145"/>
        <v>164.08890645587277</v>
      </c>
      <c r="AW907" s="447">
        <f t="shared" si="1145"/>
        <v>173.79003748951942</v>
      </c>
      <c r="AX907" s="447">
        <f t="shared" si="1145"/>
        <v>183.65911687038121</v>
      </c>
      <c r="AY907" s="447">
        <f t="shared" si="1145"/>
        <v>193.69994258215817</v>
      </c>
      <c r="AZ907" s="447">
        <f t="shared" si="1145"/>
        <v>203.91638976607535</v>
      </c>
      <c r="BA907" s="447">
        <f t="shared" si="1145"/>
        <v>214.31241235389413</v>
      </c>
      <c r="BB907" s="447">
        <f t="shared" si="1145"/>
        <v>224.89204473493899</v>
      </c>
      <c r="BC907" s="447">
        <f t="shared" si="1145"/>
        <v>235.65940345785114</v>
      </c>
      <c r="BD907" s="447">
        <f t="shared" si="1145"/>
        <v>246.61868896779782</v>
      </c>
      <c r="BE907" s="447">
        <f t="shared" si="1145"/>
        <v>257.77418737987983</v>
      </c>
      <c r="BF907" s="447">
        <f t="shared" si="1145"/>
        <v>269.13027228949625</v>
      </c>
    </row>
    <row r="908" spans="1:58" x14ac:dyDescent="0.3">
      <c r="A908" s="183"/>
      <c r="B908" s="183"/>
      <c r="C908" s="183"/>
      <c r="D908" s="183"/>
      <c r="E908" s="183"/>
      <c r="F908" s="183"/>
      <c r="G908" s="183"/>
      <c r="H908" s="183"/>
      <c r="I908" s="183"/>
      <c r="J908" s="183"/>
      <c r="K908" s="183"/>
      <c r="L908" s="250"/>
      <c r="M908" s="328" t="s">
        <v>417</v>
      </c>
      <c r="N908" s="329" t="s">
        <v>77</v>
      </c>
      <c r="O908" s="323">
        <v>95.2</v>
      </c>
      <c r="P908" s="262"/>
      <c r="Q908" s="262"/>
      <c r="R908" s="262"/>
      <c r="S908" s="262" t="str">
        <f>IFERROR((#REF!+#REF!)/S881,"")</f>
        <v/>
      </c>
      <c r="T908" s="262" t="str">
        <f>IFERROR((#REF!+#REF!)/T881,"")</f>
        <v/>
      </c>
      <c r="U908" s="262" t="str">
        <f>IFERROR((#REF!+#REF!)/U881,"")</f>
        <v/>
      </c>
      <c r="V908" s="262" t="str">
        <f>IFERROR((#REF!+#REF!)/V881,"")</f>
        <v/>
      </c>
      <c r="W908" s="262" t="str">
        <f>IFERROR((#REF!+#REF!)/W881,"")</f>
        <v/>
      </c>
      <c r="X908" s="262"/>
      <c r="Y908" s="394"/>
      <c r="Z908" s="183"/>
      <c r="AA908" s="183"/>
      <c r="AB908" s="446">
        <f t="shared" si="1144"/>
        <v>0</v>
      </c>
      <c r="AC908" s="447">
        <f t="shared" si="1144"/>
        <v>6.1879999999999997</v>
      </c>
      <c r="AD908" s="447">
        <f t="shared" ref="AD908:BF908" si="1146">$O908*AD847/1000000</f>
        <v>12.375999999999999</v>
      </c>
      <c r="AE908" s="447">
        <f t="shared" si="1146"/>
        <v>18.64841911437907</v>
      </c>
      <c r="AF908" s="447">
        <f t="shared" si="1146"/>
        <v>25.007199849306595</v>
      </c>
      <c r="AG908" s="447">
        <f t="shared" si="1146"/>
        <v>31.454318947090638</v>
      </c>
      <c r="AH908" s="447">
        <f t="shared" si="1146"/>
        <v>37.991788071628889</v>
      </c>
      <c r="AI908" s="447">
        <f t="shared" si="1146"/>
        <v>44.62165450674312</v>
      </c>
      <c r="AJ908" s="447">
        <f t="shared" si="1146"/>
        <v>51.346001867646805</v>
      </c>
      <c r="AK908" s="447">
        <f t="shared" si="1146"/>
        <v>58.166950825800456</v>
      </c>
      <c r="AL908" s="447">
        <f t="shared" si="1146"/>
        <v>65.086659847413912</v>
      </c>
      <c r="AM908" s="447">
        <f t="shared" si="1146"/>
        <v>72.107325945860111</v>
      </c>
      <c r="AN908" s="447">
        <f t="shared" si="1146"/>
        <v>79.231185448269443</v>
      </c>
      <c r="AO908" s="447">
        <f t="shared" si="1146"/>
        <v>86.460514776579288</v>
      </c>
      <c r="AP908" s="447">
        <f t="shared" si="1146"/>
        <v>93.797631243318634</v>
      </c>
      <c r="AQ908" s="447">
        <f t="shared" si="1146"/>
        <v>101.24489386241254</v>
      </c>
      <c r="AR908" s="447">
        <f t="shared" si="1146"/>
        <v>108.80470417529732</v>
      </c>
      <c r="AS908" s="447">
        <f t="shared" si="1146"/>
        <v>116.47950709264228</v>
      </c>
      <c r="AT908" s="447">
        <f t="shared" si="1146"/>
        <v>124.2717917519799</v>
      </c>
      <c r="AU908" s="447">
        <f t="shared" si="1146"/>
        <v>132.1840923915519</v>
      </c>
      <c r="AV908" s="447">
        <f t="shared" si="1146"/>
        <v>140.21898924068469</v>
      </c>
      <c r="AW908" s="447">
        <f t="shared" si="1146"/>
        <v>148.37910942701336</v>
      </c>
      <c r="AX908" s="447">
        <f t="shared" si="1146"/>
        <v>156.66712790088025</v>
      </c>
      <c r="AY908" s="447">
        <f t="shared" si="1146"/>
        <v>165.08576837723876</v>
      </c>
      <c r="AZ908" s="447">
        <f t="shared" si="1146"/>
        <v>173.63780429540191</v>
      </c>
      <c r="BA908" s="447">
        <f t="shared" si="1146"/>
        <v>182.3260597969788</v>
      </c>
      <c r="BB908" s="447">
        <f t="shared" si="1146"/>
        <v>191.15341072235117</v>
      </c>
      <c r="BC908" s="447">
        <f t="shared" si="1146"/>
        <v>200.12278562604698</v>
      </c>
      <c r="BD908" s="447">
        <f t="shared" si="1146"/>
        <v>209.23716681137643</v>
      </c>
      <c r="BE908" s="447">
        <f t="shared" si="1146"/>
        <v>218.4995913847018</v>
      </c>
      <c r="BF908" s="447">
        <f t="shared" si="1146"/>
        <v>227.91315232971957</v>
      </c>
    </row>
    <row r="909" spans="1:58" x14ac:dyDescent="0.3">
      <c r="A909" s="183"/>
      <c r="B909" s="183"/>
      <c r="C909" s="183"/>
      <c r="D909" s="183"/>
      <c r="E909" s="183"/>
      <c r="F909" s="183"/>
      <c r="G909" s="183"/>
      <c r="H909" s="183"/>
      <c r="I909" s="183"/>
      <c r="J909" s="183"/>
      <c r="K909" s="183"/>
      <c r="L909" s="250"/>
      <c r="M909" s="328" t="s">
        <v>1163</v>
      </c>
      <c r="N909" s="329" t="s">
        <v>77</v>
      </c>
      <c r="O909" s="323">
        <v>62.7</v>
      </c>
      <c r="P909" s="262"/>
      <c r="Q909" s="262"/>
      <c r="R909" s="262"/>
      <c r="S909" s="262" t="str">
        <f>IFERROR((#REF!+#REF!)/S882,"")</f>
        <v/>
      </c>
      <c r="T909" s="262" t="str">
        <f>IFERROR((#REF!+#REF!)/T882,"")</f>
        <v/>
      </c>
      <c r="U909" s="262" t="str">
        <f>IFERROR((#REF!+#REF!)/U882,"")</f>
        <v/>
      </c>
      <c r="V909" s="262" t="str">
        <f>IFERROR((#REF!+#REF!)/V882,"")</f>
        <v/>
      </c>
      <c r="W909" s="262" t="str">
        <f>IFERROR((#REF!+#REF!)/W882,"")</f>
        <v/>
      </c>
      <c r="X909" s="262"/>
      <c r="Y909" s="394"/>
      <c r="Z909" s="183"/>
      <c r="AA909" s="183"/>
      <c r="AB909" s="446">
        <f t="shared" si="1144"/>
        <v>0</v>
      </c>
      <c r="AC909" s="447">
        <f t="shared" si="1144"/>
        <v>2.1945000000000001</v>
      </c>
      <c r="AD909" s="447">
        <f t="shared" ref="AD909:BF909" si="1147">$O909*AD848/1000000</f>
        <v>4.3890000000000002</v>
      </c>
      <c r="AE909" s="447">
        <f t="shared" si="1147"/>
        <v>6.6046488905458087</v>
      </c>
      <c r="AF909" s="447">
        <f t="shared" si="1147"/>
        <v>8.8420117324372178</v>
      </c>
      <c r="AG909" s="447">
        <f t="shared" si="1147"/>
        <v>11.101661989646846</v>
      </c>
      <c r="AH909" s="447">
        <f t="shared" si="1147"/>
        <v>13.384181699031297</v>
      </c>
      <c r="AI909" s="447">
        <f t="shared" si="1147"/>
        <v>15.690161642932447</v>
      </c>
      <c r="AJ909" s="447">
        <f t="shared" si="1147"/>
        <v>18.018690269708522</v>
      </c>
      <c r="AK909" s="447">
        <f t="shared" si="1147"/>
        <v>20.370197337052058</v>
      </c>
      <c r="AL909" s="447">
        <f t="shared" si="1147"/>
        <v>22.745118518288795</v>
      </c>
      <c r="AM909" s="447">
        <f t="shared" si="1147"/>
        <v>25.143895496497262</v>
      </c>
      <c r="AN909" s="447">
        <f t="shared" si="1147"/>
        <v>27.566976060027827</v>
      </c>
      <c r="AO909" s="447">
        <f t="shared" si="1147"/>
        <v>30.014814199442704</v>
      </c>
      <c r="AP909" s="447">
        <f t="shared" si="1147"/>
        <v>32.487870205898631</v>
      </c>
      <c r="AQ909" s="447">
        <f t="shared" si="1147"/>
        <v>34.986610770994396</v>
      </c>
      <c r="AR909" s="447">
        <f t="shared" si="1147"/>
        <v>37.511509088105662</v>
      </c>
      <c r="AS909" s="447">
        <f t="shared" si="1147"/>
        <v>40.063044955229827</v>
      </c>
      <c r="AT909" s="447">
        <f t="shared" si="1147"/>
        <v>42.641704879364106</v>
      </c>
      <c r="AU909" s="447">
        <f t="shared" si="1147"/>
        <v>45.247982182440325</v>
      </c>
      <c r="AV909" s="447">
        <f t="shared" si="1147"/>
        <v>47.882377108840245</v>
      </c>
      <c r="AW909" s="447">
        <f t="shared" si="1147"/>
        <v>50.545396934515587</v>
      </c>
      <c r="AX909" s="447">
        <f t="shared" si="1147"/>
        <v>53.237556077737423</v>
      </c>
      <c r="AY909" s="447">
        <f t="shared" si="1147"/>
        <v>55.959376211499766</v>
      </c>
      <c r="AZ909" s="447">
        <f t="shared" si="1147"/>
        <v>58.711386377602743</v>
      </c>
      <c r="BA909" s="447">
        <f t="shared" si="1147"/>
        <v>61.494123102441016</v>
      </c>
      <c r="BB909" s="447">
        <f t="shared" si="1147"/>
        <v>64.308130514523583</v>
      </c>
      <c r="BC909" s="447">
        <f t="shared" si="1147"/>
        <v>67.153960463751417</v>
      </c>
      <c r="BD909" s="447">
        <f t="shared" si="1147"/>
        <v>70.03217264247975</v>
      </c>
      <c r="BE909" s="447">
        <f t="shared" si="1147"/>
        <v>72.943334708392499</v>
      </c>
      <c r="BF909" s="447">
        <f t="shared" si="1147"/>
        <v>75.888022409216276</v>
      </c>
    </row>
    <row r="910" spans="1:58" x14ac:dyDescent="0.3">
      <c r="A910" s="183"/>
      <c r="B910" s="183"/>
      <c r="C910" s="183"/>
      <c r="D910" s="183"/>
      <c r="E910" s="183"/>
      <c r="F910" s="183"/>
      <c r="G910" s="183"/>
      <c r="H910" s="183"/>
      <c r="I910" s="183"/>
      <c r="J910" s="183"/>
      <c r="K910" s="183"/>
      <c r="L910" s="250"/>
      <c r="M910" s="328" t="s">
        <v>1164</v>
      </c>
      <c r="N910" s="329" t="s">
        <v>77</v>
      </c>
      <c r="O910" s="323">
        <v>160</v>
      </c>
      <c r="P910" s="262"/>
      <c r="Q910" s="262"/>
      <c r="R910" s="262"/>
      <c r="S910" s="262" t="str">
        <f>IFERROR((#REF!+S907)/S883,"")</f>
        <v/>
      </c>
      <c r="T910" s="262" t="str">
        <f>IFERROR((#REF!+T907)/T883,"")</f>
        <v/>
      </c>
      <c r="U910" s="262" t="str">
        <f>IFERROR((#REF!+U907)/U883,"")</f>
        <v/>
      </c>
      <c r="V910" s="262" t="str">
        <f>IFERROR((#REF!+V907)/V883,"")</f>
        <v/>
      </c>
      <c r="W910" s="262" t="str">
        <f>IFERROR((#REF!+W907)/W883,"")</f>
        <v/>
      </c>
      <c r="X910" s="262"/>
      <c r="Y910" s="394"/>
      <c r="Z910" s="183"/>
      <c r="AA910" s="183"/>
      <c r="AB910" s="446">
        <f t="shared" si="1144"/>
        <v>0</v>
      </c>
      <c r="AC910" s="447">
        <f t="shared" si="1144"/>
        <v>8</v>
      </c>
      <c r="AD910" s="447">
        <f t="shared" ref="AD910:BF910" si="1148">$O910*AD849/1000000</f>
        <v>16</v>
      </c>
      <c r="AE910" s="447">
        <f t="shared" si="1148"/>
        <v>24.071923412236771</v>
      </c>
      <c r="AF910" s="447">
        <f t="shared" si="1148"/>
        <v>32.216674639758359</v>
      </c>
      <c r="AG910" s="447">
        <f t="shared" si="1148"/>
        <v>40.43516835406863</v>
      </c>
      <c r="AH910" s="447">
        <f t="shared" si="1148"/>
        <v>48.728329615094196</v>
      </c>
      <c r="AI910" s="447">
        <f t="shared" si="1148"/>
        <v>57.097093992541389</v>
      </c>
      <c r="AJ910" s="447">
        <f t="shared" si="1148"/>
        <v>65.542407688659495</v>
      </c>
      <c r="AK910" s="447">
        <f t="shared" si="1148"/>
        <v>74.065227662426651</v>
      </c>
      <c r="AL910" s="447">
        <f t="shared" si="1148"/>
        <v>82.66652175517477</v>
      </c>
      <c r="AM910" s="447">
        <f t="shared" si="1148"/>
        <v>91.347268817670354</v>
      </c>
      <c r="AN910" s="447">
        <f t="shared" si="1148"/>
        <v>100.10845883866808</v>
      </c>
      <c r="AO910" s="447">
        <f t="shared" si="1148"/>
        <v>108.95109307495407</v>
      </c>
      <c r="AP910" s="447">
        <f t="shared" si="1148"/>
        <v>117.87618418289655</v>
      </c>
      <c r="AQ910" s="447">
        <f t="shared" si="1148"/>
        <v>126.88475635152099</v>
      </c>
      <c r="AR910" s="447">
        <f t="shared" si="1148"/>
        <v>135.97784543712754</v>
      </c>
      <c r="AS910" s="447">
        <f t="shared" si="1148"/>
        <v>145.15649909946907</v>
      </c>
      <c r="AT910" s="447">
        <f t="shared" si="1148"/>
        <v>154.4217769395072</v>
      </c>
      <c r="AU910" s="447">
        <f t="shared" si="1148"/>
        <v>163.77475063876528</v>
      </c>
      <c r="AV910" s="447">
        <f t="shared" si="1148"/>
        <v>173.21650410029662</v>
      </c>
      <c r="AW910" s="447">
        <f t="shared" si="1148"/>
        <v>182.74813359128669</v>
      </c>
      <c r="AX910" s="447">
        <f t="shared" si="1148"/>
        <v>192.37074788730837</v>
      </c>
      <c r="AY910" s="447">
        <f t="shared" si="1148"/>
        <v>202.08546841824938</v>
      </c>
      <c r="AZ910" s="447">
        <f t="shared" si="1148"/>
        <v>211.89342941593134</v>
      </c>
      <c r="BA910" s="447">
        <f t="shared" si="1148"/>
        <v>221.79577806344005</v>
      </c>
      <c r="BB910" s="447">
        <f t="shared" si="1148"/>
        <v>231.7936746461871</v>
      </c>
      <c r="BC910" s="447">
        <f t="shared" si="1148"/>
        <v>241.88829270472232</v>
      </c>
      <c r="BD910" s="447">
        <f t="shared" si="1148"/>
        <v>252.08081918931836</v>
      </c>
      <c r="BE910" s="447">
        <f t="shared" si="1148"/>
        <v>262.37245461634683</v>
      </c>
      <c r="BF910" s="447">
        <f t="shared" si="1148"/>
        <v>272.76441322646792</v>
      </c>
    </row>
    <row r="911" spans="1:58" x14ac:dyDescent="0.3">
      <c r="A911" s="183"/>
      <c r="B911" s="183"/>
      <c r="C911" s="183"/>
      <c r="D911" s="183"/>
      <c r="E911" s="183"/>
      <c r="F911" s="183"/>
      <c r="G911" s="183"/>
      <c r="H911" s="183"/>
      <c r="I911" s="183"/>
      <c r="J911" s="183"/>
      <c r="K911" s="183"/>
      <c r="L911" s="250"/>
      <c r="M911" s="328"/>
      <c r="N911" s="329"/>
      <c r="O911" s="183"/>
      <c r="P911" s="183"/>
      <c r="Q911" s="183"/>
      <c r="R911" s="183"/>
      <c r="S911" s="183"/>
      <c r="T911" s="183"/>
      <c r="U911" s="183"/>
      <c r="V911" s="183"/>
      <c r="W911" s="183"/>
      <c r="X911" s="183"/>
      <c r="Y911" s="394"/>
      <c r="Z911" s="183"/>
      <c r="AA911" s="183"/>
      <c r="AB911" s="261"/>
      <c r="AC911" s="261"/>
      <c r="AD911" s="183"/>
      <c r="AE911" s="183"/>
      <c r="AF911" s="183"/>
      <c r="AG911" s="183"/>
      <c r="AH911" s="183"/>
      <c r="AI911" s="183"/>
      <c r="AJ911" s="183"/>
      <c r="AK911" s="183"/>
      <c r="AL911" s="183"/>
      <c r="AM911" s="183"/>
      <c r="AN911" s="183"/>
      <c r="AO911" s="183"/>
      <c r="AP911" s="183"/>
      <c r="AQ911" s="183"/>
      <c r="AR911" s="183"/>
      <c r="AS911" s="183"/>
      <c r="AT911" s="183"/>
      <c r="AU911" s="183"/>
      <c r="AV911" s="183"/>
      <c r="AW911" s="183"/>
      <c r="AX911" s="183"/>
      <c r="AY911" s="183"/>
      <c r="AZ911" s="183"/>
      <c r="BA911" s="183"/>
      <c r="BB911" s="183"/>
      <c r="BC911" s="183"/>
      <c r="BD911" s="183"/>
      <c r="BE911" s="183"/>
      <c r="BF911" s="183"/>
    </row>
    <row r="912" spans="1:58" x14ac:dyDescent="0.3">
      <c r="A912" s="183"/>
      <c r="B912" s="183"/>
      <c r="C912" s="183"/>
      <c r="D912" s="183"/>
      <c r="E912" s="183"/>
      <c r="F912" s="183"/>
      <c r="G912" s="183"/>
      <c r="H912" s="183"/>
      <c r="I912" s="183"/>
      <c r="J912" s="183"/>
      <c r="K912" s="183"/>
      <c r="L912" s="250"/>
      <c r="M912" s="328" t="s">
        <v>1162</v>
      </c>
      <c r="N912" s="329"/>
      <c r="O912" s="183"/>
      <c r="P912" s="183"/>
      <c r="Q912" s="183"/>
      <c r="R912" s="183"/>
      <c r="S912" s="183"/>
      <c r="T912" s="183"/>
      <c r="U912" s="183"/>
      <c r="V912" s="183"/>
      <c r="W912" s="183"/>
      <c r="X912" s="183"/>
      <c r="Y912" s="394"/>
      <c r="Z912" s="183"/>
      <c r="AA912" s="183">
        <f>AB912/AB916</f>
        <v>0.22938319590655223</v>
      </c>
      <c r="AB912" s="446" cm="1">
        <f t="array" ref="AB912:AB915">SUMIFS(AB870:AB910,$M$870:$M$910,$M$912:$M$915)</f>
        <v>1234.5999999999999</v>
      </c>
      <c r="AC912" s="446" cm="1">
        <f t="array" ref="AC912:AC915">SUMIFS(AC870:AC910,$M$870:$M$910,$M$912:$M$915)</f>
        <v>1236.4100000000001</v>
      </c>
      <c r="AD912" s="446" cm="1">
        <f t="array" ref="AD912:AD915">SUMIFS(AD870:AD910,$M$870:$M$910,$M$912:$M$915)</f>
        <v>1245.918546327925</v>
      </c>
      <c r="AE912" s="446" cm="1">
        <f t="array" ref="AE912:AE915">SUMIFS(AE870:AE910,$M$870:$M$910,$M$912:$M$915)</f>
        <v>1255.7486644610613</v>
      </c>
      <c r="AF912" s="446" cm="1">
        <f t="array" ref="AF912:AF915">SUMIFS(AF870:AF910,$M$870:$M$910,$M$912:$M$915)</f>
        <v>1265.9060875439957</v>
      </c>
      <c r="AG912" s="446" cm="1">
        <f t="array" ref="AG912:AG915">SUMIFS(AG870:AG910,$M$870:$M$910,$M$912:$M$915)</f>
        <v>1276.3966767429561</v>
      </c>
      <c r="AH912" s="446" cm="1">
        <f t="array" ref="AH912:AH915">SUMIFS(AH870:AH910,$M$870:$M$910,$M$912:$M$915)</f>
        <v>1287.2264238588366</v>
      </c>
      <c r="AI912" s="446" cm="1">
        <f t="array" ref="AI912:AI915">SUMIFS(AI870:AI910,$M$870:$M$910,$M$912:$M$915)</f>
        <v>1298.4014539954278</v>
      </c>
      <c r="AJ912" s="446" cm="1">
        <f t="array" ref="AJ912:AJ915">SUMIFS(AJ870:AJ910,$M$870:$M$910,$M$912:$M$915)</f>
        <v>1309.928028283997</v>
      </c>
      <c r="AK912" s="446" cm="1">
        <f t="array" ref="AK912:AK915">SUMIFS(AK870:AK910,$M$870:$M$910,$M$912:$M$915)</f>
        <v>1321.812546665396</v>
      </c>
      <c r="AL912" s="446" cm="1">
        <f t="array" ref="AL912:AL915">SUMIFS(AL870:AL910,$M$870:$M$910,$M$912:$M$915)</f>
        <v>1334.0615507308958</v>
      </c>
      <c r="AM912" s="446" cm="1">
        <f t="array" ref="AM912:AM915">SUMIFS(AM870:AM910,$M$870:$M$910,$M$912:$M$915)</f>
        <v>1346.6817266229725</v>
      </c>
      <c r="AN912" s="446" cm="1">
        <f t="array" ref="AN912:AN915">SUMIFS(AN870:AN910,$M$870:$M$910,$M$912:$M$915)</f>
        <v>1359.6799079972925</v>
      </c>
      <c r="AO912" s="446" cm="1">
        <f t="array" ref="AO912:AO915">SUMIFS(AO870:AO910,$M$870:$M$910,$M$912:$M$915)</f>
        <v>1373.063079047178</v>
      </c>
      <c r="AP912" s="446" cm="1">
        <f t="array" ref="AP912:AP915">SUMIFS(AP870:AP910,$M$870:$M$910,$M$912:$M$915)</f>
        <v>1386.8383775918489</v>
      </c>
      <c r="AQ912" s="446" cm="1">
        <f t="array" ref="AQ912:AQ915">SUMIFS(AQ870:AQ910,$M$870:$M$910,$M$912:$M$915)</f>
        <v>1401.0130982297808</v>
      </c>
      <c r="AR912" s="446" cm="1">
        <f t="array" ref="AR912:AR915">SUMIFS(AR870:AR910,$M$870:$M$910,$M$912:$M$915)</f>
        <v>1415.594695558528</v>
      </c>
      <c r="AS912" s="446" cm="1">
        <f t="array" ref="AS912:AS915">SUMIFS(AS870:AS910,$M$870:$M$910,$M$912:$M$915)</f>
        <v>1430.5907874624022</v>
      </c>
      <c r="AT912" s="446" cm="1">
        <f t="array" ref="AT912:AT915">SUMIFS(AT870:AT910,$M$870:$M$910,$M$912:$M$915)</f>
        <v>1446.0091584694269</v>
      </c>
      <c r="AU912" s="446" cm="1">
        <f t="array" ref="AU912:AU915">SUMIFS(AU870:AU910,$M$870:$M$910,$M$912:$M$915)</f>
        <v>1461.8577631790031</v>
      </c>
      <c r="AV912" s="446" cm="1">
        <f t="array" ref="AV912:AV915">SUMIFS(AV870:AV910,$M$870:$M$910,$M$912:$M$915)</f>
        <v>1478.144729761771</v>
      </c>
      <c r="AW912" s="446" cm="1">
        <f t="array" ref="AW912:AW915">SUMIFS(AW870:AW910,$M$870:$M$910,$M$912:$M$915)</f>
        <v>1494.8783635331704</v>
      </c>
      <c r="AX912" s="446" cm="1">
        <f t="array" ref="AX912:AX915">SUMIFS(AX870:AX910,$M$870:$M$910,$M$912:$M$915)</f>
        <v>1512.0671506022372</v>
      </c>
      <c r="AY912" s="446" cm="1">
        <f t="array" ref="AY912:AY915">SUMIFS(AY870:AY910,$M$870:$M$910,$M$912:$M$915)</f>
        <v>1529.7197615972079</v>
      </c>
      <c r="AZ912" s="446" cm="1">
        <f t="array" ref="AZ912:AZ915">SUMIFS(AZ870:AZ910,$M$870:$M$910,$M$912:$M$915)</f>
        <v>1547.8450554695353</v>
      </c>
      <c r="BA912" s="446" cm="1">
        <f t="array" ref="BA912:BA915">SUMIFS(BA870:BA910,$M$870:$M$910,$M$912:$M$915)</f>
        <v>1566.4520833779504</v>
      </c>
      <c r="BB912" s="446" cm="1">
        <f t="array" ref="BB912:BB915">SUMIFS(BB870:BB910,$M$870:$M$910,$M$912:$M$915)</f>
        <v>1585.5500926542445</v>
      </c>
      <c r="BC912" s="446" cm="1">
        <f t="array" ref="BC912:BC915">SUMIFS(BC870:BC910,$M$870:$M$910,$M$912:$M$915)</f>
        <v>1605.1485308524748</v>
      </c>
      <c r="BD912" s="446" cm="1">
        <f t="array" ref="BD912:BD915">SUMIFS(BD870:BD910,$M$870:$M$910,$M$912:$M$915)</f>
        <v>1625.2570498833356</v>
      </c>
      <c r="BE912" s="446" cm="1">
        <f t="array" ref="BE912:BE915">SUMIFS(BE870:BE910,$M$870:$M$910,$M$912:$M$915)</f>
        <v>1645.885510235476</v>
      </c>
      <c r="BF912" s="446" cm="1">
        <f t="array" ref="BF912:BF915">SUMIFS(BF870:BF910,$M$870:$M$910,$M$912:$M$915)</f>
        <v>1667.043985285577</v>
      </c>
    </row>
    <row r="913" spans="1:58" x14ac:dyDescent="0.3">
      <c r="A913" s="183"/>
      <c r="B913" s="183"/>
      <c r="C913" s="183"/>
      <c r="D913" s="183"/>
      <c r="E913" s="183"/>
      <c r="F913" s="183"/>
      <c r="G913" s="183"/>
      <c r="H913" s="183"/>
      <c r="I913" s="183"/>
      <c r="J913" s="183"/>
      <c r="K913" s="183"/>
      <c r="L913" s="250"/>
      <c r="M913" s="328" t="s">
        <v>417</v>
      </c>
      <c r="N913" s="329"/>
      <c r="O913" s="183"/>
      <c r="P913" s="183"/>
      <c r="Q913" s="183"/>
      <c r="R913" s="183"/>
      <c r="S913" s="183"/>
      <c r="T913" s="183"/>
      <c r="U913" s="183"/>
      <c r="V913" s="183"/>
      <c r="W913" s="183"/>
      <c r="X913" s="183"/>
      <c r="Y913" s="394"/>
      <c r="Z913" s="183"/>
      <c r="AA913" s="183">
        <f>AB913/AB916</f>
        <v>0.25381159587236585</v>
      </c>
      <c r="AB913" s="446">
        <v>1366.08</v>
      </c>
      <c r="AC913" s="446">
        <v>1365.278</v>
      </c>
      <c r="AD913" s="446">
        <v>1374.8211254702785</v>
      </c>
      <c r="AE913" s="446">
        <v>1384.6868780289612</v>
      </c>
      <c r="AF913" s="446">
        <v>1394.8801357756106</v>
      </c>
      <c r="AG913" s="446">
        <v>1405.4058827502083</v>
      </c>
      <c r="AH913" s="446">
        <v>1416.2692108497824</v>
      </c>
      <c r="AI913" s="446">
        <v>1427.4753217829009</v>
      </c>
      <c r="AJ913" s="446">
        <v>1439.0295290627523</v>
      </c>
      <c r="AK913" s="446">
        <v>1450.9372600395354</v>
      </c>
      <c r="AL913" s="446">
        <v>1463.2040579729087</v>
      </c>
      <c r="AM913" s="446">
        <v>1475.8355841452549</v>
      </c>
      <c r="AN913" s="446">
        <v>1488.8376200165374</v>
      </c>
      <c r="AO913" s="446">
        <v>1502.2160694215308</v>
      </c>
      <c r="AP913" s="446">
        <v>1515.976960810234</v>
      </c>
      <c r="AQ913" s="446">
        <v>1530.1264495322857</v>
      </c>
      <c r="AR913" s="446">
        <v>1544.6708201662111</v>
      </c>
      <c r="AS913" s="446">
        <v>1559.6164888943547</v>
      </c>
      <c r="AT913" s="446">
        <v>1574.9700059243689</v>
      </c>
      <c r="AU913" s="446">
        <v>1590.7380579581359</v>
      </c>
      <c r="AV913" s="446">
        <v>1606.9274707090281</v>
      </c>
      <c r="AW913" s="446">
        <v>1623.5452114684251</v>
      </c>
      <c r="AX913" s="446">
        <v>1640.5983917224271</v>
      </c>
      <c r="AY913" s="446">
        <v>1658.0942698197036</v>
      </c>
      <c r="AZ913" s="446">
        <v>1676.0402536914739</v>
      </c>
      <c r="BA913" s="446">
        <v>1694.4439036245903</v>
      </c>
      <c r="BB913" s="446">
        <v>1713.312935088743</v>
      </c>
      <c r="BC913" s="446">
        <v>1732.6552216188161</v>
      </c>
      <c r="BD913" s="446">
        <v>1752.4787977534445</v>
      </c>
      <c r="BE913" s="446">
        <v>1772.7918620308399</v>
      </c>
      <c r="BF913" s="446">
        <v>1793.6027800429777</v>
      </c>
    </row>
    <row r="914" spans="1:58" x14ac:dyDescent="0.3">
      <c r="A914" s="183"/>
      <c r="B914" s="183"/>
      <c r="C914" s="183"/>
      <c r="D914" s="183"/>
      <c r="E914" s="183"/>
      <c r="F914" s="183"/>
      <c r="G914" s="183"/>
      <c r="H914" s="183"/>
      <c r="I914" s="183"/>
      <c r="J914" s="183"/>
      <c r="K914" s="183"/>
      <c r="L914" s="250"/>
      <c r="M914" s="328" t="s">
        <v>1163</v>
      </c>
      <c r="N914" s="329"/>
      <c r="O914" s="183"/>
      <c r="P914" s="183"/>
      <c r="Q914" s="183"/>
      <c r="R914" s="183"/>
      <c r="S914" s="183"/>
      <c r="T914" s="183"/>
      <c r="U914" s="183"/>
      <c r="V914" s="183"/>
      <c r="W914" s="183"/>
      <c r="X914" s="183"/>
      <c r="Y914" s="394"/>
      <c r="Z914" s="183"/>
      <c r="AA914" s="183">
        <f>AB914/AB916</f>
        <v>0.14134954461508734</v>
      </c>
      <c r="AB914" s="446">
        <v>760.78</v>
      </c>
      <c r="AC914" s="446">
        <v>759.49069999999995</v>
      </c>
      <c r="AD914" s="446">
        <v>761.18690102777782</v>
      </c>
      <c r="AE914" s="446">
        <v>763.02914477044294</v>
      </c>
      <c r="AF914" s="446">
        <v>765.01892982097536</v>
      </c>
      <c r="AG914" s="446">
        <v>767.15779312305551</v>
      </c>
      <c r="AH914" s="446">
        <v>769.44731055267698</v>
      </c>
      <c r="AI914" s="446">
        <v>772.28935824758196</v>
      </c>
      <c r="AJ914" s="446">
        <v>775.23432939804206</v>
      </c>
      <c r="AK914" s="446">
        <v>778.28336879015569</v>
      </c>
      <c r="AL914" s="446">
        <v>781.43764152432516</v>
      </c>
      <c r="AM914" s="446">
        <v>784.69833330327606</v>
      </c>
      <c r="AN914" s="446">
        <v>788.06665072459123</v>
      </c>
      <c r="AO914" s="446">
        <v>791.54382157783311</v>
      </c>
      <c r="AP914" s="446">
        <v>795.13109514631788</v>
      </c>
      <c r="AQ914" s="446">
        <v>798.82974251361497</v>
      </c>
      <c r="AR914" s="446">
        <v>802.64105687483789</v>
      </c>
      <c r="AS914" s="446">
        <v>806.56635385280606</v>
      </c>
      <c r="AT914" s="446">
        <v>810.6069718191402</v>
      </c>
      <c r="AU914" s="446">
        <v>814.76427222037523</v>
      </c>
      <c r="AV914" s="446">
        <v>819.03963990915963</v>
      </c>
      <c r="AW914" s="446">
        <v>823.43448348061941</v>
      </c>
      <c r="AX914" s="446">
        <v>827.95023561396488</v>
      </c>
      <c r="AY914" s="446">
        <v>832.58835341941779</v>
      </c>
      <c r="AZ914" s="446">
        <v>837.35031879053975</v>
      </c>
      <c r="BA914" s="446">
        <v>842.23763876204112</v>
      </c>
      <c r="BB914" s="446">
        <v>847.25184587315596</v>
      </c>
      <c r="BC914" s="446">
        <v>852.39449853666315</v>
      </c>
      <c r="BD914" s="446">
        <v>857.66718141364152</v>
      </c>
      <c r="BE914" s="446">
        <v>863.07150579404185</v>
      </c>
      <c r="BF914" s="446">
        <v>868.6091099831674</v>
      </c>
    </row>
    <row r="915" spans="1:58" x14ac:dyDescent="0.3">
      <c r="A915" s="183"/>
      <c r="B915" s="183"/>
      <c r="C915" s="183"/>
      <c r="D915" s="183"/>
      <c r="E915" s="183"/>
      <c r="F915" s="183"/>
      <c r="G915" s="183"/>
      <c r="H915" s="183"/>
      <c r="I915" s="183"/>
      <c r="J915" s="183"/>
      <c r="K915" s="183"/>
      <c r="L915" s="250"/>
      <c r="M915" s="328" t="s">
        <v>1164</v>
      </c>
      <c r="N915" s="329"/>
      <c r="O915" s="183"/>
      <c r="P915" s="183"/>
      <c r="Q915" s="183"/>
      <c r="R915" s="183"/>
      <c r="S915" s="183"/>
      <c r="T915" s="183"/>
      <c r="U915" s="183"/>
      <c r="V915" s="183"/>
      <c r="W915" s="183"/>
      <c r="X915" s="183"/>
      <c r="Y915" s="394"/>
      <c r="Z915" s="183"/>
      <c r="AA915" s="183">
        <f>AB915/AB916</f>
        <v>0.37545566360599447</v>
      </c>
      <c r="AB915" s="446">
        <v>2020.8</v>
      </c>
      <c r="AC915" s="446">
        <v>2023.8969999999999</v>
      </c>
      <c r="AD915" s="446">
        <v>2035.3157578772802</v>
      </c>
      <c r="AE915" s="446">
        <v>2046.9039569757631</v>
      </c>
      <c r="AF915" s="446">
        <v>2058.6634419359593</v>
      </c>
      <c r="AG915" s="446">
        <v>2070.5960792178885</v>
      </c>
      <c r="AH915" s="446">
        <v>2082.7037573530201</v>
      </c>
      <c r="AI915" s="446">
        <v>2094.988387199156</v>
      </c>
      <c r="AJ915" s="446">
        <v>2107.4519021982687</v>
      </c>
      <c r="AK915" s="446">
        <v>2120.0962586373444</v>
      </c>
      <c r="AL915" s="446">
        <v>2132.9234359122479</v>
      </c>
      <c r="AM915" s="446">
        <v>2145.9354367946648</v>
      </c>
      <c r="AN915" s="446">
        <v>2159.1342877021466</v>
      </c>
      <c r="AO915" s="446">
        <v>2172.5220389712827</v>
      </c>
      <c r="AP915" s="446">
        <v>2186.1007651340669</v>
      </c>
      <c r="AQ915" s="446">
        <v>2199.8725651974596</v>
      </c>
      <c r="AR915" s="446">
        <v>2213.83956292621</v>
      </c>
      <c r="AS915" s="446">
        <v>2228.0039071289602</v>
      </c>
      <c r="AT915" s="446">
        <v>2242.3677719476818</v>
      </c>
      <c r="AU915" s="446">
        <v>2256.9333571504644</v>
      </c>
      <c r="AV915" s="446">
        <v>2271.702888427722</v>
      </c>
      <c r="AW915" s="446">
        <v>2286.6786176918304</v>
      </c>
      <c r="AX915" s="446">
        <v>2301.8628233802556</v>
      </c>
      <c r="AY915" s="446">
        <v>2317.257810762198</v>
      </c>
      <c r="AZ915" s="446">
        <v>2332.8659122488079</v>
      </c>
      <c r="BA915" s="446">
        <v>2348.689487706999</v>
      </c>
      <c r="BB915" s="446">
        <v>2364.7309247769163</v>
      </c>
      <c r="BC915" s="446">
        <v>2380.9926391930867</v>
      </c>
      <c r="BD915" s="446">
        <v>2397.4770751093065</v>
      </c>
      <c r="BE915" s="446">
        <v>2414.1867054273039</v>
      </c>
      <c r="BF915" s="446">
        <v>2431.1240321292207</v>
      </c>
    </row>
    <row r="916" spans="1:58" x14ac:dyDescent="0.3">
      <c r="A916" s="183"/>
      <c r="B916" s="183" t="s">
        <v>890</v>
      </c>
      <c r="C916" s="183" t="s">
        <v>884</v>
      </c>
      <c r="D916" s="183" t="s">
        <v>885</v>
      </c>
      <c r="E916" s="183"/>
      <c r="F916" s="183"/>
      <c r="G916" s="183"/>
      <c r="H916" s="183"/>
      <c r="I916" s="183"/>
      <c r="J916" s="183"/>
      <c r="K916" s="183"/>
      <c r="L916" s="250"/>
      <c r="M916" s="77" t="s">
        <v>896</v>
      </c>
      <c r="N916" s="329" t="s">
        <v>77</v>
      </c>
      <c r="O916" s="261"/>
      <c r="P916" s="261"/>
      <c r="Q916" s="261"/>
      <c r="R916" s="261"/>
      <c r="S916" s="261"/>
      <c r="T916" s="261"/>
      <c r="U916" s="261"/>
      <c r="V916" s="261"/>
      <c r="W916" s="261"/>
      <c r="X916" s="261"/>
      <c r="Y916" s="394"/>
      <c r="Z916" s="183"/>
      <c r="AA916" s="183"/>
      <c r="AB916" s="449">
        <f t="shared" ref="AB916:BF916" si="1149">AB869+AB891</f>
        <v>5382.26</v>
      </c>
      <c r="AC916" s="425">
        <f t="shared" si="1149"/>
        <v>5385.0756999999994</v>
      </c>
      <c r="AD916" s="425">
        <f t="shared" si="1149"/>
        <v>5417.2423307032623</v>
      </c>
      <c r="AE916" s="425">
        <f t="shared" si="1149"/>
        <v>5450.3686442362277</v>
      </c>
      <c r="AF916" s="425">
        <f t="shared" si="1149"/>
        <v>5484.4685950765415</v>
      </c>
      <c r="AG916" s="425">
        <f t="shared" si="1149"/>
        <v>5519.5564318341085</v>
      </c>
      <c r="AH916" s="425">
        <f t="shared" si="1149"/>
        <v>5555.6467026143164</v>
      </c>
      <c r="AI916" s="425">
        <f t="shared" si="1149"/>
        <v>5593.1545212250676</v>
      </c>
      <c r="AJ916" s="425">
        <f t="shared" si="1149"/>
        <v>5631.6437889430599</v>
      </c>
      <c r="AK916" s="425">
        <f t="shared" si="1149"/>
        <v>5671.129434132431</v>
      </c>
      <c r="AL916" s="425">
        <f t="shared" si="1149"/>
        <v>5711.6266861403783</v>
      </c>
      <c r="AM916" s="425">
        <f t="shared" si="1149"/>
        <v>5753.1510808661678</v>
      </c>
      <c r="AN916" s="425">
        <f t="shared" si="1149"/>
        <v>5795.7184664405668</v>
      </c>
      <c r="AO916" s="425">
        <f t="shared" si="1149"/>
        <v>5839.3450090178249</v>
      </c>
      <c r="AP916" s="425">
        <f t="shared" si="1149"/>
        <v>5884.0471986824687</v>
      </c>
      <c r="AQ916" s="425">
        <f t="shared" si="1149"/>
        <v>5929.8418554731425</v>
      </c>
      <c r="AR916" s="425">
        <f t="shared" si="1149"/>
        <v>5976.7461355257874</v>
      </c>
      <c r="AS916" s="425">
        <f t="shared" si="1149"/>
        <v>6024.777537338523</v>
      </c>
      <c r="AT916" s="425">
        <f t="shared" si="1149"/>
        <v>6073.9539081606181</v>
      </c>
      <c r="AU916" s="425">
        <f t="shared" si="1149"/>
        <v>6124.2934505079793</v>
      </c>
      <c r="AV916" s="425">
        <f t="shared" si="1149"/>
        <v>6175.8147288076798</v>
      </c>
      <c r="AW916" s="425">
        <f t="shared" si="1149"/>
        <v>6228.5366761740452</v>
      </c>
      <c r="AX916" s="425">
        <f t="shared" si="1149"/>
        <v>6282.4786013188841</v>
      </c>
      <c r="AY916" s="425">
        <f t="shared" si="1149"/>
        <v>6337.6601955985279</v>
      </c>
      <c r="AZ916" s="425">
        <f t="shared" si="1149"/>
        <v>6394.1015402003568</v>
      </c>
      <c r="BA916" s="425">
        <f t="shared" si="1149"/>
        <v>6451.8231134715816</v>
      </c>
      <c r="BB916" s="425">
        <f t="shared" si="1149"/>
        <v>6510.8457983930593</v>
      </c>
      <c r="BC916" s="425">
        <f t="shared" si="1149"/>
        <v>6571.19089020104</v>
      </c>
      <c r="BD916" s="425">
        <f t="shared" si="1149"/>
        <v>6632.8801041597271</v>
      </c>
      <c r="BE916" s="425">
        <f t="shared" si="1149"/>
        <v>6695.9355834876606</v>
      </c>
      <c r="BF916" s="425">
        <f t="shared" si="1149"/>
        <v>6760.3799074409417</v>
      </c>
    </row>
    <row r="917" spans="1:58" x14ac:dyDescent="0.3">
      <c r="A917" s="183"/>
      <c r="B917" s="183"/>
      <c r="C917" s="183"/>
      <c r="D917" s="183"/>
      <c r="E917" s="183"/>
      <c r="F917" s="183"/>
      <c r="G917" s="183"/>
      <c r="H917" s="183"/>
      <c r="I917" s="183"/>
      <c r="J917" s="183"/>
      <c r="K917" s="183"/>
      <c r="L917" s="250"/>
      <c r="M917" s="328"/>
      <c r="N917" s="329"/>
      <c r="O917" s="261"/>
      <c r="P917" s="261"/>
      <c r="Q917" s="261"/>
      <c r="R917" s="261"/>
      <c r="S917" s="261"/>
      <c r="T917" s="261"/>
      <c r="U917" s="261"/>
      <c r="V917" s="261"/>
      <c r="W917" s="261"/>
      <c r="X917" s="261"/>
      <c r="Y917" s="394"/>
      <c r="Z917" s="183"/>
      <c r="AA917" s="183"/>
      <c r="AB917" s="261"/>
      <c r="AC917" s="261"/>
      <c r="AD917" s="183"/>
      <c r="AE917" s="183"/>
      <c r="AF917" s="183"/>
      <c r="AG917" s="183"/>
      <c r="AH917" s="183"/>
      <c r="AI917" s="183"/>
      <c r="AJ917" s="183"/>
      <c r="AK917" s="183"/>
      <c r="AL917" s="183"/>
      <c r="AM917" s="183"/>
      <c r="AN917" s="183"/>
      <c r="AO917" s="183"/>
      <c r="AP917" s="183"/>
      <c r="AQ917" s="183"/>
      <c r="AR917" s="183"/>
      <c r="AS917" s="183"/>
      <c r="AT917" s="183"/>
      <c r="AU917" s="183"/>
      <c r="AV917" s="183"/>
      <c r="AW917" s="183"/>
      <c r="AX917" s="183"/>
      <c r="AY917" s="183"/>
      <c r="AZ917" s="183"/>
      <c r="BA917" s="183"/>
      <c r="BB917" s="183"/>
      <c r="BC917" s="183"/>
      <c r="BD917" s="183"/>
      <c r="BE917" s="183"/>
      <c r="BF917" s="183"/>
    </row>
    <row r="918" spans="1:58" x14ac:dyDescent="0.3">
      <c r="A918" s="183"/>
      <c r="B918" s="183"/>
      <c r="C918" s="183"/>
      <c r="D918" s="183"/>
      <c r="E918" s="183"/>
      <c r="F918" s="183"/>
      <c r="G918" s="183"/>
      <c r="H918" s="183"/>
      <c r="I918" s="183"/>
      <c r="J918" s="183"/>
      <c r="K918" s="183"/>
      <c r="L918" s="250"/>
      <c r="M918" s="253" t="s">
        <v>1130</v>
      </c>
      <c r="N918" s="257"/>
      <c r="O918" s="258"/>
      <c r="P918" s="258"/>
      <c r="Q918" s="258"/>
      <c r="R918" s="258"/>
      <c r="S918" s="258"/>
      <c r="T918" s="258"/>
      <c r="U918" s="258"/>
      <c r="V918" s="258"/>
      <c r="W918" s="258"/>
      <c r="X918" s="258"/>
      <c r="Y918" s="394"/>
      <c r="Z918" s="254"/>
      <c r="AA918" s="254"/>
      <c r="AB918" s="259"/>
      <c r="AC918" s="259"/>
      <c r="AD918" s="254"/>
      <c r="AE918" s="254"/>
      <c r="AF918" s="254"/>
      <c r="AG918" s="254"/>
      <c r="AH918" s="254"/>
      <c r="AI918" s="254"/>
      <c r="AJ918" s="254"/>
      <c r="AK918" s="254"/>
      <c r="AL918" s="254"/>
      <c r="AM918" s="254"/>
      <c r="AN918" s="254"/>
      <c r="AO918" s="254"/>
      <c r="AP918" s="254"/>
      <c r="AQ918" s="254"/>
      <c r="AR918" s="254"/>
      <c r="AS918" s="254"/>
      <c r="AT918" s="254"/>
      <c r="AU918" s="254"/>
      <c r="AV918" s="254"/>
      <c r="AW918" s="254"/>
      <c r="AX918" s="254"/>
      <c r="AY918" s="254"/>
      <c r="AZ918" s="254"/>
      <c r="BA918" s="254"/>
      <c r="BB918" s="254"/>
      <c r="BC918" s="254"/>
      <c r="BD918" s="254"/>
      <c r="BE918" s="254"/>
      <c r="BF918" s="254"/>
    </row>
    <row r="919" spans="1:58" x14ac:dyDescent="0.3">
      <c r="A919" s="183" t="str">
        <f>'EE Measures'!D12</f>
        <v>eS1</v>
      </c>
      <c r="B919" s="183" t="s">
        <v>890</v>
      </c>
      <c r="C919" s="183" t="s">
        <v>899</v>
      </c>
      <c r="D919" s="183" t="s">
        <v>900</v>
      </c>
      <c r="E919" s="511">
        <f>INDEX('EE Measures'!IF:IF,MATCH($A919,'EE Measures'!$D:$D,0))</f>
        <v>1</v>
      </c>
      <c r="F919" s="511">
        <f>INDEX('EE Measures'!IG:IG,MATCH($A919,'EE Measures'!$D:$D,0))</f>
        <v>1</v>
      </c>
      <c r="G919" s="511">
        <f>INDEX('EE Measures'!IH:IH,MATCH($A919,'EE Measures'!$D:$D,0))</f>
        <v>1</v>
      </c>
      <c r="H919" s="511">
        <f>INDEX('EE Measures'!II:II,MATCH($A919,'EE Measures'!$D:$D,0))</f>
        <v>1</v>
      </c>
      <c r="I919" s="511">
        <f>INDEX('EE Measures'!IJ:IJ,MATCH($A919,'EE Measures'!$D:$D,0))</f>
        <v>1</v>
      </c>
      <c r="J919" s="511">
        <f>INDEX('EE Measures'!IK:IK,MATCH($A919,'EE Measures'!$D:$D,0))</f>
        <v>1</v>
      </c>
      <c r="K919" s="511">
        <f>INDEX('EE Measures'!IL:IL,MATCH($A919,'EE Measures'!$D:$D,0))</f>
        <v>1</v>
      </c>
      <c r="L919" s="250"/>
      <c r="M919" s="80" t="str">
        <f>INDEX('EE Measures'!$E$8:$E$40,MATCH(A919,'EE Measures'!$D$8:$D$40,0))</f>
        <v>Renovation of healthcare centres (2016-on-going)</v>
      </c>
      <c r="N919" s="329" t="s">
        <v>77</v>
      </c>
      <c r="O919" s="261"/>
      <c r="P919" s="261"/>
      <c r="Q919" s="261"/>
      <c r="R919" s="261"/>
      <c r="S919" s="261"/>
      <c r="T919" s="261"/>
      <c r="U919" s="261"/>
      <c r="V919" s="261"/>
      <c r="W919" s="261"/>
      <c r="X919" s="261"/>
      <c r="Y919" s="394"/>
      <c r="Z919" s="183"/>
      <c r="AA919" s="183"/>
      <c r="AB919" s="262"/>
      <c r="AC919" s="146">
        <f>-INDEX('EE Measures'!AR$8:AR$86,MATCH($A919,'EE Measures'!$D$8:$D$86,0))</f>
        <v>-0.47316880000000006</v>
      </c>
      <c r="AD919" s="146">
        <f>-INDEX('EE Measures'!AS$8:AS$86,MATCH($A919,'EE Measures'!$D$8:$D$86,0))</f>
        <v>-0.48735880000000009</v>
      </c>
      <c r="AE919" s="114">
        <f>AD919-INDEX('EE Measures'!AT$8:AT$86,MATCH($A919,'EE Measures'!$D$8:$D$86,0))</f>
        <v>-0.56589679999999998</v>
      </c>
      <c r="AF919" s="114">
        <f>AE919-INDEX('EE Measures'!AU$8:AU$86,MATCH($A919,'EE Measures'!$D$8:$D$86,0))</f>
        <v>-0.63024480000000005</v>
      </c>
      <c r="AG919" s="114">
        <f>AF919-INDEX('EE Measures'!AV$8:AV$86,MATCH($A919,'EE Measures'!$D$8:$D$86,0))</f>
        <v>-0.63024480000000005</v>
      </c>
      <c r="AH919" s="114">
        <f>AG919-INDEX('EE Measures'!AW$8:AW$86,MATCH($A919,'EE Measures'!$D$8:$D$86,0))</f>
        <v>-0.63024480000000005</v>
      </c>
      <c r="AI919" s="114">
        <f>AH919-INDEX('EE Measures'!AX$8:AX$86,MATCH($A919,'EE Measures'!$D$8:$D$86,0))</f>
        <v>-0.63024480000000005</v>
      </c>
      <c r="AJ919" s="114">
        <f>AI919-INDEX('EE Measures'!AY$8:AY$86,MATCH($A919,'EE Measures'!$D$8:$D$86,0))</f>
        <v>-0.63024480000000005</v>
      </c>
      <c r="AK919" s="114">
        <f>AJ919-INDEX('EE Measures'!AZ$8:AZ$86,MATCH($A919,'EE Measures'!$D$8:$D$86,0))</f>
        <v>-0.63024480000000005</v>
      </c>
      <c r="AL919" s="114">
        <f>AK919-INDEX('EE Measures'!BA$8:BA$86,MATCH($A919,'EE Measures'!$D$8:$D$86,0))</f>
        <v>-0.63024480000000005</v>
      </c>
      <c r="AM919" s="183"/>
      <c r="AN919" s="183"/>
      <c r="AO919" s="183"/>
      <c r="AP919" s="183"/>
      <c r="AQ919" s="183"/>
      <c r="AR919" s="183"/>
      <c r="AS919" s="183"/>
      <c r="AT919" s="183"/>
      <c r="AU919" s="183"/>
      <c r="AV919" s="183"/>
      <c r="AW919" s="183"/>
      <c r="AX919" s="183"/>
      <c r="AY919" s="183"/>
      <c r="AZ919" s="183"/>
      <c r="BA919" s="183"/>
      <c r="BB919" s="183"/>
      <c r="BC919" s="183"/>
      <c r="BD919" s="183"/>
      <c r="BE919" s="183"/>
      <c r="BF919" s="183"/>
    </row>
    <row r="920" spans="1:58" x14ac:dyDescent="0.3">
      <c r="A920" s="183" t="str">
        <f>'EE Measures'!D13</f>
        <v>eS2</v>
      </c>
      <c r="B920" s="183" t="s">
        <v>890</v>
      </c>
      <c r="C920" s="183" t="s">
        <v>899</v>
      </c>
      <c r="D920" s="183" t="s">
        <v>900</v>
      </c>
      <c r="E920" s="511">
        <f>INDEX('EE Measures'!IF:IF,MATCH($A920,'EE Measures'!$D:$D,0))</f>
        <v>1</v>
      </c>
      <c r="F920" s="511">
        <f>INDEX('EE Measures'!IG:IG,MATCH($A920,'EE Measures'!$D:$D,0))</f>
        <v>1</v>
      </c>
      <c r="G920" s="511">
        <f>INDEX('EE Measures'!IH:IH,MATCH($A920,'EE Measures'!$D:$D,0))</f>
        <v>1</v>
      </c>
      <c r="H920" s="511">
        <f>INDEX('EE Measures'!II:II,MATCH($A920,'EE Measures'!$D:$D,0))</f>
        <v>1</v>
      </c>
      <c r="I920" s="511">
        <f>INDEX('EE Measures'!IJ:IJ,MATCH($A920,'EE Measures'!$D:$D,0))</f>
        <v>1</v>
      </c>
      <c r="J920" s="511">
        <f>INDEX('EE Measures'!IK:IK,MATCH($A920,'EE Measures'!$D:$D,0))</f>
        <v>1</v>
      </c>
      <c r="K920" s="511">
        <f>INDEX('EE Measures'!IL:IL,MATCH($A920,'EE Measures'!$D:$D,0))</f>
        <v>1</v>
      </c>
      <c r="L920" s="250"/>
      <c r="M920" s="80" t="str">
        <f>INDEX('EE Measures'!$E$8:$E$40,MATCH(A920,'EE Measures'!$D$8:$D$40,0))</f>
        <v>Modernisation of street lighting (2016-on-going)</v>
      </c>
      <c r="N920" s="329" t="s">
        <v>77</v>
      </c>
      <c r="O920" s="261"/>
      <c r="P920" s="261"/>
      <c r="Q920" s="261"/>
      <c r="R920" s="261"/>
      <c r="S920" s="261"/>
      <c r="T920" s="261"/>
      <c r="U920" s="261"/>
      <c r="V920" s="261"/>
      <c r="W920" s="261"/>
      <c r="X920" s="261"/>
      <c r="Y920" s="394"/>
      <c r="Z920" s="183"/>
      <c r="AA920" s="183"/>
      <c r="AB920" s="262"/>
      <c r="AC920" s="146">
        <f>-INDEX('EE Measures'!AR$8:AR$86,MATCH($A920,'EE Measures'!$D$8:$D$86,0))</f>
        <v>-7.4620800000000003</v>
      </c>
      <c r="AD920" s="146">
        <f>-INDEX('EE Measures'!AS$8:AS$86,MATCH($A920,'EE Measures'!$D$8:$D$86,0))</f>
        <v>-3.7317400000000003</v>
      </c>
      <c r="AE920" s="114">
        <f>AD920-INDEX('EE Measures'!AT$8:AT$86,MATCH($A920,'EE Measures'!$D$8:$D$86,0))</f>
        <v>-3.7317400000000003</v>
      </c>
      <c r="AF920" s="114">
        <f>AE920-INDEX('EE Measures'!AU$8:AU$86,MATCH($A920,'EE Measures'!$D$8:$D$86,0))</f>
        <v>-3.7317400000000003</v>
      </c>
      <c r="AG920" s="114">
        <f>AF920-INDEX('EE Measures'!AV$8:AV$86,MATCH($A920,'EE Measures'!$D$8:$D$86,0))</f>
        <v>-3.7317400000000003</v>
      </c>
      <c r="AH920" s="114">
        <f>AG920-INDEX('EE Measures'!AW$8:AW$86,MATCH($A920,'EE Measures'!$D$8:$D$86,0))</f>
        <v>-3.7317400000000003</v>
      </c>
      <c r="AI920" s="114">
        <f>AH920-INDEX('EE Measures'!AX$8:AX$86,MATCH($A920,'EE Measures'!$D$8:$D$86,0))</f>
        <v>-3.7317400000000003</v>
      </c>
      <c r="AJ920" s="114">
        <f>AI920-INDEX('EE Measures'!AY$8:AY$86,MATCH($A920,'EE Measures'!$D$8:$D$86,0))</f>
        <v>-3.7317400000000003</v>
      </c>
      <c r="AK920" s="114">
        <f>AJ920-INDEX('EE Measures'!AZ$8:AZ$86,MATCH($A920,'EE Measures'!$D$8:$D$86,0))</f>
        <v>-3.7317400000000003</v>
      </c>
      <c r="AL920" s="114">
        <f>AK920-INDEX('EE Measures'!BA$8:BA$86,MATCH($A920,'EE Measures'!$D$8:$D$86,0))</f>
        <v>-3.7317400000000003</v>
      </c>
      <c r="AM920" s="183"/>
      <c r="AN920" s="183"/>
      <c r="AO920" s="183"/>
      <c r="AP920" s="183"/>
      <c r="AQ920" s="183"/>
      <c r="AR920" s="183"/>
      <c r="AS920" s="183"/>
      <c r="AT920" s="183"/>
      <c r="AU920" s="183"/>
      <c r="AV920" s="183"/>
      <c r="AW920" s="183"/>
      <c r="AX920" s="183"/>
      <c r="AY920" s="183"/>
      <c r="AZ920" s="183"/>
      <c r="BA920" s="183"/>
      <c r="BB920" s="183"/>
      <c r="BC920" s="183"/>
      <c r="BD920" s="183"/>
      <c r="BE920" s="183"/>
      <c r="BF920" s="183"/>
    </row>
    <row r="921" spans="1:58" x14ac:dyDescent="0.3">
      <c r="A921" s="183" t="str">
        <f>'EE Measures'!D14</f>
        <v>eS3</v>
      </c>
      <c r="B921" s="183" t="s">
        <v>890</v>
      </c>
      <c r="C921" s="183" t="s">
        <v>899</v>
      </c>
      <c r="D921" s="183" t="s">
        <v>900</v>
      </c>
      <c r="E921" s="511">
        <f>INDEX('EE Measures'!IF:IF,MATCH($A921,'EE Measures'!$D:$D,0))</f>
        <v>1</v>
      </c>
      <c r="F921" s="511">
        <f>INDEX('EE Measures'!IG:IG,MATCH($A921,'EE Measures'!$D:$D,0))</f>
        <v>1</v>
      </c>
      <c r="G921" s="511">
        <f>INDEX('EE Measures'!IH:IH,MATCH($A921,'EE Measures'!$D:$D,0))</f>
        <v>1</v>
      </c>
      <c r="H921" s="511">
        <f>INDEX('EE Measures'!II:II,MATCH($A921,'EE Measures'!$D:$D,0))</f>
        <v>1</v>
      </c>
      <c r="I921" s="511">
        <f>INDEX('EE Measures'!IJ:IJ,MATCH($A921,'EE Measures'!$D:$D,0))</f>
        <v>1</v>
      </c>
      <c r="J921" s="511">
        <f>INDEX('EE Measures'!IK:IK,MATCH($A921,'EE Measures'!$D:$D,0))</f>
        <v>1</v>
      </c>
      <c r="K921" s="511">
        <f>INDEX('EE Measures'!IL:IL,MATCH($A921,'EE Measures'!$D:$D,0))</f>
        <v>1</v>
      </c>
      <c r="L921" s="250"/>
      <c r="M921" s="80" t="str">
        <f>INDEX('EE Measures'!$E$8:$E$40,MATCH(A921,'EE Measures'!$D$8:$D$40,0))</f>
        <v>Renovation of social care homes (2017-on-going)</v>
      </c>
      <c r="N921" s="329" t="s">
        <v>77</v>
      </c>
      <c r="O921" s="261"/>
      <c r="P921" s="261"/>
      <c r="Q921" s="261"/>
      <c r="R921" s="261"/>
      <c r="S921" s="261"/>
      <c r="T921" s="261"/>
      <c r="U921" s="261"/>
      <c r="V921" s="261"/>
      <c r="W921" s="261"/>
      <c r="X921" s="261"/>
      <c r="Y921" s="394"/>
      <c r="Z921" s="183"/>
      <c r="AA921" s="183"/>
      <c r="AB921" s="262"/>
      <c r="AC921" s="146">
        <f>-INDEX('EE Measures'!AR$8:AR$86,MATCH($A921,'EE Measures'!$D$8:$D$86,0))</f>
        <v>-7.3889999999999983E-2</v>
      </c>
      <c r="AD921" s="146">
        <f>-INDEX('EE Measures'!AS$8:AS$86,MATCH($A921,'EE Measures'!$D$8:$D$86,0))</f>
        <v>-0.13688999999999998</v>
      </c>
      <c r="AE921" s="114">
        <f>AD921-INDEX('EE Measures'!AT$8:AT$86,MATCH($A921,'EE Measures'!$D$8:$D$86,0))</f>
        <v>-0.19988999999999998</v>
      </c>
      <c r="AF921" s="114">
        <f>AE921-INDEX('EE Measures'!AU$8:AU$86,MATCH($A921,'EE Measures'!$D$8:$D$86,0))</f>
        <v>-0.19988999999999998</v>
      </c>
      <c r="AG921" s="114">
        <f>AF921-INDEX('EE Measures'!AV$8:AV$86,MATCH($A921,'EE Measures'!$D$8:$D$86,0))</f>
        <v>-0.19988999999999998</v>
      </c>
      <c r="AH921" s="114">
        <f>AG921-INDEX('EE Measures'!AW$8:AW$86,MATCH($A921,'EE Measures'!$D$8:$D$86,0))</f>
        <v>-0.19988999999999998</v>
      </c>
      <c r="AI921" s="114">
        <f>AH921-INDEX('EE Measures'!AX$8:AX$86,MATCH($A921,'EE Measures'!$D$8:$D$86,0))</f>
        <v>-0.19988999999999998</v>
      </c>
      <c r="AJ921" s="114">
        <f>AI921-INDEX('EE Measures'!AY$8:AY$86,MATCH($A921,'EE Measures'!$D$8:$D$86,0))</f>
        <v>-0.19988999999999998</v>
      </c>
      <c r="AK921" s="114">
        <f>AJ921-INDEX('EE Measures'!AZ$8:AZ$86,MATCH($A921,'EE Measures'!$D$8:$D$86,0))</f>
        <v>-0.19988999999999998</v>
      </c>
      <c r="AL921" s="114">
        <f>AK921-INDEX('EE Measures'!BA$8:BA$86,MATCH($A921,'EE Measures'!$D$8:$D$86,0))</f>
        <v>-0.19988999999999998</v>
      </c>
      <c r="AM921" s="183"/>
      <c r="AN921" s="183"/>
      <c r="AO921" s="183"/>
      <c r="AP921" s="183"/>
      <c r="AQ921" s="183"/>
      <c r="AR921" s="183"/>
      <c r="AS921" s="183"/>
      <c r="AT921" s="183"/>
      <c r="AU921" s="183"/>
      <c r="AV921" s="183"/>
      <c r="AW921" s="183"/>
      <c r="AX921" s="183"/>
      <c r="AY921" s="183"/>
      <c r="AZ921" s="183"/>
      <c r="BA921" s="183"/>
      <c r="BB921" s="183"/>
      <c r="BC921" s="183"/>
      <c r="BD921" s="183"/>
      <c r="BE921" s="183"/>
      <c r="BF921" s="183"/>
    </row>
    <row r="922" spans="1:58" x14ac:dyDescent="0.3">
      <c r="A922" s="183" t="str">
        <f>'EE Measures'!D15</f>
        <v>eS4</v>
      </c>
      <c r="B922" s="183" t="s">
        <v>890</v>
      </c>
      <c r="C922" s="183" t="s">
        <v>899</v>
      </c>
      <c r="D922" s="183" t="s">
        <v>900</v>
      </c>
      <c r="E922" s="511">
        <f>INDEX('EE Measures'!IF:IF,MATCH($A922,'EE Measures'!$D:$D,0))</f>
        <v>1</v>
      </c>
      <c r="F922" s="511">
        <f>INDEX('EE Measures'!IG:IG,MATCH($A922,'EE Measures'!$D:$D,0))</f>
        <v>1</v>
      </c>
      <c r="G922" s="511">
        <f>INDEX('EE Measures'!IH:IH,MATCH($A922,'EE Measures'!$D:$D,0))</f>
        <v>1</v>
      </c>
      <c r="H922" s="511">
        <f>INDEX('EE Measures'!II:II,MATCH($A922,'EE Measures'!$D:$D,0))</f>
        <v>1</v>
      </c>
      <c r="I922" s="511">
        <f>INDEX('EE Measures'!IJ:IJ,MATCH($A922,'EE Measures'!$D:$D,0))</f>
        <v>1</v>
      </c>
      <c r="J922" s="511">
        <f>INDEX('EE Measures'!IK:IK,MATCH($A922,'EE Measures'!$D:$D,0))</f>
        <v>1</v>
      </c>
      <c r="K922" s="511">
        <f>INDEX('EE Measures'!IL:IL,MATCH($A922,'EE Measures'!$D:$D,0))</f>
        <v>1</v>
      </c>
      <c r="L922" s="250"/>
      <c r="M922" s="80" t="str">
        <f>INDEX('EE Measures'!$E$8:$E$40,MATCH(A922,'EE Measures'!$D$8:$D$40,0))</f>
        <v>Renovation of school buildings (2018-on-going)</v>
      </c>
      <c r="N922" s="329" t="s">
        <v>77</v>
      </c>
      <c r="O922" s="261"/>
      <c r="P922" s="261"/>
      <c r="Q922" s="261"/>
      <c r="R922" s="261"/>
      <c r="S922" s="261"/>
      <c r="T922" s="261"/>
      <c r="U922" s="261"/>
      <c r="V922" s="261"/>
      <c r="W922" s="261"/>
      <c r="X922" s="261"/>
      <c r="Y922" s="394"/>
      <c r="Z922" s="183"/>
      <c r="AA922" s="183"/>
      <c r="AB922" s="262"/>
      <c r="AC922" s="146">
        <f>-INDEX('EE Measures'!AR$8:AR$86,MATCH($A922,'EE Measures'!$D$8:$D$86,0))</f>
        <v>-0.23905999999999999</v>
      </c>
      <c r="AD922" s="146">
        <f>-INDEX('EE Measures'!AS$8:AS$86,MATCH($A922,'EE Measures'!$D$8:$D$86,0))</f>
        <v>-0.5722974999999999</v>
      </c>
      <c r="AE922" s="114">
        <f>AD922-INDEX('EE Measures'!AT$8:AT$86,MATCH($A922,'EE Measures'!$D$8:$D$86,0))</f>
        <v>-0.9442149999999998</v>
      </c>
      <c r="AF922" s="114">
        <f>AE922-INDEX('EE Measures'!AU$8:AU$86,MATCH($A922,'EE Measures'!$D$8:$D$86,0))</f>
        <v>-0.98289499999999985</v>
      </c>
      <c r="AG922" s="114">
        <f>AF922-INDEX('EE Measures'!AV$8:AV$86,MATCH($A922,'EE Measures'!$D$8:$D$86,0))</f>
        <v>-0.98289499999999985</v>
      </c>
      <c r="AH922" s="114">
        <f>AG922-INDEX('EE Measures'!AW$8:AW$86,MATCH($A922,'EE Measures'!$D$8:$D$86,0))</f>
        <v>-0.98289499999999985</v>
      </c>
      <c r="AI922" s="114">
        <f>AH922-INDEX('EE Measures'!AX$8:AX$86,MATCH($A922,'EE Measures'!$D$8:$D$86,0))</f>
        <v>-0.98289499999999985</v>
      </c>
      <c r="AJ922" s="114">
        <f>AI922-INDEX('EE Measures'!AY$8:AY$86,MATCH($A922,'EE Measures'!$D$8:$D$86,0))</f>
        <v>-0.98289499999999985</v>
      </c>
      <c r="AK922" s="114">
        <f>AJ922-INDEX('EE Measures'!AZ$8:AZ$86,MATCH($A922,'EE Measures'!$D$8:$D$86,0))</f>
        <v>-0.98289499999999985</v>
      </c>
      <c r="AL922" s="114">
        <f>AK922-INDEX('EE Measures'!BA$8:BA$86,MATCH($A922,'EE Measures'!$D$8:$D$86,0))</f>
        <v>-0.98289499999999985</v>
      </c>
      <c r="AM922" s="183"/>
      <c r="AN922" s="183"/>
      <c r="AO922" s="183"/>
      <c r="AP922" s="183"/>
      <c r="AQ922" s="183"/>
      <c r="AR922" s="183"/>
      <c r="AS922" s="183"/>
      <c r="AT922" s="183"/>
      <c r="AU922" s="183"/>
      <c r="AV922" s="183"/>
      <c r="AW922" s="183"/>
      <c r="AX922" s="183"/>
      <c r="AY922" s="183"/>
      <c r="AZ922" s="183"/>
      <c r="BA922" s="183"/>
      <c r="BB922" s="183"/>
      <c r="BC922" s="183"/>
      <c r="BD922" s="183"/>
      <c r="BE922" s="183"/>
      <c r="BF922" s="183"/>
    </row>
    <row r="923" spans="1:58" x14ac:dyDescent="0.3">
      <c r="A923" s="183" t="str">
        <f>'EE Measures'!D16</f>
        <v>eS5</v>
      </c>
      <c r="B923" s="183" t="s">
        <v>890</v>
      </c>
      <c r="C923" s="183" t="s">
        <v>899</v>
      </c>
      <c r="D923" s="183" t="s">
        <v>900</v>
      </c>
      <c r="E923" s="511">
        <f>INDEX('EE Measures'!IF:IF,MATCH($A923,'EE Measures'!$D:$D,0))</f>
        <v>1</v>
      </c>
      <c r="F923" s="511">
        <f>INDEX('EE Measures'!IG:IG,MATCH($A923,'EE Measures'!$D:$D,0))</f>
        <v>1</v>
      </c>
      <c r="G923" s="511">
        <f>INDEX('EE Measures'!IH:IH,MATCH($A923,'EE Measures'!$D:$D,0))</f>
        <v>1</v>
      </c>
      <c r="H923" s="511">
        <f>INDEX('EE Measures'!II:II,MATCH($A923,'EE Measures'!$D:$D,0))</f>
        <v>1</v>
      </c>
      <c r="I923" s="511">
        <f>INDEX('EE Measures'!IJ:IJ,MATCH($A923,'EE Measures'!$D:$D,0))</f>
        <v>1</v>
      </c>
      <c r="J923" s="511">
        <f>INDEX('EE Measures'!IK:IK,MATCH($A923,'EE Measures'!$D:$D,0))</f>
        <v>1</v>
      </c>
      <c r="K923" s="511">
        <f>INDEX('EE Measures'!IL:IL,MATCH($A923,'EE Measures'!$D:$D,0))</f>
        <v>1</v>
      </c>
      <c r="L923" s="250"/>
      <c r="M923" s="80" t="str">
        <f>INDEX('EE Measures'!$E$8:$E$40,MATCH(A923,'EE Measures'!$D$8:$D$40,0))</f>
        <v>Renovation of university and R&amp;D institutions (2016-on-going)</v>
      </c>
      <c r="N923" s="329" t="s">
        <v>77</v>
      </c>
      <c r="O923" s="261"/>
      <c r="P923" s="261"/>
      <c r="Q923" s="261"/>
      <c r="R923" s="261"/>
      <c r="S923" s="261"/>
      <c r="T923" s="261"/>
      <c r="U923" s="261"/>
      <c r="V923" s="261"/>
      <c r="W923" s="261"/>
      <c r="X923" s="261"/>
      <c r="Y923" s="394"/>
      <c r="Z923" s="183"/>
      <c r="AA923" s="183"/>
      <c r="AB923" s="262"/>
      <c r="AC923" s="146">
        <f>-INDEX('EE Measures'!AR$8:AR$86,MATCH($A923,'EE Measures'!$D$8:$D$86,0))</f>
        <v>0</v>
      </c>
      <c r="AD923" s="146">
        <f>-INDEX('EE Measures'!AS$8:AS$86,MATCH($A923,'EE Measures'!$D$8:$D$86,0))</f>
        <v>0</v>
      </c>
      <c r="AE923" s="114">
        <f>AD923-INDEX('EE Measures'!AT$8:AT$86,MATCH($A923,'EE Measures'!$D$8:$D$86,0))</f>
        <v>0</v>
      </c>
      <c r="AF923" s="114">
        <f>AE923-INDEX('EE Measures'!AU$8:AU$86,MATCH($A923,'EE Measures'!$D$8:$D$86,0))</f>
        <v>0</v>
      </c>
      <c r="AG923" s="114">
        <f>AF923-INDEX('EE Measures'!AV$8:AV$86,MATCH($A923,'EE Measures'!$D$8:$D$86,0))</f>
        <v>0</v>
      </c>
      <c r="AH923" s="114">
        <f>AG923-INDEX('EE Measures'!AW$8:AW$86,MATCH($A923,'EE Measures'!$D$8:$D$86,0))</f>
        <v>0</v>
      </c>
      <c r="AI923" s="114">
        <f>AH923-INDEX('EE Measures'!AX$8:AX$86,MATCH($A923,'EE Measures'!$D$8:$D$86,0))</f>
        <v>0</v>
      </c>
      <c r="AJ923" s="114">
        <f>AI923-INDEX('EE Measures'!AY$8:AY$86,MATCH($A923,'EE Measures'!$D$8:$D$86,0))</f>
        <v>0</v>
      </c>
      <c r="AK923" s="114">
        <f>AJ923-INDEX('EE Measures'!AZ$8:AZ$86,MATCH($A923,'EE Measures'!$D$8:$D$86,0))</f>
        <v>0</v>
      </c>
      <c r="AL923" s="114">
        <f>AK923-INDEX('EE Measures'!BA$8:BA$86,MATCH($A923,'EE Measures'!$D$8:$D$86,0))</f>
        <v>0</v>
      </c>
      <c r="AM923" s="183"/>
      <c r="AN923" s="183"/>
      <c r="AO923" s="183"/>
      <c r="AP923" s="183"/>
      <c r="AQ923" s="183"/>
      <c r="AR923" s="183"/>
      <c r="AS923" s="183"/>
      <c r="AT923" s="183"/>
      <c r="AU923" s="183"/>
      <c r="AV923" s="183"/>
      <c r="AW923" s="183"/>
      <c r="AX923" s="183"/>
      <c r="AY923" s="183"/>
      <c r="AZ923" s="183"/>
      <c r="BA923" s="183"/>
      <c r="BB923" s="183"/>
      <c r="BC923" s="183"/>
      <c r="BD923" s="183"/>
      <c r="BE923" s="183"/>
      <c r="BF923" s="183"/>
    </row>
    <row r="924" spans="1:58" x14ac:dyDescent="0.3">
      <c r="A924" s="183" t="str">
        <f>'EE Measures'!D17</f>
        <v>eS6</v>
      </c>
      <c r="B924" s="183" t="s">
        <v>890</v>
      </c>
      <c r="C924" s="183" t="s">
        <v>899</v>
      </c>
      <c r="D924" s="183" t="s">
        <v>900</v>
      </c>
      <c r="E924" s="511">
        <f>INDEX('EE Measures'!IF:IF,MATCH($A924,'EE Measures'!$D:$D,0))</f>
        <v>1</v>
      </c>
      <c r="F924" s="511">
        <f>INDEX('EE Measures'!IG:IG,MATCH($A924,'EE Measures'!$D:$D,0))</f>
        <v>1</v>
      </c>
      <c r="G924" s="511">
        <f>INDEX('EE Measures'!IH:IH,MATCH($A924,'EE Measures'!$D:$D,0))</f>
        <v>1</v>
      </c>
      <c r="H924" s="511">
        <f>INDEX('EE Measures'!II:II,MATCH($A924,'EE Measures'!$D:$D,0))</f>
        <v>1</v>
      </c>
      <c r="I924" s="511">
        <f>INDEX('EE Measures'!IJ:IJ,MATCH($A924,'EE Measures'!$D:$D,0))</f>
        <v>1</v>
      </c>
      <c r="J924" s="511">
        <f>INDEX('EE Measures'!IK:IK,MATCH($A924,'EE Measures'!$D:$D,0))</f>
        <v>1</v>
      </c>
      <c r="K924" s="511">
        <f>INDEX('EE Measures'!IL:IL,MATCH($A924,'EE Measures'!$D:$D,0))</f>
        <v>1</v>
      </c>
      <c r="L924" s="250"/>
      <c r="M924" s="80" t="str">
        <f>INDEX('EE Measures'!$E$8:$E$40,MATCH(A924,'EE Measures'!$D$8:$D$40,0))</f>
        <v>Renovation of kindergarten (2017-on-going)</v>
      </c>
      <c r="N924" s="329" t="s">
        <v>77</v>
      </c>
      <c r="O924" s="261"/>
      <c r="P924" s="261"/>
      <c r="Q924" s="261"/>
      <c r="R924" s="261"/>
      <c r="S924" s="261"/>
      <c r="T924" s="261"/>
      <c r="U924" s="261"/>
      <c r="V924" s="261"/>
      <c r="W924" s="261"/>
      <c r="X924" s="261"/>
      <c r="Y924" s="394"/>
      <c r="Z924" s="183"/>
      <c r="AA924" s="183"/>
      <c r="AB924" s="262"/>
      <c r="AC924" s="146">
        <f>-INDEX('EE Measures'!AR$8:AR$86,MATCH($A924,'EE Measures'!$D$8:$D$86,0))</f>
        <v>0</v>
      </c>
      <c r="AD924" s="146">
        <f>-INDEX('EE Measures'!AS$8:AS$86,MATCH($A924,'EE Measures'!$D$8:$D$86,0))</f>
        <v>0</v>
      </c>
      <c r="AE924" s="114">
        <f>AD924-INDEX('EE Measures'!AT$8:AT$86,MATCH($A924,'EE Measures'!$D$8:$D$86,0))</f>
        <v>0</v>
      </c>
      <c r="AF924" s="114">
        <f>AE924-INDEX('EE Measures'!AU$8:AU$86,MATCH($A924,'EE Measures'!$D$8:$D$86,0))</f>
        <v>0</v>
      </c>
      <c r="AG924" s="114">
        <f>AF924-INDEX('EE Measures'!AV$8:AV$86,MATCH($A924,'EE Measures'!$D$8:$D$86,0))</f>
        <v>0</v>
      </c>
      <c r="AH924" s="114">
        <f>AG924-INDEX('EE Measures'!AW$8:AW$86,MATCH($A924,'EE Measures'!$D$8:$D$86,0))</f>
        <v>0</v>
      </c>
      <c r="AI924" s="114">
        <f>AH924-INDEX('EE Measures'!AX$8:AX$86,MATCH($A924,'EE Measures'!$D$8:$D$86,0))</f>
        <v>0</v>
      </c>
      <c r="AJ924" s="114">
        <f>AI924-INDEX('EE Measures'!AY$8:AY$86,MATCH($A924,'EE Measures'!$D$8:$D$86,0))</f>
        <v>0</v>
      </c>
      <c r="AK924" s="114">
        <f>AJ924-INDEX('EE Measures'!AZ$8:AZ$86,MATCH($A924,'EE Measures'!$D$8:$D$86,0))</f>
        <v>0</v>
      </c>
      <c r="AL924" s="114">
        <f>AK924-INDEX('EE Measures'!BA$8:BA$86,MATCH($A924,'EE Measures'!$D$8:$D$86,0))</f>
        <v>0</v>
      </c>
      <c r="AM924" s="183"/>
      <c r="AN924" s="183"/>
      <c r="AO924" s="183"/>
      <c r="AP924" s="183"/>
      <c r="AQ924" s="183"/>
      <c r="AR924" s="183"/>
      <c r="AS924" s="183"/>
      <c r="AT924" s="183"/>
      <c r="AU924" s="183"/>
      <c r="AV924" s="183"/>
      <c r="AW924" s="183"/>
      <c r="AX924" s="183"/>
      <c r="AY924" s="183"/>
      <c r="AZ924" s="183"/>
      <c r="BA924" s="183"/>
      <c r="BB924" s="183"/>
      <c r="BC924" s="183"/>
      <c r="BD924" s="183"/>
      <c r="BE924" s="183"/>
      <c r="BF924" s="183"/>
    </row>
    <row r="925" spans="1:58" x14ac:dyDescent="0.3">
      <c r="A925" s="183" t="str">
        <f>'EE Measures'!D18</f>
        <v>eS7</v>
      </c>
      <c r="B925" s="183" t="s">
        <v>890</v>
      </c>
      <c r="C925" s="183" t="s">
        <v>899</v>
      </c>
      <c r="D925" s="183" t="s">
        <v>900</v>
      </c>
      <c r="E925" s="511">
        <f>INDEX('EE Measures'!IF:IF,MATCH($A925,'EE Measures'!$D:$D,0))</f>
        <v>1</v>
      </c>
      <c r="F925" s="511">
        <f>INDEX('EE Measures'!IG:IG,MATCH($A925,'EE Measures'!$D:$D,0))</f>
        <v>1</v>
      </c>
      <c r="G925" s="511">
        <f>INDEX('EE Measures'!IH:IH,MATCH($A925,'EE Measures'!$D:$D,0))</f>
        <v>1</v>
      </c>
      <c r="H925" s="511">
        <f>INDEX('EE Measures'!II:II,MATCH($A925,'EE Measures'!$D:$D,0))</f>
        <v>1</v>
      </c>
      <c r="I925" s="511">
        <f>INDEX('EE Measures'!IJ:IJ,MATCH($A925,'EE Measures'!$D:$D,0))</f>
        <v>1</v>
      </c>
      <c r="J925" s="511">
        <f>INDEX('EE Measures'!IK:IK,MATCH($A925,'EE Measures'!$D:$D,0))</f>
        <v>1</v>
      </c>
      <c r="K925" s="511">
        <f>INDEX('EE Measures'!IL:IL,MATCH($A925,'EE Measures'!$D:$D,0))</f>
        <v>1</v>
      </c>
      <c r="L925" s="250"/>
      <c r="M925" s="80" t="str">
        <f>INDEX('EE Measures'!$E$8:$E$40,MATCH(A925,'EE Measures'!$D$8:$D$40,0))</f>
        <v>New childcare and pre-primary education infrastructure (2016-on-going)</v>
      </c>
      <c r="N925" s="329" t="s">
        <v>77</v>
      </c>
      <c r="O925" s="261"/>
      <c r="P925" s="261"/>
      <c r="Q925" s="261"/>
      <c r="R925" s="261"/>
      <c r="S925" s="261"/>
      <c r="T925" s="261"/>
      <c r="U925" s="261"/>
      <c r="V925" s="261"/>
      <c r="W925" s="261"/>
      <c r="X925" s="261"/>
      <c r="Y925" s="394"/>
      <c r="Z925" s="183"/>
      <c r="AA925" s="183"/>
      <c r="AB925" s="262"/>
      <c r="AC925" s="146">
        <f>-INDEX('EE Measures'!AR$8:AR$86,MATCH($A925,'EE Measures'!$D$8:$D$86,0))</f>
        <v>0</v>
      </c>
      <c r="AD925" s="146">
        <f>-INDEX('EE Measures'!AS$8:AS$86,MATCH($A925,'EE Measures'!$D$8:$D$86,0))</f>
        <v>0</v>
      </c>
      <c r="AE925" s="114">
        <f>AD925-INDEX('EE Measures'!AT$8:AT$86,MATCH($A925,'EE Measures'!$D$8:$D$86,0))</f>
        <v>0</v>
      </c>
      <c r="AF925" s="114">
        <f>AE925-INDEX('EE Measures'!AU$8:AU$86,MATCH($A925,'EE Measures'!$D$8:$D$86,0))</f>
        <v>0</v>
      </c>
      <c r="AG925" s="114">
        <f>AF925-INDEX('EE Measures'!AV$8:AV$86,MATCH($A925,'EE Measures'!$D$8:$D$86,0))</f>
        <v>0</v>
      </c>
      <c r="AH925" s="114">
        <f>AG925-INDEX('EE Measures'!AW$8:AW$86,MATCH($A925,'EE Measures'!$D$8:$D$86,0))</f>
        <v>0</v>
      </c>
      <c r="AI925" s="114">
        <f>AH925-INDEX('EE Measures'!AX$8:AX$86,MATCH($A925,'EE Measures'!$D$8:$D$86,0))</f>
        <v>0</v>
      </c>
      <c r="AJ925" s="114">
        <f>AI925-INDEX('EE Measures'!AY$8:AY$86,MATCH($A925,'EE Measures'!$D$8:$D$86,0))</f>
        <v>0</v>
      </c>
      <c r="AK925" s="114">
        <f>AJ925-INDEX('EE Measures'!AZ$8:AZ$86,MATCH($A925,'EE Measures'!$D$8:$D$86,0))</f>
        <v>0</v>
      </c>
      <c r="AL925" s="114">
        <f>AK925-INDEX('EE Measures'!BA$8:BA$86,MATCH($A925,'EE Measures'!$D$8:$D$86,0))</f>
        <v>0</v>
      </c>
      <c r="AM925" s="183"/>
      <c r="AN925" s="183"/>
      <c r="AO925" s="183"/>
      <c r="AP925" s="183"/>
      <c r="AQ925" s="183"/>
      <c r="AR925" s="183"/>
      <c r="AS925" s="183"/>
      <c r="AT925" s="183"/>
      <c r="AU925" s="183"/>
      <c r="AV925" s="183"/>
      <c r="AW925" s="183"/>
      <c r="AX925" s="183"/>
      <c r="AY925" s="183"/>
      <c r="AZ925" s="183"/>
      <c r="BA925" s="183"/>
      <c r="BB925" s="183"/>
      <c r="BC925" s="183"/>
      <c r="BD925" s="183"/>
      <c r="BE925" s="183"/>
      <c r="BF925" s="183"/>
    </row>
    <row r="926" spans="1:58" x14ac:dyDescent="0.3">
      <c r="A926" s="183"/>
      <c r="B926" s="183"/>
      <c r="C926" s="183"/>
      <c r="D926" s="183"/>
      <c r="E926" s="183"/>
      <c r="F926" s="183"/>
      <c r="G926" s="183"/>
      <c r="H926" s="183"/>
      <c r="I926" s="183"/>
      <c r="J926" s="183"/>
      <c r="K926" s="183"/>
      <c r="L926" s="250"/>
      <c r="M926" s="85" t="s">
        <v>1160</v>
      </c>
      <c r="N926" s="329" t="s">
        <v>77</v>
      </c>
      <c r="O926" s="261"/>
      <c r="P926" s="261"/>
      <c r="Q926" s="261"/>
      <c r="R926" s="261"/>
      <c r="S926" s="261"/>
      <c r="T926" s="261"/>
      <c r="U926" s="261"/>
      <c r="V926" s="261"/>
      <c r="W926" s="261"/>
      <c r="X926" s="261"/>
      <c r="Y926" s="394"/>
      <c r="Z926" s="183"/>
      <c r="AA926" s="183"/>
      <c r="AB926" s="262"/>
      <c r="AC926" s="425">
        <f t="shared" ref="AC926" si="1150">AC916+SUM(AC919:AC925)</f>
        <v>5376.8275011999995</v>
      </c>
      <c r="AD926" s="425">
        <f t="shared" ref="AD926:AL926" si="1151">AD916+SUM(AD919:AD925)</f>
        <v>5412.3140444032624</v>
      </c>
      <c r="AE926" s="425">
        <f t="shared" si="1151"/>
        <v>5444.9269024362275</v>
      </c>
      <c r="AF926" s="425">
        <f t="shared" si="1151"/>
        <v>5478.9238252765417</v>
      </c>
      <c r="AG926" s="425">
        <f t="shared" si="1151"/>
        <v>5514.0116620341087</v>
      </c>
      <c r="AH926" s="425">
        <f t="shared" si="1151"/>
        <v>5550.1019328143166</v>
      </c>
      <c r="AI926" s="425">
        <f t="shared" si="1151"/>
        <v>5587.6097514250678</v>
      </c>
      <c r="AJ926" s="425">
        <f t="shared" si="1151"/>
        <v>5626.0990191430601</v>
      </c>
      <c r="AK926" s="425">
        <f t="shared" si="1151"/>
        <v>5665.5846643324312</v>
      </c>
      <c r="AL926" s="425">
        <f t="shared" si="1151"/>
        <v>5706.0819163403785</v>
      </c>
      <c r="AM926" s="183"/>
      <c r="AN926" s="183"/>
      <c r="AO926" s="183"/>
      <c r="AP926" s="183"/>
      <c r="AQ926" s="183"/>
      <c r="AR926" s="183"/>
      <c r="AS926" s="183"/>
      <c r="AT926" s="183"/>
      <c r="AU926" s="183"/>
      <c r="AV926" s="183"/>
      <c r="AW926" s="183"/>
      <c r="AX926" s="183"/>
      <c r="AY926" s="183"/>
      <c r="AZ926" s="183"/>
      <c r="BA926" s="183"/>
      <c r="BB926" s="183"/>
      <c r="BC926" s="183"/>
      <c r="BD926" s="183"/>
      <c r="BE926" s="183"/>
      <c r="BF926" s="183"/>
    </row>
    <row r="927" spans="1:58" ht="14.25" thickBot="1" x14ac:dyDescent="0.35">
      <c r="A927" s="183"/>
      <c r="B927" s="183"/>
      <c r="C927" s="183"/>
      <c r="D927" s="183"/>
      <c r="E927" s="183"/>
      <c r="F927" s="183"/>
      <c r="G927" s="183"/>
      <c r="H927" s="183"/>
      <c r="I927" s="183"/>
      <c r="J927" s="183"/>
      <c r="K927" s="183"/>
      <c r="L927" s="250"/>
      <c r="M927" s="72" t="s">
        <v>915</v>
      </c>
      <c r="N927" s="267" t="s">
        <v>68</v>
      </c>
      <c r="O927" s="261"/>
      <c r="P927" s="261"/>
      <c r="Q927" s="261"/>
      <c r="R927" s="261"/>
      <c r="S927" s="261"/>
      <c r="T927" s="261"/>
      <c r="U927" s="261"/>
      <c r="V927" s="261"/>
      <c r="W927" s="261"/>
      <c r="X927" s="261"/>
      <c r="Y927" s="394"/>
      <c r="Z927" s="183"/>
      <c r="AA927" s="183"/>
      <c r="AB927" s="262"/>
      <c r="AC927" s="428">
        <f>(AC$916-AC926)/AC$916</f>
        <v>1.5316774098458738E-3</v>
      </c>
      <c r="AD927" s="428">
        <f>(AD$916-AD926)/AD$916</f>
        <v>9.097407867593156E-4</v>
      </c>
      <c r="AE927" s="428">
        <f>((AE$916-AE926)-(AD$916-AD926))/AE$916</f>
        <v>9.4205646170997674E-5</v>
      </c>
      <c r="AF927" s="428">
        <f t="shared" ref="AF927:AL927" si="1152">((AF$916-AF926)-(AE$916-AE926))/AF$916</f>
        <v>1.8785411606154377E-5</v>
      </c>
      <c r="AG927" s="428">
        <f t="shared" si="1152"/>
        <v>0</v>
      </c>
      <c r="AH927" s="428">
        <f t="shared" si="1152"/>
        <v>0</v>
      </c>
      <c r="AI927" s="428">
        <f t="shared" si="1152"/>
        <v>0</v>
      </c>
      <c r="AJ927" s="428">
        <f t="shared" si="1152"/>
        <v>0</v>
      </c>
      <c r="AK927" s="428">
        <f t="shared" si="1152"/>
        <v>0</v>
      </c>
      <c r="AL927" s="429">
        <f t="shared" si="1152"/>
        <v>0</v>
      </c>
      <c r="AM927" s="183"/>
      <c r="AN927" s="183"/>
      <c r="AO927" s="183"/>
      <c r="AP927" s="183"/>
      <c r="AQ927" s="183"/>
      <c r="AR927" s="183"/>
      <c r="AS927" s="183"/>
      <c r="AT927" s="183"/>
      <c r="AU927" s="183"/>
      <c r="AV927" s="183"/>
      <c r="AW927" s="183"/>
      <c r="AX927" s="183"/>
      <c r="AY927" s="183"/>
      <c r="AZ927" s="183"/>
      <c r="BA927" s="183"/>
      <c r="BB927" s="183"/>
      <c r="BC927" s="183"/>
      <c r="BD927" s="183"/>
      <c r="BE927" s="183"/>
      <c r="BF927" s="183"/>
    </row>
    <row r="928" spans="1:58" ht="14.25" thickBot="1" x14ac:dyDescent="0.35">
      <c r="A928" s="183"/>
      <c r="B928" s="183"/>
      <c r="C928" s="183"/>
      <c r="D928" s="183"/>
      <c r="E928" s="183"/>
      <c r="F928" s="183"/>
      <c r="G928" s="183"/>
      <c r="H928" s="183"/>
      <c r="I928" s="183"/>
      <c r="J928" s="183"/>
      <c r="K928" s="183"/>
      <c r="L928" s="250"/>
      <c r="M928" s="72" t="s">
        <v>916</v>
      </c>
      <c r="N928" s="267" t="s">
        <v>68</v>
      </c>
      <c r="O928" s="261"/>
      <c r="P928" s="261"/>
      <c r="Q928" s="261"/>
      <c r="R928" s="261"/>
      <c r="S928" s="261"/>
      <c r="T928" s="261"/>
      <c r="U928" s="261"/>
      <c r="V928" s="261"/>
      <c r="W928" s="261"/>
      <c r="X928" s="261"/>
      <c r="Y928" s="394"/>
      <c r="Z928" s="183"/>
      <c r="AA928" s="183"/>
      <c r="AB928" s="262"/>
      <c r="AC928" s="430"/>
      <c r="AD928" s="430"/>
      <c r="AE928" s="430"/>
      <c r="AF928" s="430"/>
      <c r="AG928" s="430"/>
      <c r="AH928" s="430"/>
      <c r="AI928" s="430"/>
      <c r="AJ928" s="430"/>
      <c r="AK928" s="430"/>
      <c r="AL928" s="431">
        <f>((AL$916-AL926)/AL$916)/9</f>
        <v>1.0786516122075746E-4</v>
      </c>
      <c r="AM928" s="183"/>
      <c r="AN928" s="183"/>
      <c r="AO928" s="183"/>
      <c r="AP928" s="183"/>
      <c r="AQ928" s="183"/>
      <c r="AR928" s="183"/>
      <c r="AS928" s="183"/>
      <c r="AT928" s="183"/>
      <c r="AU928" s="183"/>
      <c r="AV928" s="183"/>
      <c r="AW928" s="183"/>
      <c r="AX928" s="183"/>
      <c r="AY928" s="183"/>
      <c r="AZ928" s="183"/>
      <c r="BA928" s="183"/>
      <c r="BB928" s="183"/>
      <c r="BC928" s="183"/>
      <c r="BD928" s="183"/>
      <c r="BE928" s="183"/>
      <c r="BF928" s="183"/>
    </row>
    <row r="929" spans="1:58" x14ac:dyDescent="0.3">
      <c r="A929" s="183"/>
      <c r="B929" s="183"/>
      <c r="C929" s="183"/>
      <c r="D929" s="183"/>
      <c r="E929" s="183"/>
      <c r="F929" s="183"/>
      <c r="G929" s="183"/>
      <c r="H929" s="183"/>
      <c r="I929" s="183"/>
      <c r="J929" s="183"/>
      <c r="K929" s="183"/>
      <c r="L929" s="250"/>
      <c r="M929" s="186"/>
      <c r="N929" s="186"/>
      <c r="O929" s="261"/>
      <c r="P929" s="261"/>
      <c r="Q929" s="261"/>
      <c r="R929" s="261"/>
      <c r="S929" s="261"/>
      <c r="T929" s="261"/>
      <c r="U929" s="261"/>
      <c r="V929" s="261"/>
      <c r="W929" s="261"/>
      <c r="X929" s="261"/>
      <c r="Y929" s="394"/>
      <c r="Z929" s="81"/>
      <c r="AA929" s="81"/>
      <c r="AB929" s="262"/>
      <c r="AC929" s="262"/>
      <c r="AD929" s="81"/>
      <c r="AE929" s="81"/>
      <c r="AF929" s="81"/>
      <c r="AG929" s="81"/>
      <c r="AH929" s="81"/>
      <c r="AI929" s="81"/>
      <c r="AJ929" s="81"/>
      <c r="AK929" s="81"/>
      <c r="AL929" s="91"/>
      <c r="AM929" s="183"/>
      <c r="AN929" s="183"/>
      <c r="AO929" s="183"/>
      <c r="AP929" s="183"/>
      <c r="AQ929" s="183"/>
      <c r="AR929" s="183"/>
      <c r="AS929" s="183"/>
      <c r="AT929" s="183"/>
      <c r="AU929" s="183"/>
      <c r="AV929" s="183"/>
      <c r="AW929" s="183"/>
      <c r="AX929" s="183"/>
      <c r="AY929" s="183"/>
      <c r="AZ929" s="183"/>
      <c r="BA929" s="183"/>
      <c r="BB929" s="183"/>
      <c r="BC929" s="183"/>
      <c r="BD929" s="183"/>
      <c r="BE929" s="183"/>
      <c r="BF929" s="183"/>
    </row>
    <row r="930" spans="1:58" x14ac:dyDescent="0.3">
      <c r="A930" s="183"/>
      <c r="B930" s="183"/>
      <c r="C930" s="183"/>
      <c r="D930" s="183"/>
      <c r="E930" s="183"/>
      <c r="F930" s="183"/>
      <c r="G930" s="183"/>
      <c r="H930" s="183"/>
      <c r="I930" s="183"/>
      <c r="J930" s="183"/>
      <c r="K930" s="183"/>
      <c r="L930" s="250"/>
      <c r="M930" s="253" t="s">
        <v>1131</v>
      </c>
      <c r="N930" s="260"/>
      <c r="O930" s="258"/>
      <c r="P930" s="258"/>
      <c r="Q930" s="258"/>
      <c r="R930" s="258"/>
      <c r="S930" s="258"/>
      <c r="T930" s="258"/>
      <c r="U930" s="258"/>
      <c r="V930" s="258"/>
      <c r="W930" s="258"/>
      <c r="X930" s="258"/>
      <c r="Y930" s="394"/>
      <c r="Z930" s="255"/>
      <c r="AA930" s="255"/>
      <c r="AB930" s="259"/>
      <c r="AC930" s="259"/>
      <c r="AD930" s="255"/>
      <c r="AE930" s="255"/>
      <c r="AF930" s="255"/>
      <c r="AG930" s="255"/>
      <c r="AH930" s="255"/>
      <c r="AI930" s="255"/>
      <c r="AJ930" s="255"/>
      <c r="AK930" s="255"/>
      <c r="AL930" s="256"/>
      <c r="AM930" s="254"/>
      <c r="AN930" s="254"/>
      <c r="AO930" s="254"/>
      <c r="AP930" s="254"/>
      <c r="AQ930" s="254"/>
      <c r="AR930" s="254"/>
      <c r="AS930" s="254"/>
      <c r="AT930" s="254"/>
      <c r="AU930" s="254"/>
      <c r="AV930" s="254"/>
      <c r="AW930" s="254"/>
      <c r="AX930" s="254"/>
      <c r="AY930" s="254"/>
      <c r="AZ930" s="254"/>
      <c r="BA930" s="254"/>
      <c r="BB930" s="254"/>
      <c r="BC930" s="254"/>
      <c r="BD930" s="254"/>
      <c r="BE930" s="254"/>
      <c r="BF930" s="254"/>
    </row>
    <row r="931" spans="1:58" x14ac:dyDescent="0.3">
      <c r="A931" s="183" t="str">
        <f>'EE Measures'!D50</f>
        <v>nS1</v>
      </c>
      <c r="B931" s="183" t="s">
        <v>890</v>
      </c>
      <c r="C931" s="183" t="s">
        <v>917</v>
      </c>
      <c r="D931" s="183" t="s">
        <v>900</v>
      </c>
      <c r="E931" s="511">
        <f>INDEX('EE Measures'!IF:IF,MATCH($A931,'EE Measures'!$D:$D,0))</f>
        <v>0</v>
      </c>
      <c r="F931" s="511">
        <f>INDEX('EE Measures'!IG:IG,MATCH($A931,'EE Measures'!$D:$D,0))</f>
        <v>1</v>
      </c>
      <c r="G931" s="511">
        <f>INDEX('EE Measures'!IH:IH,MATCH($A931,'EE Measures'!$D:$D,0))</f>
        <v>0</v>
      </c>
      <c r="H931" s="511">
        <f>INDEX('EE Measures'!II:II,MATCH($A931,'EE Measures'!$D:$D,0))</f>
        <v>0</v>
      </c>
      <c r="I931" s="511">
        <f>INDEX('EE Measures'!IJ:IJ,MATCH($A931,'EE Measures'!$D:$D,0))</f>
        <v>0</v>
      </c>
      <c r="J931" s="511">
        <f>INDEX('EE Measures'!IK:IK,MATCH($A931,'EE Measures'!$D:$D,0))</f>
        <v>0</v>
      </c>
      <c r="K931" s="511">
        <f>INDEX('EE Measures'!IL:IL,MATCH($A931,'EE Measures'!$D:$D,0))</f>
        <v>0.5</v>
      </c>
      <c r="L931" s="250"/>
      <c r="M931" s="179" t="str">
        <f>INDEX('EE Measures'!$E$42:$E$86,MATCH($A931,'EE Measures'!$D$42:$D$86,0))</f>
        <v>Obligation scheme for service sector</v>
      </c>
      <c r="N931" s="329" t="s">
        <v>77</v>
      </c>
      <c r="O931" s="261"/>
      <c r="P931" s="261"/>
      <c r="Q931" s="261"/>
      <c r="R931" s="261"/>
      <c r="S931" s="261"/>
      <c r="T931" s="261"/>
      <c r="U931" s="261"/>
      <c r="V931" s="261"/>
      <c r="W931" s="261"/>
      <c r="X931" s="261"/>
      <c r="Y931" s="394"/>
      <c r="Z931" s="183"/>
      <c r="AA931" s="183"/>
      <c r="AB931" s="262"/>
      <c r="AC931" s="146">
        <f>-INDEX('EE Measures'!AR$8:AR$86,MATCH($A931,'EE Measures'!$D$8:$D$86,0))</f>
        <v>0</v>
      </c>
      <c r="AD931" s="146">
        <f>-INDEX('EE Measures'!AS$8:AS$86,MATCH($A931,'EE Measures'!$D$8:$D$86,0))</f>
        <v>0</v>
      </c>
      <c r="AE931" s="114">
        <f>AD931-INDEX('EE Measures'!AT$8:AT$86,MATCH($A931,'EE Measures'!$D$8:$D$86,0))</f>
        <v>0</v>
      </c>
      <c r="AF931" s="114">
        <f>AE931-INDEX('EE Measures'!AU$8:AU$86,MATCH($A931,'EE Measures'!$D$8:$D$86,0))</f>
        <v>0</v>
      </c>
      <c r="AG931" s="114">
        <f>AF931-INDEX('EE Measures'!AV$8:AV$86,MATCH($A931,'EE Measures'!$D$8:$D$86,0))</f>
        <v>-56</v>
      </c>
      <c r="AH931" s="114">
        <f>AG931-INDEX('EE Measures'!AW$8:AW$86,MATCH($A931,'EE Measures'!$D$8:$D$86,0))</f>
        <v>-112</v>
      </c>
      <c r="AI931" s="114">
        <f>AH931-INDEX('EE Measures'!AX$8:AX$86,MATCH($A931,'EE Measures'!$D$8:$D$86,0))</f>
        <v>-168</v>
      </c>
      <c r="AJ931" s="114">
        <f>AI931-INDEX('EE Measures'!AY$8:AY$86,MATCH($A931,'EE Measures'!$D$8:$D$86,0))</f>
        <v>-224</v>
      </c>
      <c r="AK931" s="114">
        <f>AJ931-INDEX('EE Measures'!AZ$8:AZ$86,MATCH($A931,'EE Measures'!$D$8:$D$86,0))</f>
        <v>-280</v>
      </c>
      <c r="AL931" s="114">
        <f>AK931-INDEX('EE Measures'!BA$8:BA$86,MATCH($A931,'EE Measures'!$D$8:$D$86,0))</f>
        <v>-336</v>
      </c>
      <c r="AM931" s="183"/>
      <c r="AN931" s="183"/>
      <c r="AO931" s="183"/>
      <c r="AP931" s="183"/>
      <c r="AQ931" s="183"/>
      <c r="AR931" s="183"/>
      <c r="AS931" s="183"/>
      <c r="AT931" s="183"/>
      <c r="AU931" s="183"/>
      <c r="AV931" s="183"/>
      <c r="AW931" s="183"/>
      <c r="AX931" s="183"/>
      <c r="AY931" s="183"/>
      <c r="AZ931" s="183"/>
      <c r="BA931" s="183"/>
      <c r="BB931" s="183"/>
      <c r="BC931" s="183"/>
      <c r="BD931" s="183"/>
      <c r="BE931" s="183"/>
      <c r="BF931" s="183"/>
    </row>
    <row r="932" spans="1:58" x14ac:dyDescent="0.3">
      <c r="A932" s="183" t="str">
        <f>'EE Measures'!D51</f>
        <v>nS2</v>
      </c>
      <c r="B932" s="183" t="s">
        <v>890</v>
      </c>
      <c r="C932" s="183" t="s">
        <v>917</v>
      </c>
      <c r="D932" s="183" t="s">
        <v>900</v>
      </c>
      <c r="E932" s="511">
        <f>INDEX('EE Measures'!IF:IF,MATCH($A932,'EE Measures'!$D:$D,0))</f>
        <v>0</v>
      </c>
      <c r="F932" s="511">
        <f>INDEX('EE Measures'!IG:IG,MATCH($A932,'EE Measures'!$D:$D,0))</f>
        <v>1</v>
      </c>
      <c r="G932" s="511">
        <f>INDEX('EE Measures'!IH:IH,MATCH($A932,'EE Measures'!$D:$D,0))</f>
        <v>1</v>
      </c>
      <c r="H932" s="511">
        <f>INDEX('EE Measures'!II:II,MATCH($A932,'EE Measures'!$D:$D,0))</f>
        <v>1</v>
      </c>
      <c r="I932" s="511">
        <f>INDEX('EE Measures'!IJ:IJ,MATCH($A932,'EE Measures'!$D:$D,0))</f>
        <v>1</v>
      </c>
      <c r="J932" s="511">
        <f>INDEX('EE Measures'!IK:IK,MATCH($A932,'EE Measures'!$D:$D,0))</f>
        <v>1</v>
      </c>
      <c r="K932" s="511">
        <f>INDEX('EE Measures'!IL:IL,MATCH($A932,'EE Measures'!$D:$D,0))</f>
        <v>1</v>
      </c>
      <c r="L932" s="250"/>
      <c r="M932" s="179" t="str">
        <f>INDEX('EE Measures'!$E$42:$E$86,MATCH($A932,'EE Measures'!$D$42:$D$86,0))</f>
        <v>Central government buildings renovation support (100% support)</v>
      </c>
      <c r="N932" s="329" t="s">
        <v>77</v>
      </c>
      <c r="O932" s="261"/>
      <c r="P932" s="261"/>
      <c r="Q932" s="261"/>
      <c r="R932" s="261"/>
      <c r="S932" s="261"/>
      <c r="T932" s="261"/>
      <c r="U932" s="261"/>
      <c r="V932" s="261"/>
      <c r="W932" s="261"/>
      <c r="X932" s="261"/>
      <c r="Y932" s="394"/>
      <c r="Z932" s="183"/>
      <c r="AA932" s="183"/>
      <c r="AB932" s="262"/>
      <c r="AC932" s="146">
        <f>-INDEX('EE Measures'!AR$8:AR$86,MATCH($A932,'EE Measures'!$D$8:$D$86,0))</f>
        <v>0</v>
      </c>
      <c r="AD932" s="146">
        <f>-INDEX('EE Measures'!AS$8:AS$86,MATCH($A932,'EE Measures'!$D$8:$D$86,0))</f>
        <v>0</v>
      </c>
      <c r="AE932" s="114">
        <f>AD932-INDEX('EE Measures'!AT$8:AT$86,MATCH($A932,'EE Measures'!$D$8:$D$86,0))</f>
        <v>0</v>
      </c>
      <c r="AF932" s="114">
        <f>AE932-INDEX('EE Measures'!AU$8:AU$86,MATCH($A932,'EE Measures'!$D$8:$D$86,0))</f>
        <v>0</v>
      </c>
      <c r="AG932" s="114">
        <f>AF932-INDEX('EE Measures'!AV$8:AV$86,MATCH($A932,'EE Measures'!$D$8:$D$86,0))</f>
        <v>-1.8</v>
      </c>
      <c r="AH932" s="114">
        <f>AG932-INDEX('EE Measures'!AW$8:AW$86,MATCH($A932,'EE Measures'!$D$8:$D$86,0))</f>
        <v>-3.6</v>
      </c>
      <c r="AI932" s="114">
        <f>AH932-INDEX('EE Measures'!AX$8:AX$86,MATCH($A932,'EE Measures'!$D$8:$D$86,0))</f>
        <v>-5.4</v>
      </c>
      <c r="AJ932" s="114">
        <f>AI932-INDEX('EE Measures'!AY$8:AY$86,MATCH($A932,'EE Measures'!$D$8:$D$86,0))</f>
        <v>-7.2</v>
      </c>
      <c r="AK932" s="114">
        <f>AJ932-INDEX('EE Measures'!AZ$8:AZ$86,MATCH($A932,'EE Measures'!$D$8:$D$86,0))</f>
        <v>-9</v>
      </c>
      <c r="AL932" s="114">
        <f>AK932-INDEX('EE Measures'!BA$8:BA$86,MATCH($A932,'EE Measures'!$D$8:$D$86,0))</f>
        <v>-10.8</v>
      </c>
      <c r="AM932" s="183"/>
      <c r="AN932" s="183"/>
      <c r="AO932" s="183"/>
      <c r="AP932" s="183"/>
      <c r="AQ932" s="183"/>
      <c r="AR932" s="183"/>
      <c r="AS932" s="183"/>
      <c r="AT932" s="183"/>
      <c r="AU932" s="183"/>
      <c r="AV932" s="183"/>
      <c r="AW932" s="183"/>
      <c r="AX932" s="183"/>
      <c r="AY932" s="183"/>
      <c r="AZ932" s="183"/>
      <c r="BA932" s="183"/>
      <c r="BB932" s="183"/>
      <c r="BC932" s="183"/>
      <c r="BD932" s="183"/>
      <c r="BE932" s="183"/>
      <c r="BF932" s="183"/>
    </row>
    <row r="933" spans="1:58" x14ac:dyDescent="0.3">
      <c r="A933" s="183" t="str">
        <f>'EE Measures'!D52</f>
        <v>nS3</v>
      </c>
      <c r="B933" s="183" t="s">
        <v>890</v>
      </c>
      <c r="C933" s="183" t="s">
        <v>917</v>
      </c>
      <c r="D933" s="183" t="s">
        <v>900</v>
      </c>
      <c r="E933" s="511">
        <f>INDEX('EE Measures'!IF:IF,MATCH($A933,'EE Measures'!$D:$D,0))</f>
        <v>0</v>
      </c>
      <c r="F933" s="511">
        <f>INDEX('EE Measures'!IG:IG,MATCH($A933,'EE Measures'!$D:$D,0))</f>
        <v>1.5</v>
      </c>
      <c r="G933" s="511">
        <f>INDEX('EE Measures'!IH:IH,MATCH($A933,'EE Measures'!$D:$D,0))</f>
        <v>1</v>
      </c>
      <c r="H933" s="511">
        <f>INDEX('EE Measures'!II:II,MATCH($A933,'EE Measures'!$D:$D,0))</f>
        <v>1.2</v>
      </c>
      <c r="I933" s="511">
        <f>INDEX('EE Measures'!IJ:IJ,MATCH($A933,'EE Measures'!$D:$D,0))</f>
        <v>1</v>
      </c>
      <c r="J933" s="511">
        <f>INDEX('EE Measures'!IK:IK,MATCH($A933,'EE Measures'!$D:$D,0))</f>
        <v>1</v>
      </c>
      <c r="K933" s="511">
        <f>INDEX('EE Measures'!IL:IL,MATCH($A933,'EE Measures'!$D:$D,0))</f>
        <v>1</v>
      </c>
      <c r="L933" s="250"/>
      <c r="M933" s="179" t="str">
        <f>INDEX('EE Measures'!$E$42:$E$86,MATCH($A933,'EE Measures'!$D$42:$D$86,0))</f>
        <v>Public and municipality buildings renovation support (60% support in average)</v>
      </c>
      <c r="N933" s="329" t="s">
        <v>77</v>
      </c>
      <c r="O933" s="261"/>
      <c r="P933" s="261"/>
      <c r="Q933" s="261"/>
      <c r="R933" s="261"/>
      <c r="S933" s="261"/>
      <c r="T933" s="261"/>
      <c r="U933" s="261"/>
      <c r="V933" s="261"/>
      <c r="W933" s="261"/>
      <c r="X933" s="261"/>
      <c r="Y933" s="394"/>
      <c r="Z933" s="183"/>
      <c r="AA933" s="183"/>
      <c r="AB933" s="262"/>
      <c r="AC933" s="146">
        <f>-INDEX('EE Measures'!AR$8:AR$86,MATCH($A933,'EE Measures'!$D$8:$D$86,0))</f>
        <v>0</v>
      </c>
      <c r="AD933" s="146">
        <f>-INDEX('EE Measures'!AS$8:AS$86,MATCH($A933,'EE Measures'!$D$8:$D$86,0))</f>
        <v>0</v>
      </c>
      <c r="AE933" s="114">
        <f>AD933-INDEX('EE Measures'!AT$8:AT$86,MATCH($A933,'EE Measures'!$D$8:$D$86,0))</f>
        <v>0</v>
      </c>
      <c r="AF933" s="114">
        <f>AE933-INDEX('EE Measures'!AU$8:AU$86,MATCH($A933,'EE Measures'!$D$8:$D$86,0))</f>
        <v>0</v>
      </c>
      <c r="AG933" s="114">
        <f>AF933-INDEX('EE Measures'!AV$8:AV$86,MATCH($A933,'EE Measures'!$D$8:$D$86,0))</f>
        <v>-7.92</v>
      </c>
      <c r="AH933" s="114">
        <f>AG933-INDEX('EE Measures'!AW$8:AW$86,MATCH($A933,'EE Measures'!$D$8:$D$86,0))</f>
        <v>-15.84</v>
      </c>
      <c r="AI933" s="114">
        <f>AH933-INDEX('EE Measures'!AX$8:AX$86,MATCH($A933,'EE Measures'!$D$8:$D$86,0))</f>
        <v>-23.76</v>
      </c>
      <c r="AJ933" s="114">
        <f>AI933-INDEX('EE Measures'!AY$8:AY$86,MATCH($A933,'EE Measures'!$D$8:$D$86,0))</f>
        <v>-31.680000000000003</v>
      </c>
      <c r="AK933" s="114">
        <f>AJ933-INDEX('EE Measures'!AZ$8:AZ$86,MATCH($A933,'EE Measures'!$D$8:$D$86,0))</f>
        <v>-39.6</v>
      </c>
      <c r="AL933" s="114">
        <f>AK933-INDEX('EE Measures'!BA$8:BA$86,MATCH($A933,'EE Measures'!$D$8:$D$86,0))</f>
        <v>-47.52</v>
      </c>
      <c r="AM933" s="183"/>
      <c r="AN933" s="183"/>
      <c r="AO933" s="183"/>
      <c r="AP933" s="183"/>
      <c r="AQ933" s="183"/>
      <c r="AR933" s="183"/>
      <c r="AS933" s="183"/>
      <c r="AT933" s="183"/>
      <c r="AU933" s="183"/>
      <c r="AV933" s="183"/>
      <c r="AW933" s="183"/>
      <c r="AX933" s="183"/>
      <c r="AY933" s="183"/>
      <c r="AZ933" s="183"/>
      <c r="BA933" s="183"/>
      <c r="BB933" s="183"/>
      <c r="BC933" s="183"/>
      <c r="BD933" s="183"/>
      <c r="BE933" s="183"/>
      <c r="BF933" s="183"/>
    </row>
    <row r="934" spans="1:58" x14ac:dyDescent="0.3">
      <c r="A934" s="183" t="str">
        <f>'EE Measures'!D53</f>
        <v>nS4</v>
      </c>
      <c r="B934" s="183" t="s">
        <v>890</v>
      </c>
      <c r="C934" s="183" t="s">
        <v>917</v>
      </c>
      <c r="D934" s="183" t="s">
        <v>900</v>
      </c>
      <c r="E934" s="511">
        <f>INDEX('EE Measures'!IF:IF,MATCH($A934,'EE Measures'!$D:$D,0))</f>
        <v>0</v>
      </c>
      <c r="F934" s="511">
        <f>INDEX('EE Measures'!IG:IG,MATCH($A934,'EE Measures'!$D:$D,0))</f>
        <v>1</v>
      </c>
      <c r="G934" s="511">
        <f>INDEX('EE Measures'!IH:IH,MATCH($A934,'EE Measures'!$D:$D,0))</f>
        <v>0.25</v>
      </c>
      <c r="H934" s="511">
        <f>INDEX('EE Measures'!II:II,MATCH($A934,'EE Measures'!$D:$D,0))</f>
        <v>1</v>
      </c>
      <c r="I934" s="511">
        <f>INDEX('EE Measures'!IJ:IJ,MATCH($A934,'EE Measures'!$D:$D,0))</f>
        <v>0.25</v>
      </c>
      <c r="J934" s="511">
        <f>INDEX('EE Measures'!IK:IK,MATCH($A934,'EE Measures'!$D:$D,0))</f>
        <v>0</v>
      </c>
      <c r="K934" s="511">
        <f>INDEX('EE Measures'!IL:IL,MATCH($A934,'EE Measures'!$D:$D,0))</f>
        <v>0</v>
      </c>
      <c r="L934" s="250"/>
      <c r="M934" s="179" t="str">
        <f>INDEX('EE Measures'!$E$42:$E$86,MATCH($A934,'EE Measures'!$D$42:$D$86,0))</f>
        <v>Commercial buildings energy performance investments support</v>
      </c>
      <c r="N934" s="329" t="s">
        <v>77</v>
      </c>
      <c r="O934" s="261"/>
      <c r="P934" s="261"/>
      <c r="Q934" s="261"/>
      <c r="R934" s="261"/>
      <c r="S934" s="261"/>
      <c r="T934" s="261"/>
      <c r="U934" s="261"/>
      <c r="V934" s="261"/>
      <c r="W934" s="261"/>
      <c r="X934" s="261"/>
      <c r="Y934" s="394"/>
      <c r="Z934" s="183"/>
      <c r="AA934" s="183"/>
      <c r="AB934" s="262"/>
      <c r="AC934" s="146">
        <f>-INDEX('EE Measures'!AR$8:AR$86,MATCH($A934,'EE Measures'!$D$8:$D$86,0))</f>
        <v>0</v>
      </c>
      <c r="AD934" s="146">
        <f>-INDEX('EE Measures'!AS$8:AS$86,MATCH($A934,'EE Measures'!$D$8:$D$86,0))</f>
        <v>0</v>
      </c>
      <c r="AE934" s="114">
        <f>AD934-INDEX('EE Measures'!AT$8:AT$86,MATCH($A934,'EE Measures'!$D$8:$D$86,0))</f>
        <v>0</v>
      </c>
      <c r="AF934" s="114">
        <f>AE934-INDEX('EE Measures'!AU$8:AU$86,MATCH($A934,'EE Measures'!$D$8:$D$86,0))</f>
        <v>0</v>
      </c>
      <c r="AG934" s="114">
        <f>AF934-INDEX('EE Measures'!AV$8:AV$86,MATCH($A934,'EE Measures'!$D$8:$D$86,0))</f>
        <v>-21.6</v>
      </c>
      <c r="AH934" s="114">
        <f>AG934-INDEX('EE Measures'!AW$8:AW$86,MATCH($A934,'EE Measures'!$D$8:$D$86,0))</f>
        <v>-42.776470588235298</v>
      </c>
      <c r="AI934" s="114">
        <f>AH934-INDEX('EE Measures'!AX$8:AX$86,MATCH($A934,'EE Measures'!$D$8:$D$86,0))</f>
        <v>-63.537716262975778</v>
      </c>
      <c r="AJ934" s="114">
        <f>AI934-INDEX('EE Measures'!AY$8:AY$86,MATCH($A934,'EE Measures'!$D$8:$D$86,0))</f>
        <v>-83.891878689191941</v>
      </c>
      <c r="AK934" s="114">
        <f>AJ934-INDEX('EE Measures'!AZ$8:AZ$86,MATCH($A934,'EE Measures'!$D$8:$D$86,0))</f>
        <v>-103.84693989136466</v>
      </c>
      <c r="AL934" s="114">
        <f>AK934-INDEX('EE Measures'!BA$8:BA$86,MATCH($A934,'EE Measures'!$D$8:$D$86,0))</f>
        <v>-123.41072538369085</v>
      </c>
      <c r="AM934" s="183"/>
      <c r="AN934" s="183"/>
      <c r="AO934" s="183"/>
      <c r="AP934" s="183"/>
      <c r="AQ934" s="183"/>
      <c r="AR934" s="183"/>
      <c r="AS934" s="183"/>
      <c r="AT934" s="183"/>
      <c r="AU934" s="183"/>
      <c r="AV934" s="183"/>
      <c r="AW934" s="183"/>
      <c r="AX934" s="183"/>
      <c r="AY934" s="183"/>
      <c r="AZ934" s="183"/>
      <c r="BA934" s="183"/>
      <c r="BB934" s="183"/>
      <c r="BC934" s="183"/>
      <c r="BD934" s="183"/>
      <c r="BE934" s="183"/>
      <c r="BF934" s="183"/>
    </row>
    <row r="935" spans="1:58" x14ac:dyDescent="0.3">
      <c r="A935" s="183" t="str">
        <f>'EE Measures'!D54</f>
        <v>nS5</v>
      </c>
      <c r="B935" s="183" t="s">
        <v>890</v>
      </c>
      <c r="C935" s="183" t="s">
        <v>917</v>
      </c>
      <c r="D935" s="183" t="s">
        <v>900</v>
      </c>
      <c r="E935" s="511">
        <f>INDEX('EE Measures'!IF:IF,MATCH($A935,'EE Measures'!$D:$D,0))</f>
        <v>0</v>
      </c>
      <c r="F935" s="511">
        <f>INDEX('EE Measures'!IG:IG,MATCH($A935,'EE Measures'!$D:$D,0))</f>
        <v>0</v>
      </c>
      <c r="G935" s="511">
        <f>INDEX('EE Measures'!IH:IH,MATCH($A935,'EE Measures'!$D:$D,0))</f>
        <v>0.5</v>
      </c>
      <c r="H935" s="511">
        <f>INDEX('EE Measures'!II:II,MATCH($A935,'EE Measures'!$D:$D,0))</f>
        <v>0</v>
      </c>
      <c r="I935" s="511">
        <f>INDEX('EE Measures'!IJ:IJ,MATCH($A935,'EE Measures'!$D:$D,0))</f>
        <v>0.5</v>
      </c>
      <c r="J935" s="511">
        <f>INDEX('EE Measures'!IK:IK,MATCH($A935,'EE Measures'!$D:$D,0))</f>
        <v>0</v>
      </c>
      <c r="K935" s="511">
        <f>INDEX('EE Measures'!IL:IL,MATCH($A935,'EE Measures'!$D:$D,0))</f>
        <v>0</v>
      </c>
      <c r="L935" s="250"/>
      <c r="M935" s="179" t="str">
        <f>INDEX('EE Measures'!$E$42:$E$86,MATCH($A935,'EE Measures'!$D$42:$D$86,0))</f>
        <v>CO2 certificate sales based on energy savings from commercial buildings renovation, income invested as renovation support</v>
      </c>
      <c r="N935" s="329" t="s">
        <v>77</v>
      </c>
      <c r="O935" s="261"/>
      <c r="P935" s="261"/>
      <c r="Q935" s="261"/>
      <c r="R935" s="261"/>
      <c r="S935" s="261"/>
      <c r="T935" s="261"/>
      <c r="U935" s="261"/>
      <c r="V935" s="261"/>
      <c r="W935" s="261"/>
      <c r="X935" s="261"/>
      <c r="Y935" s="394"/>
      <c r="Z935" s="183"/>
      <c r="AA935" s="183"/>
      <c r="AB935" s="262"/>
      <c r="AC935" s="146">
        <f>-INDEX('EE Measures'!AR$8:AR$86,MATCH($A935,'EE Measures'!$D$8:$D$86,0))</f>
        <v>0</v>
      </c>
      <c r="AD935" s="146">
        <f>-INDEX('EE Measures'!AS$8:AS$86,MATCH($A935,'EE Measures'!$D$8:$D$86,0))</f>
        <v>0</v>
      </c>
      <c r="AE935" s="114">
        <f>AD935-INDEX('EE Measures'!AT$8:AT$86,MATCH($A935,'EE Measures'!$D$8:$D$86,0))</f>
        <v>0</v>
      </c>
      <c r="AF935" s="114">
        <f>AE935-INDEX('EE Measures'!AU$8:AU$86,MATCH($A935,'EE Measures'!$D$8:$D$86,0))</f>
        <v>0</v>
      </c>
      <c r="AG935" s="114">
        <f>AF935-INDEX('EE Measures'!AV$8:AV$86,MATCH($A935,'EE Measures'!$D$8:$D$86,0))</f>
        <v>-4.32</v>
      </c>
      <c r="AH935" s="114">
        <f>AG935-INDEX('EE Measures'!AW$8:AW$86,MATCH($A935,'EE Measures'!$D$8:$D$86,0))</f>
        <v>-8.5552941176470583</v>
      </c>
      <c r="AI935" s="114">
        <f>AH935-INDEX('EE Measures'!AX$8:AX$86,MATCH($A935,'EE Measures'!$D$8:$D$86,0))</f>
        <v>-12.707543252595155</v>
      </c>
      <c r="AJ935" s="114">
        <f>AI935-INDEX('EE Measures'!AY$8:AY$86,MATCH($A935,'EE Measures'!$D$8:$D$86,0))</f>
        <v>-16.778375737838388</v>
      </c>
      <c r="AK935" s="114">
        <f>AJ935-INDEX('EE Measures'!AZ$8:AZ$86,MATCH($A935,'EE Measures'!$D$8:$D$86,0))</f>
        <v>-20.769387978272928</v>
      </c>
      <c r="AL935" s="114">
        <f>AK935-INDEX('EE Measures'!BA$8:BA$86,MATCH($A935,'EE Measures'!$D$8:$D$86,0))</f>
        <v>-24.682145076738166</v>
      </c>
      <c r="AM935" s="183"/>
      <c r="AN935" s="183"/>
      <c r="AO935" s="183"/>
      <c r="AP935" s="183"/>
      <c r="AQ935" s="183"/>
      <c r="AR935" s="183"/>
      <c r="AS935" s="183"/>
      <c r="AT935" s="183"/>
      <c r="AU935" s="183"/>
      <c r="AV935" s="183"/>
      <c r="AW935" s="183"/>
      <c r="AX935" s="183"/>
      <c r="AY935" s="183"/>
      <c r="AZ935" s="183"/>
      <c r="BA935" s="183"/>
      <c r="BB935" s="183"/>
      <c r="BC935" s="183"/>
      <c r="BD935" s="183"/>
      <c r="BE935" s="183"/>
      <c r="BF935" s="183"/>
    </row>
    <row r="936" spans="1:58" x14ac:dyDescent="0.3">
      <c r="A936" s="183" t="str">
        <f>'EE Measures'!D55</f>
        <v>nS6</v>
      </c>
      <c r="B936" s="183" t="s">
        <v>890</v>
      </c>
      <c r="C936" s="183" t="s">
        <v>917</v>
      </c>
      <c r="D936" s="183" t="s">
        <v>900</v>
      </c>
      <c r="E936" s="511">
        <f>INDEX('EE Measures'!IF:IF,MATCH($A936,'EE Measures'!$D:$D,0))</f>
        <v>0</v>
      </c>
      <c r="F936" s="511">
        <f>INDEX('EE Measures'!IG:IG,MATCH($A936,'EE Measures'!$D:$D,0))</f>
        <v>0</v>
      </c>
      <c r="G936" s="511">
        <f>INDEX('EE Measures'!IH:IH,MATCH($A936,'EE Measures'!$D:$D,0))</f>
        <v>0.5</v>
      </c>
      <c r="H936" s="511">
        <f>INDEX('EE Measures'!II:II,MATCH($A936,'EE Measures'!$D:$D,0))</f>
        <v>0.5</v>
      </c>
      <c r="I936" s="511">
        <f>INDEX('EE Measures'!IJ:IJ,MATCH($A936,'EE Measures'!$D:$D,0))</f>
        <v>0.5</v>
      </c>
      <c r="J936" s="511">
        <f>INDEX('EE Measures'!IK:IK,MATCH($A936,'EE Measures'!$D:$D,0))</f>
        <v>0</v>
      </c>
      <c r="K936" s="511">
        <f>INDEX('EE Measures'!IL:IL,MATCH($A936,'EE Measures'!$D:$D,0))</f>
        <v>1</v>
      </c>
      <c r="L936" s="250"/>
      <c r="M936" s="179" t="str">
        <f>INDEX('EE Measures'!$E$42:$E$86,MATCH($A936,'EE Measures'!$D$42:$D$86,0))</f>
        <v>CO2 tax for end energy use of commercial buildings</v>
      </c>
      <c r="N936" s="329" t="s">
        <v>77</v>
      </c>
      <c r="O936" s="261"/>
      <c r="P936" s="261"/>
      <c r="Q936" s="261"/>
      <c r="R936" s="261"/>
      <c r="S936" s="261"/>
      <c r="T936" s="261"/>
      <c r="U936" s="261"/>
      <c r="V936" s="261"/>
      <c r="W936" s="261"/>
      <c r="X936" s="261"/>
      <c r="Y936" s="394"/>
      <c r="Z936" s="183"/>
      <c r="AA936" s="183"/>
      <c r="AB936" s="262"/>
      <c r="AC936" s="146">
        <f>-INDEX('EE Measures'!AR$8:AR$86,MATCH($A936,'EE Measures'!$D$8:$D$86,0))</f>
        <v>0</v>
      </c>
      <c r="AD936" s="146">
        <f>-INDEX('EE Measures'!AS$8:AS$86,MATCH($A936,'EE Measures'!$D$8:$D$86,0))</f>
        <v>0</v>
      </c>
      <c r="AE936" s="114">
        <f>AD936-INDEX('EE Measures'!AT$8:AT$86,MATCH($A936,'EE Measures'!$D$8:$D$86,0))</f>
        <v>0</v>
      </c>
      <c r="AF936" s="114">
        <f>AE936-INDEX('EE Measures'!AU$8:AU$86,MATCH($A936,'EE Measures'!$D$8:$D$86,0))</f>
        <v>0</v>
      </c>
      <c r="AG936" s="114">
        <f>AF936-INDEX('EE Measures'!AV$8:AV$86,MATCH($A936,'EE Measures'!$D$8:$D$86,0))</f>
        <v>-21.6</v>
      </c>
      <c r="AH936" s="114">
        <f>AG936-INDEX('EE Measures'!AW$8:AW$86,MATCH($A936,'EE Measures'!$D$8:$D$86,0))</f>
        <v>-42.776470588235298</v>
      </c>
      <c r="AI936" s="114">
        <f>AH936-INDEX('EE Measures'!AX$8:AX$86,MATCH($A936,'EE Measures'!$D$8:$D$86,0))</f>
        <v>-63.537716262975778</v>
      </c>
      <c r="AJ936" s="114">
        <f>AI936-INDEX('EE Measures'!AY$8:AY$86,MATCH($A936,'EE Measures'!$D$8:$D$86,0))</f>
        <v>-83.891878689191941</v>
      </c>
      <c r="AK936" s="114">
        <f>AJ936-INDEX('EE Measures'!AZ$8:AZ$86,MATCH($A936,'EE Measures'!$D$8:$D$86,0))</f>
        <v>-103.84693989136466</v>
      </c>
      <c r="AL936" s="114">
        <f>AK936-INDEX('EE Measures'!BA$8:BA$86,MATCH($A936,'EE Measures'!$D$8:$D$86,0))</f>
        <v>-123.41072538369085</v>
      </c>
      <c r="AM936" s="183"/>
      <c r="AN936" s="183"/>
      <c r="AO936" s="183"/>
      <c r="AP936" s="183"/>
      <c r="AQ936" s="183"/>
      <c r="AR936" s="183"/>
      <c r="AS936" s="183"/>
      <c r="AT936" s="183"/>
      <c r="AU936" s="183"/>
      <c r="AV936" s="183"/>
      <c r="AW936" s="183"/>
      <c r="AX936" s="183"/>
      <c r="AY936" s="183"/>
      <c r="AZ936" s="183"/>
      <c r="BA936" s="183"/>
      <c r="BB936" s="183"/>
      <c r="BC936" s="183"/>
      <c r="BD936" s="183"/>
      <c r="BE936" s="183"/>
      <c r="BF936" s="183"/>
    </row>
    <row r="937" spans="1:58" x14ac:dyDescent="0.3">
      <c r="A937" s="183" t="str">
        <f>'EE Measures'!D56</f>
        <v>nS7</v>
      </c>
      <c r="B937" s="183" t="s">
        <v>890</v>
      </c>
      <c r="C937" s="183" t="s">
        <v>917</v>
      </c>
      <c r="D937" s="183" t="s">
        <v>900</v>
      </c>
      <c r="E937" s="511">
        <f>INDEX('EE Measures'!IF:IF,MATCH($A937,'EE Measures'!$D:$D,0))</f>
        <v>0</v>
      </c>
      <c r="F937" s="511">
        <f>INDEX('EE Measures'!IG:IG,MATCH($A937,'EE Measures'!$D:$D,0))</f>
        <v>0.2</v>
      </c>
      <c r="G937" s="511">
        <f>INDEX('EE Measures'!IH:IH,MATCH($A937,'EE Measures'!$D:$D,0))</f>
        <v>0.5</v>
      </c>
      <c r="H937" s="511">
        <f>INDEX('EE Measures'!II:II,MATCH($A937,'EE Measures'!$D:$D,0))</f>
        <v>0.5</v>
      </c>
      <c r="I937" s="511">
        <f>INDEX('EE Measures'!IJ:IJ,MATCH($A937,'EE Measures'!$D:$D,0))</f>
        <v>0.5</v>
      </c>
      <c r="J937" s="511">
        <f>INDEX('EE Measures'!IK:IK,MATCH($A937,'EE Measures'!$D:$D,0))</f>
        <v>1</v>
      </c>
      <c r="K937" s="511">
        <f>INDEX('EE Measures'!IL:IL,MATCH($A937,'EE Measures'!$D:$D,0))</f>
        <v>1</v>
      </c>
      <c r="L937" s="250"/>
      <c r="M937" s="179" t="str">
        <f>INDEX('EE Measures'!$E$42:$E$86,MATCH($A937,'EE Measures'!$D$42:$D$86,0))</f>
        <v>Property tax (according to EPC levels)</v>
      </c>
      <c r="N937" s="329" t="s">
        <v>77</v>
      </c>
      <c r="O937" s="261"/>
      <c r="P937" s="261"/>
      <c r="Q937" s="261"/>
      <c r="R937" s="261"/>
      <c r="S937" s="261"/>
      <c r="T937" s="261"/>
      <c r="U937" s="261"/>
      <c r="V937" s="261"/>
      <c r="W937" s="261"/>
      <c r="X937" s="261"/>
      <c r="Y937" s="394"/>
      <c r="Z937" s="183"/>
      <c r="AA937" s="183"/>
      <c r="AB937" s="262"/>
      <c r="AC937" s="146">
        <f>-INDEX('EE Measures'!AR$8:AR$86,MATCH($A937,'EE Measures'!$D$8:$D$86,0))</f>
        <v>0</v>
      </c>
      <c r="AD937" s="146">
        <f>-INDEX('EE Measures'!AS$8:AS$86,MATCH($A937,'EE Measures'!$D$8:$D$86,0))</f>
        <v>0</v>
      </c>
      <c r="AE937" s="114">
        <f>AD937-INDEX('EE Measures'!AT$8:AT$86,MATCH($A937,'EE Measures'!$D$8:$D$86,0))</f>
        <v>0</v>
      </c>
      <c r="AF937" s="114">
        <f>AE937-INDEX('EE Measures'!AU$8:AU$86,MATCH($A937,'EE Measures'!$D$8:$D$86,0))</f>
        <v>0</v>
      </c>
      <c r="AG937" s="114">
        <f>AF937-INDEX('EE Measures'!AV$8:AV$86,MATCH($A937,'EE Measures'!$D$8:$D$86,0))</f>
        <v>-21.6</v>
      </c>
      <c r="AH937" s="114">
        <f>AG937-INDEX('EE Measures'!AW$8:AW$86,MATCH($A937,'EE Measures'!$D$8:$D$86,0))</f>
        <v>-42.776470588235298</v>
      </c>
      <c r="AI937" s="114">
        <f>AH937-INDEX('EE Measures'!AX$8:AX$86,MATCH($A937,'EE Measures'!$D$8:$D$86,0))</f>
        <v>-63.537716262975778</v>
      </c>
      <c r="AJ937" s="114">
        <f>AI937-INDEX('EE Measures'!AY$8:AY$86,MATCH($A937,'EE Measures'!$D$8:$D$86,0))</f>
        <v>-83.891878689191941</v>
      </c>
      <c r="AK937" s="114">
        <f>AJ937-INDEX('EE Measures'!AZ$8:AZ$86,MATCH($A937,'EE Measures'!$D$8:$D$86,0))</f>
        <v>-103.84693989136466</v>
      </c>
      <c r="AL937" s="114">
        <f>AK937-INDEX('EE Measures'!BA$8:BA$86,MATCH($A937,'EE Measures'!$D$8:$D$86,0))</f>
        <v>-123.41072538369085</v>
      </c>
      <c r="AM937" s="183"/>
      <c r="AN937" s="183"/>
      <c r="AO937" s="183"/>
      <c r="AP937" s="183"/>
      <c r="AQ937" s="183"/>
      <c r="AR937" s="183"/>
      <c r="AS937" s="183"/>
      <c r="AT937" s="183"/>
      <c r="AU937" s="183"/>
      <c r="AV937" s="183"/>
      <c r="AW937" s="183"/>
      <c r="AX937" s="183"/>
      <c r="AY937" s="183"/>
      <c r="AZ937" s="183"/>
      <c r="BA937" s="183"/>
      <c r="BB937" s="183"/>
      <c r="BC937" s="183"/>
      <c r="BD937" s="183"/>
      <c r="BE937" s="183"/>
      <c r="BF937" s="183"/>
    </row>
    <row r="938" spans="1:58" x14ac:dyDescent="0.3">
      <c r="A938" s="183" t="str">
        <f>'EE Measures'!D57</f>
        <v>nS8</v>
      </c>
      <c r="B938" s="183" t="s">
        <v>890</v>
      </c>
      <c r="C938" s="183" t="s">
        <v>917</v>
      </c>
      <c r="D938" s="183" t="s">
        <v>900</v>
      </c>
      <c r="E938" s="511">
        <f>INDEX('EE Measures'!IF:IF,MATCH($A938,'EE Measures'!$D:$D,0))</f>
        <v>0</v>
      </c>
      <c r="F938" s="511">
        <f>INDEX('EE Measures'!IG:IG,MATCH($A938,'EE Measures'!$D:$D,0))</f>
        <v>0.5</v>
      </c>
      <c r="G938" s="511">
        <f>INDEX('EE Measures'!IH:IH,MATCH($A938,'EE Measures'!$D:$D,0))</f>
        <v>0.5</v>
      </c>
      <c r="H938" s="511">
        <f>INDEX('EE Measures'!II:II,MATCH($A938,'EE Measures'!$D:$D,0))</f>
        <v>1</v>
      </c>
      <c r="I938" s="511">
        <f>INDEX('EE Measures'!IJ:IJ,MATCH($A938,'EE Measures'!$D:$D,0))</f>
        <v>0.5</v>
      </c>
      <c r="J938" s="511">
        <f>INDEX('EE Measures'!IK:IK,MATCH($A938,'EE Measures'!$D:$D,0))</f>
        <v>1</v>
      </c>
      <c r="K938" s="511">
        <f>INDEX('EE Measures'!IL:IL,MATCH($A938,'EE Measures'!$D:$D,0))</f>
        <v>0.7</v>
      </c>
      <c r="L938" s="250"/>
      <c r="M938" s="179" t="str">
        <f>INDEX('EE Measures'!$E$42:$E$86,MATCH($A938,'EE Measures'!$D$42:$D$86,0))</f>
        <v>Minimum energy performance standards for non-residential buildings (regulatory requirements for EPC class E and F)</v>
      </c>
      <c r="N938" s="329" t="s">
        <v>77</v>
      </c>
      <c r="O938" s="261"/>
      <c r="P938" s="261"/>
      <c r="Q938" s="261"/>
      <c r="R938" s="261"/>
      <c r="S938" s="261"/>
      <c r="T938" s="261"/>
      <c r="U938" s="261"/>
      <c r="V938" s="261"/>
      <c r="W938" s="261"/>
      <c r="X938" s="261"/>
      <c r="Y938" s="394"/>
      <c r="Z938" s="183"/>
      <c r="AA938" s="183"/>
      <c r="AB938" s="262"/>
      <c r="AC938" s="146">
        <f>-INDEX('EE Measures'!AR$8:AR$86,MATCH($A938,'EE Measures'!$D$8:$D$86,0))</f>
        <v>0</v>
      </c>
      <c r="AD938" s="146">
        <f>-INDEX('EE Measures'!AS$8:AS$86,MATCH($A938,'EE Measures'!$D$8:$D$86,0))</f>
        <v>0</v>
      </c>
      <c r="AE938" s="114">
        <f>AD938-INDEX('EE Measures'!AT$8:AT$86,MATCH($A938,'EE Measures'!$D$8:$D$86,0))</f>
        <v>0</v>
      </c>
      <c r="AF938" s="114">
        <f>AE938-INDEX('EE Measures'!AU$8:AU$86,MATCH($A938,'EE Measures'!$D$8:$D$86,0))</f>
        <v>0</v>
      </c>
      <c r="AG938" s="114">
        <f>AF938-INDEX('EE Measures'!AV$8:AV$86,MATCH($A938,'EE Measures'!$D$8:$D$86,0))</f>
        <v>-30.2</v>
      </c>
      <c r="AH938" s="114">
        <f>AG938-INDEX('EE Measures'!AW$8:AW$86,MATCH($A938,'EE Measures'!$D$8:$D$86,0))</f>
        <v>-60.4</v>
      </c>
      <c r="AI938" s="114">
        <f>AH938-INDEX('EE Measures'!AX$8:AX$86,MATCH($A938,'EE Measures'!$D$8:$D$86,0))</f>
        <v>-90.6</v>
      </c>
      <c r="AJ938" s="114">
        <f>AI938-INDEX('EE Measures'!AY$8:AY$86,MATCH($A938,'EE Measures'!$D$8:$D$86,0))</f>
        <v>-120.8</v>
      </c>
      <c r="AK938" s="114">
        <f>AJ938-INDEX('EE Measures'!AZ$8:AZ$86,MATCH($A938,'EE Measures'!$D$8:$D$86,0))</f>
        <v>-151</v>
      </c>
      <c r="AL938" s="114">
        <f>AK938-INDEX('EE Measures'!BA$8:BA$86,MATCH($A938,'EE Measures'!$D$8:$D$86,0))</f>
        <v>-181.2</v>
      </c>
      <c r="AM938" s="183"/>
      <c r="AN938" s="183"/>
      <c r="AO938" s="183"/>
      <c r="AP938" s="183"/>
      <c r="AQ938" s="183"/>
      <c r="AR938" s="183"/>
      <c r="AS938" s="183"/>
      <c r="AT938" s="183"/>
      <c r="AU938" s="183"/>
      <c r="AV938" s="183"/>
      <c r="AW938" s="183"/>
      <c r="AX938" s="183"/>
      <c r="AY938" s="183"/>
      <c r="AZ938" s="183"/>
      <c r="BA938" s="183"/>
      <c r="BB938" s="183"/>
      <c r="BC938" s="183"/>
      <c r="BD938" s="183"/>
      <c r="BE938" s="183"/>
      <c r="BF938" s="183"/>
    </row>
    <row r="939" spans="1:58" x14ac:dyDescent="0.3">
      <c r="A939" s="183"/>
      <c r="B939" s="183"/>
      <c r="C939" s="183"/>
      <c r="D939" s="183"/>
      <c r="E939" s="183"/>
      <c r="F939" s="183"/>
      <c r="G939" s="183"/>
      <c r="H939" s="183"/>
      <c r="I939" s="183"/>
      <c r="J939" s="183"/>
      <c r="K939" s="183"/>
      <c r="L939" s="250"/>
      <c r="M939" s="88" t="s">
        <v>914</v>
      </c>
      <c r="N939" s="329" t="s">
        <v>77</v>
      </c>
      <c r="O939" s="261"/>
      <c r="P939" s="261"/>
      <c r="Q939" s="261"/>
      <c r="R939" s="261"/>
      <c r="S939" s="261"/>
      <c r="T939" s="261"/>
      <c r="U939" s="261"/>
      <c r="V939" s="261"/>
      <c r="W939" s="261"/>
      <c r="X939" s="261"/>
      <c r="Y939" s="394"/>
      <c r="Z939" s="183"/>
      <c r="AA939" s="183"/>
      <c r="AB939" s="262"/>
      <c r="AC939" s="425">
        <f>AC926+SUM(AC931:AC938)</f>
        <v>5376.8275011999995</v>
      </c>
      <c r="AD939" s="425">
        <f>AD926+SUM(AD931:AD938)</f>
        <v>5412.3140444032624</v>
      </c>
      <c r="AE939" s="425">
        <f t="shared" ref="AE939:AL939" si="1153">AE926+SUM(AE931:AE938)</f>
        <v>5444.9269024362275</v>
      </c>
      <c r="AF939" s="425">
        <f t="shared" si="1153"/>
        <v>5478.9238252765417</v>
      </c>
      <c r="AG939" s="425">
        <f t="shared" si="1153"/>
        <v>5348.9716620341087</v>
      </c>
      <c r="AH939" s="425">
        <f t="shared" si="1153"/>
        <v>5221.3772269319634</v>
      </c>
      <c r="AI939" s="425">
        <f t="shared" si="1153"/>
        <v>5096.5290593835452</v>
      </c>
      <c r="AJ939" s="425">
        <f t="shared" si="1153"/>
        <v>4973.9650073376461</v>
      </c>
      <c r="AK939" s="425">
        <f t="shared" si="1153"/>
        <v>4853.6744566800644</v>
      </c>
      <c r="AL939" s="425">
        <f t="shared" si="1153"/>
        <v>4735.6475951125676</v>
      </c>
      <c r="AM939" s="183"/>
      <c r="AN939" s="183"/>
      <c r="AO939" s="183"/>
      <c r="AP939" s="183"/>
      <c r="AQ939" s="183"/>
      <c r="AR939" s="183"/>
      <c r="AS939" s="183"/>
      <c r="AT939" s="183"/>
      <c r="AU939" s="183"/>
      <c r="AV939" s="183"/>
      <c r="AW939" s="183"/>
      <c r="AX939" s="183"/>
      <c r="AY939" s="183"/>
      <c r="AZ939" s="183"/>
      <c r="BA939" s="183"/>
      <c r="BB939" s="183"/>
      <c r="BC939" s="183"/>
      <c r="BD939" s="183"/>
      <c r="BE939" s="183"/>
      <c r="BF939" s="183"/>
    </row>
    <row r="940" spans="1:58" ht="14.25" thickBot="1" x14ac:dyDescent="0.35">
      <c r="A940" s="183"/>
      <c r="B940" s="183"/>
      <c r="C940" s="183"/>
      <c r="D940" s="183"/>
      <c r="E940" s="183"/>
      <c r="F940" s="183"/>
      <c r="G940" s="183"/>
      <c r="H940" s="183"/>
      <c r="I940" s="183"/>
      <c r="J940" s="183"/>
      <c r="K940" s="183"/>
      <c r="L940" s="250"/>
      <c r="M940" s="72" t="s">
        <v>915</v>
      </c>
      <c r="N940" s="267" t="s">
        <v>68</v>
      </c>
      <c r="O940" s="261"/>
      <c r="P940" s="261"/>
      <c r="Q940" s="261"/>
      <c r="R940" s="261"/>
      <c r="S940" s="261"/>
      <c r="T940" s="261"/>
      <c r="U940" s="261"/>
      <c r="V940" s="261"/>
      <c r="W940" s="261"/>
      <c r="X940" s="261"/>
      <c r="Y940" s="394"/>
      <c r="Z940" s="183"/>
      <c r="AA940" s="183"/>
      <c r="AB940" s="262"/>
      <c r="AC940" s="428">
        <f>(AC$916-AC939)/AC$916</f>
        <v>1.5316774098458738E-3</v>
      </c>
      <c r="AD940" s="428">
        <f>(AD$916-AD939)/AD$916</f>
        <v>9.097407867593156E-4</v>
      </c>
      <c r="AE940" s="428">
        <f>((AE$916-AE939)-(AD$916-AD939))/AE$916</f>
        <v>9.4205646170997674E-5</v>
      </c>
      <c r="AF940" s="428">
        <f t="shared" ref="AF940" si="1154">((AF$916-AF939)-(AE$916-AE939))/AF$916</f>
        <v>1.8785411606154377E-5</v>
      </c>
      <c r="AG940" s="428">
        <f t="shared" ref="AG940" si="1155">((AG$916-AG939)-(AF$916-AF939))/AG$916</f>
        <v>2.9900953462153185E-2</v>
      </c>
      <c r="AH940" s="428">
        <f t="shared" ref="AH940" si="1156">((AH$916-AH939)-(AG$916-AG939))/AH$916</f>
        <v>2.9462763678858167E-2</v>
      </c>
      <c r="AI940" s="428">
        <f t="shared" ref="AI940" si="1157">((AI$916-AI939)-(AH$916-AH939))/AI$916</f>
        <v>2.9027623954077444E-2</v>
      </c>
      <c r="AJ940" s="428">
        <f t="shared" ref="AJ940" si="1158">((AJ$916-AJ939)-(AI$916-AI939))/AJ$916</f>
        <v>2.8597923767852123E-2</v>
      </c>
      <c r="AK940" s="428">
        <f t="shared" ref="AK940" si="1159">((AK$916-AK939)-(AJ$916-AJ939))/AK$916</f>
        <v>2.817361121848479E-2</v>
      </c>
      <c r="AL940" s="429">
        <f t="shared" ref="AL940" si="1160">((AL$916-AL939)-(AK$916-AK939))/AL$916</f>
        <v>2.775463493790881E-2</v>
      </c>
      <c r="AM940" s="183"/>
      <c r="AN940" s="183"/>
      <c r="AO940" s="183"/>
      <c r="AP940" s="183"/>
      <c r="AQ940" s="183"/>
      <c r="AR940" s="183"/>
      <c r="AS940" s="183"/>
      <c r="AT940" s="183"/>
      <c r="AU940" s="183"/>
      <c r="AV940" s="183"/>
      <c r="AW940" s="183"/>
      <c r="AX940" s="183"/>
      <c r="AY940" s="183"/>
      <c r="AZ940" s="183"/>
      <c r="BA940" s="183"/>
      <c r="BB940" s="183"/>
      <c r="BC940" s="183"/>
      <c r="BD940" s="183"/>
      <c r="BE940" s="183"/>
      <c r="BF940" s="183"/>
    </row>
    <row r="941" spans="1:58" ht="14.25" thickBot="1" x14ac:dyDescent="0.35">
      <c r="A941" s="183"/>
      <c r="B941" s="183"/>
      <c r="C941" s="183"/>
      <c r="D941" s="183"/>
      <c r="E941" s="183"/>
      <c r="F941" s="183"/>
      <c r="G941" s="183"/>
      <c r="H941" s="183"/>
      <c r="I941" s="183"/>
      <c r="J941" s="183"/>
      <c r="K941" s="183"/>
      <c r="L941" s="250"/>
      <c r="M941" s="72" t="s">
        <v>916</v>
      </c>
      <c r="N941" s="267" t="s">
        <v>68</v>
      </c>
      <c r="O941" s="261"/>
      <c r="P941" s="261"/>
      <c r="Q941" s="261"/>
      <c r="R941" s="261"/>
      <c r="S941" s="261"/>
      <c r="T941" s="261"/>
      <c r="U941" s="261"/>
      <c r="V941" s="261"/>
      <c r="W941" s="261"/>
      <c r="X941" s="261"/>
      <c r="Y941" s="394"/>
      <c r="Z941" s="183"/>
      <c r="AA941" s="183"/>
      <c r="AB941" s="262"/>
      <c r="AC941" s="430"/>
      <c r="AD941" s="430"/>
      <c r="AE941" s="430"/>
      <c r="AF941" s="430"/>
      <c r="AG941" s="430"/>
      <c r="AH941" s="430"/>
      <c r="AI941" s="430"/>
      <c r="AJ941" s="430"/>
      <c r="AK941" s="430"/>
      <c r="AL941" s="431">
        <f>((AL$916-AL939)/AL$916)/9</f>
        <v>1.8986206064281815E-2</v>
      </c>
      <c r="AM941" s="183"/>
      <c r="AN941" s="183"/>
      <c r="AO941" s="183"/>
      <c r="AP941" s="183"/>
      <c r="AQ941" s="183"/>
      <c r="AR941" s="183"/>
      <c r="AS941" s="183"/>
      <c r="AT941" s="183"/>
      <c r="AU941" s="183"/>
      <c r="AV941" s="183"/>
      <c r="AW941" s="183"/>
      <c r="AX941" s="183"/>
      <c r="AY941" s="183"/>
      <c r="AZ941" s="183"/>
      <c r="BA941" s="183"/>
      <c r="BB941" s="183"/>
      <c r="BC941" s="183"/>
      <c r="BD941" s="183"/>
      <c r="BE941" s="183"/>
      <c r="BF941" s="183"/>
    </row>
    <row r="942" spans="1:58" x14ac:dyDescent="0.3">
      <c r="A942" s="183"/>
      <c r="B942" s="183"/>
      <c r="C942" s="183"/>
      <c r="D942" s="183"/>
      <c r="E942" s="183"/>
      <c r="F942" s="183"/>
      <c r="G942" s="183"/>
      <c r="H942" s="183"/>
      <c r="I942" s="183"/>
      <c r="J942" s="183"/>
      <c r="K942" s="183"/>
      <c r="L942" s="250"/>
      <c r="M942" s="186"/>
      <c r="N942" s="186"/>
      <c r="O942" s="261"/>
      <c r="P942" s="261"/>
      <c r="Q942" s="261"/>
      <c r="R942" s="261"/>
      <c r="S942" s="261"/>
      <c r="T942" s="261"/>
      <c r="U942" s="261"/>
      <c r="V942" s="261"/>
      <c r="W942" s="261"/>
      <c r="X942" s="261"/>
      <c r="Y942" s="394"/>
      <c r="Z942" s="263"/>
      <c r="AA942" s="263"/>
      <c r="AB942" s="262"/>
      <c r="AC942" s="262"/>
      <c r="AD942" s="263"/>
      <c r="AE942" s="263"/>
      <c r="AF942" s="263"/>
      <c r="AG942" s="263"/>
      <c r="AH942" s="263"/>
      <c r="AI942" s="263"/>
      <c r="AJ942" s="263"/>
      <c r="AK942" s="263"/>
      <c r="AL942" s="264"/>
      <c r="AM942" s="183"/>
      <c r="AN942" s="183"/>
      <c r="AO942" s="183"/>
      <c r="AP942" s="183"/>
      <c r="AQ942" s="183"/>
      <c r="AR942" s="183"/>
      <c r="AS942" s="183"/>
      <c r="AT942" s="183"/>
      <c r="AU942" s="183"/>
      <c r="AV942" s="183"/>
      <c r="AW942" s="183"/>
      <c r="AX942" s="183"/>
      <c r="AY942" s="183"/>
      <c r="AZ942" s="183"/>
      <c r="BA942" s="183"/>
      <c r="BB942" s="183"/>
      <c r="BC942" s="183"/>
      <c r="BD942" s="183"/>
      <c r="BE942" s="183"/>
      <c r="BF942" s="183"/>
    </row>
    <row r="943" spans="1:58" s="124" customFormat="1" x14ac:dyDescent="0.3">
      <c r="L943" s="94" t="s">
        <v>1170</v>
      </c>
      <c r="M943" s="94"/>
      <c r="N943" s="94" t="s">
        <v>59</v>
      </c>
      <c r="O943" s="95"/>
      <c r="P943" s="95"/>
      <c r="Q943" s="95"/>
      <c r="R943" s="95"/>
      <c r="S943" s="95"/>
      <c r="T943" s="95"/>
      <c r="U943" s="95"/>
      <c r="V943" s="95"/>
      <c r="W943" s="95"/>
      <c r="X943" s="95"/>
      <c r="Y943" s="394"/>
      <c r="Z943" s="95"/>
      <c r="AA943" s="95"/>
      <c r="AB943" s="95"/>
      <c r="AC943" s="95"/>
    </row>
    <row r="944" spans="1:58" ht="12" hidden="1" customHeight="1" x14ac:dyDescent="0.3">
      <c r="L944" s="124"/>
      <c r="M944" s="96" t="s">
        <v>1171</v>
      </c>
      <c r="N944" s="96"/>
      <c r="O944" s="96"/>
      <c r="P944" s="96"/>
      <c r="Q944" s="96"/>
      <c r="R944" s="96"/>
      <c r="S944" s="96"/>
      <c r="T944" s="96"/>
      <c r="U944" s="96"/>
      <c r="V944" s="96"/>
      <c r="W944" s="96"/>
      <c r="X944" s="96"/>
      <c r="Y944" s="394"/>
      <c r="AB944" s="96"/>
      <c r="AC944" s="96"/>
    </row>
    <row r="945" spans="12:29" ht="12" hidden="1" customHeight="1" x14ac:dyDescent="0.3">
      <c r="L945" s="124"/>
      <c r="M945" s="111"/>
      <c r="N945" s="111"/>
      <c r="O945" s="111"/>
      <c r="P945" s="111"/>
      <c r="Q945" s="111"/>
      <c r="R945" s="111"/>
      <c r="S945" s="111"/>
      <c r="T945" s="111"/>
      <c r="U945" s="111"/>
      <c r="V945" s="111"/>
      <c r="W945" s="111"/>
      <c r="X945" s="111"/>
      <c r="Y945" s="394"/>
      <c r="AB945" s="111"/>
      <c r="AC945" s="111"/>
    </row>
    <row r="946" spans="12:29" ht="12" hidden="1" customHeight="1" x14ac:dyDescent="0.3">
      <c r="L946" s="124"/>
      <c r="M946" s="125" t="s">
        <v>1172</v>
      </c>
      <c r="N946" s="111"/>
      <c r="O946" s="111"/>
      <c r="P946" s="111"/>
      <c r="Q946" s="111"/>
      <c r="R946" s="111"/>
      <c r="S946" s="111"/>
      <c r="T946" s="111"/>
      <c r="U946" s="111"/>
      <c r="V946" s="111"/>
      <c r="W946" s="111"/>
      <c r="X946" s="111"/>
      <c r="Y946" s="394"/>
      <c r="AB946" s="111"/>
      <c r="AC946" s="111"/>
    </row>
    <row r="947" spans="12:29" ht="12" hidden="1" customHeight="1" x14ac:dyDescent="0.3">
      <c r="L947" s="124"/>
      <c r="M947" s="111" t="s">
        <v>1173</v>
      </c>
      <c r="N947" s="126" t="s">
        <v>1174</v>
      </c>
      <c r="O947" s="97">
        <f>O948+O949+O950</f>
        <v>552.70000000000005</v>
      </c>
      <c r="P947" s="97">
        <f t="shared" ref="P947:X947" si="1161">P948+P949+P950</f>
        <v>574</v>
      </c>
      <c r="Q947" s="97">
        <f t="shared" si="1161"/>
        <v>602.1</v>
      </c>
      <c r="R947" s="97">
        <f t="shared" si="1161"/>
        <v>628.5</v>
      </c>
      <c r="S947" s="97">
        <f t="shared" si="1161"/>
        <v>653</v>
      </c>
      <c r="T947" s="97">
        <f t="shared" si="1161"/>
        <v>676.6</v>
      </c>
      <c r="U947" s="97">
        <f t="shared" si="1161"/>
        <v>703.1</v>
      </c>
      <c r="V947" s="97">
        <f t="shared" si="1161"/>
        <v>725.9</v>
      </c>
      <c r="W947" s="97">
        <f t="shared" si="1161"/>
        <v>746.5</v>
      </c>
      <c r="X947" s="97">
        <f t="shared" si="1161"/>
        <v>794.9</v>
      </c>
      <c r="Y947" s="394"/>
      <c r="AB947" s="97">
        <f>AB948+AB949+AB950</f>
        <v>808.7</v>
      </c>
      <c r="AC947" s="158">
        <f>AC948+AC949+AC950</f>
        <v>825.90000000000009</v>
      </c>
    </row>
    <row r="948" spans="12:29" ht="12" hidden="1" customHeight="1" x14ac:dyDescent="0.3">
      <c r="L948" s="124"/>
      <c r="M948" s="98" t="s">
        <v>1175</v>
      </c>
      <c r="N948" s="127" t="s">
        <v>1174</v>
      </c>
      <c r="O948" s="99">
        <v>37</v>
      </c>
      <c r="P948" s="99">
        <v>37.5</v>
      </c>
      <c r="Q948" s="99">
        <v>38.799999999999997</v>
      </c>
      <c r="R948" s="99">
        <v>40.200000000000003</v>
      </c>
      <c r="S948" s="99">
        <v>43</v>
      </c>
      <c r="T948" s="99">
        <v>45.9</v>
      </c>
      <c r="U948" s="99">
        <v>49.6</v>
      </c>
      <c r="V948" s="99">
        <v>53</v>
      </c>
      <c r="W948" s="99">
        <v>56</v>
      </c>
      <c r="X948" s="99">
        <v>60.9</v>
      </c>
      <c r="Y948" s="394"/>
      <c r="AB948" s="99">
        <v>63.3</v>
      </c>
      <c r="AC948" s="159">
        <v>66.7</v>
      </c>
    </row>
    <row r="949" spans="12:29" ht="12" hidden="1" customHeight="1" x14ac:dyDescent="0.3">
      <c r="L949" s="124"/>
      <c r="M949" s="98" t="s">
        <v>1176</v>
      </c>
      <c r="N949" s="112" t="s">
        <v>1174</v>
      </c>
      <c r="O949" s="99">
        <v>380</v>
      </c>
      <c r="P949" s="99">
        <v>391</v>
      </c>
      <c r="Q949" s="99">
        <v>405.8</v>
      </c>
      <c r="R949" s="99">
        <v>419.1</v>
      </c>
      <c r="S949" s="99">
        <v>430.3</v>
      </c>
      <c r="T949" s="99">
        <v>442.3</v>
      </c>
      <c r="U949" s="99">
        <v>456</v>
      </c>
      <c r="V949" s="99">
        <v>467.3</v>
      </c>
      <c r="W949" s="99">
        <v>477.1</v>
      </c>
      <c r="X949" s="99">
        <v>505.9</v>
      </c>
      <c r="Y949" s="394"/>
      <c r="AB949" s="99">
        <v>512.1</v>
      </c>
      <c r="AC949" s="159">
        <v>519.1</v>
      </c>
    </row>
    <row r="950" spans="12:29" ht="12" hidden="1" customHeight="1" x14ac:dyDescent="0.3">
      <c r="L950" s="124"/>
      <c r="M950" s="98" t="s">
        <v>1177</v>
      </c>
      <c r="N950" s="112" t="s">
        <v>1174</v>
      </c>
      <c r="O950" s="99">
        <v>135.69999999999999</v>
      </c>
      <c r="P950" s="99">
        <v>145.5</v>
      </c>
      <c r="Q950" s="99">
        <v>157.5</v>
      </c>
      <c r="R950" s="99">
        <v>169.2</v>
      </c>
      <c r="S950" s="99">
        <v>179.7</v>
      </c>
      <c r="T950" s="99">
        <v>188.4</v>
      </c>
      <c r="U950" s="99">
        <v>197.5</v>
      </c>
      <c r="V950" s="99">
        <v>205.6</v>
      </c>
      <c r="W950" s="99">
        <v>213.4</v>
      </c>
      <c r="X950" s="99">
        <v>228.1</v>
      </c>
      <c r="Y950" s="394"/>
      <c r="AB950" s="99">
        <v>233.3</v>
      </c>
      <c r="AC950" s="159">
        <v>240.1</v>
      </c>
    </row>
    <row r="951" spans="12:29" ht="12" hidden="1" customHeight="1" x14ac:dyDescent="0.3">
      <c r="L951" s="124"/>
      <c r="M951" s="128" t="s">
        <v>980</v>
      </c>
      <c r="N951" s="129" t="s">
        <v>68</v>
      </c>
      <c r="O951" s="130">
        <f>IFERROR(SUM(O948:O950)/O947,"")</f>
        <v>1</v>
      </c>
      <c r="P951" s="130">
        <f t="shared" ref="P951:X951" si="1162">IFERROR(SUM(P948:P950)/P947,"")</f>
        <v>1</v>
      </c>
      <c r="Q951" s="130">
        <f t="shared" si="1162"/>
        <v>1</v>
      </c>
      <c r="R951" s="130">
        <f t="shared" si="1162"/>
        <v>1</v>
      </c>
      <c r="S951" s="130">
        <f t="shared" si="1162"/>
        <v>1</v>
      </c>
      <c r="T951" s="130">
        <f t="shared" si="1162"/>
        <v>1</v>
      </c>
      <c r="U951" s="130">
        <f t="shared" si="1162"/>
        <v>1</v>
      </c>
      <c r="V951" s="130">
        <f t="shared" si="1162"/>
        <v>1</v>
      </c>
      <c r="W951" s="130">
        <f t="shared" si="1162"/>
        <v>1</v>
      </c>
      <c r="X951" s="130">
        <f t="shared" si="1162"/>
        <v>1</v>
      </c>
      <c r="Y951" s="394"/>
      <c r="AB951" s="130">
        <f>IFERROR(SUM(AB948:AB950)/AB947,"")</f>
        <v>1</v>
      </c>
      <c r="AC951" s="160">
        <f>IFERROR(SUM(AC948:AC950)/AC947,"")</f>
        <v>1</v>
      </c>
    </row>
    <row r="952" spans="12:29" ht="12" hidden="1" customHeight="1" x14ac:dyDescent="0.3">
      <c r="L952" s="124"/>
      <c r="M952" s="111"/>
      <c r="N952" s="111"/>
      <c r="O952" s="111"/>
      <c r="P952" s="111"/>
      <c r="Q952" s="111"/>
      <c r="R952" s="111"/>
      <c r="S952" s="111"/>
      <c r="T952" s="111"/>
      <c r="U952" s="111"/>
      <c r="V952" s="111"/>
      <c r="W952" s="111"/>
      <c r="X952" s="111"/>
      <c r="Y952" s="394"/>
      <c r="AB952" s="111"/>
      <c r="AC952" s="111"/>
    </row>
    <row r="953" spans="12:29" ht="12" hidden="1" customHeight="1" x14ac:dyDescent="0.3">
      <c r="L953" s="124"/>
      <c r="M953" s="98" t="s">
        <v>1178</v>
      </c>
      <c r="N953" s="112" t="s">
        <v>1174</v>
      </c>
      <c r="O953" s="99">
        <v>415.57799999999997</v>
      </c>
      <c r="P953" s="99">
        <v>420</v>
      </c>
      <c r="Q953" s="99">
        <v>424.3</v>
      </c>
      <c r="R953" s="99">
        <v>426.4</v>
      </c>
      <c r="S953" s="99">
        <v>429</v>
      </c>
      <c r="T953" s="99">
        <v>434.1</v>
      </c>
      <c r="U953" s="99">
        <v>443.1</v>
      </c>
      <c r="V953" s="99">
        <v>449.3</v>
      </c>
      <c r="W953" s="99">
        <v>453</v>
      </c>
      <c r="X953" s="99">
        <v>477.2</v>
      </c>
      <c r="Y953" s="394"/>
      <c r="AB953" s="99">
        <v>478.1</v>
      </c>
      <c r="AC953" s="159">
        <v>480.3</v>
      </c>
    </row>
    <row r="954" spans="12:29" ht="12" hidden="1" customHeight="1" x14ac:dyDescent="0.3">
      <c r="L954" s="124"/>
      <c r="M954" s="98" t="s">
        <v>1179</v>
      </c>
      <c r="N954" s="112" t="s">
        <v>1174</v>
      </c>
      <c r="O954" s="99">
        <v>137.08199999999999</v>
      </c>
      <c r="P954" s="99">
        <v>154</v>
      </c>
      <c r="Q954" s="99">
        <v>177.2</v>
      </c>
      <c r="R954" s="99">
        <v>201.3</v>
      </c>
      <c r="S954" s="99">
        <v>222.7</v>
      </c>
      <c r="T954" s="99">
        <v>241</v>
      </c>
      <c r="U954" s="99">
        <v>258.39999999999998</v>
      </c>
      <c r="V954" s="99">
        <v>274.8</v>
      </c>
      <c r="W954" s="99">
        <v>291.60000000000002</v>
      </c>
      <c r="X954" s="99">
        <v>315</v>
      </c>
      <c r="Y954" s="394"/>
      <c r="AB954" s="99">
        <v>326.7</v>
      </c>
      <c r="AC954" s="159">
        <v>340.6</v>
      </c>
    </row>
    <row r="955" spans="12:29" ht="12" hidden="1" customHeight="1" x14ac:dyDescent="0.3">
      <c r="L955" s="124"/>
      <c r="M955" s="98" t="s">
        <v>1180</v>
      </c>
      <c r="N955" s="112" t="s">
        <v>1174</v>
      </c>
      <c r="O955" s="99">
        <v>1.9E-2</v>
      </c>
      <c r="P955" s="99">
        <v>0</v>
      </c>
      <c r="Q955" s="99">
        <v>0</v>
      </c>
      <c r="R955" s="99">
        <v>0.1</v>
      </c>
      <c r="S955" s="99">
        <v>0.23</v>
      </c>
      <c r="T955" s="99">
        <v>0.4</v>
      </c>
      <c r="U955" s="99">
        <v>0.4</v>
      </c>
      <c r="V955" s="99">
        <v>0.6</v>
      </c>
      <c r="W955" s="99">
        <v>0.6</v>
      </c>
      <c r="X955" s="99">
        <v>1.3</v>
      </c>
      <c r="Y955" s="394"/>
      <c r="AB955" s="99">
        <v>2.1</v>
      </c>
      <c r="AC955" s="159">
        <v>2.6</v>
      </c>
    </row>
    <row r="956" spans="12:29" ht="12" hidden="1" customHeight="1" x14ac:dyDescent="0.3">
      <c r="L956" s="124"/>
      <c r="M956" s="98" t="s">
        <v>1181</v>
      </c>
      <c r="N956" s="112" t="s">
        <v>1174</v>
      </c>
      <c r="O956" s="131"/>
      <c r="P956" s="131"/>
      <c r="Q956" s="131"/>
      <c r="R956" s="131"/>
      <c r="S956" s="131"/>
      <c r="T956" s="131"/>
      <c r="U956" s="131"/>
      <c r="V956" s="132"/>
      <c r="W956" s="132"/>
      <c r="X956" s="132"/>
      <c r="Y956" s="394"/>
      <c r="AB956" s="132"/>
      <c r="AC956" s="161"/>
    </row>
    <row r="957" spans="12:29" ht="12" hidden="1" customHeight="1" x14ac:dyDescent="0.3">
      <c r="L957" s="124"/>
      <c r="M957" s="98" t="s">
        <v>1182</v>
      </c>
      <c r="N957" s="112" t="s">
        <v>1174</v>
      </c>
      <c r="O957" s="99">
        <v>5.0000000000000001E-3</v>
      </c>
      <c r="P957" s="99">
        <v>0</v>
      </c>
      <c r="Q957" s="99">
        <v>0.6</v>
      </c>
      <c r="R957" s="99">
        <v>0.7</v>
      </c>
      <c r="S957" s="99">
        <v>1.07</v>
      </c>
      <c r="T957" s="99">
        <v>1.1000000000000001</v>
      </c>
      <c r="U957" s="99">
        <v>1.2</v>
      </c>
      <c r="V957" s="99">
        <v>1.2</v>
      </c>
      <c r="W957" s="99">
        <v>1.3</v>
      </c>
      <c r="X957" s="99">
        <v>1.3836646761106499</v>
      </c>
      <c r="Y957" s="394"/>
      <c r="AB957" s="99">
        <v>1.8</v>
      </c>
      <c r="AC957" s="159">
        <v>2.4</v>
      </c>
    </row>
    <row r="958" spans="12:29" ht="12" hidden="1" customHeight="1" x14ac:dyDescent="0.3">
      <c r="L958" s="124"/>
      <c r="M958" s="98" t="s">
        <v>1183</v>
      </c>
      <c r="N958" s="112" t="s">
        <v>1174</v>
      </c>
      <c r="O958" s="99">
        <v>0</v>
      </c>
      <c r="P958" s="99">
        <v>0</v>
      </c>
      <c r="Q958" s="99">
        <v>0</v>
      </c>
      <c r="R958" s="99">
        <v>0.2</v>
      </c>
      <c r="S958" s="99">
        <v>0.3</v>
      </c>
      <c r="T958" s="99">
        <v>0.4</v>
      </c>
      <c r="U958" s="99">
        <v>0.8</v>
      </c>
      <c r="V958" s="99">
        <v>1.2</v>
      </c>
      <c r="W958" s="99">
        <v>1.6</v>
      </c>
      <c r="X958" s="99">
        <v>2.7</v>
      </c>
      <c r="Y958" s="394"/>
      <c r="AB958" s="99">
        <v>2.8</v>
      </c>
      <c r="AC958" s="159">
        <v>6.6</v>
      </c>
    </row>
    <row r="959" spans="12:29" ht="12" hidden="1" customHeight="1" x14ac:dyDescent="0.3">
      <c r="L959" s="124"/>
      <c r="M959" s="128" t="s">
        <v>980</v>
      </c>
      <c r="N959" s="129" t="s">
        <v>68</v>
      </c>
      <c r="O959" s="130">
        <f t="shared" ref="O959:X959" si="1163">IFERROR(SUM(O953:O958)/O947,"")</f>
        <v>0.99997105120318419</v>
      </c>
      <c r="P959" s="130">
        <f t="shared" si="1163"/>
        <v>1</v>
      </c>
      <c r="Q959" s="130">
        <f t="shared" si="1163"/>
        <v>1</v>
      </c>
      <c r="R959" s="130">
        <f t="shared" si="1163"/>
        <v>1.0003182179793162</v>
      </c>
      <c r="S959" s="130">
        <f t="shared" si="1163"/>
        <v>1.0004594180704443</v>
      </c>
      <c r="T959" s="130">
        <f t="shared" si="1163"/>
        <v>1.0005911912503695</v>
      </c>
      <c r="U959" s="130">
        <f t="shared" si="1163"/>
        <v>1.0011378182335371</v>
      </c>
      <c r="V959" s="130">
        <f t="shared" si="1163"/>
        <v>1.0016531202644994</v>
      </c>
      <c r="W959" s="130">
        <f t="shared" si="1163"/>
        <v>1.0021433355659746</v>
      </c>
      <c r="X959" s="130">
        <f t="shared" si="1163"/>
        <v>1.0033761035049826</v>
      </c>
      <c r="Y959" s="394"/>
      <c r="AB959" s="130">
        <f>IFERROR(SUM(AB953:AB958)/AB947,"")</f>
        <v>1.0034623469766291</v>
      </c>
      <c r="AC959" s="160">
        <f>IFERROR(SUM(AC953:AC958)/AC947,"")</f>
        <v>1.007991282237559</v>
      </c>
    </row>
    <row r="960" spans="12:29" ht="12" hidden="1" customHeight="1" x14ac:dyDescent="0.3">
      <c r="L960" s="124"/>
      <c r="M960" s="98"/>
      <c r="N960" s="129"/>
      <c r="O960" s="111"/>
      <c r="P960" s="111"/>
      <c r="Q960" s="111"/>
      <c r="R960" s="111"/>
      <c r="S960" s="111"/>
      <c r="T960" s="111"/>
      <c r="U960" s="111"/>
      <c r="V960" s="111"/>
      <c r="W960" s="111"/>
      <c r="X960" s="111"/>
      <c r="Y960" s="394"/>
      <c r="AB960" s="111"/>
      <c r="AC960" s="111"/>
    </row>
    <row r="961" spans="12:29" ht="12" hidden="1" customHeight="1" x14ac:dyDescent="0.3">
      <c r="L961" s="124"/>
      <c r="M961" s="111" t="s">
        <v>1184</v>
      </c>
      <c r="N961" s="133"/>
      <c r="O961" s="111"/>
      <c r="P961" s="111"/>
      <c r="Q961" s="111"/>
      <c r="R961" s="111"/>
      <c r="S961" s="111"/>
      <c r="T961" s="111"/>
      <c r="U961" s="111"/>
      <c r="V961" s="111"/>
      <c r="W961" s="111"/>
      <c r="X961" s="111"/>
      <c r="Y961" s="394"/>
      <c r="AB961" s="111"/>
      <c r="AC961" s="111"/>
    </row>
    <row r="962" spans="12:29" ht="12" hidden="1" customHeight="1" x14ac:dyDescent="0.3">
      <c r="L962" s="124"/>
      <c r="M962" s="111" t="s">
        <v>1185</v>
      </c>
      <c r="N962" s="126" t="s">
        <v>1174</v>
      </c>
      <c r="O962" s="97">
        <v>10.294</v>
      </c>
      <c r="P962" s="97">
        <v>17</v>
      </c>
      <c r="Q962" s="97">
        <v>19.399999999999999</v>
      </c>
      <c r="R962" s="97">
        <v>19.7</v>
      </c>
      <c r="S962" s="97">
        <v>21.1</v>
      </c>
      <c r="T962" s="97">
        <v>21.064</v>
      </c>
      <c r="U962" s="97">
        <v>23</v>
      </c>
      <c r="V962" s="97">
        <v>25.623000000000001</v>
      </c>
      <c r="W962" s="97">
        <v>26.3</v>
      </c>
      <c r="X962" s="97">
        <v>27.584</v>
      </c>
      <c r="Y962" s="394"/>
      <c r="AB962" s="97">
        <v>19.3</v>
      </c>
      <c r="AC962" s="158">
        <v>22.6</v>
      </c>
    </row>
    <row r="963" spans="12:29" ht="12" hidden="1" customHeight="1" x14ac:dyDescent="0.3">
      <c r="L963" s="124"/>
      <c r="M963" s="98" t="s">
        <v>1186</v>
      </c>
      <c r="N963" s="112" t="s">
        <v>68</v>
      </c>
      <c r="O963" s="99"/>
      <c r="P963" s="99"/>
      <c r="Q963" s="99"/>
      <c r="R963" s="99"/>
      <c r="S963" s="99"/>
      <c r="T963" s="99"/>
      <c r="U963" s="99"/>
      <c r="V963" s="99"/>
      <c r="W963" s="99"/>
      <c r="X963" s="99"/>
      <c r="Y963" s="394"/>
      <c r="AB963" s="99"/>
      <c r="AC963" s="159"/>
    </row>
    <row r="964" spans="12:29" ht="12" hidden="1" customHeight="1" x14ac:dyDescent="0.3">
      <c r="L964" s="124"/>
      <c r="M964" s="98" t="s">
        <v>1187</v>
      </c>
      <c r="N964" s="112" t="s">
        <v>68</v>
      </c>
      <c r="O964" s="99"/>
      <c r="P964" s="99"/>
      <c r="Q964" s="99"/>
      <c r="R964" s="99"/>
      <c r="S964" s="99"/>
      <c r="T964" s="99"/>
      <c r="U964" s="99"/>
      <c r="V964" s="99"/>
      <c r="W964" s="99"/>
      <c r="X964" s="99"/>
      <c r="Y964" s="394"/>
      <c r="AB964" s="99"/>
      <c r="AC964" s="159"/>
    </row>
    <row r="965" spans="12:29" ht="12" hidden="1" customHeight="1" x14ac:dyDescent="0.3">
      <c r="L965" s="124"/>
      <c r="M965" s="98" t="s">
        <v>1188</v>
      </c>
      <c r="N965" s="112" t="s">
        <v>68</v>
      </c>
      <c r="O965" s="99"/>
      <c r="P965" s="99"/>
      <c r="Q965" s="99"/>
      <c r="R965" s="99"/>
      <c r="S965" s="99"/>
      <c r="T965" s="99"/>
      <c r="U965" s="99"/>
      <c r="V965" s="99"/>
      <c r="W965" s="99"/>
      <c r="X965" s="99"/>
      <c r="Y965" s="394"/>
      <c r="AB965" s="99"/>
      <c r="AC965" s="159"/>
    </row>
    <row r="966" spans="12:29" ht="12" hidden="1" customHeight="1" x14ac:dyDescent="0.3">
      <c r="L966" s="124"/>
      <c r="M966" s="98" t="s">
        <v>1189</v>
      </c>
      <c r="N966" s="112" t="s">
        <v>1174</v>
      </c>
      <c r="O966" s="99">
        <v>0.9</v>
      </c>
      <c r="P966" s="99">
        <v>1.8</v>
      </c>
      <c r="Q966" s="99">
        <v>2.5</v>
      </c>
      <c r="R966" s="99">
        <v>2.2999999999999998</v>
      </c>
      <c r="S966" s="99">
        <v>3.8</v>
      </c>
      <c r="T966" s="99">
        <v>4.2</v>
      </c>
      <c r="U966" s="99">
        <v>4.9000000000000004</v>
      </c>
      <c r="V966" s="99">
        <v>3.5298250447720076</v>
      </c>
      <c r="W966" s="99">
        <v>3.523107836570663</v>
      </c>
      <c r="X966" s="99">
        <v>6.2</v>
      </c>
      <c r="Y966" s="394"/>
      <c r="AB966" s="99">
        <v>4.5</v>
      </c>
      <c r="AC966" s="159">
        <v>5.4</v>
      </c>
    </row>
    <row r="967" spans="12:29" ht="12" hidden="1" customHeight="1" x14ac:dyDescent="0.3">
      <c r="L967" s="124"/>
      <c r="M967" s="98" t="s">
        <v>1190</v>
      </c>
      <c r="N967" s="112" t="s">
        <v>1174</v>
      </c>
      <c r="O967" s="99">
        <v>8</v>
      </c>
      <c r="P967" s="99">
        <v>12.8</v>
      </c>
      <c r="Q967" s="99">
        <v>14.3</v>
      </c>
      <c r="R967" s="99">
        <v>14.999999999999998</v>
      </c>
      <c r="S967" s="99">
        <v>14.5</v>
      </c>
      <c r="T967" s="99">
        <v>14.7</v>
      </c>
      <c r="U967" s="99">
        <v>15.6</v>
      </c>
      <c r="V967" s="99">
        <v>5.7</v>
      </c>
      <c r="W967" s="99">
        <v>6.3</v>
      </c>
      <c r="X967" s="99">
        <v>18.600000000000001</v>
      </c>
      <c r="Y967" s="394"/>
      <c r="AB967" s="99">
        <v>12.8</v>
      </c>
      <c r="AC967" s="159">
        <v>14.3</v>
      </c>
    </row>
    <row r="968" spans="12:29" ht="12" hidden="1" customHeight="1" x14ac:dyDescent="0.3">
      <c r="L968" s="124"/>
      <c r="M968" s="98" t="s">
        <v>1191</v>
      </c>
      <c r="N968" s="112" t="s">
        <v>1174</v>
      </c>
      <c r="O968" s="99">
        <v>1.4</v>
      </c>
      <c r="P968" s="99">
        <v>2.4</v>
      </c>
      <c r="Q968" s="99">
        <v>2.6</v>
      </c>
      <c r="R968" s="99">
        <v>2.4</v>
      </c>
      <c r="S968" s="99">
        <v>2.8</v>
      </c>
      <c r="T968" s="99">
        <v>2.2000000000000002</v>
      </c>
      <c r="U968" s="99">
        <v>2.5</v>
      </c>
      <c r="V968" s="99">
        <v>16.399999999999999</v>
      </c>
      <c r="W968" s="99">
        <v>16.5</v>
      </c>
      <c r="X968" s="99">
        <v>2.8</v>
      </c>
      <c r="Y968" s="394"/>
      <c r="AB968" s="99">
        <v>2</v>
      </c>
      <c r="AC968" s="159">
        <v>2.9</v>
      </c>
    </row>
    <row r="969" spans="12:29" ht="12" hidden="1" customHeight="1" x14ac:dyDescent="0.3">
      <c r="L969" s="124"/>
      <c r="M969" s="128" t="s">
        <v>980</v>
      </c>
      <c r="N969" s="129" t="s">
        <v>68</v>
      </c>
      <c r="O969" s="130">
        <f>IFERROR(SUM(O966:O968)/O962,"")</f>
        <v>1.0005828638041578</v>
      </c>
      <c r="P969" s="130">
        <f t="shared" ref="P969:X969" si="1164">IFERROR(SUM(P966:P968)/P962,"")</f>
        <v>1</v>
      </c>
      <c r="Q969" s="130">
        <f t="shared" si="1164"/>
        <v>1.0000000000000002</v>
      </c>
      <c r="R969" s="130">
        <f t="shared" si="1164"/>
        <v>0.99999999999999978</v>
      </c>
      <c r="S969" s="130">
        <f t="shared" si="1164"/>
        <v>1</v>
      </c>
      <c r="T969" s="130">
        <f t="shared" si="1164"/>
        <v>1.0017090770983668</v>
      </c>
      <c r="U969" s="130">
        <f t="shared" si="1164"/>
        <v>1</v>
      </c>
      <c r="V969" s="130">
        <f t="shared" si="1164"/>
        <v>1.0002663640000002</v>
      </c>
      <c r="W969" s="130">
        <f t="shared" si="1164"/>
        <v>1.000878624964664</v>
      </c>
      <c r="X969" s="130">
        <f t="shared" si="1164"/>
        <v>1.0005800464037125</v>
      </c>
      <c r="Y969" s="394"/>
      <c r="AB969" s="130">
        <f>IFERROR(SUM(AB966:AB968)/AB962,"")</f>
        <v>1</v>
      </c>
      <c r="AC969" s="160">
        <f>IFERROR(SUM(AC966:AC968)/AC962,"")</f>
        <v>1</v>
      </c>
    </row>
    <row r="970" spans="12:29" ht="12" hidden="1" customHeight="1" x14ac:dyDescent="0.3">
      <c r="L970" s="124"/>
      <c r="M970" s="134"/>
      <c r="N970" s="134"/>
      <c r="O970" s="28"/>
      <c r="P970" s="28"/>
      <c r="Q970" s="28"/>
      <c r="R970" s="28"/>
      <c r="S970" s="28"/>
      <c r="T970" s="28"/>
      <c r="U970" s="28"/>
      <c r="V970" s="28"/>
      <c r="W970" s="28"/>
      <c r="X970" s="28"/>
      <c r="Y970" s="394"/>
      <c r="AB970" s="28"/>
      <c r="AC970" s="28"/>
    </row>
    <row r="971" spans="12:29" ht="12" hidden="1" customHeight="1" x14ac:dyDescent="0.3">
      <c r="L971" s="124"/>
      <c r="M971" s="135" t="s">
        <v>1192</v>
      </c>
      <c r="N971" s="126" t="s">
        <v>1174</v>
      </c>
      <c r="O971" s="99">
        <v>6.9</v>
      </c>
      <c r="P971" s="99">
        <v>11.4</v>
      </c>
      <c r="Q971" s="99">
        <v>12</v>
      </c>
      <c r="R971" s="99">
        <v>12</v>
      </c>
      <c r="S971" s="99">
        <v>12.8</v>
      </c>
      <c r="T971" s="99">
        <v>13.7</v>
      </c>
      <c r="U971" s="99">
        <v>15.8</v>
      </c>
      <c r="V971" s="99">
        <v>18</v>
      </c>
      <c r="W971" s="99">
        <v>18.100000000000001</v>
      </c>
      <c r="X971" s="99">
        <v>18</v>
      </c>
      <c r="Y971" s="394"/>
      <c r="AB971" s="99">
        <v>10.6</v>
      </c>
      <c r="AC971" s="159">
        <v>10.8</v>
      </c>
    </row>
    <row r="972" spans="12:29" ht="12" hidden="1" customHeight="1" x14ac:dyDescent="0.3">
      <c r="L972" s="124"/>
      <c r="M972" s="98" t="s">
        <v>1193</v>
      </c>
      <c r="N972" s="112" t="s">
        <v>1174</v>
      </c>
      <c r="O972" s="99">
        <v>3.4</v>
      </c>
      <c r="P972" s="99">
        <v>5.6</v>
      </c>
      <c r="Q972" s="99">
        <v>6.9</v>
      </c>
      <c r="R972" s="99">
        <v>7.4</v>
      </c>
      <c r="S972" s="99">
        <v>7.7</v>
      </c>
      <c r="T972" s="99">
        <v>7</v>
      </c>
      <c r="U972" s="99">
        <v>6.4</v>
      </c>
      <c r="V972" s="99">
        <v>6.4</v>
      </c>
      <c r="W972" s="99">
        <v>6.5</v>
      </c>
      <c r="X972" s="99">
        <v>6.2</v>
      </c>
      <c r="Y972" s="394"/>
      <c r="AB972" s="99">
        <v>4.9000000000000004</v>
      </c>
      <c r="AC972" s="159">
        <v>4.2</v>
      </c>
    </row>
    <row r="973" spans="12:29" ht="12" hidden="1" customHeight="1" x14ac:dyDescent="0.3">
      <c r="L973" s="124"/>
      <c r="M973" s="98" t="s">
        <v>1194</v>
      </c>
      <c r="N973" s="112" t="s">
        <v>1174</v>
      </c>
      <c r="O973" s="99">
        <v>0</v>
      </c>
      <c r="P973" s="99">
        <v>0</v>
      </c>
      <c r="Q973" s="99">
        <v>0</v>
      </c>
      <c r="R973" s="99">
        <v>0</v>
      </c>
      <c r="S973" s="99">
        <v>0</v>
      </c>
      <c r="T973" s="99">
        <v>0.01</v>
      </c>
      <c r="U973" s="99">
        <v>0</v>
      </c>
      <c r="V973" s="99">
        <v>0</v>
      </c>
      <c r="W973" s="99">
        <v>0</v>
      </c>
      <c r="X973" s="99">
        <v>0.6</v>
      </c>
      <c r="Y973" s="394"/>
      <c r="AB973" s="99">
        <v>0.7</v>
      </c>
      <c r="AC973" s="159">
        <v>0.5</v>
      </c>
    </row>
    <row r="974" spans="12:29" ht="12" hidden="1" customHeight="1" x14ac:dyDescent="0.3">
      <c r="L974" s="124"/>
      <c r="M974" s="98" t="s">
        <v>1195</v>
      </c>
      <c r="N974" s="112" t="s">
        <v>1174</v>
      </c>
      <c r="O974" s="99"/>
      <c r="P974" s="99"/>
      <c r="Q974" s="99"/>
      <c r="R974" s="99"/>
      <c r="S974" s="99"/>
      <c r="T974" s="99"/>
      <c r="U974" s="99"/>
      <c r="V974" s="99"/>
      <c r="W974" s="99"/>
      <c r="X974" s="99"/>
      <c r="Y974" s="394"/>
      <c r="AB974" s="99"/>
      <c r="AC974" s="159"/>
    </row>
    <row r="975" spans="12:29" ht="12" hidden="1" customHeight="1" x14ac:dyDescent="0.3">
      <c r="L975" s="124"/>
      <c r="M975" s="98" t="s">
        <v>1196</v>
      </c>
      <c r="N975" s="112" t="s">
        <v>1174</v>
      </c>
      <c r="O975" s="99">
        <v>0</v>
      </c>
      <c r="P975" s="99">
        <v>0</v>
      </c>
      <c r="Q975" s="99">
        <v>0.5</v>
      </c>
      <c r="R975" s="99">
        <v>0.1</v>
      </c>
      <c r="S975" s="99">
        <v>0.3</v>
      </c>
      <c r="T975" s="99">
        <v>0.03</v>
      </c>
      <c r="U975" s="99">
        <v>0.03</v>
      </c>
      <c r="V975" s="99">
        <v>0.03</v>
      </c>
      <c r="W975" s="99">
        <v>0.08</v>
      </c>
      <c r="X975" s="99">
        <v>8.55104E-2</v>
      </c>
      <c r="Y975" s="394"/>
      <c r="AB975" s="99">
        <v>0.3</v>
      </c>
      <c r="AC975" s="159">
        <v>0.5</v>
      </c>
    </row>
    <row r="976" spans="12:29" ht="12" hidden="1" customHeight="1" x14ac:dyDescent="0.3">
      <c r="L976" s="124"/>
      <c r="M976" s="98" t="s">
        <v>1197</v>
      </c>
      <c r="N976" s="112" t="s">
        <v>1174</v>
      </c>
      <c r="O976" s="99">
        <v>0</v>
      </c>
      <c r="P976" s="99">
        <v>0</v>
      </c>
      <c r="Q976" s="99">
        <v>0</v>
      </c>
      <c r="R976" s="99">
        <v>0.2</v>
      </c>
      <c r="S976" s="99">
        <v>0.3</v>
      </c>
      <c r="T976" s="99">
        <v>0.4</v>
      </c>
      <c r="U976" s="99">
        <v>0.8</v>
      </c>
      <c r="V976" s="99">
        <v>1.2</v>
      </c>
      <c r="W976" s="99">
        <v>1.6</v>
      </c>
      <c r="X976" s="99">
        <v>2.7</v>
      </c>
      <c r="Y976" s="394"/>
      <c r="AB976" s="99">
        <v>2.8</v>
      </c>
      <c r="AC976" s="159">
        <v>6.6</v>
      </c>
    </row>
    <row r="977" spans="12:29" ht="12" hidden="1" customHeight="1" x14ac:dyDescent="0.3">
      <c r="L977" s="124"/>
      <c r="M977" s="98" t="s">
        <v>1198</v>
      </c>
      <c r="N977" s="112" t="s">
        <v>1174</v>
      </c>
      <c r="O977" s="99"/>
      <c r="P977" s="99"/>
      <c r="Q977" s="99"/>
      <c r="R977" s="99"/>
      <c r="S977" s="99"/>
      <c r="T977" s="99"/>
      <c r="U977" s="99"/>
      <c r="V977" s="99"/>
      <c r="W977" s="99"/>
      <c r="X977" s="99"/>
      <c r="Y977" s="394"/>
      <c r="AB977" s="100"/>
      <c r="AC977" s="162"/>
    </row>
    <row r="978" spans="12:29" ht="12" hidden="1" customHeight="1" x14ac:dyDescent="0.3">
      <c r="L978" s="124"/>
      <c r="M978" s="128" t="s">
        <v>980</v>
      </c>
      <c r="N978" s="129" t="s">
        <v>68</v>
      </c>
      <c r="O978" s="130">
        <f>IFERROR(SUM(O971:O977)/O962,"")</f>
        <v>1.0005828638041578</v>
      </c>
      <c r="P978" s="130">
        <f t="shared" ref="P978:X978" si="1165">IFERROR(SUM(P971:P977)/P962,"")</f>
        <v>1</v>
      </c>
      <c r="Q978" s="130">
        <f t="shared" si="1165"/>
        <v>1</v>
      </c>
      <c r="R978" s="130">
        <f t="shared" si="1165"/>
        <v>1</v>
      </c>
      <c r="S978" s="130">
        <f t="shared" si="1165"/>
        <v>1</v>
      </c>
      <c r="T978" s="130">
        <f t="shared" si="1165"/>
        <v>1.003608051652108</v>
      </c>
      <c r="U978" s="130">
        <f t="shared" si="1165"/>
        <v>1.0013043478260872</v>
      </c>
      <c r="V978" s="130">
        <f t="shared" si="1165"/>
        <v>1.000273192054014</v>
      </c>
      <c r="W978" s="130">
        <f t="shared" si="1165"/>
        <v>0.9992395437262358</v>
      </c>
      <c r="X978" s="130">
        <f t="shared" si="1165"/>
        <v>1.0000547563805104</v>
      </c>
      <c r="Y978" s="394"/>
      <c r="AB978" s="130">
        <f>IFERROR(SUM(AB971:AB977)/AB962,"")</f>
        <v>1</v>
      </c>
      <c r="AC978" s="160">
        <f>IFERROR(SUM(AC971:AC977)/AC962,"")</f>
        <v>1</v>
      </c>
    </row>
    <row r="979" spans="12:29" ht="12" hidden="1" customHeight="1" x14ac:dyDescent="0.3">
      <c r="L979" s="124"/>
      <c r="M979" s="134"/>
      <c r="N979" s="134"/>
      <c r="O979" s="134"/>
      <c r="P979" s="134"/>
      <c r="Q979" s="134"/>
      <c r="R979" s="134"/>
      <c r="S979" s="134"/>
      <c r="T979" s="134"/>
      <c r="U979" s="134"/>
      <c r="V979" s="134"/>
      <c r="W979" s="134"/>
      <c r="X979" s="134"/>
      <c r="Y979" s="394"/>
      <c r="AB979" s="134"/>
      <c r="AC979" s="134"/>
    </row>
    <row r="980" spans="12:29" ht="12" hidden="1" customHeight="1" x14ac:dyDescent="0.3">
      <c r="L980" s="124"/>
      <c r="M980" s="125" t="s">
        <v>1199</v>
      </c>
      <c r="N980" s="134"/>
      <c r="O980" s="134"/>
      <c r="P980" s="134"/>
      <c r="Q980" s="134"/>
      <c r="R980" s="134"/>
      <c r="S980" s="134"/>
      <c r="T980" s="134"/>
      <c r="U980" s="134"/>
      <c r="V980" s="134"/>
      <c r="W980" s="134"/>
      <c r="X980" s="134"/>
      <c r="Y980" s="394"/>
      <c r="AB980" s="134"/>
      <c r="AC980" s="134"/>
    </row>
    <row r="981" spans="12:29" ht="12" hidden="1" customHeight="1" x14ac:dyDescent="0.3">
      <c r="L981" s="124"/>
      <c r="M981" s="135" t="s">
        <v>1200</v>
      </c>
      <c r="N981" s="126" t="s">
        <v>1174</v>
      </c>
      <c r="O981" s="99">
        <v>19.7</v>
      </c>
      <c r="P981" s="99">
        <v>23.2</v>
      </c>
      <c r="Q981" s="99">
        <v>35.200000000000003</v>
      </c>
      <c r="R981" s="99">
        <v>38.700000000000003</v>
      </c>
      <c r="S981" s="99">
        <v>42.3</v>
      </c>
      <c r="T981" s="99">
        <v>45.5</v>
      </c>
      <c r="U981" s="99">
        <v>48.8</v>
      </c>
      <c r="V981" s="99">
        <v>51.7</v>
      </c>
      <c r="W981" s="99">
        <v>54.5</v>
      </c>
      <c r="X981" s="99">
        <v>57.866999999999997</v>
      </c>
      <c r="Y981" s="394"/>
      <c r="AB981" s="99">
        <v>60.656999999999996</v>
      </c>
      <c r="AC981" s="159">
        <v>63.6</v>
      </c>
    </row>
    <row r="982" spans="12:29" ht="12" hidden="1" customHeight="1" x14ac:dyDescent="0.3">
      <c r="L982" s="124"/>
      <c r="M982" s="98" t="s">
        <v>1201</v>
      </c>
      <c r="N982" s="112" t="s">
        <v>1174</v>
      </c>
      <c r="O982" s="99">
        <v>0.48</v>
      </c>
      <c r="P982" s="99">
        <v>0.56999999999999995</v>
      </c>
      <c r="Q982" s="99">
        <v>1.33</v>
      </c>
      <c r="R982" s="99">
        <v>1.5</v>
      </c>
      <c r="S982" s="99">
        <v>1.72</v>
      </c>
      <c r="T982" s="99">
        <v>1.621</v>
      </c>
      <c r="U982" s="99">
        <v>1.782</v>
      </c>
      <c r="V982" s="99">
        <v>1.292</v>
      </c>
      <c r="W982" s="99">
        <v>1.3720000000000001</v>
      </c>
      <c r="X982" s="99">
        <v>1.3859999999999999</v>
      </c>
      <c r="Y982" s="394"/>
      <c r="AB982" s="99">
        <v>1.4060000000000001</v>
      </c>
      <c r="AC982" s="159">
        <v>1.6440000000000001</v>
      </c>
    </row>
    <row r="983" spans="12:29" ht="12" hidden="1" customHeight="1" x14ac:dyDescent="0.3">
      <c r="L983" s="124"/>
      <c r="M983" s="134"/>
      <c r="N983" s="136"/>
      <c r="O983" s="134"/>
      <c r="P983" s="134"/>
      <c r="Q983" s="134"/>
      <c r="R983" s="134"/>
      <c r="S983" s="134"/>
      <c r="T983" s="134"/>
      <c r="U983" s="134"/>
      <c r="V983" s="134"/>
      <c r="W983" s="134"/>
      <c r="X983" s="134"/>
      <c r="Y983" s="394"/>
      <c r="AB983" s="134"/>
      <c r="AC983" s="134"/>
    </row>
    <row r="984" spans="12:29" ht="12" hidden="1" customHeight="1" x14ac:dyDescent="0.3">
      <c r="L984" s="124"/>
      <c r="M984" s="134"/>
      <c r="N984" s="136"/>
      <c r="O984" s="134"/>
      <c r="P984" s="134"/>
      <c r="Q984" s="134"/>
      <c r="R984" s="134"/>
      <c r="S984" s="134"/>
      <c r="T984" s="134"/>
      <c r="U984" s="134"/>
      <c r="V984" s="134"/>
      <c r="W984" s="134"/>
      <c r="X984" s="134"/>
      <c r="Y984" s="394"/>
      <c r="AB984" s="134"/>
      <c r="AC984" s="134"/>
    </row>
    <row r="985" spans="12:29" ht="12" hidden="1" customHeight="1" x14ac:dyDescent="0.3">
      <c r="L985" s="124"/>
      <c r="M985" s="125" t="s">
        <v>1202</v>
      </c>
      <c r="N985" s="136"/>
      <c r="O985" s="134"/>
      <c r="P985" s="134"/>
      <c r="Q985" s="134"/>
      <c r="R985" s="134"/>
      <c r="S985" s="134"/>
      <c r="T985" s="134"/>
      <c r="U985" s="134"/>
      <c r="V985" s="134"/>
      <c r="W985" s="134"/>
      <c r="X985" s="134"/>
      <c r="Y985" s="394"/>
      <c r="AB985" s="134"/>
      <c r="AC985" s="134"/>
    </row>
    <row r="986" spans="12:29" ht="12" hidden="1" customHeight="1" x14ac:dyDescent="0.3">
      <c r="L986" s="124"/>
      <c r="M986" s="134"/>
      <c r="N986" s="136"/>
      <c r="O986" s="134"/>
      <c r="P986" s="134"/>
      <c r="Q986" s="134"/>
      <c r="R986" s="134"/>
      <c r="S986" s="134"/>
      <c r="T986" s="134"/>
      <c r="U986" s="134"/>
      <c r="V986" s="134"/>
      <c r="W986" s="134"/>
      <c r="X986" s="134"/>
      <c r="Y986" s="394"/>
      <c r="AB986" s="134"/>
      <c r="AC986" s="134"/>
    </row>
    <row r="987" spans="12:29" ht="12" hidden="1" customHeight="1" x14ac:dyDescent="0.3">
      <c r="L987" s="124"/>
      <c r="M987" s="135" t="s">
        <v>1203</v>
      </c>
      <c r="N987" s="126" t="s">
        <v>1174</v>
      </c>
      <c r="O987" s="134"/>
      <c r="P987" s="134"/>
      <c r="Q987" s="134"/>
      <c r="R987" s="134"/>
      <c r="S987" s="134"/>
      <c r="T987" s="134"/>
      <c r="U987" s="134"/>
      <c r="V987" s="134"/>
      <c r="W987" s="134"/>
      <c r="X987" s="134"/>
      <c r="Y987" s="394"/>
      <c r="AB987" s="134"/>
      <c r="AC987" s="134"/>
    </row>
    <row r="988" spans="12:29" ht="12" hidden="1" customHeight="1" x14ac:dyDescent="0.3">
      <c r="L988" s="124"/>
      <c r="M988" s="135" t="s">
        <v>1203</v>
      </c>
      <c r="N988" s="126" t="s">
        <v>1174</v>
      </c>
      <c r="O988" s="97">
        <f t="shared" ref="O988:X988" si="1166">SUM(O989:O994)</f>
        <v>4.1669999999999998</v>
      </c>
      <c r="P988" s="97">
        <f t="shared" si="1166"/>
        <v>4.2</v>
      </c>
      <c r="Q988" s="97">
        <f t="shared" si="1166"/>
        <v>4.3</v>
      </c>
      <c r="R988" s="97">
        <f t="shared" si="1166"/>
        <v>4.5</v>
      </c>
      <c r="S988" s="97">
        <f t="shared" si="1166"/>
        <v>4.6000000000000005</v>
      </c>
      <c r="T988" s="97">
        <f t="shared" si="1166"/>
        <v>4.83</v>
      </c>
      <c r="U988" s="97">
        <f t="shared" si="1166"/>
        <v>4.7700000000000005</v>
      </c>
      <c r="V988" s="97">
        <f t="shared" si="1166"/>
        <v>4.91</v>
      </c>
      <c r="W988" s="97">
        <f t="shared" si="1166"/>
        <v>4.97</v>
      </c>
      <c r="X988" s="97">
        <f t="shared" si="1166"/>
        <v>5.2</v>
      </c>
      <c r="Y988" s="394"/>
      <c r="AB988" s="97">
        <f>SUM(AB989:AB994)</f>
        <v>5.2350000000000003</v>
      </c>
      <c r="AC988" s="158">
        <f>SUM(AC989:AC994)</f>
        <v>5.3000000000000007</v>
      </c>
    </row>
    <row r="989" spans="12:29" ht="12" hidden="1" customHeight="1" x14ac:dyDescent="0.3">
      <c r="L989" s="124"/>
      <c r="M989" s="98" t="s">
        <v>1204</v>
      </c>
      <c r="N989" s="112" t="s">
        <v>1174</v>
      </c>
      <c r="O989" s="99">
        <v>0.26900000000000002</v>
      </c>
      <c r="P989" s="99">
        <v>0.3</v>
      </c>
      <c r="Q989" s="99">
        <v>0.2</v>
      </c>
      <c r="R989" s="99">
        <v>0.2</v>
      </c>
      <c r="S989" s="99">
        <v>0.2</v>
      </c>
      <c r="T989" s="99">
        <v>0.2</v>
      </c>
      <c r="U989" s="99">
        <v>0.2</v>
      </c>
      <c r="V989" s="99">
        <v>0.2</v>
      </c>
      <c r="W989" s="99">
        <v>0.25</v>
      </c>
      <c r="X989" s="99">
        <v>0.2</v>
      </c>
      <c r="Y989" s="394"/>
      <c r="AB989" s="99">
        <v>0.23499999999999999</v>
      </c>
      <c r="AC989" s="159">
        <v>0.2</v>
      </c>
    </row>
    <row r="990" spans="12:29" ht="12" hidden="1" customHeight="1" x14ac:dyDescent="0.3">
      <c r="L990" s="124"/>
      <c r="M990" s="98" t="s">
        <v>1205</v>
      </c>
      <c r="N990" s="112" t="s">
        <v>1174</v>
      </c>
      <c r="O990" s="99">
        <v>3.8959999999999999</v>
      </c>
      <c r="P990" s="99">
        <v>3.9</v>
      </c>
      <c r="Q990" s="99">
        <v>4.0999999999999996</v>
      </c>
      <c r="R990" s="99">
        <v>4.3</v>
      </c>
      <c r="S990" s="99">
        <v>4.4000000000000004</v>
      </c>
      <c r="T990" s="99">
        <v>4.5</v>
      </c>
      <c r="U990" s="99">
        <v>4.5</v>
      </c>
      <c r="V990" s="99">
        <v>4.7</v>
      </c>
      <c r="W990" s="99">
        <v>4.71</v>
      </c>
      <c r="X990" s="99">
        <v>4.8</v>
      </c>
      <c r="Y990" s="394"/>
      <c r="AB990" s="99">
        <v>4.7</v>
      </c>
      <c r="AC990" s="159">
        <v>4.7</v>
      </c>
    </row>
    <row r="991" spans="12:29" ht="12" hidden="1" customHeight="1" x14ac:dyDescent="0.3">
      <c r="L991" s="124"/>
      <c r="M991" s="98" t="s">
        <v>1206</v>
      </c>
      <c r="N991" s="112" t="s">
        <v>1174</v>
      </c>
      <c r="O991" s="99">
        <v>2E-3</v>
      </c>
      <c r="P991" s="99">
        <v>0</v>
      </c>
      <c r="Q991" s="99">
        <v>0</v>
      </c>
      <c r="R991" s="99">
        <v>0</v>
      </c>
      <c r="S991" s="99">
        <v>0</v>
      </c>
      <c r="T991" s="99">
        <v>0.08</v>
      </c>
      <c r="U991" s="99">
        <v>0</v>
      </c>
      <c r="V991" s="99">
        <v>0</v>
      </c>
      <c r="W991" s="99">
        <v>0</v>
      </c>
      <c r="X991" s="99">
        <v>0</v>
      </c>
      <c r="Y991" s="394"/>
      <c r="AB991" s="99">
        <v>0</v>
      </c>
      <c r="AC991" s="159">
        <v>0</v>
      </c>
    </row>
    <row r="992" spans="12:29" ht="12" hidden="1" customHeight="1" x14ac:dyDescent="0.3">
      <c r="L992" s="124"/>
      <c r="M992" s="98" t="s">
        <v>1207</v>
      </c>
      <c r="N992" s="112" t="s">
        <v>1174</v>
      </c>
      <c r="O992" s="99"/>
      <c r="P992" s="99"/>
      <c r="Q992" s="99"/>
      <c r="R992" s="99"/>
      <c r="S992" s="99"/>
      <c r="T992" s="99"/>
      <c r="U992" s="99"/>
      <c r="V992" s="99"/>
      <c r="W992" s="99"/>
      <c r="X992" s="99"/>
      <c r="Y992" s="394"/>
      <c r="AB992" s="99"/>
      <c r="AC992" s="159"/>
    </row>
    <row r="993" spans="12:29" ht="12" hidden="1" customHeight="1" x14ac:dyDescent="0.3">
      <c r="L993" s="124"/>
      <c r="M993" s="98" t="s">
        <v>1208</v>
      </c>
      <c r="N993" s="112" t="s">
        <v>1174</v>
      </c>
      <c r="O993" s="99"/>
      <c r="P993" s="99"/>
      <c r="Q993" s="99"/>
      <c r="R993" s="99"/>
      <c r="S993" s="99"/>
      <c r="T993" s="99"/>
      <c r="U993" s="99"/>
      <c r="V993" s="99"/>
      <c r="W993" s="99"/>
      <c r="X993" s="99"/>
      <c r="Y993" s="394"/>
      <c r="AB993" s="99"/>
      <c r="AC993" s="159"/>
    </row>
    <row r="994" spans="12:29" ht="12" hidden="1" customHeight="1" x14ac:dyDescent="0.3">
      <c r="L994" s="124"/>
      <c r="M994" s="98" t="s">
        <v>1209</v>
      </c>
      <c r="N994" s="112" t="s">
        <v>1174</v>
      </c>
      <c r="O994" s="99">
        <v>0</v>
      </c>
      <c r="P994" s="99">
        <v>0</v>
      </c>
      <c r="Q994" s="99">
        <v>0</v>
      </c>
      <c r="R994" s="99">
        <v>0</v>
      </c>
      <c r="S994" s="99">
        <v>0</v>
      </c>
      <c r="T994" s="99">
        <v>0.05</v>
      </c>
      <c r="U994" s="99">
        <v>7.0000000000000007E-2</v>
      </c>
      <c r="V994" s="99">
        <v>0.01</v>
      </c>
      <c r="W994" s="99">
        <v>0.01</v>
      </c>
      <c r="X994" s="99">
        <v>0.2</v>
      </c>
      <c r="Y994" s="394"/>
      <c r="AB994" s="99">
        <v>0.3</v>
      </c>
      <c r="AC994" s="159">
        <v>0.4</v>
      </c>
    </row>
    <row r="995" spans="12:29" ht="12" hidden="1" customHeight="1" x14ac:dyDescent="0.3">
      <c r="L995" s="124"/>
      <c r="M995" s="128" t="s">
        <v>980</v>
      </c>
      <c r="N995" s="129" t="s">
        <v>68</v>
      </c>
      <c r="O995" s="130">
        <f t="shared" ref="O995:X995" si="1167">IFERROR(SUM(O989:O994)/O988,"")</f>
        <v>1</v>
      </c>
      <c r="P995" s="130">
        <f t="shared" si="1167"/>
        <v>1</v>
      </c>
      <c r="Q995" s="130">
        <f t="shared" si="1167"/>
        <v>1</v>
      </c>
      <c r="R995" s="130">
        <f t="shared" si="1167"/>
        <v>1</v>
      </c>
      <c r="S995" s="130">
        <f t="shared" si="1167"/>
        <v>1</v>
      </c>
      <c r="T995" s="130">
        <f t="shared" si="1167"/>
        <v>1</v>
      </c>
      <c r="U995" s="130">
        <f t="shared" si="1167"/>
        <v>1</v>
      </c>
      <c r="V995" s="130">
        <f t="shared" si="1167"/>
        <v>1</v>
      </c>
      <c r="W995" s="130">
        <f t="shared" si="1167"/>
        <v>1</v>
      </c>
      <c r="X995" s="130">
        <f t="shared" si="1167"/>
        <v>1</v>
      </c>
      <c r="Y995" s="394"/>
      <c r="AB995" s="130">
        <f>IFERROR(SUM(AB989:AB994)/AB988,"")</f>
        <v>1</v>
      </c>
      <c r="AC995" s="160">
        <f>IFERROR(SUM(AC989:AC994)/AC988,"")</f>
        <v>1</v>
      </c>
    </row>
    <row r="996" spans="12:29" ht="12" hidden="1" customHeight="1" x14ac:dyDescent="0.3">
      <c r="L996" s="124"/>
      <c r="M996" s="134"/>
      <c r="N996" s="134"/>
      <c r="O996" s="134"/>
      <c r="P996" s="134"/>
      <c r="Q996" s="134"/>
      <c r="R996" s="134"/>
      <c r="S996" s="134"/>
      <c r="T996" s="134"/>
      <c r="U996" s="134"/>
      <c r="V996" s="134"/>
      <c r="W996" s="134"/>
      <c r="X996" s="134"/>
      <c r="Y996" s="394"/>
      <c r="AB996" s="134"/>
      <c r="AC996" s="134"/>
    </row>
    <row r="997" spans="12:29" ht="12" hidden="1" customHeight="1" x14ac:dyDescent="0.3">
      <c r="L997" s="124"/>
      <c r="M997" s="135" t="s">
        <v>1210</v>
      </c>
      <c r="N997" s="134"/>
      <c r="O997" s="134"/>
      <c r="P997" s="134"/>
      <c r="Q997" s="134"/>
      <c r="R997" s="134"/>
      <c r="S997" s="134"/>
      <c r="T997" s="134"/>
      <c r="U997" s="134"/>
      <c r="V997" s="134"/>
      <c r="W997" s="134"/>
      <c r="X997" s="134"/>
      <c r="Y997" s="394"/>
      <c r="AB997" s="134"/>
      <c r="AC997" s="134"/>
    </row>
    <row r="998" spans="12:29" ht="12" hidden="1" customHeight="1" x14ac:dyDescent="0.3">
      <c r="L998" s="124"/>
      <c r="M998" s="135" t="s">
        <v>1211</v>
      </c>
      <c r="N998" s="126" t="s">
        <v>1174</v>
      </c>
      <c r="O998" s="97">
        <v>0.2</v>
      </c>
      <c r="P998" s="97">
        <v>0.1</v>
      </c>
      <c r="Q998" s="97">
        <v>0.16</v>
      </c>
      <c r="R998" s="97">
        <v>0.2</v>
      </c>
      <c r="S998" s="97">
        <v>0.19999999999999998</v>
      </c>
      <c r="T998" s="97">
        <v>0.2</v>
      </c>
      <c r="U998" s="101">
        <v>0.17099999999999999</v>
      </c>
      <c r="V998" s="101">
        <v>0.21199999999999999</v>
      </c>
      <c r="W998" s="101">
        <v>0.14199999999999999</v>
      </c>
      <c r="X998" s="101">
        <v>0.20100000000000001</v>
      </c>
      <c r="Y998" s="394"/>
      <c r="AB998" s="101">
        <v>0.223</v>
      </c>
      <c r="AC998" s="163">
        <v>0.27</v>
      </c>
    </row>
    <row r="999" spans="12:29" ht="12" hidden="1" customHeight="1" x14ac:dyDescent="0.3">
      <c r="L999" s="124"/>
      <c r="M999" s="98" t="s">
        <v>1212</v>
      </c>
      <c r="N999" s="112" t="s">
        <v>1174</v>
      </c>
      <c r="O999" s="99">
        <v>0</v>
      </c>
      <c r="P999" s="99">
        <v>0</v>
      </c>
      <c r="Q999" s="99">
        <v>0</v>
      </c>
      <c r="R999" s="99">
        <v>0</v>
      </c>
      <c r="S999" s="99">
        <v>0</v>
      </c>
      <c r="T999" s="99">
        <v>0</v>
      </c>
      <c r="U999" s="99">
        <v>0</v>
      </c>
      <c r="V999" s="99">
        <v>0</v>
      </c>
      <c r="W999" s="99">
        <v>0</v>
      </c>
      <c r="X999" s="99">
        <v>0</v>
      </c>
      <c r="Y999" s="394"/>
      <c r="AB999" s="99">
        <v>0</v>
      </c>
      <c r="AC999" s="159">
        <v>0</v>
      </c>
    </row>
    <row r="1000" spans="12:29" ht="12" hidden="1" customHeight="1" x14ac:dyDescent="0.3">
      <c r="L1000" s="124"/>
      <c r="M1000" s="98" t="s">
        <v>1213</v>
      </c>
      <c r="N1000" s="112" t="s">
        <v>1174</v>
      </c>
      <c r="O1000" s="99">
        <v>0.2</v>
      </c>
      <c r="P1000" s="99">
        <v>0.1</v>
      </c>
      <c r="Q1000" s="99">
        <v>0.16</v>
      </c>
      <c r="R1000" s="99">
        <v>0.2</v>
      </c>
      <c r="S1000" s="99">
        <v>0.18</v>
      </c>
      <c r="T1000" s="99">
        <v>0.19</v>
      </c>
      <c r="U1000" s="99">
        <v>0.14899999999999999</v>
      </c>
      <c r="V1000" s="99">
        <v>0.183</v>
      </c>
      <c r="W1000" s="99">
        <v>0.14199999999999999</v>
      </c>
      <c r="X1000" s="99">
        <v>0.125</v>
      </c>
      <c r="Y1000" s="394"/>
      <c r="AB1000" s="99">
        <v>0.10199999999999999</v>
      </c>
      <c r="AC1000" s="159">
        <v>0.13</v>
      </c>
    </row>
    <row r="1001" spans="12:29" ht="12" hidden="1" customHeight="1" x14ac:dyDescent="0.3">
      <c r="L1001" s="124"/>
      <c r="M1001" s="98" t="s">
        <v>1214</v>
      </c>
      <c r="N1001" s="112" t="s">
        <v>1174</v>
      </c>
      <c r="O1001" s="99"/>
      <c r="P1001" s="99"/>
      <c r="Q1001" s="99"/>
      <c r="R1001" s="99"/>
      <c r="S1001" s="99"/>
      <c r="T1001" s="99"/>
      <c r="U1001" s="99"/>
      <c r="V1001" s="99"/>
      <c r="W1001" s="99"/>
      <c r="X1001" s="99"/>
      <c r="Y1001" s="394"/>
      <c r="AB1001" s="137"/>
      <c r="AC1001" s="164"/>
    </row>
    <row r="1002" spans="12:29" ht="12" hidden="1" customHeight="1" x14ac:dyDescent="0.3">
      <c r="L1002" s="124"/>
      <c r="M1002" s="98" t="s">
        <v>1215</v>
      </c>
      <c r="N1002" s="112" t="s">
        <v>1174</v>
      </c>
      <c r="O1002" s="99"/>
      <c r="P1002" s="99"/>
      <c r="Q1002" s="99"/>
      <c r="R1002" s="99"/>
      <c r="S1002" s="99"/>
      <c r="T1002" s="99"/>
      <c r="U1002" s="99"/>
      <c r="V1002" s="99"/>
      <c r="W1002" s="99"/>
      <c r="X1002" s="99"/>
      <c r="Y1002" s="394"/>
      <c r="AB1002" s="99"/>
      <c r="AC1002" s="159"/>
    </row>
    <row r="1003" spans="12:29" ht="12" hidden="1" customHeight="1" x14ac:dyDescent="0.3">
      <c r="L1003" s="124"/>
      <c r="M1003" s="98" t="s">
        <v>1216</v>
      </c>
      <c r="N1003" s="112" t="s">
        <v>1174</v>
      </c>
      <c r="O1003" s="99"/>
      <c r="P1003" s="99"/>
      <c r="Q1003" s="99"/>
      <c r="R1003" s="99"/>
      <c r="S1003" s="99"/>
      <c r="T1003" s="99"/>
      <c r="U1003" s="99"/>
      <c r="V1003" s="99"/>
      <c r="W1003" s="99"/>
      <c r="X1003" s="99"/>
      <c r="Y1003" s="394"/>
      <c r="AB1003" s="99"/>
      <c r="AC1003" s="159"/>
    </row>
    <row r="1004" spans="12:29" ht="12" hidden="1" customHeight="1" x14ac:dyDescent="0.3">
      <c r="L1004" s="124"/>
      <c r="M1004" s="98" t="s">
        <v>1217</v>
      </c>
      <c r="N1004" s="112" t="s">
        <v>1174</v>
      </c>
      <c r="O1004" s="99">
        <v>0</v>
      </c>
      <c r="P1004" s="99">
        <v>0</v>
      </c>
      <c r="Q1004" s="99">
        <v>0</v>
      </c>
      <c r="R1004" s="99">
        <v>0</v>
      </c>
      <c r="S1004" s="99">
        <v>0.02</v>
      </c>
      <c r="T1004" s="99">
        <v>0.01</v>
      </c>
      <c r="U1004" s="99">
        <v>2.1999999999999999E-2</v>
      </c>
      <c r="V1004" s="99">
        <v>2.9000000000000001E-2</v>
      </c>
      <c r="W1004" s="99">
        <v>0</v>
      </c>
      <c r="X1004" s="99">
        <v>7.5999999999999998E-2</v>
      </c>
      <c r="Y1004" s="394"/>
      <c r="AB1004" s="99">
        <v>0.121</v>
      </c>
      <c r="AC1004" s="159">
        <v>0.14000000000000001</v>
      </c>
    </row>
    <row r="1005" spans="12:29" ht="12" hidden="1" customHeight="1" x14ac:dyDescent="0.3">
      <c r="L1005" s="124"/>
      <c r="M1005" s="128" t="s">
        <v>980</v>
      </c>
      <c r="N1005" s="112" t="s">
        <v>1174</v>
      </c>
      <c r="O1005" s="130">
        <f>IFERROR(SUM(O1000:O1004)/O998,"")</f>
        <v>1</v>
      </c>
      <c r="P1005" s="130">
        <f t="shared" ref="P1005:X1005" si="1168">IFERROR(SUM(P1000:P1004)/P998,"")</f>
        <v>1</v>
      </c>
      <c r="Q1005" s="130">
        <f t="shared" si="1168"/>
        <v>1</v>
      </c>
      <c r="R1005" s="130">
        <f t="shared" si="1168"/>
        <v>1</v>
      </c>
      <c r="S1005" s="130">
        <f t="shared" si="1168"/>
        <v>1</v>
      </c>
      <c r="T1005" s="130">
        <f t="shared" si="1168"/>
        <v>1</v>
      </c>
      <c r="U1005" s="130">
        <f t="shared" si="1168"/>
        <v>1</v>
      </c>
      <c r="V1005" s="130">
        <f t="shared" si="1168"/>
        <v>1</v>
      </c>
      <c r="W1005" s="130">
        <f t="shared" si="1168"/>
        <v>1</v>
      </c>
      <c r="X1005" s="130">
        <f t="shared" si="1168"/>
        <v>1</v>
      </c>
      <c r="Y1005" s="394"/>
      <c r="AB1005" s="130">
        <f>IFERROR(SUM(AB1000:AB1004)/AB998,"")</f>
        <v>0.99999999999999989</v>
      </c>
      <c r="AC1005" s="160">
        <f>IFERROR(SUM(AC1000:AC1004)/AC998,"")</f>
        <v>1</v>
      </c>
    </row>
    <row r="1006" spans="12:29" ht="12" hidden="1" customHeight="1" x14ac:dyDescent="0.3">
      <c r="L1006" s="124"/>
      <c r="M1006" s="134"/>
      <c r="N1006" s="129" t="s">
        <v>68</v>
      </c>
      <c r="O1006" s="134"/>
      <c r="P1006" s="134"/>
      <c r="Q1006" s="134"/>
      <c r="R1006" s="134"/>
      <c r="S1006" s="134"/>
      <c r="T1006" s="134"/>
      <c r="U1006" s="134"/>
      <c r="V1006" s="134"/>
      <c r="W1006" s="134"/>
      <c r="X1006" s="134"/>
      <c r="Y1006" s="394"/>
      <c r="AB1006" s="134"/>
      <c r="AC1006" s="134"/>
    </row>
    <row r="1007" spans="12:29" ht="12" hidden="1" customHeight="1" x14ac:dyDescent="0.3">
      <c r="L1007" s="124"/>
      <c r="M1007" s="125" t="s">
        <v>1218</v>
      </c>
      <c r="N1007" s="134"/>
      <c r="O1007" s="134"/>
      <c r="P1007" s="134"/>
      <c r="Q1007" s="134"/>
      <c r="R1007" s="134"/>
      <c r="S1007" s="134"/>
      <c r="T1007" s="134"/>
      <c r="U1007" s="134"/>
      <c r="V1007" s="134"/>
      <c r="W1007" s="134"/>
      <c r="X1007" s="134"/>
      <c r="Y1007" s="394"/>
      <c r="AB1007" s="134"/>
      <c r="AC1007" s="134"/>
    </row>
    <row r="1008" spans="12:29" ht="12" hidden="1" customHeight="1" x14ac:dyDescent="0.3">
      <c r="L1008" s="124"/>
      <c r="M1008" s="134"/>
      <c r="N1008" s="134"/>
      <c r="O1008" s="134"/>
      <c r="P1008" s="134"/>
      <c r="Q1008" s="134"/>
      <c r="R1008" s="134"/>
      <c r="S1008" s="134"/>
      <c r="T1008" s="134"/>
      <c r="U1008" s="134"/>
      <c r="V1008" s="134"/>
      <c r="W1008" s="134"/>
      <c r="X1008" s="134"/>
      <c r="Y1008" s="394"/>
      <c r="AB1008" s="134"/>
      <c r="AC1008" s="134"/>
    </row>
    <row r="1009" spans="12:29" ht="12" hidden="1" customHeight="1" x14ac:dyDescent="0.3">
      <c r="L1009" s="124"/>
      <c r="M1009" s="135" t="s">
        <v>1219</v>
      </c>
      <c r="N1009" s="134"/>
      <c r="O1009" s="134"/>
      <c r="P1009" s="134"/>
      <c r="Q1009" s="134"/>
      <c r="R1009" s="134"/>
      <c r="S1009" s="134"/>
      <c r="T1009" s="134"/>
      <c r="U1009" s="134"/>
      <c r="V1009" s="134"/>
      <c r="W1009" s="134"/>
      <c r="X1009" s="134"/>
      <c r="Y1009" s="394"/>
      <c r="AB1009" s="134"/>
      <c r="AC1009" s="134"/>
    </row>
    <row r="1010" spans="12:29" ht="12" hidden="1" customHeight="1" x14ac:dyDescent="0.3">
      <c r="L1010" s="124"/>
      <c r="M1010" s="135" t="s">
        <v>1220</v>
      </c>
      <c r="N1010" s="126" t="s">
        <v>1174</v>
      </c>
      <c r="O1010" s="97">
        <v>55.4</v>
      </c>
      <c r="P1010" s="97">
        <v>57.7</v>
      </c>
      <c r="Q1010" s="97">
        <v>60.8</v>
      </c>
      <c r="R1010" s="97">
        <v>64.099999999999994</v>
      </c>
      <c r="S1010" s="97">
        <v>68</v>
      </c>
      <c r="T1010" s="97">
        <v>72.8</v>
      </c>
      <c r="U1010" s="97">
        <v>78.28</v>
      </c>
      <c r="V1010" s="97">
        <v>83.92</v>
      </c>
      <c r="W1010" s="97">
        <v>90.12</v>
      </c>
      <c r="X1010" s="97">
        <v>97.9</v>
      </c>
      <c r="Y1010" s="394"/>
      <c r="AB1010" s="97">
        <v>101.9</v>
      </c>
      <c r="AC1010" s="158">
        <v>106.3</v>
      </c>
    </row>
    <row r="1011" spans="12:29" ht="12" hidden="1" customHeight="1" x14ac:dyDescent="0.3">
      <c r="L1011" s="124"/>
      <c r="M1011" s="98" t="s">
        <v>1221</v>
      </c>
      <c r="N1011" s="112" t="s">
        <v>1174</v>
      </c>
      <c r="O1011" s="99">
        <v>14.4</v>
      </c>
      <c r="P1011" s="99">
        <v>14.5</v>
      </c>
      <c r="Q1011" s="99">
        <v>14.5</v>
      </c>
      <c r="R1011" s="99">
        <v>14.4</v>
      </c>
      <c r="S1011" s="99">
        <v>14.4</v>
      </c>
      <c r="T1011" s="99">
        <v>14.7</v>
      </c>
      <c r="U1011" s="99">
        <v>15</v>
      </c>
      <c r="V1011" s="99">
        <v>15.3</v>
      </c>
      <c r="W1011" s="99">
        <v>15.7</v>
      </c>
      <c r="X1011" s="99">
        <v>16.399999999999999</v>
      </c>
      <c r="Y1011" s="394"/>
      <c r="AB1011" s="99">
        <v>16.600000000000001</v>
      </c>
      <c r="AC1011" s="159">
        <v>16.5</v>
      </c>
    </row>
    <row r="1012" spans="12:29" ht="12" hidden="1" customHeight="1" x14ac:dyDescent="0.3">
      <c r="L1012" s="124"/>
      <c r="M1012" s="98" t="s">
        <v>1222</v>
      </c>
      <c r="N1012" s="112" t="s">
        <v>1174</v>
      </c>
      <c r="O1012" s="99">
        <v>41</v>
      </c>
      <c r="P1012" s="99">
        <v>43.2</v>
      </c>
      <c r="Q1012" s="99">
        <v>46.3</v>
      </c>
      <c r="R1012" s="99">
        <v>49.6</v>
      </c>
      <c r="S1012" s="99">
        <v>53.5</v>
      </c>
      <c r="T1012" s="99">
        <v>58</v>
      </c>
      <c r="U1012" s="99">
        <v>63.14</v>
      </c>
      <c r="V1012" s="99">
        <v>68.400000000000006</v>
      </c>
      <c r="W1012" s="99">
        <v>74.2</v>
      </c>
      <c r="X1012" s="99">
        <v>81.099999999999994</v>
      </c>
      <c r="Y1012" s="394"/>
      <c r="AB1012" s="99">
        <v>84.9</v>
      </c>
      <c r="AC1012" s="159">
        <v>89.3</v>
      </c>
    </row>
    <row r="1013" spans="12:29" ht="12" hidden="1" customHeight="1" x14ac:dyDescent="0.3">
      <c r="L1013" s="124"/>
      <c r="M1013" s="98" t="s">
        <v>1223</v>
      </c>
      <c r="N1013" s="112" t="s">
        <v>1174</v>
      </c>
      <c r="O1013" s="99">
        <v>0</v>
      </c>
      <c r="P1013" s="99">
        <v>0</v>
      </c>
      <c r="Q1013" s="99">
        <v>0</v>
      </c>
      <c r="R1013" s="99">
        <v>0.1</v>
      </c>
      <c r="S1013" s="99">
        <v>0.1</v>
      </c>
      <c r="T1013" s="99">
        <v>0.02</v>
      </c>
      <c r="U1013" s="99">
        <v>0.02</v>
      </c>
      <c r="V1013" s="99">
        <v>0.02</v>
      </c>
      <c r="W1013" s="99">
        <v>0.02</v>
      </c>
      <c r="X1013" s="99">
        <v>0.02</v>
      </c>
      <c r="Y1013" s="394"/>
      <c r="AB1013" s="99">
        <v>0</v>
      </c>
      <c r="AC1013" s="159">
        <v>0.1</v>
      </c>
    </row>
    <row r="1014" spans="12:29" ht="12" hidden="1" customHeight="1" x14ac:dyDescent="0.3">
      <c r="L1014" s="124"/>
      <c r="M1014" s="98" t="s">
        <v>1224</v>
      </c>
      <c r="N1014" s="112" t="s">
        <v>1174</v>
      </c>
      <c r="O1014" s="99"/>
      <c r="P1014" s="99"/>
      <c r="Q1014" s="99"/>
      <c r="R1014" s="99"/>
      <c r="S1014" s="99"/>
      <c r="T1014" s="99"/>
      <c r="U1014" s="99"/>
      <c r="V1014" s="99"/>
      <c r="W1014" s="99"/>
      <c r="X1014" s="99"/>
      <c r="Y1014" s="394"/>
      <c r="AB1014" s="99"/>
      <c r="AC1014" s="159"/>
    </row>
    <row r="1015" spans="12:29" ht="12" hidden="1" customHeight="1" x14ac:dyDescent="0.3">
      <c r="L1015" s="124"/>
      <c r="M1015" s="98" t="s">
        <v>1225</v>
      </c>
      <c r="N1015" s="112" t="s">
        <v>1174</v>
      </c>
      <c r="O1015" s="99"/>
      <c r="P1015" s="99"/>
      <c r="Q1015" s="99"/>
      <c r="R1015" s="99"/>
      <c r="S1015" s="99"/>
      <c r="T1015" s="99"/>
      <c r="U1015" s="99"/>
      <c r="V1015" s="99"/>
      <c r="W1015" s="99"/>
      <c r="X1015" s="99"/>
      <c r="Y1015" s="394"/>
      <c r="AB1015" s="99"/>
      <c r="AC1015" s="159"/>
    </row>
    <row r="1016" spans="12:29" ht="12" hidden="1" customHeight="1" x14ac:dyDescent="0.3">
      <c r="L1016" s="124"/>
      <c r="M1016" s="98" t="s">
        <v>1226</v>
      </c>
      <c r="N1016" s="138" t="s">
        <v>1174</v>
      </c>
      <c r="O1016" s="99"/>
      <c r="P1016" s="99"/>
      <c r="Q1016" s="99"/>
      <c r="R1016" s="99"/>
      <c r="S1016" s="99"/>
      <c r="T1016" s="99">
        <v>0.08</v>
      </c>
      <c r="U1016" s="99">
        <v>0.12</v>
      </c>
      <c r="V1016" s="99">
        <v>0.2</v>
      </c>
      <c r="W1016" s="99">
        <v>0.2</v>
      </c>
      <c r="X1016" s="99">
        <v>0.38</v>
      </c>
      <c r="Y1016" s="394"/>
      <c r="AB1016" s="99">
        <v>0.4</v>
      </c>
      <c r="AC1016" s="159">
        <v>0.4</v>
      </c>
    </row>
    <row r="1017" spans="12:29" ht="12" hidden="1" customHeight="1" x14ac:dyDescent="0.3">
      <c r="L1017" s="124"/>
      <c r="M1017" s="128" t="s">
        <v>980</v>
      </c>
      <c r="N1017" s="129" t="s">
        <v>68</v>
      </c>
      <c r="O1017" s="130">
        <f t="shared" ref="O1017:X1017" si="1169">IFERROR(SUM(O1011:O1016)/O1010,"")</f>
        <v>1</v>
      </c>
      <c r="P1017" s="130">
        <f t="shared" si="1169"/>
        <v>1</v>
      </c>
      <c r="Q1017" s="130">
        <f t="shared" si="1169"/>
        <v>1</v>
      </c>
      <c r="R1017" s="130">
        <f t="shared" si="1169"/>
        <v>1</v>
      </c>
      <c r="S1017" s="130">
        <f t="shared" si="1169"/>
        <v>1</v>
      </c>
      <c r="T1017" s="130">
        <f t="shared" si="1169"/>
        <v>1</v>
      </c>
      <c r="U1017" s="130">
        <f t="shared" si="1169"/>
        <v>1</v>
      </c>
      <c r="V1017" s="130">
        <f t="shared" si="1169"/>
        <v>1</v>
      </c>
      <c r="W1017" s="130">
        <f t="shared" si="1169"/>
        <v>1</v>
      </c>
      <c r="X1017" s="130">
        <f t="shared" si="1169"/>
        <v>0.99999999999999989</v>
      </c>
      <c r="Y1017" s="394"/>
      <c r="AB1017" s="130">
        <f>IFERROR(SUM(AB1011:AB1016)/AB1010,"")</f>
        <v>1</v>
      </c>
      <c r="AC1017" s="160">
        <f>IFERROR(SUM(AC1011:AC1016)/AC1010,"")</f>
        <v>1</v>
      </c>
    </row>
    <row r="1018" spans="12:29" ht="12" hidden="1" customHeight="1" x14ac:dyDescent="0.3">
      <c r="L1018" s="124"/>
      <c r="M1018" s="134"/>
      <c r="N1018" s="134"/>
      <c r="O1018" s="134"/>
      <c r="P1018" s="134"/>
      <c r="Q1018" s="134"/>
      <c r="R1018" s="134"/>
      <c r="S1018" s="134"/>
      <c r="T1018" s="134"/>
      <c r="U1018" s="134"/>
      <c r="V1018" s="134"/>
      <c r="W1018" s="134"/>
      <c r="X1018" s="134"/>
      <c r="Y1018" s="394"/>
      <c r="AB1018" s="134"/>
      <c r="AC1018" s="134"/>
    </row>
    <row r="1019" spans="12:29" ht="12" hidden="1" customHeight="1" x14ac:dyDescent="0.3">
      <c r="L1019" s="124"/>
      <c r="M1019" s="135" t="s">
        <v>1227</v>
      </c>
      <c r="N1019" s="134"/>
      <c r="O1019" s="134"/>
      <c r="P1019" s="134"/>
      <c r="Q1019" s="134"/>
      <c r="R1019" s="134"/>
      <c r="S1019" s="134"/>
      <c r="T1019" s="134"/>
      <c r="U1019" s="134"/>
      <c r="V1019" s="134"/>
      <c r="W1019" s="134"/>
      <c r="X1019" s="134"/>
      <c r="Y1019" s="394"/>
      <c r="AB1019" s="134"/>
      <c r="AC1019" s="134"/>
    </row>
    <row r="1020" spans="12:29" ht="12" hidden="1" customHeight="1" x14ac:dyDescent="0.3">
      <c r="L1020" s="124"/>
      <c r="M1020" s="135" t="s">
        <v>1228</v>
      </c>
      <c r="N1020" s="126" t="s">
        <v>1174</v>
      </c>
      <c r="O1020" s="97">
        <v>1.4</v>
      </c>
      <c r="P1020" s="97">
        <v>2.5</v>
      </c>
      <c r="Q1020" s="97">
        <v>2.8</v>
      </c>
      <c r="R1020" s="97">
        <v>2.9</v>
      </c>
      <c r="S1020" s="97">
        <v>3.3</v>
      </c>
      <c r="T1020" s="97">
        <v>4</v>
      </c>
      <c r="U1020" s="97">
        <v>4.4000000000000004</v>
      </c>
      <c r="V1020" s="97">
        <v>4.8</v>
      </c>
      <c r="W1020" s="97">
        <v>5.0999999999999996</v>
      </c>
      <c r="X1020" s="97">
        <v>4.5199999999999996</v>
      </c>
      <c r="Y1020" s="394"/>
      <c r="AB1020" s="97">
        <v>3.3</v>
      </c>
      <c r="AC1020" s="158">
        <v>4.2</v>
      </c>
    </row>
    <row r="1021" spans="12:29" ht="12" hidden="1" customHeight="1" x14ac:dyDescent="0.3">
      <c r="L1021" s="124"/>
      <c r="M1021" s="98" t="s">
        <v>1229</v>
      </c>
      <c r="N1021" s="112" t="s">
        <v>1174</v>
      </c>
      <c r="O1021" s="99">
        <v>0.4</v>
      </c>
      <c r="P1021" s="99">
        <v>0.5</v>
      </c>
      <c r="Q1021" s="99">
        <v>0.4</v>
      </c>
      <c r="R1021" s="99">
        <v>0.3</v>
      </c>
      <c r="S1021" s="99">
        <v>0.4</v>
      </c>
      <c r="T1021" s="99">
        <v>0.5</v>
      </c>
      <c r="U1021" s="99">
        <v>0.5</v>
      </c>
      <c r="V1021" s="99">
        <v>0.5</v>
      </c>
      <c r="W1021" s="99">
        <v>0.6</v>
      </c>
      <c r="X1021" s="99">
        <v>0.5</v>
      </c>
      <c r="Y1021" s="394"/>
      <c r="AB1021" s="99">
        <v>0.3</v>
      </c>
      <c r="AC1021" s="159">
        <v>0.2</v>
      </c>
    </row>
    <row r="1022" spans="12:29" ht="12" hidden="1" customHeight="1" x14ac:dyDescent="0.3">
      <c r="L1022" s="124"/>
      <c r="M1022" s="98" t="s">
        <v>1230</v>
      </c>
      <c r="N1022" s="112" t="s">
        <v>1174</v>
      </c>
      <c r="O1022" s="99">
        <v>1</v>
      </c>
      <c r="P1022" s="99">
        <v>2</v>
      </c>
      <c r="Q1022" s="99">
        <v>2.4</v>
      </c>
      <c r="R1022" s="99">
        <v>2.6</v>
      </c>
      <c r="S1022" s="99">
        <v>2.9</v>
      </c>
      <c r="T1022" s="99">
        <v>3.5</v>
      </c>
      <c r="U1022" s="99">
        <v>3.9</v>
      </c>
      <c r="V1022" s="99">
        <v>4.3</v>
      </c>
      <c r="W1022" s="99">
        <v>4.5</v>
      </c>
      <c r="X1022" s="99">
        <v>4</v>
      </c>
      <c r="Y1022" s="394"/>
      <c r="AB1022" s="99">
        <v>3</v>
      </c>
      <c r="AC1022" s="159">
        <v>4</v>
      </c>
    </row>
    <row r="1023" spans="12:29" ht="12" hidden="1" customHeight="1" x14ac:dyDescent="0.3">
      <c r="L1023" s="124"/>
      <c r="M1023" s="98" t="s">
        <v>1231</v>
      </c>
      <c r="N1023" s="112" t="s">
        <v>1174</v>
      </c>
      <c r="O1023" s="131"/>
      <c r="P1023" s="131"/>
      <c r="Q1023" s="131"/>
      <c r="R1023" s="131"/>
      <c r="S1023" s="131"/>
      <c r="T1023" s="131"/>
      <c r="U1023" s="131"/>
      <c r="V1023" s="131"/>
      <c r="W1023" s="131"/>
      <c r="X1023" s="131"/>
      <c r="Y1023" s="394"/>
      <c r="AB1023" s="131"/>
      <c r="AC1023" s="165"/>
    </row>
    <row r="1024" spans="12:29" ht="12" hidden="1" customHeight="1" x14ac:dyDescent="0.3">
      <c r="L1024" s="124"/>
      <c r="M1024" s="98" t="s">
        <v>1232</v>
      </c>
      <c r="N1024" s="112" t="s">
        <v>1174</v>
      </c>
      <c r="O1024" s="131"/>
      <c r="P1024" s="131"/>
      <c r="Q1024" s="131"/>
      <c r="R1024" s="131"/>
      <c r="S1024" s="131"/>
      <c r="T1024" s="131"/>
      <c r="U1024" s="131"/>
      <c r="V1024" s="131"/>
      <c r="W1024" s="131"/>
      <c r="X1024" s="131"/>
      <c r="Y1024" s="394"/>
      <c r="AB1024" s="131"/>
      <c r="AC1024" s="165"/>
    </row>
    <row r="1025" spans="12:29" ht="12" hidden="1" customHeight="1" x14ac:dyDescent="0.3">
      <c r="L1025" s="124"/>
      <c r="M1025" s="98" t="s">
        <v>1233</v>
      </c>
      <c r="N1025" s="112" t="s">
        <v>1174</v>
      </c>
      <c r="O1025" s="131"/>
      <c r="P1025" s="131"/>
      <c r="Q1025" s="131"/>
      <c r="R1025" s="131"/>
      <c r="S1025" s="131"/>
      <c r="T1025" s="131"/>
      <c r="U1025" s="131"/>
      <c r="V1025" s="131"/>
      <c r="W1025" s="131"/>
      <c r="X1025" s="131"/>
      <c r="Y1025" s="394"/>
      <c r="AB1025" s="131"/>
      <c r="AC1025" s="165"/>
    </row>
    <row r="1026" spans="12:29" ht="12" hidden="1" customHeight="1" x14ac:dyDescent="0.3">
      <c r="L1026" s="124"/>
      <c r="M1026" s="98" t="s">
        <v>1234</v>
      </c>
      <c r="N1026" s="112" t="s">
        <v>1174</v>
      </c>
      <c r="O1026" s="99">
        <v>0</v>
      </c>
      <c r="P1026" s="99">
        <v>0</v>
      </c>
      <c r="Q1026" s="99">
        <v>0</v>
      </c>
      <c r="R1026" s="99">
        <v>0</v>
      </c>
      <c r="S1026" s="99">
        <v>0</v>
      </c>
      <c r="T1026" s="99">
        <v>0</v>
      </c>
      <c r="U1026" s="99">
        <v>0</v>
      </c>
      <c r="V1026" s="99">
        <v>0</v>
      </c>
      <c r="W1026" s="99">
        <v>0</v>
      </c>
      <c r="X1026" s="99">
        <v>0</v>
      </c>
      <c r="Y1026" s="394"/>
      <c r="AB1026" s="99">
        <v>0</v>
      </c>
      <c r="AC1026" s="159">
        <v>0</v>
      </c>
    </row>
    <row r="1027" spans="12:29" ht="12" hidden="1" customHeight="1" x14ac:dyDescent="0.3">
      <c r="L1027" s="124"/>
      <c r="M1027" s="128" t="s">
        <v>980</v>
      </c>
      <c r="N1027" s="129" t="s">
        <v>68</v>
      </c>
      <c r="O1027" s="130">
        <f>IFERROR(SUM(O1021:O1026)/O1020,"")</f>
        <v>1</v>
      </c>
      <c r="P1027" s="130">
        <f t="shared" ref="P1027:X1027" si="1170">IFERROR(SUM(P1021:P1026)/P1020,"")</f>
        <v>1</v>
      </c>
      <c r="Q1027" s="130">
        <f t="shared" si="1170"/>
        <v>1</v>
      </c>
      <c r="R1027" s="130">
        <f t="shared" si="1170"/>
        <v>1</v>
      </c>
      <c r="S1027" s="130">
        <f t="shared" si="1170"/>
        <v>1</v>
      </c>
      <c r="T1027" s="130">
        <f t="shared" si="1170"/>
        <v>1</v>
      </c>
      <c r="U1027" s="130">
        <f t="shared" si="1170"/>
        <v>1</v>
      </c>
      <c r="V1027" s="130">
        <f t="shared" si="1170"/>
        <v>1</v>
      </c>
      <c r="W1027" s="130">
        <f t="shared" si="1170"/>
        <v>1</v>
      </c>
      <c r="X1027" s="130">
        <f t="shared" si="1170"/>
        <v>0.99557522123893816</v>
      </c>
      <c r="Y1027" s="394"/>
      <c r="AB1027" s="130">
        <f>IFERROR(SUM(AB1021:AB1026)/AB1020,"")</f>
        <v>1</v>
      </c>
      <c r="AC1027" s="160">
        <f>IFERROR(SUM(AC1021:AC1026)/AC1020,"")</f>
        <v>1</v>
      </c>
    </row>
    <row r="1028" spans="12:29" ht="12" hidden="1" customHeight="1" x14ac:dyDescent="0.3">
      <c r="L1028" s="124"/>
      <c r="M1028" s="134"/>
      <c r="N1028" s="134"/>
      <c r="O1028" s="134"/>
      <c r="P1028" s="134"/>
      <c r="Q1028" s="134"/>
      <c r="R1028" s="134"/>
      <c r="S1028" s="134"/>
      <c r="T1028" s="134"/>
      <c r="U1028" s="134"/>
      <c r="V1028" s="134"/>
      <c r="W1028" s="134"/>
      <c r="X1028" s="134"/>
      <c r="Y1028" s="394"/>
      <c r="AB1028" s="134"/>
      <c r="AC1028" s="134"/>
    </row>
    <row r="1029" spans="12:29" ht="12" hidden="1" customHeight="1" x14ac:dyDescent="0.3">
      <c r="L1029" s="124"/>
      <c r="M1029" s="134"/>
      <c r="N1029" s="134"/>
      <c r="O1029" s="134"/>
      <c r="P1029" s="134"/>
      <c r="Q1029" s="134"/>
      <c r="R1029" s="134"/>
      <c r="S1029" s="134"/>
      <c r="T1029" s="134"/>
      <c r="U1029" s="134"/>
      <c r="V1029" s="134"/>
      <c r="W1029" s="134"/>
      <c r="X1029" s="134"/>
      <c r="Y1029" s="394"/>
      <c r="AB1029" s="134"/>
      <c r="AC1029" s="134"/>
    </row>
    <row r="1030" spans="12:29" ht="12" hidden="1" customHeight="1" x14ac:dyDescent="0.3">
      <c r="L1030" s="124"/>
      <c r="M1030" s="134"/>
      <c r="N1030" s="134"/>
      <c r="O1030" s="134"/>
      <c r="P1030" s="134"/>
      <c r="Q1030" s="134"/>
      <c r="R1030" s="134"/>
      <c r="S1030" s="134"/>
      <c r="T1030" s="134"/>
      <c r="U1030" s="134"/>
      <c r="V1030" s="134"/>
      <c r="W1030" s="134"/>
      <c r="X1030" s="134"/>
      <c r="Y1030" s="394"/>
      <c r="AB1030" s="134"/>
      <c r="AC1030" s="134"/>
    </row>
    <row r="1031" spans="12:29" ht="12" hidden="1" customHeight="1" x14ac:dyDescent="0.3">
      <c r="L1031" s="124"/>
      <c r="M1031" s="125" t="s">
        <v>1235</v>
      </c>
      <c r="N1031" s="134"/>
      <c r="O1031" s="134"/>
      <c r="P1031" s="134"/>
      <c r="Q1031" s="134"/>
      <c r="R1031" s="134"/>
      <c r="S1031" s="134"/>
      <c r="T1031" s="134"/>
      <c r="U1031" s="134"/>
      <c r="V1031" s="134"/>
      <c r="W1031" s="134"/>
      <c r="X1031" s="134"/>
      <c r="Y1031" s="394"/>
      <c r="AB1031" s="134"/>
      <c r="AC1031" s="134"/>
    </row>
    <row r="1032" spans="12:29" ht="12" hidden="1" customHeight="1" x14ac:dyDescent="0.3">
      <c r="L1032" s="124"/>
      <c r="M1032" s="134"/>
      <c r="N1032" s="134"/>
      <c r="O1032" s="134"/>
      <c r="P1032" s="134"/>
      <c r="Q1032" s="134"/>
      <c r="R1032" s="134"/>
      <c r="S1032" s="134"/>
      <c r="T1032" s="134"/>
      <c r="U1032" s="134"/>
      <c r="V1032" s="134"/>
      <c r="W1032" s="134"/>
      <c r="X1032" s="134"/>
      <c r="Y1032" s="394"/>
      <c r="AB1032" s="134"/>
      <c r="AC1032" s="134"/>
    </row>
    <row r="1033" spans="12:29" ht="12" hidden="1" customHeight="1" x14ac:dyDescent="0.3">
      <c r="L1033" s="124"/>
      <c r="M1033" s="135" t="s">
        <v>1236</v>
      </c>
      <c r="N1033" s="126" t="s">
        <v>1174</v>
      </c>
      <c r="O1033" s="134"/>
      <c r="P1033" s="134"/>
      <c r="Q1033" s="134"/>
      <c r="R1033" s="134"/>
      <c r="S1033" s="134"/>
      <c r="T1033" s="134"/>
      <c r="U1033" s="134"/>
      <c r="V1033" s="134"/>
      <c r="W1033" s="134"/>
      <c r="X1033" s="134"/>
      <c r="Y1033" s="394"/>
      <c r="AB1033" s="134"/>
      <c r="AC1033" s="134"/>
    </row>
    <row r="1034" spans="12:29" ht="12" hidden="1" customHeight="1" x14ac:dyDescent="0.3">
      <c r="L1034" s="124"/>
      <c r="M1034" s="135" t="s">
        <v>1236</v>
      </c>
      <c r="N1034" s="112" t="s">
        <v>1174</v>
      </c>
      <c r="O1034" s="97">
        <v>25.8</v>
      </c>
      <c r="P1034" s="97">
        <v>26.6</v>
      </c>
      <c r="Q1034" s="97">
        <v>27.2</v>
      </c>
      <c r="R1034" s="97">
        <v>28.1</v>
      </c>
      <c r="S1034" s="97">
        <v>28.6</v>
      </c>
      <c r="T1034" s="97">
        <v>28.9</v>
      </c>
      <c r="U1034" s="97">
        <v>29.9</v>
      </c>
      <c r="V1034" s="97">
        <v>30.9</v>
      </c>
      <c r="W1034" s="97">
        <v>31.5</v>
      </c>
      <c r="X1034" s="97">
        <v>33.200000000000003</v>
      </c>
      <c r="Y1034" s="394"/>
      <c r="AB1034" s="97">
        <v>33.5</v>
      </c>
      <c r="AC1034" s="158">
        <v>33.799999999999997</v>
      </c>
    </row>
    <row r="1035" spans="12:29" ht="12" hidden="1" customHeight="1" x14ac:dyDescent="0.3">
      <c r="L1035" s="124"/>
      <c r="M1035" s="98" t="s">
        <v>1237</v>
      </c>
      <c r="N1035" s="112" t="s">
        <v>1174</v>
      </c>
      <c r="O1035" s="99">
        <v>11.5</v>
      </c>
      <c r="P1035" s="99">
        <v>11.3</v>
      </c>
      <c r="Q1035" s="99">
        <v>14.1</v>
      </c>
      <c r="R1035" s="99">
        <v>14.6</v>
      </c>
      <c r="S1035" s="99">
        <v>15</v>
      </c>
      <c r="T1035" s="99">
        <v>15.2</v>
      </c>
      <c r="U1035" s="99">
        <v>15.9</v>
      </c>
      <c r="V1035" s="99">
        <v>16.5</v>
      </c>
      <c r="W1035" s="99">
        <v>16.899999999999999</v>
      </c>
      <c r="X1035" s="99">
        <v>17.7</v>
      </c>
      <c r="Y1035" s="394"/>
      <c r="AB1035" s="99">
        <v>17.899999999999999</v>
      </c>
      <c r="AC1035" s="159">
        <v>18</v>
      </c>
    </row>
    <row r="1036" spans="12:29" ht="12" hidden="1" customHeight="1" x14ac:dyDescent="0.3">
      <c r="L1036" s="124"/>
      <c r="M1036" s="98" t="s">
        <v>1238</v>
      </c>
      <c r="N1036" s="112" t="s">
        <v>1174</v>
      </c>
      <c r="O1036" s="99">
        <v>14.3</v>
      </c>
      <c r="P1036" s="99">
        <v>15.3</v>
      </c>
      <c r="Q1036" s="99">
        <v>13.1</v>
      </c>
      <c r="R1036" s="99">
        <v>13.5</v>
      </c>
      <c r="S1036" s="99">
        <v>13.6</v>
      </c>
      <c r="T1036" s="99">
        <v>13.7</v>
      </c>
      <c r="U1036" s="99">
        <v>14</v>
      </c>
      <c r="V1036" s="99">
        <v>14.4</v>
      </c>
      <c r="W1036" s="99">
        <v>14.6</v>
      </c>
      <c r="X1036" s="99">
        <v>15.5</v>
      </c>
      <c r="Y1036" s="394"/>
      <c r="AB1036" s="99">
        <v>15.6</v>
      </c>
      <c r="AC1036" s="159">
        <v>15.8</v>
      </c>
    </row>
    <row r="1037" spans="12:29" ht="12" hidden="1" customHeight="1" x14ac:dyDescent="0.3">
      <c r="L1037" s="124"/>
      <c r="M1037" s="98" t="s">
        <v>1239</v>
      </c>
      <c r="N1037" s="112" t="s">
        <v>1174</v>
      </c>
      <c r="O1037" s="99">
        <v>0</v>
      </c>
      <c r="P1037" s="99">
        <v>0</v>
      </c>
      <c r="Q1037" s="99">
        <v>0</v>
      </c>
      <c r="R1037" s="99">
        <v>0</v>
      </c>
      <c r="S1037" s="99">
        <v>0</v>
      </c>
      <c r="T1037" s="99">
        <v>0</v>
      </c>
      <c r="U1037" s="99">
        <v>0</v>
      </c>
      <c r="V1037" s="99">
        <v>0</v>
      </c>
      <c r="W1037" s="99">
        <v>0</v>
      </c>
      <c r="X1037" s="99">
        <v>0</v>
      </c>
      <c r="Y1037" s="394"/>
      <c r="AB1037" s="99">
        <v>0</v>
      </c>
      <c r="AC1037" s="159">
        <v>0</v>
      </c>
    </row>
    <row r="1038" spans="12:29" ht="12" hidden="1" customHeight="1" x14ac:dyDescent="0.3">
      <c r="L1038" s="124"/>
      <c r="M1038" s="128" t="s">
        <v>980</v>
      </c>
      <c r="N1038" s="129" t="s">
        <v>68</v>
      </c>
      <c r="O1038" s="130">
        <f>IFERROR(SUM(O1040:O1042)/O1034,"")</f>
        <v>1</v>
      </c>
      <c r="P1038" s="130">
        <f t="shared" ref="P1038:X1038" si="1171">IFERROR(SUM(P1040:P1042)/P1034,"")</f>
        <v>0.99999999999999989</v>
      </c>
      <c r="Q1038" s="130">
        <f t="shared" si="1171"/>
        <v>1.0000000000000002</v>
      </c>
      <c r="R1038" s="130">
        <f t="shared" si="1171"/>
        <v>1</v>
      </c>
      <c r="S1038" s="130">
        <f t="shared" si="1171"/>
        <v>0.99999999999999989</v>
      </c>
      <c r="T1038" s="130">
        <f t="shared" si="1171"/>
        <v>1.0000000000000002</v>
      </c>
      <c r="U1038" s="130">
        <f t="shared" si="1171"/>
        <v>1.0000000000000002</v>
      </c>
      <c r="V1038" s="130">
        <f t="shared" si="1171"/>
        <v>1.0000000000000002</v>
      </c>
      <c r="W1038" s="130">
        <f t="shared" si="1171"/>
        <v>1.0000000000000002</v>
      </c>
      <c r="X1038" s="130">
        <f t="shared" si="1171"/>
        <v>1.0002390514438706</v>
      </c>
      <c r="Y1038" s="394"/>
      <c r="AB1038" s="130">
        <f>IFERROR(SUM(AB1040:AB1042)/AB1034,"")</f>
        <v>1</v>
      </c>
      <c r="AC1038" s="160">
        <f>IFERROR(SUM(AC1040:AC1042)/AC1034,"")</f>
        <v>1.0000000000000002</v>
      </c>
    </row>
    <row r="1039" spans="12:29" ht="12" hidden="1" customHeight="1" x14ac:dyDescent="0.3">
      <c r="L1039" s="124"/>
      <c r="M1039" s="134"/>
      <c r="N1039" s="133"/>
      <c r="O1039" s="139"/>
      <c r="P1039" s="139"/>
      <c r="Q1039" s="139"/>
      <c r="R1039" s="139"/>
      <c r="S1039" s="139"/>
      <c r="T1039" s="139"/>
      <c r="U1039" s="139"/>
      <c r="V1039" s="139"/>
      <c r="W1039" s="139"/>
      <c r="X1039" s="139"/>
      <c r="Y1039" s="394"/>
      <c r="AB1039" s="139"/>
      <c r="AC1039" s="139"/>
    </row>
    <row r="1040" spans="12:29" ht="12" hidden="1" customHeight="1" x14ac:dyDescent="0.3">
      <c r="L1040" s="124"/>
      <c r="M1040" s="98" t="s">
        <v>1240</v>
      </c>
      <c r="N1040" s="112" t="s">
        <v>1174</v>
      </c>
      <c r="O1040" s="99">
        <v>4.3</v>
      </c>
      <c r="P1040" s="99">
        <v>4.2</v>
      </c>
      <c r="Q1040" s="99">
        <v>4.0999999999999996</v>
      </c>
      <c r="R1040" s="99">
        <v>4</v>
      </c>
      <c r="S1040" s="99">
        <v>3.9</v>
      </c>
      <c r="T1040" s="99">
        <v>3.8</v>
      </c>
      <c r="U1040" s="99">
        <v>3.8</v>
      </c>
      <c r="V1040" s="99">
        <v>3.7</v>
      </c>
      <c r="W1040" s="99">
        <v>3.6</v>
      </c>
      <c r="X1040" s="99">
        <v>3.6</v>
      </c>
      <c r="Y1040" s="394"/>
      <c r="AB1040" s="99">
        <v>3.6</v>
      </c>
      <c r="AC1040" s="159">
        <v>3.5</v>
      </c>
    </row>
    <row r="1041" spans="12:29" ht="12" hidden="1" customHeight="1" x14ac:dyDescent="0.3">
      <c r="L1041" s="124"/>
      <c r="M1041" s="98" t="s">
        <v>1241</v>
      </c>
      <c r="N1041" s="112" t="s">
        <v>1174</v>
      </c>
      <c r="O1041" s="99">
        <v>21.5</v>
      </c>
      <c r="P1041" s="99">
        <v>22.4</v>
      </c>
      <c r="Q1041" s="99">
        <v>23.1</v>
      </c>
      <c r="R1041" s="99">
        <v>24.1</v>
      </c>
      <c r="S1041" s="99">
        <v>24.7</v>
      </c>
      <c r="T1041" s="99">
        <v>25.1</v>
      </c>
      <c r="U1041" s="99">
        <v>26.1</v>
      </c>
      <c r="V1041" s="99">
        <v>27.1</v>
      </c>
      <c r="W1041" s="99">
        <v>27.8</v>
      </c>
      <c r="X1041" s="99">
        <v>29.5</v>
      </c>
      <c r="Y1041" s="394"/>
      <c r="AB1041" s="99">
        <v>29.8</v>
      </c>
      <c r="AC1041" s="159">
        <v>30.2</v>
      </c>
    </row>
    <row r="1042" spans="12:29" ht="12" hidden="1" customHeight="1" x14ac:dyDescent="0.3">
      <c r="L1042" s="124"/>
      <c r="M1042" s="98" t="s">
        <v>1242</v>
      </c>
      <c r="N1042" s="112" t="s">
        <v>1174</v>
      </c>
      <c r="O1042" s="99">
        <v>0</v>
      </c>
      <c r="P1042" s="99">
        <v>0</v>
      </c>
      <c r="Q1042" s="99">
        <v>0</v>
      </c>
      <c r="R1042" s="99">
        <v>0</v>
      </c>
      <c r="S1042" s="99">
        <v>0</v>
      </c>
      <c r="T1042" s="99">
        <v>0</v>
      </c>
      <c r="U1042" s="99">
        <v>0</v>
      </c>
      <c r="V1042" s="99">
        <v>0.1</v>
      </c>
      <c r="W1042" s="99">
        <v>0.1</v>
      </c>
      <c r="X1042" s="99">
        <v>0.10793650793650793</v>
      </c>
      <c r="Y1042" s="394"/>
      <c r="AB1042" s="99">
        <v>0.1</v>
      </c>
      <c r="AC1042" s="159">
        <v>0.1</v>
      </c>
    </row>
    <row r="1043" spans="12:29" ht="12" hidden="1" customHeight="1" x14ac:dyDescent="0.3">
      <c r="L1043" s="124"/>
      <c r="M1043" s="128" t="s">
        <v>980</v>
      </c>
      <c r="N1043" s="112" t="s">
        <v>1174</v>
      </c>
      <c r="O1043" s="130">
        <f>IFERROR(SUM(O1040:O1042)/O1034,"")</f>
        <v>1</v>
      </c>
      <c r="P1043" s="130">
        <f t="shared" ref="P1043:X1043" si="1172">IFERROR(SUM(P1040:P1042)/P1034,"")</f>
        <v>0.99999999999999989</v>
      </c>
      <c r="Q1043" s="130">
        <f t="shared" si="1172"/>
        <v>1.0000000000000002</v>
      </c>
      <c r="R1043" s="130">
        <f t="shared" si="1172"/>
        <v>1</v>
      </c>
      <c r="S1043" s="130">
        <f t="shared" si="1172"/>
        <v>0.99999999999999989</v>
      </c>
      <c r="T1043" s="130">
        <f t="shared" si="1172"/>
        <v>1.0000000000000002</v>
      </c>
      <c r="U1043" s="130">
        <f t="shared" si="1172"/>
        <v>1.0000000000000002</v>
      </c>
      <c r="V1043" s="130">
        <f t="shared" si="1172"/>
        <v>1.0000000000000002</v>
      </c>
      <c r="W1043" s="130">
        <f t="shared" si="1172"/>
        <v>1.0000000000000002</v>
      </c>
      <c r="X1043" s="130">
        <f t="shared" si="1172"/>
        <v>1.0002390514438706</v>
      </c>
      <c r="Y1043" s="394"/>
      <c r="AB1043" s="130">
        <f>IFERROR(SUM(AB1040:AB1042)/AB1034,"")</f>
        <v>1</v>
      </c>
      <c r="AC1043" s="160">
        <f>IFERROR(SUM(AC1040:AC1042)/AC1034,"")</f>
        <v>1.0000000000000002</v>
      </c>
    </row>
    <row r="1044" spans="12:29" ht="12" hidden="1" customHeight="1" x14ac:dyDescent="0.3">
      <c r="L1044" s="124"/>
      <c r="M1044" s="134"/>
      <c r="N1044" s="129" t="s">
        <v>68</v>
      </c>
      <c r="O1044" s="140"/>
      <c r="P1044" s="140"/>
      <c r="Q1044" s="140"/>
      <c r="R1044" s="140"/>
      <c r="S1044" s="140"/>
      <c r="T1044" s="140"/>
      <c r="U1044" s="140"/>
      <c r="V1044" s="140"/>
      <c r="W1044" s="140"/>
      <c r="X1044" s="140"/>
      <c r="Y1044" s="394"/>
      <c r="AB1044" s="140"/>
      <c r="AC1044" s="140"/>
    </row>
    <row r="1045" spans="12:29" ht="12" hidden="1" customHeight="1" x14ac:dyDescent="0.3">
      <c r="L1045" s="124"/>
      <c r="M1045" s="135" t="s">
        <v>1243</v>
      </c>
      <c r="N1045" s="134"/>
      <c r="O1045" s="141"/>
      <c r="P1045" s="141"/>
      <c r="Q1045" s="141"/>
      <c r="R1045" s="141"/>
      <c r="S1045" s="141"/>
      <c r="T1045" s="141"/>
      <c r="U1045" s="141"/>
      <c r="V1045" s="141"/>
      <c r="W1045" s="141"/>
      <c r="X1045" s="141"/>
      <c r="Y1045" s="394"/>
      <c r="AB1045" s="141"/>
      <c r="AC1045" s="141"/>
    </row>
    <row r="1046" spans="12:29" ht="12" hidden="1" customHeight="1" x14ac:dyDescent="0.3">
      <c r="L1046" s="124"/>
      <c r="M1046" s="135" t="s">
        <v>1244</v>
      </c>
      <c r="N1046" s="126" t="s">
        <v>1174</v>
      </c>
      <c r="O1046" s="97">
        <v>0.30000000000000004</v>
      </c>
      <c r="P1046" s="97">
        <v>0.7</v>
      </c>
      <c r="Q1046" s="97">
        <v>0.7</v>
      </c>
      <c r="R1046" s="97">
        <v>0.8</v>
      </c>
      <c r="S1046" s="97">
        <v>0.7</v>
      </c>
      <c r="T1046" s="97">
        <v>0.7</v>
      </c>
      <c r="U1046" s="97">
        <v>0.8</v>
      </c>
      <c r="V1046" s="97">
        <v>1</v>
      </c>
      <c r="W1046" s="97">
        <v>1.1000000000000001</v>
      </c>
      <c r="X1046" s="97">
        <v>1</v>
      </c>
      <c r="Y1046" s="394"/>
      <c r="AB1046" s="97">
        <v>0.5</v>
      </c>
      <c r="AC1046" s="158">
        <v>0.7</v>
      </c>
    </row>
    <row r="1047" spans="12:29" ht="12" hidden="1" customHeight="1" x14ac:dyDescent="0.3">
      <c r="L1047" s="124"/>
      <c r="M1047" s="98" t="s">
        <v>1245</v>
      </c>
      <c r="N1047" s="112" t="s">
        <v>1174</v>
      </c>
      <c r="O1047" s="99">
        <v>0.1</v>
      </c>
      <c r="P1047" s="99">
        <v>0.4</v>
      </c>
      <c r="Q1047" s="99">
        <v>0.4</v>
      </c>
      <c r="R1047" s="99">
        <v>0.4</v>
      </c>
      <c r="S1047" s="99">
        <v>0.4</v>
      </c>
      <c r="T1047" s="99">
        <v>0.4</v>
      </c>
      <c r="U1047" s="99">
        <v>0.5</v>
      </c>
      <c r="V1047" s="99">
        <v>0.6</v>
      </c>
      <c r="W1047" s="99">
        <v>0.6</v>
      </c>
      <c r="X1047" s="99">
        <v>0.5</v>
      </c>
      <c r="Y1047" s="394"/>
      <c r="AB1047" s="99">
        <v>0.2</v>
      </c>
      <c r="AC1047" s="159">
        <v>0.3</v>
      </c>
    </row>
    <row r="1048" spans="12:29" ht="12" hidden="1" customHeight="1" x14ac:dyDescent="0.3">
      <c r="L1048" s="124"/>
      <c r="M1048" s="98" t="s">
        <v>1246</v>
      </c>
      <c r="N1048" s="112" t="s">
        <v>1174</v>
      </c>
      <c r="O1048" s="99">
        <v>0.2</v>
      </c>
      <c r="P1048" s="99">
        <v>0.3</v>
      </c>
      <c r="Q1048" s="99">
        <v>0.3</v>
      </c>
      <c r="R1048" s="99">
        <v>0.4</v>
      </c>
      <c r="S1048" s="99">
        <v>0.3</v>
      </c>
      <c r="T1048" s="99">
        <v>0.3</v>
      </c>
      <c r="U1048" s="99">
        <v>0.3</v>
      </c>
      <c r="V1048" s="99">
        <v>0.4</v>
      </c>
      <c r="W1048" s="99">
        <v>0.5</v>
      </c>
      <c r="X1048" s="99">
        <v>0.5</v>
      </c>
      <c r="Y1048" s="394"/>
      <c r="AB1048" s="99">
        <v>0.3</v>
      </c>
      <c r="AC1048" s="159">
        <v>0.4</v>
      </c>
    </row>
    <row r="1049" spans="12:29" ht="12" hidden="1" customHeight="1" x14ac:dyDescent="0.3">
      <c r="L1049" s="124"/>
      <c r="M1049" s="98" t="s">
        <v>1247</v>
      </c>
      <c r="N1049" s="112" t="s">
        <v>1174</v>
      </c>
      <c r="O1049" s="99">
        <v>0</v>
      </c>
      <c r="P1049" s="99">
        <v>0</v>
      </c>
      <c r="Q1049" s="99">
        <v>0</v>
      </c>
      <c r="R1049" s="99">
        <v>0</v>
      </c>
      <c r="S1049" s="99">
        <v>0</v>
      </c>
      <c r="T1049" s="99">
        <v>0</v>
      </c>
      <c r="U1049" s="99">
        <v>0</v>
      </c>
      <c r="V1049" s="99">
        <v>0</v>
      </c>
      <c r="W1049" s="99">
        <v>0</v>
      </c>
      <c r="X1049" s="99">
        <v>0</v>
      </c>
      <c r="Y1049" s="394"/>
      <c r="AB1049" s="99">
        <v>0</v>
      </c>
      <c r="AC1049" s="159">
        <v>0</v>
      </c>
    </row>
    <row r="1050" spans="12:29" ht="12" hidden="1" customHeight="1" x14ac:dyDescent="0.3">
      <c r="L1050" s="124"/>
      <c r="M1050" s="128" t="s">
        <v>980</v>
      </c>
      <c r="N1050" s="129" t="s">
        <v>68</v>
      </c>
      <c r="O1050" s="130">
        <f>IFERROR(SUM(O1047:O1049)/O1046,"")</f>
        <v>1</v>
      </c>
      <c r="P1050" s="130">
        <f t="shared" ref="P1050:X1050" si="1173">IFERROR(SUM(P1047:P1049)/P1046,"")</f>
        <v>1</v>
      </c>
      <c r="Q1050" s="130">
        <f t="shared" si="1173"/>
        <v>1</v>
      </c>
      <c r="R1050" s="130">
        <f t="shared" si="1173"/>
        <v>1</v>
      </c>
      <c r="S1050" s="130">
        <f t="shared" si="1173"/>
        <v>1</v>
      </c>
      <c r="T1050" s="130">
        <f t="shared" si="1173"/>
        <v>1</v>
      </c>
      <c r="U1050" s="130">
        <f t="shared" si="1173"/>
        <v>1</v>
      </c>
      <c r="V1050" s="130">
        <f t="shared" si="1173"/>
        <v>1</v>
      </c>
      <c r="W1050" s="130">
        <f t="shared" si="1173"/>
        <v>1</v>
      </c>
      <c r="X1050" s="130">
        <f t="shared" si="1173"/>
        <v>1</v>
      </c>
      <c r="Y1050" s="394"/>
      <c r="AB1050" s="130">
        <f>IFERROR(SUM(AB1047:AB1049)/AB1046,"")</f>
        <v>1</v>
      </c>
      <c r="AC1050" s="160">
        <f>IFERROR(SUM(AC1047:AC1049)/AC1046,"")</f>
        <v>1</v>
      </c>
    </row>
    <row r="1051" spans="12:29" ht="12" hidden="1" customHeight="1" x14ac:dyDescent="0.3">
      <c r="L1051" s="124"/>
      <c r="M1051" s="134"/>
      <c r="N1051" s="129"/>
      <c r="O1051" s="139"/>
      <c r="P1051" s="139"/>
      <c r="Q1051" s="139"/>
      <c r="R1051" s="139"/>
      <c r="S1051" s="139"/>
      <c r="T1051" s="139"/>
      <c r="U1051" s="139"/>
      <c r="V1051" s="139"/>
      <c r="W1051" s="139"/>
      <c r="X1051" s="139"/>
      <c r="Y1051" s="394"/>
      <c r="AB1051" s="139"/>
      <c r="AC1051" s="139"/>
    </row>
    <row r="1052" spans="12:29" ht="12" hidden="1" customHeight="1" x14ac:dyDescent="0.3">
      <c r="L1052" s="124"/>
      <c r="M1052" s="98" t="s">
        <v>1248</v>
      </c>
      <c r="N1052" s="126" t="s">
        <v>1174</v>
      </c>
      <c r="O1052" s="99">
        <v>0</v>
      </c>
      <c r="P1052" s="99">
        <v>0</v>
      </c>
      <c r="Q1052" s="99">
        <v>0</v>
      </c>
      <c r="R1052" s="99">
        <v>0</v>
      </c>
      <c r="S1052" s="99">
        <v>0</v>
      </c>
      <c r="T1052" s="99">
        <v>0</v>
      </c>
      <c r="U1052" s="99">
        <v>0</v>
      </c>
      <c r="V1052" s="99">
        <v>0</v>
      </c>
      <c r="W1052" s="99">
        <v>0</v>
      </c>
      <c r="X1052" s="99">
        <v>0</v>
      </c>
      <c r="Y1052" s="394"/>
      <c r="AB1052" s="99">
        <v>0</v>
      </c>
      <c r="AC1052" s="159">
        <v>0</v>
      </c>
    </row>
    <row r="1053" spans="12:29" ht="12" hidden="1" customHeight="1" x14ac:dyDescent="0.3">
      <c r="L1053" s="124"/>
      <c r="M1053" s="98" t="s">
        <v>1249</v>
      </c>
      <c r="N1053" s="112" t="s">
        <v>1174</v>
      </c>
      <c r="O1053" s="99">
        <v>0.3</v>
      </c>
      <c r="P1053" s="99">
        <v>0.7</v>
      </c>
      <c r="Q1053" s="99">
        <v>0.7</v>
      </c>
      <c r="R1053" s="99">
        <v>0.8</v>
      </c>
      <c r="S1053" s="99">
        <v>0.7</v>
      </c>
      <c r="T1053" s="99">
        <v>0.7</v>
      </c>
      <c r="U1053" s="99">
        <v>0.8</v>
      </c>
      <c r="V1053" s="99">
        <v>1</v>
      </c>
      <c r="W1053" s="99">
        <v>1.1000000000000001</v>
      </c>
      <c r="X1053" s="99">
        <v>0.97</v>
      </c>
      <c r="Y1053" s="394"/>
      <c r="AB1053" s="99">
        <v>0.5</v>
      </c>
      <c r="AC1053" s="159">
        <v>0.7</v>
      </c>
    </row>
    <row r="1054" spans="12:29" ht="12" hidden="1" customHeight="1" x14ac:dyDescent="0.3">
      <c r="L1054" s="124"/>
      <c r="M1054" s="98" t="s">
        <v>1250</v>
      </c>
      <c r="N1054" s="112" t="s">
        <v>1174</v>
      </c>
      <c r="O1054" s="99">
        <v>0</v>
      </c>
      <c r="P1054" s="99">
        <v>0</v>
      </c>
      <c r="Q1054" s="99">
        <v>0</v>
      </c>
      <c r="R1054" s="99">
        <v>0</v>
      </c>
      <c r="S1054" s="99">
        <v>0</v>
      </c>
      <c r="T1054" s="99">
        <v>0</v>
      </c>
      <c r="U1054" s="99">
        <v>0</v>
      </c>
      <c r="V1054" s="99">
        <v>0</v>
      </c>
      <c r="W1054" s="99">
        <v>0</v>
      </c>
      <c r="X1054" s="99">
        <v>0.03</v>
      </c>
      <c r="Y1054" s="394"/>
      <c r="AB1054" s="99">
        <v>0</v>
      </c>
      <c r="AC1054" s="159">
        <v>0</v>
      </c>
    </row>
    <row r="1055" spans="12:29" ht="12" hidden="1" customHeight="1" x14ac:dyDescent="0.3">
      <c r="L1055" s="124"/>
      <c r="M1055" s="128" t="s">
        <v>980</v>
      </c>
      <c r="N1055" s="129" t="s">
        <v>68</v>
      </c>
      <c r="O1055" s="130">
        <f>IFERROR(SUM(O1052:O1054)/O1046,"")</f>
        <v>0.99999999999999978</v>
      </c>
      <c r="P1055" s="130">
        <f t="shared" ref="P1055:X1055" si="1174">IFERROR(SUM(P1052:P1054)/P1046,"")</f>
        <v>1</v>
      </c>
      <c r="Q1055" s="130">
        <f t="shared" si="1174"/>
        <v>1</v>
      </c>
      <c r="R1055" s="130">
        <f t="shared" si="1174"/>
        <v>1</v>
      </c>
      <c r="S1055" s="130">
        <f t="shared" si="1174"/>
        <v>1</v>
      </c>
      <c r="T1055" s="130">
        <f t="shared" si="1174"/>
        <v>1</v>
      </c>
      <c r="U1055" s="130">
        <f t="shared" si="1174"/>
        <v>1</v>
      </c>
      <c r="V1055" s="130">
        <f t="shared" si="1174"/>
        <v>1</v>
      </c>
      <c r="W1055" s="130">
        <f t="shared" si="1174"/>
        <v>1</v>
      </c>
      <c r="X1055" s="130">
        <f t="shared" si="1174"/>
        <v>1</v>
      </c>
      <c r="Y1055" s="394"/>
      <c r="AB1055" s="130">
        <f>IFERROR(SUM(AB1052:AB1054)/AB1046,"")</f>
        <v>1</v>
      </c>
      <c r="AC1055" s="160">
        <f>IFERROR(SUM(AC1052:AC1054)/AC1046,"")</f>
        <v>1</v>
      </c>
    </row>
    <row r="1056" spans="12:29" ht="12" hidden="1" customHeight="1" x14ac:dyDescent="0.3">
      <c r="L1056" s="124"/>
      <c r="M1056" s="134"/>
      <c r="N1056" s="129"/>
      <c r="O1056" s="129"/>
      <c r="P1056" s="129"/>
      <c r="Q1056" s="129"/>
      <c r="R1056" s="129"/>
      <c r="S1056" s="129"/>
      <c r="T1056" s="129"/>
      <c r="U1056" s="129"/>
      <c r="V1056" s="129"/>
      <c r="W1056" s="129"/>
      <c r="X1056" s="129"/>
      <c r="Y1056" s="394"/>
      <c r="AB1056" s="129"/>
      <c r="AC1056" s="129"/>
    </row>
    <row r="1057" spans="12:29" ht="12" hidden="1" customHeight="1" x14ac:dyDescent="0.3">
      <c r="L1057" s="124"/>
      <c r="M1057" s="125" t="s">
        <v>1251</v>
      </c>
      <c r="N1057" s="129"/>
      <c r="O1057" s="129"/>
      <c r="P1057" s="129"/>
      <c r="Q1057" s="129"/>
      <c r="R1057" s="129"/>
      <c r="S1057" s="129"/>
      <c r="T1057" s="129"/>
      <c r="U1057" s="129"/>
      <c r="V1057" s="129"/>
      <c r="W1057" s="129"/>
      <c r="X1057" s="129"/>
      <c r="Y1057" s="394"/>
      <c r="AB1057" s="129"/>
      <c r="AC1057" s="129"/>
    </row>
    <row r="1058" spans="12:29" ht="12" hidden="1" customHeight="1" x14ac:dyDescent="0.3">
      <c r="L1058" s="124"/>
      <c r="M1058" s="134"/>
      <c r="N1058" s="129"/>
      <c r="O1058" s="129"/>
      <c r="P1058" s="129"/>
      <c r="Q1058" s="129"/>
      <c r="R1058" s="129"/>
      <c r="S1058" s="129"/>
      <c r="T1058" s="129"/>
      <c r="U1058" s="129"/>
      <c r="V1058" s="129"/>
      <c r="W1058" s="129"/>
      <c r="X1058" s="129"/>
      <c r="Y1058" s="394"/>
      <c r="AB1058" s="129"/>
      <c r="AC1058" s="129"/>
    </row>
    <row r="1059" spans="12:29" ht="12" hidden="1" customHeight="1" x14ac:dyDescent="0.3">
      <c r="L1059" s="124"/>
      <c r="M1059" s="135" t="s">
        <v>1252</v>
      </c>
      <c r="N1059" s="126" t="s">
        <v>1174</v>
      </c>
      <c r="O1059" s="129"/>
      <c r="P1059" s="129"/>
      <c r="Q1059" s="129"/>
      <c r="R1059" s="129"/>
      <c r="S1059" s="129"/>
      <c r="T1059" s="129"/>
      <c r="U1059" s="129"/>
      <c r="V1059" s="129"/>
      <c r="W1059" s="129"/>
      <c r="X1059" s="129"/>
      <c r="Y1059" s="394"/>
      <c r="AB1059" s="129"/>
      <c r="AC1059" s="129"/>
    </row>
    <row r="1060" spans="12:29" ht="12" hidden="1" customHeight="1" x14ac:dyDescent="0.3">
      <c r="L1060" s="124"/>
      <c r="M1060" s="135" t="s">
        <v>1253</v>
      </c>
      <c r="N1060" s="112" t="s">
        <v>1174</v>
      </c>
      <c r="O1060" s="97">
        <v>81.22</v>
      </c>
      <c r="P1060" s="97">
        <v>84.3</v>
      </c>
      <c r="Q1060" s="97">
        <v>88</v>
      </c>
      <c r="R1060" s="97">
        <v>92.199999999999989</v>
      </c>
      <c r="S1060" s="97">
        <v>96.6</v>
      </c>
      <c r="T1060" s="97">
        <v>101.69999999999999</v>
      </c>
      <c r="U1060" s="97">
        <v>108.16000000000001</v>
      </c>
      <c r="V1060" s="97">
        <v>114.8</v>
      </c>
      <c r="W1060" s="97">
        <v>121.6</v>
      </c>
      <c r="X1060" s="97">
        <v>131.1</v>
      </c>
      <c r="Y1060" s="394"/>
      <c r="AB1060" s="97">
        <v>135.4</v>
      </c>
      <c r="AC1060" s="158">
        <v>140.1</v>
      </c>
    </row>
    <row r="1061" spans="12:29" ht="12" hidden="1" customHeight="1" x14ac:dyDescent="0.3">
      <c r="L1061" s="124"/>
      <c r="M1061" s="98" t="s">
        <v>1254</v>
      </c>
      <c r="N1061" s="112" t="s">
        <v>1174</v>
      </c>
      <c r="O1061" s="99">
        <v>18.7</v>
      </c>
      <c r="P1061" s="99">
        <v>18.7</v>
      </c>
      <c r="Q1061" s="99">
        <v>18.600000000000001</v>
      </c>
      <c r="R1061" s="99">
        <v>18.399999999999999</v>
      </c>
      <c r="S1061" s="99">
        <v>18.3</v>
      </c>
      <c r="T1061" s="99">
        <v>18.5</v>
      </c>
      <c r="U1061" s="99">
        <v>18.8</v>
      </c>
      <c r="V1061" s="99">
        <v>19</v>
      </c>
      <c r="W1061" s="99">
        <v>19.3</v>
      </c>
      <c r="X1061" s="99">
        <v>20</v>
      </c>
      <c r="Y1061" s="394"/>
      <c r="AB1061" s="99">
        <v>20.200000000000003</v>
      </c>
      <c r="AC1061" s="159">
        <v>20</v>
      </c>
    </row>
    <row r="1062" spans="12:29" ht="12" hidden="1" customHeight="1" x14ac:dyDescent="0.3">
      <c r="L1062" s="124"/>
      <c r="M1062" s="98" t="s">
        <v>1255</v>
      </c>
      <c r="N1062" s="112" t="s">
        <v>1174</v>
      </c>
      <c r="O1062" s="99">
        <v>62.5</v>
      </c>
      <c r="P1062" s="99">
        <v>65.599999999999994</v>
      </c>
      <c r="Q1062" s="99">
        <v>69.400000000000006</v>
      </c>
      <c r="R1062" s="99">
        <v>73.7</v>
      </c>
      <c r="S1062" s="99">
        <v>78.2</v>
      </c>
      <c r="T1062" s="99">
        <v>83.1</v>
      </c>
      <c r="U1062" s="99">
        <v>89.240000000000009</v>
      </c>
      <c r="V1062" s="99">
        <v>95.5</v>
      </c>
      <c r="W1062" s="99">
        <v>102</v>
      </c>
      <c r="X1062" s="99">
        <v>110.7</v>
      </c>
      <c r="Y1062" s="394"/>
      <c r="AB1062" s="99">
        <v>114.7</v>
      </c>
      <c r="AC1062" s="159">
        <v>119.5</v>
      </c>
    </row>
    <row r="1063" spans="12:29" ht="12" hidden="1" customHeight="1" x14ac:dyDescent="0.3">
      <c r="L1063" s="124"/>
      <c r="M1063" s="98" t="s">
        <v>1256</v>
      </c>
      <c r="N1063" s="112" t="s">
        <v>1174</v>
      </c>
      <c r="O1063" s="99">
        <v>0.02</v>
      </c>
      <c r="P1063" s="99">
        <v>0</v>
      </c>
      <c r="Q1063" s="99">
        <v>0</v>
      </c>
      <c r="R1063" s="99">
        <v>0.1</v>
      </c>
      <c r="S1063" s="99">
        <v>0.1</v>
      </c>
      <c r="T1063" s="99">
        <v>0.1</v>
      </c>
      <c r="U1063" s="99">
        <v>0.12</v>
      </c>
      <c r="V1063" s="99">
        <v>0.3</v>
      </c>
      <c r="W1063" s="99">
        <v>0.3</v>
      </c>
      <c r="X1063" s="99">
        <v>0.4</v>
      </c>
      <c r="Y1063" s="394"/>
      <c r="AB1063" s="99">
        <v>0.5</v>
      </c>
      <c r="AC1063" s="159">
        <v>0.6</v>
      </c>
    </row>
    <row r="1064" spans="12:29" ht="12" hidden="1" customHeight="1" x14ac:dyDescent="0.3">
      <c r="L1064" s="124"/>
      <c r="M1064" s="128" t="s">
        <v>980</v>
      </c>
      <c r="N1064" s="129" t="s">
        <v>68</v>
      </c>
      <c r="O1064" s="130">
        <f>IFERROR(SUM(O1061:O1063)/O1060,"")</f>
        <v>1</v>
      </c>
      <c r="P1064" s="130">
        <f t="shared" ref="P1064:X1064" si="1175">IFERROR(SUM(P1061:P1063)/P1060,"")</f>
        <v>1</v>
      </c>
      <c r="Q1064" s="130">
        <f t="shared" si="1175"/>
        <v>1</v>
      </c>
      <c r="R1064" s="130">
        <f t="shared" si="1175"/>
        <v>1</v>
      </c>
      <c r="S1064" s="130">
        <f t="shared" si="1175"/>
        <v>1</v>
      </c>
      <c r="T1064" s="130">
        <f t="shared" si="1175"/>
        <v>1</v>
      </c>
      <c r="U1064" s="130">
        <f t="shared" si="1175"/>
        <v>1</v>
      </c>
      <c r="V1064" s="130">
        <f t="shared" si="1175"/>
        <v>1</v>
      </c>
      <c r="W1064" s="130">
        <f t="shared" si="1175"/>
        <v>1</v>
      </c>
      <c r="X1064" s="130">
        <f t="shared" si="1175"/>
        <v>1</v>
      </c>
      <c r="Y1064" s="394"/>
      <c r="AB1064" s="130">
        <f>IFERROR(SUM(AB1061:AB1063)/AB1060,"")</f>
        <v>1</v>
      </c>
      <c r="AC1064" s="160">
        <f>IFERROR(SUM(AC1061:AC1063)/AC1060,"")</f>
        <v>1</v>
      </c>
    </row>
    <row r="1065" spans="12:29" ht="12" hidden="1" customHeight="1" x14ac:dyDescent="0.3">
      <c r="L1065" s="124"/>
      <c r="M1065" s="128"/>
      <c r="N1065" s="128"/>
      <c r="O1065" s="128"/>
      <c r="P1065" s="128"/>
      <c r="Q1065" s="128"/>
      <c r="R1065" s="128"/>
      <c r="S1065" s="128"/>
      <c r="T1065" s="128"/>
      <c r="U1065" s="128"/>
      <c r="V1065" s="128"/>
      <c r="W1065" s="128"/>
      <c r="X1065" s="128"/>
      <c r="Y1065" s="394"/>
      <c r="AB1065" s="128"/>
      <c r="AC1065" s="128"/>
    </row>
    <row r="1066" spans="12:29" ht="12" hidden="1" customHeight="1" x14ac:dyDescent="0.3">
      <c r="L1066" s="124"/>
      <c r="M1066" s="128"/>
      <c r="N1066" s="128"/>
      <c r="O1066" s="128"/>
      <c r="P1066" s="128"/>
      <c r="Q1066" s="128"/>
      <c r="R1066" s="128"/>
      <c r="S1066" s="128"/>
      <c r="T1066" s="128"/>
      <c r="U1066" s="128"/>
      <c r="V1066" s="128"/>
      <c r="W1066" s="128"/>
      <c r="X1066" s="128"/>
      <c r="Y1066" s="394"/>
      <c r="AB1066" s="128"/>
      <c r="AC1066" s="128"/>
    </row>
    <row r="1067" spans="12:29" ht="12" hidden="1" customHeight="1" x14ac:dyDescent="0.3">
      <c r="L1067" s="124"/>
      <c r="M1067" s="96" t="s">
        <v>1257</v>
      </c>
      <c r="N1067" s="102"/>
      <c r="O1067" s="96"/>
      <c r="P1067" s="96"/>
      <c r="Q1067" s="96"/>
      <c r="R1067" s="96"/>
      <c r="S1067" s="96"/>
      <c r="T1067" s="96"/>
      <c r="U1067" s="96"/>
      <c r="V1067" s="96"/>
      <c r="W1067" s="96"/>
      <c r="X1067" s="96"/>
      <c r="Y1067" s="394"/>
      <c r="AB1067" s="96"/>
      <c r="AC1067" s="96"/>
    </row>
    <row r="1068" spans="12:29" ht="12" hidden="1" customHeight="1" x14ac:dyDescent="0.3">
      <c r="L1068" s="124"/>
      <c r="M1068" s="134"/>
      <c r="N1068" s="128"/>
      <c r="O1068" s="128"/>
      <c r="P1068" s="128"/>
      <c r="Q1068" s="128"/>
      <c r="R1068" s="128"/>
      <c r="S1068" s="128"/>
      <c r="T1068" s="128"/>
      <c r="U1068" s="128"/>
      <c r="V1068" s="128"/>
      <c r="W1068" s="128"/>
      <c r="X1068" s="128"/>
      <c r="Y1068" s="394"/>
      <c r="AB1068" s="128"/>
      <c r="AC1068" s="128"/>
    </row>
    <row r="1069" spans="12:29" ht="12" hidden="1" customHeight="1" x14ac:dyDescent="0.3">
      <c r="L1069" s="124"/>
      <c r="M1069" s="98" t="s">
        <v>1258</v>
      </c>
      <c r="N1069" s="112" t="s">
        <v>1259</v>
      </c>
      <c r="O1069" s="86">
        <v>15265.530756761473</v>
      </c>
      <c r="P1069" s="86">
        <v>14737.634671667071</v>
      </c>
      <c r="Q1069" s="86">
        <v>14633.162703753917</v>
      </c>
      <c r="R1069" s="86">
        <v>14411.493817544295</v>
      </c>
      <c r="S1069" s="86">
        <v>14384.929883369694</v>
      </c>
      <c r="T1069" s="86">
        <v>13754.557046512076</v>
      </c>
      <c r="U1069" s="86">
        <v>13604.383766025901</v>
      </c>
      <c r="V1069" s="86">
        <v>13662.298665058064</v>
      </c>
      <c r="W1069" s="86">
        <v>14335.259965198455</v>
      </c>
      <c r="X1069" s="86">
        <v>13534.457892076063</v>
      </c>
      <c r="Y1069" s="394"/>
      <c r="AB1069" s="86">
        <v>12986.723342963187</v>
      </c>
      <c r="AC1069" s="166"/>
    </row>
    <row r="1070" spans="12:29" ht="12" hidden="1" customHeight="1" x14ac:dyDescent="0.3">
      <c r="L1070" s="124"/>
      <c r="M1070" s="98" t="s">
        <v>1260</v>
      </c>
      <c r="N1070" s="127" t="s">
        <v>1259</v>
      </c>
      <c r="O1070" s="86">
        <v>13286.519198629441</v>
      </c>
      <c r="P1070" s="86">
        <v>12293.432702986507</v>
      </c>
      <c r="Q1070" s="86">
        <v>11882.657651477004</v>
      </c>
      <c r="R1070" s="86">
        <v>11539.936939856821</v>
      </c>
      <c r="S1070" s="86">
        <v>11851.811259042279</v>
      </c>
      <c r="T1070" s="86">
        <v>10775.514812148876</v>
      </c>
      <c r="U1070" s="86">
        <v>10967.08539175548</v>
      </c>
      <c r="V1070" s="86">
        <v>11396.070201293274</v>
      </c>
      <c r="W1070" s="86">
        <v>12199.557411730628</v>
      </c>
      <c r="X1070" s="86">
        <v>11886.30563531283</v>
      </c>
      <c r="Y1070" s="394"/>
      <c r="AB1070" s="86">
        <v>9596.8158808561529</v>
      </c>
      <c r="AC1070" s="166"/>
    </row>
    <row r="1071" spans="12:29" ht="12" hidden="1" customHeight="1" x14ac:dyDescent="0.3">
      <c r="L1071" s="124"/>
      <c r="M1071" s="98" t="s">
        <v>1261</v>
      </c>
      <c r="N1071" s="127" t="s">
        <v>1259</v>
      </c>
      <c r="O1071" s="86">
        <v>20516.878942426105</v>
      </c>
      <c r="P1071" s="86">
        <v>20502.915787050963</v>
      </c>
      <c r="Q1071" s="86">
        <v>20120.389540005654</v>
      </c>
      <c r="R1071" s="86">
        <v>19265.300022856038</v>
      </c>
      <c r="S1071" s="86">
        <v>18239.5424833939</v>
      </c>
      <c r="T1071" s="86">
        <v>18012.604841196124</v>
      </c>
      <c r="U1071" s="86">
        <v>17144.441537520648</v>
      </c>
      <c r="V1071" s="86">
        <v>16537.004827762434</v>
      </c>
      <c r="W1071" s="86">
        <v>16711.442076915544</v>
      </c>
      <c r="X1071" s="86">
        <v>15240.413575095425</v>
      </c>
      <c r="Y1071" s="394"/>
      <c r="AB1071" s="86">
        <v>16390.02832036206</v>
      </c>
      <c r="AC1071" s="166"/>
    </row>
    <row r="1072" spans="12:29" ht="12" hidden="1" customHeight="1" x14ac:dyDescent="0.3">
      <c r="L1072" s="124"/>
      <c r="M1072" s="98" t="s">
        <v>1262</v>
      </c>
      <c r="N1072" s="112" t="s">
        <v>1259</v>
      </c>
      <c r="O1072" s="86">
        <v>3645.0294401359361</v>
      </c>
      <c r="P1072" s="86">
        <v>2839.3531981499768</v>
      </c>
      <c r="Q1072" s="86">
        <v>2572.6585818253229</v>
      </c>
      <c r="R1072" s="86">
        <v>2135.622964054407</v>
      </c>
      <c r="S1072" s="86">
        <v>2300.4683403801791</v>
      </c>
      <c r="T1072" s="86">
        <v>2107.8658892235426</v>
      </c>
      <c r="U1072" s="86">
        <v>2026.7058249858903</v>
      </c>
      <c r="V1072" s="86">
        <v>1988.5083166523104</v>
      </c>
      <c r="W1072" s="86">
        <v>2146.5951772390999</v>
      </c>
      <c r="X1072" s="86">
        <v>1534.8671574000759</v>
      </c>
      <c r="Y1072" s="394"/>
      <c r="AB1072" s="86">
        <v>1204.0059114652488</v>
      </c>
      <c r="AC1072" s="166"/>
    </row>
    <row r="1073" spans="12:29" ht="12" hidden="1" customHeight="1" x14ac:dyDescent="0.3">
      <c r="L1073" s="124"/>
      <c r="M1073" s="98" t="s">
        <v>1263</v>
      </c>
      <c r="N1073" s="112" t="s">
        <v>1259</v>
      </c>
      <c r="O1073" s="86">
        <v>20818.086550266871</v>
      </c>
      <c r="P1073" s="86">
        <v>21150.474832734486</v>
      </c>
      <c r="Q1073" s="86">
        <v>21681.551991981825</v>
      </c>
      <c r="R1073" s="86">
        <v>20367.621657368665</v>
      </c>
      <c r="S1073" s="86">
        <v>19918.679411392372</v>
      </c>
      <c r="T1073" s="86">
        <v>19250.179990818378</v>
      </c>
      <c r="U1073" s="86">
        <v>17212.025375610167</v>
      </c>
      <c r="V1073" s="86">
        <v>17288.606427550611</v>
      </c>
      <c r="W1073" s="86">
        <v>18356.577995429452</v>
      </c>
      <c r="X1073" s="86">
        <v>17011.927416417129</v>
      </c>
      <c r="Y1073" s="394"/>
      <c r="AB1073" s="86">
        <v>16396.714710941957</v>
      </c>
      <c r="AC1073" s="166"/>
    </row>
    <row r="1074" spans="12:29" ht="12" hidden="1" customHeight="1" x14ac:dyDescent="0.3">
      <c r="L1074" s="124"/>
      <c r="M1074" s="98" t="s">
        <v>1264</v>
      </c>
      <c r="N1074" s="112" t="s">
        <v>1259</v>
      </c>
      <c r="O1074" s="86">
        <v>45551.687561006256</v>
      </c>
      <c r="P1074" s="86">
        <v>49468.055726880135</v>
      </c>
      <c r="Q1074" s="86">
        <v>48258.323075068547</v>
      </c>
      <c r="R1074" s="86">
        <v>46866.273291279431</v>
      </c>
      <c r="S1074" s="86">
        <v>45592.440543725737</v>
      </c>
      <c r="T1074" s="86">
        <v>46799.316613590832</v>
      </c>
      <c r="U1074" s="86">
        <v>40420.505897216302</v>
      </c>
      <c r="V1074" s="86">
        <v>40727.96529767364</v>
      </c>
      <c r="W1074" s="86">
        <v>42777.46667044895</v>
      </c>
      <c r="X1074" s="86">
        <v>41837.296298388435</v>
      </c>
      <c r="Y1074" s="394"/>
      <c r="AB1074" s="86">
        <v>38967.921812695095</v>
      </c>
      <c r="AC1074" s="166"/>
    </row>
    <row r="1075" spans="12:29" ht="12" hidden="1" customHeight="1" x14ac:dyDescent="0.3">
      <c r="L1075" s="124"/>
      <c r="M1075" s="98" t="s">
        <v>1265</v>
      </c>
      <c r="N1075" s="112" t="s">
        <v>1259</v>
      </c>
      <c r="O1075" s="86">
        <v>34648.980016674017</v>
      </c>
      <c r="P1075" s="86">
        <v>36568.474104966037</v>
      </c>
      <c r="Q1075" s="86">
        <v>36838.922413664259</v>
      </c>
      <c r="R1075" s="86">
        <v>32195.884861810075</v>
      </c>
      <c r="S1075" s="86">
        <v>30859.176397099924</v>
      </c>
      <c r="T1075" s="86">
        <v>29200.581037809356</v>
      </c>
      <c r="U1075" s="86">
        <v>26062.124446837432</v>
      </c>
      <c r="V1075" s="86">
        <v>25596.474577504297</v>
      </c>
      <c r="W1075" s="86">
        <v>26762.022959836719</v>
      </c>
      <c r="X1075" s="86">
        <v>22597.235743023066</v>
      </c>
      <c r="Y1075" s="394"/>
      <c r="AB1075" s="86">
        <v>20801.789932049276</v>
      </c>
      <c r="AC1075" s="166"/>
    </row>
    <row r="1076" spans="12:29" ht="12" hidden="1" customHeight="1" x14ac:dyDescent="0.3">
      <c r="L1076" s="124"/>
      <c r="M1076" s="98" t="s">
        <v>1266</v>
      </c>
      <c r="N1076" s="112" t="s">
        <v>1259</v>
      </c>
      <c r="O1076" s="86">
        <v>26275.614769995507</v>
      </c>
      <c r="P1076" s="86">
        <v>27131.638270947205</v>
      </c>
      <c r="Q1076" s="86">
        <v>27421.406937391916</v>
      </c>
      <c r="R1076" s="86">
        <v>24780.534397251158</v>
      </c>
      <c r="S1076" s="86">
        <v>23866.258417567024</v>
      </c>
      <c r="T1076" s="86">
        <v>22988.22975649987</v>
      </c>
      <c r="U1076" s="86">
        <v>19992.643442056426</v>
      </c>
      <c r="V1076" s="86">
        <v>19783.87133588958</v>
      </c>
      <c r="W1076" s="86">
        <v>20629.775001909067</v>
      </c>
      <c r="X1076" s="86">
        <v>18551.616204422811</v>
      </c>
      <c r="Y1076" s="394"/>
      <c r="AB1076" s="86">
        <v>17559.66102257945</v>
      </c>
      <c r="AC1076" s="166"/>
    </row>
    <row r="1077" spans="12:29" ht="12" hidden="1" customHeight="1" x14ac:dyDescent="0.3">
      <c r="L1077" s="124"/>
      <c r="M1077" s="128"/>
      <c r="N1077" s="128"/>
      <c r="O1077" s="128"/>
      <c r="P1077" s="128"/>
      <c r="Q1077" s="128"/>
      <c r="R1077" s="128"/>
      <c r="S1077" s="128"/>
      <c r="T1077" s="128"/>
      <c r="U1077" s="128"/>
      <c r="V1077" s="128"/>
      <c r="W1077" s="128"/>
      <c r="X1077" s="128"/>
      <c r="Y1077" s="394"/>
      <c r="AB1077" s="128"/>
      <c r="AC1077" s="128"/>
    </row>
    <row r="1078" spans="12:29" ht="12" hidden="1" customHeight="1" x14ac:dyDescent="0.3">
      <c r="L1078" s="124"/>
      <c r="M1078" s="96" t="s">
        <v>1267</v>
      </c>
      <c r="N1078" s="96"/>
      <c r="O1078" s="96"/>
      <c r="P1078" s="96"/>
      <c r="Q1078" s="96"/>
      <c r="R1078" s="96"/>
      <c r="S1078" s="96"/>
      <c r="T1078" s="96"/>
      <c r="U1078" s="96"/>
      <c r="V1078" s="96"/>
      <c r="W1078" s="96"/>
      <c r="X1078" s="96"/>
      <c r="Y1078" s="394"/>
      <c r="AB1078" s="96"/>
      <c r="AC1078" s="96"/>
    </row>
    <row r="1079" spans="12:29" ht="12" hidden="1" customHeight="1" x14ac:dyDescent="0.3">
      <c r="L1079" s="124"/>
      <c r="M1079" s="134"/>
      <c r="N1079" s="128"/>
      <c r="O1079" s="134"/>
      <c r="P1079" s="134"/>
      <c r="Q1079" s="134"/>
      <c r="R1079" s="134"/>
      <c r="S1079" s="134"/>
      <c r="T1079" s="134"/>
      <c r="U1079" s="134"/>
      <c r="V1079" s="134"/>
      <c r="W1079" s="134"/>
      <c r="X1079" s="134"/>
      <c r="Y1079" s="394"/>
      <c r="AB1079" s="134"/>
      <c r="AC1079" s="134"/>
    </row>
    <row r="1080" spans="12:29" ht="12" hidden="1" customHeight="1" x14ac:dyDescent="0.3">
      <c r="L1080" s="124"/>
      <c r="M1080" s="125" t="s">
        <v>1268</v>
      </c>
      <c r="N1080" s="128"/>
      <c r="O1080" s="134"/>
      <c r="P1080" s="134"/>
      <c r="Q1080" s="134"/>
      <c r="R1080" s="134"/>
      <c r="S1080" s="134"/>
      <c r="T1080" s="134"/>
      <c r="U1080" s="134"/>
      <c r="V1080" s="134"/>
      <c r="W1080" s="134"/>
      <c r="X1080" s="134"/>
      <c r="Y1080" s="394"/>
      <c r="AB1080" s="134"/>
      <c r="AC1080" s="134"/>
    </row>
    <row r="1081" spans="12:29" ht="12" hidden="1" customHeight="1" x14ac:dyDescent="0.3">
      <c r="L1081" s="124"/>
      <c r="M1081" s="134"/>
      <c r="N1081" s="128"/>
      <c r="O1081" s="134"/>
      <c r="P1081" s="134"/>
      <c r="Q1081" s="134"/>
      <c r="R1081" s="134"/>
      <c r="S1081" s="134"/>
      <c r="T1081" s="134"/>
      <c r="U1081" s="134"/>
      <c r="V1081" s="134"/>
      <c r="W1081" s="134"/>
      <c r="X1081" s="134"/>
      <c r="Y1081" s="394"/>
      <c r="AB1081" s="134"/>
      <c r="AC1081" s="134"/>
    </row>
    <row r="1082" spans="12:29" ht="12" hidden="1" customHeight="1" x14ac:dyDescent="0.3">
      <c r="L1082" s="124"/>
      <c r="M1082" s="135" t="s">
        <v>1269</v>
      </c>
      <c r="N1082" s="128"/>
      <c r="O1082" s="134"/>
      <c r="P1082" s="134"/>
      <c r="Q1082" s="134"/>
      <c r="R1082" s="134"/>
      <c r="S1082" s="134"/>
      <c r="T1082" s="134"/>
      <c r="U1082" s="134"/>
      <c r="V1082" s="134"/>
      <c r="W1082" s="134"/>
      <c r="X1082" s="134"/>
      <c r="Y1082" s="394"/>
      <c r="AB1082" s="134"/>
      <c r="AC1082" s="134"/>
    </row>
    <row r="1083" spans="12:29" ht="12" hidden="1" customHeight="1" x14ac:dyDescent="0.3">
      <c r="L1083" s="124"/>
      <c r="M1083" s="98" t="s">
        <v>1270</v>
      </c>
      <c r="N1083" s="112" t="s">
        <v>1271</v>
      </c>
      <c r="O1083" s="86">
        <v>10100</v>
      </c>
      <c r="P1083" s="86">
        <v>10381.082222547919</v>
      </c>
      <c r="Q1083" s="86">
        <v>10808.595077153128</v>
      </c>
      <c r="R1083" s="86">
        <v>11246.133322496951</v>
      </c>
      <c r="S1083" s="86">
        <v>11852.001342412781</v>
      </c>
      <c r="T1083" s="86">
        <v>12331.94848698124</v>
      </c>
      <c r="U1083" s="86">
        <v>12840.848785603474</v>
      </c>
      <c r="V1083" s="86">
        <v>13081</v>
      </c>
      <c r="W1083" s="86">
        <v>13300</v>
      </c>
      <c r="X1083" s="86">
        <v>14100</v>
      </c>
      <c r="Y1083" s="394"/>
      <c r="AB1083" s="86">
        <v>12400</v>
      </c>
      <c r="AC1083" s="87">
        <v>12100</v>
      </c>
    </row>
    <row r="1084" spans="12:29" ht="12" hidden="1" customHeight="1" x14ac:dyDescent="0.3">
      <c r="L1084" s="124"/>
      <c r="M1084" s="98" t="s">
        <v>1272</v>
      </c>
      <c r="N1084" s="112" t="s">
        <v>1271</v>
      </c>
      <c r="O1084" s="86"/>
      <c r="P1084" s="86"/>
      <c r="Q1084" s="86"/>
      <c r="R1084" s="86"/>
      <c r="S1084" s="86"/>
      <c r="T1084" s="86"/>
      <c r="U1084" s="86"/>
      <c r="V1084" s="86"/>
      <c r="W1084" s="86"/>
      <c r="X1084" s="103"/>
      <c r="Y1084" s="394"/>
      <c r="AB1084" s="103"/>
      <c r="AC1084" s="167"/>
    </row>
    <row r="1085" spans="12:29" ht="12" hidden="1" customHeight="1" x14ac:dyDescent="0.3">
      <c r="L1085" s="124"/>
      <c r="M1085" s="98" t="s">
        <v>1273</v>
      </c>
      <c r="N1085" s="112" t="s">
        <v>1271</v>
      </c>
      <c r="O1085" s="86">
        <v>2061.0592999999999</v>
      </c>
      <c r="P1085" s="86">
        <v>2070.6943000000001</v>
      </c>
      <c r="Q1085" s="86">
        <v>2233.5884999999998</v>
      </c>
      <c r="R1085" s="86">
        <v>2414.6147999999998</v>
      </c>
      <c r="S1085" s="86">
        <v>2392.6965</v>
      </c>
      <c r="T1085" s="86">
        <v>3146</v>
      </c>
      <c r="U1085" s="86">
        <v>2864.7496999999998</v>
      </c>
      <c r="V1085" s="86">
        <v>2808.66</v>
      </c>
      <c r="W1085" s="86">
        <v>2787.116</v>
      </c>
      <c r="X1085" s="86">
        <v>3099.3148999999999</v>
      </c>
      <c r="Y1085" s="394"/>
      <c r="AB1085" s="86">
        <v>1557.3477</v>
      </c>
      <c r="AC1085" s="87">
        <v>1391.5453</v>
      </c>
    </row>
    <row r="1086" spans="12:29" ht="12" hidden="1" customHeight="1" x14ac:dyDescent="0.3">
      <c r="L1086" s="124"/>
      <c r="M1086" s="98" t="s">
        <v>1274</v>
      </c>
      <c r="N1086" s="112" t="s">
        <v>1271</v>
      </c>
      <c r="O1086" s="86">
        <v>319.7466</v>
      </c>
      <c r="P1086" s="86">
        <v>307.84800000000001</v>
      </c>
      <c r="Q1086" s="86">
        <v>328.22219999999999</v>
      </c>
      <c r="R1086" s="86">
        <v>298.76389999999998</v>
      </c>
      <c r="S1086" s="86">
        <v>338.51819999999998</v>
      </c>
      <c r="T1086" s="86">
        <v>343.83140000000003</v>
      </c>
      <c r="U1086" s="86">
        <v>372.68670000000003</v>
      </c>
      <c r="V1086" s="86">
        <v>365.6053</v>
      </c>
      <c r="W1086" s="86">
        <v>500.738</v>
      </c>
      <c r="X1086" s="86">
        <v>479.03629999999998</v>
      </c>
      <c r="Y1086" s="394"/>
      <c r="AB1086" s="86">
        <v>313.25299999999999</v>
      </c>
      <c r="AC1086" s="87">
        <v>290.36799999999999</v>
      </c>
    </row>
    <row r="1087" spans="12:29" ht="12" hidden="1" customHeight="1" x14ac:dyDescent="0.3">
      <c r="L1087" s="124"/>
      <c r="M1087" s="98" t="s">
        <v>1275</v>
      </c>
      <c r="N1087" s="112" t="s">
        <v>1271</v>
      </c>
      <c r="O1087" s="104">
        <v>247.9</v>
      </c>
      <c r="P1087" s="104">
        <v>243</v>
      </c>
      <c r="Q1087" s="104">
        <v>235.821</v>
      </c>
      <c r="R1087" s="104">
        <v>223</v>
      </c>
      <c r="S1087" s="104">
        <v>280</v>
      </c>
      <c r="T1087" s="104">
        <v>288.685</v>
      </c>
      <c r="U1087" s="104">
        <v>315.65300000000002</v>
      </c>
      <c r="V1087" s="104">
        <v>306</v>
      </c>
      <c r="W1087" s="104">
        <v>416.846</v>
      </c>
      <c r="X1087" s="104">
        <v>391.68799999999999</v>
      </c>
      <c r="Y1087" s="394"/>
      <c r="AB1087" s="104">
        <v>263.37299999999999</v>
      </c>
      <c r="AC1087" s="168">
        <v>290.36799999999999</v>
      </c>
    </row>
    <row r="1088" spans="12:29" ht="12" hidden="1" customHeight="1" x14ac:dyDescent="0.3">
      <c r="L1088" s="124"/>
      <c r="M1088" s="98" t="s">
        <v>1276</v>
      </c>
      <c r="N1088" s="112" t="s">
        <v>1271</v>
      </c>
      <c r="O1088" s="86">
        <v>71.846600000000009</v>
      </c>
      <c r="P1088" s="86">
        <v>64.847999999999999</v>
      </c>
      <c r="Q1088" s="86">
        <v>92.401200000000003</v>
      </c>
      <c r="R1088" s="86">
        <v>75.763899999999992</v>
      </c>
      <c r="S1088" s="86">
        <v>58.5182</v>
      </c>
      <c r="T1088" s="86">
        <v>55.1464</v>
      </c>
      <c r="U1088" s="86">
        <v>57.033699999999996</v>
      </c>
      <c r="V1088" s="86">
        <v>59.6053</v>
      </c>
      <c r="W1088" s="86">
        <v>83.891999999999996</v>
      </c>
      <c r="X1088" s="86">
        <v>87.348300000000023</v>
      </c>
      <c r="Y1088" s="394"/>
      <c r="AB1088" s="99">
        <v>49.88</v>
      </c>
      <c r="AC1088" s="159">
        <v>58</v>
      </c>
    </row>
    <row r="1089" spans="12:29" ht="12" hidden="1" customHeight="1" x14ac:dyDescent="0.3">
      <c r="L1089" s="124"/>
      <c r="M1089" s="98" t="s">
        <v>1277</v>
      </c>
      <c r="N1089" s="112" t="s">
        <v>1271</v>
      </c>
      <c r="O1089" s="86">
        <v>32</v>
      </c>
      <c r="P1089" s="86">
        <v>33.241</v>
      </c>
      <c r="Q1089" s="86">
        <v>30.922999999999998</v>
      </c>
      <c r="R1089" s="86">
        <v>24.581</v>
      </c>
      <c r="S1089" s="86">
        <v>23.256</v>
      </c>
      <c r="T1089" s="86">
        <v>22.890999999999998</v>
      </c>
      <c r="U1089" s="86">
        <v>20.073</v>
      </c>
      <c r="V1089" s="86">
        <v>26.963000000000001</v>
      </c>
      <c r="W1089" s="86">
        <v>33.057000000000002</v>
      </c>
      <c r="X1089" s="86">
        <v>36.185000000000002</v>
      </c>
      <c r="Y1089" s="394"/>
      <c r="AB1089" s="86">
        <v>26.367000000000001</v>
      </c>
      <c r="AC1089" s="87">
        <v>41.26</v>
      </c>
    </row>
    <row r="1090" spans="12:29" ht="12" hidden="1" customHeight="1" x14ac:dyDescent="0.3">
      <c r="L1090" s="124"/>
      <c r="M1090" s="98" t="s">
        <v>1278</v>
      </c>
      <c r="N1090" s="112" t="s">
        <v>1271</v>
      </c>
      <c r="O1090" s="86">
        <v>0.184</v>
      </c>
      <c r="P1090" s="86">
        <v>0.155</v>
      </c>
      <c r="Q1090" s="86">
        <v>0.14899999999999999</v>
      </c>
      <c r="R1090" s="86">
        <v>0.28100000000000003</v>
      </c>
      <c r="S1090" s="86">
        <v>6.0999999999999999E-2</v>
      </c>
      <c r="T1090" s="86">
        <v>6.0999999999999999E-2</v>
      </c>
      <c r="U1090" s="86">
        <v>6.3E-2</v>
      </c>
      <c r="V1090" s="86">
        <v>0.26800000000000002</v>
      </c>
      <c r="W1090" s="86">
        <v>0.3397</v>
      </c>
      <c r="X1090" s="86">
        <v>0.57350000000000001</v>
      </c>
      <c r="Y1090" s="394"/>
      <c r="AB1090" s="86">
        <v>0.46860000000000002</v>
      </c>
      <c r="AC1090" s="87">
        <v>0.79159999999999997</v>
      </c>
    </row>
    <row r="1091" spans="12:29" ht="12" hidden="1" customHeight="1" x14ac:dyDescent="0.3">
      <c r="L1091" s="124"/>
      <c r="M1091" s="98" t="s">
        <v>1279</v>
      </c>
      <c r="N1091" s="112" t="s">
        <v>1271</v>
      </c>
      <c r="O1091" s="86"/>
      <c r="P1091" s="86"/>
      <c r="Q1091" s="86"/>
      <c r="R1091" s="86"/>
      <c r="S1091" s="86"/>
      <c r="T1091" s="86"/>
      <c r="U1091" s="86"/>
      <c r="V1091" s="86"/>
      <c r="W1091" s="86"/>
      <c r="X1091" s="86"/>
      <c r="Y1091" s="394"/>
      <c r="AB1091" s="86"/>
      <c r="AC1091" s="87"/>
    </row>
    <row r="1092" spans="12:29" ht="12" hidden="1" customHeight="1" x14ac:dyDescent="0.3">
      <c r="L1092" s="124"/>
      <c r="M1092" s="134"/>
      <c r="N1092" s="142"/>
      <c r="O1092" s="134"/>
      <c r="P1092" s="134"/>
      <c r="Q1092" s="134"/>
      <c r="R1092" s="134"/>
      <c r="S1092" s="134"/>
      <c r="T1092" s="134"/>
      <c r="U1092" s="134"/>
      <c r="V1092" s="134"/>
      <c r="W1092" s="134"/>
      <c r="X1092" s="134"/>
      <c r="Y1092" s="394"/>
      <c r="AB1092" s="134"/>
      <c r="AC1092" s="134"/>
    </row>
    <row r="1093" spans="12:29" ht="12" hidden="1" customHeight="1" x14ac:dyDescent="0.3">
      <c r="L1093" s="124"/>
      <c r="M1093" s="135" t="s">
        <v>1280</v>
      </c>
      <c r="N1093" s="142"/>
      <c r="O1093" s="134"/>
      <c r="P1093" s="134"/>
      <c r="Q1093" s="134"/>
      <c r="R1093" s="134"/>
      <c r="S1093" s="134"/>
      <c r="T1093" s="134"/>
      <c r="U1093" s="134"/>
      <c r="V1093" s="134"/>
      <c r="W1093" s="134"/>
      <c r="X1093" s="134"/>
      <c r="Y1093" s="394"/>
      <c r="AB1093" s="134"/>
      <c r="AC1093" s="134"/>
    </row>
    <row r="1094" spans="12:29" ht="12" hidden="1" customHeight="1" x14ac:dyDescent="0.3">
      <c r="L1094" s="124"/>
      <c r="M1094" s="98" t="s">
        <v>1281</v>
      </c>
      <c r="N1094" s="112" t="s">
        <v>1282</v>
      </c>
      <c r="O1094" s="92">
        <v>106.75210000000001</v>
      </c>
      <c r="P1094" s="92">
        <v>108.1</v>
      </c>
      <c r="Q1094" s="92">
        <v>119.26389999999999</v>
      </c>
      <c r="R1094" s="92">
        <v>148.24350000000001</v>
      </c>
      <c r="S1094" s="92">
        <v>149.7851</v>
      </c>
      <c r="T1094" s="92">
        <v>154.19999999999999</v>
      </c>
      <c r="U1094" s="92">
        <v>155.31870000000001</v>
      </c>
      <c r="V1094" s="92">
        <v>158.07</v>
      </c>
      <c r="W1094" s="92">
        <v>150.19999999999999</v>
      </c>
      <c r="X1094" s="92">
        <v>161.80000000000001</v>
      </c>
      <c r="Y1094" s="394"/>
      <c r="AB1094" s="92">
        <v>109.22210000000001</v>
      </c>
      <c r="AC1094" s="93">
        <v>97.183199999999999</v>
      </c>
    </row>
    <row r="1095" spans="12:29" ht="12" hidden="1" customHeight="1" x14ac:dyDescent="0.3">
      <c r="L1095" s="124"/>
      <c r="M1095" s="98" t="s">
        <v>1283</v>
      </c>
      <c r="N1095" s="112" t="s">
        <v>1282</v>
      </c>
      <c r="O1095" s="92">
        <v>4.7990000000000004</v>
      </c>
      <c r="P1095" s="92">
        <v>4.7359999999999998</v>
      </c>
      <c r="Q1095" s="92">
        <v>4.4160000000000004</v>
      </c>
      <c r="R1095" s="92">
        <v>4.2</v>
      </c>
      <c r="S1095" s="92">
        <v>5.9</v>
      </c>
      <c r="T1095" s="92">
        <v>6.5860000000000003</v>
      </c>
      <c r="U1095" s="92">
        <v>6.92</v>
      </c>
      <c r="V1095" s="92">
        <v>7.4329999999999998</v>
      </c>
      <c r="W1095" s="92">
        <v>7.7590000000000003</v>
      </c>
      <c r="X1095" s="92">
        <v>8.3730499999999992</v>
      </c>
      <c r="Y1095" s="394"/>
      <c r="AB1095" s="92">
        <v>5.9847000000000001</v>
      </c>
      <c r="AC1095" s="93">
        <v>6.077</v>
      </c>
    </row>
    <row r="1096" spans="12:29" ht="12" hidden="1" customHeight="1" x14ac:dyDescent="0.3">
      <c r="L1096" s="124"/>
      <c r="M1096" s="98" t="s">
        <v>1284</v>
      </c>
      <c r="N1096" s="112" t="s">
        <v>1282</v>
      </c>
      <c r="O1096" s="92">
        <v>4.8</v>
      </c>
      <c r="P1096" s="92">
        <v>4.9047780000000003</v>
      </c>
      <c r="Q1096" s="92">
        <v>4.2135660000000001</v>
      </c>
      <c r="R1096" s="92">
        <v>3.2059389999999999</v>
      </c>
      <c r="S1096" s="92">
        <v>2.9145099999999999</v>
      </c>
      <c r="T1096" s="92">
        <v>3.4217070000000001</v>
      </c>
      <c r="U1096" s="92">
        <v>2.9866229999999998</v>
      </c>
      <c r="V1096" s="92">
        <v>4.2244859999999997</v>
      </c>
      <c r="W1096" s="92">
        <v>4.796449</v>
      </c>
      <c r="X1096" s="92">
        <v>5.3228879999999998</v>
      </c>
      <c r="Y1096" s="394"/>
      <c r="AB1096" s="92">
        <v>4.1539159999999997</v>
      </c>
      <c r="AC1096" s="93">
        <v>6.730531</v>
      </c>
    </row>
    <row r="1097" spans="12:29" ht="12" hidden="1" customHeight="1" x14ac:dyDescent="0.3">
      <c r="L1097" s="124"/>
      <c r="M1097" s="98" t="s">
        <v>1285</v>
      </c>
      <c r="N1097" s="112" t="s">
        <v>1282</v>
      </c>
      <c r="O1097" s="92">
        <v>1.3846579999999999</v>
      </c>
      <c r="P1097" s="92">
        <v>1.9106080000000001</v>
      </c>
      <c r="Q1097" s="92">
        <v>2.2025009999999998</v>
      </c>
      <c r="R1097" s="92">
        <v>1.9586220000000001</v>
      </c>
      <c r="S1097" s="92">
        <v>2.0198740000000002</v>
      </c>
      <c r="T1097" s="92">
        <v>2.1623350000000001</v>
      </c>
      <c r="U1097" s="92">
        <v>2.215875</v>
      </c>
      <c r="V1097" s="92">
        <v>2.6369090000000002</v>
      </c>
      <c r="W1097" s="92">
        <v>2.9958300000000002</v>
      </c>
      <c r="X1097" s="92">
        <v>3.2583229999999999</v>
      </c>
      <c r="Y1097" s="394"/>
      <c r="AB1097" s="92">
        <v>0.85816499999999996</v>
      </c>
      <c r="AC1097" s="93">
        <v>1.293115</v>
      </c>
    </row>
    <row r="1098" spans="12:29" ht="12" hidden="1" customHeight="1" x14ac:dyDescent="0.3">
      <c r="L1098" s="124"/>
      <c r="M1098" s="98" t="s">
        <v>1286</v>
      </c>
      <c r="N1098" s="112" t="s">
        <v>1174</v>
      </c>
      <c r="O1098" s="92">
        <v>14.7</v>
      </c>
      <c r="P1098" s="92">
        <v>16</v>
      </c>
      <c r="Q1098" s="92">
        <v>15</v>
      </c>
      <c r="R1098" s="92">
        <v>17</v>
      </c>
      <c r="S1098" s="92">
        <v>10.9</v>
      </c>
      <c r="T1098" s="92">
        <v>10.9</v>
      </c>
      <c r="U1098" s="92">
        <v>12.6</v>
      </c>
      <c r="V1098" s="92">
        <v>19.2</v>
      </c>
      <c r="W1098" s="92">
        <v>17.100000000000001</v>
      </c>
      <c r="X1098" s="92">
        <v>28.5</v>
      </c>
      <c r="Y1098" s="394"/>
      <c r="AB1098" s="92">
        <v>25.9</v>
      </c>
      <c r="AC1098" s="93">
        <v>42.7</v>
      </c>
    </row>
    <row r="1099" spans="12:29" ht="12" hidden="1" customHeight="1" x14ac:dyDescent="0.3">
      <c r="L1099" s="124"/>
      <c r="M1099" s="134"/>
      <c r="N1099" s="112"/>
      <c r="O1099" s="134"/>
      <c r="P1099" s="134"/>
      <c r="Q1099" s="134"/>
      <c r="R1099" s="134"/>
      <c r="S1099" s="134"/>
      <c r="T1099" s="134"/>
      <c r="U1099" s="134"/>
      <c r="V1099" s="134"/>
      <c r="W1099" s="134"/>
      <c r="X1099" s="134"/>
      <c r="Y1099" s="394"/>
      <c r="AB1099" s="134"/>
      <c r="AC1099" s="134"/>
    </row>
    <row r="1100" spans="12:29" ht="12" hidden="1" customHeight="1" x14ac:dyDescent="0.3">
      <c r="L1100" s="124"/>
      <c r="M1100" s="125" t="s">
        <v>1287</v>
      </c>
      <c r="N1100" s="112"/>
      <c r="O1100" s="134"/>
      <c r="P1100" s="134"/>
      <c r="Q1100" s="134"/>
      <c r="R1100" s="134"/>
      <c r="S1100" s="134"/>
      <c r="T1100" s="134"/>
      <c r="U1100" s="134"/>
      <c r="V1100" s="134"/>
      <c r="W1100" s="134"/>
      <c r="X1100" s="134"/>
      <c r="Y1100" s="394"/>
      <c r="AB1100" s="134"/>
      <c r="AC1100" s="134"/>
    </row>
    <row r="1101" spans="12:29" ht="12" hidden="1" customHeight="1" x14ac:dyDescent="0.3">
      <c r="L1101" s="124"/>
      <c r="M1101" s="134"/>
      <c r="N1101" s="112"/>
      <c r="O1101" s="134"/>
      <c r="P1101" s="134"/>
      <c r="Q1101" s="134"/>
      <c r="R1101" s="134"/>
      <c r="S1101" s="134"/>
      <c r="T1101" s="134"/>
      <c r="U1101" s="134"/>
      <c r="V1101" s="134"/>
      <c r="W1101" s="134"/>
      <c r="X1101" s="134"/>
      <c r="Y1101" s="394"/>
      <c r="AB1101" s="134"/>
      <c r="AC1101" s="134"/>
    </row>
    <row r="1102" spans="12:29" ht="12" hidden="1" customHeight="1" x14ac:dyDescent="0.3">
      <c r="L1102" s="124"/>
      <c r="M1102" s="135" t="s">
        <v>1288</v>
      </c>
      <c r="N1102" s="126"/>
      <c r="O1102" s="134"/>
      <c r="P1102" s="134"/>
      <c r="Q1102" s="134"/>
      <c r="R1102" s="134"/>
      <c r="S1102" s="134"/>
      <c r="T1102" s="134"/>
      <c r="U1102" s="134"/>
      <c r="V1102" s="134"/>
      <c r="W1102" s="134"/>
      <c r="X1102" s="134"/>
      <c r="Y1102" s="394"/>
      <c r="AB1102" s="134"/>
      <c r="AC1102" s="134"/>
    </row>
    <row r="1103" spans="12:29" ht="12" hidden="1" customHeight="1" x14ac:dyDescent="0.3">
      <c r="L1103" s="124"/>
      <c r="M1103" s="98" t="s">
        <v>1289</v>
      </c>
      <c r="N1103" s="105" t="s">
        <v>1290</v>
      </c>
      <c r="O1103" s="86">
        <v>1386.6999999999998</v>
      </c>
      <c r="P1103" s="86">
        <v>1560</v>
      </c>
      <c r="Q1103" s="86">
        <v>1599</v>
      </c>
      <c r="R1103" s="86">
        <v>1592</v>
      </c>
      <c r="S1103" s="86">
        <v>1525.1999999999998</v>
      </c>
      <c r="T1103" s="86">
        <v>1523.2000000000007</v>
      </c>
      <c r="U1103" s="86">
        <v>1792</v>
      </c>
      <c r="V1103" s="86">
        <v>1631.6999999999998</v>
      </c>
      <c r="W1103" s="86">
        <v>1686</v>
      </c>
      <c r="X1103" s="86">
        <v>1710.1999999999998</v>
      </c>
      <c r="Y1103" s="394"/>
      <c r="AB1103" s="86">
        <v>1272.8000000000002</v>
      </c>
      <c r="AC1103" s="87">
        <v>1800.1999999999998</v>
      </c>
    </row>
    <row r="1104" spans="12:29" ht="12" hidden="1" customHeight="1" x14ac:dyDescent="0.3">
      <c r="L1104" s="124"/>
      <c r="M1104" s="98" t="s">
        <v>1291</v>
      </c>
      <c r="N1104" s="105" t="s">
        <v>1290</v>
      </c>
      <c r="O1104" s="86">
        <v>6642.3140999999996</v>
      </c>
      <c r="P1104" s="86">
        <v>6260.5868</v>
      </c>
      <c r="Q1104" s="86">
        <v>5126.3995999999997</v>
      </c>
      <c r="R1104" s="86">
        <v>4721.5582000000004</v>
      </c>
      <c r="S1104" s="86">
        <v>3255.8427999999999</v>
      </c>
      <c r="T1104" s="86">
        <v>3114.0661</v>
      </c>
      <c r="U1104" s="86">
        <v>2339.1641</v>
      </c>
      <c r="V1104" s="86">
        <v>2324.9625000000001</v>
      </c>
      <c r="W1104" s="86">
        <v>2594.3813999999998</v>
      </c>
      <c r="X1104" s="86">
        <v>2160.2932000000001</v>
      </c>
      <c r="Y1104" s="394"/>
      <c r="AB1104" s="86">
        <v>1728.5746999999999</v>
      </c>
      <c r="AC1104" s="87">
        <v>2128.0322999999999</v>
      </c>
    </row>
    <row r="1105" spans="1:58" ht="12" hidden="1" customHeight="1" x14ac:dyDescent="0.3">
      <c r="L1105" s="124"/>
      <c r="M1105" s="98" t="s">
        <v>1292</v>
      </c>
      <c r="N1105" s="105" t="s">
        <v>1290</v>
      </c>
      <c r="O1105" s="99">
        <v>0</v>
      </c>
      <c r="P1105" s="99">
        <v>0</v>
      </c>
      <c r="Q1105" s="99">
        <v>0</v>
      </c>
      <c r="R1105" s="99">
        <v>0</v>
      </c>
      <c r="S1105" s="99">
        <v>0</v>
      </c>
      <c r="T1105" s="99">
        <v>0</v>
      </c>
      <c r="U1105" s="99">
        <v>0</v>
      </c>
      <c r="V1105" s="99">
        <v>0</v>
      </c>
      <c r="W1105" s="99">
        <v>0</v>
      </c>
      <c r="X1105" s="99">
        <v>0</v>
      </c>
      <c r="Y1105" s="394"/>
      <c r="AB1105" s="99">
        <v>0</v>
      </c>
      <c r="AC1105" s="159">
        <v>0</v>
      </c>
    </row>
    <row r="1106" spans="1:58" ht="12" hidden="1" customHeight="1" x14ac:dyDescent="0.3">
      <c r="L1106" s="124"/>
      <c r="M1106" s="134"/>
      <c r="N1106" s="143"/>
      <c r="O1106" s="134"/>
      <c r="P1106" s="134"/>
      <c r="Q1106" s="134"/>
      <c r="R1106" s="134"/>
      <c r="S1106" s="134"/>
      <c r="T1106" s="134"/>
      <c r="U1106" s="134"/>
      <c r="V1106" s="134"/>
      <c r="W1106" s="134"/>
      <c r="X1106" s="134"/>
      <c r="Y1106" s="394"/>
      <c r="AB1106" s="134"/>
      <c r="AC1106" s="134"/>
    </row>
    <row r="1107" spans="1:58" ht="12" hidden="1" customHeight="1" x14ac:dyDescent="0.3">
      <c r="L1107" s="124"/>
      <c r="M1107" s="134"/>
      <c r="N1107" s="143"/>
      <c r="O1107" s="134"/>
      <c r="P1107" s="134"/>
      <c r="Q1107" s="134"/>
      <c r="R1107" s="134"/>
      <c r="S1107" s="134"/>
      <c r="T1107" s="134"/>
      <c r="U1107" s="134"/>
      <c r="V1107" s="134"/>
      <c r="W1107" s="134"/>
      <c r="X1107" s="134"/>
      <c r="Y1107" s="394"/>
      <c r="AB1107" s="134"/>
      <c r="AC1107" s="134"/>
    </row>
    <row r="1108" spans="1:58" x14ac:dyDescent="0.3">
      <c r="A1108" s="184"/>
      <c r="B1108" s="184"/>
      <c r="C1108" s="184"/>
      <c r="D1108" s="184"/>
      <c r="E1108" s="184"/>
      <c r="F1108" s="184"/>
      <c r="G1108" s="184"/>
      <c r="H1108" s="184"/>
      <c r="I1108" s="184"/>
      <c r="J1108" s="184"/>
      <c r="K1108" s="184"/>
      <c r="L1108" s="124"/>
      <c r="M1108" s="340" t="s">
        <v>1293</v>
      </c>
      <c r="N1108" s="340"/>
      <c r="O1108" s="340"/>
      <c r="P1108" s="340"/>
      <c r="Q1108" s="340"/>
      <c r="R1108" s="340"/>
      <c r="S1108" s="340"/>
      <c r="T1108" s="340"/>
      <c r="U1108" s="340"/>
      <c r="V1108" s="340"/>
      <c r="W1108" s="340"/>
      <c r="X1108" s="340"/>
      <c r="Y1108" s="394"/>
      <c r="Z1108" s="341"/>
      <c r="AA1108" s="341"/>
      <c r="AB1108" s="340"/>
      <c r="AC1108" s="340"/>
      <c r="AD1108" s="341"/>
      <c r="AE1108" s="341"/>
      <c r="AF1108" s="341"/>
      <c r="AG1108" s="341"/>
      <c r="AH1108" s="341"/>
      <c r="AI1108" s="341"/>
      <c r="AJ1108" s="341"/>
      <c r="AK1108" s="341"/>
      <c r="AL1108" s="341"/>
      <c r="AM1108" s="341"/>
      <c r="AN1108" s="341"/>
      <c r="AO1108" s="341"/>
      <c r="AP1108" s="341"/>
      <c r="AQ1108" s="341"/>
      <c r="AR1108" s="341"/>
      <c r="AS1108" s="341"/>
      <c r="AT1108" s="341"/>
      <c r="AU1108" s="341"/>
      <c r="AV1108" s="341"/>
      <c r="AW1108" s="341"/>
      <c r="AX1108" s="341"/>
      <c r="AY1108" s="341"/>
      <c r="AZ1108" s="341"/>
      <c r="BA1108" s="341"/>
      <c r="BB1108" s="341"/>
      <c r="BC1108" s="341"/>
      <c r="BD1108" s="341"/>
      <c r="BE1108" s="341"/>
      <c r="BF1108" s="341"/>
    </row>
    <row r="1109" spans="1:58" x14ac:dyDescent="0.3">
      <c r="A1109" s="184"/>
      <c r="B1109" s="184"/>
      <c r="C1109" s="184"/>
      <c r="D1109" s="184"/>
      <c r="E1109" s="184"/>
      <c r="F1109" s="184"/>
      <c r="G1109" s="184"/>
      <c r="H1109" s="184"/>
      <c r="I1109" s="184"/>
      <c r="J1109" s="184"/>
      <c r="K1109" s="184"/>
      <c r="L1109" s="124"/>
      <c r="M1109" s="342"/>
      <c r="N1109" s="342"/>
      <c r="O1109" s="342"/>
      <c r="P1109" s="342"/>
      <c r="Q1109" s="342"/>
      <c r="R1109" s="342"/>
      <c r="S1109" s="342"/>
      <c r="T1109" s="342"/>
      <c r="U1109" s="342"/>
      <c r="V1109" s="342"/>
      <c r="W1109" s="342"/>
      <c r="X1109" s="342"/>
      <c r="Y1109" s="394"/>
      <c r="Z1109" s="184"/>
      <c r="AA1109" s="184"/>
      <c r="AB1109" s="342"/>
      <c r="AC1109" s="342"/>
      <c r="AD1109" s="184"/>
      <c r="AE1109" s="184"/>
      <c r="AF1109" s="184"/>
      <c r="AG1109" s="184"/>
      <c r="AH1109" s="184"/>
      <c r="AI1109" s="184"/>
      <c r="AJ1109" s="184"/>
      <c r="AK1109" s="184"/>
      <c r="AL1109" s="184"/>
      <c r="AM1109" s="184"/>
      <c r="AN1109" s="184"/>
      <c r="AO1109" s="184"/>
      <c r="AP1109" s="184"/>
      <c r="AQ1109" s="184"/>
      <c r="AR1109" s="184"/>
      <c r="AS1109" s="184"/>
      <c r="AT1109" s="184"/>
      <c r="AU1109" s="184"/>
      <c r="AV1109" s="184"/>
      <c r="AW1109" s="184"/>
      <c r="AX1109" s="184"/>
      <c r="AY1109" s="184"/>
      <c r="AZ1109" s="184"/>
      <c r="BA1109" s="184"/>
      <c r="BB1109" s="184"/>
      <c r="BC1109" s="184"/>
      <c r="BD1109" s="184"/>
      <c r="BE1109" s="184"/>
      <c r="BF1109" s="184"/>
    </row>
    <row r="1110" spans="1:58" x14ac:dyDescent="0.3">
      <c r="A1110" s="184"/>
      <c r="B1110" s="184"/>
      <c r="C1110" s="184"/>
      <c r="D1110" s="184"/>
      <c r="E1110" s="184"/>
      <c r="F1110" s="184"/>
      <c r="G1110" s="184"/>
      <c r="H1110" s="184"/>
      <c r="I1110" s="184"/>
      <c r="J1110" s="184"/>
      <c r="K1110" s="184"/>
      <c r="L1110" s="124"/>
      <c r="M1110" s="343" t="s">
        <v>1294</v>
      </c>
      <c r="N1110" s="342"/>
      <c r="O1110" s="342"/>
      <c r="P1110" s="342"/>
      <c r="Q1110" s="342"/>
      <c r="R1110" s="342"/>
      <c r="S1110" s="342"/>
      <c r="T1110" s="342"/>
      <c r="U1110" s="342"/>
      <c r="V1110" s="342"/>
      <c r="W1110" s="342"/>
      <c r="X1110" s="342"/>
      <c r="Y1110" s="394"/>
      <c r="Z1110" s="184"/>
      <c r="AA1110" s="184"/>
      <c r="AB1110" s="342"/>
      <c r="AC1110" s="342"/>
      <c r="AD1110" s="184"/>
      <c r="AE1110" s="184"/>
      <c r="AF1110" s="184"/>
      <c r="AG1110" s="184"/>
      <c r="AH1110" s="184"/>
      <c r="AI1110" s="184"/>
      <c r="AJ1110" s="184"/>
      <c r="AK1110" s="184"/>
      <c r="AL1110" s="184"/>
      <c r="AM1110" s="184"/>
      <c r="AN1110" s="184"/>
      <c r="AO1110" s="184"/>
      <c r="AP1110" s="184"/>
      <c r="AQ1110" s="184"/>
      <c r="AR1110" s="184"/>
      <c r="AS1110" s="184"/>
      <c r="AT1110" s="184"/>
      <c r="AU1110" s="184"/>
      <c r="AV1110" s="184"/>
      <c r="AW1110" s="184"/>
      <c r="AX1110" s="184"/>
      <c r="AY1110" s="184"/>
      <c r="AZ1110" s="184"/>
      <c r="BA1110" s="184"/>
      <c r="BB1110" s="184"/>
      <c r="BC1110" s="184"/>
      <c r="BD1110" s="184"/>
      <c r="BE1110" s="184"/>
      <c r="BF1110" s="184"/>
    </row>
    <row r="1111" spans="1:58" x14ac:dyDescent="0.3">
      <c r="A1111" s="184"/>
      <c r="B1111" s="184"/>
      <c r="C1111" s="184"/>
      <c r="D1111" s="184"/>
      <c r="E1111" s="184"/>
      <c r="F1111" s="184"/>
      <c r="G1111" s="184"/>
      <c r="H1111" s="184"/>
      <c r="I1111" s="184"/>
      <c r="J1111" s="184"/>
      <c r="K1111" s="184"/>
      <c r="L1111" s="124"/>
      <c r="M1111" s="344" t="s">
        <v>1295</v>
      </c>
      <c r="N1111" s="342"/>
      <c r="O1111" s="354"/>
      <c r="P1111" s="354"/>
      <c r="Q1111" s="354"/>
      <c r="R1111" s="354"/>
      <c r="S1111" s="354"/>
      <c r="T1111" s="354"/>
      <c r="U1111" s="354"/>
      <c r="V1111" s="354"/>
      <c r="W1111" s="354"/>
      <c r="X1111" s="354"/>
      <c r="Y1111" s="394"/>
      <c r="Z1111" s="184"/>
      <c r="AA1111" s="184"/>
      <c r="AB1111" s="354"/>
      <c r="AC1111" s="354"/>
      <c r="AD1111" s="368"/>
      <c r="AE1111" s="368"/>
      <c r="AF1111" s="368"/>
      <c r="AG1111" s="368"/>
      <c r="AH1111" s="368"/>
      <c r="AI1111" s="368"/>
      <c r="AJ1111" s="368"/>
      <c r="AK1111" s="368"/>
      <c r="AL1111" s="368"/>
      <c r="AM1111" s="368"/>
      <c r="AN1111" s="368"/>
      <c r="AO1111" s="368"/>
      <c r="AP1111" s="368"/>
      <c r="AQ1111" s="368"/>
      <c r="AR1111" s="368"/>
      <c r="AS1111" s="368"/>
      <c r="AT1111" s="368"/>
      <c r="AU1111" s="368"/>
      <c r="AV1111" s="368"/>
      <c r="AW1111" s="368"/>
      <c r="AX1111" s="368"/>
      <c r="AY1111" s="368"/>
      <c r="AZ1111" s="368"/>
      <c r="BA1111" s="368"/>
      <c r="BB1111" s="368"/>
      <c r="BC1111" s="368"/>
      <c r="BD1111" s="368"/>
      <c r="BE1111" s="368"/>
      <c r="BF1111" s="368"/>
    </row>
    <row r="1112" spans="1:58" x14ac:dyDescent="0.3">
      <c r="A1112" s="184"/>
      <c r="B1112" s="184"/>
      <c r="C1112" s="184"/>
      <c r="D1112" s="184"/>
      <c r="E1112" s="184"/>
      <c r="F1112" s="184"/>
      <c r="G1112" s="184"/>
      <c r="H1112" s="184"/>
      <c r="I1112" s="184"/>
      <c r="J1112" s="184"/>
      <c r="K1112" s="184"/>
      <c r="L1112" s="124"/>
      <c r="M1112" s="345" t="s">
        <v>1296</v>
      </c>
      <c r="N1112" s="346" t="s">
        <v>77</v>
      </c>
      <c r="O1112" s="145">
        <v>3365.7220000000002</v>
      </c>
      <c r="P1112" s="145">
        <v>3116.6666666666665</v>
      </c>
      <c r="Q1112" s="145">
        <v>2982.2222222222222</v>
      </c>
      <c r="R1112" s="145">
        <v>2798.8888888888887</v>
      </c>
      <c r="S1112" s="145">
        <v>2811.1111111111109</v>
      </c>
      <c r="T1112" s="145">
        <v>2798.8888888888887</v>
      </c>
      <c r="U1112" s="145">
        <v>2957.7777777777778</v>
      </c>
      <c r="V1112" s="145">
        <v>3104.4444444444443</v>
      </c>
      <c r="W1112" s="145">
        <v>3165.5555555555557</v>
      </c>
      <c r="X1112" s="145">
        <v>3177.7777777777778</v>
      </c>
      <c r="Y1112" s="394"/>
      <c r="Z1112" s="184"/>
      <c r="AA1112" s="184"/>
      <c r="AB1112" s="145">
        <v>2493.3333333333335</v>
      </c>
      <c r="AC1112" s="145">
        <v>2322.2222222222222</v>
      </c>
      <c r="AD1112" s="450">
        <f>AD1145*AD1147</f>
        <v>2275.0811111111111</v>
      </c>
      <c r="AE1112" s="450">
        <f>AE1145*AE1147</f>
        <v>2228.8969645555558</v>
      </c>
      <c r="AF1112" s="450">
        <f t="shared" ref="AF1112:BF1112" si="1176">AF1145*AF1147</f>
        <v>2183.6503561750778</v>
      </c>
      <c r="AG1112" s="450">
        <f t="shared" si="1176"/>
        <v>2139.3222539447243</v>
      </c>
      <c r="AH1112" s="450">
        <f t="shared" si="1176"/>
        <v>2095.8940121896458</v>
      </c>
      <c r="AI1112" s="450">
        <f t="shared" si="1176"/>
        <v>2053.3473637421962</v>
      </c>
      <c r="AJ1112" s="450">
        <f t="shared" si="1176"/>
        <v>2011.6644122582295</v>
      </c>
      <c r="AK1112" s="450">
        <f t="shared" si="1176"/>
        <v>1970.8276246893877</v>
      </c>
      <c r="AL1112" s="450">
        <f t="shared" si="1176"/>
        <v>1930.8198239081933</v>
      </c>
      <c r="AM1112" s="450">
        <f t="shared" si="1176"/>
        <v>1891.624181482857</v>
      </c>
      <c r="AN1112" s="450">
        <f t="shared" si="1176"/>
        <v>1853.2242105987548</v>
      </c>
      <c r="AO1112" s="450">
        <f t="shared" si="1176"/>
        <v>1815.6037591236</v>
      </c>
      <c r="AP1112" s="450">
        <f t="shared" si="1176"/>
        <v>1778.747002813391</v>
      </c>
      <c r="AQ1112" s="450">
        <f t="shared" si="1176"/>
        <v>1742.638438656279</v>
      </c>
      <c r="AR1112" s="450">
        <f t="shared" si="1176"/>
        <v>1707.2628783515565</v>
      </c>
      <c r="AS1112" s="450">
        <f t="shared" si="1176"/>
        <v>1672.60544192102</v>
      </c>
      <c r="AT1112" s="450">
        <f t="shared" si="1176"/>
        <v>1638.6515514500229</v>
      </c>
      <c r="AU1112" s="450">
        <f t="shared" si="1176"/>
        <v>1605.3869249555873</v>
      </c>
      <c r="AV1112" s="450">
        <f t="shared" si="1176"/>
        <v>1572.7975703789889</v>
      </c>
      <c r="AW1112" s="450">
        <f t="shared" si="1176"/>
        <v>1540.8697797002953</v>
      </c>
      <c r="AX1112" s="450">
        <f t="shared" si="1176"/>
        <v>1509.5901231723792</v>
      </c>
      <c r="AY1112" s="450">
        <f t="shared" si="1176"/>
        <v>1478.9454436719798</v>
      </c>
      <c r="AZ1112" s="450">
        <f t="shared" si="1176"/>
        <v>1448.9228511654387</v>
      </c>
      <c r="BA1112" s="450">
        <f t="shared" si="1176"/>
        <v>1419.5097172867802</v>
      </c>
      <c r="BB1112" s="450">
        <f t="shared" si="1176"/>
        <v>1390.6936700258584</v>
      </c>
      <c r="BC1112" s="450">
        <f t="shared" si="1176"/>
        <v>1362.4625885243333</v>
      </c>
      <c r="BD1112" s="450">
        <f t="shared" si="1176"/>
        <v>1334.8045979772894</v>
      </c>
      <c r="BE1112" s="450">
        <f t="shared" si="1176"/>
        <v>1307.7080646383504</v>
      </c>
      <c r="BF1112" s="450">
        <f t="shared" si="1176"/>
        <v>1281.1615909261918</v>
      </c>
    </row>
    <row r="1113" spans="1:58" x14ac:dyDescent="0.3">
      <c r="A1113" s="184"/>
      <c r="B1113" s="184"/>
      <c r="C1113" s="184"/>
      <c r="D1113" s="184"/>
      <c r="E1113" s="184"/>
      <c r="F1113" s="184"/>
      <c r="G1113" s="184"/>
      <c r="H1113" s="184"/>
      <c r="I1113" s="184"/>
      <c r="J1113" s="184"/>
      <c r="K1113" s="184"/>
      <c r="L1113" s="124"/>
      <c r="M1113" s="345" t="s">
        <v>1297</v>
      </c>
      <c r="N1113" s="346" t="s">
        <v>77</v>
      </c>
      <c r="O1113" s="145">
        <v>4528.7219999999998</v>
      </c>
      <c r="P1113" s="145">
        <v>4970.25</v>
      </c>
      <c r="Q1113" s="145">
        <v>5252.2499999999991</v>
      </c>
      <c r="R1113" s="145">
        <v>5275.75</v>
      </c>
      <c r="S1113" s="145">
        <v>5310.9999999999991</v>
      </c>
      <c r="T1113" s="145">
        <v>5557.75</v>
      </c>
      <c r="U1113" s="145">
        <v>5640</v>
      </c>
      <c r="V1113" s="145">
        <v>5757.5</v>
      </c>
      <c r="W1113" s="145">
        <v>5817.5</v>
      </c>
      <c r="X1113" s="145">
        <v>5660.833333333333</v>
      </c>
      <c r="Y1113" s="394"/>
      <c r="Z1113" s="184"/>
      <c r="AA1113" s="184"/>
      <c r="AB1113" s="145">
        <v>5602.7777777777774</v>
      </c>
      <c r="AC1113" s="145">
        <v>6189.1666666666661</v>
      </c>
      <c r="AD1113" s="451">
        <f t="shared" ref="AD1113:BF1113" si="1177">AD1145*AD1148*($AC1113/($AC1113+$AC1125+$AC1139))</f>
        <v>6282.3136249999989</v>
      </c>
      <c r="AE1113" s="451">
        <f t="shared" si="1177"/>
        <v>6376.8624450562484</v>
      </c>
      <c r="AF1113" s="451">
        <f t="shared" si="1177"/>
        <v>6472.834224854344</v>
      </c>
      <c r="AG1113" s="451">
        <f t="shared" si="1177"/>
        <v>6570.2503799384021</v>
      </c>
      <c r="AH1113" s="451">
        <f t="shared" si="1177"/>
        <v>6669.1326481564729</v>
      </c>
      <c r="AI1113" s="451">
        <f t="shared" si="1177"/>
        <v>6769.5030945112285</v>
      </c>
      <c r="AJ1113" s="451">
        <f t="shared" si="1177"/>
        <v>6871.3841160836218</v>
      </c>
      <c r="AK1113" s="451">
        <f t="shared" si="1177"/>
        <v>6974.7984470306801</v>
      </c>
      <c r="AL1113" s="451">
        <f t="shared" si="1177"/>
        <v>7079.7691636584914</v>
      </c>
      <c r="AM1113" s="451">
        <f t="shared" si="1177"/>
        <v>7186.319689571551</v>
      </c>
      <c r="AN1113" s="451">
        <f t="shared" si="1177"/>
        <v>7294.4738008996019</v>
      </c>
      <c r="AO1113" s="451">
        <f t="shared" si="1177"/>
        <v>7404.2556316031387</v>
      </c>
      <c r="AP1113" s="451">
        <f t="shared" si="1177"/>
        <v>7515.6896788587655</v>
      </c>
      <c r="AQ1113" s="451">
        <f t="shared" si="1177"/>
        <v>7628.8008085255888</v>
      </c>
      <c r="AR1113" s="451">
        <f t="shared" si="1177"/>
        <v>7743.6142606938974</v>
      </c>
      <c r="AS1113" s="451">
        <f t="shared" si="1177"/>
        <v>7860.1556553173396</v>
      </c>
      <c r="AT1113" s="451">
        <f t="shared" si="1177"/>
        <v>7978.4509979298637</v>
      </c>
      <c r="AU1113" s="451">
        <f t="shared" si="1177"/>
        <v>8098.5266854487072</v>
      </c>
      <c r="AV1113" s="451">
        <f t="shared" si="1177"/>
        <v>8220.4095120647089</v>
      </c>
      <c r="AW1113" s="451">
        <f t="shared" si="1177"/>
        <v>8344.1266752212814</v>
      </c>
      <c r="AX1113" s="451">
        <f t="shared" si="1177"/>
        <v>8469.7057816833621</v>
      </c>
      <c r="AY1113" s="451">
        <f t="shared" si="1177"/>
        <v>8597.1748536976957</v>
      </c>
      <c r="AZ1113" s="451">
        <f t="shared" si="1177"/>
        <v>8726.5623352458442</v>
      </c>
      <c r="BA1113" s="451">
        <f t="shared" si="1177"/>
        <v>8857.8970983912932</v>
      </c>
      <c r="BB1113" s="451">
        <f t="shared" si="1177"/>
        <v>8991.2084497220803</v>
      </c>
      <c r="BC1113" s="451">
        <f t="shared" si="1177"/>
        <v>9126.5261368903957</v>
      </c>
      <c r="BD1113" s="451">
        <f t="shared" si="1177"/>
        <v>9263.880355250596</v>
      </c>
      <c r="BE1113" s="451">
        <f t="shared" si="1177"/>
        <v>9403.3017545971161</v>
      </c>
      <c r="BF1113" s="451">
        <f t="shared" si="1177"/>
        <v>9544.8214460037998</v>
      </c>
    </row>
    <row r="1114" spans="1:58" x14ac:dyDescent="0.3">
      <c r="A1114" s="184"/>
      <c r="B1114" s="184"/>
      <c r="C1114" s="184"/>
      <c r="D1114" s="184"/>
      <c r="E1114" s="184"/>
      <c r="F1114" s="184"/>
      <c r="G1114" s="184"/>
      <c r="H1114" s="184"/>
      <c r="I1114" s="184"/>
      <c r="J1114" s="184"/>
      <c r="K1114" s="184"/>
      <c r="L1114" s="124"/>
      <c r="M1114" s="345" t="s">
        <v>1298</v>
      </c>
      <c r="N1114" s="346" t="s">
        <v>77</v>
      </c>
      <c r="O1114" s="145">
        <v>26.111111111111114</v>
      </c>
      <c r="P1114" s="145">
        <v>29.006249999999998</v>
      </c>
      <c r="Q1114" s="145">
        <v>37.752361111111114</v>
      </c>
      <c r="R1114" s="145">
        <v>44.362499999999997</v>
      </c>
      <c r="S1114" s="145">
        <v>53.058055555555569</v>
      </c>
      <c r="T1114" s="145">
        <v>63.282916666666665</v>
      </c>
      <c r="U1114" s="145">
        <v>71.111111111111114</v>
      </c>
      <c r="V1114" s="145">
        <v>85</v>
      </c>
      <c r="W1114" s="145">
        <v>102.5</v>
      </c>
      <c r="X1114" s="145">
        <v>122.22222222222221</v>
      </c>
      <c r="Y1114" s="394"/>
      <c r="Z1114" s="184"/>
      <c r="AA1114" s="184"/>
      <c r="AB1114" s="145">
        <v>117.5</v>
      </c>
      <c r="AC1114" s="145">
        <v>121.3888888888889</v>
      </c>
      <c r="AD1114" s="450">
        <f>AD1145*AD1150</f>
        <v>122.60277777777779</v>
      </c>
      <c r="AE1114" s="450">
        <f>AE1145*AE1150</f>
        <v>123.82880555555556</v>
      </c>
      <c r="AF1114" s="450">
        <f t="shared" ref="AF1114:BF1114" si="1178">AF1145*AF1150</f>
        <v>125.06709361111113</v>
      </c>
      <c r="AG1114" s="450">
        <f t="shared" si="1178"/>
        <v>126.31776454722225</v>
      </c>
      <c r="AH1114" s="450">
        <f t="shared" si="1178"/>
        <v>127.58094219269447</v>
      </c>
      <c r="AI1114" s="450">
        <f t="shared" si="1178"/>
        <v>128.85675161462143</v>
      </c>
      <c r="AJ1114" s="450">
        <f t="shared" si="1178"/>
        <v>130.14531913076763</v>
      </c>
      <c r="AK1114" s="450">
        <f t="shared" si="1178"/>
        <v>131.4467723220753</v>
      </c>
      <c r="AL1114" s="450">
        <f t="shared" si="1178"/>
        <v>132.76124004529606</v>
      </c>
      <c r="AM1114" s="450">
        <f t="shared" si="1178"/>
        <v>134.08885244574904</v>
      </c>
      <c r="AN1114" s="450">
        <f t="shared" si="1178"/>
        <v>135.42974097020652</v>
      </c>
      <c r="AO1114" s="450">
        <f t="shared" si="1178"/>
        <v>136.78403837990857</v>
      </c>
      <c r="AP1114" s="450">
        <f t="shared" si="1178"/>
        <v>138.15187876370766</v>
      </c>
      <c r="AQ1114" s="450">
        <f t="shared" si="1178"/>
        <v>139.53339755134473</v>
      </c>
      <c r="AR1114" s="450">
        <f t="shared" si="1178"/>
        <v>140.92873152685817</v>
      </c>
      <c r="AS1114" s="450">
        <f t="shared" si="1178"/>
        <v>142.33801884212676</v>
      </c>
      <c r="AT1114" s="450">
        <f t="shared" si="1178"/>
        <v>143.76139903054801</v>
      </c>
      <c r="AU1114" s="450">
        <f t="shared" si="1178"/>
        <v>145.19901302085347</v>
      </c>
      <c r="AV1114" s="450">
        <f t="shared" si="1178"/>
        <v>146.65100315106201</v>
      </c>
      <c r="AW1114" s="450">
        <f t="shared" si="1178"/>
        <v>148.11751318257265</v>
      </c>
      <c r="AX1114" s="450">
        <f t="shared" si="1178"/>
        <v>149.59868831439834</v>
      </c>
      <c r="AY1114" s="450">
        <f t="shared" si="1178"/>
        <v>151.09467519754236</v>
      </c>
      <c r="AZ1114" s="450">
        <f t="shared" si="1178"/>
        <v>152.60562194951777</v>
      </c>
      <c r="BA1114" s="450">
        <f t="shared" si="1178"/>
        <v>154.13167816901293</v>
      </c>
      <c r="BB1114" s="450">
        <f t="shared" si="1178"/>
        <v>155.67299495070307</v>
      </c>
      <c r="BC1114" s="450">
        <f t="shared" si="1178"/>
        <v>157.2297249002101</v>
      </c>
      <c r="BD1114" s="450">
        <f t="shared" si="1178"/>
        <v>158.80202214921221</v>
      </c>
      <c r="BE1114" s="450">
        <f t="shared" si="1178"/>
        <v>160.39004237070432</v>
      </c>
      <c r="BF1114" s="450">
        <f t="shared" si="1178"/>
        <v>161.99394279441134</v>
      </c>
    </row>
    <row r="1115" spans="1:58" x14ac:dyDescent="0.3">
      <c r="A1115" s="184"/>
      <c r="B1115" s="184"/>
      <c r="C1115" s="184"/>
      <c r="D1115" s="184"/>
      <c r="E1115" s="184"/>
      <c r="F1115" s="184"/>
      <c r="G1115" s="184"/>
      <c r="H1115" s="184"/>
      <c r="I1115" s="184"/>
      <c r="J1115" s="184"/>
      <c r="K1115" s="184"/>
      <c r="L1115" s="124"/>
      <c r="M1115" s="345" t="s">
        <v>1299</v>
      </c>
      <c r="N1115" s="346" t="s">
        <v>77</v>
      </c>
      <c r="O1115" s="145">
        <v>0.55555555555555558</v>
      </c>
      <c r="P1115" s="145">
        <v>3.0555555555555554</v>
      </c>
      <c r="Q1115" s="145">
        <v>6.3888888888888884</v>
      </c>
      <c r="R1115" s="145">
        <v>10</v>
      </c>
      <c r="S1115" s="145">
        <v>18.333333333333332</v>
      </c>
      <c r="T1115" s="145">
        <v>32.222222222222214</v>
      </c>
      <c r="U1115" s="145">
        <v>48.055555555555564</v>
      </c>
      <c r="V1115" s="145">
        <v>54.444444444444443</v>
      </c>
      <c r="W1115" s="145">
        <v>82.777777777777771</v>
      </c>
      <c r="X1115" s="145">
        <v>106.94444444444444</v>
      </c>
      <c r="Y1115" s="394"/>
      <c r="Z1115" s="184"/>
      <c r="AA1115" s="184"/>
      <c r="AB1115" s="145">
        <v>180.83333333333334</v>
      </c>
      <c r="AC1115" s="145">
        <v>200</v>
      </c>
      <c r="AD1115" s="450">
        <f>AD1145*AD1151</f>
        <v>202</v>
      </c>
      <c r="AE1115" s="450">
        <f>AE1145*AE1151</f>
        <v>204.01999999999998</v>
      </c>
      <c r="AF1115" s="450">
        <f t="shared" ref="AF1115:BF1115" si="1179">AF1145*AF1151</f>
        <v>206.06020000000001</v>
      </c>
      <c r="AG1115" s="450">
        <f t="shared" si="1179"/>
        <v>208.12080200000003</v>
      </c>
      <c r="AH1115" s="450">
        <f t="shared" si="1179"/>
        <v>210.20201002000002</v>
      </c>
      <c r="AI1115" s="450">
        <f t="shared" si="1179"/>
        <v>212.30403012020003</v>
      </c>
      <c r="AJ1115" s="450">
        <f t="shared" si="1179"/>
        <v>214.42707042140202</v>
      </c>
      <c r="AK1115" s="450">
        <f t="shared" si="1179"/>
        <v>216.57134112561604</v>
      </c>
      <c r="AL1115" s="450">
        <f t="shared" si="1179"/>
        <v>218.73705453687222</v>
      </c>
      <c r="AM1115" s="450">
        <f t="shared" si="1179"/>
        <v>220.92442508224093</v>
      </c>
      <c r="AN1115" s="450">
        <f t="shared" si="1179"/>
        <v>223.13366933306332</v>
      </c>
      <c r="AO1115" s="450">
        <f t="shared" si="1179"/>
        <v>225.36500602639396</v>
      </c>
      <c r="AP1115" s="450">
        <f t="shared" si="1179"/>
        <v>227.61865608665789</v>
      </c>
      <c r="AQ1115" s="450">
        <f t="shared" si="1179"/>
        <v>229.89484264752448</v>
      </c>
      <c r="AR1115" s="450">
        <f t="shared" si="1179"/>
        <v>232.19379107399971</v>
      </c>
      <c r="AS1115" s="450">
        <f t="shared" si="1179"/>
        <v>234.5157289847397</v>
      </c>
      <c r="AT1115" s="450">
        <f t="shared" si="1179"/>
        <v>236.86088627458707</v>
      </c>
      <c r="AU1115" s="450">
        <f t="shared" si="1179"/>
        <v>239.22949513733292</v>
      </c>
      <c r="AV1115" s="450">
        <f t="shared" si="1179"/>
        <v>241.62179008870626</v>
      </c>
      <c r="AW1115" s="450">
        <f t="shared" si="1179"/>
        <v>244.03800798959332</v>
      </c>
      <c r="AX1115" s="450">
        <f t="shared" si="1179"/>
        <v>246.47838806948926</v>
      </c>
      <c r="AY1115" s="450">
        <f t="shared" si="1179"/>
        <v>248.94317195018417</v>
      </c>
      <c r="AZ1115" s="450">
        <f t="shared" si="1179"/>
        <v>251.43260366968599</v>
      </c>
      <c r="BA1115" s="450">
        <f t="shared" si="1179"/>
        <v>253.94692970638286</v>
      </c>
      <c r="BB1115" s="450">
        <f t="shared" si="1179"/>
        <v>256.48639900344665</v>
      </c>
      <c r="BC1115" s="450">
        <f t="shared" si="1179"/>
        <v>259.05126299348115</v>
      </c>
      <c r="BD1115" s="450">
        <f t="shared" si="1179"/>
        <v>261.64177562341592</v>
      </c>
      <c r="BE1115" s="450">
        <f t="shared" si="1179"/>
        <v>264.25819337965009</v>
      </c>
      <c r="BF1115" s="450">
        <f t="shared" si="1179"/>
        <v>266.90077531344656</v>
      </c>
    </row>
    <row r="1116" spans="1:58" x14ac:dyDescent="0.3">
      <c r="A1116" s="184"/>
      <c r="B1116" s="184"/>
      <c r="C1116" s="184"/>
      <c r="D1116" s="184"/>
      <c r="E1116" s="184"/>
      <c r="F1116" s="184"/>
      <c r="G1116" s="184"/>
      <c r="H1116" s="184"/>
      <c r="I1116" s="184"/>
      <c r="J1116" s="184"/>
      <c r="K1116" s="184"/>
      <c r="L1116" s="124"/>
      <c r="M1116" s="345" t="s">
        <v>1300</v>
      </c>
      <c r="N1116" s="346" t="s">
        <v>77</v>
      </c>
      <c r="O1116" s="145">
        <v>23.055555555555554</v>
      </c>
      <c r="P1116" s="145">
        <v>22</v>
      </c>
      <c r="Q1116" s="145">
        <v>22</v>
      </c>
      <c r="R1116" s="145">
        <v>21.000000000000004</v>
      </c>
      <c r="S1116" s="145">
        <v>18</v>
      </c>
      <c r="T1116" s="145">
        <v>17</v>
      </c>
      <c r="U1116" s="145">
        <v>17</v>
      </c>
      <c r="V1116" s="145">
        <v>16</v>
      </c>
      <c r="W1116" s="145">
        <v>17</v>
      </c>
      <c r="X1116" s="145">
        <v>17</v>
      </c>
      <c r="Y1116" s="394"/>
      <c r="Z1116" s="184"/>
      <c r="AA1116" s="184"/>
      <c r="AB1116" s="145">
        <v>14.444444444444445</v>
      </c>
      <c r="AC1116" s="145">
        <v>16.944444444444443</v>
      </c>
      <c r="AD1116" s="451">
        <f t="shared" ref="AD1116:BF1116" si="1180">AD1145*AD1155*($AC1116/($AC1116+$AC1127))</f>
        <v>37.40652417695658</v>
      </c>
      <c r="AE1116" s="451">
        <f t="shared" si="1180"/>
        <v>56.940034417104634</v>
      </c>
      <c r="AF1116" s="451">
        <f t="shared" si="1180"/>
        <v>75.547678392912985</v>
      </c>
      <c r="AG1116" s="451">
        <f t="shared" si="1180"/>
        <v>93.231773999584135</v>
      </c>
      <c r="AH1116" s="451">
        <f t="shared" si="1180"/>
        <v>109.99425570924897</v>
      </c>
      <c r="AI1116" s="451">
        <f t="shared" si="1180"/>
        <v>125.83667634224301</v>
      </c>
      <c r="AJ1116" s="451">
        <f t="shared" si="1180"/>
        <v>140.76020870113246</v>
      </c>
      <c r="AK1116" s="451">
        <f t="shared" si="1180"/>
        <v>154.76564706860438</v>
      </c>
      <c r="AL1116" s="451">
        <f t="shared" si="1180"/>
        <v>167.85340857028706</v>
      </c>
      <c r="AM1116" s="451">
        <f t="shared" si="1180"/>
        <v>180.02353440354349</v>
      </c>
      <c r="AN1116" s="451">
        <f t="shared" si="1180"/>
        <v>191.2756909332133</v>
      </c>
      <c r="AO1116" s="451">
        <f t="shared" si="1180"/>
        <v>201.60917065522523</v>
      </c>
      <c r="AP1116" s="451">
        <f t="shared" si="1180"/>
        <v>211.02289302898023</v>
      </c>
      <c r="AQ1116" s="451">
        <f t="shared" si="1180"/>
        <v>219.51540517932841</v>
      </c>
      <c r="AR1116" s="451">
        <f t="shared" si="1180"/>
        <v>227.08488246893182</v>
      </c>
      <c r="AS1116" s="451">
        <f t="shared" si="1180"/>
        <v>233.72912894177074</v>
      </c>
      <c r="AT1116" s="451">
        <f t="shared" si="1180"/>
        <v>239.445577638468</v>
      </c>
      <c r="AU1116" s="451">
        <f t="shared" si="1180"/>
        <v>244.23129078410639</v>
      </c>
      <c r="AV1116" s="451">
        <f t="shared" si="1180"/>
        <v>248.08295984914028</v>
      </c>
      <c r="AW1116" s="451">
        <f t="shared" si="1180"/>
        <v>250.99690548395651</v>
      </c>
      <c r="AX1116" s="451">
        <f t="shared" si="1180"/>
        <v>252.96907732762102</v>
      </c>
      <c r="AY1116" s="451">
        <f t="shared" si="1180"/>
        <v>253.99505369127178</v>
      </c>
      <c r="AZ1116" s="451">
        <f t="shared" si="1180"/>
        <v>254.07004111660626</v>
      </c>
      <c r="BA1116" s="451">
        <f t="shared" si="1180"/>
        <v>253.18887380983745</v>
      </c>
      <c r="BB1116" s="451">
        <f t="shared" si="1180"/>
        <v>251.34601295148045</v>
      </c>
      <c r="BC1116" s="451">
        <f t="shared" si="1180"/>
        <v>248.53554588226916</v>
      </c>
      <c r="BD1116" s="451">
        <f t="shared" si="1180"/>
        <v>244.75118516545911</v>
      </c>
      <c r="BE1116" s="451">
        <f t="shared" si="1180"/>
        <v>239.98626752575342</v>
      </c>
      <c r="BF1116" s="451">
        <f t="shared" si="1180"/>
        <v>234.23375266501176</v>
      </c>
    </row>
    <row r="1117" spans="1:58" x14ac:dyDescent="0.3">
      <c r="A1117" s="184"/>
      <c r="B1117" s="184"/>
      <c r="C1117" s="184"/>
      <c r="D1117" s="184"/>
      <c r="E1117" s="184"/>
      <c r="F1117" s="184"/>
      <c r="G1117" s="184"/>
      <c r="H1117" s="184"/>
      <c r="I1117" s="184"/>
      <c r="J1117" s="184"/>
      <c r="K1117" s="184"/>
      <c r="L1117" s="124"/>
      <c r="M1117" s="345" t="s">
        <v>1301</v>
      </c>
      <c r="N1117" s="346" t="s">
        <v>77</v>
      </c>
      <c r="O1117" s="145">
        <v>90</v>
      </c>
      <c r="P1117" s="145">
        <v>51.751972222222221</v>
      </c>
      <c r="Q1117" s="145">
        <v>41.882444444444445</v>
      </c>
      <c r="R1117" s="145">
        <v>35.547222222222224</v>
      </c>
      <c r="S1117" s="145">
        <v>59.397090277777771</v>
      </c>
      <c r="T1117" s="145">
        <v>30.238</v>
      </c>
      <c r="U1117" s="145">
        <v>22.222222222222253</v>
      </c>
      <c r="V1117" s="145">
        <v>28.611111111111111</v>
      </c>
      <c r="W1117" s="145">
        <v>203.05555555555554</v>
      </c>
      <c r="X1117" s="145">
        <v>378.61111111111109</v>
      </c>
      <c r="Y1117" s="394"/>
      <c r="Z1117" s="184"/>
      <c r="AA1117" s="184"/>
      <c r="AB1117" s="145">
        <v>550.27777777777771</v>
      </c>
      <c r="AC1117" s="145">
        <v>621.11111111111109</v>
      </c>
      <c r="AD1117" s="452">
        <f>SUM(AD1118:AD1120)</f>
        <v>629.41516666666666</v>
      </c>
      <c r="AE1117" s="452">
        <f>SUM(AE1118:AE1120)</f>
        <v>637.89343744166661</v>
      </c>
      <c r="AF1117" s="452">
        <f t="shared" ref="AF1117:BF1117" si="1181">SUM(AF1118:AF1120)</f>
        <v>646.54810968001698</v>
      </c>
      <c r="AG1117" s="452">
        <f t="shared" si="1181"/>
        <v>655.38142270679759</v>
      </c>
      <c r="AH1117" s="452">
        <f t="shared" si="1181"/>
        <v>664.39566954532108</v>
      </c>
      <c r="AI1117" s="452">
        <f t="shared" si="1181"/>
        <v>673.59319755174965</v>
      </c>
      <c r="AJ1117" s="452">
        <f t="shared" si="1181"/>
        <v>682.97640906745414</v>
      </c>
      <c r="AK1117" s="452">
        <f t="shared" si="1181"/>
        <v>692.54776208931526</v>
      </c>
      <c r="AL1117" s="452">
        <f t="shared" si="1181"/>
        <v>702.30977095816297</v>
      </c>
      <c r="AM1117" s="452">
        <f t="shared" si="1181"/>
        <v>712.26500706556567</v>
      </c>
      <c r="AN1117" s="452">
        <f t="shared" si="1181"/>
        <v>722.41609957917717</v>
      </c>
      <c r="AO1117" s="452">
        <f t="shared" si="1181"/>
        <v>732.76573618686905</v>
      </c>
      <c r="AP1117" s="452">
        <f t="shared" si="1181"/>
        <v>743.31666385986807</v>
      </c>
      <c r="AQ1117" s="452">
        <f t="shared" si="1181"/>
        <v>754.07168963513664</v>
      </c>
      <c r="AR1117" s="452">
        <f t="shared" si="1181"/>
        <v>765.03368141723388</v>
      </c>
      <c r="AS1117" s="452">
        <f t="shared" si="1181"/>
        <v>776.20556879990556</v>
      </c>
      <c r="AT1117" s="452">
        <f t="shared" si="1181"/>
        <v>787.59034390765601</v>
      </c>
      <c r="AU1117" s="452">
        <f t="shared" si="1181"/>
        <v>799.19106225756241</v>
      </c>
      <c r="AV1117" s="452">
        <f t="shared" si="1181"/>
        <v>811.01084364159942</v>
      </c>
      <c r="AW1117" s="452">
        <f t="shared" si="1181"/>
        <v>823.05287302974989</v>
      </c>
      <c r="AX1117" s="452">
        <f t="shared" si="1181"/>
        <v>835.32040149418128</v>
      </c>
      <c r="AY1117" s="452">
        <f t="shared" si="1181"/>
        <v>847.81674715478061</v>
      </c>
      <c r="AZ1117" s="452">
        <f t="shared" si="1181"/>
        <v>860.54529614634089</v>
      </c>
      <c r="BA1117" s="452">
        <f t="shared" si="1181"/>
        <v>873.50950360770685</v>
      </c>
      <c r="BB1117" s="452">
        <f t="shared" si="1181"/>
        <v>886.71289469318901</v>
      </c>
      <c r="BC1117" s="452">
        <f t="shared" si="1181"/>
        <v>900.15906560656776</v>
      </c>
      <c r="BD1117" s="452">
        <f t="shared" si="1181"/>
        <v>913.85168465801394</v>
      </c>
      <c r="BE1117" s="452">
        <f t="shared" si="1181"/>
        <v>927.79449334425999</v>
      </c>
      <c r="BF1117" s="452">
        <f t="shared" si="1181"/>
        <v>941.99130745236994</v>
      </c>
    </row>
    <row r="1118" spans="1:58" x14ac:dyDescent="0.3">
      <c r="A1118" s="184"/>
      <c r="B1118" s="184"/>
      <c r="C1118" s="184"/>
      <c r="D1118" s="184"/>
      <c r="E1118" s="184"/>
      <c r="F1118" s="184"/>
      <c r="G1118" s="184"/>
      <c r="H1118" s="184"/>
      <c r="I1118" s="184"/>
      <c r="J1118" s="184"/>
      <c r="K1118" s="184"/>
      <c r="L1118" s="124"/>
      <c r="M1118" s="347" t="s">
        <v>1302</v>
      </c>
      <c r="N1118" s="346" t="s">
        <v>77</v>
      </c>
      <c r="O1118" s="145">
        <v>46.52</v>
      </c>
      <c r="P1118" s="145">
        <v>46.52</v>
      </c>
      <c r="Q1118" s="145">
        <v>46.52</v>
      </c>
      <c r="R1118" s="145">
        <v>34.89</v>
      </c>
      <c r="S1118" s="145">
        <v>58.15</v>
      </c>
      <c r="T1118" s="145">
        <v>34.89</v>
      </c>
      <c r="U1118" s="145">
        <v>22.222222222222221</v>
      </c>
      <c r="V1118" s="145">
        <v>11.111111111111111</v>
      </c>
      <c r="W1118" s="145">
        <v>56.944444444444443</v>
      </c>
      <c r="X1118" s="145">
        <v>85.833333333333329</v>
      </c>
      <c r="Y1118" s="394"/>
      <c r="Z1118" s="184"/>
      <c r="AA1118" s="184"/>
      <c r="AB1118" s="145">
        <v>71.944444444444443</v>
      </c>
      <c r="AC1118" s="145">
        <v>49.166666666666664</v>
      </c>
      <c r="AD1118" s="450">
        <f>AD1145*AD1153</f>
        <v>48.168583333333331</v>
      </c>
      <c r="AE1118" s="450">
        <f>AE1145*AE1153</f>
        <v>47.190761091666658</v>
      </c>
      <c r="AF1118" s="450">
        <f t="shared" ref="AF1118:BF1118" si="1182">AF1145*AF1153</f>
        <v>46.232788641505827</v>
      </c>
      <c r="AG1118" s="450">
        <f t="shared" si="1182"/>
        <v>45.294263032083258</v>
      </c>
      <c r="AH1118" s="450">
        <f t="shared" si="1182"/>
        <v>44.37478949253196</v>
      </c>
      <c r="AI1118" s="450">
        <f t="shared" si="1182"/>
        <v>43.473981265833565</v>
      </c>
      <c r="AJ1118" s="450">
        <f t="shared" si="1182"/>
        <v>42.591459446137144</v>
      </c>
      <c r="AK1118" s="450">
        <f t="shared" si="1182"/>
        <v>41.726852819380561</v>
      </c>
      <c r="AL1118" s="450">
        <f t="shared" si="1182"/>
        <v>40.879797707147134</v>
      </c>
      <c r="AM1118" s="450">
        <f t="shared" si="1182"/>
        <v>40.049937813692047</v>
      </c>
      <c r="AN1118" s="450">
        <f t="shared" si="1182"/>
        <v>39.236924076074096</v>
      </c>
      <c r="AO1118" s="450">
        <f t="shared" si="1182"/>
        <v>38.440414517329792</v>
      </c>
      <c r="AP1118" s="450">
        <f t="shared" si="1182"/>
        <v>37.660074102627995</v>
      </c>
      <c r="AQ1118" s="450">
        <f t="shared" si="1182"/>
        <v>36.895574598344645</v>
      </c>
      <c r="AR1118" s="450">
        <f t="shared" si="1182"/>
        <v>36.146594433998246</v>
      </c>
      <c r="AS1118" s="450">
        <f t="shared" si="1182"/>
        <v>35.412818566988079</v>
      </c>
      <c r="AT1118" s="450">
        <f t="shared" si="1182"/>
        <v>34.69393835007822</v>
      </c>
      <c r="AU1118" s="450">
        <f t="shared" si="1182"/>
        <v>33.989651401571628</v>
      </c>
      <c r="AV1118" s="450">
        <f t="shared" si="1182"/>
        <v>33.299661478119724</v>
      </c>
      <c r="AW1118" s="450">
        <f t="shared" si="1182"/>
        <v>32.623678350113892</v>
      </c>
      <c r="AX1118" s="450">
        <f t="shared" si="1182"/>
        <v>31.961417679606576</v>
      </c>
      <c r="AY1118" s="450">
        <f t="shared" si="1182"/>
        <v>31.312600900710564</v>
      </c>
      <c r="AZ1118" s="450">
        <f t="shared" si="1182"/>
        <v>30.676955102426135</v>
      </c>
      <c r="BA1118" s="450">
        <f t="shared" si="1182"/>
        <v>30.054212913846882</v>
      </c>
      <c r="BB1118" s="450">
        <f t="shared" si="1182"/>
        <v>29.444112391695786</v>
      </c>
      <c r="BC1118" s="450">
        <f t="shared" si="1182"/>
        <v>28.846396910144357</v>
      </c>
      <c r="BD1118" s="450">
        <f t="shared" si="1182"/>
        <v>28.260815052868427</v>
      </c>
      <c r="BE1118" s="450">
        <f t="shared" si="1182"/>
        <v>27.687120507295198</v>
      </c>
      <c r="BF1118" s="450">
        <f t="shared" si="1182"/>
        <v>27.125071960997101</v>
      </c>
    </row>
    <row r="1119" spans="1:58" x14ac:dyDescent="0.3">
      <c r="A1119" s="184"/>
      <c r="B1119" s="184"/>
      <c r="C1119" s="184"/>
      <c r="D1119" s="184"/>
      <c r="E1119" s="184"/>
      <c r="F1119" s="184"/>
      <c r="G1119" s="184"/>
      <c r="H1119" s="184"/>
      <c r="I1119" s="184"/>
      <c r="J1119" s="184"/>
      <c r="K1119" s="184"/>
      <c r="L1119" s="124"/>
      <c r="M1119" s="347" t="s">
        <v>1303</v>
      </c>
      <c r="N1119" s="346" t="s">
        <v>77</v>
      </c>
      <c r="O1119" s="145">
        <v>37.777777777777779</v>
      </c>
      <c r="P1119" s="145">
        <v>7.4999999999999991</v>
      </c>
      <c r="Q1119" s="145">
        <v>0</v>
      </c>
      <c r="R1119" s="145">
        <v>0</v>
      </c>
      <c r="S1119" s="145">
        <v>0</v>
      </c>
      <c r="T1119" s="145">
        <v>0</v>
      </c>
      <c r="U1119" s="145">
        <v>0</v>
      </c>
      <c r="V1119" s="145">
        <v>17.5</v>
      </c>
      <c r="W1119" s="145">
        <v>146.11111111111111</v>
      </c>
      <c r="X1119" s="145">
        <v>232.77777777777777</v>
      </c>
      <c r="Y1119" s="394"/>
      <c r="Z1119" s="184"/>
      <c r="AA1119" s="184"/>
      <c r="AB1119" s="145">
        <v>380.83333333333326</v>
      </c>
      <c r="AC1119" s="145">
        <v>434.44444444444446</v>
      </c>
      <c r="AD1119" s="450">
        <f>AD1145*AD1154</f>
        <v>440.9828333333333</v>
      </c>
      <c r="AE1119" s="450">
        <f>AE1145*AE1154</f>
        <v>447.61962497499991</v>
      </c>
      <c r="AF1119" s="450">
        <f t="shared" ref="AF1119:BF1119" si="1183">AF1145*AF1154</f>
        <v>454.35630033087364</v>
      </c>
      <c r="AG1119" s="450">
        <f t="shared" si="1183"/>
        <v>461.19436265085329</v>
      </c>
      <c r="AH1119" s="450">
        <f t="shared" si="1183"/>
        <v>468.13533780874855</v>
      </c>
      <c r="AI1119" s="450">
        <f t="shared" si="1183"/>
        <v>475.18077464277019</v>
      </c>
      <c r="AJ1119" s="450">
        <f t="shared" si="1183"/>
        <v>482.33224530114387</v>
      </c>
      <c r="AK1119" s="450">
        <f t="shared" si="1183"/>
        <v>489.59134559292602</v>
      </c>
      <c r="AL1119" s="450">
        <f t="shared" si="1183"/>
        <v>496.95969534409949</v>
      </c>
      <c r="AM1119" s="450">
        <f t="shared" si="1183"/>
        <v>504.43893875902813</v>
      </c>
      <c r="AN1119" s="450">
        <f t="shared" si="1183"/>
        <v>512.03074478735141</v>
      </c>
      <c r="AO1119" s="450">
        <f t="shared" si="1183"/>
        <v>519.73680749640096</v>
      </c>
      <c r="AP1119" s="450">
        <f t="shared" si="1183"/>
        <v>527.55884644922173</v>
      </c>
      <c r="AQ1119" s="450">
        <f t="shared" si="1183"/>
        <v>535.49860708828248</v>
      </c>
      <c r="AR1119" s="450">
        <f t="shared" si="1183"/>
        <v>543.55786112496105</v>
      </c>
      <c r="AS1119" s="450">
        <f t="shared" si="1183"/>
        <v>551.7384069348916</v>
      </c>
      <c r="AT1119" s="450">
        <f t="shared" si="1183"/>
        <v>560.04206995926154</v>
      </c>
      <c r="AU1119" s="450">
        <f t="shared" si="1183"/>
        <v>568.47070311214839</v>
      </c>
      <c r="AV1119" s="450">
        <f t="shared" si="1183"/>
        <v>577.02618719398617</v>
      </c>
      <c r="AW1119" s="450">
        <f t="shared" si="1183"/>
        <v>585.71043131125566</v>
      </c>
      <c r="AX1119" s="450">
        <f t="shared" si="1183"/>
        <v>594.52537330248992</v>
      </c>
      <c r="AY1119" s="450">
        <f t="shared" si="1183"/>
        <v>603.47298017069238</v>
      </c>
      <c r="AZ1119" s="450">
        <f t="shared" si="1183"/>
        <v>612.55524852226119</v>
      </c>
      <c r="BA1119" s="450">
        <f t="shared" si="1183"/>
        <v>621.77420501252118</v>
      </c>
      <c r="BB1119" s="450">
        <f t="shared" si="1183"/>
        <v>631.13190679795957</v>
      </c>
      <c r="BC1119" s="450">
        <f t="shared" si="1183"/>
        <v>640.63044199526871</v>
      </c>
      <c r="BD1119" s="450">
        <f t="shared" si="1183"/>
        <v>650.27193014729755</v>
      </c>
      <c r="BE1119" s="450">
        <f t="shared" si="1183"/>
        <v>660.05852269601428</v>
      </c>
      <c r="BF1119" s="450">
        <f t="shared" si="1183"/>
        <v>669.9924034625891</v>
      </c>
    </row>
    <row r="1120" spans="1:58" x14ac:dyDescent="0.3">
      <c r="A1120" s="184"/>
      <c r="B1120" s="184"/>
      <c r="C1120" s="184"/>
      <c r="D1120" s="184"/>
      <c r="E1120" s="184"/>
      <c r="F1120" s="184"/>
      <c r="G1120" s="184"/>
      <c r="H1120" s="184"/>
      <c r="I1120" s="184"/>
      <c r="J1120" s="184"/>
      <c r="K1120" s="184"/>
      <c r="L1120" s="124"/>
      <c r="M1120" s="347" t="s">
        <v>1304</v>
      </c>
      <c r="N1120" s="346"/>
      <c r="O1120" s="145">
        <v>0.55555555555555558</v>
      </c>
      <c r="P1120" s="145">
        <v>0.55555555555555558</v>
      </c>
      <c r="Q1120" s="145">
        <v>0.55555555555555558</v>
      </c>
      <c r="R1120" s="145">
        <v>0.55555555555555558</v>
      </c>
      <c r="S1120" s="145">
        <v>0.55555555555555558</v>
      </c>
      <c r="T1120" s="145">
        <v>0.55555555555555558</v>
      </c>
      <c r="U1120" s="145">
        <v>0.55555555555555558</v>
      </c>
      <c r="V1120" s="145">
        <v>0.55555555555555558</v>
      </c>
      <c r="W1120" s="145">
        <v>0.55555555555555558</v>
      </c>
      <c r="X1120" s="145">
        <v>59.999999999999993</v>
      </c>
      <c r="Y1120" s="394"/>
      <c r="Z1120" s="184"/>
      <c r="AA1120" s="184"/>
      <c r="AB1120" s="145">
        <v>97.5</v>
      </c>
      <c r="AC1120" s="145">
        <v>137.5</v>
      </c>
      <c r="AD1120" s="450">
        <f>AD1145*AD1152</f>
        <v>140.26375000000002</v>
      </c>
      <c r="AE1120" s="450">
        <f>AE1145*AE1152</f>
        <v>143.083051375</v>
      </c>
      <c r="AF1120" s="450">
        <f t="shared" ref="AF1120:BF1120" si="1184">AF1145*AF1152</f>
        <v>145.95902070763751</v>
      </c>
      <c r="AG1120" s="450">
        <f t="shared" si="1184"/>
        <v>148.89279702386105</v>
      </c>
      <c r="AH1120" s="450">
        <f t="shared" si="1184"/>
        <v>151.88554224404064</v>
      </c>
      <c r="AI1120" s="450">
        <f t="shared" si="1184"/>
        <v>154.93844164314586</v>
      </c>
      <c r="AJ1120" s="450">
        <f t="shared" si="1184"/>
        <v>158.05270432017309</v>
      </c>
      <c r="AK1120" s="450">
        <f t="shared" si="1184"/>
        <v>161.22956367700857</v>
      </c>
      <c r="AL1120" s="450">
        <f t="shared" si="1184"/>
        <v>164.47027790691646</v>
      </c>
      <c r="AM1120" s="450">
        <f t="shared" si="1184"/>
        <v>167.77613049284548</v>
      </c>
      <c r="AN1120" s="450">
        <f t="shared" si="1184"/>
        <v>171.14843071575169</v>
      </c>
      <c r="AO1120" s="450">
        <f t="shared" si="1184"/>
        <v>174.58851417313829</v>
      </c>
      <c r="AP1120" s="450">
        <f t="shared" si="1184"/>
        <v>178.09774330801835</v>
      </c>
      <c r="AQ1120" s="450">
        <f t="shared" si="1184"/>
        <v>181.67750794850949</v>
      </c>
      <c r="AR1120" s="450">
        <f t="shared" si="1184"/>
        <v>185.32922585827453</v>
      </c>
      <c r="AS1120" s="450">
        <f t="shared" si="1184"/>
        <v>189.05434329802586</v>
      </c>
      <c r="AT1120" s="450">
        <f t="shared" si="1184"/>
        <v>192.85433559831614</v>
      </c>
      <c r="AU1120" s="450">
        <f t="shared" si="1184"/>
        <v>196.73070774384229</v>
      </c>
      <c r="AV1120" s="450">
        <f t="shared" si="1184"/>
        <v>200.68499496949352</v>
      </c>
      <c r="AW1120" s="450">
        <f t="shared" si="1184"/>
        <v>204.71876336838034</v>
      </c>
      <c r="AX1120" s="450">
        <f t="shared" si="1184"/>
        <v>208.83361051208479</v>
      </c>
      <c r="AY1120" s="450">
        <f t="shared" si="1184"/>
        <v>213.03116608337768</v>
      </c>
      <c r="AZ1120" s="450">
        <f t="shared" si="1184"/>
        <v>217.31309252165354</v>
      </c>
      <c r="BA1120" s="450">
        <f t="shared" si="1184"/>
        <v>221.68108568133877</v>
      </c>
      <c r="BB1120" s="450">
        <f t="shared" si="1184"/>
        <v>226.13687550353367</v>
      </c>
      <c r="BC1120" s="450">
        <f t="shared" si="1184"/>
        <v>230.68222670115469</v>
      </c>
      <c r="BD1120" s="450">
        <f t="shared" si="1184"/>
        <v>235.3189394578479</v>
      </c>
      <c r="BE1120" s="450">
        <f t="shared" si="1184"/>
        <v>240.04885014095061</v>
      </c>
      <c r="BF1120" s="450">
        <f t="shared" si="1184"/>
        <v>244.87383202878374</v>
      </c>
    </row>
    <row r="1121" spans="1:58" x14ac:dyDescent="0.3">
      <c r="A1121" s="184"/>
      <c r="B1121" s="184"/>
      <c r="C1121" s="184"/>
      <c r="D1121" s="184"/>
      <c r="E1121" s="184"/>
      <c r="F1121" s="184"/>
      <c r="G1121" s="184"/>
      <c r="H1121" s="184"/>
      <c r="I1121" s="184"/>
      <c r="J1121" s="184"/>
      <c r="K1121" s="184"/>
      <c r="L1121" s="124"/>
      <c r="M1121" s="344" t="s">
        <v>1305</v>
      </c>
      <c r="N1121" s="348" t="s">
        <v>77</v>
      </c>
      <c r="O1121" s="453">
        <f>SUM(O1112:O1117)</f>
        <v>8034.1662222222221</v>
      </c>
      <c r="P1121" s="453">
        <f t="shared" ref="P1121:X1121" si="1185">SUM(P1112:P1117)</f>
        <v>8192.7304444444435</v>
      </c>
      <c r="Q1121" s="453">
        <f t="shared" si="1185"/>
        <v>8342.4959166666667</v>
      </c>
      <c r="R1121" s="453">
        <f t="shared" si="1185"/>
        <v>8185.5486111111113</v>
      </c>
      <c r="S1121" s="453">
        <f t="shared" si="1185"/>
        <v>8270.899590277777</v>
      </c>
      <c r="T1121" s="453">
        <f t="shared" si="1185"/>
        <v>8499.3820277777777</v>
      </c>
      <c r="U1121" s="453">
        <f t="shared" si="1185"/>
        <v>8756.1666666666661</v>
      </c>
      <c r="V1121" s="453">
        <f t="shared" si="1185"/>
        <v>9046.0000000000018</v>
      </c>
      <c r="W1121" s="453">
        <f t="shared" si="1185"/>
        <v>9388.3888888888869</v>
      </c>
      <c r="X1121" s="453">
        <f t="shared" si="1185"/>
        <v>9463.3888888888905</v>
      </c>
      <c r="Y1121" s="394"/>
      <c r="Z1121" s="184"/>
      <c r="AA1121" s="184"/>
      <c r="AB1121" s="453">
        <f>SUM(AB1112:AB1117)</f>
        <v>8959.1666666666679</v>
      </c>
      <c r="AC1121" s="453">
        <f>SUM(AC1112:AC1117)</f>
        <v>9470.8333333333339</v>
      </c>
      <c r="AD1121" s="454">
        <f>SUM(AD1112:AD1117)</f>
        <v>9548.8192047325101</v>
      </c>
      <c r="AE1121" s="454">
        <f>SUM(AE1112:AE1117)</f>
        <v>9628.4416870261302</v>
      </c>
      <c r="AF1121" s="454">
        <f t="shared" ref="AF1121:BF1121" si="1186">SUM(AF1112:AF1117)</f>
        <v>9709.7076627134629</v>
      </c>
      <c r="AG1121" s="454">
        <f t="shared" si="1186"/>
        <v>9792.6243971367294</v>
      </c>
      <c r="AH1121" s="454">
        <f t="shared" si="1186"/>
        <v>9877.1995378133852</v>
      </c>
      <c r="AI1121" s="454">
        <f t="shared" si="1186"/>
        <v>9963.4411138822397</v>
      </c>
      <c r="AJ1121" s="454">
        <f t="shared" si="1186"/>
        <v>10051.357535662608</v>
      </c>
      <c r="AK1121" s="454">
        <f t="shared" si="1186"/>
        <v>10140.957594325679</v>
      </c>
      <c r="AL1121" s="454">
        <f t="shared" si="1186"/>
        <v>10232.250461677304</v>
      </c>
      <c r="AM1121" s="454">
        <f t="shared" si="1186"/>
        <v>10325.245690051506</v>
      </c>
      <c r="AN1121" s="454">
        <f t="shared" si="1186"/>
        <v>10419.953212314016</v>
      </c>
      <c r="AO1121" s="454">
        <f t="shared" si="1186"/>
        <v>10516.383341975135</v>
      </c>
      <c r="AP1121" s="454">
        <f t="shared" si="1186"/>
        <v>10614.546773411368</v>
      </c>
      <c r="AQ1121" s="454">
        <f t="shared" si="1186"/>
        <v>10714.454582195203</v>
      </c>
      <c r="AR1121" s="454">
        <f t="shared" si="1186"/>
        <v>10816.118225532475</v>
      </c>
      <c r="AS1121" s="454">
        <f t="shared" si="1186"/>
        <v>10919.549542806901</v>
      </c>
      <c r="AT1121" s="454">
        <f t="shared" si="1186"/>
        <v>11024.760756231144</v>
      </c>
      <c r="AU1121" s="454">
        <f t="shared" si="1186"/>
        <v>11131.76447160415</v>
      </c>
      <c r="AV1121" s="454">
        <f t="shared" si="1186"/>
        <v>11240.573679174206</v>
      </c>
      <c r="AW1121" s="454">
        <f t="shared" si="1186"/>
        <v>11351.201754607449</v>
      </c>
      <c r="AX1121" s="454">
        <f t="shared" si="1186"/>
        <v>11463.662460061432</v>
      </c>
      <c r="AY1121" s="454">
        <f t="shared" si="1186"/>
        <v>11577.969945363453</v>
      </c>
      <c r="AZ1121" s="454">
        <f t="shared" si="1186"/>
        <v>11694.138749293434</v>
      </c>
      <c r="BA1121" s="454">
        <f t="shared" si="1186"/>
        <v>11812.183800971014</v>
      </c>
      <c r="BB1121" s="454">
        <f t="shared" si="1186"/>
        <v>11932.120421346757</v>
      </c>
      <c r="BC1121" s="454">
        <f t="shared" si="1186"/>
        <v>12053.964324797256</v>
      </c>
      <c r="BD1121" s="454">
        <f t="shared" si="1186"/>
        <v>12177.731620823986</v>
      </c>
      <c r="BE1121" s="454">
        <f t="shared" si="1186"/>
        <v>12303.438815855834</v>
      </c>
      <c r="BF1121" s="454">
        <f t="shared" si="1186"/>
        <v>12431.102815155233</v>
      </c>
    </row>
    <row r="1122" spans="1:58" x14ac:dyDescent="0.3">
      <c r="A1122" s="184"/>
      <c r="B1122" s="184"/>
      <c r="C1122" s="184"/>
      <c r="D1122" s="184"/>
      <c r="E1122" s="184"/>
      <c r="F1122" s="184"/>
      <c r="G1122" s="184"/>
      <c r="H1122" s="184"/>
      <c r="I1122" s="184"/>
      <c r="J1122" s="184"/>
      <c r="K1122" s="184"/>
      <c r="L1122" s="124"/>
      <c r="M1122" s="349" t="s">
        <v>980</v>
      </c>
      <c r="N1122" s="350" t="s">
        <v>68</v>
      </c>
      <c r="O1122" s="415">
        <f t="shared" ref="O1122:X1122" si="1187">IFERROR(SUM(O1112:O1117)/O1121,"")</f>
        <v>1</v>
      </c>
      <c r="P1122" s="415">
        <f t="shared" si="1187"/>
        <v>1</v>
      </c>
      <c r="Q1122" s="415">
        <f t="shared" si="1187"/>
        <v>1</v>
      </c>
      <c r="R1122" s="415">
        <f t="shared" si="1187"/>
        <v>1</v>
      </c>
      <c r="S1122" s="415">
        <f t="shared" si="1187"/>
        <v>1</v>
      </c>
      <c r="T1122" s="415">
        <f t="shared" si="1187"/>
        <v>1</v>
      </c>
      <c r="U1122" s="415">
        <f t="shared" si="1187"/>
        <v>1</v>
      </c>
      <c r="V1122" s="415">
        <f t="shared" si="1187"/>
        <v>1</v>
      </c>
      <c r="W1122" s="415">
        <f t="shared" si="1187"/>
        <v>1</v>
      </c>
      <c r="X1122" s="415">
        <f t="shared" si="1187"/>
        <v>1</v>
      </c>
      <c r="Y1122" s="394"/>
      <c r="Z1122" s="184"/>
      <c r="AA1122" s="184"/>
      <c r="AB1122" s="415">
        <f>IFERROR(SUM(AB1112:AB1117)/AB1121,"")</f>
        <v>1</v>
      </c>
      <c r="AC1122" s="415">
        <f>IFERROR(SUM(AC1112:AC1117)/AC1121,"")</f>
        <v>1</v>
      </c>
      <c r="AD1122" s="367"/>
      <c r="AE1122" s="367"/>
      <c r="AF1122" s="367"/>
      <c r="AG1122" s="367"/>
      <c r="AH1122" s="367"/>
      <c r="AI1122" s="367"/>
      <c r="AJ1122" s="367"/>
      <c r="AK1122" s="367"/>
      <c r="AL1122" s="367"/>
      <c r="AM1122" s="367"/>
      <c r="AN1122" s="367"/>
      <c r="AO1122" s="367"/>
      <c r="AP1122" s="367"/>
      <c r="AQ1122" s="367"/>
      <c r="AR1122" s="367"/>
      <c r="AS1122" s="367"/>
      <c r="AT1122" s="367"/>
      <c r="AU1122" s="367"/>
      <c r="AV1122" s="367"/>
      <c r="AW1122" s="367"/>
      <c r="AX1122" s="367"/>
      <c r="AY1122" s="367"/>
      <c r="AZ1122" s="367"/>
      <c r="BA1122" s="367"/>
      <c r="BB1122" s="367"/>
      <c r="BC1122" s="367"/>
      <c r="BD1122" s="367"/>
      <c r="BE1122" s="367"/>
      <c r="BF1122" s="367"/>
    </row>
    <row r="1123" spans="1:58" x14ac:dyDescent="0.3">
      <c r="A1123" s="184"/>
      <c r="B1123" s="184"/>
      <c r="C1123" s="184"/>
      <c r="D1123" s="184"/>
      <c r="E1123" s="184"/>
      <c r="F1123" s="184"/>
      <c r="G1123" s="184"/>
      <c r="H1123" s="184"/>
      <c r="I1123" s="184"/>
      <c r="J1123" s="184"/>
      <c r="K1123" s="184"/>
      <c r="L1123" s="124"/>
      <c r="M1123" s="342"/>
      <c r="N1123" s="342"/>
      <c r="O1123" s="342"/>
      <c r="P1123" s="342"/>
      <c r="Q1123" s="342"/>
      <c r="R1123" s="342"/>
      <c r="S1123" s="342"/>
      <c r="T1123" s="342"/>
      <c r="U1123" s="342"/>
      <c r="V1123" s="342"/>
      <c r="W1123" s="342"/>
      <c r="X1123" s="342"/>
      <c r="Y1123" s="394"/>
      <c r="Z1123" s="184"/>
      <c r="AA1123" s="184"/>
      <c r="AB1123" s="342"/>
      <c r="AC1123" s="342"/>
      <c r="AD1123" s="367"/>
      <c r="AE1123" s="367"/>
      <c r="AF1123" s="367"/>
      <c r="AG1123" s="367"/>
      <c r="AH1123" s="367"/>
      <c r="AI1123" s="367"/>
      <c r="AJ1123" s="367"/>
      <c r="AK1123" s="367"/>
      <c r="AL1123" s="367"/>
      <c r="AM1123" s="367"/>
      <c r="AN1123" s="367"/>
      <c r="AO1123" s="367"/>
      <c r="AP1123" s="367"/>
      <c r="AQ1123" s="367"/>
      <c r="AR1123" s="367"/>
      <c r="AS1123" s="367"/>
      <c r="AT1123" s="367"/>
      <c r="AU1123" s="367"/>
      <c r="AV1123" s="367"/>
      <c r="AW1123" s="367"/>
      <c r="AX1123" s="367"/>
      <c r="AY1123" s="367"/>
      <c r="AZ1123" s="367"/>
      <c r="BA1123" s="367"/>
      <c r="BB1123" s="367"/>
      <c r="BC1123" s="367"/>
      <c r="BD1123" s="367"/>
      <c r="BE1123" s="367"/>
      <c r="BF1123" s="367"/>
    </row>
    <row r="1124" spans="1:58" x14ac:dyDescent="0.3">
      <c r="A1124" s="184"/>
      <c r="B1124" s="184"/>
      <c r="C1124" s="184"/>
      <c r="D1124" s="184"/>
      <c r="E1124" s="184"/>
      <c r="F1124" s="184"/>
      <c r="G1124" s="184"/>
      <c r="H1124" s="184"/>
      <c r="I1124" s="184"/>
      <c r="J1124" s="184"/>
      <c r="K1124" s="184"/>
      <c r="L1124" s="124"/>
      <c r="M1124" s="343" t="s">
        <v>1306</v>
      </c>
      <c r="N1124" s="342"/>
      <c r="O1124" s="342"/>
      <c r="P1124" s="342"/>
      <c r="Q1124" s="342"/>
      <c r="R1124" s="342"/>
      <c r="S1124" s="342"/>
      <c r="T1124" s="342"/>
      <c r="U1124" s="342"/>
      <c r="V1124" s="342"/>
      <c r="W1124" s="342"/>
      <c r="X1124" s="342"/>
      <c r="Y1124" s="394"/>
      <c r="Z1124" s="184"/>
      <c r="AA1124" s="184"/>
      <c r="AB1124" s="342"/>
      <c r="AC1124" s="342"/>
      <c r="AD1124" s="367"/>
      <c r="AE1124" s="367"/>
      <c r="AF1124" s="367"/>
      <c r="AG1124" s="367"/>
      <c r="AH1124" s="367"/>
      <c r="AI1124" s="367"/>
      <c r="AJ1124" s="367"/>
      <c r="AK1124" s="367"/>
      <c r="AL1124" s="367"/>
      <c r="AM1124" s="367"/>
      <c r="AN1124" s="367"/>
      <c r="AO1124" s="367"/>
      <c r="AP1124" s="367"/>
      <c r="AQ1124" s="367"/>
      <c r="AR1124" s="367"/>
      <c r="AS1124" s="367"/>
      <c r="AT1124" s="367"/>
      <c r="AU1124" s="367"/>
      <c r="AV1124" s="367"/>
      <c r="AW1124" s="367"/>
      <c r="AX1124" s="367"/>
      <c r="AY1124" s="367"/>
      <c r="AZ1124" s="367"/>
      <c r="BA1124" s="367"/>
      <c r="BB1124" s="367"/>
      <c r="BC1124" s="367"/>
      <c r="BD1124" s="367"/>
      <c r="BE1124" s="367"/>
      <c r="BF1124" s="367"/>
    </row>
    <row r="1125" spans="1:58" x14ac:dyDescent="0.3">
      <c r="A1125" s="184"/>
      <c r="B1125" s="184"/>
      <c r="C1125" s="184"/>
      <c r="D1125" s="184"/>
      <c r="E1125" s="184"/>
      <c r="F1125" s="184"/>
      <c r="G1125" s="184"/>
      <c r="H1125" s="184"/>
      <c r="I1125" s="184"/>
      <c r="J1125" s="184"/>
      <c r="K1125" s="184"/>
      <c r="L1125" s="124"/>
      <c r="M1125" s="345" t="s">
        <v>1307</v>
      </c>
      <c r="N1125" s="346" t="s">
        <v>77</v>
      </c>
      <c r="O1125" s="145">
        <v>587.5</v>
      </c>
      <c r="P1125" s="145">
        <v>399.5</v>
      </c>
      <c r="Q1125" s="145">
        <v>352.5</v>
      </c>
      <c r="R1125" s="145">
        <v>305.5</v>
      </c>
      <c r="S1125" s="145">
        <v>235</v>
      </c>
      <c r="T1125" s="145">
        <v>223.25</v>
      </c>
      <c r="U1125" s="145">
        <v>180.26500000000001</v>
      </c>
      <c r="V1125" s="145">
        <v>183.34699999999998</v>
      </c>
      <c r="W1125" s="145">
        <v>170.27483000000001</v>
      </c>
      <c r="X1125" s="145">
        <v>128.07500000000002</v>
      </c>
      <c r="Y1125" s="394"/>
      <c r="Z1125" s="184"/>
      <c r="AA1125" s="184"/>
      <c r="AB1125" s="145">
        <v>118.05555555555556</v>
      </c>
      <c r="AC1125" s="145">
        <v>145.83333333333334</v>
      </c>
      <c r="AD1125" s="451">
        <f t="shared" ref="AD1125:BF1125" si="1188">AD1145*AD1148*($AC1125/($AC1113+$AC1125+$AC1139))</f>
        <v>148.02812499999999</v>
      </c>
      <c r="AE1125" s="451">
        <f t="shared" si="1188"/>
        <v>150.25594828124997</v>
      </c>
      <c r="AF1125" s="451">
        <f t="shared" si="1188"/>
        <v>152.51730030288277</v>
      </c>
      <c r="AG1125" s="451">
        <f t="shared" si="1188"/>
        <v>154.81268567244115</v>
      </c>
      <c r="AH1125" s="451">
        <f t="shared" si="1188"/>
        <v>157.14261659181136</v>
      </c>
      <c r="AI1125" s="451">
        <f t="shared" si="1188"/>
        <v>159.50761297151811</v>
      </c>
      <c r="AJ1125" s="451">
        <f t="shared" si="1188"/>
        <v>161.90820254673946</v>
      </c>
      <c r="AK1125" s="451">
        <f t="shared" si="1188"/>
        <v>164.34492099506789</v>
      </c>
      <c r="AL1125" s="451">
        <f t="shared" si="1188"/>
        <v>166.81831205604365</v>
      </c>
      <c r="AM1125" s="451">
        <f t="shared" si="1188"/>
        <v>169.3289276524871</v>
      </c>
      <c r="AN1125" s="451">
        <f t="shared" si="1188"/>
        <v>171.87732801365698</v>
      </c>
      <c r="AO1125" s="451">
        <f t="shared" si="1188"/>
        <v>174.46408180026248</v>
      </c>
      <c r="AP1125" s="451">
        <f t="shared" si="1188"/>
        <v>177.08976623135641</v>
      </c>
      <c r="AQ1125" s="451">
        <f t="shared" si="1188"/>
        <v>179.75496721313829</v>
      </c>
      <c r="AR1125" s="451">
        <f t="shared" si="1188"/>
        <v>182.46027946969599</v>
      </c>
      <c r="AS1125" s="451">
        <f t="shared" si="1188"/>
        <v>185.2063066757149</v>
      </c>
      <c r="AT1125" s="451">
        <f t="shared" si="1188"/>
        <v>187.99366159118435</v>
      </c>
      <c r="AU1125" s="451">
        <f t="shared" si="1188"/>
        <v>190.82296619813167</v>
      </c>
      <c r="AV1125" s="451">
        <f t="shared" si="1188"/>
        <v>193.69485183941353</v>
      </c>
      <c r="AW1125" s="451">
        <f t="shared" si="1188"/>
        <v>196.60995935959667</v>
      </c>
      <c r="AX1125" s="451">
        <f t="shared" si="1188"/>
        <v>199.56893924795858</v>
      </c>
      <c r="AY1125" s="451">
        <f t="shared" si="1188"/>
        <v>202.57245178364033</v>
      </c>
      <c r="AZ1125" s="451">
        <f t="shared" si="1188"/>
        <v>205.6211671829841</v>
      </c>
      <c r="BA1125" s="451">
        <f t="shared" si="1188"/>
        <v>208.71576574908795</v>
      </c>
      <c r="BB1125" s="451">
        <f t="shared" si="1188"/>
        <v>211.85693802361172</v>
      </c>
      <c r="BC1125" s="451">
        <f t="shared" si="1188"/>
        <v>215.04538494086702</v>
      </c>
      <c r="BD1125" s="451">
        <f t="shared" si="1188"/>
        <v>218.2818179842271</v>
      </c>
      <c r="BE1125" s="451">
        <f t="shared" si="1188"/>
        <v>221.56695934488968</v>
      </c>
      <c r="BF1125" s="451">
        <f t="shared" si="1188"/>
        <v>224.90154208303019</v>
      </c>
    </row>
    <row r="1126" spans="1:58" x14ac:dyDescent="0.3">
      <c r="A1126" s="184"/>
      <c r="B1126" s="184"/>
      <c r="C1126" s="184"/>
      <c r="D1126" s="184"/>
      <c r="E1126" s="184"/>
      <c r="F1126" s="184"/>
      <c r="G1126" s="184"/>
      <c r="H1126" s="184"/>
      <c r="I1126" s="184"/>
      <c r="J1126" s="184"/>
      <c r="K1126" s="184"/>
      <c r="L1126" s="124"/>
      <c r="M1126" s="345" t="s">
        <v>1308</v>
      </c>
      <c r="N1126" s="346" t="s">
        <v>77</v>
      </c>
      <c r="O1126" s="145">
        <v>0</v>
      </c>
      <c r="P1126" s="145">
        <v>0</v>
      </c>
      <c r="Q1126" s="145">
        <v>0</v>
      </c>
      <c r="R1126" s="145">
        <v>0</v>
      </c>
      <c r="S1126" s="145">
        <v>0</v>
      </c>
      <c r="T1126" s="145">
        <v>0</v>
      </c>
      <c r="U1126" s="145">
        <v>0</v>
      </c>
      <c r="V1126" s="145">
        <v>0</v>
      </c>
      <c r="W1126" s="145">
        <v>0</v>
      </c>
      <c r="X1126" s="145">
        <v>0</v>
      </c>
      <c r="Y1126" s="394"/>
      <c r="Z1126" s="184"/>
      <c r="AA1126" s="184"/>
      <c r="AB1126" s="145">
        <v>0</v>
      </c>
      <c r="AC1126" s="145">
        <v>0</v>
      </c>
      <c r="AD1126" s="367"/>
      <c r="AE1126" s="367"/>
      <c r="AF1126" s="367"/>
      <c r="AG1126" s="367"/>
      <c r="AH1126" s="367"/>
      <c r="AI1126" s="367"/>
      <c r="AJ1126" s="367"/>
      <c r="AK1126" s="367"/>
      <c r="AL1126" s="367"/>
      <c r="AM1126" s="367"/>
      <c r="AN1126" s="367"/>
      <c r="AO1126" s="367"/>
      <c r="AP1126" s="367"/>
      <c r="AQ1126" s="367"/>
      <c r="AR1126" s="367"/>
      <c r="AS1126" s="367"/>
      <c r="AT1126" s="367"/>
      <c r="AU1126" s="367"/>
      <c r="AV1126" s="367"/>
      <c r="AW1126" s="367"/>
      <c r="AX1126" s="367"/>
      <c r="AY1126" s="367"/>
      <c r="AZ1126" s="367"/>
      <c r="BA1126" s="367"/>
      <c r="BB1126" s="367"/>
      <c r="BC1126" s="367"/>
      <c r="BD1126" s="367"/>
      <c r="BE1126" s="367"/>
      <c r="BF1126" s="367"/>
    </row>
    <row r="1127" spans="1:58" x14ac:dyDescent="0.3">
      <c r="A1127" s="184"/>
      <c r="B1127" s="184"/>
      <c r="C1127" s="184"/>
      <c r="D1127" s="184"/>
      <c r="E1127" s="184"/>
      <c r="F1127" s="184"/>
      <c r="G1127" s="184"/>
      <c r="H1127" s="184"/>
      <c r="I1127" s="184"/>
      <c r="J1127" s="184"/>
      <c r="K1127" s="184"/>
      <c r="L1127" s="124"/>
      <c r="M1127" s="345" t="s">
        <v>1309</v>
      </c>
      <c r="N1127" s="346" t="s">
        <v>77</v>
      </c>
      <c r="O1127" s="145">
        <v>14</v>
      </c>
      <c r="P1127" s="145">
        <v>12</v>
      </c>
      <c r="Q1127" s="145">
        <v>12</v>
      </c>
      <c r="R1127" s="145">
        <v>14.999999999999998</v>
      </c>
      <c r="S1127" s="145">
        <v>7</v>
      </c>
      <c r="T1127" s="145">
        <v>6</v>
      </c>
      <c r="U1127" s="145">
        <v>6</v>
      </c>
      <c r="V1127" s="145">
        <v>13</v>
      </c>
      <c r="W1127" s="145">
        <v>10</v>
      </c>
      <c r="X1127" s="145">
        <v>12</v>
      </c>
      <c r="Y1127" s="394"/>
      <c r="Z1127" s="184"/>
      <c r="AA1127" s="184"/>
      <c r="AB1127" s="145">
        <v>11.388888888888889</v>
      </c>
      <c r="AC1127" s="145">
        <v>13.055555555555557</v>
      </c>
      <c r="AD1127" s="451">
        <f t="shared" ref="AD1127:BF1127" si="1189">AD1145*AD1155*($AC1127/($AC1116+$AC1127))</f>
        <v>28.821420267491138</v>
      </c>
      <c r="AE1127" s="451">
        <f t="shared" si="1189"/>
        <v>43.871829796785541</v>
      </c>
      <c r="AF1127" s="451">
        <f t="shared" si="1189"/>
        <v>58.208866958473948</v>
      </c>
      <c r="AG1127" s="451">
        <f t="shared" si="1189"/>
        <v>71.834317671810737</v>
      </c>
      <c r="AH1127" s="451">
        <f t="shared" si="1189"/>
        <v>84.749672431716434</v>
      </c>
      <c r="AI1127" s="451">
        <f t="shared" si="1189"/>
        <v>96.956127673531512</v>
      </c>
      <c r="AJ1127" s="451">
        <f t="shared" si="1189"/>
        <v>108.4545870320201</v>
      </c>
      <c r="AK1127" s="451">
        <f t="shared" si="1189"/>
        <v>119.24566249548208</v>
      </c>
      <c r="AL1127" s="451">
        <f t="shared" si="1189"/>
        <v>129.32967545579498</v>
      </c>
      <c r="AM1127" s="451">
        <f t="shared" si="1189"/>
        <v>138.70665765518928</v>
      </c>
      <c r="AN1127" s="451">
        <f t="shared" si="1189"/>
        <v>147.37635203050866</v>
      </c>
      <c r="AO1127" s="451">
        <f t="shared" si="1189"/>
        <v>155.33821345566537</v>
      </c>
      <c r="AP1127" s="451">
        <f t="shared" si="1189"/>
        <v>162.59140938298478</v>
      </c>
      <c r="AQ1127" s="451">
        <f t="shared" si="1189"/>
        <v>169.13482038407273</v>
      </c>
      <c r="AR1127" s="451">
        <f t="shared" si="1189"/>
        <v>174.96704059081634</v>
      </c>
      <c r="AS1127" s="451">
        <f t="shared" si="1189"/>
        <v>180.08637803710207</v>
      </c>
      <c r="AT1127" s="451">
        <f t="shared" si="1189"/>
        <v>184.49085490177046</v>
      </c>
      <c r="AU1127" s="451">
        <f t="shared" si="1189"/>
        <v>188.17820765332792</v>
      </c>
      <c r="AV1127" s="451">
        <f t="shared" si="1189"/>
        <v>191.14588709687862</v>
      </c>
      <c r="AW1127" s="451">
        <f t="shared" si="1189"/>
        <v>193.39105832370424</v>
      </c>
      <c r="AX1127" s="451">
        <f t="shared" si="1189"/>
        <v>194.91060056390475</v>
      </c>
      <c r="AY1127" s="451">
        <f t="shared" si="1189"/>
        <v>195.70110694245534</v>
      </c>
      <c r="AZ1127" s="451">
        <f t="shared" si="1189"/>
        <v>195.75888413902453</v>
      </c>
      <c r="BA1127" s="451">
        <f t="shared" si="1189"/>
        <v>195.07995195184202</v>
      </c>
      <c r="BB1127" s="451">
        <f t="shared" si="1189"/>
        <v>193.66004276589481</v>
      </c>
      <c r="BC1127" s="451">
        <f t="shared" si="1189"/>
        <v>191.49460092568285</v>
      </c>
      <c r="BD1127" s="451">
        <f t="shared" si="1189"/>
        <v>188.57878201273081</v>
      </c>
      <c r="BE1127" s="451">
        <f t="shared" si="1189"/>
        <v>184.90745202803953</v>
      </c>
      <c r="BF1127" s="451">
        <f t="shared" si="1189"/>
        <v>180.47518647959924</v>
      </c>
    </row>
    <row r="1128" spans="1:58" x14ac:dyDescent="0.3">
      <c r="A1128" s="184"/>
      <c r="B1128" s="184"/>
      <c r="C1128" s="184"/>
      <c r="D1128" s="184"/>
      <c r="E1128" s="184"/>
      <c r="F1128" s="184"/>
      <c r="G1128" s="184"/>
      <c r="H1128" s="184"/>
      <c r="I1128" s="184"/>
      <c r="J1128" s="184"/>
      <c r="K1128" s="184"/>
      <c r="L1128" s="124"/>
      <c r="M1128" s="344" t="s">
        <v>1310</v>
      </c>
      <c r="N1128" s="348" t="s">
        <v>77</v>
      </c>
      <c r="O1128" s="453">
        <f>SUM(O1125:O1127)</f>
        <v>601.5</v>
      </c>
      <c r="P1128" s="453">
        <f t="shared" ref="P1128:X1128" si="1190">SUM(P1125:P1127)</f>
        <v>411.5</v>
      </c>
      <c r="Q1128" s="453">
        <f t="shared" si="1190"/>
        <v>364.5</v>
      </c>
      <c r="R1128" s="453">
        <f t="shared" si="1190"/>
        <v>320.5</v>
      </c>
      <c r="S1128" s="453">
        <f t="shared" si="1190"/>
        <v>242</v>
      </c>
      <c r="T1128" s="453">
        <f t="shared" si="1190"/>
        <v>229.25</v>
      </c>
      <c r="U1128" s="453">
        <f t="shared" si="1190"/>
        <v>186.26500000000001</v>
      </c>
      <c r="V1128" s="453">
        <f t="shared" si="1190"/>
        <v>196.34699999999998</v>
      </c>
      <c r="W1128" s="453">
        <f t="shared" si="1190"/>
        <v>180.27483000000001</v>
      </c>
      <c r="X1128" s="453">
        <f t="shared" si="1190"/>
        <v>140.07500000000002</v>
      </c>
      <c r="Y1128" s="394"/>
      <c r="Z1128" s="184"/>
      <c r="AA1128" s="184"/>
      <c r="AB1128" s="453">
        <f>SUM(AB1125:AB1127)</f>
        <v>129.44444444444446</v>
      </c>
      <c r="AC1128" s="453">
        <f>SUM(AC1125:AC1127)</f>
        <v>158.88888888888891</v>
      </c>
      <c r="AD1128" s="454">
        <f>SUM(AD1125:AD1127)</f>
        <v>176.84954526749112</v>
      </c>
      <c r="AE1128" s="454">
        <f>SUM(AE1125:AE1127)</f>
        <v>194.1277780780355</v>
      </c>
      <c r="AF1128" s="454">
        <f t="shared" ref="AF1128:BF1128" si="1191">SUM(AF1125:AF1127)</f>
        <v>210.72616726135672</v>
      </c>
      <c r="AG1128" s="454">
        <f t="shared" si="1191"/>
        <v>226.64700334425189</v>
      </c>
      <c r="AH1128" s="454">
        <f t="shared" si="1191"/>
        <v>241.89228902352778</v>
      </c>
      <c r="AI1128" s="454">
        <f t="shared" si="1191"/>
        <v>256.4637406450496</v>
      </c>
      <c r="AJ1128" s="454">
        <f t="shared" si="1191"/>
        <v>270.36278957875959</v>
      </c>
      <c r="AK1128" s="454">
        <f t="shared" si="1191"/>
        <v>283.59058349054999</v>
      </c>
      <c r="AL1128" s="454">
        <f t="shared" si="1191"/>
        <v>296.14798751183866</v>
      </c>
      <c r="AM1128" s="454">
        <f t="shared" si="1191"/>
        <v>308.03558530767634</v>
      </c>
      <c r="AN1128" s="454">
        <f t="shared" si="1191"/>
        <v>319.25368004416566</v>
      </c>
      <c r="AO1128" s="454">
        <f t="shared" si="1191"/>
        <v>329.80229525592785</v>
      </c>
      <c r="AP1128" s="454">
        <f t="shared" si="1191"/>
        <v>339.68117561434121</v>
      </c>
      <c r="AQ1128" s="454">
        <f t="shared" si="1191"/>
        <v>348.88978759721101</v>
      </c>
      <c r="AR1128" s="454">
        <f t="shared" si="1191"/>
        <v>357.42732006051233</v>
      </c>
      <c r="AS1128" s="454">
        <f t="shared" si="1191"/>
        <v>365.29268471281694</v>
      </c>
      <c r="AT1128" s="454">
        <f t="shared" si="1191"/>
        <v>372.48451649295481</v>
      </c>
      <c r="AU1128" s="454">
        <f t="shared" si="1191"/>
        <v>379.00117385145961</v>
      </c>
      <c r="AV1128" s="454">
        <f t="shared" si="1191"/>
        <v>384.84073893629215</v>
      </c>
      <c r="AW1128" s="454">
        <f t="shared" si="1191"/>
        <v>390.00101768330092</v>
      </c>
      <c r="AX1128" s="454">
        <f t="shared" si="1191"/>
        <v>394.47953981186333</v>
      </c>
      <c r="AY1128" s="454">
        <f t="shared" si="1191"/>
        <v>398.27355872609564</v>
      </c>
      <c r="AZ1128" s="454">
        <f t="shared" si="1191"/>
        <v>401.38005132200863</v>
      </c>
      <c r="BA1128" s="454">
        <f t="shared" si="1191"/>
        <v>403.79571770092997</v>
      </c>
      <c r="BB1128" s="454">
        <f t="shared" si="1191"/>
        <v>405.51698078950653</v>
      </c>
      <c r="BC1128" s="454">
        <f t="shared" si="1191"/>
        <v>406.53998586654984</v>
      </c>
      <c r="BD1128" s="454">
        <f t="shared" si="1191"/>
        <v>406.86059999695794</v>
      </c>
      <c r="BE1128" s="454">
        <f t="shared" si="1191"/>
        <v>406.47441137292924</v>
      </c>
      <c r="BF1128" s="454">
        <f t="shared" si="1191"/>
        <v>405.37672856262941</v>
      </c>
    </row>
    <row r="1129" spans="1:58" x14ac:dyDescent="0.3">
      <c r="A1129" s="184"/>
      <c r="B1129" s="184"/>
      <c r="C1129" s="184"/>
      <c r="D1129" s="184"/>
      <c r="E1129" s="184"/>
      <c r="F1129" s="184"/>
      <c r="G1129" s="184"/>
      <c r="H1129" s="184"/>
      <c r="I1129" s="184"/>
      <c r="J1129" s="184"/>
      <c r="K1129" s="184"/>
      <c r="L1129" s="124"/>
      <c r="M1129" s="349" t="s">
        <v>980</v>
      </c>
      <c r="N1129" s="350" t="s">
        <v>68</v>
      </c>
      <c r="O1129" s="415">
        <f>IFERROR(SUM(O1125:O1127)/O1128,"")</f>
        <v>1</v>
      </c>
      <c r="P1129" s="415">
        <f t="shared" ref="P1129:X1129" si="1192">IFERROR(SUM(P1125:P1127)/P1128,"")</f>
        <v>1</v>
      </c>
      <c r="Q1129" s="415">
        <f t="shared" si="1192"/>
        <v>1</v>
      </c>
      <c r="R1129" s="415">
        <f t="shared" si="1192"/>
        <v>1</v>
      </c>
      <c r="S1129" s="415">
        <f t="shared" si="1192"/>
        <v>1</v>
      </c>
      <c r="T1129" s="415">
        <f t="shared" si="1192"/>
        <v>1</v>
      </c>
      <c r="U1129" s="415">
        <f t="shared" si="1192"/>
        <v>1</v>
      </c>
      <c r="V1129" s="415">
        <f t="shared" si="1192"/>
        <v>1</v>
      </c>
      <c r="W1129" s="415">
        <f t="shared" si="1192"/>
        <v>1</v>
      </c>
      <c r="X1129" s="415">
        <f t="shared" si="1192"/>
        <v>1</v>
      </c>
      <c r="Y1129" s="394"/>
      <c r="Z1129" s="184"/>
      <c r="AA1129" s="184"/>
      <c r="AB1129" s="415">
        <f>IFERROR(SUM(AB1125:AB1127)/AB1128,"")</f>
        <v>1</v>
      </c>
      <c r="AC1129" s="415">
        <f>IFERROR(SUM(AC1125:AC1127)/AC1128,"")</f>
        <v>1</v>
      </c>
      <c r="AD1129" s="184"/>
      <c r="AE1129" s="184"/>
      <c r="AF1129" s="184"/>
      <c r="AG1129" s="184"/>
      <c r="AH1129" s="184"/>
      <c r="AI1129" s="184"/>
      <c r="AJ1129" s="184"/>
      <c r="AK1129" s="184"/>
      <c r="AL1129" s="184"/>
      <c r="AM1129" s="184"/>
      <c r="AN1129" s="184"/>
      <c r="AO1129" s="184"/>
      <c r="AP1129" s="184"/>
      <c r="AQ1129" s="184"/>
      <c r="AR1129" s="184"/>
      <c r="AS1129" s="184"/>
      <c r="AT1129" s="184"/>
      <c r="AU1129" s="184"/>
      <c r="AV1129" s="184"/>
      <c r="AW1129" s="184"/>
      <c r="AX1129" s="184"/>
      <c r="AY1129" s="184"/>
      <c r="AZ1129" s="184"/>
      <c r="BA1129" s="184"/>
      <c r="BB1129" s="184"/>
      <c r="BC1129" s="184"/>
      <c r="BD1129" s="184"/>
      <c r="BE1129" s="184"/>
      <c r="BF1129" s="184"/>
    </row>
    <row r="1130" spans="1:58" x14ac:dyDescent="0.3">
      <c r="A1130" s="184"/>
      <c r="B1130" s="184"/>
      <c r="C1130" s="184"/>
      <c r="D1130" s="184"/>
      <c r="E1130" s="184"/>
      <c r="F1130" s="184"/>
      <c r="G1130" s="184"/>
      <c r="H1130" s="184"/>
      <c r="I1130" s="184"/>
      <c r="J1130" s="184"/>
      <c r="K1130" s="184"/>
      <c r="L1130" s="124"/>
      <c r="M1130" s="342"/>
      <c r="N1130" s="342"/>
      <c r="O1130" s="134"/>
      <c r="P1130" s="134"/>
      <c r="Q1130" s="134"/>
      <c r="R1130" s="134"/>
      <c r="S1130" s="134"/>
      <c r="T1130" s="134"/>
      <c r="U1130" s="134"/>
      <c r="V1130" s="134"/>
      <c r="W1130" s="134"/>
      <c r="X1130" s="134"/>
      <c r="Y1130" s="394"/>
      <c r="Z1130" s="184"/>
      <c r="AA1130" s="184"/>
      <c r="AB1130" s="134"/>
      <c r="AC1130" s="134"/>
      <c r="AD1130" s="367"/>
      <c r="AE1130" s="367"/>
      <c r="AF1130" s="367"/>
      <c r="AG1130" s="367"/>
      <c r="AH1130" s="367"/>
      <c r="AI1130" s="367"/>
      <c r="AJ1130" s="367"/>
      <c r="AK1130" s="367"/>
      <c r="AL1130" s="367"/>
      <c r="AM1130" s="367"/>
      <c r="AN1130" s="367"/>
      <c r="AO1130" s="367"/>
      <c r="AP1130" s="367"/>
      <c r="AQ1130" s="367"/>
      <c r="AR1130" s="367"/>
      <c r="AS1130" s="367"/>
      <c r="AT1130" s="367"/>
      <c r="AU1130" s="367"/>
      <c r="AV1130" s="367"/>
      <c r="AW1130" s="367"/>
      <c r="AX1130" s="367"/>
      <c r="AY1130" s="367"/>
      <c r="AZ1130" s="367"/>
      <c r="BA1130" s="367"/>
      <c r="BB1130" s="367"/>
      <c r="BC1130" s="367"/>
      <c r="BD1130" s="367"/>
      <c r="BE1130" s="367"/>
      <c r="BF1130" s="367"/>
    </row>
    <row r="1131" spans="1:58" x14ac:dyDescent="0.3">
      <c r="A1131" s="184"/>
      <c r="B1131" s="184"/>
      <c r="C1131" s="184"/>
      <c r="D1131" s="184"/>
      <c r="E1131" s="184"/>
      <c r="F1131" s="184"/>
      <c r="G1131" s="184"/>
      <c r="H1131" s="184"/>
      <c r="I1131" s="184"/>
      <c r="J1131" s="184"/>
      <c r="K1131" s="184"/>
      <c r="L1131" s="124"/>
      <c r="M1131" s="343" t="s">
        <v>1311</v>
      </c>
      <c r="N1131" s="342"/>
      <c r="O1131" s="134"/>
      <c r="P1131" s="134"/>
      <c r="Q1131" s="134"/>
      <c r="R1131" s="134"/>
      <c r="S1131" s="134"/>
      <c r="T1131" s="134"/>
      <c r="U1131" s="134"/>
      <c r="V1131" s="134"/>
      <c r="W1131" s="134"/>
      <c r="X1131" s="134"/>
      <c r="Y1131" s="394"/>
      <c r="Z1131" s="184"/>
      <c r="AA1131" s="184"/>
      <c r="AB1131" s="134"/>
      <c r="AC1131" s="134"/>
      <c r="AD1131" s="367"/>
      <c r="AE1131" s="367"/>
      <c r="AF1131" s="367"/>
      <c r="AG1131" s="367"/>
      <c r="AH1131" s="367"/>
      <c r="AI1131" s="367"/>
      <c r="AJ1131" s="367"/>
      <c r="AK1131" s="367"/>
      <c r="AL1131" s="367"/>
      <c r="AM1131" s="367"/>
      <c r="AN1131" s="367"/>
      <c r="AO1131" s="367"/>
      <c r="AP1131" s="367"/>
      <c r="AQ1131" s="367"/>
      <c r="AR1131" s="367"/>
      <c r="AS1131" s="367"/>
      <c r="AT1131" s="367"/>
      <c r="AU1131" s="367"/>
      <c r="AV1131" s="367"/>
      <c r="AW1131" s="367"/>
      <c r="AX1131" s="367"/>
      <c r="AY1131" s="367"/>
      <c r="AZ1131" s="367"/>
      <c r="BA1131" s="367"/>
      <c r="BB1131" s="367"/>
      <c r="BC1131" s="367"/>
      <c r="BD1131" s="367"/>
      <c r="BE1131" s="367"/>
      <c r="BF1131" s="367"/>
    </row>
    <row r="1132" spans="1:58" x14ac:dyDescent="0.3">
      <c r="A1132" s="184"/>
      <c r="B1132" s="184"/>
      <c r="C1132" s="184"/>
      <c r="D1132" s="184"/>
      <c r="E1132" s="184"/>
      <c r="F1132" s="184"/>
      <c r="G1132" s="184"/>
      <c r="H1132" s="184"/>
      <c r="I1132" s="184"/>
      <c r="J1132" s="184"/>
      <c r="K1132" s="184"/>
      <c r="L1132" s="124"/>
      <c r="M1132" s="345" t="s">
        <v>1312</v>
      </c>
      <c r="N1132" s="346" t="s">
        <v>77</v>
      </c>
      <c r="O1132" s="145">
        <v>11.110000000000001</v>
      </c>
      <c r="P1132" s="145">
        <v>13.48111111111111</v>
      </c>
      <c r="Q1132" s="145">
        <v>11.99</v>
      </c>
      <c r="R1132" s="145">
        <v>15.497777777777776</v>
      </c>
      <c r="S1132" s="145">
        <v>15.644444444444444</v>
      </c>
      <c r="T1132" s="145">
        <v>16.524444444444445</v>
      </c>
      <c r="U1132" s="145">
        <v>13.456666666666667</v>
      </c>
      <c r="V1132" s="145">
        <v>14.214444444444446</v>
      </c>
      <c r="W1132" s="145">
        <v>15.864444444444445</v>
      </c>
      <c r="X1132" s="145">
        <v>15.119</v>
      </c>
      <c r="Y1132" s="394"/>
      <c r="Z1132" s="184"/>
      <c r="AA1132" s="184"/>
      <c r="AB1132" s="145">
        <v>13.888888888888889</v>
      </c>
      <c r="AC1132" s="145">
        <v>21.666666666666668</v>
      </c>
      <c r="AD1132" s="450">
        <f>AD1145*AD1149</f>
        <v>21.883333333333333</v>
      </c>
      <c r="AE1132" s="450">
        <f>AE1145*AE1149</f>
        <v>22.102166666666665</v>
      </c>
      <c r="AF1132" s="450">
        <f t="shared" ref="AF1132:BF1132" si="1193">AF1145*AF1149</f>
        <v>22.323188333333334</v>
      </c>
      <c r="AG1132" s="450">
        <f t="shared" si="1193"/>
        <v>22.546420216666668</v>
      </c>
      <c r="AH1132" s="450">
        <f t="shared" si="1193"/>
        <v>22.771884418833334</v>
      </c>
      <c r="AI1132" s="450">
        <f t="shared" si="1193"/>
        <v>22.999603263021669</v>
      </c>
      <c r="AJ1132" s="450">
        <f t="shared" si="1193"/>
        <v>23.229599295651887</v>
      </c>
      <c r="AK1132" s="450">
        <f t="shared" si="1193"/>
        <v>23.461895288608407</v>
      </c>
      <c r="AL1132" s="450">
        <f t="shared" si="1193"/>
        <v>23.696514241494491</v>
      </c>
      <c r="AM1132" s="450">
        <f t="shared" si="1193"/>
        <v>23.933479383909436</v>
      </c>
      <c r="AN1132" s="450">
        <f t="shared" si="1193"/>
        <v>24.172814177748528</v>
      </c>
      <c r="AO1132" s="450">
        <f t="shared" si="1193"/>
        <v>24.414542319526014</v>
      </c>
      <c r="AP1132" s="450">
        <f t="shared" si="1193"/>
        <v>24.658687742721273</v>
      </c>
      <c r="AQ1132" s="450">
        <f t="shared" si="1193"/>
        <v>24.905274620148486</v>
      </c>
      <c r="AR1132" s="450">
        <f t="shared" si="1193"/>
        <v>25.154327366349968</v>
      </c>
      <c r="AS1132" s="450">
        <f t="shared" si="1193"/>
        <v>25.405870640013468</v>
      </c>
      <c r="AT1132" s="450">
        <f t="shared" si="1193"/>
        <v>25.659929346413602</v>
      </c>
      <c r="AU1132" s="450">
        <f t="shared" si="1193"/>
        <v>25.916528639877736</v>
      </c>
      <c r="AV1132" s="450">
        <f t="shared" si="1193"/>
        <v>26.175693926276512</v>
      </c>
      <c r="AW1132" s="450">
        <f t="shared" si="1193"/>
        <v>26.437450865539279</v>
      </c>
      <c r="AX1132" s="450">
        <f t="shared" si="1193"/>
        <v>26.701825374194669</v>
      </c>
      <c r="AY1132" s="450">
        <f t="shared" si="1193"/>
        <v>26.968843627936618</v>
      </c>
      <c r="AZ1132" s="450">
        <f t="shared" si="1193"/>
        <v>27.238532064215985</v>
      </c>
      <c r="BA1132" s="450">
        <f t="shared" si="1193"/>
        <v>27.510917384858143</v>
      </c>
      <c r="BB1132" s="450">
        <f t="shared" si="1193"/>
        <v>27.786026558706723</v>
      </c>
      <c r="BC1132" s="450">
        <f t="shared" si="1193"/>
        <v>28.063886824293789</v>
      </c>
      <c r="BD1132" s="450">
        <f t="shared" si="1193"/>
        <v>28.344525692536727</v>
      </c>
      <c r="BE1132" s="450">
        <f t="shared" si="1193"/>
        <v>28.627970949462092</v>
      </c>
      <c r="BF1132" s="450">
        <f t="shared" si="1193"/>
        <v>28.914250658956714</v>
      </c>
    </row>
    <row r="1133" spans="1:58" x14ac:dyDescent="0.3">
      <c r="A1133" s="184"/>
      <c r="B1133" s="184"/>
      <c r="C1133" s="184"/>
      <c r="D1133" s="184"/>
      <c r="E1133" s="184"/>
      <c r="F1133" s="184"/>
      <c r="G1133" s="184"/>
      <c r="H1133" s="184"/>
      <c r="I1133" s="184"/>
      <c r="J1133" s="184"/>
      <c r="K1133" s="184"/>
      <c r="L1133" s="124"/>
      <c r="M1133" s="345" t="s">
        <v>1313</v>
      </c>
      <c r="N1133" s="346" t="s">
        <v>77</v>
      </c>
      <c r="O1133" s="145">
        <v>0</v>
      </c>
      <c r="P1133" s="145">
        <v>0</v>
      </c>
      <c r="Q1133" s="145">
        <v>0</v>
      </c>
      <c r="R1133" s="145">
        <v>0</v>
      </c>
      <c r="S1133" s="145">
        <v>0</v>
      </c>
      <c r="T1133" s="145">
        <v>0</v>
      </c>
      <c r="U1133" s="145">
        <v>0</v>
      </c>
      <c r="V1133" s="145">
        <v>0</v>
      </c>
      <c r="W1133" s="145">
        <v>0</v>
      </c>
      <c r="X1133" s="145">
        <v>0</v>
      </c>
      <c r="Y1133" s="394"/>
      <c r="Z1133" s="184"/>
      <c r="AA1133" s="184"/>
      <c r="AB1133" s="145">
        <v>0</v>
      </c>
      <c r="AC1133" s="145">
        <v>0</v>
      </c>
      <c r="AD1133" s="455">
        <f>AC1133*(1+AD$1144)</f>
        <v>0</v>
      </c>
      <c r="AE1133" s="455">
        <f>Y1133*(1+AE$1144)</f>
        <v>0</v>
      </c>
      <c r="AF1133" s="455">
        <f>Z1133*(1+AF$1144)</f>
        <v>0</v>
      </c>
      <c r="AG1133" s="455">
        <f t="shared" ref="AG1133:BF1133" si="1194">AD1133*(1+AG$1144)</f>
        <v>0</v>
      </c>
      <c r="AH1133" s="455">
        <f t="shared" si="1194"/>
        <v>0</v>
      </c>
      <c r="AI1133" s="455">
        <f t="shared" si="1194"/>
        <v>0</v>
      </c>
      <c r="AJ1133" s="455">
        <f t="shared" si="1194"/>
        <v>0</v>
      </c>
      <c r="AK1133" s="455">
        <f t="shared" si="1194"/>
        <v>0</v>
      </c>
      <c r="AL1133" s="455">
        <f t="shared" si="1194"/>
        <v>0</v>
      </c>
      <c r="AM1133" s="455">
        <f t="shared" si="1194"/>
        <v>0</v>
      </c>
      <c r="AN1133" s="455">
        <f t="shared" si="1194"/>
        <v>0</v>
      </c>
      <c r="AO1133" s="455">
        <f t="shared" si="1194"/>
        <v>0</v>
      </c>
      <c r="AP1133" s="455">
        <f t="shared" si="1194"/>
        <v>0</v>
      </c>
      <c r="AQ1133" s="455">
        <f t="shared" si="1194"/>
        <v>0</v>
      </c>
      <c r="AR1133" s="455">
        <f t="shared" si="1194"/>
        <v>0</v>
      </c>
      <c r="AS1133" s="455">
        <f t="shared" si="1194"/>
        <v>0</v>
      </c>
      <c r="AT1133" s="455">
        <f t="shared" si="1194"/>
        <v>0</v>
      </c>
      <c r="AU1133" s="455">
        <f t="shared" si="1194"/>
        <v>0</v>
      </c>
      <c r="AV1133" s="455">
        <f t="shared" si="1194"/>
        <v>0</v>
      </c>
      <c r="AW1133" s="455">
        <f t="shared" si="1194"/>
        <v>0</v>
      </c>
      <c r="AX1133" s="455">
        <f t="shared" si="1194"/>
        <v>0</v>
      </c>
      <c r="AY1133" s="455">
        <f t="shared" si="1194"/>
        <v>0</v>
      </c>
      <c r="AZ1133" s="455">
        <f t="shared" si="1194"/>
        <v>0</v>
      </c>
      <c r="BA1133" s="455">
        <f t="shared" si="1194"/>
        <v>0</v>
      </c>
      <c r="BB1133" s="455">
        <f t="shared" si="1194"/>
        <v>0</v>
      </c>
      <c r="BC1133" s="455">
        <f t="shared" si="1194"/>
        <v>0</v>
      </c>
      <c r="BD1133" s="455">
        <f t="shared" si="1194"/>
        <v>0</v>
      </c>
      <c r="BE1133" s="455">
        <f t="shared" si="1194"/>
        <v>0</v>
      </c>
      <c r="BF1133" s="455">
        <f t="shared" si="1194"/>
        <v>0</v>
      </c>
    </row>
    <row r="1134" spans="1:58" x14ac:dyDescent="0.3">
      <c r="A1134" s="184"/>
      <c r="B1134" s="184"/>
      <c r="C1134" s="184"/>
      <c r="D1134" s="184"/>
      <c r="E1134" s="184"/>
      <c r="F1134" s="184"/>
      <c r="G1134" s="184"/>
      <c r="H1134" s="184"/>
      <c r="I1134" s="184"/>
      <c r="J1134" s="184"/>
      <c r="K1134" s="184"/>
      <c r="L1134" s="124"/>
      <c r="M1134" s="344" t="s">
        <v>1314</v>
      </c>
      <c r="N1134" s="348" t="s">
        <v>77</v>
      </c>
      <c r="O1134" s="453">
        <f>SUM(O1132:O1133)</f>
        <v>11.110000000000001</v>
      </c>
      <c r="P1134" s="453">
        <f t="shared" ref="P1134:X1134" si="1195">SUM(P1132:P1133)</f>
        <v>13.48111111111111</v>
      </c>
      <c r="Q1134" s="453">
        <f t="shared" si="1195"/>
        <v>11.99</v>
      </c>
      <c r="R1134" s="453">
        <f t="shared" si="1195"/>
        <v>15.497777777777776</v>
      </c>
      <c r="S1134" s="453">
        <f t="shared" si="1195"/>
        <v>15.644444444444444</v>
      </c>
      <c r="T1134" s="453">
        <f t="shared" si="1195"/>
        <v>16.524444444444445</v>
      </c>
      <c r="U1134" s="453">
        <f t="shared" si="1195"/>
        <v>13.456666666666667</v>
      </c>
      <c r="V1134" s="453">
        <f t="shared" si="1195"/>
        <v>14.214444444444446</v>
      </c>
      <c r="W1134" s="453">
        <f t="shared" si="1195"/>
        <v>15.864444444444445</v>
      </c>
      <c r="X1134" s="453">
        <f t="shared" si="1195"/>
        <v>15.119</v>
      </c>
      <c r="Y1134" s="394"/>
      <c r="Z1134" s="184"/>
      <c r="AA1134" s="184"/>
      <c r="AB1134" s="453">
        <f>SUM(AB1132:AB1133)</f>
        <v>13.888888888888889</v>
      </c>
      <c r="AC1134" s="453">
        <f>SUM(AC1132:AC1133)</f>
        <v>21.666666666666668</v>
      </c>
      <c r="AD1134" s="454">
        <f>SUM(AD1132:AD1133)</f>
        <v>21.883333333333333</v>
      </c>
      <c r="AE1134" s="454">
        <f>SUM(AE1132:AE1133)</f>
        <v>22.102166666666665</v>
      </c>
      <c r="AF1134" s="454">
        <f t="shared" ref="AF1134:BF1134" si="1196">SUM(AF1132:AF1133)</f>
        <v>22.323188333333334</v>
      </c>
      <c r="AG1134" s="454">
        <f t="shared" si="1196"/>
        <v>22.546420216666668</v>
      </c>
      <c r="AH1134" s="454">
        <f t="shared" si="1196"/>
        <v>22.771884418833334</v>
      </c>
      <c r="AI1134" s="454">
        <f t="shared" si="1196"/>
        <v>22.999603263021669</v>
      </c>
      <c r="AJ1134" s="454">
        <f t="shared" si="1196"/>
        <v>23.229599295651887</v>
      </c>
      <c r="AK1134" s="454">
        <f t="shared" si="1196"/>
        <v>23.461895288608407</v>
      </c>
      <c r="AL1134" s="454">
        <f t="shared" si="1196"/>
        <v>23.696514241494491</v>
      </c>
      <c r="AM1134" s="454">
        <f t="shared" si="1196"/>
        <v>23.933479383909436</v>
      </c>
      <c r="AN1134" s="454">
        <f t="shared" si="1196"/>
        <v>24.172814177748528</v>
      </c>
      <c r="AO1134" s="454">
        <f t="shared" si="1196"/>
        <v>24.414542319526014</v>
      </c>
      <c r="AP1134" s="454">
        <f t="shared" si="1196"/>
        <v>24.658687742721273</v>
      </c>
      <c r="AQ1134" s="454">
        <f t="shared" si="1196"/>
        <v>24.905274620148486</v>
      </c>
      <c r="AR1134" s="454">
        <f t="shared" si="1196"/>
        <v>25.154327366349968</v>
      </c>
      <c r="AS1134" s="454">
        <f t="shared" si="1196"/>
        <v>25.405870640013468</v>
      </c>
      <c r="AT1134" s="454">
        <f t="shared" si="1196"/>
        <v>25.659929346413602</v>
      </c>
      <c r="AU1134" s="454">
        <f t="shared" si="1196"/>
        <v>25.916528639877736</v>
      </c>
      <c r="AV1134" s="454">
        <f t="shared" si="1196"/>
        <v>26.175693926276512</v>
      </c>
      <c r="AW1134" s="454">
        <f t="shared" si="1196"/>
        <v>26.437450865539279</v>
      </c>
      <c r="AX1134" s="454">
        <f t="shared" si="1196"/>
        <v>26.701825374194669</v>
      </c>
      <c r="AY1134" s="454">
        <f t="shared" si="1196"/>
        <v>26.968843627936618</v>
      </c>
      <c r="AZ1134" s="454">
        <f t="shared" si="1196"/>
        <v>27.238532064215985</v>
      </c>
      <c r="BA1134" s="454">
        <f t="shared" si="1196"/>
        <v>27.510917384858143</v>
      </c>
      <c r="BB1134" s="454">
        <f t="shared" si="1196"/>
        <v>27.786026558706723</v>
      </c>
      <c r="BC1134" s="454">
        <f t="shared" si="1196"/>
        <v>28.063886824293789</v>
      </c>
      <c r="BD1134" s="454">
        <f t="shared" si="1196"/>
        <v>28.344525692536727</v>
      </c>
      <c r="BE1134" s="454">
        <f t="shared" si="1196"/>
        <v>28.627970949462092</v>
      </c>
      <c r="BF1134" s="454">
        <f t="shared" si="1196"/>
        <v>28.914250658956714</v>
      </c>
    </row>
    <row r="1135" spans="1:58" x14ac:dyDescent="0.3">
      <c r="A1135" s="184"/>
      <c r="B1135" s="184"/>
      <c r="C1135" s="184"/>
      <c r="D1135" s="184"/>
      <c r="E1135" s="184"/>
      <c r="F1135" s="184"/>
      <c r="G1135" s="184"/>
      <c r="H1135" s="184"/>
      <c r="I1135" s="184"/>
      <c r="J1135" s="184"/>
      <c r="K1135" s="184"/>
      <c r="L1135" s="124"/>
      <c r="M1135" s="349" t="s">
        <v>980</v>
      </c>
      <c r="N1135" s="350" t="s">
        <v>68</v>
      </c>
      <c r="O1135" s="415">
        <f>IFERROR((O1132+O1133)/O1134,"")</f>
        <v>1</v>
      </c>
      <c r="P1135" s="415">
        <f t="shared" ref="P1135:X1135" si="1197">IFERROR((P1132+P1133)/P1134,"")</f>
        <v>1</v>
      </c>
      <c r="Q1135" s="415">
        <f t="shared" si="1197"/>
        <v>1</v>
      </c>
      <c r="R1135" s="415">
        <f t="shared" si="1197"/>
        <v>1</v>
      </c>
      <c r="S1135" s="415">
        <f t="shared" si="1197"/>
        <v>1</v>
      </c>
      <c r="T1135" s="415">
        <f t="shared" si="1197"/>
        <v>1</v>
      </c>
      <c r="U1135" s="415">
        <f t="shared" si="1197"/>
        <v>1</v>
      </c>
      <c r="V1135" s="415">
        <f t="shared" si="1197"/>
        <v>1</v>
      </c>
      <c r="W1135" s="415">
        <f t="shared" si="1197"/>
        <v>1</v>
      </c>
      <c r="X1135" s="415">
        <f t="shared" si="1197"/>
        <v>1</v>
      </c>
      <c r="Y1135" s="394"/>
      <c r="Z1135" s="184"/>
      <c r="AA1135" s="184"/>
      <c r="AB1135" s="415">
        <f>IFERROR((AB1132+AB1133)/AB1134,"")</f>
        <v>1</v>
      </c>
      <c r="AC1135" s="415">
        <f>IFERROR((AC1132+AC1133)/AC1134,"")</f>
        <v>1</v>
      </c>
      <c r="AD1135" s="184"/>
      <c r="AE1135" s="184"/>
      <c r="AF1135" s="184"/>
      <c r="AG1135" s="184"/>
      <c r="AH1135" s="184"/>
      <c r="AI1135" s="184"/>
      <c r="AJ1135" s="184"/>
      <c r="AK1135" s="184"/>
      <c r="AL1135" s="184"/>
      <c r="AM1135" s="184"/>
      <c r="AN1135" s="184"/>
      <c r="AO1135" s="184"/>
      <c r="AP1135" s="184"/>
      <c r="AQ1135" s="184"/>
      <c r="AR1135" s="184"/>
      <c r="AS1135" s="184"/>
      <c r="AT1135" s="184"/>
      <c r="AU1135" s="184"/>
      <c r="AV1135" s="184"/>
      <c r="AW1135" s="184"/>
      <c r="AX1135" s="184"/>
      <c r="AY1135" s="184"/>
      <c r="AZ1135" s="184"/>
      <c r="BA1135" s="184"/>
      <c r="BB1135" s="184"/>
      <c r="BC1135" s="184"/>
      <c r="BD1135" s="184"/>
      <c r="BE1135" s="184"/>
      <c r="BF1135" s="184"/>
    </row>
    <row r="1136" spans="1:58" x14ac:dyDescent="0.3">
      <c r="A1136" s="184"/>
      <c r="B1136" s="184"/>
      <c r="C1136" s="184"/>
      <c r="D1136" s="184"/>
      <c r="E1136" s="184"/>
      <c r="F1136" s="184"/>
      <c r="G1136" s="184"/>
      <c r="H1136" s="184"/>
      <c r="I1136" s="184"/>
      <c r="J1136" s="184"/>
      <c r="K1136" s="184"/>
      <c r="L1136" s="124"/>
      <c r="M1136" s="342"/>
      <c r="N1136" s="351"/>
      <c r="O1136" s="140"/>
      <c r="P1136" s="140"/>
      <c r="Q1136" s="140"/>
      <c r="R1136" s="140"/>
      <c r="S1136" s="140"/>
      <c r="T1136" s="140"/>
      <c r="U1136" s="140"/>
      <c r="V1136" s="140"/>
      <c r="W1136" s="140"/>
      <c r="X1136" s="140"/>
      <c r="Y1136" s="394"/>
      <c r="Z1136" s="184"/>
      <c r="AA1136" s="184"/>
      <c r="AB1136" s="140"/>
      <c r="AC1136" s="140"/>
      <c r="AD1136" s="367"/>
      <c r="AE1136" s="367"/>
      <c r="AF1136" s="367"/>
      <c r="AG1136" s="367"/>
      <c r="AH1136" s="367"/>
      <c r="AI1136" s="367"/>
      <c r="AJ1136" s="367"/>
      <c r="AK1136" s="367"/>
      <c r="AL1136" s="367"/>
      <c r="AM1136" s="367"/>
      <c r="AN1136" s="367"/>
      <c r="AO1136" s="367"/>
      <c r="AP1136" s="367"/>
      <c r="AQ1136" s="367"/>
      <c r="AR1136" s="367"/>
      <c r="AS1136" s="367"/>
      <c r="AT1136" s="367"/>
      <c r="AU1136" s="367"/>
      <c r="AV1136" s="367"/>
      <c r="AW1136" s="367"/>
      <c r="AX1136" s="367"/>
      <c r="AY1136" s="367"/>
      <c r="AZ1136" s="367"/>
      <c r="BA1136" s="367"/>
      <c r="BB1136" s="367"/>
      <c r="BC1136" s="367"/>
      <c r="BD1136" s="367"/>
      <c r="BE1136" s="367"/>
      <c r="BF1136" s="367"/>
    </row>
    <row r="1137" spans="1:58" x14ac:dyDescent="0.3">
      <c r="A1137" s="184"/>
      <c r="B1137" s="184"/>
      <c r="C1137" s="184"/>
      <c r="D1137" s="184"/>
      <c r="E1137" s="184"/>
      <c r="F1137" s="184"/>
      <c r="G1137" s="184"/>
      <c r="H1137" s="184"/>
      <c r="I1137" s="184"/>
      <c r="J1137" s="184"/>
      <c r="K1137" s="184"/>
      <c r="L1137" s="124"/>
      <c r="M1137" s="343" t="s">
        <v>1315</v>
      </c>
      <c r="N1137" s="342"/>
      <c r="O1137" s="140"/>
      <c r="P1137" s="140"/>
      <c r="Q1137" s="140"/>
      <c r="R1137" s="140"/>
      <c r="S1137" s="140"/>
      <c r="T1137" s="140"/>
      <c r="U1137" s="140"/>
      <c r="V1137" s="140"/>
      <c r="W1137" s="140"/>
      <c r="X1137" s="140"/>
      <c r="Y1137" s="394"/>
      <c r="Z1137" s="184"/>
      <c r="AA1137" s="184"/>
      <c r="AB1137" s="140"/>
      <c r="AC1137" s="140"/>
      <c r="AD1137" s="367"/>
      <c r="AE1137" s="367"/>
      <c r="AF1137" s="367"/>
      <c r="AG1137" s="367"/>
      <c r="AH1137" s="367"/>
      <c r="AI1137" s="367"/>
      <c r="AJ1137" s="367"/>
      <c r="AK1137" s="367"/>
      <c r="AL1137" s="367"/>
      <c r="AM1137" s="367"/>
      <c r="AN1137" s="367"/>
      <c r="AO1137" s="367"/>
      <c r="AP1137" s="367"/>
      <c r="AQ1137" s="367"/>
      <c r="AR1137" s="367"/>
      <c r="AS1137" s="367"/>
      <c r="AT1137" s="367"/>
      <c r="AU1137" s="367"/>
      <c r="AV1137" s="367"/>
      <c r="AW1137" s="367"/>
      <c r="AX1137" s="367"/>
      <c r="AY1137" s="367"/>
      <c r="AZ1137" s="367"/>
      <c r="BA1137" s="367"/>
      <c r="BB1137" s="367"/>
      <c r="BC1137" s="367"/>
      <c r="BD1137" s="367"/>
      <c r="BE1137" s="367"/>
      <c r="BF1137" s="367"/>
    </row>
    <row r="1138" spans="1:58" x14ac:dyDescent="0.3">
      <c r="A1138" s="184"/>
      <c r="B1138" s="184"/>
      <c r="C1138" s="184"/>
      <c r="D1138" s="184"/>
      <c r="E1138" s="184"/>
      <c r="F1138" s="184"/>
      <c r="G1138" s="184"/>
      <c r="H1138" s="184"/>
      <c r="I1138" s="184"/>
      <c r="J1138" s="184"/>
      <c r="K1138" s="184"/>
      <c r="L1138" s="124"/>
      <c r="M1138" s="345" t="s">
        <v>1316</v>
      </c>
      <c r="N1138" s="346" t="s">
        <v>77</v>
      </c>
      <c r="O1138" s="145">
        <v>0</v>
      </c>
      <c r="P1138" s="145">
        <v>0</v>
      </c>
      <c r="Q1138" s="145">
        <v>0</v>
      </c>
      <c r="R1138" s="145">
        <v>0</v>
      </c>
      <c r="S1138" s="145">
        <v>0</v>
      </c>
      <c r="T1138" s="145">
        <v>0</v>
      </c>
      <c r="U1138" s="145">
        <v>0</v>
      </c>
      <c r="V1138" s="145">
        <v>0</v>
      </c>
      <c r="W1138" s="145">
        <v>0</v>
      </c>
      <c r="X1138" s="145">
        <v>0</v>
      </c>
      <c r="Y1138" s="394"/>
      <c r="Z1138" s="184"/>
      <c r="AA1138" s="184"/>
      <c r="AB1138" s="145">
        <v>0</v>
      </c>
      <c r="AC1138" s="145">
        <v>0</v>
      </c>
      <c r="AD1138" s="455">
        <f>AC1138*(1+AD$1144)</f>
        <v>0</v>
      </c>
      <c r="AE1138" s="455">
        <f>Y1138*(1+AE$1144)</f>
        <v>0</v>
      </c>
      <c r="AF1138" s="455">
        <f>Z1138*(1+AF$1144)</f>
        <v>0</v>
      </c>
      <c r="AG1138" s="455">
        <f t="shared" ref="AG1138:BF1138" si="1198">AD1138*(1+AG$1144)</f>
        <v>0</v>
      </c>
      <c r="AH1138" s="455">
        <f t="shared" si="1198"/>
        <v>0</v>
      </c>
      <c r="AI1138" s="455">
        <f t="shared" si="1198"/>
        <v>0</v>
      </c>
      <c r="AJ1138" s="455">
        <f t="shared" si="1198"/>
        <v>0</v>
      </c>
      <c r="AK1138" s="455">
        <f t="shared" si="1198"/>
        <v>0</v>
      </c>
      <c r="AL1138" s="455">
        <f t="shared" si="1198"/>
        <v>0</v>
      </c>
      <c r="AM1138" s="455">
        <f t="shared" si="1198"/>
        <v>0</v>
      </c>
      <c r="AN1138" s="455">
        <f t="shared" si="1198"/>
        <v>0</v>
      </c>
      <c r="AO1138" s="455">
        <f t="shared" si="1198"/>
        <v>0</v>
      </c>
      <c r="AP1138" s="455">
        <f t="shared" si="1198"/>
        <v>0</v>
      </c>
      <c r="AQ1138" s="455">
        <f t="shared" si="1198"/>
        <v>0</v>
      </c>
      <c r="AR1138" s="455">
        <f t="shared" si="1198"/>
        <v>0</v>
      </c>
      <c r="AS1138" s="455">
        <f t="shared" si="1198"/>
        <v>0</v>
      </c>
      <c r="AT1138" s="455">
        <f t="shared" si="1198"/>
        <v>0</v>
      </c>
      <c r="AU1138" s="455">
        <f t="shared" si="1198"/>
        <v>0</v>
      </c>
      <c r="AV1138" s="455">
        <f t="shared" si="1198"/>
        <v>0</v>
      </c>
      <c r="AW1138" s="455">
        <f t="shared" si="1198"/>
        <v>0</v>
      </c>
      <c r="AX1138" s="455">
        <f t="shared" si="1198"/>
        <v>0</v>
      </c>
      <c r="AY1138" s="455">
        <f t="shared" si="1198"/>
        <v>0</v>
      </c>
      <c r="AZ1138" s="455">
        <f t="shared" si="1198"/>
        <v>0</v>
      </c>
      <c r="BA1138" s="455">
        <f t="shared" si="1198"/>
        <v>0</v>
      </c>
      <c r="BB1138" s="455">
        <f t="shared" si="1198"/>
        <v>0</v>
      </c>
      <c r="BC1138" s="455">
        <f t="shared" si="1198"/>
        <v>0</v>
      </c>
      <c r="BD1138" s="455">
        <f t="shared" si="1198"/>
        <v>0</v>
      </c>
      <c r="BE1138" s="455">
        <f t="shared" si="1198"/>
        <v>0</v>
      </c>
      <c r="BF1138" s="455">
        <f t="shared" si="1198"/>
        <v>0</v>
      </c>
    </row>
    <row r="1139" spans="1:58" x14ac:dyDescent="0.3">
      <c r="A1139" s="184"/>
      <c r="B1139" s="184"/>
      <c r="C1139" s="184"/>
      <c r="D1139" s="184"/>
      <c r="E1139" s="184"/>
      <c r="F1139" s="184"/>
      <c r="G1139" s="184"/>
      <c r="H1139" s="184"/>
      <c r="I1139" s="184"/>
      <c r="J1139" s="184"/>
      <c r="K1139" s="184"/>
      <c r="L1139" s="124"/>
      <c r="M1139" s="345" t="s">
        <v>1317</v>
      </c>
      <c r="N1139" s="346" t="s">
        <v>77</v>
      </c>
      <c r="O1139" s="145">
        <v>93.999999999999986</v>
      </c>
      <c r="P1139" s="145">
        <v>58.75</v>
      </c>
      <c r="Q1139" s="145">
        <v>46.999999999999993</v>
      </c>
      <c r="R1139" s="145">
        <v>46.999999999999993</v>
      </c>
      <c r="S1139" s="145">
        <v>70.5</v>
      </c>
      <c r="T1139" s="145">
        <v>70.5</v>
      </c>
      <c r="U1139" s="145">
        <v>58.754759999999997</v>
      </c>
      <c r="V1139" s="145">
        <v>76.915499999999994</v>
      </c>
      <c r="W1139" s="145">
        <v>75.470250000000007</v>
      </c>
      <c r="X1139" s="145">
        <v>62.274999999999999</v>
      </c>
      <c r="Y1139" s="394"/>
      <c r="Z1139" s="184"/>
      <c r="AA1139" s="184"/>
      <c r="AB1139" s="145">
        <v>75.277777777777771</v>
      </c>
      <c r="AC1139" s="145">
        <v>69.444444444444443</v>
      </c>
      <c r="AD1139" s="451">
        <f t="shared" ref="AD1139:BF1139" si="1199">AD1145*AD1148*($AC1139/($AC1113+$AC1125+$AC1139))</f>
        <v>70.489583333333329</v>
      </c>
      <c r="AE1139" s="451">
        <f t="shared" si="1199"/>
        <v>71.550451562499987</v>
      </c>
      <c r="AF1139" s="451">
        <f t="shared" si="1199"/>
        <v>72.627285858515606</v>
      </c>
      <c r="AG1139" s="451">
        <f t="shared" si="1199"/>
        <v>73.720326510686263</v>
      </c>
      <c r="AH1139" s="451">
        <f t="shared" si="1199"/>
        <v>74.829817424672072</v>
      </c>
      <c r="AI1139" s="451">
        <f t="shared" si="1199"/>
        <v>75.956006176913391</v>
      </c>
      <c r="AJ1139" s="451">
        <f t="shared" si="1199"/>
        <v>77.099144069875933</v>
      </c>
      <c r="AK1139" s="451">
        <f t="shared" si="1199"/>
        <v>78.259486188127568</v>
      </c>
      <c r="AL1139" s="451">
        <f t="shared" si="1199"/>
        <v>79.437291455258887</v>
      </c>
      <c r="AM1139" s="451">
        <f t="shared" si="1199"/>
        <v>80.632822691660522</v>
      </c>
      <c r="AN1139" s="451">
        <f t="shared" si="1199"/>
        <v>81.84634667316999</v>
      </c>
      <c r="AO1139" s="451">
        <f t="shared" si="1199"/>
        <v>83.078134190601176</v>
      </c>
      <c r="AP1139" s="451">
        <f t="shared" si="1199"/>
        <v>84.328460110169715</v>
      </c>
      <c r="AQ1139" s="451">
        <f t="shared" si="1199"/>
        <v>85.597603434827761</v>
      </c>
      <c r="AR1139" s="451">
        <f t="shared" si="1199"/>
        <v>86.885847366521901</v>
      </c>
      <c r="AS1139" s="451">
        <f t="shared" si="1199"/>
        <v>88.193479369388044</v>
      </c>
      <c r="AT1139" s="451">
        <f t="shared" si="1199"/>
        <v>89.520791233897313</v>
      </c>
      <c r="AU1139" s="451">
        <f t="shared" si="1199"/>
        <v>90.868079141967456</v>
      </c>
      <c r="AV1139" s="451">
        <f t="shared" si="1199"/>
        <v>92.235643733054061</v>
      </c>
      <c r="AW1139" s="451">
        <f t="shared" si="1199"/>
        <v>93.623790171236507</v>
      </c>
      <c r="AX1139" s="451">
        <f t="shared" si="1199"/>
        <v>95.032828213313607</v>
      </c>
      <c r="AY1139" s="451">
        <f t="shared" si="1199"/>
        <v>96.46307227792397</v>
      </c>
      <c r="AZ1139" s="451">
        <f t="shared" si="1199"/>
        <v>97.914841515706712</v>
      </c>
      <c r="BA1139" s="451">
        <f t="shared" si="1199"/>
        <v>99.388459880518084</v>
      </c>
      <c r="BB1139" s="451">
        <f t="shared" si="1199"/>
        <v>100.88425620171986</v>
      </c>
      <c r="BC1139" s="451">
        <f t="shared" si="1199"/>
        <v>102.40256425755574</v>
      </c>
      <c r="BD1139" s="451">
        <f t="shared" si="1199"/>
        <v>103.94372284963195</v>
      </c>
      <c r="BE1139" s="451">
        <f t="shared" si="1199"/>
        <v>105.50807587851889</v>
      </c>
      <c r="BF1139" s="451">
        <f t="shared" si="1199"/>
        <v>107.09597242049057</v>
      </c>
    </row>
    <row r="1140" spans="1:58" x14ac:dyDescent="0.3">
      <c r="A1140" s="184"/>
      <c r="B1140" s="184"/>
      <c r="C1140" s="184"/>
      <c r="D1140" s="184"/>
      <c r="E1140" s="184"/>
      <c r="F1140" s="184"/>
      <c r="G1140" s="184"/>
      <c r="H1140" s="184"/>
      <c r="I1140" s="184"/>
      <c r="J1140" s="184"/>
      <c r="K1140" s="184"/>
      <c r="L1140" s="124"/>
      <c r="M1140" s="345" t="s">
        <v>1318</v>
      </c>
      <c r="N1140" s="346" t="s">
        <v>77</v>
      </c>
      <c r="O1140" s="145">
        <v>0</v>
      </c>
      <c r="P1140" s="145">
        <v>0</v>
      </c>
      <c r="Q1140" s="145">
        <v>0</v>
      </c>
      <c r="R1140" s="145">
        <v>0</v>
      </c>
      <c r="S1140" s="145">
        <v>0</v>
      </c>
      <c r="T1140" s="145">
        <v>0</v>
      </c>
      <c r="U1140" s="145">
        <v>0</v>
      </c>
      <c r="V1140" s="145">
        <v>0</v>
      </c>
      <c r="W1140" s="145">
        <v>0</v>
      </c>
      <c r="X1140" s="145">
        <v>0</v>
      </c>
      <c r="Y1140" s="394"/>
      <c r="Z1140" s="184"/>
      <c r="AA1140" s="184"/>
      <c r="AB1140" s="145">
        <v>0</v>
      </c>
      <c r="AC1140" s="145">
        <v>0</v>
      </c>
      <c r="AD1140" s="450">
        <f>AC1140*(1+AD$1144)</f>
        <v>0</v>
      </c>
      <c r="AE1140" s="450">
        <f t="shared" ref="AE1140:AF1142" si="1200">Y1140*(1+AE$1144)</f>
        <v>0</v>
      </c>
      <c r="AF1140" s="450">
        <f t="shared" si="1200"/>
        <v>0</v>
      </c>
      <c r="AG1140" s="450">
        <f t="shared" ref="AG1140:BF1142" si="1201">AD1140*(1+AG$1144)</f>
        <v>0</v>
      </c>
      <c r="AH1140" s="450">
        <f t="shared" si="1201"/>
        <v>0</v>
      </c>
      <c r="AI1140" s="450">
        <f t="shared" si="1201"/>
        <v>0</v>
      </c>
      <c r="AJ1140" s="450">
        <f t="shared" si="1201"/>
        <v>0</v>
      </c>
      <c r="AK1140" s="450">
        <f t="shared" si="1201"/>
        <v>0</v>
      </c>
      <c r="AL1140" s="450">
        <f t="shared" si="1201"/>
        <v>0</v>
      </c>
      <c r="AM1140" s="450">
        <f t="shared" si="1201"/>
        <v>0</v>
      </c>
      <c r="AN1140" s="450">
        <f t="shared" si="1201"/>
        <v>0</v>
      </c>
      <c r="AO1140" s="450">
        <f t="shared" si="1201"/>
        <v>0</v>
      </c>
      <c r="AP1140" s="450">
        <f t="shared" si="1201"/>
        <v>0</v>
      </c>
      <c r="AQ1140" s="450">
        <f t="shared" si="1201"/>
        <v>0</v>
      </c>
      <c r="AR1140" s="450">
        <f t="shared" si="1201"/>
        <v>0</v>
      </c>
      <c r="AS1140" s="450">
        <f t="shared" si="1201"/>
        <v>0</v>
      </c>
      <c r="AT1140" s="450">
        <f t="shared" si="1201"/>
        <v>0</v>
      </c>
      <c r="AU1140" s="450">
        <f t="shared" si="1201"/>
        <v>0</v>
      </c>
      <c r="AV1140" s="450">
        <f t="shared" si="1201"/>
        <v>0</v>
      </c>
      <c r="AW1140" s="450">
        <f t="shared" si="1201"/>
        <v>0</v>
      </c>
      <c r="AX1140" s="450">
        <f t="shared" si="1201"/>
        <v>0</v>
      </c>
      <c r="AY1140" s="450">
        <f t="shared" si="1201"/>
        <v>0</v>
      </c>
      <c r="AZ1140" s="450">
        <f t="shared" si="1201"/>
        <v>0</v>
      </c>
      <c r="BA1140" s="450">
        <f t="shared" si="1201"/>
        <v>0</v>
      </c>
      <c r="BB1140" s="450">
        <f t="shared" si="1201"/>
        <v>0</v>
      </c>
      <c r="BC1140" s="450">
        <f t="shared" si="1201"/>
        <v>0</v>
      </c>
      <c r="BD1140" s="450">
        <f t="shared" si="1201"/>
        <v>0</v>
      </c>
      <c r="BE1140" s="450">
        <f t="shared" si="1201"/>
        <v>0</v>
      </c>
      <c r="BF1140" s="450">
        <f t="shared" si="1201"/>
        <v>0</v>
      </c>
    </row>
    <row r="1141" spans="1:58" x14ac:dyDescent="0.3">
      <c r="A1141" s="184"/>
      <c r="B1141" s="184"/>
      <c r="C1141" s="184"/>
      <c r="D1141" s="184"/>
      <c r="E1141" s="184"/>
      <c r="F1141" s="184"/>
      <c r="G1141" s="184"/>
      <c r="H1141" s="184"/>
      <c r="I1141" s="184"/>
      <c r="J1141" s="184"/>
      <c r="K1141" s="184"/>
      <c r="L1141" s="124"/>
      <c r="M1141" s="345" t="s">
        <v>1319</v>
      </c>
      <c r="N1141" s="346" t="s">
        <v>77</v>
      </c>
      <c r="O1141" s="145">
        <v>0</v>
      </c>
      <c r="P1141" s="145">
        <v>0</v>
      </c>
      <c r="Q1141" s="145">
        <v>0</v>
      </c>
      <c r="R1141" s="145">
        <v>0</v>
      </c>
      <c r="S1141" s="145">
        <v>0</v>
      </c>
      <c r="T1141" s="145">
        <v>0</v>
      </c>
      <c r="U1141" s="145">
        <v>0</v>
      </c>
      <c r="V1141" s="145">
        <v>0</v>
      </c>
      <c r="W1141" s="145">
        <v>0</v>
      </c>
      <c r="X1141" s="145">
        <v>0</v>
      </c>
      <c r="Y1141" s="394"/>
      <c r="Z1141" s="184"/>
      <c r="AA1141" s="184"/>
      <c r="AB1141" s="145">
        <v>0</v>
      </c>
      <c r="AC1141" s="145">
        <v>0</v>
      </c>
      <c r="AD1141" s="450">
        <f>AC1141*(1+AD$1144)</f>
        <v>0</v>
      </c>
      <c r="AE1141" s="450">
        <f t="shared" si="1200"/>
        <v>0</v>
      </c>
      <c r="AF1141" s="450">
        <f t="shared" si="1200"/>
        <v>0</v>
      </c>
      <c r="AG1141" s="450">
        <f t="shared" si="1201"/>
        <v>0</v>
      </c>
      <c r="AH1141" s="450">
        <f t="shared" si="1201"/>
        <v>0</v>
      </c>
      <c r="AI1141" s="450">
        <f t="shared" si="1201"/>
        <v>0</v>
      </c>
      <c r="AJ1141" s="450">
        <f t="shared" si="1201"/>
        <v>0</v>
      </c>
      <c r="AK1141" s="450">
        <f t="shared" si="1201"/>
        <v>0</v>
      </c>
      <c r="AL1141" s="450">
        <f t="shared" si="1201"/>
        <v>0</v>
      </c>
      <c r="AM1141" s="450">
        <f t="shared" si="1201"/>
        <v>0</v>
      </c>
      <c r="AN1141" s="450">
        <f t="shared" si="1201"/>
        <v>0</v>
      </c>
      <c r="AO1141" s="450">
        <f t="shared" si="1201"/>
        <v>0</v>
      </c>
      <c r="AP1141" s="450">
        <f t="shared" si="1201"/>
        <v>0</v>
      </c>
      <c r="AQ1141" s="450">
        <f t="shared" si="1201"/>
        <v>0</v>
      </c>
      <c r="AR1141" s="450">
        <f t="shared" si="1201"/>
        <v>0</v>
      </c>
      <c r="AS1141" s="450">
        <f t="shared" si="1201"/>
        <v>0</v>
      </c>
      <c r="AT1141" s="450">
        <f t="shared" si="1201"/>
        <v>0</v>
      </c>
      <c r="AU1141" s="450">
        <f t="shared" si="1201"/>
        <v>0</v>
      </c>
      <c r="AV1141" s="450">
        <f t="shared" si="1201"/>
        <v>0</v>
      </c>
      <c r="AW1141" s="450">
        <f t="shared" si="1201"/>
        <v>0</v>
      </c>
      <c r="AX1141" s="450">
        <f t="shared" si="1201"/>
        <v>0</v>
      </c>
      <c r="AY1141" s="450">
        <f t="shared" si="1201"/>
        <v>0</v>
      </c>
      <c r="AZ1141" s="450">
        <f t="shared" si="1201"/>
        <v>0</v>
      </c>
      <c r="BA1141" s="450">
        <f t="shared" si="1201"/>
        <v>0</v>
      </c>
      <c r="BB1141" s="450">
        <f t="shared" si="1201"/>
        <v>0</v>
      </c>
      <c r="BC1141" s="450">
        <f t="shared" si="1201"/>
        <v>0</v>
      </c>
      <c r="BD1141" s="450">
        <f t="shared" si="1201"/>
        <v>0</v>
      </c>
      <c r="BE1141" s="450">
        <f t="shared" si="1201"/>
        <v>0</v>
      </c>
      <c r="BF1141" s="450">
        <f t="shared" si="1201"/>
        <v>0</v>
      </c>
    </row>
    <row r="1142" spans="1:58" x14ac:dyDescent="0.3">
      <c r="A1142" s="184"/>
      <c r="B1142" s="184"/>
      <c r="C1142" s="184"/>
      <c r="D1142" s="184"/>
      <c r="E1142" s="184"/>
      <c r="F1142" s="184"/>
      <c r="G1142" s="184"/>
      <c r="H1142" s="184"/>
      <c r="I1142" s="184"/>
      <c r="J1142" s="184"/>
      <c r="K1142" s="184"/>
      <c r="L1142" s="124"/>
      <c r="M1142" s="345" t="s">
        <v>1320</v>
      </c>
      <c r="N1142" s="346" t="s">
        <v>77</v>
      </c>
      <c r="O1142" s="145">
        <v>0</v>
      </c>
      <c r="P1142" s="145">
        <v>0</v>
      </c>
      <c r="Q1142" s="145">
        <v>0</v>
      </c>
      <c r="R1142" s="145">
        <v>0</v>
      </c>
      <c r="S1142" s="145">
        <v>0</v>
      </c>
      <c r="T1142" s="145">
        <v>0</v>
      </c>
      <c r="U1142" s="145">
        <v>0</v>
      </c>
      <c r="V1142" s="145">
        <v>0</v>
      </c>
      <c r="W1142" s="145">
        <v>0</v>
      </c>
      <c r="X1142" s="145">
        <v>0</v>
      </c>
      <c r="Y1142" s="394"/>
      <c r="Z1142" s="184"/>
      <c r="AA1142" s="184"/>
      <c r="AB1142" s="145">
        <v>0</v>
      </c>
      <c r="AC1142" s="145">
        <v>0</v>
      </c>
      <c r="AD1142" s="450">
        <f>AC1142*(1+AD$1144)</f>
        <v>0</v>
      </c>
      <c r="AE1142" s="450">
        <f t="shared" si="1200"/>
        <v>0</v>
      </c>
      <c r="AF1142" s="450">
        <f t="shared" si="1200"/>
        <v>0</v>
      </c>
      <c r="AG1142" s="450">
        <f t="shared" si="1201"/>
        <v>0</v>
      </c>
      <c r="AH1142" s="450">
        <f t="shared" si="1201"/>
        <v>0</v>
      </c>
      <c r="AI1142" s="450">
        <f t="shared" si="1201"/>
        <v>0</v>
      </c>
      <c r="AJ1142" s="450">
        <f t="shared" si="1201"/>
        <v>0</v>
      </c>
      <c r="AK1142" s="450">
        <f t="shared" si="1201"/>
        <v>0</v>
      </c>
      <c r="AL1142" s="450">
        <f t="shared" si="1201"/>
        <v>0</v>
      </c>
      <c r="AM1142" s="450">
        <f t="shared" si="1201"/>
        <v>0</v>
      </c>
      <c r="AN1142" s="450">
        <f t="shared" si="1201"/>
        <v>0</v>
      </c>
      <c r="AO1142" s="450">
        <f t="shared" si="1201"/>
        <v>0</v>
      </c>
      <c r="AP1142" s="450">
        <f t="shared" si="1201"/>
        <v>0</v>
      </c>
      <c r="AQ1142" s="450">
        <f t="shared" si="1201"/>
        <v>0</v>
      </c>
      <c r="AR1142" s="450">
        <f t="shared" si="1201"/>
        <v>0</v>
      </c>
      <c r="AS1142" s="450">
        <f t="shared" si="1201"/>
        <v>0</v>
      </c>
      <c r="AT1142" s="450">
        <f t="shared" si="1201"/>
        <v>0</v>
      </c>
      <c r="AU1142" s="450">
        <f t="shared" si="1201"/>
        <v>0</v>
      </c>
      <c r="AV1142" s="450">
        <f t="shared" si="1201"/>
        <v>0</v>
      </c>
      <c r="AW1142" s="450">
        <f t="shared" si="1201"/>
        <v>0</v>
      </c>
      <c r="AX1142" s="450">
        <f t="shared" si="1201"/>
        <v>0</v>
      </c>
      <c r="AY1142" s="450">
        <f t="shared" si="1201"/>
        <v>0</v>
      </c>
      <c r="AZ1142" s="450">
        <f t="shared" si="1201"/>
        <v>0</v>
      </c>
      <c r="BA1142" s="450">
        <f t="shared" si="1201"/>
        <v>0</v>
      </c>
      <c r="BB1142" s="450">
        <f t="shared" si="1201"/>
        <v>0</v>
      </c>
      <c r="BC1142" s="450">
        <f t="shared" si="1201"/>
        <v>0</v>
      </c>
      <c r="BD1142" s="450">
        <f t="shared" si="1201"/>
        <v>0</v>
      </c>
      <c r="BE1142" s="450">
        <f t="shared" si="1201"/>
        <v>0</v>
      </c>
      <c r="BF1142" s="450">
        <f t="shared" si="1201"/>
        <v>0</v>
      </c>
    </row>
    <row r="1143" spans="1:58" x14ac:dyDescent="0.3">
      <c r="A1143" s="184"/>
      <c r="B1143" s="184"/>
      <c r="C1143" s="184"/>
      <c r="D1143" s="184"/>
      <c r="E1143" s="184"/>
      <c r="F1143" s="184"/>
      <c r="G1143" s="184"/>
      <c r="H1143" s="184"/>
      <c r="I1143" s="184"/>
      <c r="J1143" s="184"/>
      <c r="K1143" s="184"/>
      <c r="L1143" s="124"/>
      <c r="M1143" s="344" t="s">
        <v>1321</v>
      </c>
      <c r="N1143" s="348" t="s">
        <v>77</v>
      </c>
      <c r="O1143" s="453">
        <f>SUM(O1138:O1142)</f>
        <v>93.999999999999986</v>
      </c>
      <c r="P1143" s="453">
        <f t="shared" ref="P1143:X1143" si="1202">SUM(P1138:P1142)</f>
        <v>58.75</v>
      </c>
      <c r="Q1143" s="453">
        <f t="shared" si="1202"/>
        <v>46.999999999999993</v>
      </c>
      <c r="R1143" s="453">
        <f t="shared" si="1202"/>
        <v>46.999999999999993</v>
      </c>
      <c r="S1143" s="453">
        <f t="shared" si="1202"/>
        <v>70.5</v>
      </c>
      <c r="T1143" s="453">
        <f t="shared" si="1202"/>
        <v>70.5</v>
      </c>
      <c r="U1143" s="453">
        <f t="shared" si="1202"/>
        <v>58.754759999999997</v>
      </c>
      <c r="V1143" s="453">
        <f t="shared" si="1202"/>
        <v>76.915499999999994</v>
      </c>
      <c r="W1143" s="453">
        <f t="shared" si="1202"/>
        <v>75.470250000000007</v>
      </c>
      <c r="X1143" s="453">
        <f t="shared" si="1202"/>
        <v>62.274999999999999</v>
      </c>
      <c r="Y1143" s="394"/>
      <c r="Z1143" s="184"/>
      <c r="AA1143" s="184"/>
      <c r="AB1143" s="453">
        <f>SUM(AB1138:AB1142)</f>
        <v>75.277777777777771</v>
      </c>
      <c r="AC1143" s="453">
        <f>SUM(AC1138:AC1142)</f>
        <v>69.444444444444443</v>
      </c>
      <c r="AD1143" s="454">
        <f>SUM(AD1138:AD1142)</f>
        <v>70.489583333333329</v>
      </c>
      <c r="AE1143" s="454">
        <f>SUM(AE1138:AE1142)</f>
        <v>71.550451562499987</v>
      </c>
      <c r="AF1143" s="454">
        <f t="shared" ref="AF1143:BF1143" si="1203">SUM(AF1138:AF1142)</f>
        <v>72.627285858515606</v>
      </c>
      <c r="AG1143" s="454">
        <f t="shared" si="1203"/>
        <v>73.720326510686263</v>
      </c>
      <c r="AH1143" s="454">
        <f t="shared" si="1203"/>
        <v>74.829817424672072</v>
      </c>
      <c r="AI1143" s="454">
        <f t="shared" si="1203"/>
        <v>75.956006176913391</v>
      </c>
      <c r="AJ1143" s="454">
        <f t="shared" si="1203"/>
        <v>77.099144069875933</v>
      </c>
      <c r="AK1143" s="454">
        <f t="shared" si="1203"/>
        <v>78.259486188127568</v>
      </c>
      <c r="AL1143" s="454">
        <f t="shared" si="1203"/>
        <v>79.437291455258887</v>
      </c>
      <c r="AM1143" s="454">
        <f t="shared" si="1203"/>
        <v>80.632822691660522</v>
      </c>
      <c r="AN1143" s="454">
        <f t="shared" si="1203"/>
        <v>81.84634667316999</v>
      </c>
      <c r="AO1143" s="454">
        <f t="shared" si="1203"/>
        <v>83.078134190601176</v>
      </c>
      <c r="AP1143" s="454">
        <f t="shared" si="1203"/>
        <v>84.328460110169715</v>
      </c>
      <c r="AQ1143" s="454">
        <f t="shared" si="1203"/>
        <v>85.597603434827761</v>
      </c>
      <c r="AR1143" s="454">
        <f t="shared" si="1203"/>
        <v>86.885847366521901</v>
      </c>
      <c r="AS1143" s="454">
        <f t="shared" si="1203"/>
        <v>88.193479369388044</v>
      </c>
      <c r="AT1143" s="454">
        <f t="shared" si="1203"/>
        <v>89.520791233897313</v>
      </c>
      <c r="AU1143" s="454">
        <f t="shared" si="1203"/>
        <v>90.868079141967456</v>
      </c>
      <c r="AV1143" s="454">
        <f t="shared" si="1203"/>
        <v>92.235643733054061</v>
      </c>
      <c r="AW1143" s="454">
        <f t="shared" si="1203"/>
        <v>93.623790171236507</v>
      </c>
      <c r="AX1143" s="454">
        <f t="shared" si="1203"/>
        <v>95.032828213313607</v>
      </c>
      <c r="AY1143" s="454">
        <f t="shared" si="1203"/>
        <v>96.46307227792397</v>
      </c>
      <c r="AZ1143" s="454">
        <f t="shared" si="1203"/>
        <v>97.914841515706712</v>
      </c>
      <c r="BA1143" s="454">
        <f t="shared" si="1203"/>
        <v>99.388459880518084</v>
      </c>
      <c r="BB1143" s="454">
        <f t="shared" si="1203"/>
        <v>100.88425620171986</v>
      </c>
      <c r="BC1143" s="454">
        <f t="shared" si="1203"/>
        <v>102.40256425755574</v>
      </c>
      <c r="BD1143" s="454">
        <f t="shared" si="1203"/>
        <v>103.94372284963195</v>
      </c>
      <c r="BE1143" s="454">
        <f t="shared" si="1203"/>
        <v>105.50807587851889</v>
      </c>
      <c r="BF1143" s="454">
        <f t="shared" si="1203"/>
        <v>107.09597242049057</v>
      </c>
    </row>
    <row r="1144" spans="1:58" ht="15.75" x14ac:dyDescent="0.3">
      <c r="A1144" s="184"/>
      <c r="B1144" s="184"/>
      <c r="C1144" s="184"/>
      <c r="D1144" s="184"/>
      <c r="E1144" s="184"/>
      <c r="F1144" s="184"/>
      <c r="G1144" s="184"/>
      <c r="H1144" s="184"/>
      <c r="I1144" s="184"/>
      <c r="J1144" s="184"/>
      <c r="K1144" s="184"/>
      <c r="L1144" s="124"/>
      <c r="M1144" s="349" t="s">
        <v>980</v>
      </c>
      <c r="N1144" s="350" t="s">
        <v>68</v>
      </c>
      <c r="O1144" s="415">
        <f>IFERROR(SUM(O1138:O1142)/O1143,"")</f>
        <v>1</v>
      </c>
      <c r="P1144" s="415">
        <f t="shared" ref="P1144:X1144" si="1204">IFERROR(SUM(P1138:P1142)/P1143,"")</f>
        <v>1</v>
      </c>
      <c r="Q1144" s="415">
        <f t="shared" si="1204"/>
        <v>1</v>
      </c>
      <c r="R1144" s="415">
        <f t="shared" si="1204"/>
        <v>1</v>
      </c>
      <c r="S1144" s="415">
        <f t="shared" si="1204"/>
        <v>1</v>
      </c>
      <c r="T1144" s="415">
        <f t="shared" si="1204"/>
        <v>1</v>
      </c>
      <c r="U1144" s="415">
        <f t="shared" si="1204"/>
        <v>1</v>
      </c>
      <c r="V1144" s="415">
        <f t="shared" si="1204"/>
        <v>1</v>
      </c>
      <c r="W1144" s="415">
        <f t="shared" si="1204"/>
        <v>1</v>
      </c>
      <c r="X1144" s="415">
        <f t="shared" si="1204"/>
        <v>1</v>
      </c>
      <c r="Y1144" s="394"/>
      <c r="Z1144" s="2123" t="s">
        <v>1322</v>
      </c>
      <c r="AA1144" s="2123"/>
      <c r="AB1144" s="415">
        <f>IFERROR(SUM(AB1138:AB1142)/AB1143,"")</f>
        <v>1</v>
      </c>
      <c r="AC1144" s="415">
        <f>IFERROR(SUM(AC1138:AC1142)/AC1143,"")</f>
        <v>1</v>
      </c>
      <c r="AD1144" s="147">
        <v>0.01</v>
      </c>
      <c r="AE1144" s="147">
        <v>0.01</v>
      </c>
      <c r="AF1144" s="147">
        <v>0.01</v>
      </c>
      <c r="AG1144" s="147">
        <v>0.01</v>
      </c>
      <c r="AH1144" s="147">
        <v>0.01</v>
      </c>
      <c r="AI1144" s="147">
        <v>0.01</v>
      </c>
      <c r="AJ1144" s="147">
        <v>0.01</v>
      </c>
      <c r="AK1144" s="147">
        <v>0.01</v>
      </c>
      <c r="AL1144" s="147">
        <v>0.01</v>
      </c>
      <c r="AM1144" s="147">
        <v>0.01</v>
      </c>
      <c r="AN1144" s="147">
        <v>0.01</v>
      </c>
      <c r="AO1144" s="147">
        <v>0.01</v>
      </c>
      <c r="AP1144" s="147">
        <v>0.01</v>
      </c>
      <c r="AQ1144" s="147">
        <v>0.01</v>
      </c>
      <c r="AR1144" s="147">
        <v>0.01</v>
      </c>
      <c r="AS1144" s="147">
        <v>0.01</v>
      </c>
      <c r="AT1144" s="147">
        <v>0.01</v>
      </c>
      <c r="AU1144" s="147">
        <v>0.01</v>
      </c>
      <c r="AV1144" s="147">
        <v>0.01</v>
      </c>
      <c r="AW1144" s="147">
        <v>0.01</v>
      </c>
      <c r="AX1144" s="147">
        <v>0.01</v>
      </c>
      <c r="AY1144" s="147">
        <v>0.01</v>
      </c>
      <c r="AZ1144" s="147">
        <v>0.01</v>
      </c>
      <c r="BA1144" s="147">
        <v>0.01</v>
      </c>
      <c r="BB1144" s="147">
        <v>0.01</v>
      </c>
      <c r="BC1144" s="147">
        <v>0.01</v>
      </c>
      <c r="BD1144" s="147">
        <v>0.01</v>
      </c>
      <c r="BE1144" s="147">
        <v>0.01</v>
      </c>
      <c r="BF1144" s="147">
        <v>0.01</v>
      </c>
    </row>
    <row r="1145" spans="1:58" x14ac:dyDescent="0.3">
      <c r="A1145" s="184"/>
      <c r="B1145" s="184"/>
      <c r="C1145" s="184"/>
      <c r="D1145" s="184"/>
      <c r="E1145" s="184"/>
      <c r="F1145" s="184"/>
      <c r="G1145" s="184"/>
      <c r="H1145" s="184"/>
      <c r="I1145" s="184"/>
      <c r="J1145" s="184"/>
      <c r="K1145" s="184"/>
      <c r="L1145" s="124"/>
      <c r="M1145" s="349"/>
      <c r="N1145" s="350"/>
      <c r="O1145" s="350"/>
      <c r="P1145" s="350"/>
      <c r="Q1145" s="350"/>
      <c r="R1145" s="350"/>
      <c r="S1145" s="350"/>
      <c r="T1145" s="350"/>
      <c r="U1145" s="350"/>
      <c r="V1145" s="350"/>
      <c r="W1145" s="350"/>
      <c r="X1145" s="350"/>
      <c r="Y1145" s="394"/>
      <c r="Z1145" s="184"/>
      <c r="AA1145" s="184"/>
      <c r="AB1145" s="456">
        <f>AB1143+AB1134+AB1128+AB1121</f>
        <v>9177.7777777777792</v>
      </c>
      <c r="AC1145" s="456">
        <f>AC1143+AC1134+AC1128+AC1121</f>
        <v>9720.8333333333339</v>
      </c>
      <c r="AD1145" s="440">
        <f>AC1145*(1+AD1144)</f>
        <v>9818.0416666666679</v>
      </c>
      <c r="AE1145" s="440">
        <f t="shared" ref="AE1145:BF1145" si="1205">AD1145*(1+AE1144)</f>
        <v>9916.222083333334</v>
      </c>
      <c r="AF1145" s="440">
        <f t="shared" si="1205"/>
        <v>10015.384304166668</v>
      </c>
      <c r="AG1145" s="440">
        <f t="shared" si="1205"/>
        <v>10115.538147208335</v>
      </c>
      <c r="AH1145" s="440">
        <f t="shared" si="1205"/>
        <v>10216.693528680418</v>
      </c>
      <c r="AI1145" s="440">
        <f t="shared" si="1205"/>
        <v>10318.860463967223</v>
      </c>
      <c r="AJ1145" s="440">
        <f t="shared" si="1205"/>
        <v>10422.049068606895</v>
      </c>
      <c r="AK1145" s="440">
        <f t="shared" si="1205"/>
        <v>10526.269559292965</v>
      </c>
      <c r="AL1145" s="440">
        <f t="shared" si="1205"/>
        <v>10631.532254885895</v>
      </c>
      <c r="AM1145" s="440">
        <f t="shared" si="1205"/>
        <v>10737.847577434753</v>
      </c>
      <c r="AN1145" s="440">
        <f t="shared" si="1205"/>
        <v>10845.2260532091</v>
      </c>
      <c r="AO1145" s="440">
        <f t="shared" si="1205"/>
        <v>10953.678313741191</v>
      </c>
      <c r="AP1145" s="440">
        <f t="shared" si="1205"/>
        <v>11063.215096878603</v>
      </c>
      <c r="AQ1145" s="440">
        <f t="shared" si="1205"/>
        <v>11173.847247847389</v>
      </c>
      <c r="AR1145" s="440">
        <f t="shared" si="1205"/>
        <v>11285.585720325862</v>
      </c>
      <c r="AS1145" s="440">
        <f t="shared" si="1205"/>
        <v>11398.44157752912</v>
      </c>
      <c r="AT1145" s="440">
        <f t="shared" si="1205"/>
        <v>11512.42599330441</v>
      </c>
      <c r="AU1145" s="440">
        <f t="shared" si="1205"/>
        <v>11627.550253237454</v>
      </c>
      <c r="AV1145" s="440">
        <f t="shared" si="1205"/>
        <v>11743.825755769829</v>
      </c>
      <c r="AW1145" s="440">
        <f t="shared" si="1205"/>
        <v>11861.264013327527</v>
      </c>
      <c r="AX1145" s="440">
        <f t="shared" si="1205"/>
        <v>11979.876653460802</v>
      </c>
      <c r="AY1145" s="440">
        <f t="shared" si="1205"/>
        <v>12099.67541999541</v>
      </c>
      <c r="AZ1145" s="440">
        <f t="shared" si="1205"/>
        <v>12220.672174195364</v>
      </c>
      <c r="BA1145" s="440">
        <f t="shared" si="1205"/>
        <v>12342.878895937318</v>
      </c>
      <c r="BB1145" s="440">
        <f t="shared" si="1205"/>
        <v>12466.30768489669</v>
      </c>
      <c r="BC1145" s="440">
        <f t="shared" si="1205"/>
        <v>12590.970761745657</v>
      </c>
      <c r="BD1145" s="440">
        <f t="shared" si="1205"/>
        <v>12716.880469363114</v>
      </c>
      <c r="BE1145" s="440">
        <f t="shared" si="1205"/>
        <v>12844.049274056744</v>
      </c>
      <c r="BF1145" s="440">
        <f t="shared" si="1205"/>
        <v>12972.489766797311</v>
      </c>
    </row>
    <row r="1146" spans="1:58" x14ac:dyDescent="0.3">
      <c r="A1146" s="184"/>
      <c r="B1146" s="184"/>
      <c r="C1146" s="184"/>
      <c r="D1146" s="184"/>
      <c r="E1146" s="184"/>
      <c r="F1146" s="184"/>
      <c r="G1146" s="184"/>
      <c r="H1146" s="184"/>
      <c r="I1146" s="184"/>
      <c r="J1146" s="184"/>
      <c r="K1146" s="184"/>
      <c r="L1146" s="124"/>
      <c r="M1146" s="352" t="s">
        <v>1323</v>
      </c>
      <c r="N1146" s="350"/>
      <c r="O1146" s="350"/>
      <c r="P1146" s="350"/>
      <c r="Q1146" s="350"/>
      <c r="R1146" s="350"/>
      <c r="S1146" s="350"/>
      <c r="T1146" s="350"/>
      <c r="U1146" s="350"/>
      <c r="V1146" s="350"/>
      <c r="W1146" s="350"/>
      <c r="X1146" s="350"/>
      <c r="Y1146" s="394"/>
      <c r="Z1146" s="184"/>
      <c r="AA1146" s="184"/>
      <c r="AB1146" s="350"/>
      <c r="AC1146" s="354"/>
      <c r="AD1146" s="366"/>
      <c r="AE1146" s="366"/>
      <c r="AF1146" s="366"/>
      <c r="AG1146" s="366"/>
      <c r="AH1146" s="366"/>
      <c r="AI1146" s="366"/>
      <c r="AJ1146" s="366"/>
      <c r="AK1146" s="366"/>
      <c r="AL1146" s="366"/>
      <c r="AM1146" s="366"/>
      <c r="AN1146" s="366"/>
      <c r="AO1146" s="366"/>
      <c r="AP1146" s="366"/>
      <c r="AQ1146" s="366"/>
      <c r="AR1146" s="366"/>
      <c r="AS1146" s="366"/>
      <c r="AT1146" s="366"/>
      <c r="AU1146" s="366"/>
      <c r="AV1146" s="366"/>
      <c r="AW1146" s="366"/>
      <c r="AX1146" s="366"/>
      <c r="AY1146" s="366"/>
      <c r="AZ1146" s="366"/>
      <c r="BA1146" s="366"/>
      <c r="BB1146" s="366"/>
      <c r="BC1146" s="366"/>
      <c r="BD1146" s="366"/>
      <c r="BE1146" s="366"/>
      <c r="BF1146" s="366"/>
    </row>
    <row r="1147" spans="1:58" x14ac:dyDescent="0.3">
      <c r="A1147" s="184"/>
      <c r="B1147" s="184"/>
      <c r="C1147" s="184"/>
      <c r="D1147" s="184"/>
      <c r="E1147" s="184"/>
      <c r="F1147" s="184"/>
      <c r="G1147" s="184"/>
      <c r="H1147" s="184"/>
      <c r="I1147" s="184"/>
      <c r="J1147" s="184"/>
      <c r="K1147" s="184"/>
      <c r="L1147" s="124"/>
      <c r="M1147" s="353" t="s">
        <v>1324</v>
      </c>
      <c r="N1147" s="350"/>
      <c r="O1147" s="350"/>
      <c r="P1147" s="350"/>
      <c r="Q1147" s="350"/>
      <c r="R1147" s="350"/>
      <c r="S1147" s="350"/>
      <c r="T1147" s="350"/>
      <c r="U1147" s="350"/>
      <c r="V1147" s="350"/>
      <c r="W1147" s="350"/>
      <c r="X1147" s="350"/>
      <c r="Y1147" s="394"/>
      <c r="Z1147" s="182">
        <v>0.97</v>
      </c>
      <c r="AA1147" s="182">
        <f>AVERAGE(AD1147:AL1147)</f>
        <v>0.20577905829493098</v>
      </c>
      <c r="AB1147" s="350"/>
      <c r="AC1147" s="457">
        <f>(AC1112+AC1138)/AC$1145</f>
        <v>0.23889127018145448</v>
      </c>
      <c r="AD1147" s="458">
        <f t="shared" ref="AD1147:AD1154" si="1206">AC1147*Z1147</f>
        <v>0.23172453207601085</v>
      </c>
      <c r="AE1147" s="458">
        <f>AD1147*$Z1147</f>
        <v>0.22477279611373052</v>
      </c>
      <c r="AF1147" s="458">
        <f>AE1147*$Z1147</f>
        <v>0.21802961223031861</v>
      </c>
      <c r="AG1147" s="458">
        <f t="shared" ref="AG1147:BF1147" si="1207">AF1147*$Z1147</f>
        <v>0.21148872386340906</v>
      </c>
      <c r="AH1147" s="458">
        <f t="shared" si="1207"/>
        <v>0.20514406214750677</v>
      </c>
      <c r="AI1147" s="458">
        <f t="shared" si="1207"/>
        <v>0.19898974028308156</v>
      </c>
      <c r="AJ1147" s="458">
        <f t="shared" si="1207"/>
        <v>0.19302004807458911</v>
      </c>
      <c r="AK1147" s="458">
        <f t="shared" si="1207"/>
        <v>0.18722944663235144</v>
      </c>
      <c r="AL1147" s="458">
        <f t="shared" si="1207"/>
        <v>0.1816125632333809</v>
      </c>
      <c r="AM1147" s="458">
        <f t="shared" si="1207"/>
        <v>0.17616418633637948</v>
      </c>
      <c r="AN1147" s="458">
        <f t="shared" si="1207"/>
        <v>0.17087926074628809</v>
      </c>
      <c r="AO1147" s="458">
        <f t="shared" si="1207"/>
        <v>0.16575288292389945</v>
      </c>
      <c r="AP1147" s="458">
        <f t="shared" si="1207"/>
        <v>0.16078029643618247</v>
      </c>
      <c r="AQ1147" s="458">
        <f t="shared" si="1207"/>
        <v>0.155956887543097</v>
      </c>
      <c r="AR1147" s="458">
        <f t="shared" si="1207"/>
        <v>0.15127818091680409</v>
      </c>
      <c r="AS1147" s="458">
        <f t="shared" si="1207"/>
        <v>0.14673983548929997</v>
      </c>
      <c r="AT1147" s="458">
        <f t="shared" si="1207"/>
        <v>0.14233764042462096</v>
      </c>
      <c r="AU1147" s="458">
        <f t="shared" si="1207"/>
        <v>0.13806751121188232</v>
      </c>
      <c r="AV1147" s="458">
        <f t="shared" si="1207"/>
        <v>0.13392548587552586</v>
      </c>
      <c r="AW1147" s="458">
        <f t="shared" si="1207"/>
        <v>0.12990772129926006</v>
      </c>
      <c r="AX1147" s="458">
        <f t="shared" si="1207"/>
        <v>0.12601048966028225</v>
      </c>
      <c r="AY1147" s="458">
        <f t="shared" si="1207"/>
        <v>0.12223017497047378</v>
      </c>
      <c r="AZ1147" s="458">
        <f t="shared" si="1207"/>
        <v>0.11856326972135957</v>
      </c>
      <c r="BA1147" s="458">
        <f t="shared" si="1207"/>
        <v>0.11500637162971877</v>
      </c>
      <c r="BB1147" s="458">
        <f t="shared" si="1207"/>
        <v>0.1115561804808272</v>
      </c>
      <c r="BC1147" s="458">
        <f t="shared" si="1207"/>
        <v>0.10820949506640239</v>
      </c>
      <c r="BD1147" s="458">
        <f t="shared" si="1207"/>
        <v>0.10496321021441031</v>
      </c>
      <c r="BE1147" s="458">
        <f t="shared" si="1207"/>
        <v>0.101814313907978</v>
      </c>
      <c r="BF1147" s="458">
        <f t="shared" si="1207"/>
        <v>9.8759884490738664E-2</v>
      </c>
    </row>
    <row r="1148" spans="1:58" x14ac:dyDescent="0.3">
      <c r="A1148" s="184"/>
      <c r="B1148" s="184"/>
      <c r="C1148" s="184"/>
      <c r="D1148" s="184"/>
      <c r="E1148" s="184"/>
      <c r="F1148" s="184"/>
      <c r="G1148" s="184"/>
      <c r="H1148" s="184"/>
      <c r="I1148" s="184"/>
      <c r="J1148" s="184"/>
      <c r="K1148" s="184"/>
      <c r="L1148" s="124"/>
      <c r="M1148" s="353" t="s">
        <v>1325</v>
      </c>
      <c r="N1148" s="350"/>
      <c r="O1148" s="350"/>
      <c r="P1148" s="350"/>
      <c r="Q1148" s="350"/>
      <c r="R1148" s="350"/>
      <c r="S1148" s="350"/>
      <c r="T1148" s="350"/>
      <c r="U1148" s="350"/>
      <c r="V1148" s="350"/>
      <c r="W1148" s="350"/>
      <c r="X1148" s="350"/>
      <c r="Y1148" s="394"/>
      <c r="Z1148" s="182">
        <v>1.0049999999999999</v>
      </c>
      <c r="AA1148" s="182">
        <f t="shared" ref="AA1148:AA1211" si="1208">AVERAGE(AD1148:AL1148)</f>
        <v>0.67552944663997583</v>
      </c>
      <c r="AB1148" s="350"/>
      <c r="AC1148" s="457">
        <f>(AC1113+AC1125+AC1139)/AC$1145</f>
        <v>0.65883697671095853</v>
      </c>
      <c r="AD1148" s="458">
        <f t="shared" si="1206"/>
        <v>0.66213116159451324</v>
      </c>
      <c r="AE1148" s="458">
        <f t="shared" ref="AE1148:AF1154" si="1209">AD1148*$Z1148</f>
        <v>0.66544181740248576</v>
      </c>
      <c r="AF1148" s="458">
        <f t="shared" si="1209"/>
        <v>0.6687690264894981</v>
      </c>
      <c r="AG1148" s="458">
        <f t="shared" ref="AG1148:BF1148" si="1210">AF1148*$Z1148</f>
        <v>0.67211287162194555</v>
      </c>
      <c r="AH1148" s="458">
        <f t="shared" si="1210"/>
        <v>0.67547343598005516</v>
      </c>
      <c r="AI1148" s="458">
        <f t="shared" si="1210"/>
        <v>0.67885080315995538</v>
      </c>
      <c r="AJ1148" s="458">
        <f t="shared" si="1210"/>
        <v>0.68224505717575512</v>
      </c>
      <c r="AK1148" s="458">
        <f t="shared" si="1210"/>
        <v>0.68565628246163379</v>
      </c>
      <c r="AL1148" s="458">
        <f t="shared" si="1210"/>
        <v>0.6890845638739419</v>
      </c>
      <c r="AM1148" s="458">
        <f t="shared" si="1210"/>
        <v>0.69252998669331156</v>
      </c>
      <c r="AN1148" s="458">
        <f t="shared" si="1210"/>
        <v>0.69599263662677802</v>
      </c>
      <c r="AO1148" s="458">
        <f t="shared" si="1210"/>
        <v>0.69947259980991183</v>
      </c>
      <c r="AP1148" s="458">
        <f t="shared" si="1210"/>
        <v>0.70296996280896129</v>
      </c>
      <c r="AQ1148" s="458">
        <f t="shared" si="1210"/>
        <v>0.706484812623006</v>
      </c>
      <c r="AR1148" s="458">
        <f t="shared" si="1210"/>
        <v>0.71001723668612093</v>
      </c>
      <c r="AS1148" s="458">
        <f t="shared" si="1210"/>
        <v>0.71356732286955149</v>
      </c>
      <c r="AT1148" s="458">
        <f t="shared" si="1210"/>
        <v>0.71713515948389916</v>
      </c>
      <c r="AU1148" s="458">
        <f t="shared" si="1210"/>
        <v>0.72072083528131858</v>
      </c>
      <c r="AV1148" s="458">
        <f t="shared" si="1210"/>
        <v>0.72432443945772507</v>
      </c>
      <c r="AW1148" s="458">
        <f t="shared" si="1210"/>
        <v>0.72794606165501363</v>
      </c>
      <c r="AX1148" s="458">
        <f t="shared" si="1210"/>
        <v>0.73158579196328866</v>
      </c>
      <c r="AY1148" s="458">
        <f t="shared" si="1210"/>
        <v>0.73524372092310497</v>
      </c>
      <c r="AZ1148" s="458">
        <f t="shared" si="1210"/>
        <v>0.73891993952772039</v>
      </c>
      <c r="BA1148" s="458">
        <f t="shared" si="1210"/>
        <v>0.74261453922535892</v>
      </c>
      <c r="BB1148" s="458">
        <f t="shared" si="1210"/>
        <v>0.74632761192148567</v>
      </c>
      <c r="BC1148" s="458">
        <f t="shared" si="1210"/>
        <v>0.75005924998109297</v>
      </c>
      <c r="BD1148" s="458">
        <f t="shared" si="1210"/>
        <v>0.75380954623099838</v>
      </c>
      <c r="BE1148" s="458">
        <f t="shared" si="1210"/>
        <v>0.75757859396215332</v>
      </c>
      <c r="BF1148" s="458">
        <f t="shared" si="1210"/>
        <v>0.76136648693196396</v>
      </c>
    </row>
    <row r="1149" spans="1:58" x14ac:dyDescent="0.3">
      <c r="A1149" s="184"/>
      <c r="B1149" s="184"/>
      <c r="C1149" s="184"/>
      <c r="D1149" s="184"/>
      <c r="E1149" s="184"/>
      <c r="F1149" s="184"/>
      <c r="G1149" s="184"/>
      <c r="H1149" s="184"/>
      <c r="I1149" s="184"/>
      <c r="J1149" s="184"/>
      <c r="K1149" s="184"/>
      <c r="L1149" s="124"/>
      <c r="M1149" s="353" t="s">
        <v>1326</v>
      </c>
      <c r="N1149" s="350"/>
      <c r="O1149" s="350"/>
      <c r="P1149" s="350"/>
      <c r="Q1149" s="350"/>
      <c r="R1149" s="350"/>
      <c r="S1149" s="350"/>
      <c r="T1149" s="350"/>
      <c r="U1149" s="350"/>
      <c r="V1149" s="350"/>
      <c r="W1149" s="350"/>
      <c r="X1149" s="350"/>
      <c r="Y1149" s="394"/>
      <c r="Z1149" s="182">
        <v>1</v>
      </c>
      <c r="AA1149" s="182">
        <f t="shared" si="1208"/>
        <v>2.228889841405915E-3</v>
      </c>
      <c r="AB1149" s="350"/>
      <c r="AC1149" s="457">
        <f>(AC1132)/AC$1145</f>
        <v>2.228889841405915E-3</v>
      </c>
      <c r="AD1149" s="458">
        <f t="shared" si="1206"/>
        <v>2.228889841405915E-3</v>
      </c>
      <c r="AE1149" s="458">
        <f t="shared" si="1209"/>
        <v>2.228889841405915E-3</v>
      </c>
      <c r="AF1149" s="458">
        <f t="shared" si="1209"/>
        <v>2.228889841405915E-3</v>
      </c>
      <c r="AG1149" s="458">
        <f t="shared" ref="AG1149:BF1149" si="1211">AF1149*$Z1149</f>
        <v>2.228889841405915E-3</v>
      </c>
      <c r="AH1149" s="458">
        <f t="shared" si="1211"/>
        <v>2.228889841405915E-3</v>
      </c>
      <c r="AI1149" s="458">
        <f t="shared" si="1211"/>
        <v>2.228889841405915E-3</v>
      </c>
      <c r="AJ1149" s="458">
        <f t="shared" si="1211"/>
        <v>2.228889841405915E-3</v>
      </c>
      <c r="AK1149" s="458">
        <f t="shared" si="1211"/>
        <v>2.228889841405915E-3</v>
      </c>
      <c r="AL1149" s="458">
        <f t="shared" si="1211"/>
        <v>2.228889841405915E-3</v>
      </c>
      <c r="AM1149" s="458">
        <f t="shared" si="1211"/>
        <v>2.228889841405915E-3</v>
      </c>
      <c r="AN1149" s="458">
        <f t="shared" si="1211"/>
        <v>2.228889841405915E-3</v>
      </c>
      <c r="AO1149" s="458">
        <f t="shared" si="1211"/>
        <v>2.228889841405915E-3</v>
      </c>
      <c r="AP1149" s="458">
        <f t="shared" si="1211"/>
        <v>2.228889841405915E-3</v>
      </c>
      <c r="AQ1149" s="458">
        <f t="shared" si="1211"/>
        <v>2.228889841405915E-3</v>
      </c>
      <c r="AR1149" s="458">
        <f t="shared" si="1211"/>
        <v>2.228889841405915E-3</v>
      </c>
      <c r="AS1149" s="458">
        <f t="shared" si="1211"/>
        <v>2.228889841405915E-3</v>
      </c>
      <c r="AT1149" s="458">
        <f t="shared" si="1211"/>
        <v>2.228889841405915E-3</v>
      </c>
      <c r="AU1149" s="458">
        <f t="shared" si="1211"/>
        <v>2.228889841405915E-3</v>
      </c>
      <c r="AV1149" s="458">
        <f t="shared" si="1211"/>
        <v>2.228889841405915E-3</v>
      </c>
      <c r="AW1149" s="458">
        <f t="shared" si="1211"/>
        <v>2.228889841405915E-3</v>
      </c>
      <c r="AX1149" s="458">
        <f t="shared" si="1211"/>
        <v>2.228889841405915E-3</v>
      </c>
      <c r="AY1149" s="458">
        <f t="shared" si="1211"/>
        <v>2.228889841405915E-3</v>
      </c>
      <c r="AZ1149" s="458">
        <f t="shared" si="1211"/>
        <v>2.228889841405915E-3</v>
      </c>
      <c r="BA1149" s="458">
        <f t="shared" si="1211"/>
        <v>2.228889841405915E-3</v>
      </c>
      <c r="BB1149" s="458">
        <f t="shared" si="1211"/>
        <v>2.228889841405915E-3</v>
      </c>
      <c r="BC1149" s="458">
        <f t="shared" si="1211"/>
        <v>2.228889841405915E-3</v>
      </c>
      <c r="BD1149" s="458">
        <f t="shared" si="1211"/>
        <v>2.228889841405915E-3</v>
      </c>
      <c r="BE1149" s="458">
        <f t="shared" si="1211"/>
        <v>2.228889841405915E-3</v>
      </c>
      <c r="BF1149" s="458">
        <f t="shared" si="1211"/>
        <v>2.228889841405915E-3</v>
      </c>
    </row>
    <row r="1150" spans="1:58" x14ac:dyDescent="0.3">
      <c r="A1150" s="184"/>
      <c r="B1150" s="184"/>
      <c r="C1150" s="184"/>
      <c r="D1150" s="184"/>
      <c r="E1150" s="184"/>
      <c r="F1150" s="184"/>
      <c r="G1150" s="184"/>
      <c r="H1150" s="184"/>
      <c r="I1150" s="184"/>
      <c r="J1150" s="184"/>
      <c r="K1150" s="184"/>
      <c r="L1150" s="124"/>
      <c r="M1150" s="353" t="s">
        <v>1327</v>
      </c>
      <c r="N1150" s="350"/>
      <c r="O1150" s="350"/>
      <c r="P1150" s="350"/>
      <c r="Q1150" s="350"/>
      <c r="R1150" s="350"/>
      <c r="S1150" s="350"/>
      <c r="T1150" s="350"/>
      <c r="U1150" s="350"/>
      <c r="V1150" s="350"/>
      <c r="W1150" s="350"/>
      <c r="X1150" s="350"/>
      <c r="Y1150" s="394"/>
      <c r="Z1150" s="182">
        <v>1</v>
      </c>
      <c r="AA1150" s="182">
        <f t="shared" si="1208"/>
        <v>1.2487498214030574E-2</v>
      </c>
      <c r="AB1150" s="350"/>
      <c r="AC1150" s="457">
        <f>(AC1114)/AC$1145</f>
        <v>1.2487498214030576E-2</v>
      </c>
      <c r="AD1150" s="458">
        <f t="shared" si="1206"/>
        <v>1.2487498214030576E-2</v>
      </c>
      <c r="AE1150" s="458">
        <f t="shared" si="1209"/>
        <v>1.2487498214030576E-2</v>
      </c>
      <c r="AF1150" s="458">
        <f t="shared" si="1209"/>
        <v>1.2487498214030576E-2</v>
      </c>
      <c r="AG1150" s="458">
        <f t="shared" ref="AG1150:BF1150" si="1212">AF1150*$Z1150</f>
        <v>1.2487498214030576E-2</v>
      </c>
      <c r="AH1150" s="458">
        <f t="shared" si="1212"/>
        <v>1.2487498214030576E-2</v>
      </c>
      <c r="AI1150" s="458">
        <f t="shared" si="1212"/>
        <v>1.2487498214030576E-2</v>
      </c>
      <c r="AJ1150" s="458">
        <f t="shared" si="1212"/>
        <v>1.2487498214030576E-2</v>
      </c>
      <c r="AK1150" s="458">
        <f t="shared" si="1212"/>
        <v>1.2487498214030576E-2</v>
      </c>
      <c r="AL1150" s="458">
        <f t="shared" si="1212"/>
        <v>1.2487498214030576E-2</v>
      </c>
      <c r="AM1150" s="458">
        <f t="shared" si="1212"/>
        <v>1.2487498214030576E-2</v>
      </c>
      <c r="AN1150" s="458">
        <f t="shared" si="1212"/>
        <v>1.2487498214030576E-2</v>
      </c>
      <c r="AO1150" s="458">
        <f t="shared" si="1212"/>
        <v>1.2487498214030576E-2</v>
      </c>
      <c r="AP1150" s="458">
        <f t="shared" si="1212"/>
        <v>1.2487498214030576E-2</v>
      </c>
      <c r="AQ1150" s="458">
        <f t="shared" si="1212"/>
        <v>1.2487498214030576E-2</v>
      </c>
      <c r="AR1150" s="458">
        <f t="shared" si="1212"/>
        <v>1.2487498214030576E-2</v>
      </c>
      <c r="AS1150" s="458">
        <f t="shared" si="1212"/>
        <v>1.2487498214030576E-2</v>
      </c>
      <c r="AT1150" s="458">
        <f t="shared" si="1212"/>
        <v>1.2487498214030576E-2</v>
      </c>
      <c r="AU1150" s="458">
        <f t="shared" si="1212"/>
        <v>1.2487498214030576E-2</v>
      </c>
      <c r="AV1150" s="458">
        <f t="shared" si="1212"/>
        <v>1.2487498214030576E-2</v>
      </c>
      <c r="AW1150" s="458">
        <f t="shared" si="1212"/>
        <v>1.2487498214030576E-2</v>
      </c>
      <c r="AX1150" s="458">
        <f t="shared" si="1212"/>
        <v>1.2487498214030576E-2</v>
      </c>
      <c r="AY1150" s="458">
        <f t="shared" si="1212"/>
        <v>1.2487498214030576E-2</v>
      </c>
      <c r="AZ1150" s="458">
        <f t="shared" si="1212"/>
        <v>1.2487498214030576E-2</v>
      </c>
      <c r="BA1150" s="458">
        <f t="shared" si="1212"/>
        <v>1.2487498214030576E-2</v>
      </c>
      <c r="BB1150" s="458">
        <f t="shared" si="1212"/>
        <v>1.2487498214030576E-2</v>
      </c>
      <c r="BC1150" s="458">
        <f t="shared" si="1212"/>
        <v>1.2487498214030576E-2</v>
      </c>
      <c r="BD1150" s="458">
        <f t="shared" si="1212"/>
        <v>1.2487498214030576E-2</v>
      </c>
      <c r="BE1150" s="458">
        <f t="shared" si="1212"/>
        <v>1.2487498214030576E-2</v>
      </c>
      <c r="BF1150" s="458">
        <f t="shared" si="1212"/>
        <v>1.2487498214030576E-2</v>
      </c>
    </row>
    <row r="1151" spans="1:58" x14ac:dyDescent="0.3">
      <c r="A1151" s="184"/>
      <c r="B1151" s="184"/>
      <c r="C1151" s="184"/>
      <c r="D1151" s="184"/>
      <c r="E1151" s="184"/>
      <c r="F1151" s="184"/>
      <c r="G1151" s="184"/>
      <c r="H1151" s="184"/>
      <c r="I1151" s="184"/>
      <c r="J1151" s="184"/>
      <c r="K1151" s="184"/>
      <c r="L1151" s="124"/>
      <c r="M1151" s="353" t="s">
        <v>1328</v>
      </c>
      <c r="N1151" s="350"/>
      <c r="O1151" s="350"/>
      <c r="P1151" s="350"/>
      <c r="Q1151" s="350"/>
      <c r="R1151" s="350"/>
      <c r="S1151" s="350"/>
      <c r="T1151" s="350"/>
      <c r="U1151" s="350"/>
      <c r="V1151" s="350"/>
      <c r="W1151" s="350"/>
      <c r="X1151" s="350"/>
      <c r="Y1151" s="394"/>
      <c r="Z1151" s="182">
        <v>1</v>
      </c>
      <c r="AA1151" s="182">
        <f t="shared" si="1208"/>
        <v>2.0574367766823833E-2</v>
      </c>
      <c r="AB1151" s="350"/>
      <c r="AC1151" s="457">
        <f>(AC1115)/AC$1145</f>
        <v>2.057436776682383E-2</v>
      </c>
      <c r="AD1151" s="458">
        <f t="shared" si="1206"/>
        <v>2.057436776682383E-2</v>
      </c>
      <c r="AE1151" s="458">
        <f t="shared" si="1209"/>
        <v>2.057436776682383E-2</v>
      </c>
      <c r="AF1151" s="458">
        <f t="shared" si="1209"/>
        <v>2.057436776682383E-2</v>
      </c>
      <c r="AG1151" s="458">
        <f t="shared" ref="AG1151:BF1151" si="1213">AF1151*$Z1151</f>
        <v>2.057436776682383E-2</v>
      </c>
      <c r="AH1151" s="458">
        <f t="shared" si="1213"/>
        <v>2.057436776682383E-2</v>
      </c>
      <c r="AI1151" s="458">
        <f t="shared" si="1213"/>
        <v>2.057436776682383E-2</v>
      </c>
      <c r="AJ1151" s="458">
        <f t="shared" si="1213"/>
        <v>2.057436776682383E-2</v>
      </c>
      <c r="AK1151" s="458">
        <f t="shared" si="1213"/>
        <v>2.057436776682383E-2</v>
      </c>
      <c r="AL1151" s="458">
        <f t="shared" si="1213"/>
        <v>2.057436776682383E-2</v>
      </c>
      <c r="AM1151" s="458">
        <f t="shared" si="1213"/>
        <v>2.057436776682383E-2</v>
      </c>
      <c r="AN1151" s="458">
        <f t="shared" si="1213"/>
        <v>2.057436776682383E-2</v>
      </c>
      <c r="AO1151" s="458">
        <f t="shared" si="1213"/>
        <v>2.057436776682383E-2</v>
      </c>
      <c r="AP1151" s="458">
        <f t="shared" si="1213"/>
        <v>2.057436776682383E-2</v>
      </c>
      <c r="AQ1151" s="458">
        <f t="shared" si="1213"/>
        <v>2.057436776682383E-2</v>
      </c>
      <c r="AR1151" s="458">
        <f t="shared" si="1213"/>
        <v>2.057436776682383E-2</v>
      </c>
      <c r="AS1151" s="458">
        <f t="shared" si="1213"/>
        <v>2.057436776682383E-2</v>
      </c>
      <c r="AT1151" s="458">
        <f t="shared" si="1213"/>
        <v>2.057436776682383E-2</v>
      </c>
      <c r="AU1151" s="458">
        <f t="shared" si="1213"/>
        <v>2.057436776682383E-2</v>
      </c>
      <c r="AV1151" s="458">
        <f t="shared" si="1213"/>
        <v>2.057436776682383E-2</v>
      </c>
      <c r="AW1151" s="458">
        <f t="shared" si="1213"/>
        <v>2.057436776682383E-2</v>
      </c>
      <c r="AX1151" s="458">
        <f t="shared" si="1213"/>
        <v>2.057436776682383E-2</v>
      </c>
      <c r="AY1151" s="458">
        <f t="shared" si="1213"/>
        <v>2.057436776682383E-2</v>
      </c>
      <c r="AZ1151" s="458">
        <f t="shared" si="1213"/>
        <v>2.057436776682383E-2</v>
      </c>
      <c r="BA1151" s="458">
        <f t="shared" si="1213"/>
        <v>2.057436776682383E-2</v>
      </c>
      <c r="BB1151" s="458">
        <f t="shared" si="1213"/>
        <v>2.057436776682383E-2</v>
      </c>
      <c r="BC1151" s="458">
        <f t="shared" si="1213"/>
        <v>2.057436776682383E-2</v>
      </c>
      <c r="BD1151" s="458">
        <f t="shared" si="1213"/>
        <v>2.057436776682383E-2</v>
      </c>
      <c r="BE1151" s="458">
        <f t="shared" si="1213"/>
        <v>2.057436776682383E-2</v>
      </c>
      <c r="BF1151" s="458">
        <f t="shared" si="1213"/>
        <v>2.057436776682383E-2</v>
      </c>
    </row>
    <row r="1152" spans="1:58" x14ac:dyDescent="0.3">
      <c r="A1152" s="184"/>
      <c r="B1152" s="184"/>
      <c r="C1152" s="184"/>
      <c r="D1152" s="184"/>
      <c r="E1152" s="184"/>
      <c r="F1152" s="184"/>
      <c r="G1152" s="184"/>
      <c r="H1152" s="184"/>
      <c r="I1152" s="184"/>
      <c r="J1152" s="184"/>
      <c r="K1152" s="184"/>
      <c r="L1152" s="124"/>
      <c r="M1152" s="353" t="s">
        <v>1329</v>
      </c>
      <c r="N1152" s="350"/>
      <c r="O1152" s="350"/>
      <c r="P1152" s="350"/>
      <c r="Q1152" s="350"/>
      <c r="R1152" s="350"/>
      <c r="S1152" s="350"/>
      <c r="T1152" s="350"/>
      <c r="U1152" s="350"/>
      <c r="V1152" s="350"/>
      <c r="W1152" s="350"/>
      <c r="X1152" s="350"/>
      <c r="Y1152" s="394"/>
      <c r="Z1152" s="182">
        <v>1.01</v>
      </c>
      <c r="AA1152" s="182">
        <f t="shared" si="1208"/>
        <v>1.4871315609704953E-2</v>
      </c>
      <c r="AB1152" s="350"/>
      <c r="AC1152" s="457">
        <f>(AC1120)/AC$1145</f>
        <v>1.4144877839691384E-2</v>
      </c>
      <c r="AD1152" s="458">
        <f t="shared" si="1206"/>
        <v>1.4286326618088298E-2</v>
      </c>
      <c r="AE1152" s="458">
        <f t="shared" si="1209"/>
        <v>1.4429189884269181E-2</v>
      </c>
      <c r="AF1152" s="458">
        <f t="shared" si="1209"/>
        <v>1.4573481783111873E-2</v>
      </c>
      <c r="AG1152" s="458">
        <f t="shared" ref="AG1152:BF1152" si="1214">AF1152*$Z1152</f>
        <v>1.4719216600942992E-2</v>
      </c>
      <c r="AH1152" s="458">
        <f t="shared" si="1214"/>
        <v>1.4866408766952421E-2</v>
      </c>
      <c r="AI1152" s="458">
        <f t="shared" si="1214"/>
        <v>1.5015072854621945E-2</v>
      </c>
      <c r="AJ1152" s="458">
        <f t="shared" si="1214"/>
        <v>1.5165223583168165E-2</v>
      </c>
      <c r="AK1152" s="458">
        <f t="shared" si="1214"/>
        <v>1.5316875818999846E-2</v>
      </c>
      <c r="AL1152" s="458">
        <f t="shared" si="1214"/>
        <v>1.5470044577189845E-2</v>
      </c>
      <c r="AM1152" s="458">
        <f t="shared" si="1214"/>
        <v>1.5624745022961744E-2</v>
      </c>
      <c r="AN1152" s="458">
        <f t="shared" si="1214"/>
        <v>1.5780992473191362E-2</v>
      </c>
      <c r="AO1152" s="458">
        <f t="shared" si="1214"/>
        <v>1.5938802397923276E-2</v>
      </c>
      <c r="AP1152" s="458">
        <f t="shared" si="1214"/>
        <v>1.6098190421902508E-2</v>
      </c>
      <c r="AQ1152" s="458">
        <f t="shared" si="1214"/>
        <v>1.6259172326121531E-2</v>
      </c>
      <c r="AR1152" s="458">
        <f t="shared" si="1214"/>
        <v>1.6421764049382746E-2</v>
      </c>
      <c r="AS1152" s="458">
        <f t="shared" si="1214"/>
        <v>1.6585981689876576E-2</v>
      </c>
      <c r="AT1152" s="458">
        <f t="shared" si="1214"/>
        <v>1.675184150677534E-2</v>
      </c>
      <c r="AU1152" s="458">
        <f t="shared" si="1214"/>
        <v>1.6919359921843093E-2</v>
      </c>
      <c r="AV1152" s="458">
        <f t="shared" si="1214"/>
        <v>1.7088553521061523E-2</v>
      </c>
      <c r="AW1152" s="458">
        <f t="shared" si="1214"/>
        <v>1.7259439056272138E-2</v>
      </c>
      <c r="AX1152" s="458">
        <f t="shared" si="1214"/>
        <v>1.743203344683486E-2</v>
      </c>
      <c r="AY1152" s="458">
        <f t="shared" si="1214"/>
        <v>1.7606353781303208E-2</v>
      </c>
      <c r="AZ1152" s="458">
        <f t="shared" si="1214"/>
        <v>1.7782417319116239E-2</v>
      </c>
      <c r="BA1152" s="458">
        <f t="shared" si="1214"/>
        <v>1.7960241492307401E-2</v>
      </c>
      <c r="BB1152" s="458">
        <f t="shared" si="1214"/>
        <v>1.8139843907230474E-2</v>
      </c>
      <c r="BC1152" s="458">
        <f t="shared" si="1214"/>
        <v>1.832124234630278E-2</v>
      </c>
      <c r="BD1152" s="458">
        <f t="shared" si="1214"/>
        <v>1.8504454769765807E-2</v>
      </c>
      <c r="BE1152" s="458">
        <f t="shared" si="1214"/>
        <v>1.8689499317463464E-2</v>
      </c>
      <c r="BF1152" s="458">
        <f t="shared" si="1214"/>
        <v>1.88763943106381E-2</v>
      </c>
    </row>
    <row r="1153" spans="1:58" x14ac:dyDescent="0.3">
      <c r="A1153" s="184"/>
      <c r="B1153" s="184"/>
      <c r="C1153" s="184"/>
      <c r="D1153" s="184"/>
      <c r="E1153" s="184"/>
      <c r="F1153" s="184"/>
      <c r="G1153" s="184"/>
      <c r="H1153" s="184"/>
      <c r="I1153" s="184"/>
      <c r="J1153" s="184"/>
      <c r="K1153" s="184"/>
      <c r="L1153" s="124"/>
      <c r="M1153" s="353" t="s">
        <v>1330</v>
      </c>
      <c r="N1153" s="350"/>
      <c r="O1153" s="350"/>
      <c r="P1153" s="350"/>
      <c r="Q1153" s="350"/>
      <c r="R1153" s="350"/>
      <c r="S1153" s="350"/>
      <c r="T1153" s="350"/>
      <c r="U1153" s="350"/>
      <c r="V1153" s="350"/>
      <c r="W1153" s="350"/>
      <c r="X1153" s="350"/>
      <c r="Y1153" s="394"/>
      <c r="Z1153" s="182">
        <v>0.97</v>
      </c>
      <c r="AA1153" s="182">
        <f t="shared" si="1208"/>
        <v>4.3568054208376521E-3</v>
      </c>
      <c r="AB1153" s="350"/>
      <c r="AC1153" s="457">
        <f>(AC1118)/AC$1145</f>
        <v>5.0578654093441913E-3</v>
      </c>
      <c r="AD1153" s="458">
        <f t="shared" si="1206"/>
        <v>4.9061294470638655E-3</v>
      </c>
      <c r="AE1153" s="458">
        <f t="shared" si="1209"/>
        <v>4.7589455636519494E-3</v>
      </c>
      <c r="AF1153" s="458">
        <f t="shared" si="1209"/>
        <v>4.6161771967423906E-3</v>
      </c>
      <c r="AG1153" s="458">
        <f t="shared" ref="AG1153:BF1153" si="1215">AF1153*$Z1153</f>
        <v>4.4776918808401185E-3</v>
      </c>
      <c r="AH1153" s="458">
        <f t="shared" si="1215"/>
        <v>4.3433611244149146E-3</v>
      </c>
      <c r="AI1153" s="458">
        <f t="shared" si="1215"/>
        <v>4.2130602906824671E-3</v>
      </c>
      <c r="AJ1153" s="458">
        <f t="shared" si="1215"/>
        <v>4.0866684819619928E-3</v>
      </c>
      <c r="AK1153" s="458">
        <f t="shared" si="1215"/>
        <v>3.964068427503133E-3</v>
      </c>
      <c r="AL1153" s="458">
        <f t="shared" si="1215"/>
        <v>3.8451463746780388E-3</v>
      </c>
      <c r="AM1153" s="458">
        <f t="shared" si="1215"/>
        <v>3.7297919834376977E-3</v>
      </c>
      <c r="AN1153" s="458">
        <f t="shared" si="1215"/>
        <v>3.6178982239345667E-3</v>
      </c>
      <c r="AO1153" s="458">
        <f t="shared" si="1215"/>
        <v>3.5093612772165296E-3</v>
      </c>
      <c r="AP1153" s="458">
        <f t="shared" si="1215"/>
        <v>3.4040804389000338E-3</v>
      </c>
      <c r="AQ1153" s="458">
        <f t="shared" si="1215"/>
        <v>3.3019580257330327E-3</v>
      </c>
      <c r="AR1153" s="458">
        <f t="shared" si="1215"/>
        <v>3.2028992849610417E-3</v>
      </c>
      <c r="AS1153" s="458">
        <f t="shared" si="1215"/>
        <v>3.1068123064122103E-3</v>
      </c>
      <c r="AT1153" s="458">
        <f t="shared" si="1215"/>
        <v>3.013607937219844E-3</v>
      </c>
      <c r="AU1153" s="458">
        <f t="shared" si="1215"/>
        <v>2.9231996991032484E-3</v>
      </c>
      <c r="AV1153" s="458">
        <f t="shared" si="1215"/>
        <v>2.8355037081301509E-3</v>
      </c>
      <c r="AW1153" s="458">
        <f t="shared" si="1215"/>
        <v>2.7504385968862462E-3</v>
      </c>
      <c r="AX1153" s="458">
        <f t="shared" si="1215"/>
        <v>2.6679254389796589E-3</v>
      </c>
      <c r="AY1153" s="458">
        <f t="shared" si="1215"/>
        <v>2.5878876758102689E-3</v>
      </c>
      <c r="AZ1153" s="458">
        <f t="shared" si="1215"/>
        <v>2.5102510455359607E-3</v>
      </c>
      <c r="BA1153" s="458">
        <f t="shared" si="1215"/>
        <v>2.4349435141698818E-3</v>
      </c>
      <c r="BB1153" s="458">
        <f t="shared" si="1215"/>
        <v>2.3618952087447851E-3</v>
      </c>
      <c r="BC1153" s="458">
        <f t="shared" si="1215"/>
        <v>2.2910383524824413E-3</v>
      </c>
      <c r="BD1153" s="458">
        <f t="shared" si="1215"/>
        <v>2.222307201907968E-3</v>
      </c>
      <c r="BE1153" s="458">
        <f t="shared" si="1215"/>
        <v>2.1556379858507289E-3</v>
      </c>
      <c r="BF1153" s="458">
        <f t="shared" si="1215"/>
        <v>2.0909688462752069E-3</v>
      </c>
    </row>
    <row r="1154" spans="1:58" x14ac:dyDescent="0.3">
      <c r="A1154" s="184"/>
      <c r="B1154" s="184"/>
      <c r="C1154" s="184"/>
      <c r="D1154" s="184"/>
      <c r="E1154" s="184"/>
      <c r="F1154" s="184"/>
      <c r="G1154" s="184"/>
      <c r="H1154" s="184"/>
      <c r="I1154" s="184"/>
      <c r="J1154" s="184"/>
      <c r="K1154" s="184"/>
      <c r="L1154" s="124"/>
      <c r="M1154" s="353" t="s">
        <v>1331</v>
      </c>
      <c r="N1154" s="350"/>
      <c r="O1154" s="350"/>
      <c r="P1154" s="350"/>
      <c r="Q1154" s="350"/>
      <c r="R1154" s="350"/>
      <c r="S1154" s="350"/>
      <c r="T1154" s="350"/>
      <c r="U1154" s="350"/>
      <c r="V1154" s="350"/>
      <c r="W1154" s="350"/>
      <c r="X1154" s="350"/>
      <c r="Y1154" s="394"/>
      <c r="Z1154" s="182">
        <v>1.0049999999999999</v>
      </c>
      <c r="AA1154" s="182">
        <f t="shared" si="1208"/>
        <v>4.58244298466743E-2</v>
      </c>
      <c r="AB1154" s="350"/>
      <c r="AC1154" s="457">
        <f>(AC1119)/AC$1145</f>
        <v>4.4692098871267322E-2</v>
      </c>
      <c r="AD1154" s="458">
        <f t="shared" si="1206"/>
        <v>4.491555936562365E-2</v>
      </c>
      <c r="AE1154" s="458">
        <f t="shared" si="1209"/>
        <v>4.5140137162451764E-2</v>
      </c>
      <c r="AF1154" s="458">
        <f t="shared" si="1209"/>
        <v>4.5365837848264021E-2</v>
      </c>
      <c r="AG1154" s="458">
        <f t="shared" ref="AG1154:BF1154" si="1216">AF1154*$Z1154</f>
        <v>4.5592667037505336E-2</v>
      </c>
      <c r="AH1154" s="458">
        <f t="shared" si="1216"/>
        <v>4.5820630372692857E-2</v>
      </c>
      <c r="AI1154" s="458">
        <f t="shared" si="1216"/>
        <v>4.6049733524556317E-2</v>
      </c>
      <c r="AJ1154" s="458">
        <f t="shared" si="1216"/>
        <v>4.6279982192179096E-2</v>
      </c>
      <c r="AK1154" s="458">
        <f t="shared" si="1216"/>
        <v>4.6511382103139987E-2</v>
      </c>
      <c r="AL1154" s="458">
        <f t="shared" si="1216"/>
        <v>4.6743939013655679E-2</v>
      </c>
      <c r="AM1154" s="458">
        <f t="shared" si="1216"/>
        <v>4.6977658708723953E-2</v>
      </c>
      <c r="AN1154" s="458">
        <f t="shared" si="1216"/>
        <v>4.7212547002267569E-2</v>
      </c>
      <c r="AO1154" s="458">
        <f t="shared" si="1216"/>
        <v>4.74486097372789E-2</v>
      </c>
      <c r="AP1154" s="458">
        <f t="shared" si="1216"/>
        <v>4.7685852785965287E-2</v>
      </c>
      <c r="AQ1154" s="458">
        <f t="shared" si="1216"/>
        <v>4.7924282049895107E-2</v>
      </c>
      <c r="AR1154" s="458">
        <f t="shared" si="1216"/>
        <v>4.8163903460144576E-2</v>
      </c>
      <c r="AS1154" s="458">
        <f t="shared" si="1216"/>
        <v>4.8404722977445296E-2</v>
      </c>
      <c r="AT1154" s="458">
        <f t="shared" si="1216"/>
        <v>4.8646746592332514E-2</v>
      </c>
      <c r="AU1154" s="458">
        <f t="shared" si="1216"/>
        <v>4.8889980325294173E-2</v>
      </c>
      <c r="AV1154" s="458">
        <f t="shared" si="1216"/>
        <v>4.9134430226920642E-2</v>
      </c>
      <c r="AW1154" s="458">
        <f t="shared" si="1216"/>
        <v>4.9380102378055242E-2</v>
      </c>
      <c r="AX1154" s="458">
        <f t="shared" si="1216"/>
        <v>4.962700288994551E-2</v>
      </c>
      <c r="AY1154" s="458">
        <f t="shared" si="1216"/>
        <v>4.9875137904395232E-2</v>
      </c>
      <c r="AZ1154" s="458">
        <f t="shared" si="1216"/>
        <v>5.0124513593917203E-2</v>
      </c>
      <c r="BA1154" s="458">
        <f t="shared" si="1216"/>
        <v>5.0375136161886783E-2</v>
      </c>
      <c r="BB1154" s="458">
        <f t="shared" si="1216"/>
        <v>5.0627011842696211E-2</v>
      </c>
      <c r="BC1154" s="458">
        <f t="shared" si="1216"/>
        <v>5.0880146901909687E-2</v>
      </c>
      <c r="BD1154" s="458">
        <f t="shared" si="1216"/>
        <v>5.1134547636419232E-2</v>
      </c>
      <c r="BE1154" s="458">
        <f t="shared" si="1216"/>
        <v>5.1390220374601323E-2</v>
      </c>
      <c r="BF1154" s="458">
        <f t="shared" si="1216"/>
        <v>5.1647171476474324E-2</v>
      </c>
    </row>
    <row r="1155" spans="1:58" x14ac:dyDescent="0.3">
      <c r="A1155" s="184"/>
      <c r="B1155" s="184"/>
      <c r="C1155" s="184"/>
      <c r="D1155" s="184"/>
      <c r="E1155" s="184"/>
      <c r="F1155" s="184"/>
      <c r="G1155" s="184"/>
      <c r="H1155" s="184"/>
      <c r="I1155" s="184"/>
      <c r="J1155" s="184"/>
      <c r="K1155" s="184"/>
      <c r="L1155" s="124"/>
      <c r="M1155" s="353" t="s">
        <v>1332</v>
      </c>
      <c r="N1155" s="350"/>
      <c r="O1155" s="350"/>
      <c r="P1155" s="350"/>
      <c r="Q1155" s="350"/>
      <c r="R1155" s="350"/>
      <c r="S1155" s="350"/>
      <c r="T1155" s="350"/>
      <c r="U1155" s="350"/>
      <c r="V1155" s="350"/>
      <c r="W1155" s="350"/>
      <c r="X1155" s="350"/>
      <c r="Y1155" s="394"/>
      <c r="Z1155" s="184"/>
      <c r="AA1155" s="182">
        <f t="shared" si="1208"/>
        <v>1.8348188365615716E-2</v>
      </c>
      <c r="AB1155" s="350"/>
      <c r="AC1155" s="457">
        <f>(AC1116+AC1127)/AC$1145</f>
        <v>3.0861551650235748E-3</v>
      </c>
      <c r="AD1155" s="458">
        <f>1-SUM(AD1147:AD1154)</f>
        <v>6.7455350764398236E-3</v>
      </c>
      <c r="AE1155" s="458">
        <f>1-SUM(AE1147:AE1154)</f>
        <v>1.0166358051150293E-2</v>
      </c>
      <c r="AF1155" s="458">
        <f>1-SUM(AF1147:AF1154)</f>
        <v>1.3355108629804713E-2</v>
      </c>
      <c r="AG1155" s="458">
        <f t="shared" ref="AG1155:BF1155" si="1217">1-SUM(AG1147:AG1154)</f>
        <v>1.6318073173096526E-2</v>
      </c>
      <c r="AH1155" s="458">
        <f t="shared" si="1217"/>
        <v>1.9061345786117401E-2</v>
      </c>
      <c r="AI1155" s="458">
        <f t="shared" si="1217"/>
        <v>2.1590834064841968E-2</v>
      </c>
      <c r="AJ1155" s="458">
        <f t="shared" si="1217"/>
        <v>2.3912264670086114E-2</v>
      </c>
      <c r="AK1155" s="458">
        <f t="shared" si="1217"/>
        <v>2.6031188734111366E-2</v>
      </c>
      <c r="AL1155" s="458">
        <f t="shared" si="1217"/>
        <v>2.7952987104893245E-2</v>
      </c>
      <c r="AM1155" s="458">
        <f t="shared" si="1217"/>
        <v>2.9682875432925138E-2</v>
      </c>
      <c r="AN1155" s="458">
        <f t="shared" si="1217"/>
        <v>3.1225909105280003E-2</v>
      </c>
      <c r="AO1155" s="458">
        <f t="shared" si="1217"/>
        <v>3.2586988031509612E-2</v>
      </c>
      <c r="AP1155" s="458">
        <f t="shared" si="1217"/>
        <v>3.3770861285827958E-2</v>
      </c>
      <c r="AQ1155" s="458">
        <f t="shared" si="1217"/>
        <v>3.4782131609886968E-2</v>
      </c>
      <c r="AR1155" s="458">
        <f t="shared" si="1217"/>
        <v>3.5625259780326157E-2</v>
      </c>
      <c r="AS1155" s="458">
        <f t="shared" si="1217"/>
        <v>3.6304568845154095E-2</v>
      </c>
      <c r="AT1155" s="458">
        <f t="shared" si="1217"/>
        <v>3.6824248232891876E-2</v>
      </c>
      <c r="AU1155" s="458">
        <f t="shared" si="1217"/>
        <v>3.7188357738298206E-2</v>
      </c>
      <c r="AV1155" s="458">
        <f t="shared" si="1217"/>
        <v>3.7400831388376354E-2</v>
      </c>
      <c r="AW1155" s="458">
        <f t="shared" si="1217"/>
        <v>3.7465481192252237E-2</v>
      </c>
      <c r="AX1155" s="458">
        <f t="shared" si="1217"/>
        <v>3.7386000778408701E-2</v>
      </c>
      <c r="AY1155" s="458">
        <f t="shared" si="1217"/>
        <v>3.7165968922652115E-2</v>
      </c>
      <c r="AZ1155" s="458">
        <f t="shared" si="1217"/>
        <v>3.6808852970090289E-2</v>
      </c>
      <c r="BA1155" s="458">
        <f t="shared" si="1217"/>
        <v>3.6318012154297974E-2</v>
      </c>
      <c r="BB1155" s="458">
        <f t="shared" si="1217"/>
        <v>3.5696700816755356E-2</v>
      </c>
      <c r="BC1155" s="458">
        <f t="shared" si="1217"/>
        <v>3.4948071529549374E-2</v>
      </c>
      <c r="BD1155" s="458">
        <f t="shared" si="1217"/>
        <v>3.4075178124237882E-2</v>
      </c>
      <c r="BE1155" s="458">
        <f t="shared" si="1217"/>
        <v>3.3080978629692837E-2</v>
      </c>
      <c r="BF1155" s="458">
        <f t="shared" si="1217"/>
        <v>3.1968338121649231E-2</v>
      </c>
    </row>
    <row r="1156" spans="1:58" ht="12" hidden="1" customHeight="1" x14ac:dyDescent="0.3">
      <c r="A1156" s="184"/>
      <c r="B1156" s="184"/>
      <c r="C1156" s="184"/>
      <c r="D1156" s="184"/>
      <c r="E1156" s="184"/>
      <c r="F1156" s="184"/>
      <c r="G1156" s="184"/>
      <c r="H1156" s="184"/>
      <c r="I1156" s="184"/>
      <c r="J1156" s="184"/>
      <c r="K1156" s="184"/>
      <c r="L1156" s="124"/>
      <c r="M1156" s="349"/>
      <c r="N1156" s="350"/>
      <c r="O1156" s="369"/>
      <c r="P1156" s="369"/>
      <c r="Q1156" s="369"/>
      <c r="R1156" s="369"/>
      <c r="S1156" s="369"/>
      <c r="T1156" s="369"/>
      <c r="U1156" s="369"/>
      <c r="V1156" s="369"/>
      <c r="W1156" s="369"/>
      <c r="X1156" s="369"/>
      <c r="Y1156" s="394"/>
      <c r="AA1156" s="182" t="e">
        <f t="shared" si="1208"/>
        <v>#DIV/0!</v>
      </c>
      <c r="AB1156" s="369"/>
      <c r="AC1156" s="96"/>
    </row>
    <row r="1157" spans="1:58" ht="12" hidden="1" customHeight="1" x14ac:dyDescent="0.3">
      <c r="A1157" s="184"/>
      <c r="B1157" s="184"/>
      <c r="C1157" s="184"/>
      <c r="D1157" s="184"/>
      <c r="E1157" s="184"/>
      <c r="F1157" s="184"/>
      <c r="G1157" s="184"/>
      <c r="H1157" s="184"/>
      <c r="I1157" s="184"/>
      <c r="J1157" s="184"/>
      <c r="K1157" s="184"/>
      <c r="L1157" s="124"/>
      <c r="M1157" s="349"/>
      <c r="N1157" s="350"/>
      <c r="O1157" s="342"/>
      <c r="P1157" s="342"/>
      <c r="Q1157" s="342"/>
      <c r="R1157" s="342"/>
      <c r="S1157" s="342"/>
      <c r="T1157" s="342"/>
      <c r="U1157" s="342"/>
      <c r="V1157" s="342"/>
      <c r="W1157" s="342"/>
      <c r="X1157" s="342"/>
      <c r="Y1157" s="394"/>
      <c r="AA1157" s="182" t="e">
        <f t="shared" si="1208"/>
        <v>#DIV/0!</v>
      </c>
      <c r="AB1157" s="342"/>
      <c r="AC1157" s="134"/>
    </row>
    <row r="1158" spans="1:58" ht="12" hidden="1" customHeight="1" x14ac:dyDescent="0.3">
      <c r="A1158" s="184"/>
      <c r="B1158" s="184"/>
      <c r="C1158" s="184"/>
      <c r="D1158" s="184"/>
      <c r="E1158" s="184"/>
      <c r="F1158" s="184"/>
      <c r="G1158" s="184"/>
      <c r="H1158" s="184"/>
      <c r="I1158" s="184"/>
      <c r="J1158" s="184"/>
      <c r="K1158" s="184"/>
      <c r="L1158" s="124"/>
      <c r="M1158" s="349"/>
      <c r="N1158" s="350"/>
      <c r="O1158" s="370">
        <v>2758.5257485804595</v>
      </c>
      <c r="P1158" s="370">
        <v>2559.7984731565584</v>
      </c>
      <c r="Q1158" s="370">
        <v>2453.2484281840993</v>
      </c>
      <c r="R1158" s="370">
        <v>2300.1320953882737</v>
      </c>
      <c r="S1158" s="370">
        <v>2332.011963081477</v>
      </c>
      <c r="T1158" s="370">
        <v>2302.4005541819761</v>
      </c>
      <c r="U1158" s="370">
        <v>2421.9757410096681</v>
      </c>
      <c r="V1158" s="370">
        <v>2532.6563979864704</v>
      </c>
      <c r="W1158" s="370">
        <v>2614.1759342006721</v>
      </c>
      <c r="X1158" s="370">
        <v>2656.2152606517939</v>
      </c>
      <c r="Y1158" s="394"/>
      <c r="AA1158" s="182" t="e">
        <f t="shared" si="1208"/>
        <v>#DIV/0!</v>
      </c>
      <c r="AB1158" s="370">
        <v>2083.3227118078989</v>
      </c>
      <c r="AC1158" s="169"/>
    </row>
    <row r="1159" spans="1:58" ht="12" hidden="1" customHeight="1" x14ac:dyDescent="0.3">
      <c r="A1159" s="184"/>
      <c r="B1159" s="184"/>
      <c r="C1159" s="184"/>
      <c r="D1159" s="184"/>
      <c r="E1159" s="184"/>
      <c r="F1159" s="184"/>
      <c r="G1159" s="184"/>
      <c r="H1159" s="184"/>
      <c r="I1159" s="184"/>
      <c r="J1159" s="184"/>
      <c r="K1159" s="184"/>
      <c r="L1159" s="124"/>
      <c r="M1159" s="349"/>
      <c r="N1159" s="350"/>
      <c r="O1159" s="370">
        <v>1395.2361044804998</v>
      </c>
      <c r="P1159" s="370">
        <v>1598.9383438318303</v>
      </c>
      <c r="Q1159" s="370">
        <v>1790.1146126088681</v>
      </c>
      <c r="R1159" s="370">
        <v>1883.3730178148944</v>
      </c>
      <c r="S1159" s="370">
        <v>1957.1131613189298</v>
      </c>
      <c r="T1159" s="370">
        <v>2083.9379043711042</v>
      </c>
      <c r="U1159" s="370">
        <v>2125.4469801018831</v>
      </c>
      <c r="V1159" s="370">
        <v>2175.8322547811704</v>
      </c>
      <c r="W1159" s="370">
        <v>2251.3249224968536</v>
      </c>
      <c r="X1159" s="370">
        <v>2228.9728661312743</v>
      </c>
      <c r="Y1159" s="394"/>
      <c r="AA1159" s="182" t="e">
        <f t="shared" si="1208"/>
        <v>#DIV/0!</v>
      </c>
      <c r="AB1159" s="370">
        <v>2272.6970429970211</v>
      </c>
      <c r="AC1159" s="169"/>
    </row>
    <row r="1160" spans="1:58" ht="12" hidden="1" customHeight="1" x14ac:dyDescent="0.3">
      <c r="A1160" s="184"/>
      <c r="B1160" s="184"/>
      <c r="C1160" s="184"/>
      <c r="D1160" s="184"/>
      <c r="E1160" s="184"/>
      <c r="F1160" s="184"/>
      <c r="G1160" s="184"/>
      <c r="H1160" s="184"/>
      <c r="I1160" s="184"/>
      <c r="J1160" s="184"/>
      <c r="K1160" s="184"/>
      <c r="L1160" s="124"/>
      <c r="M1160" s="349"/>
      <c r="N1160" s="350"/>
      <c r="O1160" s="370">
        <v>2758.5257485804595</v>
      </c>
      <c r="P1160" s="370">
        <v>2559.7984731565584</v>
      </c>
      <c r="Q1160" s="370">
        <v>2453.2484281840993</v>
      </c>
      <c r="R1160" s="370">
        <v>2300.1320953882737</v>
      </c>
      <c r="S1160" s="370">
        <v>2332.011963081477</v>
      </c>
      <c r="T1160" s="370">
        <v>2302.4005541819761</v>
      </c>
      <c r="U1160" s="370">
        <v>2421.9757410096681</v>
      </c>
      <c r="V1160" s="370">
        <v>2532.6563979864704</v>
      </c>
      <c r="W1160" s="370">
        <v>2614.1759342006721</v>
      </c>
      <c r="X1160" s="370">
        <v>2656.2152606517939</v>
      </c>
      <c r="Y1160" s="394"/>
      <c r="AA1160" s="182" t="e">
        <f t="shared" si="1208"/>
        <v>#DIV/0!</v>
      </c>
      <c r="AB1160" s="370">
        <v>2083.3227118078989</v>
      </c>
      <c r="AC1160" s="169"/>
    </row>
    <row r="1161" spans="1:58" ht="12" hidden="1" customHeight="1" x14ac:dyDescent="0.3">
      <c r="A1161" s="184"/>
      <c r="B1161" s="184"/>
      <c r="C1161" s="184"/>
      <c r="D1161" s="184"/>
      <c r="E1161" s="184"/>
      <c r="F1161" s="184"/>
      <c r="G1161" s="184"/>
      <c r="H1161" s="184"/>
      <c r="I1161" s="184"/>
      <c r="J1161" s="184"/>
      <c r="K1161" s="184"/>
      <c r="L1161" s="124"/>
      <c r="M1161" s="349"/>
      <c r="N1161" s="350"/>
      <c r="O1161" s="370">
        <v>1395.2361044804998</v>
      </c>
      <c r="P1161" s="370">
        <v>1598.9383438318303</v>
      </c>
      <c r="Q1161" s="370">
        <v>1790.1146126088681</v>
      </c>
      <c r="R1161" s="370">
        <v>1883.3730178148944</v>
      </c>
      <c r="S1161" s="370">
        <v>1957.1131613189298</v>
      </c>
      <c r="T1161" s="370">
        <v>2083.9379043711042</v>
      </c>
      <c r="U1161" s="370">
        <v>2125.4469801018831</v>
      </c>
      <c r="V1161" s="370">
        <v>2175.8322547811704</v>
      </c>
      <c r="W1161" s="370">
        <v>2251.3249224968536</v>
      </c>
      <c r="X1161" s="370">
        <v>2228.9728661312743</v>
      </c>
      <c r="Y1161" s="394"/>
      <c r="AA1161" s="182" t="e">
        <f t="shared" si="1208"/>
        <v>#DIV/0!</v>
      </c>
      <c r="AB1161" s="370">
        <v>2272.6970429970211</v>
      </c>
      <c r="AC1161" s="169"/>
    </row>
    <row r="1162" spans="1:58" ht="12" hidden="1" customHeight="1" x14ac:dyDescent="0.3">
      <c r="A1162" s="184"/>
      <c r="B1162" s="184"/>
      <c r="C1162" s="184"/>
      <c r="D1162" s="184"/>
      <c r="E1162" s="184"/>
      <c r="F1162" s="184"/>
      <c r="G1162" s="184"/>
      <c r="H1162" s="184"/>
      <c r="I1162" s="184"/>
      <c r="J1162" s="184"/>
      <c r="K1162" s="184"/>
      <c r="L1162" s="124"/>
      <c r="M1162" s="349"/>
      <c r="N1162" s="350"/>
      <c r="O1162" s="370">
        <v>0</v>
      </c>
      <c r="P1162" s="370">
        <v>0</v>
      </c>
      <c r="Q1162" s="370">
        <v>0</v>
      </c>
      <c r="R1162" s="370">
        <v>0</v>
      </c>
      <c r="S1162" s="370">
        <v>0</v>
      </c>
      <c r="T1162" s="370">
        <v>0</v>
      </c>
      <c r="U1162" s="370">
        <v>0</v>
      </c>
      <c r="V1162" s="370">
        <v>0</v>
      </c>
      <c r="W1162" s="370">
        <v>0</v>
      </c>
      <c r="X1162" s="370">
        <v>0</v>
      </c>
      <c r="Y1162" s="394"/>
      <c r="AA1162" s="182" t="e">
        <f t="shared" si="1208"/>
        <v>#DIV/0!</v>
      </c>
      <c r="AB1162" s="370">
        <v>0</v>
      </c>
      <c r="AC1162" s="169"/>
    </row>
    <row r="1163" spans="1:58" ht="12" hidden="1" customHeight="1" x14ac:dyDescent="0.3">
      <c r="A1163" s="184"/>
      <c r="B1163" s="184"/>
      <c r="C1163" s="184"/>
      <c r="D1163" s="184"/>
      <c r="E1163" s="184"/>
      <c r="F1163" s="184"/>
      <c r="G1163" s="184"/>
      <c r="H1163" s="184"/>
      <c r="I1163" s="184"/>
      <c r="J1163" s="184"/>
      <c r="K1163" s="184"/>
      <c r="L1163" s="124"/>
      <c r="M1163" s="349"/>
      <c r="N1163" s="350"/>
      <c r="O1163" s="370">
        <v>0</v>
      </c>
      <c r="P1163" s="370">
        <v>0</v>
      </c>
      <c r="Q1163" s="370">
        <v>0</v>
      </c>
      <c r="R1163" s="370">
        <v>0</v>
      </c>
      <c r="S1163" s="370">
        <v>0</v>
      </c>
      <c r="T1163" s="370">
        <v>0</v>
      </c>
      <c r="U1163" s="370">
        <v>0</v>
      </c>
      <c r="V1163" s="370">
        <v>0</v>
      </c>
      <c r="W1163" s="370">
        <v>0</v>
      </c>
      <c r="X1163" s="370">
        <v>0</v>
      </c>
      <c r="Y1163" s="394"/>
      <c r="AA1163" s="182" t="e">
        <f t="shared" si="1208"/>
        <v>#DIV/0!</v>
      </c>
      <c r="AB1163" s="370">
        <v>0</v>
      </c>
      <c r="AC1163" s="169"/>
    </row>
    <row r="1164" spans="1:58" ht="12" hidden="1" customHeight="1" x14ac:dyDescent="0.3">
      <c r="A1164" s="184"/>
      <c r="B1164" s="184"/>
      <c r="C1164" s="184"/>
      <c r="D1164" s="184"/>
      <c r="E1164" s="184"/>
      <c r="F1164" s="184"/>
      <c r="G1164" s="184"/>
      <c r="H1164" s="184"/>
      <c r="I1164" s="184"/>
      <c r="J1164" s="184"/>
      <c r="K1164" s="184"/>
      <c r="L1164" s="124"/>
      <c r="M1164" s="349"/>
      <c r="N1164" s="350"/>
      <c r="O1164" s="370">
        <v>0</v>
      </c>
      <c r="P1164" s="370">
        <v>0</v>
      </c>
      <c r="Q1164" s="370">
        <v>0</v>
      </c>
      <c r="R1164" s="370">
        <v>0</v>
      </c>
      <c r="S1164" s="370">
        <v>0</v>
      </c>
      <c r="T1164" s="370">
        <v>0</v>
      </c>
      <c r="U1164" s="370">
        <v>0</v>
      </c>
      <c r="V1164" s="370">
        <v>0</v>
      </c>
      <c r="W1164" s="370">
        <v>0</v>
      </c>
      <c r="X1164" s="370">
        <v>0</v>
      </c>
      <c r="Y1164" s="394"/>
      <c r="AA1164" s="182" t="e">
        <f t="shared" si="1208"/>
        <v>#DIV/0!</v>
      </c>
      <c r="AB1164" s="370">
        <v>0</v>
      </c>
      <c r="AC1164" s="169"/>
    </row>
    <row r="1165" spans="1:58" ht="12" hidden="1" customHeight="1" x14ac:dyDescent="0.3">
      <c r="A1165" s="184"/>
      <c r="B1165" s="184"/>
      <c r="C1165" s="184"/>
      <c r="D1165" s="184"/>
      <c r="E1165" s="184"/>
      <c r="F1165" s="184"/>
      <c r="G1165" s="184"/>
      <c r="H1165" s="184"/>
      <c r="I1165" s="184"/>
      <c r="J1165" s="184"/>
      <c r="K1165" s="184"/>
      <c r="L1165" s="124"/>
      <c r="M1165" s="349"/>
      <c r="N1165" s="350"/>
      <c r="O1165" s="370">
        <v>0</v>
      </c>
      <c r="P1165" s="370">
        <v>0</v>
      </c>
      <c r="Q1165" s="370">
        <v>0</v>
      </c>
      <c r="R1165" s="370">
        <v>0</v>
      </c>
      <c r="S1165" s="370">
        <v>0</v>
      </c>
      <c r="T1165" s="370">
        <v>0</v>
      </c>
      <c r="U1165" s="370">
        <v>0</v>
      </c>
      <c r="V1165" s="370">
        <v>0</v>
      </c>
      <c r="W1165" s="370">
        <v>0</v>
      </c>
      <c r="X1165" s="370">
        <v>0</v>
      </c>
      <c r="Y1165" s="394"/>
      <c r="AA1165" s="182" t="e">
        <f t="shared" si="1208"/>
        <v>#DIV/0!</v>
      </c>
      <c r="AB1165" s="370">
        <v>0</v>
      </c>
      <c r="AC1165" s="169"/>
    </row>
    <row r="1166" spans="1:58" ht="12" hidden="1" customHeight="1" x14ac:dyDescent="0.3">
      <c r="A1166" s="184"/>
      <c r="B1166" s="184"/>
      <c r="C1166" s="184"/>
      <c r="D1166" s="184"/>
      <c r="E1166" s="184"/>
      <c r="F1166" s="184"/>
      <c r="G1166" s="184"/>
      <c r="H1166" s="184"/>
      <c r="I1166" s="184"/>
      <c r="J1166" s="184"/>
      <c r="K1166" s="184"/>
      <c r="L1166" s="124"/>
      <c r="M1166" s="349"/>
      <c r="N1166" s="350"/>
      <c r="O1166" s="370">
        <v>0</v>
      </c>
      <c r="P1166" s="370">
        <v>0</v>
      </c>
      <c r="Q1166" s="370">
        <v>0</v>
      </c>
      <c r="R1166" s="370">
        <v>0</v>
      </c>
      <c r="S1166" s="370">
        <v>0</v>
      </c>
      <c r="T1166" s="370">
        <v>0</v>
      </c>
      <c r="U1166" s="370">
        <v>0</v>
      </c>
      <c r="V1166" s="370">
        <v>0</v>
      </c>
      <c r="W1166" s="370">
        <v>0</v>
      </c>
      <c r="X1166" s="370">
        <v>0</v>
      </c>
      <c r="Y1166" s="394"/>
      <c r="AA1166" s="182" t="e">
        <f t="shared" si="1208"/>
        <v>#DIV/0!</v>
      </c>
      <c r="AB1166" s="370">
        <v>0</v>
      </c>
      <c r="AC1166" s="169"/>
    </row>
    <row r="1167" spans="1:58" ht="12" hidden="1" customHeight="1" x14ac:dyDescent="0.3">
      <c r="A1167" s="184"/>
      <c r="B1167" s="184"/>
      <c r="C1167" s="184"/>
      <c r="D1167" s="184"/>
      <c r="E1167" s="184"/>
      <c r="F1167" s="184"/>
      <c r="G1167" s="184"/>
      <c r="H1167" s="184"/>
      <c r="I1167" s="184"/>
      <c r="J1167" s="184"/>
      <c r="K1167" s="184"/>
      <c r="L1167" s="124"/>
      <c r="M1167" s="349"/>
      <c r="N1167" s="350"/>
      <c r="O1167" s="370">
        <v>0</v>
      </c>
      <c r="P1167" s="370">
        <v>0</v>
      </c>
      <c r="Q1167" s="370">
        <v>0</v>
      </c>
      <c r="R1167" s="370">
        <v>0</v>
      </c>
      <c r="S1167" s="370">
        <v>0</v>
      </c>
      <c r="T1167" s="370">
        <v>0</v>
      </c>
      <c r="U1167" s="370">
        <v>0</v>
      </c>
      <c r="V1167" s="370">
        <v>0</v>
      </c>
      <c r="W1167" s="370">
        <v>0</v>
      </c>
      <c r="X1167" s="370">
        <v>0</v>
      </c>
      <c r="Y1167" s="394"/>
      <c r="AA1167" s="182" t="e">
        <f t="shared" si="1208"/>
        <v>#DIV/0!</v>
      </c>
      <c r="AB1167" s="370">
        <v>0</v>
      </c>
      <c r="AC1167" s="169"/>
    </row>
    <row r="1168" spans="1:58" ht="12" hidden="1" customHeight="1" x14ac:dyDescent="0.3">
      <c r="A1168" s="184"/>
      <c r="B1168" s="184"/>
      <c r="C1168" s="184"/>
      <c r="D1168" s="184"/>
      <c r="E1168" s="184"/>
      <c r="F1168" s="184"/>
      <c r="G1168" s="184"/>
      <c r="H1168" s="184"/>
      <c r="I1168" s="184"/>
      <c r="J1168" s="184"/>
      <c r="K1168" s="184"/>
      <c r="L1168" s="124"/>
      <c r="M1168" s="349"/>
      <c r="N1168" s="350"/>
      <c r="O1168" s="371">
        <v>4153.7618530609589</v>
      </c>
      <c r="P1168" s="371">
        <v>4158.7368169883885</v>
      </c>
      <c r="Q1168" s="371">
        <v>4243.3630407929677</v>
      </c>
      <c r="R1168" s="371">
        <v>4183.5051132031676</v>
      </c>
      <c r="S1168" s="371">
        <v>4289.1251244004061</v>
      </c>
      <c r="T1168" s="371">
        <v>4386.3384585530803</v>
      </c>
      <c r="U1168" s="371">
        <v>4547.4227211115513</v>
      </c>
      <c r="V1168" s="371">
        <v>4708.4886527676408</v>
      </c>
      <c r="W1168" s="371">
        <v>4865.5008566975257</v>
      </c>
      <c r="X1168" s="371">
        <v>4885.1881267830686</v>
      </c>
      <c r="Y1168" s="394"/>
      <c r="AA1168" s="182" t="e">
        <f t="shared" si="1208"/>
        <v>#DIV/0!</v>
      </c>
      <c r="AB1168" s="371">
        <v>4356.01975480492</v>
      </c>
      <c r="AC1168" s="157">
        <v>0</v>
      </c>
    </row>
    <row r="1169" spans="1:29" ht="12" hidden="1" customHeight="1" x14ac:dyDescent="0.3">
      <c r="A1169" s="184"/>
      <c r="B1169" s="184"/>
      <c r="C1169" s="184"/>
      <c r="D1169" s="184"/>
      <c r="E1169" s="184"/>
      <c r="F1169" s="184"/>
      <c r="G1169" s="184"/>
      <c r="H1169" s="184"/>
      <c r="I1169" s="184"/>
      <c r="J1169" s="184"/>
      <c r="K1169" s="184"/>
      <c r="L1169" s="124"/>
      <c r="M1169" s="349"/>
      <c r="N1169" s="350"/>
      <c r="O1169" s="372">
        <f>IFERROR(SUM(O1160:O1167)/O1168,"")</f>
        <v>1.0000000000000002</v>
      </c>
      <c r="P1169" s="372">
        <f t="shared" ref="P1169:X1169" si="1218">IFERROR(SUM(P1160:P1167)/P1168,"")</f>
        <v>1</v>
      </c>
      <c r="Q1169" s="372">
        <f t="shared" si="1218"/>
        <v>1</v>
      </c>
      <c r="R1169" s="372">
        <f t="shared" si="1218"/>
        <v>1</v>
      </c>
      <c r="S1169" s="372">
        <f t="shared" si="1218"/>
        <v>1.0000000000000002</v>
      </c>
      <c r="T1169" s="372">
        <f t="shared" si="1218"/>
        <v>1</v>
      </c>
      <c r="U1169" s="372">
        <f t="shared" si="1218"/>
        <v>1</v>
      </c>
      <c r="V1169" s="372">
        <f t="shared" si="1218"/>
        <v>1</v>
      </c>
      <c r="W1169" s="372">
        <f t="shared" si="1218"/>
        <v>1</v>
      </c>
      <c r="X1169" s="372">
        <f t="shared" si="1218"/>
        <v>1</v>
      </c>
      <c r="Y1169" s="394"/>
      <c r="AA1169" s="182" t="e">
        <f t="shared" si="1208"/>
        <v>#DIV/0!</v>
      </c>
      <c r="AB1169" s="372">
        <f>IFERROR(SUM(AB1160:AB1167)/AB1168,"")</f>
        <v>1</v>
      </c>
      <c r="AC1169" s="160" t="str">
        <f>IFERROR(SUM(AC1160:AC1167)/AC1168,"")</f>
        <v/>
      </c>
    </row>
    <row r="1170" spans="1:29" ht="12" hidden="1" customHeight="1" x14ac:dyDescent="0.3">
      <c r="A1170" s="184"/>
      <c r="B1170" s="184"/>
      <c r="C1170" s="184"/>
      <c r="D1170" s="184"/>
      <c r="E1170" s="184"/>
      <c r="F1170" s="184"/>
      <c r="G1170" s="184"/>
      <c r="H1170" s="184"/>
      <c r="I1170" s="184"/>
      <c r="J1170" s="184"/>
      <c r="K1170" s="184"/>
      <c r="L1170" s="124"/>
      <c r="M1170" s="349"/>
      <c r="N1170" s="350"/>
      <c r="O1170" s="372">
        <f>IFERROR((SUM(O1158:O1159)+O1162+O1163+O1167)/O1168,"")</f>
        <v>1.0000000000000002</v>
      </c>
      <c r="P1170" s="372">
        <f t="shared" ref="P1170:X1170" si="1219">IFERROR((SUM(P1158:P1159)+P1162+P1163+P1167)/P1168,"")</f>
        <v>1</v>
      </c>
      <c r="Q1170" s="372">
        <f t="shared" si="1219"/>
        <v>1</v>
      </c>
      <c r="R1170" s="372">
        <f t="shared" si="1219"/>
        <v>1</v>
      </c>
      <c r="S1170" s="372">
        <f t="shared" si="1219"/>
        <v>1.0000000000000002</v>
      </c>
      <c r="T1170" s="372">
        <f t="shared" si="1219"/>
        <v>1</v>
      </c>
      <c r="U1170" s="372">
        <f t="shared" si="1219"/>
        <v>1</v>
      </c>
      <c r="V1170" s="372">
        <f t="shared" si="1219"/>
        <v>1</v>
      </c>
      <c r="W1170" s="372">
        <f t="shared" si="1219"/>
        <v>1</v>
      </c>
      <c r="X1170" s="372">
        <f t="shared" si="1219"/>
        <v>1</v>
      </c>
      <c r="Y1170" s="394"/>
      <c r="AA1170" s="182" t="e">
        <f t="shared" si="1208"/>
        <v>#DIV/0!</v>
      </c>
      <c r="AB1170" s="372">
        <f>IFERROR((SUM(AB1158:AB1159)+AB1162+AB1163+AB1167)/AB1168,"")</f>
        <v>1</v>
      </c>
      <c r="AC1170" s="160" t="str">
        <f>IFERROR((SUM(AC1158:AC1159)+AC1162+AC1163+AC1167)/AC1168,"")</f>
        <v/>
      </c>
    </row>
    <row r="1171" spans="1:29" ht="12" hidden="1" customHeight="1" x14ac:dyDescent="0.3">
      <c r="A1171" s="184"/>
      <c r="B1171" s="184"/>
      <c r="C1171" s="184"/>
      <c r="D1171" s="184"/>
      <c r="E1171" s="184"/>
      <c r="F1171" s="184"/>
      <c r="G1171" s="184"/>
      <c r="H1171" s="184"/>
      <c r="I1171" s="184"/>
      <c r="J1171" s="184"/>
      <c r="K1171" s="184"/>
      <c r="L1171" s="124"/>
      <c r="M1171" s="349"/>
      <c r="N1171" s="350"/>
      <c r="O1171" s="342"/>
      <c r="P1171" s="342"/>
      <c r="Q1171" s="342"/>
      <c r="R1171" s="342"/>
      <c r="S1171" s="342"/>
      <c r="T1171" s="342"/>
      <c r="U1171" s="342"/>
      <c r="V1171" s="342"/>
      <c r="W1171" s="342"/>
      <c r="X1171" s="342"/>
      <c r="Y1171" s="394"/>
      <c r="AA1171" s="182" t="e">
        <f t="shared" si="1208"/>
        <v>#DIV/0!</v>
      </c>
      <c r="AB1171" s="342"/>
      <c r="AC1171" s="134"/>
    </row>
    <row r="1172" spans="1:29" ht="12" hidden="1" customHeight="1" x14ac:dyDescent="0.3">
      <c r="A1172" s="184"/>
      <c r="B1172" s="184"/>
      <c r="C1172" s="184"/>
      <c r="D1172" s="184"/>
      <c r="E1172" s="184"/>
      <c r="F1172" s="184"/>
      <c r="G1172" s="184"/>
      <c r="H1172" s="184"/>
      <c r="I1172" s="184"/>
      <c r="J1172" s="184"/>
      <c r="K1172" s="184"/>
      <c r="L1172" s="124"/>
      <c r="M1172" s="349"/>
      <c r="N1172" s="350"/>
      <c r="O1172" s="373">
        <f t="shared" ref="O1172:X1172" si="1220">O1118/O1112</f>
        <v>1.3821700069108501E-2</v>
      </c>
      <c r="P1172" s="373">
        <f t="shared" si="1220"/>
        <v>1.4926203208556152E-2</v>
      </c>
      <c r="Q1172" s="373">
        <f t="shared" si="1220"/>
        <v>1.5599105812220567E-2</v>
      </c>
      <c r="R1172" s="373">
        <f t="shared" si="1220"/>
        <v>1.2465660976578008E-2</v>
      </c>
      <c r="S1172" s="373">
        <f t="shared" si="1220"/>
        <v>2.0685770750988142E-2</v>
      </c>
      <c r="T1172" s="373">
        <f t="shared" si="1220"/>
        <v>1.2465660976578008E-2</v>
      </c>
      <c r="U1172" s="373">
        <f t="shared" si="1220"/>
        <v>7.5131480090157776E-3</v>
      </c>
      <c r="V1172" s="373">
        <f t="shared" si="1220"/>
        <v>3.5790980672870437E-3</v>
      </c>
      <c r="W1172" s="373">
        <f t="shared" si="1220"/>
        <v>1.7988767988767987E-2</v>
      </c>
      <c r="X1172" s="373">
        <f t="shared" si="1220"/>
        <v>2.7010489510489507E-2</v>
      </c>
      <c r="Y1172" s="394"/>
      <c r="AA1172" s="182" t="e">
        <f t="shared" si="1208"/>
        <v>#DIV/0!</v>
      </c>
      <c r="AB1172" s="373">
        <f>AB1118/AB1112</f>
        <v>2.885472370766488E-2</v>
      </c>
      <c r="AC1172" s="170">
        <f>AC1118/AC1112</f>
        <v>2.1172248803827752E-2</v>
      </c>
    </row>
    <row r="1173" spans="1:29" ht="12" hidden="1" customHeight="1" x14ac:dyDescent="0.3">
      <c r="A1173" s="184"/>
      <c r="B1173" s="184"/>
      <c r="C1173" s="184"/>
      <c r="D1173" s="184"/>
      <c r="E1173" s="184"/>
      <c r="F1173" s="184"/>
      <c r="G1173" s="184"/>
      <c r="H1173" s="184"/>
      <c r="I1173" s="184"/>
      <c r="J1173" s="184"/>
      <c r="K1173" s="184"/>
      <c r="L1173" s="124"/>
      <c r="M1173" s="349"/>
      <c r="N1173" s="350"/>
      <c r="O1173" s="373">
        <f t="shared" ref="O1173:X1173" si="1221">O1119/O1113</f>
        <v>8.3418186803645225E-3</v>
      </c>
      <c r="P1173" s="373">
        <f t="shared" si="1221"/>
        <v>1.5089784216085708E-3</v>
      </c>
      <c r="Q1173" s="373">
        <f t="shared" si="1221"/>
        <v>0</v>
      </c>
      <c r="R1173" s="373">
        <f t="shared" si="1221"/>
        <v>0</v>
      </c>
      <c r="S1173" s="373">
        <f t="shared" si="1221"/>
        <v>0</v>
      </c>
      <c r="T1173" s="373">
        <f t="shared" si="1221"/>
        <v>0</v>
      </c>
      <c r="U1173" s="373">
        <f t="shared" si="1221"/>
        <v>0</v>
      </c>
      <c r="V1173" s="373">
        <f t="shared" si="1221"/>
        <v>3.0395136778115501E-3</v>
      </c>
      <c r="W1173" s="373">
        <f t="shared" si="1221"/>
        <v>2.5115790478918969E-2</v>
      </c>
      <c r="X1173" s="373">
        <f t="shared" si="1221"/>
        <v>4.1120761568281074E-2</v>
      </c>
      <c r="Y1173" s="394"/>
      <c r="AA1173" s="182" t="e">
        <f t="shared" si="1208"/>
        <v>#DIV/0!</v>
      </c>
      <c r="AB1173" s="373">
        <f>AB1119/AB1113</f>
        <v>6.7972235994050556E-2</v>
      </c>
      <c r="AC1173" s="170">
        <f>AC1119/AC1113</f>
        <v>7.0194335981329389E-2</v>
      </c>
    </row>
    <row r="1174" spans="1:29" ht="12" hidden="1" customHeight="1" x14ac:dyDescent="0.3">
      <c r="A1174" s="184"/>
      <c r="B1174" s="184"/>
      <c r="C1174" s="184"/>
      <c r="D1174" s="184"/>
      <c r="E1174" s="184"/>
      <c r="F1174" s="184"/>
      <c r="G1174" s="184"/>
      <c r="H1174" s="184"/>
      <c r="I1174" s="184"/>
      <c r="J1174" s="184"/>
      <c r="K1174" s="184"/>
      <c r="L1174" s="124"/>
      <c r="M1174" s="349"/>
      <c r="N1174" s="350"/>
      <c r="O1174" s="342"/>
      <c r="P1174" s="342"/>
      <c r="Q1174" s="342"/>
      <c r="R1174" s="342"/>
      <c r="S1174" s="342"/>
      <c r="T1174" s="342"/>
      <c r="U1174" s="342"/>
      <c r="V1174" s="342"/>
      <c r="W1174" s="342"/>
      <c r="X1174" s="342"/>
      <c r="Y1174" s="394"/>
      <c r="AA1174" s="182" t="e">
        <f t="shared" si="1208"/>
        <v>#DIV/0!</v>
      </c>
      <c r="AB1174" s="342"/>
      <c r="AC1174" s="134"/>
    </row>
    <row r="1175" spans="1:29" ht="12" hidden="1" customHeight="1" x14ac:dyDescent="0.3">
      <c r="A1175" s="184"/>
      <c r="B1175" s="184"/>
      <c r="C1175" s="184"/>
      <c r="D1175" s="184"/>
      <c r="E1175" s="184"/>
      <c r="F1175" s="184"/>
      <c r="G1175" s="184"/>
      <c r="H1175" s="184"/>
      <c r="I1175" s="184"/>
      <c r="J1175" s="184"/>
      <c r="K1175" s="184"/>
      <c r="L1175" s="124"/>
      <c r="M1175" s="349"/>
      <c r="N1175" s="350"/>
      <c r="O1175" s="342"/>
      <c r="P1175" s="342"/>
      <c r="Q1175" s="342"/>
      <c r="R1175" s="342"/>
      <c r="S1175" s="342"/>
      <c r="T1175" s="342"/>
      <c r="U1175" s="342"/>
      <c r="V1175" s="342"/>
      <c r="W1175" s="342"/>
      <c r="X1175" s="342"/>
      <c r="Y1175" s="394"/>
      <c r="AA1175" s="182" t="e">
        <f t="shared" si="1208"/>
        <v>#DIV/0!</v>
      </c>
      <c r="AB1175" s="342"/>
      <c r="AC1175" s="134"/>
    </row>
    <row r="1176" spans="1:29" ht="12" hidden="1" customHeight="1" x14ac:dyDescent="0.3">
      <c r="A1176" s="184"/>
      <c r="B1176" s="184"/>
      <c r="C1176" s="184"/>
      <c r="D1176" s="184"/>
      <c r="E1176" s="184"/>
      <c r="F1176" s="184"/>
      <c r="G1176" s="184"/>
      <c r="H1176" s="184"/>
      <c r="I1176" s="184"/>
      <c r="J1176" s="184"/>
      <c r="K1176" s="184"/>
      <c r="L1176" s="124"/>
      <c r="M1176" s="349"/>
      <c r="N1176" s="350"/>
      <c r="O1176" s="374">
        <v>16.04974584148529</v>
      </c>
      <c r="P1176" s="374">
        <v>17.354891786520643</v>
      </c>
      <c r="Q1176" s="374">
        <v>24.979779520840268</v>
      </c>
      <c r="R1176" s="374">
        <v>25.622646616530812</v>
      </c>
      <c r="S1176" s="374">
        <v>28.222227542731989</v>
      </c>
      <c r="T1176" s="374">
        <v>29.61965064301171</v>
      </c>
      <c r="U1176" s="374">
        <v>32.738991765343684</v>
      </c>
      <c r="V1176" s="374">
        <v>35.769085601778322</v>
      </c>
      <c r="W1176" s="374">
        <v>38.602066308755056</v>
      </c>
      <c r="X1176" s="374">
        <v>39.534043899668944</v>
      </c>
      <c r="Y1176" s="394"/>
      <c r="AA1176" s="182" t="e">
        <f t="shared" si="1208"/>
        <v>#DIV/0!</v>
      </c>
      <c r="AB1176" s="374">
        <v>39.542000000000002</v>
      </c>
      <c r="AC1176" s="169"/>
    </row>
    <row r="1177" spans="1:29" ht="12" hidden="1" customHeight="1" x14ac:dyDescent="0.3">
      <c r="A1177" s="184"/>
      <c r="B1177" s="184"/>
      <c r="C1177" s="184"/>
      <c r="D1177" s="184"/>
      <c r="E1177" s="184"/>
      <c r="F1177" s="184"/>
      <c r="G1177" s="184"/>
      <c r="H1177" s="184"/>
      <c r="I1177" s="184"/>
      <c r="J1177" s="184"/>
      <c r="K1177" s="184"/>
      <c r="L1177" s="124"/>
      <c r="M1177" s="349"/>
      <c r="N1177" s="350"/>
      <c r="O1177" s="342"/>
      <c r="P1177" s="342"/>
      <c r="Q1177" s="342"/>
      <c r="R1177" s="342"/>
      <c r="S1177" s="342"/>
      <c r="T1177" s="342"/>
      <c r="U1177" s="342"/>
      <c r="V1177" s="342"/>
      <c r="W1177" s="342"/>
      <c r="X1177" s="342"/>
      <c r="Y1177" s="394"/>
      <c r="AA1177" s="182" t="e">
        <f t="shared" si="1208"/>
        <v>#DIV/0!</v>
      </c>
      <c r="AB1177" s="342"/>
      <c r="AC1177" s="134"/>
    </row>
    <row r="1178" spans="1:29" ht="12" hidden="1" customHeight="1" x14ac:dyDescent="0.3">
      <c r="A1178" s="184"/>
      <c r="B1178" s="184"/>
      <c r="C1178" s="184"/>
      <c r="D1178" s="184"/>
      <c r="E1178" s="184"/>
      <c r="F1178" s="184"/>
      <c r="G1178" s="184"/>
      <c r="H1178" s="184"/>
      <c r="I1178" s="184"/>
      <c r="J1178" s="184"/>
      <c r="K1178" s="184"/>
      <c r="L1178" s="124"/>
      <c r="M1178" s="349"/>
      <c r="N1178" s="350"/>
      <c r="O1178" s="342"/>
      <c r="P1178" s="342"/>
      <c r="Q1178" s="342"/>
      <c r="R1178" s="342"/>
      <c r="S1178" s="342"/>
      <c r="T1178" s="342"/>
      <c r="U1178" s="342"/>
      <c r="V1178" s="342"/>
      <c r="W1178" s="342"/>
      <c r="X1178" s="342"/>
      <c r="Y1178" s="394"/>
      <c r="AA1178" s="182" t="e">
        <f t="shared" si="1208"/>
        <v>#DIV/0!</v>
      </c>
      <c r="AB1178" s="342"/>
      <c r="AC1178" s="134"/>
    </row>
    <row r="1179" spans="1:29" ht="12" hidden="1" customHeight="1" x14ac:dyDescent="0.3">
      <c r="A1179" s="184"/>
      <c r="B1179" s="184"/>
      <c r="C1179" s="184"/>
      <c r="D1179" s="184"/>
      <c r="E1179" s="184"/>
      <c r="F1179" s="184"/>
      <c r="G1179" s="184"/>
      <c r="H1179" s="184"/>
      <c r="I1179" s="184"/>
      <c r="J1179" s="184"/>
      <c r="K1179" s="184"/>
      <c r="L1179" s="124"/>
      <c r="M1179" s="349"/>
      <c r="N1179" s="350"/>
      <c r="O1179" s="370">
        <v>7.2007665570554105</v>
      </c>
      <c r="P1179" s="370">
        <v>7.3736021015884461</v>
      </c>
      <c r="Q1179" s="370">
        <v>4.6633761946528622</v>
      </c>
      <c r="R1179" s="370">
        <v>4.3507841321672629</v>
      </c>
      <c r="S1179" s="370">
        <v>4.3843522149749878</v>
      </c>
      <c r="T1179" s="370">
        <v>4.2778253447820198</v>
      </c>
      <c r="U1179" s="370">
        <v>4.4085928578489906</v>
      </c>
      <c r="V1179" s="370">
        <v>4.5464436112377795</v>
      </c>
      <c r="W1179" s="370">
        <v>5.818065110757118</v>
      </c>
      <c r="X1179" s="370">
        <v>4.4894670291071153</v>
      </c>
      <c r="Y1179" s="394"/>
      <c r="AA1179" s="182" t="e">
        <f t="shared" si="1208"/>
        <v>#DIV/0!</v>
      </c>
      <c r="AB1179" s="370">
        <v>4.1295965585128238</v>
      </c>
      <c r="AC1179" s="87"/>
    </row>
    <row r="1180" spans="1:29" ht="12" hidden="1" customHeight="1" x14ac:dyDescent="0.3">
      <c r="A1180" s="184"/>
      <c r="B1180" s="184"/>
      <c r="C1180" s="184"/>
      <c r="D1180" s="184"/>
      <c r="E1180" s="184"/>
      <c r="F1180" s="184"/>
      <c r="G1180" s="184"/>
      <c r="H1180" s="184"/>
      <c r="I1180" s="184"/>
      <c r="J1180" s="184"/>
      <c r="K1180" s="184"/>
      <c r="L1180" s="124"/>
      <c r="M1180" s="349"/>
      <c r="N1180" s="350"/>
      <c r="O1180" s="370">
        <v>254.44124969268063</v>
      </c>
      <c r="P1180" s="370">
        <v>259.82258627747706</v>
      </c>
      <c r="Q1180" s="370">
        <v>265.76774698296316</v>
      </c>
      <c r="R1180" s="370">
        <v>258.14417088577022</v>
      </c>
      <c r="S1180" s="370">
        <v>248.11309992230872</v>
      </c>
      <c r="T1180" s="370">
        <v>249.67872798549143</v>
      </c>
      <c r="U1180" s="370">
        <v>237.50435537013558</v>
      </c>
      <c r="V1180" s="370">
        <v>238.78543772292954</v>
      </c>
      <c r="W1180" s="370">
        <v>233.33122678053422</v>
      </c>
      <c r="X1180" s="370">
        <v>217.93990797721767</v>
      </c>
      <c r="Y1180" s="394"/>
      <c r="AA1180" s="182" t="e">
        <f t="shared" si="1208"/>
        <v>#DIV/0!</v>
      </c>
      <c r="AB1180" s="370">
        <v>209.79327770690622</v>
      </c>
      <c r="AC1180" s="87"/>
    </row>
    <row r="1181" spans="1:29" ht="12" hidden="1" customHeight="1" x14ac:dyDescent="0.3">
      <c r="A1181" s="184"/>
      <c r="B1181" s="184"/>
      <c r="C1181" s="184"/>
      <c r="D1181" s="184"/>
      <c r="E1181" s="184"/>
      <c r="F1181" s="184"/>
      <c r="G1181" s="184"/>
      <c r="H1181" s="184"/>
      <c r="I1181" s="184"/>
      <c r="J1181" s="184"/>
      <c r="K1181" s="184"/>
      <c r="L1181" s="124"/>
      <c r="M1181" s="349"/>
      <c r="N1181" s="350"/>
      <c r="O1181" s="370">
        <v>0</v>
      </c>
      <c r="P1181" s="370">
        <v>0</v>
      </c>
      <c r="Q1181" s="370">
        <v>0</v>
      </c>
      <c r="R1181" s="370">
        <v>0</v>
      </c>
      <c r="S1181" s="370">
        <v>0</v>
      </c>
      <c r="T1181" s="370">
        <v>0</v>
      </c>
      <c r="U1181" s="370">
        <v>0</v>
      </c>
      <c r="V1181" s="370">
        <v>0</v>
      </c>
      <c r="W1181" s="370">
        <v>0</v>
      </c>
      <c r="X1181" s="370">
        <v>0</v>
      </c>
      <c r="Y1181" s="394"/>
      <c r="AA1181" s="182" t="e">
        <f t="shared" si="1208"/>
        <v>#DIV/0!</v>
      </c>
      <c r="AB1181" s="370">
        <v>0</v>
      </c>
      <c r="AC1181" s="87"/>
    </row>
    <row r="1182" spans="1:29" ht="12" hidden="1" customHeight="1" x14ac:dyDescent="0.3">
      <c r="A1182" s="184"/>
      <c r="B1182" s="184"/>
      <c r="C1182" s="184"/>
      <c r="D1182" s="184"/>
      <c r="E1182" s="184"/>
      <c r="F1182" s="184"/>
      <c r="G1182" s="184"/>
      <c r="H1182" s="184"/>
      <c r="I1182" s="184"/>
      <c r="J1182" s="184"/>
      <c r="K1182" s="184"/>
      <c r="L1182" s="124"/>
      <c r="M1182" s="349"/>
      <c r="N1182" s="350"/>
      <c r="O1182" s="370">
        <v>0</v>
      </c>
      <c r="P1182" s="370">
        <v>0</v>
      </c>
      <c r="Q1182" s="370">
        <v>0</v>
      </c>
      <c r="R1182" s="370">
        <v>0</v>
      </c>
      <c r="S1182" s="370">
        <v>0</v>
      </c>
      <c r="T1182" s="370">
        <v>0</v>
      </c>
      <c r="U1182" s="370">
        <v>0</v>
      </c>
      <c r="V1182" s="370">
        <v>0</v>
      </c>
      <c r="W1182" s="370">
        <v>0</v>
      </c>
      <c r="X1182" s="370">
        <v>0</v>
      </c>
      <c r="Y1182" s="394"/>
      <c r="AA1182" s="182" t="e">
        <f t="shared" si="1208"/>
        <v>#DIV/0!</v>
      </c>
      <c r="AB1182" s="370">
        <v>0</v>
      </c>
      <c r="AC1182" s="87"/>
    </row>
    <row r="1183" spans="1:29" ht="12" hidden="1" customHeight="1" x14ac:dyDescent="0.3">
      <c r="A1183" s="184"/>
      <c r="B1183" s="184"/>
      <c r="C1183" s="184"/>
      <c r="D1183" s="184"/>
      <c r="E1183" s="184"/>
      <c r="F1183" s="184"/>
      <c r="G1183" s="184"/>
      <c r="H1183" s="184"/>
      <c r="I1183" s="184"/>
      <c r="J1183" s="184"/>
      <c r="K1183" s="184"/>
      <c r="L1183" s="124"/>
      <c r="M1183" s="349"/>
      <c r="N1183" s="350"/>
      <c r="O1183" s="370">
        <v>0</v>
      </c>
      <c r="P1183" s="370">
        <v>0</v>
      </c>
      <c r="Q1183" s="370">
        <v>0</v>
      </c>
      <c r="R1183" s="370">
        <v>0</v>
      </c>
      <c r="S1183" s="370">
        <v>0</v>
      </c>
      <c r="T1183" s="370">
        <v>0</v>
      </c>
      <c r="U1183" s="370">
        <v>0</v>
      </c>
      <c r="V1183" s="370">
        <v>0</v>
      </c>
      <c r="W1183" s="370">
        <v>0</v>
      </c>
      <c r="X1183" s="370">
        <v>0</v>
      </c>
      <c r="Y1183" s="394"/>
      <c r="AA1183" s="182" t="e">
        <f t="shared" si="1208"/>
        <v>#DIV/0!</v>
      </c>
      <c r="AB1183" s="370">
        <v>0</v>
      </c>
      <c r="AC1183" s="87"/>
    </row>
    <row r="1184" spans="1:29" ht="12" hidden="1" customHeight="1" x14ac:dyDescent="0.3">
      <c r="A1184" s="184"/>
      <c r="B1184" s="184"/>
      <c r="C1184" s="184"/>
      <c r="D1184" s="184"/>
      <c r="E1184" s="184"/>
      <c r="F1184" s="184"/>
      <c r="G1184" s="184"/>
      <c r="H1184" s="184"/>
      <c r="I1184" s="184"/>
      <c r="J1184" s="184"/>
      <c r="K1184" s="184"/>
      <c r="L1184" s="124"/>
      <c r="M1184" s="349"/>
      <c r="N1184" s="350"/>
      <c r="O1184" s="370">
        <v>0</v>
      </c>
      <c r="P1184" s="370">
        <v>0</v>
      </c>
      <c r="Q1184" s="370">
        <v>0</v>
      </c>
      <c r="R1184" s="370">
        <v>0</v>
      </c>
      <c r="S1184" s="370">
        <v>0</v>
      </c>
      <c r="T1184" s="370">
        <v>0</v>
      </c>
      <c r="U1184" s="370">
        <v>0</v>
      </c>
      <c r="V1184" s="370">
        <v>0</v>
      </c>
      <c r="W1184" s="370">
        <v>0</v>
      </c>
      <c r="X1184" s="370">
        <v>0</v>
      </c>
      <c r="Y1184" s="394"/>
      <c r="AA1184" s="182" t="e">
        <f t="shared" si="1208"/>
        <v>#DIV/0!</v>
      </c>
      <c r="AB1184" s="370">
        <v>0</v>
      </c>
      <c r="AC1184" s="87"/>
    </row>
    <row r="1185" spans="1:29" ht="12" hidden="1" customHeight="1" x14ac:dyDescent="0.3">
      <c r="A1185" s="184"/>
      <c r="B1185" s="184"/>
      <c r="C1185" s="184"/>
      <c r="D1185" s="184"/>
      <c r="E1185" s="184"/>
      <c r="F1185" s="184"/>
      <c r="G1185" s="184"/>
      <c r="H1185" s="184"/>
      <c r="I1185" s="184"/>
      <c r="J1185" s="184"/>
      <c r="K1185" s="184"/>
      <c r="L1185" s="124"/>
      <c r="M1185" s="349"/>
      <c r="N1185" s="350"/>
      <c r="O1185" s="371">
        <v>261.642016249736</v>
      </c>
      <c r="P1185" s="371">
        <v>267.19618837906552</v>
      </c>
      <c r="Q1185" s="371">
        <v>270.43112317761603</v>
      </c>
      <c r="R1185" s="371">
        <v>262.49495501793746</v>
      </c>
      <c r="S1185" s="371">
        <v>252.49745213728372</v>
      </c>
      <c r="T1185" s="371">
        <v>253.95655333027347</v>
      </c>
      <c r="U1185" s="371">
        <v>241.9129482279846</v>
      </c>
      <c r="V1185" s="371">
        <v>243.33188133416735</v>
      </c>
      <c r="W1185" s="371">
        <v>239.14929189129137</v>
      </c>
      <c r="X1185" s="371">
        <v>222.42937500632476</v>
      </c>
      <c r="Y1185" s="394"/>
      <c r="AA1185" s="182" t="e">
        <f t="shared" si="1208"/>
        <v>#DIV/0!</v>
      </c>
      <c r="AB1185" s="371">
        <v>213.9228742654191</v>
      </c>
      <c r="AC1185" s="87"/>
    </row>
    <row r="1186" spans="1:29" ht="12" hidden="1" customHeight="1" x14ac:dyDescent="0.3">
      <c r="A1186" s="184"/>
      <c r="B1186" s="184"/>
      <c r="C1186" s="184"/>
      <c r="D1186" s="184"/>
      <c r="E1186" s="184"/>
      <c r="F1186" s="184"/>
      <c r="G1186" s="184"/>
      <c r="H1186" s="184"/>
      <c r="I1186" s="184"/>
      <c r="J1186" s="184"/>
      <c r="K1186" s="184"/>
      <c r="L1186" s="124"/>
      <c r="M1186" s="349"/>
      <c r="N1186" s="350"/>
      <c r="O1186" s="372">
        <f>IFERROR((O1179+O1180)/O1185,"")</f>
        <v>1.0000000000000002</v>
      </c>
      <c r="P1186" s="372">
        <f t="shared" ref="P1186:X1186" si="1222">IFERROR((P1179+P1180)/P1185,"")</f>
        <v>1</v>
      </c>
      <c r="Q1186" s="372">
        <f t="shared" si="1222"/>
        <v>1</v>
      </c>
      <c r="R1186" s="372">
        <f t="shared" si="1222"/>
        <v>1.0000000000000002</v>
      </c>
      <c r="S1186" s="372">
        <f t="shared" si="1222"/>
        <v>1</v>
      </c>
      <c r="T1186" s="372">
        <f t="shared" si="1222"/>
        <v>1</v>
      </c>
      <c r="U1186" s="372">
        <f t="shared" si="1222"/>
        <v>0.99999999999999989</v>
      </c>
      <c r="V1186" s="372">
        <f t="shared" si="1222"/>
        <v>0.99999999999999989</v>
      </c>
      <c r="W1186" s="372">
        <f t="shared" si="1222"/>
        <v>0.99999999999999989</v>
      </c>
      <c r="X1186" s="372">
        <f t="shared" si="1222"/>
        <v>1.0000000000000002</v>
      </c>
      <c r="Y1186" s="394"/>
      <c r="AA1186" s="182" t="e">
        <f t="shared" si="1208"/>
        <v>#DIV/0!</v>
      </c>
      <c r="AB1186" s="372">
        <f>IFERROR((AB1179+AB1180)/AB1185,"")</f>
        <v>0.99999999999999978</v>
      </c>
      <c r="AC1186" s="160" t="str">
        <f>IFERROR((AC1179+AC1180)/AC1185,"")</f>
        <v/>
      </c>
    </row>
    <row r="1187" spans="1:29" ht="12" hidden="1" customHeight="1" x14ac:dyDescent="0.3">
      <c r="A1187" s="184"/>
      <c r="B1187" s="184"/>
      <c r="C1187" s="184"/>
      <c r="D1187" s="184"/>
      <c r="E1187" s="184"/>
      <c r="F1187" s="184"/>
      <c r="G1187" s="184"/>
      <c r="H1187" s="184"/>
      <c r="I1187" s="184"/>
      <c r="J1187" s="184"/>
      <c r="K1187" s="184"/>
      <c r="L1187" s="124"/>
      <c r="M1187" s="349"/>
      <c r="N1187" s="350"/>
      <c r="O1187" s="342"/>
      <c r="P1187" s="342"/>
      <c r="Q1187" s="342"/>
      <c r="R1187" s="342"/>
      <c r="S1187" s="342"/>
      <c r="T1187" s="342"/>
      <c r="U1187" s="342"/>
      <c r="V1187" s="342"/>
      <c r="W1187" s="342"/>
      <c r="X1187" s="342"/>
      <c r="Y1187" s="394"/>
      <c r="AA1187" s="182" t="e">
        <f t="shared" si="1208"/>
        <v>#DIV/0!</v>
      </c>
      <c r="AB1187" s="342"/>
      <c r="AC1187" s="134"/>
    </row>
    <row r="1188" spans="1:29" ht="12" hidden="1" customHeight="1" x14ac:dyDescent="0.3">
      <c r="A1188" s="184"/>
      <c r="B1188" s="184"/>
      <c r="C1188" s="184"/>
      <c r="D1188" s="184"/>
      <c r="E1188" s="184"/>
      <c r="F1188" s="184"/>
      <c r="G1188" s="184"/>
      <c r="H1188" s="184"/>
      <c r="I1188" s="184"/>
      <c r="J1188" s="184"/>
      <c r="K1188" s="184"/>
      <c r="L1188" s="124"/>
      <c r="M1188" s="349"/>
      <c r="N1188" s="350"/>
      <c r="O1188" s="342"/>
      <c r="P1188" s="342"/>
      <c r="Q1188" s="342"/>
      <c r="R1188" s="342"/>
      <c r="S1188" s="342"/>
      <c r="T1188" s="342"/>
      <c r="U1188" s="342"/>
      <c r="V1188" s="342"/>
      <c r="W1188" s="342"/>
      <c r="X1188" s="342"/>
      <c r="Y1188" s="394"/>
      <c r="AA1188" s="182" t="e">
        <f t="shared" si="1208"/>
        <v>#DIV/0!</v>
      </c>
      <c r="AB1188" s="342"/>
      <c r="AC1188" s="134"/>
    </row>
    <row r="1189" spans="1:29" ht="12" hidden="1" customHeight="1" x14ac:dyDescent="0.3">
      <c r="A1189" s="184"/>
      <c r="B1189" s="184"/>
      <c r="C1189" s="184"/>
      <c r="D1189" s="184"/>
      <c r="E1189" s="184"/>
      <c r="F1189" s="184"/>
      <c r="G1189" s="184"/>
      <c r="H1189" s="184"/>
      <c r="I1189" s="184"/>
      <c r="J1189" s="184"/>
      <c r="K1189" s="184"/>
      <c r="L1189" s="124"/>
      <c r="M1189" s="349"/>
      <c r="N1189" s="350"/>
      <c r="O1189" s="370">
        <v>477.31037570920466</v>
      </c>
      <c r="P1189" s="370">
        <v>441.30452146347545</v>
      </c>
      <c r="Q1189" s="370">
        <v>418.64931921308369</v>
      </c>
      <c r="R1189" s="370">
        <v>387.89301911723919</v>
      </c>
      <c r="S1189" s="370">
        <v>390.88577274295858</v>
      </c>
      <c r="T1189" s="370">
        <v>389.33398916339655</v>
      </c>
      <c r="U1189" s="370">
        <v>409.42389677685196</v>
      </c>
      <c r="V1189" s="370">
        <v>430.67055049201247</v>
      </c>
      <c r="W1189" s="370">
        <v>452.42870571032745</v>
      </c>
      <c r="X1189" s="370">
        <v>455.84854206810741</v>
      </c>
      <c r="Y1189" s="394"/>
      <c r="AA1189" s="182" t="e">
        <f t="shared" si="1208"/>
        <v>#DIV/0!</v>
      </c>
      <c r="AB1189" s="370">
        <v>361.21001433971423</v>
      </c>
      <c r="AC1189" s="87"/>
    </row>
    <row r="1190" spans="1:29" ht="12" hidden="1" customHeight="1" x14ac:dyDescent="0.3">
      <c r="A1190" s="184"/>
      <c r="B1190" s="184"/>
      <c r="C1190" s="184"/>
      <c r="D1190" s="184"/>
      <c r="E1190" s="184"/>
      <c r="F1190" s="184"/>
      <c r="G1190" s="184"/>
      <c r="H1190" s="184"/>
      <c r="I1190" s="184"/>
      <c r="J1190" s="184"/>
      <c r="K1190" s="184"/>
      <c r="L1190" s="124"/>
      <c r="M1190" s="349"/>
      <c r="N1190" s="350"/>
      <c r="O1190" s="370">
        <v>1576.8536100115273</v>
      </c>
      <c r="P1190" s="370">
        <v>1694.8645243573333</v>
      </c>
      <c r="Q1190" s="370">
        <v>1767.4142705361774</v>
      </c>
      <c r="R1190" s="370">
        <v>1753.5352148884135</v>
      </c>
      <c r="S1190" s="370">
        <v>1776.6003716028576</v>
      </c>
      <c r="T1190" s="370">
        <v>1895.1167542937626</v>
      </c>
      <c r="U1190" s="370">
        <v>1962.4680284794824</v>
      </c>
      <c r="V1190" s="370">
        <v>2046.4683384787845</v>
      </c>
      <c r="W1190" s="370">
        <v>2164.6855137306852</v>
      </c>
      <c r="X1190" s="370">
        <v>2168.4795370120523</v>
      </c>
      <c r="Y1190" s="394"/>
      <c r="AA1190" s="182" t="e">
        <f t="shared" si="1208"/>
        <v>#DIV/0!</v>
      </c>
      <c r="AB1190" s="370">
        <v>2231.7233057472004</v>
      </c>
      <c r="AC1190" s="87"/>
    </row>
    <row r="1191" spans="1:29" ht="12" hidden="1" customHeight="1" x14ac:dyDescent="0.3">
      <c r="A1191" s="184"/>
      <c r="B1191" s="184"/>
      <c r="C1191" s="184"/>
      <c r="D1191" s="184"/>
      <c r="E1191" s="184"/>
      <c r="F1191" s="184"/>
      <c r="G1191" s="184"/>
      <c r="H1191" s="184"/>
      <c r="I1191" s="184"/>
      <c r="J1191" s="184"/>
      <c r="K1191" s="184"/>
      <c r="L1191" s="124"/>
      <c r="M1191" s="349"/>
      <c r="N1191" s="350"/>
      <c r="O1191" s="370">
        <v>0</v>
      </c>
      <c r="P1191" s="370">
        <v>0</v>
      </c>
      <c r="Q1191" s="370">
        <v>0</v>
      </c>
      <c r="R1191" s="370">
        <v>0</v>
      </c>
      <c r="S1191" s="370">
        <v>0</v>
      </c>
      <c r="T1191" s="370">
        <v>0</v>
      </c>
      <c r="U1191" s="370">
        <v>0</v>
      </c>
      <c r="V1191" s="370">
        <v>0</v>
      </c>
      <c r="W1191" s="370">
        <v>0</v>
      </c>
      <c r="X1191" s="370">
        <v>0</v>
      </c>
      <c r="Y1191" s="394"/>
      <c r="AA1191" s="182" t="e">
        <f t="shared" si="1208"/>
        <v>#DIV/0!</v>
      </c>
      <c r="AB1191" s="370">
        <v>0</v>
      </c>
      <c r="AC1191" s="87"/>
    </row>
    <row r="1192" spans="1:29" ht="12" hidden="1" customHeight="1" x14ac:dyDescent="0.3">
      <c r="A1192" s="184"/>
      <c r="B1192" s="184"/>
      <c r="C1192" s="184"/>
      <c r="D1192" s="184"/>
      <c r="E1192" s="184"/>
      <c r="F1192" s="184"/>
      <c r="G1192" s="184"/>
      <c r="H1192" s="184"/>
      <c r="I1192" s="184"/>
      <c r="J1192" s="184"/>
      <c r="K1192" s="184"/>
      <c r="L1192" s="124"/>
      <c r="M1192" s="349"/>
      <c r="N1192" s="350"/>
      <c r="O1192" s="370">
        <v>0</v>
      </c>
      <c r="P1192" s="370">
        <v>0</v>
      </c>
      <c r="Q1192" s="370">
        <v>0</v>
      </c>
      <c r="R1192" s="370">
        <v>0</v>
      </c>
      <c r="S1192" s="370">
        <v>0</v>
      </c>
      <c r="T1192" s="370">
        <v>0</v>
      </c>
      <c r="U1192" s="370">
        <v>0</v>
      </c>
      <c r="V1192" s="370">
        <v>0</v>
      </c>
      <c r="W1192" s="370">
        <v>0</v>
      </c>
      <c r="X1192" s="370">
        <v>0</v>
      </c>
      <c r="Y1192" s="394"/>
      <c r="AA1192" s="182" t="e">
        <f t="shared" si="1208"/>
        <v>#DIV/0!</v>
      </c>
      <c r="AB1192" s="370">
        <v>0</v>
      </c>
      <c r="AC1192" s="87"/>
    </row>
    <row r="1193" spans="1:29" ht="12" hidden="1" customHeight="1" x14ac:dyDescent="0.3">
      <c r="A1193" s="184"/>
      <c r="B1193" s="184"/>
      <c r="C1193" s="184"/>
      <c r="D1193" s="184"/>
      <c r="E1193" s="184"/>
      <c r="F1193" s="184"/>
      <c r="G1193" s="184"/>
      <c r="H1193" s="184"/>
      <c r="I1193" s="184"/>
      <c r="J1193" s="184"/>
      <c r="K1193" s="184"/>
      <c r="L1193" s="124"/>
      <c r="M1193" s="349"/>
      <c r="N1193" s="350"/>
      <c r="O1193" s="370">
        <v>0</v>
      </c>
      <c r="P1193" s="370">
        <v>0</v>
      </c>
      <c r="Q1193" s="370">
        <v>0</v>
      </c>
      <c r="R1193" s="370">
        <v>0</v>
      </c>
      <c r="S1193" s="370">
        <v>0</v>
      </c>
      <c r="T1193" s="370">
        <v>0</v>
      </c>
      <c r="U1193" s="370">
        <v>0</v>
      </c>
      <c r="V1193" s="370">
        <v>0</v>
      </c>
      <c r="W1193" s="370">
        <v>0</v>
      </c>
      <c r="X1193" s="370">
        <v>0</v>
      </c>
      <c r="Y1193" s="394"/>
      <c r="AA1193" s="182" t="e">
        <f t="shared" si="1208"/>
        <v>#DIV/0!</v>
      </c>
      <c r="AB1193" s="370">
        <v>0</v>
      </c>
      <c r="AC1193" s="87"/>
    </row>
    <row r="1194" spans="1:29" ht="12" hidden="1" customHeight="1" x14ac:dyDescent="0.3">
      <c r="A1194" s="184"/>
      <c r="B1194" s="184"/>
      <c r="C1194" s="184"/>
      <c r="D1194" s="184"/>
      <c r="E1194" s="184"/>
      <c r="F1194" s="184"/>
      <c r="G1194" s="184"/>
      <c r="H1194" s="184"/>
      <c r="I1194" s="184"/>
      <c r="J1194" s="184"/>
      <c r="K1194" s="184"/>
      <c r="L1194" s="124"/>
      <c r="M1194" s="349"/>
      <c r="N1194" s="350"/>
      <c r="O1194" s="370">
        <v>0</v>
      </c>
      <c r="P1194" s="370">
        <v>0</v>
      </c>
      <c r="Q1194" s="370">
        <v>0</v>
      </c>
      <c r="R1194" s="370">
        <v>0</v>
      </c>
      <c r="S1194" s="370">
        <v>0</v>
      </c>
      <c r="T1194" s="370">
        <v>0</v>
      </c>
      <c r="U1194" s="370">
        <v>0</v>
      </c>
      <c r="V1194" s="370">
        <v>0</v>
      </c>
      <c r="W1194" s="370">
        <v>0</v>
      </c>
      <c r="X1194" s="370">
        <v>0</v>
      </c>
      <c r="Y1194" s="394"/>
      <c r="AA1194" s="182" t="e">
        <f t="shared" si="1208"/>
        <v>#DIV/0!</v>
      </c>
      <c r="AB1194" s="370">
        <v>0</v>
      </c>
      <c r="AC1194" s="87"/>
    </row>
    <row r="1195" spans="1:29" ht="12" hidden="1" customHeight="1" x14ac:dyDescent="0.3">
      <c r="A1195" s="184"/>
      <c r="B1195" s="184"/>
      <c r="C1195" s="184"/>
      <c r="D1195" s="184"/>
      <c r="E1195" s="184"/>
      <c r="F1195" s="184"/>
      <c r="G1195" s="184"/>
      <c r="H1195" s="184"/>
      <c r="I1195" s="184"/>
      <c r="J1195" s="184"/>
      <c r="K1195" s="184"/>
      <c r="L1195" s="124"/>
      <c r="M1195" s="349"/>
      <c r="N1195" s="350"/>
      <c r="O1195" s="371">
        <v>2054.1639857207324</v>
      </c>
      <c r="P1195" s="371">
        <v>2136.1690458208086</v>
      </c>
      <c r="Q1195" s="371">
        <v>2186.0635897492612</v>
      </c>
      <c r="R1195" s="371">
        <v>2141.4282340056525</v>
      </c>
      <c r="S1195" s="371">
        <v>2167.4861443458162</v>
      </c>
      <c r="T1195" s="371">
        <v>2284.4507434571592</v>
      </c>
      <c r="U1195" s="371">
        <v>2371.8919252563342</v>
      </c>
      <c r="V1195" s="371">
        <v>2477.1388889707964</v>
      </c>
      <c r="W1195" s="371">
        <v>2617.1142194410131</v>
      </c>
      <c r="X1195" s="371">
        <v>2624.32807908016</v>
      </c>
      <c r="Y1195" s="394"/>
      <c r="AA1195" s="182" t="e">
        <f t="shared" si="1208"/>
        <v>#DIV/0!</v>
      </c>
      <c r="AB1195" s="371">
        <v>2592.9333200869146</v>
      </c>
      <c r="AC1195" s="87"/>
    </row>
    <row r="1196" spans="1:29" ht="12" hidden="1" customHeight="1" x14ac:dyDescent="0.3">
      <c r="A1196" s="184"/>
      <c r="B1196" s="184"/>
      <c r="C1196" s="184"/>
      <c r="D1196" s="184"/>
      <c r="E1196" s="184"/>
      <c r="F1196" s="184"/>
      <c r="G1196" s="184"/>
      <c r="H1196" s="184"/>
      <c r="I1196" s="184"/>
      <c r="J1196" s="184"/>
      <c r="K1196" s="184"/>
      <c r="L1196" s="124"/>
      <c r="M1196" s="349"/>
      <c r="N1196" s="350"/>
      <c r="O1196" s="372">
        <f>IFERROR((O1189+O1190)/O1195,"")</f>
        <v>0.99999999999999978</v>
      </c>
      <c r="P1196" s="372">
        <f t="shared" ref="P1196:X1196" si="1223">IFERROR((P1189+P1190)/P1195,"")</f>
        <v>1</v>
      </c>
      <c r="Q1196" s="372">
        <f t="shared" si="1223"/>
        <v>1</v>
      </c>
      <c r="R1196" s="372">
        <f t="shared" si="1223"/>
        <v>1</v>
      </c>
      <c r="S1196" s="372">
        <f t="shared" si="1223"/>
        <v>1</v>
      </c>
      <c r="T1196" s="372">
        <f t="shared" si="1223"/>
        <v>1</v>
      </c>
      <c r="U1196" s="372">
        <f t="shared" si="1223"/>
        <v>1.0000000000000002</v>
      </c>
      <c r="V1196" s="372">
        <f t="shared" si="1223"/>
        <v>1.0000000000000002</v>
      </c>
      <c r="W1196" s="372">
        <f t="shared" si="1223"/>
        <v>0.99999999999999978</v>
      </c>
      <c r="X1196" s="372">
        <f t="shared" si="1223"/>
        <v>0.99999999999999978</v>
      </c>
      <c r="Y1196" s="394"/>
      <c r="AA1196" s="182" t="e">
        <f t="shared" si="1208"/>
        <v>#DIV/0!</v>
      </c>
      <c r="AB1196" s="372">
        <f>IFERROR((AB1189+AB1190)/AB1195,"")</f>
        <v>1</v>
      </c>
      <c r="AC1196" s="160" t="str">
        <f>IFERROR((AC1189+AC1190)/AC1195,"")</f>
        <v/>
      </c>
    </row>
    <row r="1197" spans="1:29" ht="12" hidden="1" customHeight="1" x14ac:dyDescent="0.3">
      <c r="A1197" s="184"/>
      <c r="B1197" s="184"/>
      <c r="C1197" s="184"/>
      <c r="D1197" s="184"/>
      <c r="E1197" s="184"/>
      <c r="F1197" s="184"/>
      <c r="G1197" s="184"/>
      <c r="H1197" s="184"/>
      <c r="I1197" s="184"/>
      <c r="J1197" s="184"/>
      <c r="K1197" s="184"/>
      <c r="L1197" s="124"/>
      <c r="M1197" s="349"/>
      <c r="N1197" s="350"/>
      <c r="O1197" s="342"/>
      <c r="P1197" s="342"/>
      <c r="Q1197" s="342"/>
      <c r="R1197" s="342"/>
      <c r="S1197" s="342"/>
      <c r="T1197" s="342"/>
      <c r="U1197" s="342"/>
      <c r="V1197" s="342"/>
      <c r="W1197" s="342"/>
      <c r="X1197" s="342"/>
      <c r="Y1197" s="394"/>
      <c r="AA1197" s="182" t="e">
        <f t="shared" si="1208"/>
        <v>#DIV/0!</v>
      </c>
      <c r="AB1197" s="342"/>
      <c r="AC1197" s="134"/>
    </row>
    <row r="1198" spans="1:29" ht="12" hidden="1" customHeight="1" x14ac:dyDescent="0.3">
      <c r="A1198" s="184"/>
      <c r="B1198" s="184"/>
      <c r="C1198" s="184"/>
      <c r="D1198" s="184"/>
      <c r="E1198" s="184"/>
      <c r="F1198" s="184"/>
      <c r="G1198" s="184"/>
      <c r="H1198" s="184"/>
      <c r="I1198" s="184"/>
      <c r="J1198" s="184"/>
      <c r="K1198" s="184"/>
      <c r="L1198" s="124"/>
      <c r="M1198" s="349"/>
      <c r="N1198" s="350"/>
      <c r="O1198" s="342"/>
      <c r="P1198" s="342"/>
      <c r="Q1198" s="342"/>
      <c r="R1198" s="342"/>
      <c r="S1198" s="342"/>
      <c r="T1198" s="342"/>
      <c r="U1198" s="342"/>
      <c r="V1198" s="342"/>
      <c r="W1198" s="342"/>
      <c r="X1198" s="342"/>
      <c r="Y1198" s="394"/>
      <c r="AA1198" s="182" t="e">
        <f t="shared" si="1208"/>
        <v>#DIV/0!</v>
      </c>
      <c r="AB1198" s="342"/>
      <c r="AC1198" s="134"/>
    </row>
    <row r="1199" spans="1:29" ht="12" hidden="1" customHeight="1" x14ac:dyDescent="0.3">
      <c r="A1199" s="184"/>
      <c r="B1199" s="184"/>
      <c r="C1199" s="184"/>
      <c r="D1199" s="184"/>
      <c r="E1199" s="184"/>
      <c r="F1199" s="184"/>
      <c r="G1199" s="184"/>
      <c r="H1199" s="184"/>
      <c r="I1199" s="184"/>
      <c r="J1199" s="184"/>
      <c r="K1199" s="184"/>
      <c r="L1199" s="124"/>
      <c r="M1199" s="349"/>
      <c r="N1199" s="350"/>
      <c r="O1199" s="370">
        <v>153.1553633117949</v>
      </c>
      <c r="P1199" s="370">
        <v>137.35517815852253</v>
      </c>
      <c r="Q1199" s="370">
        <v>127.2013191095452</v>
      </c>
      <c r="R1199" s="370">
        <v>115.78034363467825</v>
      </c>
      <c r="S1199" s="370">
        <v>113.75679552896923</v>
      </c>
      <c r="T1199" s="370">
        <v>108.14686955572203</v>
      </c>
      <c r="U1199" s="370">
        <v>111.45277759028684</v>
      </c>
      <c r="V1199" s="370">
        <v>111.91307786405686</v>
      </c>
      <c r="W1199" s="370">
        <v>111.47522866948718</v>
      </c>
      <c r="X1199" s="370">
        <v>107.52379746243341</v>
      </c>
      <c r="Y1199" s="394"/>
      <c r="AA1199" s="182" t="e">
        <f t="shared" si="1208"/>
        <v>#DIV/0!</v>
      </c>
      <c r="AB1199" s="370">
        <v>84.174310258525949</v>
      </c>
      <c r="AC1199" s="87"/>
    </row>
    <row r="1200" spans="1:29" ht="12" hidden="1" customHeight="1" x14ac:dyDescent="0.3">
      <c r="A1200" s="184"/>
      <c r="B1200" s="184"/>
      <c r="C1200" s="184"/>
      <c r="D1200" s="184"/>
      <c r="E1200" s="184"/>
      <c r="F1200" s="184"/>
      <c r="G1200" s="184"/>
      <c r="H1200" s="184"/>
      <c r="I1200" s="184"/>
      <c r="J1200" s="184"/>
      <c r="K1200" s="184"/>
      <c r="L1200" s="124"/>
      <c r="M1200" s="349"/>
      <c r="N1200" s="350"/>
      <c r="O1200" s="370">
        <v>1339.9688135930701</v>
      </c>
      <c r="P1200" s="370">
        <v>1424.1245455333594</v>
      </c>
      <c r="Q1200" s="370">
        <v>1428.9533698719904</v>
      </c>
      <c r="R1200" s="370">
        <v>1380.6975964109229</v>
      </c>
      <c r="S1200" s="370">
        <v>1329.1733671559045</v>
      </c>
      <c r="T1200" s="370">
        <v>1329.0166133496425</v>
      </c>
      <c r="U1200" s="370">
        <v>1314.5806360484983</v>
      </c>
      <c r="V1200" s="370">
        <v>1313.9139690171146</v>
      </c>
      <c r="W1200" s="370">
        <v>1314.2694481030385</v>
      </c>
      <c r="X1200" s="370">
        <v>1278.2187999905666</v>
      </c>
      <c r="Y1200" s="394"/>
      <c r="AA1200" s="182" t="e">
        <f t="shared" si="1208"/>
        <v>#DIV/0!</v>
      </c>
      <c r="AB1200" s="370">
        <v>1269.3974846599831</v>
      </c>
      <c r="AC1200" s="87"/>
    </row>
    <row r="1201" spans="1:29" ht="12" hidden="1" customHeight="1" x14ac:dyDescent="0.3">
      <c r="A1201" s="184"/>
      <c r="B1201" s="184"/>
      <c r="C1201" s="184"/>
      <c r="D1201" s="184"/>
      <c r="E1201" s="184"/>
      <c r="F1201" s="184"/>
      <c r="G1201" s="184"/>
      <c r="H1201" s="184"/>
      <c r="I1201" s="184"/>
      <c r="J1201" s="184"/>
      <c r="K1201" s="184"/>
      <c r="L1201" s="124"/>
      <c r="M1201" s="349"/>
      <c r="N1201" s="350"/>
      <c r="O1201" s="370">
        <v>0</v>
      </c>
      <c r="P1201" s="370">
        <v>0</v>
      </c>
      <c r="Q1201" s="370">
        <v>0</v>
      </c>
      <c r="R1201" s="370">
        <v>0</v>
      </c>
      <c r="S1201" s="370">
        <v>0</v>
      </c>
      <c r="T1201" s="370">
        <v>0</v>
      </c>
      <c r="U1201" s="370">
        <v>0</v>
      </c>
      <c r="V1201" s="370">
        <v>0</v>
      </c>
      <c r="W1201" s="370">
        <v>0</v>
      </c>
      <c r="X1201" s="370">
        <v>0</v>
      </c>
      <c r="Y1201" s="394"/>
      <c r="AA1201" s="182" t="e">
        <f t="shared" si="1208"/>
        <v>#DIV/0!</v>
      </c>
      <c r="AB1201" s="370">
        <v>0</v>
      </c>
      <c r="AC1201" s="87"/>
    </row>
    <row r="1202" spans="1:29" ht="12" hidden="1" customHeight="1" x14ac:dyDescent="0.3">
      <c r="A1202" s="184"/>
      <c r="B1202" s="184"/>
      <c r="C1202" s="184"/>
      <c r="D1202" s="184"/>
      <c r="E1202" s="184"/>
      <c r="F1202" s="184"/>
      <c r="G1202" s="184"/>
      <c r="H1202" s="184"/>
      <c r="I1202" s="184"/>
      <c r="J1202" s="184"/>
      <c r="K1202" s="184"/>
      <c r="L1202" s="124"/>
      <c r="M1202" s="349"/>
      <c r="N1202" s="350"/>
      <c r="O1202" s="370">
        <v>0</v>
      </c>
      <c r="P1202" s="370">
        <v>0</v>
      </c>
      <c r="Q1202" s="370">
        <v>0</v>
      </c>
      <c r="R1202" s="370">
        <v>0</v>
      </c>
      <c r="S1202" s="370">
        <v>0</v>
      </c>
      <c r="T1202" s="370">
        <v>0</v>
      </c>
      <c r="U1202" s="370">
        <v>0</v>
      </c>
      <c r="V1202" s="370">
        <v>0</v>
      </c>
      <c r="W1202" s="370">
        <v>0</v>
      </c>
      <c r="X1202" s="370">
        <v>0</v>
      </c>
      <c r="Y1202" s="394"/>
      <c r="AA1202" s="182" t="e">
        <f t="shared" si="1208"/>
        <v>#DIV/0!</v>
      </c>
      <c r="AB1202" s="370">
        <v>0</v>
      </c>
      <c r="AC1202" s="87"/>
    </row>
    <row r="1203" spans="1:29" ht="12" hidden="1" customHeight="1" x14ac:dyDescent="0.3">
      <c r="A1203" s="184"/>
      <c r="B1203" s="184"/>
      <c r="C1203" s="184"/>
      <c r="D1203" s="184"/>
      <c r="E1203" s="184"/>
      <c r="F1203" s="184"/>
      <c r="G1203" s="184"/>
      <c r="H1203" s="184"/>
      <c r="I1203" s="184"/>
      <c r="J1203" s="184"/>
      <c r="K1203" s="184"/>
      <c r="L1203" s="124"/>
      <c r="M1203" s="349"/>
      <c r="N1203" s="350"/>
      <c r="O1203" s="370">
        <v>0</v>
      </c>
      <c r="P1203" s="370">
        <v>0</v>
      </c>
      <c r="Q1203" s="370">
        <v>0</v>
      </c>
      <c r="R1203" s="370">
        <v>0</v>
      </c>
      <c r="S1203" s="370">
        <v>0</v>
      </c>
      <c r="T1203" s="370">
        <v>0</v>
      </c>
      <c r="U1203" s="370">
        <v>0</v>
      </c>
      <c r="V1203" s="370">
        <v>0</v>
      </c>
      <c r="W1203" s="370">
        <v>0</v>
      </c>
      <c r="X1203" s="370">
        <v>0</v>
      </c>
      <c r="Y1203" s="394"/>
      <c r="AA1203" s="182" t="e">
        <f t="shared" si="1208"/>
        <v>#DIV/0!</v>
      </c>
      <c r="AB1203" s="370">
        <v>0</v>
      </c>
      <c r="AC1203" s="87"/>
    </row>
    <row r="1204" spans="1:29" ht="12" hidden="1" customHeight="1" x14ac:dyDescent="0.3">
      <c r="A1204" s="184"/>
      <c r="B1204" s="184"/>
      <c r="C1204" s="184"/>
      <c r="D1204" s="184"/>
      <c r="E1204" s="184"/>
      <c r="F1204" s="184"/>
      <c r="G1204" s="184"/>
      <c r="H1204" s="184"/>
      <c r="I1204" s="184"/>
      <c r="J1204" s="184"/>
      <c r="K1204" s="184"/>
      <c r="L1204" s="124"/>
      <c r="M1204" s="349"/>
      <c r="N1204" s="350"/>
      <c r="O1204" s="370">
        <v>0</v>
      </c>
      <c r="P1204" s="370">
        <v>0</v>
      </c>
      <c r="Q1204" s="370">
        <v>0</v>
      </c>
      <c r="R1204" s="370">
        <v>0</v>
      </c>
      <c r="S1204" s="370">
        <v>0</v>
      </c>
      <c r="T1204" s="370">
        <v>0</v>
      </c>
      <c r="U1204" s="370">
        <v>0</v>
      </c>
      <c r="V1204" s="370">
        <v>0</v>
      </c>
      <c r="W1204" s="370">
        <v>0</v>
      </c>
      <c r="X1204" s="370">
        <v>0</v>
      </c>
      <c r="Y1204" s="394"/>
      <c r="AA1204" s="182" t="e">
        <f t="shared" si="1208"/>
        <v>#DIV/0!</v>
      </c>
      <c r="AB1204" s="370">
        <v>0</v>
      </c>
      <c r="AC1204" s="87"/>
    </row>
    <row r="1205" spans="1:29" ht="12" hidden="1" customHeight="1" x14ac:dyDescent="0.3">
      <c r="A1205" s="184"/>
      <c r="B1205" s="184"/>
      <c r="C1205" s="184"/>
      <c r="D1205" s="184"/>
      <c r="E1205" s="184"/>
      <c r="F1205" s="184"/>
      <c r="G1205" s="184"/>
      <c r="H1205" s="184"/>
      <c r="I1205" s="184"/>
      <c r="J1205" s="184"/>
      <c r="K1205" s="184"/>
      <c r="L1205" s="124"/>
      <c r="M1205" s="349"/>
      <c r="N1205" s="350"/>
      <c r="O1205" s="371">
        <v>1493.124176904865</v>
      </c>
      <c r="P1205" s="371">
        <v>1561.4797236918819</v>
      </c>
      <c r="Q1205" s="371">
        <v>1556.1546889815354</v>
      </c>
      <c r="R1205" s="371">
        <v>1496.4779400456014</v>
      </c>
      <c r="S1205" s="371">
        <v>1442.9301626848735</v>
      </c>
      <c r="T1205" s="371">
        <v>1437.1634829053644</v>
      </c>
      <c r="U1205" s="371">
        <v>1426.0334136387855</v>
      </c>
      <c r="V1205" s="371">
        <v>1425.8270468811713</v>
      </c>
      <c r="W1205" s="371">
        <v>1425.7446767725257</v>
      </c>
      <c r="X1205" s="371">
        <v>1385.7425974529999</v>
      </c>
      <c r="Y1205" s="394"/>
      <c r="AA1205" s="182" t="e">
        <f t="shared" si="1208"/>
        <v>#DIV/0!</v>
      </c>
      <c r="AB1205" s="371">
        <v>1353.5717949185093</v>
      </c>
      <c r="AC1205" s="87"/>
    </row>
    <row r="1206" spans="1:29" ht="12" hidden="1" customHeight="1" x14ac:dyDescent="0.3">
      <c r="A1206" s="184"/>
      <c r="B1206" s="184"/>
      <c r="C1206" s="184"/>
      <c r="D1206" s="184"/>
      <c r="E1206" s="184"/>
      <c r="F1206" s="184"/>
      <c r="G1206" s="184"/>
      <c r="H1206" s="184"/>
      <c r="I1206" s="184"/>
      <c r="J1206" s="184"/>
      <c r="K1206" s="184"/>
      <c r="L1206" s="124"/>
      <c r="M1206" s="349"/>
      <c r="N1206" s="350"/>
      <c r="O1206" s="372">
        <f>IFERROR((O1199+O1200)/O1205,"")</f>
        <v>1</v>
      </c>
      <c r="P1206" s="372">
        <f t="shared" ref="P1206:X1206" si="1224">IFERROR((P1199+P1200)/P1205,"")</f>
        <v>1</v>
      </c>
      <c r="Q1206" s="372">
        <f t="shared" si="1224"/>
        <v>1.0000000000000002</v>
      </c>
      <c r="R1206" s="372">
        <f t="shared" si="1224"/>
        <v>0.99999999999999989</v>
      </c>
      <c r="S1206" s="372">
        <f t="shared" si="1224"/>
        <v>1.0000000000000002</v>
      </c>
      <c r="T1206" s="372">
        <f t="shared" si="1224"/>
        <v>1.0000000000000002</v>
      </c>
      <c r="U1206" s="372">
        <f t="shared" si="1224"/>
        <v>0.99999999999999967</v>
      </c>
      <c r="V1206" s="372">
        <f t="shared" si="1224"/>
        <v>1.0000000000000002</v>
      </c>
      <c r="W1206" s="372">
        <f t="shared" si="1224"/>
        <v>1</v>
      </c>
      <c r="X1206" s="372">
        <f t="shared" si="1224"/>
        <v>1</v>
      </c>
      <c r="Y1206" s="394"/>
      <c r="AA1206" s="182" t="e">
        <f t="shared" si="1208"/>
        <v>#DIV/0!</v>
      </c>
      <c r="AB1206" s="372">
        <f>IFERROR((AB1199+AB1200)/AB1205,"")</f>
        <v>0.99999999999999978</v>
      </c>
      <c r="AC1206" s="160" t="str">
        <f>IFERROR((AC1199+AC1200)/AC1205,"")</f>
        <v/>
      </c>
    </row>
    <row r="1207" spans="1:29" ht="12" hidden="1" customHeight="1" x14ac:dyDescent="0.3">
      <c r="A1207" s="184"/>
      <c r="B1207" s="184"/>
      <c r="C1207" s="184"/>
      <c r="D1207" s="184"/>
      <c r="E1207" s="184"/>
      <c r="F1207" s="184"/>
      <c r="G1207" s="184"/>
      <c r="H1207" s="184"/>
      <c r="I1207" s="184"/>
      <c r="J1207" s="184"/>
      <c r="K1207" s="184"/>
      <c r="L1207" s="124"/>
      <c r="M1207" s="349"/>
      <c r="N1207" s="350"/>
      <c r="O1207" s="342"/>
      <c r="P1207" s="342"/>
      <c r="Q1207" s="342"/>
      <c r="R1207" s="342"/>
      <c r="S1207" s="342"/>
      <c r="T1207" s="342"/>
      <c r="U1207" s="342"/>
      <c r="V1207" s="342"/>
      <c r="W1207" s="342"/>
      <c r="X1207" s="342"/>
      <c r="Y1207" s="394"/>
      <c r="AA1207" s="182" t="e">
        <f t="shared" si="1208"/>
        <v>#DIV/0!</v>
      </c>
      <c r="AB1207" s="342"/>
      <c r="AC1207" s="134"/>
    </row>
    <row r="1208" spans="1:29" ht="12" hidden="1" customHeight="1" x14ac:dyDescent="0.3">
      <c r="A1208" s="184"/>
      <c r="B1208" s="184"/>
      <c r="C1208" s="184"/>
      <c r="D1208" s="184"/>
      <c r="E1208" s="184"/>
      <c r="F1208" s="184"/>
      <c r="G1208" s="184"/>
      <c r="H1208" s="184"/>
      <c r="I1208" s="184"/>
      <c r="J1208" s="184"/>
      <c r="K1208" s="184"/>
      <c r="L1208" s="124"/>
      <c r="M1208" s="349"/>
      <c r="N1208" s="350"/>
      <c r="O1208" s="342"/>
      <c r="P1208" s="342"/>
      <c r="Q1208" s="342"/>
      <c r="R1208" s="342"/>
      <c r="S1208" s="342"/>
      <c r="T1208" s="342"/>
      <c r="U1208" s="342"/>
      <c r="V1208" s="342"/>
      <c r="W1208" s="342"/>
      <c r="X1208" s="342"/>
      <c r="Y1208" s="394"/>
      <c r="AA1208" s="182" t="e">
        <f t="shared" si="1208"/>
        <v>#DIV/0!</v>
      </c>
      <c r="AB1208" s="342"/>
      <c r="AC1208" s="134"/>
    </row>
    <row r="1209" spans="1:29" ht="12" hidden="1" customHeight="1" x14ac:dyDescent="0.3">
      <c r="A1209" s="184"/>
      <c r="B1209" s="184"/>
      <c r="C1209" s="184"/>
      <c r="D1209" s="184"/>
      <c r="E1209" s="184"/>
      <c r="F1209" s="184"/>
      <c r="G1209" s="184"/>
      <c r="H1209" s="184"/>
      <c r="I1209" s="184"/>
      <c r="J1209" s="184"/>
      <c r="K1209" s="184"/>
      <c r="L1209" s="124"/>
      <c r="M1209" s="349"/>
      <c r="N1209" s="350"/>
      <c r="O1209" s="369"/>
      <c r="P1209" s="369"/>
      <c r="Q1209" s="369"/>
      <c r="R1209" s="369"/>
      <c r="S1209" s="369"/>
      <c r="T1209" s="369"/>
      <c r="U1209" s="369"/>
      <c r="V1209" s="369"/>
      <c r="W1209" s="369"/>
      <c r="X1209" s="369"/>
      <c r="Y1209" s="394"/>
      <c r="AA1209" s="182" t="e">
        <f t="shared" si="1208"/>
        <v>#DIV/0!</v>
      </c>
      <c r="AB1209" s="369"/>
      <c r="AC1209" s="96"/>
    </row>
    <row r="1210" spans="1:29" ht="12" hidden="1" customHeight="1" x14ac:dyDescent="0.3">
      <c r="A1210" s="184"/>
      <c r="B1210" s="184"/>
      <c r="C1210" s="184"/>
      <c r="D1210" s="184"/>
      <c r="E1210" s="184"/>
      <c r="F1210" s="184"/>
      <c r="G1210" s="184"/>
      <c r="H1210" s="184"/>
      <c r="I1210" s="184"/>
      <c r="J1210" s="184"/>
      <c r="K1210" s="184"/>
      <c r="L1210" s="124"/>
      <c r="M1210" s="349"/>
      <c r="N1210" s="350"/>
      <c r="O1210" s="342"/>
      <c r="P1210" s="342"/>
      <c r="Q1210" s="342"/>
      <c r="R1210" s="342"/>
      <c r="S1210" s="342"/>
      <c r="T1210" s="342"/>
      <c r="U1210" s="342"/>
      <c r="V1210" s="342"/>
      <c r="W1210" s="342"/>
      <c r="X1210" s="342"/>
      <c r="Y1210" s="394"/>
      <c r="AA1210" s="182" t="e">
        <f t="shared" si="1208"/>
        <v>#DIV/0!</v>
      </c>
      <c r="AB1210" s="342"/>
      <c r="AC1210" s="134"/>
    </row>
    <row r="1211" spans="1:29" ht="12" hidden="1" customHeight="1" x14ac:dyDescent="0.3">
      <c r="A1211" s="184"/>
      <c r="B1211" s="184"/>
      <c r="C1211" s="184"/>
      <c r="D1211" s="184"/>
      <c r="E1211" s="184"/>
      <c r="F1211" s="184"/>
      <c r="G1211" s="184"/>
      <c r="H1211" s="184"/>
      <c r="I1211" s="184"/>
      <c r="J1211" s="184"/>
      <c r="K1211" s="184"/>
      <c r="L1211" s="124"/>
      <c r="M1211" s="349"/>
      <c r="N1211" s="350"/>
      <c r="O1211" s="342"/>
      <c r="P1211" s="342"/>
      <c r="Q1211" s="342"/>
      <c r="R1211" s="342"/>
      <c r="S1211" s="342"/>
      <c r="T1211" s="342"/>
      <c r="U1211" s="342"/>
      <c r="V1211" s="342"/>
      <c r="W1211" s="342"/>
      <c r="X1211" s="342"/>
      <c r="Y1211" s="394"/>
      <c r="AA1211" s="182" t="e">
        <f t="shared" si="1208"/>
        <v>#DIV/0!</v>
      </c>
      <c r="AB1211" s="342"/>
      <c r="AC1211" s="134"/>
    </row>
    <row r="1212" spans="1:29" ht="12" hidden="1" customHeight="1" x14ac:dyDescent="0.3">
      <c r="A1212" s="184"/>
      <c r="B1212" s="184"/>
      <c r="C1212" s="184"/>
      <c r="D1212" s="184"/>
      <c r="E1212" s="184"/>
      <c r="F1212" s="184"/>
      <c r="G1212" s="184"/>
      <c r="H1212" s="184"/>
      <c r="I1212" s="184"/>
      <c r="J1212" s="184"/>
      <c r="K1212" s="184"/>
      <c r="L1212" s="124"/>
      <c r="M1212" s="349"/>
      <c r="N1212" s="350"/>
      <c r="O1212" s="342"/>
      <c r="P1212" s="342"/>
      <c r="Q1212" s="342"/>
      <c r="R1212" s="342"/>
      <c r="S1212" s="342"/>
      <c r="T1212" s="342"/>
      <c r="U1212" s="342"/>
      <c r="V1212" s="342"/>
      <c r="W1212" s="342"/>
      <c r="X1212" s="342"/>
      <c r="Y1212" s="394"/>
      <c r="AA1212" s="182" t="e">
        <f t="shared" ref="AA1212:AA1258" si="1225">AVERAGE(AD1212:AL1212)</f>
        <v>#DIV/0!</v>
      </c>
      <c r="AB1212" s="342"/>
      <c r="AC1212" s="134"/>
    </row>
    <row r="1213" spans="1:29" ht="12" hidden="1" customHeight="1" x14ac:dyDescent="0.3">
      <c r="A1213" s="184"/>
      <c r="B1213" s="184"/>
      <c r="C1213" s="184"/>
      <c r="D1213" s="184"/>
      <c r="E1213" s="184"/>
      <c r="F1213" s="184"/>
      <c r="G1213" s="184"/>
      <c r="H1213" s="184"/>
      <c r="I1213" s="184"/>
      <c r="J1213" s="184"/>
      <c r="K1213" s="184"/>
      <c r="L1213" s="124"/>
      <c r="M1213" s="349"/>
      <c r="N1213" s="350"/>
      <c r="O1213" s="374">
        <v>8.0692292640657115</v>
      </c>
      <c r="P1213" s="374">
        <v>7.9681318282113223</v>
      </c>
      <c r="Q1213" s="374">
        <v>7.9690511915958666</v>
      </c>
      <c r="R1213" s="374">
        <v>7.9305784115142401</v>
      </c>
      <c r="S1213" s="374">
        <v>7.8494549614584557</v>
      </c>
      <c r="T1213" s="374">
        <v>7.7441303439169591</v>
      </c>
      <c r="U1213" s="374">
        <v>7.7582619729558973</v>
      </c>
      <c r="V1213" s="374">
        <v>7.7412961274610543</v>
      </c>
      <c r="W1213" s="374">
        <v>7.7242904065337052</v>
      </c>
      <c r="X1213" s="374">
        <v>7.7378371586419021</v>
      </c>
      <c r="Y1213" s="394"/>
      <c r="AA1213" s="182" t="e">
        <f t="shared" si="1225"/>
        <v>#DIV/0!</v>
      </c>
      <c r="AB1213" s="374">
        <v>7.5809732310872304</v>
      </c>
      <c r="AC1213" s="171"/>
    </row>
    <row r="1214" spans="1:29" ht="12" hidden="1" customHeight="1" x14ac:dyDescent="0.3">
      <c r="A1214" s="184"/>
      <c r="B1214" s="184"/>
      <c r="C1214" s="184"/>
      <c r="D1214" s="184"/>
      <c r="E1214" s="184"/>
      <c r="F1214" s="184"/>
      <c r="G1214" s="184"/>
      <c r="H1214" s="184"/>
      <c r="I1214" s="184"/>
      <c r="J1214" s="184"/>
      <c r="K1214" s="184"/>
      <c r="L1214" s="124"/>
      <c r="M1214" s="349"/>
      <c r="N1214" s="350"/>
      <c r="O1214" s="374">
        <v>8.6797049475057975</v>
      </c>
      <c r="P1214" s="374">
        <v>8.6001540036426061</v>
      </c>
      <c r="Q1214" s="374">
        <v>8.718885017860277</v>
      </c>
      <c r="R1214" s="374">
        <v>8.7103349436330433</v>
      </c>
      <c r="S1214" s="374">
        <v>8.6677130271270642</v>
      </c>
      <c r="T1214" s="374">
        <v>8.5339049564707228</v>
      </c>
      <c r="U1214" s="374">
        <v>8.5442947646971081</v>
      </c>
      <c r="V1214" s="374">
        <v>8.4528341648816916</v>
      </c>
      <c r="W1214" s="374">
        <v>8.5187410530569352</v>
      </c>
      <c r="X1214" s="374">
        <v>8.4456861692378684</v>
      </c>
      <c r="Y1214" s="394"/>
      <c r="AA1214" s="182" t="e">
        <f t="shared" si="1225"/>
        <v>#DIV/0!</v>
      </c>
      <c r="AB1214" s="374">
        <v>8.4145495542076461</v>
      </c>
      <c r="AC1214" s="171"/>
    </row>
    <row r="1215" spans="1:29" ht="12" hidden="1" customHeight="1" x14ac:dyDescent="0.3">
      <c r="A1215" s="184"/>
      <c r="B1215" s="184"/>
      <c r="C1215" s="184"/>
      <c r="D1215" s="184"/>
      <c r="E1215" s="184"/>
      <c r="F1215" s="184"/>
      <c r="G1215" s="184"/>
      <c r="H1215" s="184"/>
      <c r="I1215" s="184"/>
      <c r="J1215" s="184"/>
      <c r="K1215" s="184"/>
      <c r="L1215" s="124"/>
      <c r="M1215" s="349"/>
      <c r="N1215" s="350"/>
      <c r="O1215" s="374">
        <v>7.1645165375849098</v>
      </c>
      <c r="P1215" s="374">
        <v>7.1169249789970372</v>
      </c>
      <c r="Q1215" s="374">
        <v>7.1780977307188589</v>
      </c>
      <c r="R1215" s="374">
        <v>7.1516135512700227</v>
      </c>
      <c r="S1215" s="374">
        <v>7.114102385402969</v>
      </c>
      <c r="T1215" s="374">
        <v>7.0865246760084339</v>
      </c>
      <c r="U1215" s="374">
        <v>7.0925506007102666</v>
      </c>
      <c r="V1215" s="374">
        <v>7.0973319410030715</v>
      </c>
      <c r="W1215" s="374">
        <v>7.1172407082490743</v>
      </c>
      <c r="X1215" s="374">
        <v>7.0750290144987416</v>
      </c>
      <c r="Y1215" s="394"/>
      <c r="AA1215" s="182" t="e">
        <f t="shared" si="1225"/>
        <v>#DIV/0!</v>
      </c>
      <c r="AB1215" s="374">
        <v>7.013104590201082</v>
      </c>
      <c r="AC1215" s="171"/>
    </row>
    <row r="1216" spans="1:29" ht="12" hidden="1" customHeight="1" x14ac:dyDescent="0.3">
      <c r="A1216" s="184"/>
      <c r="B1216" s="184"/>
      <c r="C1216" s="184"/>
      <c r="D1216" s="184"/>
      <c r="E1216" s="184"/>
      <c r="F1216" s="184"/>
      <c r="G1216" s="184"/>
      <c r="H1216" s="184"/>
      <c r="I1216" s="184"/>
      <c r="J1216" s="184"/>
      <c r="K1216" s="184"/>
      <c r="L1216" s="124"/>
      <c r="M1216" s="349"/>
      <c r="N1216" s="350"/>
      <c r="O1216" s="374">
        <v>3.0764100582258638</v>
      </c>
      <c r="P1216" s="374">
        <v>3.0407689761764614</v>
      </c>
      <c r="Q1216" s="374">
        <v>3.1159877188293925</v>
      </c>
      <c r="R1216" s="374">
        <v>3.0449434993150923</v>
      </c>
      <c r="S1216" s="374">
        <v>3.0142343574893617</v>
      </c>
      <c r="T1216" s="374">
        <v>2.9909407137882726</v>
      </c>
      <c r="U1216" s="374">
        <v>3.0030519748666511</v>
      </c>
      <c r="V1216" s="374">
        <v>3.0036771327732881</v>
      </c>
      <c r="W1216" s="374">
        <v>3.0076240598425565</v>
      </c>
      <c r="X1216" s="374">
        <v>2.9792337820250534</v>
      </c>
      <c r="Y1216" s="394"/>
      <c r="AA1216" s="182" t="e">
        <f t="shared" si="1225"/>
        <v>#DIV/0!</v>
      </c>
      <c r="AB1216" s="374">
        <v>2.9625061130498915</v>
      </c>
      <c r="AC1216" s="171"/>
    </row>
    <row r="1217" spans="1:29" ht="12" hidden="1" customHeight="1" x14ac:dyDescent="0.3">
      <c r="A1217" s="184"/>
      <c r="B1217" s="184"/>
      <c r="C1217" s="184"/>
      <c r="D1217" s="184"/>
      <c r="E1217" s="184"/>
      <c r="F1217" s="184"/>
      <c r="G1217" s="184"/>
      <c r="H1217" s="184"/>
      <c r="I1217" s="184"/>
      <c r="J1217" s="184"/>
      <c r="K1217" s="184"/>
      <c r="L1217" s="124"/>
      <c r="M1217" s="349"/>
      <c r="N1217" s="350"/>
      <c r="O1217" s="342"/>
      <c r="P1217" s="342"/>
      <c r="Q1217" s="342"/>
      <c r="R1217" s="342"/>
      <c r="S1217" s="342"/>
      <c r="T1217" s="342"/>
      <c r="U1217" s="342"/>
      <c r="V1217" s="342"/>
      <c r="W1217" s="342"/>
      <c r="X1217" s="342"/>
      <c r="Y1217" s="394"/>
      <c r="AA1217" s="182" t="e">
        <f t="shared" si="1225"/>
        <v>#DIV/0!</v>
      </c>
      <c r="AB1217" s="342"/>
      <c r="AC1217" s="134"/>
    </row>
    <row r="1218" spans="1:29" ht="12" hidden="1" customHeight="1" x14ac:dyDescent="0.3">
      <c r="A1218" s="184"/>
      <c r="B1218" s="184"/>
      <c r="C1218" s="184"/>
      <c r="D1218" s="184"/>
      <c r="E1218" s="184"/>
      <c r="F1218" s="184"/>
      <c r="G1218" s="184"/>
      <c r="H1218" s="184"/>
      <c r="I1218" s="184"/>
      <c r="J1218" s="184"/>
      <c r="K1218" s="184"/>
      <c r="L1218" s="124"/>
      <c r="M1218" s="349"/>
      <c r="N1218" s="350"/>
      <c r="O1218" s="342"/>
      <c r="P1218" s="342"/>
      <c r="Q1218" s="342"/>
      <c r="R1218" s="342"/>
      <c r="S1218" s="342"/>
      <c r="T1218" s="342"/>
      <c r="U1218" s="342"/>
      <c r="V1218" s="342"/>
      <c r="W1218" s="342"/>
      <c r="X1218" s="342"/>
      <c r="Y1218" s="394"/>
      <c r="AA1218" s="182" t="e">
        <f t="shared" si="1225"/>
        <v>#DIV/0!</v>
      </c>
      <c r="AB1218" s="342"/>
      <c r="AC1218" s="134"/>
    </row>
    <row r="1219" spans="1:29" ht="12" hidden="1" customHeight="1" x14ac:dyDescent="0.3">
      <c r="A1219" s="184"/>
      <c r="B1219" s="184"/>
      <c r="C1219" s="184"/>
      <c r="D1219" s="184"/>
      <c r="E1219" s="184"/>
      <c r="F1219" s="184"/>
      <c r="G1219" s="184"/>
      <c r="H1219" s="184"/>
      <c r="I1219" s="184"/>
      <c r="J1219" s="184"/>
      <c r="K1219" s="184"/>
      <c r="L1219" s="124"/>
      <c r="M1219" s="349"/>
      <c r="N1219" s="350"/>
      <c r="O1219" s="342"/>
      <c r="P1219" s="342"/>
      <c r="Q1219" s="342"/>
      <c r="R1219" s="342"/>
      <c r="S1219" s="342"/>
      <c r="T1219" s="342"/>
      <c r="U1219" s="342"/>
      <c r="V1219" s="342"/>
      <c r="W1219" s="342"/>
      <c r="X1219" s="342"/>
      <c r="Y1219" s="394"/>
      <c r="AA1219" s="182" t="e">
        <f t="shared" si="1225"/>
        <v>#DIV/0!</v>
      </c>
      <c r="AB1219" s="342"/>
      <c r="AC1219" s="134"/>
    </row>
    <row r="1220" spans="1:29" ht="12" hidden="1" customHeight="1" x14ac:dyDescent="0.3">
      <c r="A1220" s="184"/>
      <c r="B1220" s="184"/>
      <c r="C1220" s="184"/>
      <c r="D1220" s="184"/>
      <c r="E1220" s="184"/>
      <c r="F1220" s="184"/>
      <c r="G1220" s="184"/>
      <c r="H1220" s="184"/>
      <c r="I1220" s="184"/>
      <c r="J1220" s="184"/>
      <c r="K1220" s="184"/>
      <c r="L1220" s="124"/>
      <c r="M1220" s="349"/>
      <c r="N1220" s="350"/>
      <c r="O1220" s="375">
        <v>6.6304600000000002</v>
      </c>
      <c r="P1220" s="375">
        <v>6.0970199999999997</v>
      </c>
      <c r="Q1220" s="375">
        <v>6.1515899999999997</v>
      </c>
      <c r="R1220" s="375">
        <v>6.0124399999999998</v>
      </c>
      <c r="S1220" s="375">
        <v>6</v>
      </c>
      <c r="T1220" s="375">
        <v>5.9</v>
      </c>
      <c r="U1220" s="375">
        <v>5.8</v>
      </c>
      <c r="V1220" s="375">
        <v>5.7</v>
      </c>
      <c r="W1220" s="375">
        <v>5.6</v>
      </c>
      <c r="X1220" s="375">
        <v>5.5412544722809818</v>
      </c>
      <c r="Y1220" s="394"/>
      <c r="AA1220" s="182" t="e">
        <f t="shared" si="1225"/>
        <v>#DIV/0!</v>
      </c>
      <c r="AB1220" s="375">
        <v>5.52</v>
      </c>
      <c r="AC1220" s="172"/>
    </row>
    <row r="1221" spans="1:29" ht="12" hidden="1" customHeight="1" x14ac:dyDescent="0.3">
      <c r="A1221" s="184"/>
      <c r="B1221" s="184"/>
      <c r="C1221" s="184"/>
      <c r="D1221" s="184"/>
      <c r="E1221" s="184"/>
      <c r="F1221" s="184"/>
      <c r="G1221" s="184"/>
      <c r="H1221" s="184"/>
      <c r="I1221" s="184"/>
      <c r="J1221" s="184"/>
      <c r="K1221" s="184"/>
      <c r="L1221" s="124"/>
      <c r="M1221" s="349"/>
      <c r="N1221" s="350"/>
      <c r="O1221" s="376"/>
      <c r="P1221" s="376"/>
      <c r="Q1221" s="376"/>
      <c r="R1221" s="376"/>
      <c r="S1221" s="376"/>
      <c r="T1221" s="376"/>
      <c r="U1221" s="376"/>
      <c r="V1221" s="376"/>
      <c r="W1221" s="376"/>
      <c r="X1221" s="376"/>
      <c r="Y1221" s="394"/>
      <c r="AA1221" s="182" t="e">
        <f t="shared" si="1225"/>
        <v>#DIV/0!</v>
      </c>
      <c r="AB1221" s="376"/>
      <c r="AC1221" s="173"/>
    </row>
    <row r="1222" spans="1:29" ht="12" hidden="1" customHeight="1" x14ac:dyDescent="0.3">
      <c r="A1222" s="184"/>
      <c r="B1222" s="184"/>
      <c r="C1222" s="184"/>
      <c r="D1222" s="184"/>
      <c r="E1222" s="184"/>
      <c r="F1222" s="184"/>
      <c r="G1222" s="184"/>
      <c r="H1222" s="184"/>
      <c r="I1222" s="184"/>
      <c r="J1222" s="184"/>
      <c r="K1222" s="184"/>
      <c r="L1222" s="124"/>
      <c r="M1222" s="349"/>
      <c r="N1222" s="350"/>
      <c r="O1222" s="376"/>
      <c r="P1222" s="376"/>
      <c r="Q1222" s="376"/>
      <c r="R1222" s="376"/>
      <c r="S1222" s="376"/>
      <c r="T1222" s="376"/>
      <c r="U1222" s="376"/>
      <c r="V1222" s="376"/>
      <c r="W1222" s="376"/>
      <c r="X1222" s="376"/>
      <c r="Y1222" s="394"/>
      <c r="AA1222" s="182" t="e">
        <f t="shared" si="1225"/>
        <v>#DIV/0!</v>
      </c>
      <c r="AB1222" s="376"/>
      <c r="AC1222" s="173"/>
    </row>
    <row r="1223" spans="1:29" ht="12" hidden="1" customHeight="1" x14ac:dyDescent="0.3">
      <c r="A1223" s="184"/>
      <c r="B1223" s="184"/>
      <c r="C1223" s="184"/>
      <c r="D1223" s="184"/>
      <c r="E1223" s="184"/>
      <c r="F1223" s="184"/>
      <c r="G1223" s="184"/>
      <c r="H1223" s="184"/>
      <c r="I1223" s="184"/>
      <c r="J1223" s="184"/>
      <c r="K1223" s="184"/>
      <c r="L1223" s="124"/>
      <c r="M1223" s="349"/>
      <c r="N1223" s="350"/>
      <c r="O1223" s="376"/>
      <c r="P1223" s="376"/>
      <c r="Q1223" s="376"/>
      <c r="R1223" s="376"/>
      <c r="S1223" s="376"/>
      <c r="T1223" s="376"/>
      <c r="U1223" s="376"/>
      <c r="V1223" s="376"/>
      <c r="W1223" s="376"/>
      <c r="X1223" s="376"/>
      <c r="Y1223" s="394"/>
      <c r="AA1223" s="182" t="e">
        <f t="shared" si="1225"/>
        <v>#DIV/0!</v>
      </c>
      <c r="AB1223" s="376"/>
      <c r="AC1223" s="173"/>
    </row>
    <row r="1224" spans="1:29" ht="12" hidden="1" customHeight="1" x14ac:dyDescent="0.3">
      <c r="A1224" s="184"/>
      <c r="B1224" s="184"/>
      <c r="C1224" s="184"/>
      <c r="D1224" s="184"/>
      <c r="E1224" s="184"/>
      <c r="F1224" s="184"/>
      <c r="G1224" s="184"/>
      <c r="H1224" s="184"/>
      <c r="I1224" s="184"/>
      <c r="J1224" s="184"/>
      <c r="K1224" s="184"/>
      <c r="L1224" s="124"/>
      <c r="M1224" s="349"/>
      <c r="N1224" s="350"/>
      <c r="O1224" s="376"/>
      <c r="P1224" s="376"/>
      <c r="Q1224" s="376"/>
      <c r="R1224" s="376"/>
      <c r="S1224" s="376"/>
      <c r="T1224" s="376"/>
      <c r="U1224" s="376"/>
      <c r="V1224" s="376"/>
      <c r="W1224" s="376"/>
      <c r="X1224" s="376"/>
      <c r="Y1224" s="394"/>
      <c r="AA1224" s="182" t="e">
        <f t="shared" si="1225"/>
        <v>#DIV/0!</v>
      </c>
      <c r="AB1224" s="376"/>
      <c r="AC1224" s="173"/>
    </row>
    <row r="1225" spans="1:29" ht="12" hidden="1" customHeight="1" x14ac:dyDescent="0.3">
      <c r="A1225" s="184"/>
      <c r="B1225" s="184"/>
      <c r="C1225" s="184"/>
      <c r="D1225" s="184"/>
      <c r="E1225" s="184"/>
      <c r="F1225" s="184"/>
      <c r="G1225" s="184"/>
      <c r="H1225" s="184"/>
      <c r="I1225" s="184"/>
      <c r="J1225" s="184"/>
      <c r="K1225" s="184"/>
      <c r="L1225" s="124"/>
      <c r="M1225" s="349"/>
      <c r="N1225" s="350"/>
      <c r="O1225" s="376"/>
      <c r="P1225" s="376"/>
      <c r="Q1225" s="376"/>
      <c r="R1225" s="376"/>
      <c r="S1225" s="376"/>
      <c r="T1225" s="376"/>
      <c r="U1225" s="376"/>
      <c r="V1225" s="376"/>
      <c r="W1225" s="376"/>
      <c r="X1225" s="376"/>
      <c r="Y1225" s="394"/>
      <c r="AA1225" s="182" t="e">
        <f t="shared" si="1225"/>
        <v>#DIV/0!</v>
      </c>
      <c r="AB1225" s="376"/>
      <c r="AC1225" s="173"/>
    </row>
    <row r="1226" spans="1:29" ht="12" hidden="1" customHeight="1" x14ac:dyDescent="0.3">
      <c r="A1226" s="184"/>
      <c r="B1226" s="184"/>
      <c r="C1226" s="184"/>
      <c r="D1226" s="184"/>
      <c r="E1226" s="184"/>
      <c r="F1226" s="184"/>
      <c r="G1226" s="184"/>
      <c r="H1226" s="184"/>
      <c r="I1226" s="184"/>
      <c r="J1226" s="184"/>
      <c r="K1226" s="184"/>
      <c r="L1226" s="124"/>
      <c r="M1226" s="349"/>
      <c r="N1226" s="350"/>
      <c r="O1226" s="342"/>
      <c r="P1226" s="342"/>
      <c r="Q1226" s="342"/>
      <c r="R1226" s="342"/>
      <c r="S1226" s="342"/>
      <c r="T1226" s="342"/>
      <c r="U1226" s="342"/>
      <c r="V1226" s="342"/>
      <c r="W1226" s="342"/>
      <c r="X1226" s="342"/>
      <c r="Y1226" s="394"/>
      <c r="AA1226" s="182" t="e">
        <f t="shared" si="1225"/>
        <v>#DIV/0!</v>
      </c>
      <c r="AB1226" s="342"/>
      <c r="AC1226" s="134"/>
    </row>
    <row r="1227" spans="1:29" ht="12" hidden="1" customHeight="1" x14ac:dyDescent="0.3">
      <c r="A1227" s="184"/>
      <c r="B1227" s="184"/>
      <c r="C1227" s="184"/>
      <c r="D1227" s="184"/>
      <c r="E1227" s="184"/>
      <c r="F1227" s="184"/>
      <c r="G1227" s="184"/>
      <c r="H1227" s="184"/>
      <c r="I1227" s="184"/>
      <c r="J1227" s="184"/>
      <c r="K1227" s="184"/>
      <c r="L1227" s="124"/>
      <c r="M1227" s="349"/>
      <c r="N1227" s="350"/>
      <c r="O1227" s="342"/>
      <c r="P1227" s="342"/>
      <c r="Q1227" s="342"/>
      <c r="R1227" s="342"/>
      <c r="S1227" s="342"/>
      <c r="T1227" s="342"/>
      <c r="U1227" s="342"/>
      <c r="V1227" s="342"/>
      <c r="W1227" s="342"/>
      <c r="X1227" s="342"/>
      <c r="Y1227" s="394"/>
      <c r="AA1227" s="182" t="e">
        <f t="shared" si="1225"/>
        <v>#DIV/0!</v>
      </c>
      <c r="AB1227" s="342"/>
      <c r="AC1227" s="134"/>
    </row>
    <row r="1228" spans="1:29" ht="12" hidden="1" customHeight="1" x14ac:dyDescent="0.3">
      <c r="A1228" s="184"/>
      <c r="B1228" s="184"/>
      <c r="C1228" s="184"/>
      <c r="D1228" s="184"/>
      <c r="E1228" s="184"/>
      <c r="F1228" s="184"/>
      <c r="G1228" s="184"/>
      <c r="H1228" s="184"/>
      <c r="I1228" s="184"/>
      <c r="J1228" s="184"/>
      <c r="K1228" s="184"/>
      <c r="L1228" s="124"/>
      <c r="M1228" s="349"/>
      <c r="N1228" s="350"/>
      <c r="O1228" s="377">
        <v>5.3137612884097907</v>
      </c>
      <c r="P1228" s="377">
        <v>5.1241694222059246</v>
      </c>
      <c r="Q1228" s="377">
        <v>4.5053984322974525</v>
      </c>
      <c r="R1228" s="377">
        <v>4.2263947050928081</v>
      </c>
      <c r="S1228" s="377">
        <v>4.4376914656946527</v>
      </c>
      <c r="T1228" s="377">
        <v>4.4722086743494618</v>
      </c>
      <c r="U1228" s="377">
        <v>4.5225503645751974</v>
      </c>
      <c r="V1228" s="377">
        <v>4.8155385108358715</v>
      </c>
      <c r="W1228" s="377">
        <v>4.5637168585725494</v>
      </c>
      <c r="X1228" s="377">
        <v>5.03</v>
      </c>
      <c r="Y1228" s="394"/>
      <c r="AA1228" s="182" t="e">
        <f t="shared" si="1225"/>
        <v>#DIV/0!</v>
      </c>
      <c r="AB1228" s="377">
        <v>5.0577015098813423</v>
      </c>
      <c r="AC1228" s="174"/>
    </row>
    <row r="1229" spans="1:29" ht="12" hidden="1" customHeight="1" x14ac:dyDescent="0.3">
      <c r="A1229" s="184"/>
      <c r="B1229" s="184"/>
      <c r="C1229" s="184"/>
      <c r="D1229" s="184"/>
      <c r="E1229" s="184"/>
      <c r="F1229" s="184"/>
      <c r="G1229" s="184"/>
      <c r="H1229" s="184"/>
      <c r="I1229" s="184"/>
      <c r="J1229" s="184"/>
      <c r="K1229" s="184"/>
      <c r="L1229" s="124"/>
      <c r="M1229" s="349"/>
      <c r="N1229" s="350"/>
      <c r="O1229" s="378"/>
      <c r="P1229" s="378"/>
      <c r="Q1229" s="378"/>
      <c r="R1229" s="378"/>
      <c r="S1229" s="378"/>
      <c r="T1229" s="378"/>
      <c r="U1229" s="378"/>
      <c r="V1229" s="378"/>
      <c r="W1229" s="378"/>
      <c r="X1229" s="378"/>
      <c r="Y1229" s="394"/>
      <c r="AA1229" s="182" t="e">
        <f t="shared" si="1225"/>
        <v>#DIV/0!</v>
      </c>
      <c r="AB1229" s="378"/>
      <c r="AC1229" s="136"/>
    </row>
    <row r="1230" spans="1:29" ht="12" hidden="1" customHeight="1" x14ac:dyDescent="0.3">
      <c r="A1230" s="184"/>
      <c r="B1230" s="184"/>
      <c r="C1230" s="184"/>
      <c r="D1230" s="184"/>
      <c r="E1230" s="184"/>
      <c r="F1230" s="184"/>
      <c r="G1230" s="184"/>
      <c r="H1230" s="184"/>
      <c r="I1230" s="184"/>
      <c r="J1230" s="184"/>
      <c r="K1230" s="184"/>
      <c r="L1230" s="124"/>
      <c r="M1230" s="349"/>
      <c r="N1230" s="350"/>
      <c r="O1230" s="378"/>
      <c r="P1230" s="378"/>
      <c r="Q1230" s="378"/>
      <c r="R1230" s="378"/>
      <c r="S1230" s="378"/>
      <c r="T1230" s="378"/>
      <c r="U1230" s="378"/>
      <c r="V1230" s="378"/>
      <c r="W1230" s="378"/>
      <c r="X1230" s="378"/>
      <c r="Y1230" s="394"/>
      <c r="AA1230" s="182" t="e">
        <f t="shared" si="1225"/>
        <v>#DIV/0!</v>
      </c>
      <c r="AB1230" s="378"/>
      <c r="AC1230" s="136"/>
    </row>
    <row r="1231" spans="1:29" ht="12" hidden="1" customHeight="1" x14ac:dyDescent="0.3">
      <c r="A1231" s="184"/>
      <c r="B1231" s="184"/>
      <c r="C1231" s="184"/>
      <c r="D1231" s="184"/>
      <c r="E1231" s="184"/>
      <c r="F1231" s="184"/>
      <c r="G1231" s="184"/>
      <c r="H1231" s="184"/>
      <c r="I1231" s="184"/>
      <c r="J1231" s="184"/>
      <c r="K1231" s="184"/>
      <c r="L1231" s="124"/>
      <c r="M1231" s="349"/>
      <c r="N1231" s="350"/>
      <c r="O1231" s="379"/>
      <c r="P1231" s="379"/>
      <c r="Q1231" s="379"/>
      <c r="R1231" s="379"/>
      <c r="S1231" s="379"/>
      <c r="T1231" s="379"/>
      <c r="U1231" s="379"/>
      <c r="V1231" s="379"/>
      <c r="W1231" s="379"/>
      <c r="X1231" s="379"/>
      <c r="Y1231" s="394"/>
      <c r="AA1231" s="182" t="e">
        <f t="shared" si="1225"/>
        <v>#DIV/0!</v>
      </c>
      <c r="AB1231" s="379"/>
      <c r="AC1231" s="175"/>
    </row>
    <row r="1232" spans="1:29" ht="12" hidden="1" customHeight="1" x14ac:dyDescent="0.3">
      <c r="A1232" s="184"/>
      <c r="B1232" s="184"/>
      <c r="C1232" s="184"/>
      <c r="D1232" s="184"/>
      <c r="E1232" s="184"/>
      <c r="F1232" s="184"/>
      <c r="G1232" s="184"/>
      <c r="H1232" s="184"/>
      <c r="I1232" s="184"/>
      <c r="J1232" s="184"/>
      <c r="K1232" s="184"/>
      <c r="L1232" s="124"/>
      <c r="M1232" s="349"/>
      <c r="N1232" s="350"/>
      <c r="O1232" s="375">
        <v>20.281497485805687</v>
      </c>
      <c r="P1232" s="375">
        <v>20.250328601786489</v>
      </c>
      <c r="Q1232" s="375">
        <v>20.589458108380136</v>
      </c>
      <c r="R1232" s="375">
        <v>20.905174948973663</v>
      </c>
      <c r="S1232" s="375">
        <v>20.444373219352745</v>
      </c>
      <c r="T1232" s="375">
        <v>20.333170879521738</v>
      </c>
      <c r="U1232" s="375">
        <v>20.329825495073663</v>
      </c>
      <c r="V1232" s="375">
        <v>20.36026101416244</v>
      </c>
      <c r="W1232" s="375">
        <v>20.441082675900539</v>
      </c>
      <c r="X1232" s="375">
        <v>21.0874157889392</v>
      </c>
      <c r="Y1232" s="394"/>
      <c r="AA1232" s="182" t="e">
        <f t="shared" si="1225"/>
        <v>#DIV/0!</v>
      </c>
      <c r="AB1232" s="375">
        <v>21.495071762167967</v>
      </c>
      <c r="AC1232" s="172"/>
    </row>
    <row r="1233" spans="1:29" ht="12" hidden="1" customHeight="1" x14ac:dyDescent="0.3">
      <c r="A1233" s="184"/>
      <c r="B1233" s="184"/>
      <c r="C1233" s="184"/>
      <c r="D1233" s="184"/>
      <c r="E1233" s="184"/>
      <c r="F1233" s="184"/>
      <c r="G1233" s="184"/>
      <c r="H1233" s="184"/>
      <c r="I1233" s="184"/>
      <c r="J1233" s="184"/>
      <c r="K1233" s="184"/>
      <c r="L1233" s="124"/>
      <c r="M1233" s="349"/>
      <c r="N1233" s="350"/>
      <c r="O1233" s="375">
        <v>32.165686110892253</v>
      </c>
      <c r="P1233" s="375">
        <v>30.719540212646063</v>
      </c>
      <c r="Q1233" s="375">
        <v>32.090586495030763</v>
      </c>
      <c r="R1233" s="375">
        <v>32.098548677447994</v>
      </c>
      <c r="S1233" s="375">
        <v>32.145938775273095</v>
      </c>
      <c r="T1233" s="375">
        <v>32.169925737525745</v>
      </c>
      <c r="U1233" s="375">
        <v>32.184703015007941</v>
      </c>
      <c r="V1233" s="375">
        <v>32.20373092845162</v>
      </c>
      <c r="W1233" s="375">
        <v>32.189378344630349</v>
      </c>
      <c r="X1233" s="375">
        <v>32.249595074507795</v>
      </c>
      <c r="Y1233" s="394"/>
      <c r="AA1233" s="182" t="e">
        <f t="shared" si="1225"/>
        <v>#DIV/0!</v>
      </c>
      <c r="AB1233" s="375">
        <v>32.182345106679037</v>
      </c>
      <c r="AC1233" s="172"/>
    </row>
    <row r="1234" spans="1:29" ht="12" hidden="1" customHeight="1" x14ac:dyDescent="0.3">
      <c r="A1234" s="184"/>
      <c r="B1234" s="184"/>
      <c r="C1234" s="184"/>
      <c r="D1234" s="184"/>
      <c r="E1234" s="184"/>
      <c r="F1234" s="184"/>
      <c r="G1234" s="184"/>
      <c r="H1234" s="184"/>
      <c r="I1234" s="184"/>
      <c r="J1234" s="184"/>
      <c r="K1234" s="184"/>
      <c r="L1234" s="124"/>
      <c r="M1234" s="349"/>
      <c r="N1234" s="350"/>
      <c r="O1234" s="379"/>
      <c r="P1234" s="379"/>
      <c r="Q1234" s="379"/>
      <c r="R1234" s="379"/>
      <c r="S1234" s="379"/>
      <c r="T1234" s="379"/>
      <c r="U1234" s="379"/>
      <c r="V1234" s="379"/>
      <c r="W1234" s="379"/>
      <c r="X1234" s="379"/>
      <c r="Y1234" s="394"/>
      <c r="AA1234" s="182" t="e">
        <f t="shared" si="1225"/>
        <v>#DIV/0!</v>
      </c>
      <c r="AB1234" s="379"/>
      <c r="AC1234" s="175"/>
    </row>
    <row r="1235" spans="1:29" ht="12" hidden="1" customHeight="1" x14ac:dyDescent="0.3">
      <c r="A1235" s="184"/>
      <c r="B1235" s="184"/>
      <c r="C1235" s="184"/>
      <c r="D1235" s="184"/>
      <c r="E1235" s="184"/>
      <c r="F1235" s="184"/>
      <c r="G1235" s="184"/>
      <c r="H1235" s="184"/>
      <c r="I1235" s="184"/>
      <c r="J1235" s="184"/>
      <c r="K1235" s="184"/>
      <c r="L1235" s="124"/>
      <c r="M1235" s="349"/>
      <c r="N1235" s="350"/>
      <c r="O1235" s="379"/>
      <c r="P1235" s="379"/>
      <c r="Q1235" s="379"/>
      <c r="R1235" s="379"/>
      <c r="S1235" s="379"/>
      <c r="T1235" s="379"/>
      <c r="U1235" s="379"/>
      <c r="V1235" s="379"/>
      <c r="W1235" s="379"/>
      <c r="X1235" s="379"/>
      <c r="Y1235" s="394"/>
      <c r="AA1235" s="182" t="e">
        <f t="shared" si="1225"/>
        <v>#DIV/0!</v>
      </c>
      <c r="AB1235" s="379"/>
      <c r="AC1235" s="175"/>
    </row>
    <row r="1236" spans="1:29" ht="12" hidden="1" customHeight="1" x14ac:dyDescent="0.3">
      <c r="A1236" s="184"/>
      <c r="B1236" s="184"/>
      <c r="C1236" s="184"/>
      <c r="D1236" s="184"/>
      <c r="E1236" s="184"/>
      <c r="F1236" s="184"/>
      <c r="G1236" s="184"/>
      <c r="H1236" s="184"/>
      <c r="I1236" s="184"/>
      <c r="J1236" s="184"/>
      <c r="K1236" s="184"/>
      <c r="L1236" s="124"/>
      <c r="M1236" s="349"/>
      <c r="N1236" s="350"/>
      <c r="O1236" s="380"/>
      <c r="P1236" s="380"/>
      <c r="Q1236" s="380"/>
      <c r="R1236" s="380"/>
      <c r="S1236" s="380"/>
      <c r="T1236" s="380"/>
      <c r="U1236" s="380"/>
      <c r="V1236" s="380"/>
      <c r="W1236" s="380"/>
      <c r="X1236" s="380"/>
      <c r="Y1236" s="394"/>
      <c r="AA1236" s="182" t="e">
        <f t="shared" si="1225"/>
        <v>#DIV/0!</v>
      </c>
      <c r="AB1236" s="380"/>
      <c r="AC1236" s="140"/>
    </row>
    <row r="1237" spans="1:29" ht="12" hidden="1" customHeight="1" x14ac:dyDescent="0.3">
      <c r="A1237" s="184"/>
      <c r="B1237" s="184"/>
      <c r="C1237" s="184"/>
      <c r="D1237" s="184"/>
      <c r="E1237" s="184"/>
      <c r="F1237" s="184"/>
      <c r="G1237" s="184"/>
      <c r="H1237" s="184"/>
      <c r="I1237" s="184"/>
      <c r="J1237" s="184"/>
      <c r="K1237" s="184"/>
      <c r="L1237" s="124"/>
      <c r="M1237" s="349"/>
      <c r="N1237" s="350"/>
      <c r="O1237" s="380"/>
      <c r="P1237" s="380"/>
      <c r="Q1237" s="380"/>
      <c r="R1237" s="380"/>
      <c r="S1237" s="380"/>
      <c r="T1237" s="380"/>
      <c r="U1237" s="380"/>
      <c r="V1237" s="380"/>
      <c r="W1237" s="380"/>
      <c r="X1237" s="380"/>
      <c r="Y1237" s="394"/>
      <c r="AA1237" s="182" t="e">
        <f t="shared" si="1225"/>
        <v>#DIV/0!</v>
      </c>
      <c r="AB1237" s="380"/>
      <c r="AC1237" s="140"/>
    </row>
    <row r="1238" spans="1:29" ht="12" hidden="1" customHeight="1" x14ac:dyDescent="0.3">
      <c r="A1238" s="184"/>
      <c r="B1238" s="184"/>
      <c r="C1238" s="184"/>
      <c r="D1238" s="184"/>
      <c r="E1238" s="184"/>
      <c r="F1238" s="184"/>
      <c r="G1238" s="184"/>
      <c r="H1238" s="184"/>
      <c r="I1238" s="184"/>
      <c r="J1238" s="184"/>
      <c r="K1238" s="184"/>
      <c r="L1238" s="124"/>
      <c r="M1238" s="349"/>
      <c r="N1238" s="350"/>
      <c r="O1238" s="380"/>
      <c r="P1238" s="380"/>
      <c r="Q1238" s="380"/>
      <c r="R1238" s="380"/>
      <c r="S1238" s="380"/>
      <c r="T1238" s="380"/>
      <c r="U1238" s="380"/>
      <c r="V1238" s="380"/>
      <c r="W1238" s="380"/>
      <c r="X1238" s="380"/>
      <c r="Y1238" s="394"/>
      <c r="AA1238" s="182" t="e">
        <f t="shared" si="1225"/>
        <v>#DIV/0!</v>
      </c>
      <c r="AB1238" s="380"/>
      <c r="AC1238" s="140"/>
    </row>
    <row r="1239" spans="1:29" ht="12" hidden="1" customHeight="1" x14ac:dyDescent="0.3">
      <c r="A1239" s="184"/>
      <c r="B1239" s="184"/>
      <c r="C1239" s="184"/>
      <c r="D1239" s="184"/>
      <c r="E1239" s="184"/>
      <c r="F1239" s="184"/>
      <c r="G1239" s="184"/>
      <c r="H1239" s="184"/>
      <c r="I1239" s="184"/>
      <c r="J1239" s="184"/>
      <c r="K1239" s="184"/>
      <c r="L1239" s="124"/>
      <c r="M1239" s="349"/>
      <c r="N1239" s="350"/>
      <c r="O1239" s="379"/>
      <c r="P1239" s="379"/>
      <c r="Q1239" s="379"/>
      <c r="R1239" s="379"/>
      <c r="S1239" s="379"/>
      <c r="T1239" s="379"/>
      <c r="U1239" s="379"/>
      <c r="V1239" s="379"/>
      <c r="W1239" s="379"/>
      <c r="X1239" s="379"/>
      <c r="Y1239" s="394"/>
      <c r="AA1239" s="182" t="e">
        <f t="shared" si="1225"/>
        <v>#DIV/0!</v>
      </c>
      <c r="AB1239" s="379"/>
      <c r="AC1239" s="175"/>
    </row>
    <row r="1240" spans="1:29" ht="12" hidden="1" customHeight="1" x14ac:dyDescent="0.3">
      <c r="A1240" s="184"/>
      <c r="B1240" s="184"/>
      <c r="C1240" s="184"/>
      <c r="D1240" s="184"/>
      <c r="E1240" s="184"/>
      <c r="F1240" s="184"/>
      <c r="G1240" s="184"/>
      <c r="H1240" s="184"/>
      <c r="I1240" s="184"/>
      <c r="J1240" s="184"/>
      <c r="K1240" s="184"/>
      <c r="L1240" s="124"/>
      <c r="M1240" s="349"/>
      <c r="N1240" s="350"/>
      <c r="O1240" s="375">
        <v>12.684798698483524</v>
      </c>
      <c r="P1240" s="375">
        <v>12.257301675496363</v>
      </c>
      <c r="Q1240" s="375">
        <v>12.244262033404089</v>
      </c>
      <c r="R1240" s="375">
        <v>11.929114356919866</v>
      </c>
      <c r="S1240" s="375">
        <v>11.381469835134308</v>
      </c>
      <c r="T1240" s="375">
        <v>11.325191599670676</v>
      </c>
      <c r="U1240" s="375">
        <v>10.71623198159859</v>
      </c>
      <c r="V1240" s="375">
        <v>10.425364376194009</v>
      </c>
      <c r="W1240" s="375">
        <v>10.201178302694231</v>
      </c>
      <c r="X1240" s="375">
        <v>10.52081589142613</v>
      </c>
      <c r="Y1240" s="394"/>
      <c r="AA1240" s="182" t="e">
        <f t="shared" si="1225"/>
        <v>#DIV/0!</v>
      </c>
      <c r="AB1240" s="375">
        <v>10.30689585355138</v>
      </c>
      <c r="AC1240" s="171"/>
    </row>
    <row r="1241" spans="1:29" ht="12" hidden="1" customHeight="1" x14ac:dyDescent="0.3">
      <c r="A1241" s="184"/>
      <c r="B1241" s="184"/>
      <c r="C1241" s="184"/>
      <c r="D1241" s="184"/>
      <c r="E1241" s="184"/>
      <c r="F1241" s="184"/>
      <c r="G1241" s="184"/>
      <c r="H1241" s="184"/>
      <c r="I1241" s="184"/>
      <c r="J1241" s="184"/>
      <c r="K1241" s="184"/>
      <c r="L1241" s="124"/>
      <c r="M1241" s="349"/>
      <c r="N1241" s="350"/>
      <c r="O1241" s="375">
        <v>8.9145260658547176</v>
      </c>
      <c r="P1241" s="375">
        <v>8.446746500762023</v>
      </c>
      <c r="Q1241" s="375">
        <v>8.9022657829493017</v>
      </c>
      <c r="R1241" s="375">
        <v>8.8878841976296066</v>
      </c>
      <c r="S1241" s="375">
        <v>8.8224780433509142</v>
      </c>
      <c r="T1241" s="375">
        <v>8.7760041319592244</v>
      </c>
      <c r="U1241" s="375">
        <v>8.8152629109783796</v>
      </c>
      <c r="V1241" s="375">
        <v>8.8100434548683513</v>
      </c>
      <c r="W1241" s="375">
        <v>8.7890592922602124</v>
      </c>
      <c r="X1241" s="375">
        <v>8.7837059144471112</v>
      </c>
      <c r="Y1241" s="394"/>
      <c r="AA1241" s="182" t="e">
        <f t="shared" si="1225"/>
        <v>#DIV/0!</v>
      </c>
      <c r="AB1241" s="375">
        <v>8.7410075719842997</v>
      </c>
      <c r="AC1241" s="171"/>
    </row>
    <row r="1242" spans="1:29" ht="12" hidden="1" customHeight="1" x14ac:dyDescent="0.3">
      <c r="A1242" s="184"/>
      <c r="B1242" s="184"/>
      <c r="C1242" s="184"/>
      <c r="D1242" s="184"/>
      <c r="E1242" s="184"/>
      <c r="F1242" s="184"/>
      <c r="G1242" s="184"/>
      <c r="H1242" s="184"/>
      <c r="I1242" s="184"/>
      <c r="J1242" s="184"/>
      <c r="K1242" s="184"/>
      <c r="L1242" s="124"/>
      <c r="M1242" s="349"/>
      <c r="N1242" s="350"/>
      <c r="O1242" s="379"/>
      <c r="P1242" s="379"/>
      <c r="Q1242" s="379"/>
      <c r="R1242" s="379"/>
      <c r="S1242" s="379"/>
      <c r="T1242" s="379"/>
      <c r="U1242" s="379"/>
      <c r="V1242" s="379"/>
      <c r="W1242" s="379"/>
      <c r="X1242" s="379"/>
      <c r="Y1242" s="394"/>
      <c r="AA1242" s="182" t="e">
        <f t="shared" si="1225"/>
        <v>#DIV/0!</v>
      </c>
      <c r="AB1242" s="379"/>
      <c r="AC1242" s="175"/>
    </row>
    <row r="1243" spans="1:29" ht="12" hidden="1" customHeight="1" x14ac:dyDescent="0.3">
      <c r="A1243" s="184"/>
      <c r="B1243" s="184"/>
      <c r="C1243" s="184"/>
      <c r="D1243" s="184"/>
      <c r="E1243" s="184"/>
      <c r="F1243" s="184"/>
      <c r="G1243" s="184"/>
      <c r="H1243" s="184"/>
      <c r="I1243" s="184"/>
      <c r="J1243" s="184"/>
      <c r="K1243" s="184"/>
      <c r="L1243" s="124"/>
      <c r="M1243" s="349"/>
      <c r="N1243" s="350"/>
      <c r="O1243" s="379"/>
      <c r="P1243" s="379"/>
      <c r="Q1243" s="379"/>
      <c r="R1243" s="379"/>
      <c r="S1243" s="379"/>
      <c r="T1243" s="379"/>
      <c r="U1243" s="379"/>
      <c r="V1243" s="379"/>
      <c r="W1243" s="379"/>
      <c r="X1243" s="379"/>
      <c r="Y1243" s="394"/>
      <c r="AA1243" s="182" t="e">
        <f t="shared" si="1225"/>
        <v>#DIV/0!</v>
      </c>
      <c r="AB1243" s="379"/>
      <c r="AC1243" s="175"/>
    </row>
    <row r="1244" spans="1:29" ht="12" hidden="1" customHeight="1" x14ac:dyDescent="0.3">
      <c r="A1244" s="184"/>
      <c r="B1244" s="184"/>
      <c r="C1244" s="184"/>
      <c r="D1244" s="184"/>
      <c r="E1244" s="184"/>
      <c r="F1244" s="184"/>
      <c r="G1244" s="184"/>
      <c r="H1244" s="184"/>
      <c r="I1244" s="184"/>
      <c r="J1244" s="184"/>
      <c r="K1244" s="184"/>
      <c r="L1244" s="124"/>
      <c r="M1244" s="349"/>
      <c r="N1244" s="350"/>
      <c r="O1244" s="380"/>
      <c r="P1244" s="380"/>
      <c r="Q1244" s="380"/>
      <c r="R1244" s="380"/>
      <c r="S1244" s="380"/>
      <c r="T1244" s="380"/>
      <c r="U1244" s="380"/>
      <c r="V1244" s="380"/>
      <c r="W1244" s="380"/>
      <c r="X1244" s="380"/>
      <c r="Y1244" s="394"/>
      <c r="AA1244" s="182" t="e">
        <f t="shared" si="1225"/>
        <v>#DIV/0!</v>
      </c>
      <c r="AB1244" s="380"/>
      <c r="AC1244" s="140"/>
    </row>
    <row r="1245" spans="1:29" ht="12" hidden="1" customHeight="1" x14ac:dyDescent="0.3">
      <c r="A1245" s="184"/>
      <c r="B1245" s="184"/>
      <c r="C1245" s="184"/>
      <c r="D1245" s="184"/>
      <c r="E1245" s="184"/>
      <c r="F1245" s="184"/>
      <c r="G1245" s="184"/>
      <c r="H1245" s="184"/>
      <c r="I1245" s="184"/>
      <c r="J1245" s="184"/>
      <c r="K1245" s="184"/>
      <c r="L1245" s="124"/>
      <c r="M1245" s="349"/>
      <c r="N1245" s="350"/>
      <c r="O1245" s="380"/>
      <c r="P1245" s="380"/>
      <c r="Q1245" s="380"/>
      <c r="R1245" s="380"/>
      <c r="S1245" s="380"/>
      <c r="T1245" s="380"/>
      <c r="U1245" s="380"/>
      <c r="V1245" s="380"/>
      <c r="W1245" s="380"/>
      <c r="X1245" s="380"/>
      <c r="Y1245" s="394"/>
      <c r="AA1245" s="182" t="e">
        <f t="shared" si="1225"/>
        <v>#DIV/0!</v>
      </c>
      <c r="AB1245" s="380"/>
      <c r="AC1245" s="140"/>
    </row>
    <row r="1246" spans="1:29" ht="12" hidden="1" customHeight="1" x14ac:dyDescent="0.3">
      <c r="A1246" s="184"/>
      <c r="B1246" s="184"/>
      <c r="C1246" s="184"/>
      <c r="D1246" s="184"/>
      <c r="E1246" s="184"/>
      <c r="F1246" s="184"/>
      <c r="G1246" s="184"/>
      <c r="H1246" s="184"/>
      <c r="I1246" s="184"/>
      <c r="J1246" s="184"/>
      <c r="K1246" s="184"/>
      <c r="L1246" s="124"/>
      <c r="M1246" s="349"/>
      <c r="N1246" s="350"/>
      <c r="O1246" s="380"/>
      <c r="P1246" s="380"/>
      <c r="Q1246" s="380"/>
      <c r="R1246" s="380"/>
      <c r="S1246" s="380"/>
      <c r="T1246" s="380"/>
      <c r="U1246" s="380"/>
      <c r="V1246" s="380"/>
      <c r="W1246" s="380"/>
      <c r="X1246" s="380"/>
      <c r="Y1246" s="394"/>
      <c r="AA1246" s="182" t="e">
        <f t="shared" si="1225"/>
        <v>#DIV/0!</v>
      </c>
      <c r="AB1246" s="380"/>
      <c r="AC1246" s="140"/>
    </row>
    <row r="1247" spans="1:29" ht="12" hidden="1" customHeight="1" x14ac:dyDescent="0.3">
      <c r="A1247" s="184"/>
      <c r="B1247" s="184"/>
      <c r="C1247" s="184"/>
      <c r="D1247" s="184"/>
      <c r="E1247" s="184"/>
      <c r="F1247" s="184"/>
      <c r="G1247" s="184"/>
      <c r="H1247" s="184"/>
      <c r="I1247" s="184"/>
      <c r="J1247" s="184"/>
      <c r="K1247" s="184"/>
      <c r="L1247" s="124"/>
      <c r="M1247" s="349"/>
      <c r="N1247" s="350"/>
      <c r="O1247" s="379"/>
      <c r="P1247" s="379"/>
      <c r="Q1247" s="379"/>
      <c r="R1247" s="379"/>
      <c r="S1247" s="379"/>
      <c r="T1247" s="379"/>
      <c r="U1247" s="379"/>
      <c r="V1247" s="379"/>
      <c r="W1247" s="379"/>
      <c r="X1247" s="379"/>
      <c r="Y1247" s="394"/>
      <c r="AA1247" s="182" t="e">
        <f t="shared" si="1225"/>
        <v>#DIV/0!</v>
      </c>
      <c r="AB1247" s="379"/>
      <c r="AC1247" s="175"/>
    </row>
    <row r="1248" spans="1:29" ht="12" hidden="1" customHeight="1" x14ac:dyDescent="0.3">
      <c r="A1248" s="184"/>
      <c r="B1248" s="184"/>
      <c r="C1248" s="184"/>
      <c r="D1248" s="184"/>
      <c r="E1248" s="184"/>
      <c r="F1248" s="184"/>
      <c r="G1248" s="184"/>
      <c r="H1248" s="184"/>
      <c r="I1248" s="184"/>
      <c r="J1248" s="184"/>
      <c r="K1248" s="184"/>
      <c r="L1248" s="124"/>
      <c r="M1248" s="349"/>
      <c r="N1248" s="350"/>
      <c r="O1248" s="375">
        <v>20.279337969966949</v>
      </c>
      <c r="P1248" s="375">
        <v>20.353892218765999</v>
      </c>
      <c r="Q1248" s="375">
        <v>20.629584887769596</v>
      </c>
      <c r="R1248" s="375">
        <v>20.894291649346137</v>
      </c>
      <c r="S1248" s="375">
        <v>20.415477497087707</v>
      </c>
      <c r="T1248" s="375">
        <v>20.320806935232401</v>
      </c>
      <c r="U1248" s="375">
        <v>20.271616998670876</v>
      </c>
      <c r="V1248" s="375">
        <v>20.338515890026837</v>
      </c>
      <c r="W1248" s="375">
        <v>20.437616502815811</v>
      </c>
      <c r="X1248" s="375">
        <v>21.0874157889392</v>
      </c>
      <c r="Y1248" s="394"/>
      <c r="AA1248" s="182" t="e">
        <f t="shared" si="1225"/>
        <v>#DIV/0!</v>
      </c>
      <c r="AB1248" s="375">
        <v>21.495071762167967</v>
      </c>
      <c r="AC1248" s="172"/>
    </row>
    <row r="1249" spans="1:58" ht="12" hidden="1" customHeight="1" x14ac:dyDescent="0.3">
      <c r="A1249" s="184"/>
      <c r="B1249" s="184"/>
      <c r="C1249" s="184"/>
      <c r="D1249" s="184"/>
      <c r="E1249" s="184"/>
      <c r="F1249" s="184"/>
      <c r="G1249" s="184"/>
      <c r="H1249" s="184"/>
      <c r="I1249" s="184"/>
      <c r="J1249" s="184"/>
      <c r="K1249" s="184"/>
      <c r="L1249" s="124"/>
      <c r="M1249" s="349"/>
      <c r="N1249" s="350"/>
      <c r="O1249" s="375">
        <v>23.222426914297525</v>
      </c>
      <c r="P1249" s="375">
        <v>23.253562440421106</v>
      </c>
      <c r="Q1249" s="375">
        <v>23.262194120414243</v>
      </c>
      <c r="R1249" s="375">
        <v>23.391341938602331</v>
      </c>
      <c r="S1249" s="375">
        <v>23.416800697936232</v>
      </c>
      <c r="T1249" s="375">
        <v>23.345421521187195</v>
      </c>
      <c r="U1249" s="375">
        <v>23.546983090475006</v>
      </c>
      <c r="V1249" s="375">
        <v>23.628378059242156</v>
      </c>
      <c r="W1249" s="375">
        <v>23.669568278216733</v>
      </c>
      <c r="X1249" s="375">
        <v>22.281354666345308</v>
      </c>
      <c r="Y1249" s="394"/>
      <c r="AA1249" s="182" t="e">
        <f t="shared" si="1225"/>
        <v>#DIV/0!</v>
      </c>
      <c r="AB1249" s="375">
        <v>23.717775635256285</v>
      </c>
      <c r="AC1249" s="172"/>
    </row>
    <row r="1250" spans="1:58" ht="12" hidden="1" customHeight="1" x14ac:dyDescent="0.3">
      <c r="A1250" s="184"/>
      <c r="B1250" s="184"/>
      <c r="C1250" s="184"/>
      <c r="D1250" s="184"/>
      <c r="E1250" s="184"/>
      <c r="F1250" s="184"/>
      <c r="G1250" s="184"/>
      <c r="H1250" s="184"/>
      <c r="I1250" s="184"/>
      <c r="J1250" s="184"/>
      <c r="K1250" s="184"/>
      <c r="L1250" s="124"/>
      <c r="M1250" s="349"/>
      <c r="N1250" s="350"/>
      <c r="O1250" s="377">
        <v>0</v>
      </c>
      <c r="P1250" s="377">
        <v>0</v>
      </c>
      <c r="Q1250" s="377">
        <v>0</v>
      </c>
      <c r="R1250" s="377">
        <v>0</v>
      </c>
      <c r="S1250" s="377">
        <v>0</v>
      </c>
      <c r="T1250" s="377">
        <v>0</v>
      </c>
      <c r="U1250" s="377">
        <v>0</v>
      </c>
      <c r="V1250" s="377">
        <v>0</v>
      </c>
      <c r="W1250" s="377">
        <v>0</v>
      </c>
      <c r="X1250" s="377">
        <v>0</v>
      </c>
      <c r="Y1250" s="394"/>
      <c r="AA1250" s="182" t="e">
        <f t="shared" si="1225"/>
        <v>#DIV/0!</v>
      </c>
      <c r="AB1250" s="377">
        <v>0</v>
      </c>
      <c r="AC1250" s="176"/>
    </row>
    <row r="1251" spans="1:58" ht="12" hidden="1" customHeight="1" x14ac:dyDescent="0.3">
      <c r="A1251" s="184"/>
      <c r="B1251" s="184"/>
      <c r="C1251" s="184"/>
      <c r="D1251" s="184"/>
      <c r="E1251" s="184"/>
      <c r="F1251" s="184"/>
      <c r="G1251" s="184"/>
      <c r="H1251" s="184"/>
      <c r="I1251" s="184"/>
      <c r="J1251" s="184"/>
      <c r="K1251" s="184"/>
      <c r="L1251" s="124"/>
      <c r="M1251" s="349"/>
      <c r="N1251" s="350"/>
      <c r="O1251" s="380"/>
      <c r="P1251" s="380"/>
      <c r="Q1251" s="380"/>
      <c r="R1251" s="380"/>
      <c r="S1251" s="380"/>
      <c r="T1251" s="380"/>
      <c r="U1251" s="380"/>
      <c r="V1251" s="380"/>
      <c r="W1251" s="380"/>
      <c r="X1251" s="380"/>
      <c r="Y1251" s="394"/>
      <c r="AA1251" s="182" t="e">
        <f t="shared" si="1225"/>
        <v>#DIV/0!</v>
      </c>
      <c r="AB1251" s="380"/>
      <c r="AC1251" s="140"/>
    </row>
    <row r="1252" spans="1:58" ht="12" hidden="1" customHeight="1" x14ac:dyDescent="0.3">
      <c r="A1252" s="184"/>
      <c r="B1252" s="184"/>
      <c r="C1252" s="184"/>
      <c r="D1252" s="184"/>
      <c r="E1252" s="184"/>
      <c r="F1252" s="184"/>
      <c r="G1252" s="184"/>
      <c r="H1252" s="184"/>
      <c r="I1252" s="184"/>
      <c r="J1252" s="184"/>
      <c r="K1252" s="184"/>
      <c r="L1252" s="124"/>
      <c r="M1252" s="349"/>
      <c r="N1252" s="350"/>
      <c r="O1252" s="380"/>
      <c r="P1252" s="380"/>
      <c r="Q1252" s="380"/>
      <c r="R1252" s="380"/>
      <c r="S1252" s="380"/>
      <c r="T1252" s="380"/>
      <c r="U1252" s="380"/>
      <c r="V1252" s="380"/>
      <c r="W1252" s="380"/>
      <c r="X1252" s="380"/>
      <c r="Y1252" s="394"/>
      <c r="AA1252" s="182" t="e">
        <f t="shared" si="1225"/>
        <v>#DIV/0!</v>
      </c>
      <c r="AB1252" s="380"/>
      <c r="AC1252" s="140"/>
    </row>
    <row r="1253" spans="1:58" ht="12" hidden="1" customHeight="1" x14ac:dyDescent="0.3">
      <c r="A1253" s="184"/>
      <c r="B1253" s="184"/>
      <c r="C1253" s="184"/>
      <c r="D1253" s="184"/>
      <c r="E1253" s="184"/>
      <c r="F1253" s="184"/>
      <c r="G1253" s="184"/>
      <c r="H1253" s="184"/>
      <c r="I1253" s="184"/>
      <c r="J1253" s="184"/>
      <c r="K1253" s="184"/>
      <c r="L1253" s="124"/>
      <c r="M1253" s="349"/>
      <c r="N1253" s="350"/>
      <c r="O1253" s="380"/>
      <c r="P1253" s="380"/>
      <c r="Q1253" s="380"/>
      <c r="R1253" s="380"/>
      <c r="S1253" s="380"/>
      <c r="T1253" s="380"/>
      <c r="U1253" s="380"/>
      <c r="V1253" s="380"/>
      <c r="W1253" s="380"/>
      <c r="X1253" s="380"/>
      <c r="Y1253" s="394"/>
      <c r="AA1253" s="182" t="e">
        <f t="shared" si="1225"/>
        <v>#DIV/0!</v>
      </c>
      <c r="AB1253" s="380"/>
      <c r="AC1253" s="140"/>
    </row>
    <row r="1254" spans="1:58" ht="12" hidden="1" customHeight="1" x14ac:dyDescent="0.3">
      <c r="A1254" s="184"/>
      <c r="B1254" s="184"/>
      <c r="C1254" s="184"/>
      <c r="D1254" s="184"/>
      <c r="E1254" s="184"/>
      <c r="F1254" s="184"/>
      <c r="G1254" s="184"/>
      <c r="H1254" s="184"/>
      <c r="I1254" s="184"/>
      <c r="J1254" s="184"/>
      <c r="K1254" s="184"/>
      <c r="L1254" s="124"/>
      <c r="M1254" s="349"/>
      <c r="N1254" s="350"/>
      <c r="O1254" s="375">
        <v>13.449289029765668</v>
      </c>
      <c r="P1254" s="375">
        <v>12.768473490104762</v>
      </c>
      <c r="Q1254" s="375">
        <v>12.699428016039482</v>
      </c>
      <c r="R1254" s="375">
        <v>12.385313822604207</v>
      </c>
      <c r="S1254" s="375">
        <v>11.824983794298753</v>
      </c>
      <c r="T1254" s="375">
        <v>11.83419343286891</v>
      </c>
      <c r="U1254" s="375">
        <v>11.137496571397349</v>
      </c>
      <c r="V1254" s="375">
        <v>10.814511907113063</v>
      </c>
      <c r="W1254" s="375">
        <v>10.462451007808513</v>
      </c>
      <c r="X1254" s="375">
        <v>10.716728435472579</v>
      </c>
      <c r="Y1254" s="394"/>
      <c r="AA1254" s="182" t="e">
        <f t="shared" si="1225"/>
        <v>#DIV/0!</v>
      </c>
      <c r="AB1254" s="375">
        <v>10.452313232789979</v>
      </c>
      <c r="AC1254" s="171"/>
    </row>
    <row r="1255" spans="1:58" ht="12" hidden="1" customHeight="1" x14ac:dyDescent="0.3">
      <c r="A1255" s="184"/>
      <c r="B1255" s="184"/>
      <c r="C1255" s="184"/>
      <c r="D1255" s="184"/>
      <c r="E1255" s="184"/>
      <c r="F1255" s="184"/>
      <c r="G1255" s="184"/>
      <c r="H1255" s="184"/>
      <c r="I1255" s="184"/>
      <c r="J1255" s="184"/>
      <c r="K1255" s="184"/>
      <c r="L1255" s="124"/>
      <c r="M1255" s="349"/>
      <c r="N1255" s="350"/>
      <c r="O1255" s="375">
        <v>16.843182376638683</v>
      </c>
      <c r="P1255" s="375">
        <v>16.088020596897497</v>
      </c>
      <c r="Q1255" s="375">
        <v>16.643030464073895</v>
      </c>
      <c r="R1255" s="375">
        <v>16.327367109396114</v>
      </c>
      <c r="S1255" s="375">
        <v>16.018508770080999</v>
      </c>
      <c r="T1255" s="375">
        <v>16.129916323920099</v>
      </c>
      <c r="U1255" s="375">
        <v>15.255263352716387</v>
      </c>
      <c r="V1255" s="375">
        <v>14.957996711254831</v>
      </c>
      <c r="W1255" s="375">
        <v>14.391153260423813</v>
      </c>
      <c r="X1255" s="375">
        <v>13.492458018002335</v>
      </c>
      <c r="Y1255" s="394"/>
      <c r="AA1255" s="182" t="e">
        <f t="shared" si="1225"/>
        <v>#DIV/0!</v>
      </c>
      <c r="AB1255" s="375">
        <v>13.667222727518178</v>
      </c>
      <c r="AC1255" s="171"/>
    </row>
    <row r="1256" spans="1:58" ht="12" hidden="1" customHeight="1" x14ac:dyDescent="0.3">
      <c r="A1256" s="184"/>
      <c r="B1256" s="184"/>
      <c r="C1256" s="184"/>
      <c r="D1256" s="184"/>
      <c r="E1256" s="184"/>
      <c r="F1256" s="184"/>
      <c r="G1256" s="184"/>
      <c r="H1256" s="184"/>
      <c r="I1256" s="184"/>
      <c r="J1256" s="184"/>
      <c r="K1256" s="184"/>
      <c r="L1256" s="124"/>
      <c r="M1256" s="349"/>
      <c r="N1256" s="350"/>
      <c r="O1256" s="375"/>
      <c r="P1256" s="375"/>
      <c r="Q1256" s="375"/>
      <c r="R1256" s="375"/>
      <c r="S1256" s="375"/>
      <c r="T1256" s="375"/>
      <c r="U1256" s="375"/>
      <c r="V1256" s="375"/>
      <c r="W1256" s="375"/>
      <c r="X1256" s="375"/>
      <c r="Y1256" s="394"/>
      <c r="AA1256" s="182" t="e">
        <f t="shared" si="1225"/>
        <v>#DIV/0!</v>
      </c>
      <c r="AB1256" s="375"/>
      <c r="AC1256" s="175"/>
    </row>
    <row r="1257" spans="1:58" ht="12" hidden="1" customHeight="1" x14ac:dyDescent="0.3">
      <c r="A1257" s="184"/>
      <c r="B1257" s="184"/>
      <c r="C1257" s="184"/>
      <c r="D1257" s="184"/>
      <c r="E1257" s="184"/>
      <c r="F1257" s="184"/>
      <c r="G1257" s="184"/>
      <c r="H1257" s="184"/>
      <c r="I1257" s="184"/>
      <c r="J1257" s="184"/>
      <c r="K1257" s="184"/>
      <c r="L1257" s="124"/>
      <c r="M1257" s="349"/>
      <c r="N1257" s="350"/>
      <c r="O1257" s="377">
        <v>0</v>
      </c>
      <c r="P1257" s="377">
        <v>0</v>
      </c>
      <c r="Q1257" s="377">
        <v>0</v>
      </c>
      <c r="R1257" s="377">
        <v>0</v>
      </c>
      <c r="S1257" s="377">
        <v>0</v>
      </c>
      <c r="T1257" s="377">
        <v>0</v>
      </c>
      <c r="U1257" s="377">
        <v>0</v>
      </c>
      <c r="V1257" s="377">
        <v>0</v>
      </c>
      <c r="W1257" s="377">
        <v>0</v>
      </c>
      <c r="X1257" s="377">
        <v>0</v>
      </c>
      <c r="Y1257" s="394"/>
      <c r="AA1257" s="182" t="e">
        <f t="shared" si="1225"/>
        <v>#DIV/0!</v>
      </c>
      <c r="AB1257" s="377">
        <v>0</v>
      </c>
      <c r="AC1257" s="177"/>
    </row>
    <row r="1258" spans="1:58" ht="12" hidden="1" customHeight="1" x14ac:dyDescent="0.3">
      <c r="A1258" s="184"/>
      <c r="B1258" s="184"/>
      <c r="C1258" s="184"/>
      <c r="D1258" s="184"/>
      <c r="E1258" s="184"/>
      <c r="F1258" s="184"/>
      <c r="G1258" s="184"/>
      <c r="H1258" s="184"/>
      <c r="I1258" s="184"/>
      <c r="J1258" s="184"/>
      <c r="K1258" s="184"/>
      <c r="L1258" s="124"/>
      <c r="M1258" s="349"/>
      <c r="N1258" s="350"/>
      <c r="O1258" s="380"/>
      <c r="P1258" s="380"/>
      <c r="Q1258" s="380"/>
      <c r="R1258" s="380"/>
      <c r="S1258" s="380"/>
      <c r="T1258" s="380"/>
      <c r="U1258" s="380"/>
      <c r="V1258" s="380"/>
      <c r="W1258" s="380"/>
      <c r="X1258" s="380"/>
      <c r="Y1258" s="394"/>
      <c r="AA1258" s="182" t="e">
        <f t="shared" si="1225"/>
        <v>#DIV/0!</v>
      </c>
      <c r="AB1258" s="380"/>
      <c r="AC1258" s="140"/>
    </row>
    <row r="1259" spans="1:58" x14ac:dyDescent="0.3">
      <c r="A1259" s="184"/>
      <c r="B1259" s="184"/>
      <c r="C1259" s="184"/>
      <c r="D1259" s="184"/>
      <c r="E1259" s="184"/>
      <c r="F1259" s="184"/>
      <c r="G1259" s="184"/>
      <c r="H1259" s="184"/>
      <c r="I1259" s="184"/>
      <c r="J1259" s="184"/>
      <c r="K1259" s="184"/>
      <c r="L1259" s="124"/>
      <c r="M1259" s="364"/>
      <c r="N1259" s="365"/>
      <c r="O1259" s="184"/>
      <c r="P1259" s="184"/>
      <c r="Q1259" s="184"/>
      <c r="R1259" s="184"/>
      <c r="S1259" s="184"/>
      <c r="T1259" s="184"/>
      <c r="U1259" s="184"/>
      <c r="V1259" s="184"/>
      <c r="W1259" s="184"/>
      <c r="X1259" s="184"/>
      <c r="Y1259" s="394"/>
      <c r="Z1259" s="184"/>
      <c r="AA1259" s="184"/>
      <c r="AB1259" s="184"/>
      <c r="AC1259" s="184"/>
      <c r="AD1259" s="184"/>
      <c r="AE1259" s="184"/>
      <c r="AF1259" s="184"/>
      <c r="AG1259" s="184"/>
      <c r="AH1259" s="184"/>
      <c r="AI1259" s="184"/>
      <c r="AJ1259" s="184"/>
      <c r="AK1259" s="184"/>
      <c r="AL1259" s="184"/>
      <c r="AM1259" s="184"/>
      <c r="AN1259" s="184"/>
      <c r="AO1259" s="184"/>
      <c r="AP1259" s="184"/>
      <c r="AQ1259" s="184"/>
      <c r="AR1259" s="184"/>
      <c r="AS1259" s="184"/>
      <c r="AT1259" s="184"/>
      <c r="AU1259" s="184"/>
      <c r="AV1259" s="184"/>
      <c r="AW1259" s="184"/>
      <c r="AX1259" s="184"/>
      <c r="AY1259" s="184"/>
      <c r="AZ1259" s="184"/>
      <c r="BA1259" s="184"/>
      <c r="BB1259" s="184"/>
      <c r="BC1259" s="184"/>
      <c r="BD1259" s="184"/>
      <c r="BE1259" s="184"/>
      <c r="BF1259" s="184"/>
    </row>
    <row r="1260" spans="1:58" x14ac:dyDescent="0.3">
      <c r="A1260" s="184"/>
      <c r="B1260" s="184" t="s">
        <v>892</v>
      </c>
      <c r="C1260" s="184" t="s">
        <v>884</v>
      </c>
      <c r="D1260" s="184" t="s">
        <v>885</v>
      </c>
      <c r="E1260" s="184"/>
      <c r="F1260" s="184"/>
      <c r="G1260" s="184"/>
      <c r="H1260" s="184"/>
      <c r="I1260" s="184"/>
      <c r="J1260" s="184"/>
      <c r="K1260" s="184"/>
      <c r="L1260" s="124"/>
      <c r="M1260" s="77" t="s">
        <v>896</v>
      </c>
      <c r="N1260" s="365" t="s">
        <v>77</v>
      </c>
      <c r="O1260" s="355"/>
      <c r="P1260" s="355"/>
      <c r="Q1260" s="355"/>
      <c r="R1260" s="355"/>
      <c r="S1260" s="355"/>
      <c r="T1260" s="355"/>
      <c r="U1260" s="355"/>
      <c r="V1260" s="355"/>
      <c r="W1260" s="355"/>
      <c r="X1260" s="355"/>
      <c r="Y1260" s="394"/>
      <c r="Z1260" s="184"/>
      <c r="AA1260" s="184"/>
      <c r="AB1260" s="426">
        <f t="shared" ref="AB1260" si="1226">AB1145</f>
        <v>9177.7777777777792</v>
      </c>
      <c r="AC1260" s="426">
        <f t="shared" ref="AC1260" si="1227">AC1145</f>
        <v>9720.8333333333339</v>
      </c>
      <c r="AD1260" s="426">
        <f t="shared" ref="AD1260:BF1260" si="1228">AD1145</f>
        <v>9818.0416666666679</v>
      </c>
      <c r="AE1260" s="426">
        <f t="shared" si="1228"/>
        <v>9916.222083333334</v>
      </c>
      <c r="AF1260" s="426">
        <f t="shared" si="1228"/>
        <v>10015.384304166668</v>
      </c>
      <c r="AG1260" s="426">
        <f t="shared" si="1228"/>
        <v>10115.538147208335</v>
      </c>
      <c r="AH1260" s="426">
        <f t="shared" si="1228"/>
        <v>10216.693528680418</v>
      </c>
      <c r="AI1260" s="426">
        <f t="shared" si="1228"/>
        <v>10318.860463967223</v>
      </c>
      <c r="AJ1260" s="426">
        <f t="shared" si="1228"/>
        <v>10422.049068606895</v>
      </c>
      <c r="AK1260" s="426">
        <f t="shared" si="1228"/>
        <v>10526.269559292965</v>
      </c>
      <c r="AL1260" s="426">
        <f t="shared" si="1228"/>
        <v>10631.532254885895</v>
      </c>
      <c r="AM1260" s="426">
        <f t="shared" si="1228"/>
        <v>10737.847577434753</v>
      </c>
      <c r="AN1260" s="426">
        <f t="shared" si="1228"/>
        <v>10845.2260532091</v>
      </c>
      <c r="AO1260" s="426">
        <f t="shared" si="1228"/>
        <v>10953.678313741191</v>
      </c>
      <c r="AP1260" s="426">
        <f t="shared" si="1228"/>
        <v>11063.215096878603</v>
      </c>
      <c r="AQ1260" s="426">
        <f t="shared" si="1228"/>
        <v>11173.847247847389</v>
      </c>
      <c r="AR1260" s="426">
        <f t="shared" si="1228"/>
        <v>11285.585720325862</v>
      </c>
      <c r="AS1260" s="426">
        <f t="shared" si="1228"/>
        <v>11398.44157752912</v>
      </c>
      <c r="AT1260" s="426">
        <f t="shared" si="1228"/>
        <v>11512.42599330441</v>
      </c>
      <c r="AU1260" s="426">
        <f t="shared" si="1228"/>
        <v>11627.550253237454</v>
      </c>
      <c r="AV1260" s="426">
        <f t="shared" si="1228"/>
        <v>11743.825755769829</v>
      </c>
      <c r="AW1260" s="426">
        <f t="shared" si="1228"/>
        <v>11861.264013327527</v>
      </c>
      <c r="AX1260" s="426">
        <f t="shared" si="1228"/>
        <v>11979.876653460802</v>
      </c>
      <c r="AY1260" s="426">
        <f t="shared" si="1228"/>
        <v>12099.67541999541</v>
      </c>
      <c r="AZ1260" s="426">
        <f t="shared" si="1228"/>
        <v>12220.672174195364</v>
      </c>
      <c r="BA1260" s="426">
        <f t="shared" si="1228"/>
        <v>12342.878895937318</v>
      </c>
      <c r="BB1260" s="426">
        <f t="shared" si="1228"/>
        <v>12466.30768489669</v>
      </c>
      <c r="BC1260" s="426">
        <f t="shared" si="1228"/>
        <v>12590.970761745657</v>
      </c>
      <c r="BD1260" s="426">
        <f t="shared" si="1228"/>
        <v>12716.880469363114</v>
      </c>
      <c r="BE1260" s="426">
        <f t="shared" si="1228"/>
        <v>12844.049274056744</v>
      </c>
      <c r="BF1260" s="426">
        <f t="shared" si="1228"/>
        <v>12972.489766797311</v>
      </c>
    </row>
    <row r="1261" spans="1:58" x14ac:dyDescent="0.3">
      <c r="A1261" s="184"/>
      <c r="B1261" s="184"/>
      <c r="C1261" s="184"/>
      <c r="D1261" s="184"/>
      <c r="E1261" s="184"/>
      <c r="F1261" s="184"/>
      <c r="G1261" s="184"/>
      <c r="H1261" s="184"/>
      <c r="I1261" s="184"/>
      <c r="J1261" s="184"/>
      <c r="K1261" s="184"/>
      <c r="L1261" s="124"/>
      <c r="M1261" s="364"/>
      <c r="N1261" s="365"/>
      <c r="O1261" s="355"/>
      <c r="P1261" s="355"/>
      <c r="Q1261" s="355"/>
      <c r="R1261" s="355"/>
      <c r="S1261" s="355"/>
      <c r="T1261" s="355"/>
      <c r="U1261" s="355"/>
      <c r="V1261" s="355"/>
      <c r="W1261" s="355"/>
      <c r="X1261" s="355"/>
      <c r="Y1261" s="394"/>
      <c r="Z1261" s="184"/>
      <c r="AA1261" s="184"/>
      <c r="AB1261" s="356"/>
      <c r="AC1261" s="356"/>
      <c r="AD1261" s="184"/>
      <c r="AE1261" s="184"/>
      <c r="AF1261" s="184"/>
      <c r="AG1261" s="184"/>
      <c r="AH1261" s="184"/>
      <c r="AI1261" s="184"/>
      <c r="AJ1261" s="184"/>
      <c r="AK1261" s="184"/>
      <c r="AL1261" s="184"/>
      <c r="AM1261" s="184"/>
      <c r="AN1261" s="184"/>
      <c r="AO1261" s="184"/>
      <c r="AP1261" s="184"/>
      <c r="AQ1261" s="184"/>
      <c r="AR1261" s="184"/>
      <c r="AS1261" s="184"/>
      <c r="AT1261" s="184"/>
      <c r="AU1261" s="184"/>
      <c r="AV1261" s="184"/>
      <c r="AW1261" s="184"/>
      <c r="AX1261" s="184"/>
      <c r="AY1261" s="184"/>
      <c r="AZ1261" s="184"/>
      <c r="BA1261" s="184"/>
      <c r="BB1261" s="184"/>
      <c r="BC1261" s="184"/>
      <c r="BD1261" s="184"/>
      <c r="BE1261" s="184"/>
      <c r="BF1261" s="184"/>
    </row>
    <row r="1262" spans="1:58" x14ac:dyDescent="0.3">
      <c r="A1262" s="184"/>
      <c r="B1262" s="184"/>
      <c r="C1262" s="184"/>
      <c r="D1262" s="184"/>
      <c r="E1262" s="184"/>
      <c r="F1262" s="184"/>
      <c r="G1262" s="184"/>
      <c r="H1262" s="184"/>
      <c r="I1262" s="184"/>
      <c r="J1262" s="184"/>
      <c r="K1262" s="184"/>
      <c r="L1262" s="124"/>
      <c r="M1262" s="359" t="s">
        <v>1130</v>
      </c>
      <c r="N1262" s="359"/>
      <c r="O1262" s="359"/>
      <c r="P1262" s="359"/>
      <c r="Q1262" s="359"/>
      <c r="R1262" s="359"/>
      <c r="S1262" s="359"/>
      <c r="T1262" s="359"/>
      <c r="U1262" s="359"/>
      <c r="V1262" s="359"/>
      <c r="W1262" s="359"/>
      <c r="X1262" s="359"/>
      <c r="Y1262" s="398"/>
      <c r="Z1262" s="359"/>
      <c r="AA1262" s="359"/>
      <c r="AB1262" s="359"/>
      <c r="AC1262" s="359"/>
      <c r="AD1262" s="359"/>
      <c r="AE1262" s="359"/>
      <c r="AF1262" s="359"/>
      <c r="AG1262" s="359"/>
      <c r="AH1262" s="359"/>
      <c r="AI1262" s="359"/>
      <c r="AJ1262" s="359"/>
      <c r="AK1262" s="359"/>
      <c r="AL1262" s="359"/>
      <c r="AM1262" s="359"/>
      <c r="AN1262" s="359"/>
      <c r="AO1262" s="359"/>
      <c r="AP1262" s="359"/>
      <c r="AQ1262" s="359"/>
      <c r="AR1262" s="359"/>
      <c r="AS1262" s="359"/>
      <c r="AT1262" s="359"/>
      <c r="AU1262" s="359"/>
      <c r="AV1262" s="359"/>
      <c r="AW1262" s="359"/>
      <c r="AX1262" s="359"/>
      <c r="AY1262" s="359"/>
      <c r="AZ1262" s="359"/>
      <c r="BA1262" s="359"/>
      <c r="BB1262" s="359"/>
      <c r="BC1262" s="359"/>
      <c r="BD1262" s="359"/>
      <c r="BE1262" s="359"/>
      <c r="BF1262" s="359"/>
    </row>
    <row r="1263" spans="1:58" x14ac:dyDescent="0.3">
      <c r="A1263" s="184" t="str">
        <f>'EE Measures'!D21</f>
        <v>eT1</v>
      </c>
      <c r="B1263" s="184" t="s">
        <v>892</v>
      </c>
      <c r="C1263" s="184" t="s">
        <v>899</v>
      </c>
      <c r="D1263" s="184" t="s">
        <v>900</v>
      </c>
      <c r="E1263" s="511">
        <f>INDEX('EE Measures'!IF:IF,MATCH($A1263,'EE Measures'!$D:$D,0))</f>
        <v>1</v>
      </c>
      <c r="F1263" s="511">
        <f>INDEX('EE Measures'!IG:IG,MATCH($A1263,'EE Measures'!$D:$D,0))</f>
        <v>1</v>
      </c>
      <c r="G1263" s="511">
        <f>INDEX('EE Measures'!IH:IH,MATCH($A1263,'EE Measures'!$D:$D,0))</f>
        <v>1</v>
      </c>
      <c r="H1263" s="511">
        <f>INDEX('EE Measures'!II:II,MATCH($A1263,'EE Measures'!$D:$D,0))</f>
        <v>1</v>
      </c>
      <c r="I1263" s="511">
        <f>INDEX('EE Measures'!IJ:IJ,MATCH($A1263,'EE Measures'!$D:$D,0))</f>
        <v>1</v>
      </c>
      <c r="J1263" s="511">
        <f>INDEX('EE Measures'!IK:IK,MATCH($A1263,'EE Measures'!$D:$D,0))</f>
        <v>1</v>
      </c>
      <c r="K1263" s="511">
        <f>INDEX('EE Measures'!IL:IL,MATCH($A1263,'EE Measures'!$D:$D,0))</f>
        <v>1</v>
      </c>
      <c r="L1263" s="124"/>
      <c r="M1263" s="80" t="str">
        <f>INDEX('EE Measures'!$E$8:$E$40,MATCH(A1263,'EE Measures'!$D$8:$D$40,0))</f>
        <v>Eco-driving (2011-ongoing)</v>
      </c>
      <c r="N1263" s="365" t="s">
        <v>77</v>
      </c>
      <c r="O1263" s="192"/>
      <c r="P1263" s="192"/>
      <c r="Q1263" s="192"/>
      <c r="R1263" s="192"/>
      <c r="S1263" s="192"/>
      <c r="T1263" s="192"/>
      <c r="U1263" s="192"/>
      <c r="V1263" s="192"/>
      <c r="W1263" s="192"/>
      <c r="X1263" s="192"/>
      <c r="Y1263" s="394"/>
      <c r="Z1263" s="184"/>
      <c r="AA1263" s="184"/>
      <c r="AB1263" s="192"/>
      <c r="AC1263" s="146">
        <f>-INDEX('EE Measures'!AR$8:AR$86,MATCH($A1263,'EE Measures'!$D$8:$D$86,0))</f>
        <v>-8.6137581513028518</v>
      </c>
      <c r="AD1263" s="146">
        <f>-INDEX('EE Measures'!AS$8:AS$86,MATCH($A1263,'EE Measures'!$D$8:$D$86,0))</f>
        <v>-8.6137581513028518</v>
      </c>
      <c r="AE1263" s="114">
        <f>AD1263-INDEX('EE Measures'!AT$8:AT$86,MATCH($A1263,'EE Measures'!$D$8:$D$86,0))</f>
        <v>-8.6137581513028518</v>
      </c>
      <c r="AF1263" s="114">
        <f>AE1263-INDEX('EE Measures'!AU$8:AU$86,MATCH($A1263,'EE Measures'!$D$8:$D$86,0))</f>
        <v>-8.6137581513028518</v>
      </c>
      <c r="AG1263" s="114">
        <f>AF1263-INDEX('EE Measures'!AV$8:AV$86,MATCH($A1263,'EE Measures'!$D$8:$D$86,0))</f>
        <v>-8.6137581513028518</v>
      </c>
      <c r="AH1263" s="114">
        <f>AG1263-INDEX('EE Measures'!AW$8:AW$86,MATCH($A1263,'EE Measures'!$D$8:$D$86,0))</f>
        <v>-8.6137581513028518</v>
      </c>
      <c r="AI1263" s="114">
        <f>AH1263-INDEX('EE Measures'!AX$8:AX$86,MATCH($A1263,'EE Measures'!$D$8:$D$86,0))</f>
        <v>-8.6137581513028518</v>
      </c>
      <c r="AJ1263" s="114">
        <f>AI1263-INDEX('EE Measures'!AY$8:AY$86,MATCH($A1263,'EE Measures'!$D$8:$D$86,0))</f>
        <v>-8.6137581513028518</v>
      </c>
      <c r="AK1263" s="114">
        <f>AJ1263-INDEX('EE Measures'!AZ$8:AZ$86,MATCH($A1263,'EE Measures'!$D$8:$D$86,0))</f>
        <v>-8.6137581513028518</v>
      </c>
      <c r="AL1263" s="114">
        <f>AK1263-INDEX('EE Measures'!BA$8:BA$86,MATCH($A1263,'EE Measures'!$D$8:$D$86,0))</f>
        <v>-8.6137581513028518</v>
      </c>
      <c r="AM1263" s="184"/>
      <c r="AN1263" s="184"/>
      <c r="AO1263" s="184"/>
      <c r="AP1263" s="184"/>
      <c r="AQ1263" s="184"/>
      <c r="AR1263" s="184"/>
      <c r="AS1263" s="184"/>
      <c r="AT1263" s="184"/>
      <c r="AU1263" s="184"/>
      <c r="AV1263" s="184"/>
      <c r="AW1263" s="184"/>
      <c r="AX1263" s="184"/>
      <c r="AY1263" s="184"/>
      <c r="AZ1263" s="184"/>
      <c r="BA1263" s="184"/>
      <c r="BB1263" s="184"/>
      <c r="BC1263" s="184"/>
      <c r="BD1263" s="184"/>
      <c r="BE1263" s="184"/>
      <c r="BF1263" s="184"/>
    </row>
    <row r="1264" spans="1:58" x14ac:dyDescent="0.3">
      <c r="A1264" s="184" t="str">
        <f>'EE Measures'!D22</f>
        <v>eT2</v>
      </c>
      <c r="B1264" s="184" t="s">
        <v>892</v>
      </c>
      <c r="C1264" s="184" t="s">
        <v>899</v>
      </c>
      <c r="D1264" s="184" t="s">
        <v>900</v>
      </c>
      <c r="E1264" s="511">
        <f>INDEX('EE Measures'!IF:IF,MATCH($A1264,'EE Measures'!$D:$D,0))</f>
        <v>1</v>
      </c>
      <c r="F1264" s="511">
        <f>INDEX('EE Measures'!IG:IG,MATCH($A1264,'EE Measures'!$D:$D,0))</f>
        <v>1</v>
      </c>
      <c r="G1264" s="511">
        <f>INDEX('EE Measures'!IH:IH,MATCH($A1264,'EE Measures'!$D:$D,0))</f>
        <v>1</v>
      </c>
      <c r="H1264" s="511">
        <f>INDEX('EE Measures'!II:II,MATCH($A1264,'EE Measures'!$D:$D,0))</f>
        <v>1</v>
      </c>
      <c r="I1264" s="511">
        <f>INDEX('EE Measures'!IJ:IJ,MATCH($A1264,'EE Measures'!$D:$D,0))</f>
        <v>1</v>
      </c>
      <c r="J1264" s="511">
        <f>INDEX('EE Measures'!IK:IK,MATCH($A1264,'EE Measures'!$D:$D,0))</f>
        <v>1</v>
      </c>
      <c r="K1264" s="511">
        <f>INDEX('EE Measures'!IL:IL,MATCH($A1264,'EE Measures'!$D:$D,0))</f>
        <v>1</v>
      </c>
      <c r="L1264" s="124"/>
      <c r="M1264" s="80" t="str">
        <f>INDEX('EE Measures'!$E$8:$E$40,MATCH(A1264,'EE Measures'!$D$8:$D$40,0))</f>
        <v>Walking and cycling roads (2015-2018)</v>
      </c>
      <c r="N1264" s="365" t="s">
        <v>77</v>
      </c>
      <c r="O1264" s="355"/>
      <c r="P1264" s="355"/>
      <c r="Q1264" s="355"/>
      <c r="R1264" s="355"/>
      <c r="S1264" s="355"/>
      <c r="T1264" s="355"/>
      <c r="U1264" s="355"/>
      <c r="V1264" s="355"/>
      <c r="W1264" s="355"/>
      <c r="X1264" s="355"/>
      <c r="Y1264" s="394"/>
      <c r="Z1264" s="184"/>
      <c r="AA1264" s="184"/>
      <c r="AB1264" s="356"/>
      <c r="AC1264" s="146">
        <f>-INDEX('EE Measures'!AR$8:AR$86,MATCH($A1264,'EE Measures'!$D$8:$D$86,0))</f>
        <v>0</v>
      </c>
      <c r="AD1264" s="146">
        <f>-INDEX('EE Measures'!AS$8:AS$86,MATCH($A1264,'EE Measures'!$D$8:$D$86,0))</f>
        <v>0</v>
      </c>
      <c r="AE1264" s="114">
        <f>AD1264-INDEX('EE Measures'!AT$8:AT$86,MATCH($A1264,'EE Measures'!$D$8:$D$86,0))</f>
        <v>0</v>
      </c>
      <c r="AF1264" s="114">
        <f>AE1264-INDEX('EE Measures'!AU$8:AU$86,MATCH($A1264,'EE Measures'!$D$8:$D$86,0))</f>
        <v>-0.914696328</v>
      </c>
      <c r="AG1264" s="114">
        <f>AF1264-INDEX('EE Measures'!AV$8:AV$86,MATCH($A1264,'EE Measures'!$D$8:$D$86,0))</f>
        <v>-0.914696328</v>
      </c>
      <c r="AH1264" s="114">
        <f>AG1264-INDEX('EE Measures'!AW$8:AW$86,MATCH($A1264,'EE Measures'!$D$8:$D$86,0))</f>
        <v>-0.914696328</v>
      </c>
      <c r="AI1264" s="114">
        <f>AH1264-INDEX('EE Measures'!AX$8:AX$86,MATCH($A1264,'EE Measures'!$D$8:$D$86,0))</f>
        <v>-0.914696328</v>
      </c>
      <c r="AJ1264" s="114">
        <f>AI1264-INDEX('EE Measures'!AY$8:AY$86,MATCH($A1264,'EE Measures'!$D$8:$D$86,0))</f>
        <v>-0.914696328</v>
      </c>
      <c r="AK1264" s="114">
        <f>AJ1264-INDEX('EE Measures'!AZ$8:AZ$86,MATCH($A1264,'EE Measures'!$D$8:$D$86,0))</f>
        <v>-0.914696328</v>
      </c>
      <c r="AL1264" s="114">
        <f>AK1264-INDEX('EE Measures'!BA$8:BA$86,MATCH($A1264,'EE Measures'!$D$8:$D$86,0))</f>
        <v>-0.914696328</v>
      </c>
      <c r="AM1264" s="184"/>
      <c r="AN1264" s="184"/>
      <c r="AO1264" s="184"/>
      <c r="AP1264" s="184"/>
      <c r="AQ1264" s="184"/>
      <c r="AR1264" s="184"/>
      <c r="AS1264" s="184"/>
      <c r="AT1264" s="184"/>
      <c r="AU1264" s="184"/>
      <c r="AV1264" s="184"/>
      <c r="AW1264" s="184"/>
      <c r="AX1264" s="184"/>
      <c r="AY1264" s="184"/>
      <c r="AZ1264" s="184"/>
      <c r="BA1264" s="184"/>
      <c r="BB1264" s="184"/>
      <c r="BC1264" s="184"/>
      <c r="BD1264" s="184"/>
      <c r="BE1264" s="184"/>
      <c r="BF1264" s="184"/>
    </row>
    <row r="1265" spans="1:58" x14ac:dyDescent="0.3">
      <c r="A1265" s="184" t="str">
        <f>'EE Measures'!D23</f>
        <v>eT3</v>
      </c>
      <c r="B1265" s="184" t="s">
        <v>892</v>
      </c>
      <c r="C1265" s="184" t="s">
        <v>899</v>
      </c>
      <c r="D1265" s="184" t="s">
        <v>900</v>
      </c>
      <c r="E1265" s="511">
        <f>INDEX('EE Measures'!IF:IF,MATCH($A1265,'EE Measures'!$D:$D,0))</f>
        <v>1</v>
      </c>
      <c r="F1265" s="511">
        <f>INDEX('EE Measures'!IG:IG,MATCH($A1265,'EE Measures'!$D:$D,0))</f>
        <v>1</v>
      </c>
      <c r="G1265" s="511">
        <f>INDEX('EE Measures'!IH:IH,MATCH($A1265,'EE Measures'!$D:$D,0))</f>
        <v>1</v>
      </c>
      <c r="H1265" s="511">
        <f>INDEX('EE Measures'!II:II,MATCH($A1265,'EE Measures'!$D:$D,0))</f>
        <v>1</v>
      </c>
      <c r="I1265" s="511">
        <f>INDEX('EE Measures'!IJ:IJ,MATCH($A1265,'EE Measures'!$D:$D,0))</f>
        <v>1</v>
      </c>
      <c r="J1265" s="511">
        <f>INDEX('EE Measures'!IK:IK,MATCH($A1265,'EE Measures'!$D:$D,0))</f>
        <v>1</v>
      </c>
      <c r="K1265" s="511">
        <f>INDEX('EE Measures'!IL:IL,MATCH($A1265,'EE Measures'!$D:$D,0))</f>
        <v>1</v>
      </c>
      <c r="L1265" s="124"/>
      <c r="M1265" s="80" t="str">
        <f>INDEX('EE Measures'!$E$8:$E$40,MATCH(A1265,'EE Measures'!$D$8:$D$40,0))</f>
        <v>Mobile speed cameras (2019-on-going)</v>
      </c>
      <c r="N1265" s="365" t="s">
        <v>77</v>
      </c>
      <c r="O1265" s="355"/>
      <c r="P1265" s="355"/>
      <c r="Q1265" s="355"/>
      <c r="R1265" s="355"/>
      <c r="S1265" s="355"/>
      <c r="T1265" s="355"/>
      <c r="U1265" s="355"/>
      <c r="V1265" s="355"/>
      <c r="W1265" s="355"/>
      <c r="X1265" s="355"/>
      <c r="Y1265" s="394"/>
      <c r="Z1265" s="184"/>
      <c r="AA1265" s="184"/>
      <c r="AB1265" s="356"/>
      <c r="AC1265" s="146">
        <f>-INDEX('EE Measures'!AR$8:AR$86,MATCH($A1265,'EE Measures'!$D$8:$D$86,0))</f>
        <v>0</v>
      </c>
      <c r="AD1265" s="146">
        <f>-INDEX('EE Measures'!AS$8:AS$86,MATCH($A1265,'EE Measures'!$D$8:$D$86,0))</f>
        <v>0</v>
      </c>
      <c r="AE1265" s="114">
        <f>AD1265-INDEX('EE Measures'!AT$8:AT$86,MATCH($A1265,'EE Measures'!$D$8:$D$86,0))</f>
        <v>0</v>
      </c>
      <c r="AF1265" s="114">
        <f>AE1265-INDEX('EE Measures'!AU$8:AU$86,MATCH($A1265,'EE Measures'!$D$8:$D$86,0))</f>
        <v>0</v>
      </c>
      <c r="AG1265" s="114">
        <f>AF1265-INDEX('EE Measures'!AV$8:AV$86,MATCH($A1265,'EE Measures'!$D$8:$D$86,0))</f>
        <v>0</v>
      </c>
      <c r="AH1265" s="114">
        <f>AG1265-INDEX('EE Measures'!AW$8:AW$86,MATCH($A1265,'EE Measures'!$D$8:$D$86,0))</f>
        <v>0</v>
      </c>
      <c r="AI1265" s="114">
        <f>AH1265-INDEX('EE Measures'!AX$8:AX$86,MATCH($A1265,'EE Measures'!$D$8:$D$86,0))</f>
        <v>0</v>
      </c>
      <c r="AJ1265" s="114">
        <f>AI1265-INDEX('EE Measures'!AY$8:AY$86,MATCH($A1265,'EE Measures'!$D$8:$D$86,0))</f>
        <v>0</v>
      </c>
      <c r="AK1265" s="114">
        <f>AJ1265-INDEX('EE Measures'!AZ$8:AZ$86,MATCH($A1265,'EE Measures'!$D$8:$D$86,0))</f>
        <v>0</v>
      </c>
      <c r="AL1265" s="114">
        <f>AK1265-INDEX('EE Measures'!BA$8:BA$86,MATCH($A1265,'EE Measures'!$D$8:$D$86,0))</f>
        <v>0</v>
      </c>
      <c r="AM1265" s="184"/>
      <c r="AN1265" s="184"/>
      <c r="AO1265" s="184"/>
      <c r="AP1265" s="184"/>
      <c r="AQ1265" s="184"/>
      <c r="AR1265" s="184"/>
      <c r="AS1265" s="184"/>
      <c r="AT1265" s="184"/>
      <c r="AU1265" s="184"/>
      <c r="AV1265" s="184"/>
      <c r="AW1265" s="184"/>
      <c r="AX1265" s="184"/>
      <c r="AY1265" s="184"/>
      <c r="AZ1265" s="184"/>
      <c r="BA1265" s="184"/>
      <c r="BB1265" s="184"/>
      <c r="BC1265" s="184"/>
      <c r="BD1265" s="184"/>
      <c r="BE1265" s="184"/>
      <c r="BF1265" s="184"/>
    </row>
    <row r="1266" spans="1:58" x14ac:dyDescent="0.3">
      <c r="A1266" s="184" t="str">
        <f>'EE Measures'!D24</f>
        <v>eT4</v>
      </c>
      <c r="B1266" s="184" t="s">
        <v>892</v>
      </c>
      <c r="C1266" s="184" t="s">
        <v>899</v>
      </c>
      <c r="D1266" s="184" t="s">
        <v>900</v>
      </c>
      <c r="E1266" s="511">
        <f>INDEX('EE Measures'!IF:IF,MATCH($A1266,'EE Measures'!$D:$D,0))</f>
        <v>1</v>
      </c>
      <c r="F1266" s="511">
        <f>INDEX('EE Measures'!IG:IG,MATCH($A1266,'EE Measures'!$D:$D,0))</f>
        <v>1</v>
      </c>
      <c r="G1266" s="511">
        <f>INDEX('EE Measures'!IH:IH,MATCH($A1266,'EE Measures'!$D:$D,0))</f>
        <v>1</v>
      </c>
      <c r="H1266" s="511">
        <f>INDEX('EE Measures'!II:II,MATCH($A1266,'EE Measures'!$D:$D,0))</f>
        <v>1</v>
      </c>
      <c r="I1266" s="511">
        <f>INDEX('EE Measures'!IJ:IJ,MATCH($A1266,'EE Measures'!$D:$D,0))</f>
        <v>1</v>
      </c>
      <c r="J1266" s="511">
        <f>INDEX('EE Measures'!IK:IK,MATCH($A1266,'EE Measures'!$D:$D,0))</f>
        <v>1</v>
      </c>
      <c r="K1266" s="511">
        <f>INDEX('EE Measures'!IL:IL,MATCH($A1266,'EE Measures'!$D:$D,0))</f>
        <v>1</v>
      </c>
      <c r="L1266" s="124"/>
      <c r="M1266" s="80" t="str">
        <f>INDEX('EE Measures'!$E$8:$E$40,MATCH(A1266,'EE Measures'!$D$8:$D$40,0))</f>
        <v>Time-based road toll for heavy duty vehicles (2018-on-going)</v>
      </c>
      <c r="N1266" s="365" t="s">
        <v>77</v>
      </c>
      <c r="O1266" s="355"/>
      <c r="P1266" s="355"/>
      <c r="Q1266" s="355"/>
      <c r="R1266" s="355"/>
      <c r="S1266" s="355"/>
      <c r="T1266" s="355"/>
      <c r="U1266" s="355"/>
      <c r="V1266" s="355"/>
      <c r="W1266" s="355"/>
      <c r="X1266" s="355"/>
      <c r="Y1266" s="394"/>
      <c r="Z1266" s="184"/>
      <c r="AA1266" s="184"/>
      <c r="AB1266" s="356"/>
      <c r="AC1266" s="146">
        <f>-INDEX('EE Measures'!AR$8:AR$86,MATCH($A1266,'EE Measures'!$D$8:$D$86,0))</f>
        <v>0</v>
      </c>
      <c r="AD1266" s="146">
        <f>-INDEX('EE Measures'!AS$8:AS$86,MATCH($A1266,'EE Measures'!$D$8:$D$86,0))</f>
        <v>0</v>
      </c>
      <c r="AE1266" s="114">
        <f>AD1266-INDEX('EE Measures'!AT$8:AT$86,MATCH($A1266,'EE Measures'!$D$8:$D$86,0))</f>
        <v>0</v>
      </c>
      <c r="AF1266" s="114">
        <f>AE1266-INDEX('EE Measures'!AU$8:AU$86,MATCH($A1266,'EE Measures'!$D$8:$D$86,0))</f>
        <v>0</v>
      </c>
      <c r="AG1266" s="114">
        <f>AF1266-INDEX('EE Measures'!AV$8:AV$86,MATCH($A1266,'EE Measures'!$D$8:$D$86,0))</f>
        <v>0</v>
      </c>
      <c r="AH1266" s="114">
        <f>AG1266-INDEX('EE Measures'!AW$8:AW$86,MATCH($A1266,'EE Measures'!$D$8:$D$86,0))</f>
        <v>0</v>
      </c>
      <c r="AI1266" s="114">
        <f>AH1266-INDEX('EE Measures'!AX$8:AX$86,MATCH($A1266,'EE Measures'!$D$8:$D$86,0))</f>
        <v>0</v>
      </c>
      <c r="AJ1266" s="114">
        <f>AI1266-INDEX('EE Measures'!AY$8:AY$86,MATCH($A1266,'EE Measures'!$D$8:$D$86,0))</f>
        <v>0</v>
      </c>
      <c r="AK1266" s="114">
        <f>AJ1266-INDEX('EE Measures'!AZ$8:AZ$86,MATCH($A1266,'EE Measures'!$D$8:$D$86,0))</f>
        <v>0</v>
      </c>
      <c r="AL1266" s="114">
        <f>AK1266-INDEX('EE Measures'!BA$8:BA$86,MATCH($A1266,'EE Measures'!$D$8:$D$86,0))</f>
        <v>0</v>
      </c>
      <c r="AM1266" s="184"/>
      <c r="AN1266" s="184"/>
      <c r="AO1266" s="184"/>
      <c r="AP1266" s="184"/>
      <c r="AQ1266" s="184"/>
      <c r="AR1266" s="184"/>
      <c r="AS1266" s="184"/>
      <c r="AT1266" s="184"/>
      <c r="AU1266" s="184"/>
      <c r="AV1266" s="184"/>
      <c r="AW1266" s="184"/>
      <c r="AX1266" s="184"/>
      <c r="AY1266" s="184"/>
      <c r="AZ1266" s="184"/>
      <c r="BA1266" s="184"/>
      <c r="BB1266" s="184"/>
      <c r="BC1266" s="184"/>
      <c r="BD1266" s="184"/>
      <c r="BE1266" s="184"/>
      <c r="BF1266" s="184"/>
    </row>
    <row r="1267" spans="1:58" x14ac:dyDescent="0.3">
      <c r="A1267" s="184" t="str">
        <f>'EE Measures'!D25</f>
        <v>eT5</v>
      </c>
      <c r="B1267" s="184" t="s">
        <v>892</v>
      </c>
      <c r="C1267" s="184" t="s">
        <v>899</v>
      </c>
      <c r="D1267" s="184" t="s">
        <v>900</v>
      </c>
      <c r="E1267" s="511">
        <f>INDEX('EE Measures'!IF:IF,MATCH($A1267,'EE Measures'!$D:$D,0))</f>
        <v>1</v>
      </c>
      <c r="F1267" s="511">
        <f>INDEX('EE Measures'!IG:IG,MATCH($A1267,'EE Measures'!$D:$D,0))</f>
        <v>1</v>
      </c>
      <c r="G1267" s="511">
        <f>INDEX('EE Measures'!IH:IH,MATCH($A1267,'EE Measures'!$D:$D,0))</f>
        <v>1</v>
      </c>
      <c r="H1267" s="511">
        <f>INDEX('EE Measures'!II:II,MATCH($A1267,'EE Measures'!$D:$D,0))</f>
        <v>1</v>
      </c>
      <c r="I1267" s="511">
        <f>INDEX('EE Measures'!IJ:IJ,MATCH($A1267,'EE Measures'!$D:$D,0))</f>
        <v>1</v>
      </c>
      <c r="J1267" s="511">
        <f>INDEX('EE Measures'!IK:IK,MATCH($A1267,'EE Measures'!$D:$D,0))</f>
        <v>1</v>
      </c>
      <c r="K1267" s="511">
        <f>INDEX('EE Measures'!IL:IL,MATCH($A1267,'EE Measures'!$D:$D,0))</f>
        <v>1</v>
      </c>
      <c r="L1267" s="124"/>
      <c r="M1267" s="80" t="str">
        <f>INDEX('EE Measures'!$E$8:$E$40,MATCH(A1267,'EE Measures'!$D$8:$D$40,0))</f>
        <v>Electric car purchase and rental programme (2019-on-going)</v>
      </c>
      <c r="N1267" s="365" t="s">
        <v>77</v>
      </c>
      <c r="O1267" s="355"/>
      <c r="P1267" s="355"/>
      <c r="Q1267" s="355"/>
      <c r="R1267" s="355"/>
      <c r="S1267" s="355"/>
      <c r="T1267" s="355"/>
      <c r="U1267" s="355"/>
      <c r="V1267" s="355"/>
      <c r="W1267" s="355"/>
      <c r="X1267" s="355"/>
      <c r="Y1267" s="394"/>
      <c r="Z1267" s="184"/>
      <c r="AA1267" s="184"/>
      <c r="AB1267" s="356"/>
      <c r="AC1267" s="146">
        <f>-INDEX('EE Measures'!AR$8:AR$86,MATCH($A1267,'EE Measures'!$D$8:$D$86,0))</f>
        <v>0</v>
      </c>
      <c r="AD1267" s="146">
        <f>-INDEX('EE Measures'!AS$8:AS$86,MATCH($A1267,'EE Measures'!$D$8:$D$86,0))</f>
        <v>0</v>
      </c>
      <c r="AE1267" s="114">
        <f>AD1267-INDEX('EE Measures'!AT$8:AT$86,MATCH($A1267,'EE Measures'!$D$8:$D$86,0))</f>
        <v>-5.8668000000000005</v>
      </c>
      <c r="AF1267" s="114">
        <f>AE1267-INDEX('EE Measures'!AU$8:AU$86,MATCH($A1267,'EE Measures'!$D$8:$D$86,0))</f>
        <v>-5.8668000000000005</v>
      </c>
      <c r="AG1267" s="114">
        <f>AF1267-INDEX('EE Measures'!AV$8:AV$86,MATCH($A1267,'EE Measures'!$D$8:$D$86,0))</f>
        <v>-5.8668000000000005</v>
      </c>
      <c r="AH1267" s="114">
        <f>AG1267-INDEX('EE Measures'!AW$8:AW$86,MATCH($A1267,'EE Measures'!$D$8:$D$86,0))</f>
        <v>-5.8668000000000005</v>
      </c>
      <c r="AI1267" s="114">
        <f>AH1267-INDEX('EE Measures'!AX$8:AX$86,MATCH($A1267,'EE Measures'!$D$8:$D$86,0))</f>
        <v>-5.8668000000000005</v>
      </c>
      <c r="AJ1267" s="114">
        <f>AI1267-INDEX('EE Measures'!AY$8:AY$86,MATCH($A1267,'EE Measures'!$D$8:$D$86,0))</f>
        <v>-5.8668000000000005</v>
      </c>
      <c r="AK1267" s="114">
        <f>AJ1267-INDEX('EE Measures'!AZ$8:AZ$86,MATCH($A1267,'EE Measures'!$D$8:$D$86,0))</f>
        <v>-5.8668000000000005</v>
      </c>
      <c r="AL1267" s="114">
        <f>AK1267-INDEX('EE Measures'!BA$8:BA$86,MATCH($A1267,'EE Measures'!$D$8:$D$86,0))</f>
        <v>-5.8668000000000005</v>
      </c>
      <c r="AM1267" s="184"/>
      <c r="AN1267" s="184"/>
      <c r="AO1267" s="184"/>
      <c r="AP1267" s="184"/>
      <c r="AQ1267" s="184"/>
      <c r="AR1267" s="184"/>
      <c r="AS1267" s="184"/>
      <c r="AT1267" s="184"/>
      <c r="AU1267" s="184"/>
      <c r="AV1267" s="184"/>
      <c r="AW1267" s="184"/>
      <c r="AX1267" s="184"/>
      <c r="AY1267" s="184"/>
      <c r="AZ1267" s="184"/>
      <c r="BA1267" s="184"/>
      <c r="BB1267" s="184"/>
      <c r="BC1267" s="184"/>
      <c r="BD1267" s="184"/>
      <c r="BE1267" s="184"/>
      <c r="BF1267" s="184"/>
    </row>
    <row r="1268" spans="1:58" x14ac:dyDescent="0.3">
      <c r="A1268" s="184"/>
      <c r="B1268" s="184"/>
      <c r="C1268" s="184"/>
      <c r="D1268" s="184"/>
      <c r="E1268" s="184"/>
      <c r="F1268" s="184"/>
      <c r="G1268" s="184"/>
      <c r="H1268" s="184"/>
      <c r="I1268" s="184"/>
      <c r="J1268" s="184"/>
      <c r="K1268" s="184"/>
      <c r="L1268" s="124"/>
      <c r="M1268" s="85" t="s">
        <v>1160</v>
      </c>
      <c r="N1268" s="365" t="s">
        <v>77</v>
      </c>
      <c r="O1268" s="355"/>
      <c r="P1268" s="355"/>
      <c r="Q1268" s="355"/>
      <c r="R1268" s="355"/>
      <c r="S1268" s="355"/>
      <c r="T1268" s="355"/>
      <c r="U1268" s="355"/>
      <c r="V1268" s="355"/>
      <c r="W1268" s="355"/>
      <c r="X1268" s="355"/>
      <c r="Y1268" s="394"/>
      <c r="AB1268" s="356"/>
      <c r="AC1268" s="425">
        <f t="shared" ref="AC1268" si="1229">AC1260+SUM(AC1263:AC1267)</f>
        <v>9712.2195751820309</v>
      </c>
      <c r="AD1268" s="425">
        <f t="shared" ref="AD1268:AL1268" si="1230">AD1260+SUM(AD1263:AD1267)</f>
        <v>9809.4279085153648</v>
      </c>
      <c r="AE1268" s="425">
        <f t="shared" si="1230"/>
        <v>9901.7415251820312</v>
      </c>
      <c r="AF1268" s="425">
        <f t="shared" si="1230"/>
        <v>9999.989049687365</v>
      </c>
      <c r="AG1268" s="425">
        <f t="shared" si="1230"/>
        <v>10100.142892729033</v>
      </c>
      <c r="AH1268" s="425">
        <f t="shared" si="1230"/>
        <v>10201.298274201115</v>
      </c>
      <c r="AI1268" s="425">
        <f t="shared" si="1230"/>
        <v>10303.46520948792</v>
      </c>
      <c r="AJ1268" s="425">
        <f t="shared" si="1230"/>
        <v>10406.653814127592</v>
      </c>
      <c r="AK1268" s="425">
        <f t="shared" si="1230"/>
        <v>10510.874304813662</v>
      </c>
      <c r="AL1268" s="425">
        <f t="shared" si="1230"/>
        <v>10616.137000406592</v>
      </c>
      <c r="AM1268" s="184"/>
      <c r="AN1268" s="184"/>
      <c r="AO1268" s="184"/>
      <c r="AP1268" s="184"/>
      <c r="AQ1268" s="184"/>
      <c r="AR1268" s="184"/>
      <c r="AS1268" s="184"/>
      <c r="AT1268" s="184"/>
      <c r="AU1268" s="184"/>
      <c r="AV1268" s="184"/>
      <c r="AW1268" s="184"/>
      <c r="AX1268" s="184"/>
      <c r="AY1268" s="184"/>
      <c r="AZ1268" s="184"/>
      <c r="BA1268" s="184"/>
      <c r="BB1268" s="184"/>
      <c r="BC1268" s="184"/>
      <c r="BD1268" s="184"/>
      <c r="BE1268" s="184"/>
      <c r="BF1268" s="184"/>
    </row>
    <row r="1269" spans="1:58" ht="14.25" thickBot="1" x14ac:dyDescent="0.35">
      <c r="A1269" s="184"/>
      <c r="B1269" s="184"/>
      <c r="C1269" s="184"/>
      <c r="D1269" s="184"/>
      <c r="E1269" s="184"/>
      <c r="F1269" s="184"/>
      <c r="G1269" s="184"/>
      <c r="H1269" s="184"/>
      <c r="I1269" s="184"/>
      <c r="J1269" s="184"/>
      <c r="K1269" s="184"/>
      <c r="L1269" s="124"/>
      <c r="M1269" s="72" t="s">
        <v>915</v>
      </c>
      <c r="N1269" s="469" t="s">
        <v>68</v>
      </c>
      <c r="O1269" s="355"/>
      <c r="P1269" s="355"/>
      <c r="Q1269" s="355"/>
      <c r="R1269" s="355"/>
      <c r="S1269" s="355"/>
      <c r="T1269" s="355"/>
      <c r="U1269" s="355"/>
      <c r="V1269" s="355"/>
      <c r="W1269" s="355"/>
      <c r="X1269" s="355"/>
      <c r="Y1269" s="394"/>
      <c r="AB1269" s="356"/>
      <c r="AC1269" s="428">
        <f>(AC$1260-AC1268)/AC$1260</f>
        <v>8.8611314029692708E-4</v>
      </c>
      <c r="AD1269" s="428">
        <f>(AD$1260-AD1268)/AD$1260</f>
        <v>8.7733974286824455E-4</v>
      </c>
      <c r="AE1269" s="428">
        <f>((AE$1260-AE1268)-(AD$1260-AD1268))/AE$1260</f>
        <v>5.9163660824623873E-4</v>
      </c>
      <c r="AF1269" s="428">
        <f t="shared" ref="AF1269:AL1269" si="1231">((AF$1260-AF1268)-(AE$1260-AE1268))/AF$1260</f>
        <v>9.1329129289572313E-5</v>
      </c>
      <c r="AG1269" s="428">
        <f t="shared" si="1231"/>
        <v>0</v>
      </c>
      <c r="AH1269" s="428">
        <f t="shared" si="1231"/>
        <v>0</v>
      </c>
      <c r="AI1269" s="428">
        <f t="shared" si="1231"/>
        <v>0</v>
      </c>
      <c r="AJ1269" s="428">
        <f t="shared" si="1231"/>
        <v>0</v>
      </c>
      <c r="AK1269" s="428">
        <f t="shared" si="1231"/>
        <v>0</v>
      </c>
      <c r="AL1269" s="429">
        <f t="shared" si="1231"/>
        <v>0</v>
      </c>
      <c r="AM1269" s="184"/>
      <c r="AN1269" s="184"/>
      <c r="AO1269" s="184"/>
      <c r="AP1269" s="184"/>
      <c r="AQ1269" s="184"/>
      <c r="AR1269" s="184"/>
      <c r="AS1269" s="184"/>
      <c r="AT1269" s="184"/>
      <c r="AU1269" s="184"/>
      <c r="AV1269" s="184"/>
      <c r="AW1269" s="184"/>
      <c r="AX1269" s="184"/>
      <c r="AY1269" s="184"/>
      <c r="AZ1269" s="184"/>
      <c r="BA1269" s="184"/>
      <c r="BB1269" s="184"/>
      <c r="BC1269" s="184"/>
      <c r="BD1269" s="184"/>
      <c r="BE1269" s="184"/>
      <c r="BF1269" s="184"/>
    </row>
    <row r="1270" spans="1:58" ht="14.25" thickBot="1" x14ac:dyDescent="0.35">
      <c r="A1270" s="184"/>
      <c r="B1270" s="184"/>
      <c r="C1270" s="184"/>
      <c r="D1270" s="184"/>
      <c r="E1270" s="184"/>
      <c r="F1270" s="184"/>
      <c r="G1270" s="184"/>
      <c r="H1270" s="184"/>
      <c r="I1270" s="184"/>
      <c r="J1270" s="184"/>
      <c r="K1270" s="184"/>
      <c r="L1270" s="124"/>
      <c r="M1270" s="72" t="s">
        <v>916</v>
      </c>
      <c r="N1270" s="469" t="s">
        <v>68</v>
      </c>
      <c r="O1270" s="355"/>
      <c r="P1270" s="355"/>
      <c r="Q1270" s="355"/>
      <c r="R1270" s="355"/>
      <c r="S1270" s="355"/>
      <c r="T1270" s="355"/>
      <c r="U1270" s="355"/>
      <c r="V1270" s="355"/>
      <c r="W1270" s="355"/>
      <c r="X1270" s="355"/>
      <c r="Y1270" s="394"/>
      <c r="AB1270" s="356"/>
      <c r="AC1270" s="196"/>
      <c r="AD1270" s="196"/>
      <c r="AE1270" s="196"/>
      <c r="AF1270" s="196"/>
      <c r="AG1270" s="196"/>
      <c r="AH1270" s="196"/>
      <c r="AI1270" s="196"/>
      <c r="AJ1270" s="196"/>
      <c r="AK1270" s="196"/>
      <c r="AL1270" s="431">
        <f>((AL$1260-AL1268)/AL$1260)/9</f>
        <v>1.6089720559776509E-4</v>
      </c>
      <c r="AM1270" s="184"/>
      <c r="AN1270" s="184"/>
      <c r="AO1270" s="184"/>
      <c r="AP1270" s="184"/>
      <c r="AQ1270" s="184"/>
      <c r="AR1270" s="184"/>
      <c r="AS1270" s="184"/>
      <c r="AT1270" s="184"/>
      <c r="AU1270" s="184"/>
      <c r="AV1270" s="184"/>
      <c r="AW1270" s="184"/>
      <c r="AX1270" s="184"/>
      <c r="AY1270" s="184"/>
      <c r="AZ1270" s="184"/>
      <c r="BA1270" s="184"/>
      <c r="BB1270" s="184"/>
      <c r="BC1270" s="184"/>
      <c r="BD1270" s="184"/>
      <c r="BE1270" s="184"/>
      <c r="BF1270" s="184"/>
    </row>
    <row r="1271" spans="1:58" x14ac:dyDescent="0.3">
      <c r="A1271" s="184"/>
      <c r="B1271" s="184"/>
      <c r="C1271" s="184"/>
      <c r="D1271" s="184"/>
      <c r="E1271" s="184"/>
      <c r="F1271" s="184"/>
      <c r="G1271" s="184"/>
      <c r="H1271" s="184"/>
      <c r="I1271" s="184"/>
      <c r="J1271" s="184"/>
      <c r="K1271" s="184"/>
      <c r="L1271" s="124"/>
      <c r="M1271" s="359" t="s">
        <v>1131</v>
      </c>
      <c r="N1271" s="360"/>
      <c r="O1271" s="357"/>
      <c r="P1271" s="357"/>
      <c r="Q1271" s="357"/>
      <c r="R1271" s="357"/>
      <c r="S1271" s="357"/>
      <c r="T1271" s="357"/>
      <c r="U1271" s="357"/>
      <c r="V1271" s="357"/>
      <c r="W1271" s="357"/>
      <c r="X1271" s="357"/>
      <c r="Y1271" s="397"/>
      <c r="Z1271" s="362"/>
      <c r="AA1271" s="362"/>
      <c r="AB1271" s="358"/>
      <c r="AC1271" s="362"/>
      <c r="AD1271" s="362"/>
      <c r="AE1271" s="362"/>
      <c r="AF1271" s="362"/>
      <c r="AG1271" s="362"/>
      <c r="AH1271" s="362"/>
      <c r="AI1271" s="362"/>
      <c r="AJ1271" s="362"/>
      <c r="AK1271" s="362"/>
      <c r="AL1271" s="363"/>
      <c r="AM1271" s="361"/>
      <c r="AN1271" s="361"/>
      <c r="AO1271" s="361"/>
      <c r="AP1271" s="361"/>
      <c r="AQ1271" s="361"/>
      <c r="AR1271" s="361"/>
      <c r="AS1271" s="361"/>
      <c r="AT1271" s="361"/>
      <c r="AU1271" s="361"/>
      <c r="AV1271" s="361"/>
      <c r="AW1271" s="361"/>
      <c r="AX1271" s="361"/>
      <c r="AY1271" s="361"/>
      <c r="AZ1271" s="361"/>
      <c r="BA1271" s="361"/>
      <c r="BB1271" s="361"/>
      <c r="BC1271" s="361"/>
      <c r="BD1271" s="361"/>
      <c r="BE1271" s="361"/>
      <c r="BF1271" s="361"/>
    </row>
    <row r="1272" spans="1:58" x14ac:dyDescent="0.3">
      <c r="A1272" s="184" t="str">
        <f>'EE Measures'!D64</f>
        <v>nT1</v>
      </c>
      <c r="B1272" s="184" t="s">
        <v>892</v>
      </c>
      <c r="C1272" s="184" t="s">
        <v>917</v>
      </c>
      <c r="D1272" s="184" t="s">
        <v>900</v>
      </c>
      <c r="E1272" s="511">
        <f>INDEX('EE Measures'!IF:IF,MATCH($A1272,'EE Measures'!$D:$D,0))</f>
        <v>0</v>
      </c>
      <c r="F1272" s="511">
        <f>INDEX('EE Measures'!IG:IG,MATCH($A1272,'EE Measures'!$D:$D,0))</f>
        <v>0.4</v>
      </c>
      <c r="G1272" s="511">
        <f>INDEX('EE Measures'!IH:IH,MATCH($A1272,'EE Measures'!$D:$D,0))</f>
        <v>0.4</v>
      </c>
      <c r="H1272" s="511">
        <f>INDEX('EE Measures'!II:II,MATCH($A1272,'EE Measures'!$D:$D,0))</f>
        <v>0.4</v>
      </c>
      <c r="I1272" s="511">
        <f>INDEX('EE Measures'!IJ:IJ,MATCH($A1272,'EE Measures'!$D:$D,0))</f>
        <v>1</v>
      </c>
      <c r="J1272" s="511">
        <f>INDEX('EE Measures'!IK:IK,MATCH($A1272,'EE Measures'!$D:$D,0))</f>
        <v>0.4</v>
      </c>
      <c r="K1272" s="511">
        <f>INDEX('EE Measures'!IL:IL,MATCH($A1272,'EE Measures'!$D:$D,0))</f>
        <v>1</v>
      </c>
      <c r="L1272" s="124"/>
      <c r="M1272" s="179" t="str">
        <f>INDEX('EE Measures'!$E$42:$E$86,MATCH($A1272,'EE Measures'!$D$42:$D$86,0))</f>
        <v>Promotion of clean and energy efficient road transport vehicles in public procurement</v>
      </c>
      <c r="N1272" s="365" t="s">
        <v>77</v>
      </c>
      <c r="O1272" s="355"/>
      <c r="P1272" s="355"/>
      <c r="Q1272" s="355"/>
      <c r="R1272" s="355"/>
      <c r="S1272" s="355"/>
      <c r="T1272" s="355"/>
      <c r="U1272" s="355"/>
      <c r="V1272" s="355"/>
      <c r="W1272" s="355"/>
      <c r="X1272" s="355"/>
      <c r="Y1272" s="394"/>
      <c r="Z1272" s="184"/>
      <c r="AA1272" s="184"/>
      <c r="AB1272" s="356"/>
      <c r="AC1272" s="146">
        <f>-INDEX('EE Measures'!AR$8:AR$86,MATCH($A1272,'EE Measures'!$D$8:$D$86,0))</f>
        <v>0</v>
      </c>
      <c r="AD1272" s="146">
        <f>-INDEX('EE Measures'!AS$8:AS$86,MATCH($A1272,'EE Measures'!$D$8:$D$86,0))</f>
        <v>0</v>
      </c>
      <c r="AE1272" s="114">
        <f>AD1272-INDEX('EE Measures'!AT$8:AT$86,MATCH($A1272,'EE Measures'!$D$8:$D$86,0))</f>
        <v>0</v>
      </c>
      <c r="AF1272" s="114">
        <f>AE1272-INDEX('EE Measures'!AU$8:AU$86,MATCH($A1272,'EE Measures'!$D$8:$D$86,0))</f>
        <v>0</v>
      </c>
      <c r="AG1272" s="114">
        <f>AF1272-INDEX('EE Measures'!AV$8:AV$86,MATCH($A1272,'EE Measures'!$D$8:$D$86,0))</f>
        <v>-13.844151616568801</v>
      </c>
      <c r="AH1272" s="114">
        <f>AG1272-INDEX('EE Measures'!AW$8:AW$86,MATCH($A1272,'EE Measures'!$D$8:$D$86,0))</f>
        <v>-27.688303233137603</v>
      </c>
      <c r="AI1272" s="114">
        <f>AH1272-INDEX('EE Measures'!AX$8:AX$86,MATCH($A1272,'EE Measures'!$D$8:$D$86,0))</f>
        <v>-41.532454849706404</v>
      </c>
      <c r="AJ1272" s="114">
        <f>AI1272-INDEX('EE Measures'!AY$8:AY$86,MATCH($A1272,'EE Measures'!$D$8:$D$86,0))</f>
        <v>-55.376606466275206</v>
      </c>
      <c r="AK1272" s="114">
        <f>AJ1272-INDEX('EE Measures'!AZ$8:AZ$86,MATCH($A1272,'EE Measures'!$D$8:$D$86,0))</f>
        <v>-69.220758082844014</v>
      </c>
      <c r="AL1272" s="114">
        <f>AK1272-INDEX('EE Measures'!BA$8:BA$86,MATCH($A1272,'EE Measures'!$D$8:$D$86,0))</f>
        <v>-83.064909699412823</v>
      </c>
      <c r="AM1272" s="184"/>
      <c r="AN1272" s="184"/>
      <c r="AO1272" s="184"/>
      <c r="AP1272" s="184"/>
      <c r="AQ1272" s="184"/>
      <c r="AR1272" s="184"/>
      <c r="AS1272" s="184"/>
      <c r="AT1272" s="184"/>
      <c r="AU1272" s="184"/>
      <c r="AV1272" s="184"/>
      <c r="AW1272" s="184"/>
      <c r="AX1272" s="184"/>
      <c r="AY1272" s="184"/>
      <c r="AZ1272" s="184"/>
      <c r="BA1272" s="184"/>
      <c r="BB1272" s="184"/>
      <c r="BC1272" s="184"/>
      <c r="BD1272" s="184"/>
      <c r="BE1272" s="184"/>
      <c r="BF1272" s="184"/>
    </row>
    <row r="1273" spans="1:58" x14ac:dyDescent="0.3">
      <c r="A1273" s="184" t="str">
        <f>'EE Measures'!D65</f>
        <v>nT2</v>
      </c>
      <c r="B1273" s="184" t="s">
        <v>892</v>
      </c>
      <c r="C1273" s="184" t="s">
        <v>917</v>
      </c>
      <c r="D1273" s="184" t="s">
        <v>900</v>
      </c>
      <c r="E1273" s="511">
        <f>INDEX('EE Measures'!IF:IF,MATCH($A1273,'EE Measures'!$D:$D,0))</f>
        <v>0</v>
      </c>
      <c r="F1273" s="511">
        <f>INDEX('EE Measures'!IG:IG,MATCH($A1273,'EE Measures'!$D:$D,0))</f>
        <v>0.4</v>
      </c>
      <c r="G1273" s="511">
        <f>INDEX('EE Measures'!IH:IH,MATCH($A1273,'EE Measures'!$D:$D,0))</f>
        <v>0.4</v>
      </c>
      <c r="H1273" s="511">
        <f>INDEX('EE Measures'!II:II,MATCH($A1273,'EE Measures'!$D:$D,0))</f>
        <v>0.4</v>
      </c>
      <c r="I1273" s="511">
        <f>INDEX('EE Measures'!IJ:IJ,MATCH($A1273,'EE Measures'!$D:$D,0))</f>
        <v>2</v>
      </c>
      <c r="J1273" s="511">
        <f>INDEX('EE Measures'!IK:IK,MATCH($A1273,'EE Measures'!$D:$D,0))</f>
        <v>1</v>
      </c>
      <c r="K1273" s="511">
        <f>INDEX('EE Measures'!IL:IL,MATCH($A1273,'EE Measures'!$D:$D,0))</f>
        <v>2</v>
      </c>
      <c r="L1273" s="124"/>
      <c r="M1273" s="179" t="str">
        <f>INDEX('EE Measures'!$E$42:$E$86,MATCH($A1273,'EE Measures'!$D$42:$D$86,0))</f>
        <v>Subsidy for public transport usage instead of personal vehicle</v>
      </c>
      <c r="N1273" s="365" t="s">
        <v>77</v>
      </c>
      <c r="O1273" s="355"/>
      <c r="P1273" s="355"/>
      <c r="Q1273" s="355"/>
      <c r="R1273" s="355"/>
      <c r="S1273" s="355"/>
      <c r="T1273" s="355"/>
      <c r="U1273" s="355"/>
      <c r="V1273" s="355"/>
      <c r="W1273" s="355"/>
      <c r="X1273" s="355"/>
      <c r="Y1273" s="394"/>
      <c r="Z1273" s="184"/>
      <c r="AA1273" s="184"/>
      <c r="AB1273" s="356"/>
      <c r="AC1273" s="146">
        <f>-INDEX('EE Measures'!AR$8:AR$86,MATCH($A1273,'EE Measures'!$D$8:$D$86,0))</f>
        <v>0</v>
      </c>
      <c r="AD1273" s="146">
        <f>-INDEX('EE Measures'!AS$8:AS$86,MATCH($A1273,'EE Measures'!$D$8:$D$86,0))</f>
        <v>0</v>
      </c>
      <c r="AE1273" s="114">
        <f>AD1273-INDEX('EE Measures'!AT$8:AT$86,MATCH($A1273,'EE Measures'!$D$8:$D$86,0))</f>
        <v>0</v>
      </c>
      <c r="AF1273" s="114">
        <f>AE1273-INDEX('EE Measures'!AU$8:AU$86,MATCH($A1273,'EE Measures'!$D$8:$D$86,0))</f>
        <v>0</v>
      </c>
      <c r="AG1273" s="114">
        <f>AF1273-INDEX('EE Measures'!AV$8:AV$86,MATCH($A1273,'EE Measures'!$D$8:$D$86,0))</f>
        <v>-23.329459244952506</v>
      </c>
      <c r="AH1273" s="114">
        <f>AG1273-INDEX('EE Measures'!AW$8:AW$86,MATCH($A1273,'EE Measures'!$D$8:$D$86,0))</f>
        <v>-25.662405169447759</v>
      </c>
      <c r="AI1273" s="114">
        <f>AH1273-INDEX('EE Measures'!AX$8:AX$86,MATCH($A1273,'EE Measures'!$D$8:$D$86,0))</f>
        <v>-27.995351093943007</v>
      </c>
      <c r="AJ1273" s="114">
        <f>AI1273-INDEX('EE Measures'!AY$8:AY$86,MATCH($A1273,'EE Measures'!$D$8:$D$86,0))</f>
        <v>-30.328297018438256</v>
      </c>
      <c r="AK1273" s="114">
        <f>AJ1273-INDEX('EE Measures'!AZ$8:AZ$86,MATCH($A1273,'EE Measures'!$D$8:$D$86,0))</f>
        <v>-32.661242942933505</v>
      </c>
      <c r="AL1273" s="114">
        <f>AK1273-INDEX('EE Measures'!BA$8:BA$86,MATCH($A1273,'EE Measures'!$D$8:$D$86,0))</f>
        <v>-34.994188867428754</v>
      </c>
      <c r="AM1273" s="184"/>
      <c r="AN1273" s="184"/>
      <c r="AO1273" s="184"/>
      <c r="AP1273" s="184"/>
      <c r="AQ1273" s="184"/>
      <c r="AR1273" s="184"/>
      <c r="AS1273" s="184"/>
      <c r="AT1273" s="184"/>
      <c r="AU1273" s="184"/>
      <c r="AV1273" s="184"/>
      <c r="AW1273" s="184"/>
      <c r="AX1273" s="184"/>
      <c r="AY1273" s="184"/>
      <c r="AZ1273" s="184"/>
      <c r="BA1273" s="184"/>
      <c r="BB1273" s="184"/>
      <c r="BC1273" s="184"/>
      <c r="BD1273" s="184"/>
      <c r="BE1273" s="184"/>
      <c r="BF1273" s="184"/>
    </row>
    <row r="1274" spans="1:58" x14ac:dyDescent="0.3">
      <c r="A1274" s="184" t="str">
        <f>'EE Measures'!D66</f>
        <v>nT3</v>
      </c>
      <c r="B1274" s="184" t="s">
        <v>892</v>
      </c>
      <c r="C1274" s="184" t="s">
        <v>917</v>
      </c>
      <c r="D1274" s="184" t="s">
        <v>900</v>
      </c>
      <c r="E1274" s="511">
        <f>INDEX('EE Measures'!IF:IF,MATCH($A1274,'EE Measures'!$D:$D,0))</f>
        <v>0</v>
      </c>
      <c r="F1274" s="511">
        <f>INDEX('EE Measures'!IG:IG,MATCH($A1274,'EE Measures'!$D:$D,0))</f>
        <v>0.4</v>
      </c>
      <c r="G1274" s="511">
        <f>INDEX('EE Measures'!IH:IH,MATCH($A1274,'EE Measures'!$D:$D,0))</f>
        <v>0.4</v>
      </c>
      <c r="H1274" s="511">
        <f>INDEX('EE Measures'!II:II,MATCH($A1274,'EE Measures'!$D:$D,0))</f>
        <v>0.4</v>
      </c>
      <c r="I1274" s="511">
        <f>INDEX('EE Measures'!IJ:IJ,MATCH($A1274,'EE Measures'!$D:$D,0))</f>
        <v>1</v>
      </c>
      <c r="J1274" s="511">
        <f>INDEX('EE Measures'!IK:IK,MATCH($A1274,'EE Measures'!$D:$D,0))</f>
        <v>1</v>
      </c>
      <c r="K1274" s="511">
        <f>INDEX('EE Measures'!IL:IL,MATCH($A1274,'EE Measures'!$D:$D,0))</f>
        <v>1</v>
      </c>
      <c r="L1274" s="124"/>
      <c r="M1274" s="179" t="str">
        <f>INDEX('EE Measures'!$E$42:$E$86,MATCH($A1274,'EE Measures'!$D$42:$D$86,0))</f>
        <v>Priority lanes for micromobility</v>
      </c>
      <c r="N1274" s="365" t="s">
        <v>77</v>
      </c>
      <c r="O1274" s="355"/>
      <c r="P1274" s="355"/>
      <c r="Q1274" s="355"/>
      <c r="R1274" s="355"/>
      <c r="S1274" s="355"/>
      <c r="T1274" s="355"/>
      <c r="U1274" s="355"/>
      <c r="V1274" s="355"/>
      <c r="W1274" s="355"/>
      <c r="X1274" s="355"/>
      <c r="Y1274" s="394"/>
      <c r="Z1274" s="184"/>
      <c r="AA1274" s="184"/>
      <c r="AB1274" s="356"/>
      <c r="AC1274" s="146">
        <f>-INDEX('EE Measures'!AR$8:AR$86,MATCH($A1274,'EE Measures'!$D$8:$D$86,0))</f>
        <v>0</v>
      </c>
      <c r="AD1274" s="146">
        <f>-INDEX('EE Measures'!AS$8:AS$86,MATCH($A1274,'EE Measures'!$D$8:$D$86,0))</f>
        <v>0</v>
      </c>
      <c r="AE1274" s="114">
        <f>AD1274-INDEX('EE Measures'!AT$8:AT$86,MATCH($A1274,'EE Measures'!$D$8:$D$86,0))</f>
        <v>0</v>
      </c>
      <c r="AF1274" s="114">
        <f>AE1274-INDEX('EE Measures'!AU$8:AU$86,MATCH($A1274,'EE Measures'!$D$8:$D$86,0))</f>
        <v>0</v>
      </c>
      <c r="AG1274" s="114">
        <f>AF1274-INDEX('EE Measures'!AV$8:AV$86,MATCH($A1274,'EE Measures'!$D$8:$D$86,0))</f>
        <v>-23.329459244952506</v>
      </c>
      <c r="AH1274" s="114">
        <f>AG1274-INDEX('EE Measures'!AW$8:AW$86,MATCH($A1274,'EE Measures'!$D$8:$D$86,0))</f>
        <v>-46.658918489905012</v>
      </c>
      <c r="AI1274" s="114">
        <f>AH1274-INDEX('EE Measures'!AX$8:AX$86,MATCH($A1274,'EE Measures'!$D$8:$D$86,0))</f>
        <v>-69.988377734857522</v>
      </c>
      <c r="AJ1274" s="114">
        <f>AI1274-INDEX('EE Measures'!AY$8:AY$86,MATCH($A1274,'EE Measures'!$D$8:$D$86,0))</f>
        <v>-93.317836979810025</v>
      </c>
      <c r="AK1274" s="114">
        <f>AJ1274-INDEX('EE Measures'!AZ$8:AZ$86,MATCH($A1274,'EE Measures'!$D$8:$D$86,0))</f>
        <v>-116.64729622476253</v>
      </c>
      <c r="AL1274" s="114">
        <f>AK1274-INDEX('EE Measures'!BA$8:BA$86,MATCH($A1274,'EE Measures'!$D$8:$D$86,0))</f>
        <v>-139.97675546971504</v>
      </c>
      <c r="AM1274" s="184"/>
      <c r="AN1274" s="184"/>
      <c r="AO1274" s="184"/>
      <c r="AP1274" s="184"/>
      <c r="AQ1274" s="184"/>
      <c r="AR1274" s="184"/>
      <c r="AS1274" s="184"/>
      <c r="AT1274" s="184"/>
      <c r="AU1274" s="184"/>
      <c r="AV1274" s="184"/>
      <c r="AW1274" s="184"/>
      <c r="AX1274" s="184"/>
      <c r="AY1274" s="184"/>
      <c r="AZ1274" s="184"/>
      <c r="BA1274" s="184"/>
      <c r="BB1274" s="184"/>
      <c r="BC1274" s="184"/>
      <c r="BD1274" s="184"/>
      <c r="BE1274" s="184"/>
      <c r="BF1274" s="184"/>
    </row>
    <row r="1275" spans="1:58" x14ac:dyDescent="0.3">
      <c r="A1275" s="184" t="str">
        <f>'EE Measures'!D67</f>
        <v>nT4</v>
      </c>
      <c r="B1275" s="184" t="s">
        <v>892</v>
      </c>
      <c r="C1275" s="184" t="s">
        <v>917</v>
      </c>
      <c r="D1275" s="184" t="s">
        <v>900</v>
      </c>
      <c r="E1275" s="511">
        <f>INDEX('EE Measures'!IF:IF,MATCH($A1275,'EE Measures'!$D:$D,0))</f>
        <v>0</v>
      </c>
      <c r="F1275" s="511">
        <f>INDEX('EE Measures'!IG:IG,MATCH($A1275,'EE Measures'!$D:$D,0))</f>
        <v>0.4</v>
      </c>
      <c r="G1275" s="511">
        <f>INDEX('EE Measures'!IH:IH,MATCH($A1275,'EE Measures'!$D:$D,0))</f>
        <v>0.4</v>
      </c>
      <c r="H1275" s="511">
        <f>INDEX('EE Measures'!II:II,MATCH($A1275,'EE Measures'!$D:$D,0))</f>
        <v>0.4</v>
      </c>
      <c r="I1275" s="511">
        <f>INDEX('EE Measures'!IJ:IJ,MATCH($A1275,'EE Measures'!$D:$D,0))</f>
        <v>1</v>
      </c>
      <c r="J1275" s="511">
        <f>INDEX('EE Measures'!IK:IK,MATCH($A1275,'EE Measures'!$D:$D,0))</f>
        <v>1</v>
      </c>
      <c r="K1275" s="511">
        <f>INDEX('EE Measures'!IL:IL,MATCH($A1275,'EE Measures'!$D:$D,0))</f>
        <v>1</v>
      </c>
      <c r="L1275" s="124"/>
      <c r="M1275" s="179" t="str">
        <f>INDEX('EE Measures'!$E$42:$E$86,MATCH($A1275,'EE Measures'!$D$42:$D$86,0))</f>
        <v>Electric charging infrastructure for existing inhabitance areas</v>
      </c>
      <c r="N1275" s="365" t="s">
        <v>77</v>
      </c>
      <c r="O1275" s="355"/>
      <c r="P1275" s="355"/>
      <c r="Q1275" s="355"/>
      <c r="R1275" s="355"/>
      <c r="S1275" s="355"/>
      <c r="T1275" s="355"/>
      <c r="U1275" s="355"/>
      <c r="V1275" s="355"/>
      <c r="W1275" s="355"/>
      <c r="X1275" s="355"/>
      <c r="Y1275" s="394"/>
      <c r="Z1275" s="184"/>
      <c r="AA1275" s="184"/>
      <c r="AB1275" s="356"/>
      <c r="AC1275" s="146">
        <f>-INDEX('EE Measures'!AR$8:AR$86,MATCH($A1275,'EE Measures'!$D$8:$D$86,0))</f>
        <v>0</v>
      </c>
      <c r="AD1275" s="146">
        <f>-INDEX('EE Measures'!AS$8:AS$86,MATCH($A1275,'EE Measures'!$D$8:$D$86,0))</f>
        <v>0</v>
      </c>
      <c r="AE1275" s="114">
        <f>AD1275-INDEX('EE Measures'!AT$8:AT$86,MATCH($A1275,'EE Measures'!$D$8:$D$86,0))</f>
        <v>0</v>
      </c>
      <c r="AF1275" s="114">
        <f>AE1275-INDEX('EE Measures'!AU$8:AU$86,MATCH($A1275,'EE Measures'!$D$8:$D$86,0))</f>
        <v>0</v>
      </c>
      <c r="AG1275" s="114">
        <f>AF1275-INDEX('EE Measures'!AV$8:AV$86,MATCH($A1275,'EE Measures'!$D$8:$D$86,0))</f>
        <v>-1.2215985801305524</v>
      </c>
      <c r="AH1275" s="114">
        <f>AG1275-INDEX('EE Measures'!AW$8:AW$86,MATCH($A1275,'EE Measures'!$D$8:$D$86,0))</f>
        <v>-2.4431971602611049</v>
      </c>
      <c r="AI1275" s="114">
        <f>AH1275-INDEX('EE Measures'!AX$8:AX$86,MATCH($A1275,'EE Measures'!$D$8:$D$86,0))</f>
        <v>-3.6647957403916571</v>
      </c>
      <c r="AJ1275" s="114">
        <f>AI1275-INDEX('EE Measures'!AY$8:AY$86,MATCH($A1275,'EE Measures'!$D$8:$D$86,0))</f>
        <v>-4.8863943205222098</v>
      </c>
      <c r="AK1275" s="114">
        <f>AJ1275-INDEX('EE Measures'!AZ$8:AZ$86,MATCH($A1275,'EE Measures'!$D$8:$D$86,0))</f>
        <v>-6.1079929006527625</v>
      </c>
      <c r="AL1275" s="114">
        <f>AK1275-INDEX('EE Measures'!BA$8:BA$86,MATCH($A1275,'EE Measures'!$D$8:$D$86,0))</f>
        <v>-7.3295914807833151</v>
      </c>
      <c r="AM1275" s="184"/>
      <c r="AN1275" s="184"/>
      <c r="AO1275" s="184"/>
      <c r="AP1275" s="184"/>
      <c r="AQ1275" s="184"/>
      <c r="AR1275" s="184"/>
      <c r="AS1275" s="184"/>
      <c r="AT1275" s="184"/>
      <c r="AU1275" s="184"/>
      <c r="AV1275" s="184"/>
      <c r="AW1275" s="184"/>
      <c r="AX1275" s="184"/>
      <c r="AY1275" s="184"/>
      <c r="AZ1275" s="184"/>
      <c r="BA1275" s="184"/>
      <c r="BB1275" s="184"/>
      <c r="BC1275" s="184"/>
      <c r="BD1275" s="184"/>
      <c r="BE1275" s="184"/>
      <c r="BF1275" s="184"/>
    </row>
    <row r="1276" spans="1:58" x14ac:dyDescent="0.3">
      <c r="A1276" s="184" t="str">
        <f>'EE Measures'!D68</f>
        <v>nT5</v>
      </c>
      <c r="B1276" s="184" t="s">
        <v>892</v>
      </c>
      <c r="C1276" s="184" t="s">
        <v>917</v>
      </c>
      <c r="D1276" s="184" t="s">
        <v>900</v>
      </c>
      <c r="E1276" s="511">
        <f>INDEX('EE Measures'!IF:IF,MATCH($A1276,'EE Measures'!$D:$D,0))</f>
        <v>0</v>
      </c>
      <c r="F1276" s="511">
        <f>INDEX('EE Measures'!IG:IG,MATCH($A1276,'EE Measures'!$D:$D,0))</f>
        <v>0</v>
      </c>
      <c r="G1276" s="511">
        <f>INDEX('EE Measures'!IH:IH,MATCH($A1276,'EE Measures'!$D:$D,0))</f>
        <v>0</v>
      </c>
      <c r="H1276" s="511">
        <f>INDEX('EE Measures'!II:II,MATCH($A1276,'EE Measures'!$D:$D,0))</f>
        <v>0</v>
      </c>
      <c r="I1276" s="511">
        <f>INDEX('EE Measures'!IJ:IJ,MATCH($A1276,'EE Measures'!$D:$D,0))</f>
        <v>0</v>
      </c>
      <c r="J1276" s="511">
        <f>INDEX('EE Measures'!IK:IK,MATCH($A1276,'EE Measures'!$D:$D,0))</f>
        <v>0</v>
      </c>
      <c r="K1276" s="511">
        <f>INDEX('EE Measures'!IL:IL,MATCH($A1276,'EE Measures'!$D:$D,0))</f>
        <v>0</v>
      </c>
      <c r="L1276" s="124"/>
      <c r="M1276" s="179" t="str">
        <f>INDEX('EE Measures'!$E$42:$E$86,MATCH($A1276,'EE Measures'!$D$42:$D$86,0))</f>
        <v>Biomethane infrastructure</v>
      </c>
      <c r="N1276" s="365" t="s">
        <v>77</v>
      </c>
      <c r="O1276" s="355"/>
      <c r="P1276" s="355"/>
      <c r="Q1276" s="355"/>
      <c r="R1276" s="355"/>
      <c r="S1276" s="355"/>
      <c r="T1276" s="355"/>
      <c r="U1276" s="355"/>
      <c r="V1276" s="355"/>
      <c r="W1276" s="355"/>
      <c r="X1276" s="355"/>
      <c r="Y1276" s="394"/>
      <c r="Z1276" s="184"/>
      <c r="AA1276" s="184"/>
      <c r="AB1276" s="356"/>
      <c r="AC1276" s="146">
        <f>-INDEX('EE Measures'!AR$8:AR$86,MATCH($A1276,'EE Measures'!$D$8:$D$86,0))</f>
        <v>0</v>
      </c>
      <c r="AD1276" s="146">
        <f>-INDEX('EE Measures'!AS$8:AS$86,MATCH($A1276,'EE Measures'!$D$8:$D$86,0))</f>
        <v>0</v>
      </c>
      <c r="AE1276" s="114">
        <f>AD1276-INDEX('EE Measures'!AT$8:AT$86,MATCH($A1276,'EE Measures'!$D$8:$D$86,0))</f>
        <v>0</v>
      </c>
      <c r="AF1276" s="114">
        <f>AE1276-INDEX('EE Measures'!AU$8:AU$86,MATCH($A1276,'EE Measures'!$D$8:$D$86,0))</f>
        <v>0</v>
      </c>
      <c r="AG1276" s="114">
        <f>AF1276-INDEX('EE Measures'!AV$8:AV$86,MATCH($A1276,'EE Measures'!$D$8:$D$86,0))</f>
        <v>-1.6195895781135814</v>
      </c>
      <c r="AH1276" s="114">
        <f>AG1276-INDEX('EE Measures'!AW$8:AW$86,MATCH($A1276,'EE Measures'!$D$8:$D$86,0))</f>
        <v>-3.2391791562271628</v>
      </c>
      <c r="AI1276" s="114">
        <f>AH1276-INDEX('EE Measures'!AX$8:AX$86,MATCH($A1276,'EE Measures'!$D$8:$D$86,0))</f>
        <v>-4.8587687343407442</v>
      </c>
      <c r="AJ1276" s="114">
        <f>AI1276-INDEX('EE Measures'!AY$8:AY$86,MATCH($A1276,'EE Measures'!$D$8:$D$86,0))</f>
        <v>-6.4783583124543256</v>
      </c>
      <c r="AK1276" s="114">
        <f>AJ1276-INDEX('EE Measures'!AZ$8:AZ$86,MATCH($A1276,'EE Measures'!$D$8:$D$86,0))</f>
        <v>-8.097947890567907</v>
      </c>
      <c r="AL1276" s="114">
        <f>AK1276-INDEX('EE Measures'!BA$8:BA$86,MATCH($A1276,'EE Measures'!$D$8:$D$86,0))</f>
        <v>-9.7175374686814884</v>
      </c>
      <c r="AM1276" s="184"/>
      <c r="AN1276" s="184"/>
      <c r="AO1276" s="184"/>
      <c r="AP1276" s="184"/>
      <c r="AQ1276" s="184"/>
      <c r="AR1276" s="184"/>
      <c r="AS1276" s="184"/>
      <c r="AT1276" s="184"/>
      <c r="AU1276" s="184"/>
      <c r="AV1276" s="184"/>
      <c r="AW1276" s="184"/>
      <c r="AX1276" s="184"/>
      <c r="AY1276" s="184"/>
      <c r="AZ1276" s="184"/>
      <c r="BA1276" s="184"/>
      <c r="BB1276" s="184"/>
      <c r="BC1276" s="184"/>
      <c r="BD1276" s="184"/>
      <c r="BE1276" s="184"/>
      <c r="BF1276" s="184"/>
    </row>
    <row r="1277" spans="1:58" x14ac:dyDescent="0.3">
      <c r="A1277" s="184" t="str">
        <f>'EE Measures'!D69</f>
        <v>nT6</v>
      </c>
      <c r="B1277" s="184" t="s">
        <v>892</v>
      </c>
      <c r="C1277" s="184" t="s">
        <v>917</v>
      </c>
      <c r="D1277" s="184" t="s">
        <v>900</v>
      </c>
      <c r="E1277" s="511">
        <f>INDEX('EE Measures'!IF:IF,MATCH($A1277,'EE Measures'!$D:$D,0))</f>
        <v>0</v>
      </c>
      <c r="F1277" s="511">
        <f>INDEX('EE Measures'!IG:IG,MATCH($A1277,'EE Measures'!$D:$D,0))</f>
        <v>0</v>
      </c>
      <c r="G1277" s="511">
        <f>INDEX('EE Measures'!IH:IH,MATCH($A1277,'EE Measures'!$D:$D,0))</f>
        <v>0</v>
      </c>
      <c r="H1277" s="511">
        <f>INDEX('EE Measures'!II:II,MATCH($A1277,'EE Measures'!$D:$D,0))</f>
        <v>0</v>
      </c>
      <c r="I1277" s="511">
        <f>INDEX('EE Measures'!IJ:IJ,MATCH($A1277,'EE Measures'!$D:$D,0))</f>
        <v>0</v>
      </c>
      <c r="J1277" s="511">
        <f>INDEX('EE Measures'!IK:IK,MATCH($A1277,'EE Measures'!$D:$D,0))</f>
        <v>0</v>
      </c>
      <c r="K1277" s="511">
        <f>INDEX('EE Measures'!IL:IL,MATCH($A1277,'EE Measures'!$D:$D,0))</f>
        <v>0</v>
      </c>
      <c r="L1277" s="124"/>
      <c r="M1277" s="179" t="str">
        <f>INDEX('EE Measures'!$E$42:$E$86,MATCH($A1277,'EE Measures'!$D$42:$D$86,0))</f>
        <v>Hydrogen infrastructure</v>
      </c>
      <c r="N1277" s="365" t="s">
        <v>77</v>
      </c>
      <c r="O1277" s="355"/>
      <c r="P1277" s="355"/>
      <c r="Q1277" s="355"/>
      <c r="R1277" s="355"/>
      <c r="S1277" s="355"/>
      <c r="T1277" s="355"/>
      <c r="U1277" s="355"/>
      <c r="V1277" s="355"/>
      <c r="W1277" s="355"/>
      <c r="X1277" s="355"/>
      <c r="Y1277" s="394"/>
      <c r="Z1277" s="184"/>
      <c r="AA1277" s="184"/>
      <c r="AB1277" s="356"/>
      <c r="AC1277" s="146">
        <f>-INDEX('EE Measures'!AR$8:AR$86,MATCH($A1277,'EE Measures'!$D$8:$D$86,0))</f>
        <v>0</v>
      </c>
      <c r="AD1277" s="146">
        <f>-INDEX('EE Measures'!AS$8:AS$86,MATCH($A1277,'EE Measures'!$D$8:$D$86,0))</f>
        <v>0</v>
      </c>
      <c r="AE1277" s="114">
        <f>AD1277-INDEX('EE Measures'!AT$8:AT$86,MATCH($A1277,'EE Measures'!$D$8:$D$86,0))</f>
        <v>0</v>
      </c>
      <c r="AF1277" s="114">
        <f>AE1277-INDEX('EE Measures'!AU$8:AU$86,MATCH($A1277,'EE Measures'!$D$8:$D$86,0))</f>
        <v>0</v>
      </c>
      <c r="AG1277" s="114">
        <f>AF1277-INDEX('EE Measures'!AV$8:AV$86,MATCH($A1277,'EE Measures'!$D$8:$D$86,0))</f>
        <v>-1.1083333499522903</v>
      </c>
      <c r="AH1277" s="114">
        <f>AG1277-INDEX('EE Measures'!AW$8:AW$86,MATCH($A1277,'EE Measures'!$D$8:$D$86,0))</f>
        <v>-2.2166666999045805</v>
      </c>
      <c r="AI1277" s="114">
        <f>AH1277-INDEX('EE Measures'!AX$8:AX$86,MATCH($A1277,'EE Measures'!$D$8:$D$86,0))</f>
        <v>-3.3250000498568708</v>
      </c>
      <c r="AJ1277" s="114">
        <f>AI1277-INDEX('EE Measures'!AY$8:AY$86,MATCH($A1277,'EE Measures'!$D$8:$D$86,0))</f>
        <v>-4.4333333998091611</v>
      </c>
      <c r="AK1277" s="114">
        <f>AJ1277-INDEX('EE Measures'!AZ$8:AZ$86,MATCH($A1277,'EE Measures'!$D$8:$D$86,0))</f>
        <v>-5.5416667497614513</v>
      </c>
      <c r="AL1277" s="114">
        <f>AK1277-INDEX('EE Measures'!BA$8:BA$86,MATCH($A1277,'EE Measures'!$D$8:$D$86,0))</f>
        <v>-6.6500000997137416</v>
      </c>
      <c r="AM1277" s="184"/>
      <c r="AN1277" s="184"/>
      <c r="AO1277" s="184"/>
      <c r="AP1277" s="184"/>
      <c r="AQ1277" s="184"/>
      <c r="AR1277" s="184"/>
      <c r="AS1277" s="184"/>
      <c r="AT1277" s="184"/>
      <c r="AU1277" s="184"/>
      <c r="AV1277" s="184"/>
      <c r="AW1277" s="184"/>
      <c r="AX1277" s="184"/>
      <c r="AY1277" s="184"/>
      <c r="AZ1277" s="184"/>
      <c r="BA1277" s="184"/>
      <c r="BB1277" s="184"/>
      <c r="BC1277" s="184"/>
      <c r="BD1277" s="184"/>
      <c r="BE1277" s="184"/>
      <c r="BF1277" s="184"/>
    </row>
    <row r="1278" spans="1:58" x14ac:dyDescent="0.3">
      <c r="A1278" s="184" t="str">
        <f>'EE Measures'!D70</f>
        <v>nT7</v>
      </c>
      <c r="B1278" s="184" t="s">
        <v>892</v>
      </c>
      <c r="C1278" s="184" t="s">
        <v>917</v>
      </c>
      <c r="D1278" s="184" t="s">
        <v>900</v>
      </c>
      <c r="E1278" s="511">
        <f>INDEX('EE Measures'!IF:IF,MATCH($A1278,'EE Measures'!$D:$D,0))</f>
        <v>0</v>
      </c>
      <c r="F1278" s="511">
        <f>INDEX('EE Measures'!IG:IG,MATCH($A1278,'EE Measures'!$D:$D,0))</f>
        <v>0.4</v>
      </c>
      <c r="G1278" s="511">
        <f>INDEX('EE Measures'!IH:IH,MATCH($A1278,'EE Measures'!$D:$D,0))</f>
        <v>0.4</v>
      </c>
      <c r="H1278" s="511">
        <f>INDEX('EE Measures'!II:II,MATCH($A1278,'EE Measures'!$D:$D,0))</f>
        <v>0.4</v>
      </c>
      <c r="I1278" s="511">
        <f>INDEX('EE Measures'!IJ:IJ,MATCH($A1278,'EE Measures'!$D:$D,0))</f>
        <v>1</v>
      </c>
      <c r="J1278" s="511">
        <f>INDEX('EE Measures'!IK:IK,MATCH($A1278,'EE Measures'!$D:$D,0))</f>
        <v>1</v>
      </c>
      <c r="K1278" s="511">
        <f>INDEX('EE Measures'!IL:IL,MATCH($A1278,'EE Measures'!$D:$D,0))</f>
        <v>1</v>
      </c>
      <c r="L1278" s="124"/>
      <c r="M1278" s="179" t="str">
        <f>INDEX('EE Measures'!$E$42:$E$86,MATCH($A1278,'EE Measures'!$D$42:$D$86,0))</f>
        <v>Vehicle tax for registration</v>
      </c>
      <c r="N1278" s="365" t="s">
        <v>77</v>
      </c>
      <c r="O1278" s="355"/>
      <c r="P1278" s="355"/>
      <c r="Q1278" s="355"/>
      <c r="R1278" s="355"/>
      <c r="S1278" s="355"/>
      <c r="T1278" s="355"/>
      <c r="U1278" s="355"/>
      <c r="V1278" s="355"/>
      <c r="W1278" s="355"/>
      <c r="X1278" s="355"/>
      <c r="Y1278" s="394"/>
      <c r="Z1278" s="184"/>
      <c r="AA1278" s="184"/>
      <c r="AB1278" s="356"/>
      <c r="AC1278" s="146">
        <f>-INDEX('EE Measures'!AR$8:AR$86,MATCH($A1278,'EE Measures'!$D$8:$D$86,0))</f>
        <v>0</v>
      </c>
      <c r="AD1278" s="146">
        <f>-INDEX('EE Measures'!AS$8:AS$86,MATCH($A1278,'EE Measures'!$D$8:$D$86,0))</f>
        <v>0</v>
      </c>
      <c r="AE1278" s="114">
        <f>AD1278-INDEX('EE Measures'!AT$8:AT$86,MATCH($A1278,'EE Measures'!$D$8:$D$86,0))</f>
        <v>0</v>
      </c>
      <c r="AF1278" s="114">
        <f>AE1278-INDEX('EE Measures'!AU$8:AU$86,MATCH($A1278,'EE Measures'!$D$8:$D$86,0))</f>
        <v>0</v>
      </c>
      <c r="AG1278" s="114">
        <f>AF1278-INDEX('EE Measures'!AV$8:AV$86,MATCH($A1278,'EE Measures'!$D$8:$D$86,0))</f>
        <v>-5.0585731959351614E-2</v>
      </c>
      <c r="AH1278" s="114">
        <f>AG1278-INDEX('EE Measures'!AW$8:AW$86,MATCH($A1278,'EE Measures'!$D$8:$D$86,0))</f>
        <v>-0.10117146391870323</v>
      </c>
      <c r="AI1278" s="114">
        <f>AH1278-INDEX('EE Measures'!AX$8:AX$86,MATCH($A1278,'EE Measures'!$D$8:$D$86,0))</f>
        <v>-0.15175719587805483</v>
      </c>
      <c r="AJ1278" s="114">
        <f>AI1278-INDEX('EE Measures'!AY$8:AY$86,MATCH($A1278,'EE Measures'!$D$8:$D$86,0))</f>
        <v>-0.20234292783740646</v>
      </c>
      <c r="AK1278" s="114">
        <f>AJ1278-INDEX('EE Measures'!AZ$8:AZ$86,MATCH($A1278,'EE Measures'!$D$8:$D$86,0))</f>
        <v>-0.25292865979675805</v>
      </c>
      <c r="AL1278" s="114">
        <f>AK1278-INDEX('EE Measures'!BA$8:BA$86,MATCH($A1278,'EE Measures'!$D$8:$D$86,0))</f>
        <v>-0.30351439175610967</v>
      </c>
      <c r="AM1278" s="184"/>
      <c r="AN1278" s="184"/>
      <c r="AO1278" s="184"/>
      <c r="AP1278" s="184"/>
      <c r="AQ1278" s="184"/>
      <c r="AR1278" s="184"/>
      <c r="AS1278" s="184"/>
      <c r="AT1278" s="184"/>
      <c r="AU1278" s="184"/>
      <c r="AV1278" s="184"/>
      <c r="AW1278" s="184"/>
      <c r="AX1278" s="184"/>
      <c r="AY1278" s="184"/>
      <c r="AZ1278" s="184"/>
      <c r="BA1278" s="184"/>
      <c r="BB1278" s="184"/>
      <c r="BC1278" s="184"/>
      <c r="BD1278" s="184"/>
      <c r="BE1278" s="184"/>
      <c r="BF1278" s="184"/>
    </row>
    <row r="1279" spans="1:58" x14ac:dyDescent="0.3">
      <c r="A1279" s="184" t="str">
        <f>'EE Measures'!D71</f>
        <v>nT8</v>
      </c>
      <c r="B1279" s="184" t="s">
        <v>892</v>
      </c>
      <c r="C1279" s="184" t="s">
        <v>917</v>
      </c>
      <c r="D1279" s="184" t="s">
        <v>900</v>
      </c>
      <c r="E1279" s="511">
        <f>INDEX('EE Measures'!IF:IF,MATCH($A1279,'EE Measures'!$D:$D,0))</f>
        <v>0</v>
      </c>
      <c r="F1279" s="511">
        <f>INDEX('EE Measures'!IG:IG,MATCH($A1279,'EE Measures'!$D:$D,0))</f>
        <v>0.4</v>
      </c>
      <c r="G1279" s="511">
        <f>INDEX('EE Measures'!IH:IH,MATCH($A1279,'EE Measures'!$D:$D,0))</f>
        <v>0.4</v>
      </c>
      <c r="H1279" s="511">
        <f>INDEX('EE Measures'!II:II,MATCH($A1279,'EE Measures'!$D:$D,0))</f>
        <v>0.4</v>
      </c>
      <c r="I1279" s="511">
        <f>INDEX('EE Measures'!IJ:IJ,MATCH($A1279,'EE Measures'!$D:$D,0))</f>
        <v>1</v>
      </c>
      <c r="J1279" s="511">
        <f>INDEX('EE Measures'!IK:IK,MATCH($A1279,'EE Measures'!$D:$D,0))</f>
        <v>1</v>
      </c>
      <c r="K1279" s="511">
        <f>INDEX('EE Measures'!IL:IL,MATCH($A1279,'EE Measures'!$D:$D,0))</f>
        <v>1</v>
      </c>
      <c r="L1279" s="124"/>
      <c r="M1279" s="179" t="str">
        <f>INDEX('EE Measures'!$E$42:$E$86,MATCH($A1279,'EE Measures'!$D$42:$D$86,0))</f>
        <v>Annual vehicle tax</v>
      </c>
      <c r="N1279" s="365" t="s">
        <v>77</v>
      </c>
      <c r="O1279" s="355"/>
      <c r="P1279" s="355"/>
      <c r="Q1279" s="355"/>
      <c r="R1279" s="355"/>
      <c r="S1279" s="355"/>
      <c r="T1279" s="355"/>
      <c r="U1279" s="355"/>
      <c r="V1279" s="355"/>
      <c r="W1279" s="355"/>
      <c r="X1279" s="355"/>
      <c r="Y1279" s="394"/>
      <c r="Z1279" s="184"/>
      <c r="AA1279" s="184"/>
      <c r="AB1279" s="356"/>
      <c r="AC1279" s="146">
        <f>-INDEX('EE Measures'!AR$8:AR$86,MATCH($A1279,'EE Measures'!$D$8:$D$86,0))</f>
        <v>0</v>
      </c>
      <c r="AD1279" s="146">
        <f>-INDEX('EE Measures'!AS$8:AS$86,MATCH($A1279,'EE Measures'!$D$8:$D$86,0))</f>
        <v>0</v>
      </c>
      <c r="AE1279" s="114">
        <f>AD1279-INDEX('EE Measures'!AT$8:AT$86,MATCH($A1279,'EE Measures'!$D$8:$D$86,0))</f>
        <v>0</v>
      </c>
      <c r="AF1279" s="114">
        <f>AE1279-INDEX('EE Measures'!AU$8:AU$86,MATCH($A1279,'EE Measures'!$D$8:$D$86,0))</f>
        <v>0</v>
      </c>
      <c r="AG1279" s="114">
        <f>AF1279-INDEX('EE Measures'!AV$8:AV$86,MATCH($A1279,'EE Measures'!$D$8:$D$86,0))</f>
        <v>-0.2529286597967581</v>
      </c>
      <c r="AH1279" s="114">
        <f>AG1279-INDEX('EE Measures'!AW$8:AW$86,MATCH($A1279,'EE Measures'!$D$8:$D$86,0))</f>
        <v>-0.50585731959351621</v>
      </c>
      <c r="AI1279" s="114">
        <f>AH1279-INDEX('EE Measures'!AX$8:AX$86,MATCH($A1279,'EE Measures'!$D$8:$D$86,0))</f>
        <v>-0.75878597939027426</v>
      </c>
      <c r="AJ1279" s="114">
        <f>AI1279-INDEX('EE Measures'!AY$8:AY$86,MATCH($A1279,'EE Measures'!$D$8:$D$86,0))</f>
        <v>-1.0117146391870324</v>
      </c>
      <c r="AK1279" s="114">
        <f>AJ1279-INDEX('EE Measures'!AZ$8:AZ$86,MATCH($A1279,'EE Measures'!$D$8:$D$86,0))</f>
        <v>-1.2646432989837906</v>
      </c>
      <c r="AL1279" s="114">
        <f>AK1279-INDEX('EE Measures'!BA$8:BA$86,MATCH($A1279,'EE Measures'!$D$8:$D$86,0))</f>
        <v>-1.5175719587805487</v>
      </c>
      <c r="AM1279" s="184"/>
      <c r="AN1279" s="184"/>
      <c r="AO1279" s="184"/>
      <c r="AP1279" s="184"/>
      <c r="AQ1279" s="184"/>
      <c r="AR1279" s="184"/>
      <c r="AS1279" s="184"/>
      <c r="AT1279" s="184"/>
      <c r="AU1279" s="184"/>
      <c r="AV1279" s="184"/>
      <c r="AW1279" s="184"/>
      <c r="AX1279" s="184"/>
      <c r="AY1279" s="184"/>
      <c r="AZ1279" s="184"/>
      <c r="BA1279" s="184"/>
      <c r="BB1279" s="184"/>
      <c r="BC1279" s="184"/>
      <c r="BD1279" s="184"/>
      <c r="BE1279" s="184"/>
      <c r="BF1279" s="184"/>
    </row>
    <row r="1280" spans="1:58" x14ac:dyDescent="0.3">
      <c r="A1280" s="184" t="str">
        <f>'EE Measures'!D72</f>
        <v>nT9</v>
      </c>
      <c r="B1280" s="184" t="s">
        <v>892</v>
      </c>
      <c r="C1280" s="184" t="s">
        <v>917</v>
      </c>
      <c r="D1280" s="184" t="s">
        <v>900</v>
      </c>
      <c r="E1280" s="511">
        <f>INDEX('EE Measures'!IF:IF,MATCH($A1280,'EE Measures'!$D:$D,0))</f>
        <v>0</v>
      </c>
      <c r="F1280" s="511">
        <f>INDEX('EE Measures'!IG:IG,MATCH($A1280,'EE Measures'!$D:$D,0))</f>
        <v>0.4</v>
      </c>
      <c r="G1280" s="511">
        <f>INDEX('EE Measures'!IH:IH,MATCH($A1280,'EE Measures'!$D:$D,0))</f>
        <v>0.4</v>
      </c>
      <c r="H1280" s="511">
        <f>INDEX('EE Measures'!II:II,MATCH($A1280,'EE Measures'!$D:$D,0))</f>
        <v>0.4</v>
      </c>
      <c r="I1280" s="511">
        <f>INDEX('EE Measures'!IJ:IJ,MATCH($A1280,'EE Measures'!$D:$D,0))</f>
        <v>2</v>
      </c>
      <c r="J1280" s="511">
        <f>INDEX('EE Measures'!IK:IK,MATCH($A1280,'EE Measures'!$D:$D,0))</f>
        <v>1</v>
      </c>
      <c r="K1280" s="511">
        <f>INDEX('EE Measures'!IL:IL,MATCH($A1280,'EE Measures'!$D:$D,0))</f>
        <v>2</v>
      </c>
      <c r="L1280" s="124"/>
      <c r="M1280" s="179" t="str">
        <f>INDEX('EE Measures'!$E$42:$E$86,MATCH($A1280,'EE Measures'!$D$42:$D$86,0))</f>
        <v>Development of convenient and modern public transport</v>
      </c>
      <c r="N1280" s="365" t="s">
        <v>77</v>
      </c>
      <c r="O1280" s="355"/>
      <c r="P1280" s="355"/>
      <c r="Q1280" s="355"/>
      <c r="R1280" s="355"/>
      <c r="S1280" s="355"/>
      <c r="T1280" s="355"/>
      <c r="U1280" s="355"/>
      <c r="V1280" s="355"/>
      <c r="W1280" s="355"/>
      <c r="X1280" s="355"/>
      <c r="Y1280" s="394"/>
      <c r="Z1280" s="184"/>
      <c r="AA1280" s="184"/>
      <c r="AB1280" s="356"/>
      <c r="AC1280" s="146">
        <f>-INDEX('EE Measures'!AR$8:AR$86,MATCH($A1280,'EE Measures'!$D$8:$D$86,0))</f>
        <v>0</v>
      </c>
      <c r="AD1280" s="146">
        <f>-INDEX('EE Measures'!AS$8:AS$86,MATCH($A1280,'EE Measures'!$D$8:$D$86,0))</f>
        <v>0</v>
      </c>
      <c r="AE1280" s="114">
        <f>AD1280-INDEX('EE Measures'!AT$8:AT$86,MATCH($A1280,'EE Measures'!$D$8:$D$86,0))</f>
        <v>0</v>
      </c>
      <c r="AF1280" s="114">
        <f>AE1280-INDEX('EE Measures'!AU$8:AU$86,MATCH($A1280,'EE Measures'!$D$8:$D$86,0))</f>
        <v>0</v>
      </c>
      <c r="AG1280" s="114">
        <f>AF1280-INDEX('EE Measures'!AV$8:AV$86,MATCH($A1280,'EE Measures'!$D$8:$D$86,0))</f>
        <v>-43.6111111111111</v>
      </c>
      <c r="AH1280" s="114">
        <f>AG1280-INDEX('EE Measures'!AW$8:AW$86,MATCH($A1280,'EE Measures'!$D$8:$D$86,0))</f>
        <v>-87.222222222222229</v>
      </c>
      <c r="AI1280" s="114">
        <f>AH1280-INDEX('EE Measures'!AX$8:AX$86,MATCH($A1280,'EE Measures'!$D$8:$D$86,0))</f>
        <v>-130.83333333333331</v>
      </c>
      <c r="AJ1280" s="114">
        <f>AI1280-INDEX('EE Measures'!AY$8:AY$86,MATCH($A1280,'EE Measures'!$D$8:$D$86,0))</f>
        <v>-174.44444444444443</v>
      </c>
      <c r="AK1280" s="114">
        <f>AJ1280-INDEX('EE Measures'!AZ$8:AZ$86,MATCH($A1280,'EE Measures'!$D$8:$D$86,0))</f>
        <v>-218.05555555555557</v>
      </c>
      <c r="AL1280" s="114">
        <f>AK1280-INDEX('EE Measures'!BA$8:BA$86,MATCH($A1280,'EE Measures'!$D$8:$D$86,0))</f>
        <v>-261.66666666666663</v>
      </c>
      <c r="AM1280" s="184"/>
      <c r="AN1280" s="184"/>
      <c r="AO1280" s="184"/>
      <c r="AP1280" s="184"/>
      <c r="AQ1280" s="184"/>
      <c r="AR1280" s="184"/>
      <c r="AS1280" s="184"/>
      <c r="AT1280" s="184"/>
      <c r="AU1280" s="184"/>
      <c r="AV1280" s="184"/>
      <c r="AW1280" s="184"/>
      <c r="AX1280" s="184"/>
      <c r="AY1280" s="184"/>
      <c r="AZ1280" s="184"/>
      <c r="BA1280" s="184"/>
      <c r="BB1280" s="184"/>
      <c r="BC1280" s="184"/>
      <c r="BD1280" s="184"/>
      <c r="BE1280" s="184"/>
      <c r="BF1280" s="184"/>
    </row>
    <row r="1281" spans="1:58" x14ac:dyDescent="0.3">
      <c r="A1281" s="184" t="str">
        <f>'EE Measures'!D73</f>
        <v>nT11</v>
      </c>
      <c r="B1281" s="184" t="s">
        <v>892</v>
      </c>
      <c r="C1281" s="184" t="s">
        <v>917</v>
      </c>
      <c r="D1281" s="184" t="s">
        <v>900</v>
      </c>
      <c r="E1281" s="511">
        <f>INDEX('EE Measures'!IF:IF,MATCH($A1281,'EE Measures'!$D:$D,0))</f>
        <v>0</v>
      </c>
      <c r="F1281" s="511">
        <f>INDEX('EE Measures'!IG:IG,MATCH($A1281,'EE Measures'!$D:$D,0))</f>
        <v>0.4</v>
      </c>
      <c r="G1281" s="511">
        <f>INDEX('EE Measures'!IH:IH,MATCH($A1281,'EE Measures'!$D:$D,0))</f>
        <v>0.4</v>
      </c>
      <c r="H1281" s="511">
        <f>INDEX('EE Measures'!II:II,MATCH($A1281,'EE Measures'!$D:$D,0))</f>
        <v>0.4</v>
      </c>
      <c r="I1281" s="511">
        <f>INDEX('EE Measures'!IJ:IJ,MATCH($A1281,'EE Measures'!$D:$D,0))</f>
        <v>2</v>
      </c>
      <c r="J1281" s="511">
        <f>INDEX('EE Measures'!IK:IK,MATCH($A1281,'EE Measures'!$D:$D,0))</f>
        <v>1</v>
      </c>
      <c r="K1281" s="511">
        <f>INDEX('EE Measures'!IL:IL,MATCH($A1281,'EE Measures'!$D:$D,0))</f>
        <v>1</v>
      </c>
      <c r="L1281" s="124"/>
      <c r="M1281" s="179" t="str">
        <f>INDEX('EE Measures'!$E$42:$E$86,MATCH($A1281,'EE Measures'!$D$42:$D$86,0))</f>
        <v>Developing the railroad infrastructure  (includes the building of Rail Baltic)</v>
      </c>
      <c r="N1281" s="365" t="s">
        <v>77</v>
      </c>
      <c r="O1281" s="355"/>
      <c r="P1281" s="355"/>
      <c r="Q1281" s="355"/>
      <c r="R1281" s="355"/>
      <c r="S1281" s="355"/>
      <c r="T1281" s="355"/>
      <c r="U1281" s="355"/>
      <c r="V1281" s="355"/>
      <c r="W1281" s="355"/>
      <c r="X1281" s="355"/>
      <c r="Y1281" s="394"/>
      <c r="Z1281" s="184"/>
      <c r="AA1281" s="184"/>
      <c r="AB1281" s="356"/>
      <c r="AC1281" s="146">
        <f>-INDEX('EE Measures'!AR$8:AR$86,MATCH($A1281,'EE Measures'!$D$8:$D$86,0))</f>
        <v>0</v>
      </c>
      <c r="AD1281" s="146">
        <f>-INDEX('EE Measures'!AS$8:AS$86,MATCH($A1281,'EE Measures'!$D$8:$D$86,0))</f>
        <v>0</v>
      </c>
      <c r="AE1281" s="114">
        <f>AD1281-INDEX('EE Measures'!AT$8:AT$86,MATCH($A1281,'EE Measures'!$D$8:$D$86,0))</f>
        <v>0</v>
      </c>
      <c r="AF1281" s="114">
        <f>AE1281-INDEX('EE Measures'!AU$8:AU$86,MATCH($A1281,'EE Measures'!$D$8:$D$86,0))</f>
        <v>0</v>
      </c>
      <c r="AG1281" s="114">
        <f>AF1281-INDEX('EE Measures'!AV$8:AV$86,MATCH($A1281,'EE Measures'!$D$8:$D$86,0))</f>
        <v>0</v>
      </c>
      <c r="AH1281" s="114">
        <f>AG1281-INDEX('EE Measures'!AW$8:AW$86,MATCH($A1281,'EE Measures'!$D$8:$D$86,0))</f>
        <v>0</v>
      </c>
      <c r="AI1281" s="114">
        <f>AH1281-INDEX('EE Measures'!AX$8:AX$86,MATCH($A1281,'EE Measures'!$D$8:$D$86,0))</f>
        <v>-339.4444444444444</v>
      </c>
      <c r="AJ1281" s="114">
        <f>AI1281-INDEX('EE Measures'!AY$8:AY$86,MATCH($A1281,'EE Measures'!$D$8:$D$86,0))</f>
        <v>-339.4444444444444</v>
      </c>
      <c r="AK1281" s="114">
        <f>AJ1281-INDEX('EE Measures'!AZ$8:AZ$86,MATCH($A1281,'EE Measures'!$D$8:$D$86,0))</f>
        <v>-339.4444444444444</v>
      </c>
      <c r="AL1281" s="114">
        <f>AK1281-INDEX('EE Measures'!BA$8:BA$86,MATCH($A1281,'EE Measures'!$D$8:$D$86,0))</f>
        <v>-339.4444444444444</v>
      </c>
      <c r="AM1281" s="184"/>
      <c r="AN1281" s="184"/>
      <c r="AO1281" s="184"/>
      <c r="AP1281" s="184"/>
      <c r="AQ1281" s="184"/>
      <c r="AR1281" s="184"/>
      <c r="AS1281" s="184"/>
      <c r="AT1281" s="184"/>
      <c r="AU1281" s="184"/>
      <c r="AV1281" s="184"/>
      <c r="AW1281" s="184"/>
      <c r="AX1281" s="184"/>
      <c r="AY1281" s="184"/>
      <c r="AZ1281" s="184"/>
      <c r="BA1281" s="184"/>
      <c r="BB1281" s="184"/>
      <c r="BC1281" s="184"/>
      <c r="BD1281" s="184"/>
      <c r="BE1281" s="184"/>
      <c r="BF1281" s="184"/>
    </row>
    <row r="1282" spans="1:58" x14ac:dyDescent="0.3">
      <c r="A1282" s="184" t="str">
        <f>'EE Measures'!D74</f>
        <v>nT12</v>
      </c>
      <c r="B1282" s="184" t="s">
        <v>892</v>
      </c>
      <c r="C1282" s="184" t="s">
        <v>917</v>
      </c>
      <c r="D1282" s="184" t="s">
        <v>900</v>
      </c>
      <c r="E1282" s="511">
        <f>INDEX('EE Measures'!IF:IF,MATCH($A1282,'EE Measures'!$D:$D,0))</f>
        <v>0</v>
      </c>
      <c r="F1282" s="511">
        <f>INDEX('EE Measures'!IG:IG,MATCH($A1282,'EE Measures'!$D:$D,0))</f>
        <v>0.4</v>
      </c>
      <c r="G1282" s="511">
        <f>INDEX('EE Measures'!IH:IH,MATCH($A1282,'EE Measures'!$D:$D,0))</f>
        <v>0.4</v>
      </c>
      <c r="H1282" s="511">
        <f>INDEX('EE Measures'!II:II,MATCH($A1282,'EE Measures'!$D:$D,0))</f>
        <v>0.4</v>
      </c>
      <c r="I1282" s="511">
        <f>INDEX('EE Measures'!IJ:IJ,MATCH($A1282,'EE Measures'!$D:$D,0))</f>
        <v>1</v>
      </c>
      <c r="J1282" s="511">
        <f>INDEX('EE Measures'!IK:IK,MATCH($A1282,'EE Measures'!$D:$D,0))</f>
        <v>1</v>
      </c>
      <c r="K1282" s="511">
        <f>INDEX('EE Measures'!IL:IL,MATCH($A1282,'EE Measures'!$D:$D,0))</f>
        <v>1</v>
      </c>
      <c r="L1282" s="124"/>
      <c r="M1282" s="179" t="str">
        <f>INDEX('EE Measures'!$E$42:$E$86,MATCH($A1282,'EE Measures'!$D$42:$D$86,0))</f>
        <v>The railroad electrification</v>
      </c>
      <c r="N1282" s="365" t="s">
        <v>77</v>
      </c>
      <c r="O1282" s="355"/>
      <c r="P1282" s="355"/>
      <c r="Q1282" s="355"/>
      <c r="R1282" s="355"/>
      <c r="S1282" s="355"/>
      <c r="T1282" s="355"/>
      <c r="U1282" s="355"/>
      <c r="V1282" s="355"/>
      <c r="W1282" s="355"/>
      <c r="X1282" s="355"/>
      <c r="Y1282" s="394"/>
      <c r="Z1282" s="184"/>
      <c r="AA1282" s="184"/>
      <c r="AB1282" s="356"/>
      <c r="AC1282" s="146">
        <f>-INDEX('EE Measures'!AR$8:AR$86,MATCH($A1282,'EE Measures'!$D$8:$D$86,0))</f>
        <v>-46.688742801652673</v>
      </c>
      <c r="AD1282" s="146">
        <f>-INDEX('EE Measures'!AS$8:AS$86,MATCH($A1282,'EE Measures'!$D$8:$D$86,0))</f>
        <v>-2.6507948145634614</v>
      </c>
      <c r="AE1282" s="114">
        <f>AD1282-INDEX('EE Measures'!AT$8:AT$86,MATCH($A1282,'EE Measures'!$D$8:$D$86,0))</f>
        <v>-5.5720206949136184</v>
      </c>
      <c r="AF1282" s="114">
        <f>AE1282-INDEX('EE Measures'!AU$8:AU$86,MATCH($A1282,'EE Measures'!$D$8:$D$86,0))</f>
        <v>-6.6856737741804722</v>
      </c>
      <c r="AG1282" s="114">
        <f>AF1282-INDEX('EE Measures'!AV$8:AV$86,MATCH($A1282,'EE Measures'!$D$8:$D$86,0))</f>
        <v>-15.241489979547673</v>
      </c>
      <c r="AH1282" s="114">
        <f>AG1282-INDEX('EE Measures'!AW$8:AW$86,MATCH($A1282,'EE Measures'!$D$8:$D$86,0))</f>
        <v>-21.336129972961778</v>
      </c>
      <c r="AI1282" s="114">
        <f>AH1282-INDEX('EE Measures'!AX$8:AX$86,MATCH($A1282,'EE Measures'!$D$8:$D$86,0))</f>
        <v>-32.021635977685172</v>
      </c>
      <c r="AJ1282" s="114">
        <f>AI1282-INDEX('EE Measures'!AY$8:AY$86,MATCH($A1282,'EE Measures'!$D$8:$D$86,0))</f>
        <v>-35.852274831385877</v>
      </c>
      <c r="AK1282" s="114">
        <f>AJ1282-INDEX('EE Measures'!AZ$8:AZ$86,MATCH($A1282,'EE Measures'!$D$8:$D$86,0))</f>
        <v>-40.014378255850865</v>
      </c>
      <c r="AL1282" s="114">
        <f>AK1282-INDEX('EE Measures'!BA$8:BA$86,MATCH($A1282,'EE Measures'!$D$8:$D$86,0))</f>
        <v>-42.106332938972649</v>
      </c>
      <c r="AM1282" s="184"/>
      <c r="AN1282" s="184"/>
      <c r="AO1282" s="184"/>
      <c r="AP1282" s="184"/>
      <c r="AQ1282" s="184"/>
      <c r="AR1282" s="184"/>
      <c r="AS1282" s="184"/>
      <c r="AT1282" s="184"/>
      <c r="AU1282" s="184"/>
      <c r="AV1282" s="184"/>
      <c r="AW1282" s="184"/>
      <c r="AX1282" s="184"/>
      <c r="AY1282" s="184"/>
      <c r="AZ1282" s="184"/>
      <c r="BA1282" s="184"/>
      <c r="BB1282" s="184"/>
      <c r="BC1282" s="184"/>
      <c r="BD1282" s="184"/>
      <c r="BE1282" s="184"/>
      <c r="BF1282" s="184"/>
    </row>
    <row r="1283" spans="1:58" x14ac:dyDescent="0.3">
      <c r="A1283" s="184" t="str">
        <f>'EE Measures'!D75</f>
        <v>nT13</v>
      </c>
      <c r="B1283" s="184" t="s">
        <v>892</v>
      </c>
      <c r="C1283" s="184" t="s">
        <v>917</v>
      </c>
      <c r="D1283" s="184" t="s">
        <v>900</v>
      </c>
      <c r="E1283" s="511">
        <f>INDEX('EE Measures'!IF:IF,MATCH($A1283,'EE Measures'!$D:$D,0))</f>
        <v>0</v>
      </c>
      <c r="F1283" s="511">
        <f>INDEX('EE Measures'!IG:IG,MATCH($A1283,'EE Measures'!$D:$D,0))</f>
        <v>0</v>
      </c>
      <c r="G1283" s="511">
        <f>INDEX('EE Measures'!IH:IH,MATCH($A1283,'EE Measures'!$D:$D,0))</f>
        <v>0</v>
      </c>
      <c r="H1283" s="511">
        <f>INDEX('EE Measures'!II:II,MATCH($A1283,'EE Measures'!$D:$D,0))</f>
        <v>0</v>
      </c>
      <c r="I1283" s="511">
        <f>INDEX('EE Measures'!IJ:IJ,MATCH($A1283,'EE Measures'!$D:$D,0))</f>
        <v>0</v>
      </c>
      <c r="J1283" s="511">
        <f>INDEX('EE Measures'!IK:IK,MATCH($A1283,'EE Measures'!$D:$D,0))</f>
        <v>0</v>
      </c>
      <c r="K1283" s="511">
        <f>INDEX('EE Measures'!IL:IL,MATCH($A1283,'EE Measures'!$D:$D,0))</f>
        <v>0</v>
      </c>
      <c r="L1283" s="124"/>
      <c r="M1283" s="179" t="str">
        <f>INDEX('EE Measures'!$E$42:$E$86,MATCH($A1283,'EE Measures'!$D$42:$D$86,0))</f>
        <v>Promoting the use of biomethane in buses</v>
      </c>
      <c r="N1283" s="365" t="s">
        <v>77</v>
      </c>
      <c r="O1283" s="355"/>
      <c r="P1283" s="355"/>
      <c r="Q1283" s="355"/>
      <c r="R1283" s="355"/>
      <c r="S1283" s="355"/>
      <c r="T1283" s="355"/>
      <c r="U1283" s="355"/>
      <c r="V1283" s="355"/>
      <c r="W1283" s="355"/>
      <c r="X1283" s="355"/>
      <c r="Y1283" s="394"/>
      <c r="Z1283" s="184"/>
      <c r="AA1283" s="184"/>
      <c r="AB1283" s="356"/>
      <c r="AC1283" s="146">
        <f>-INDEX('EE Measures'!AR$8:AR$86,MATCH($A1283,'EE Measures'!$D$8:$D$86,0))</f>
        <v>0</v>
      </c>
      <c r="AD1283" s="146">
        <f>-INDEX('EE Measures'!AS$8:AS$86,MATCH($A1283,'EE Measures'!$D$8:$D$86,0))</f>
        <v>0</v>
      </c>
      <c r="AE1283" s="114">
        <f>AD1283-INDEX('EE Measures'!AT$8:AT$86,MATCH($A1283,'EE Measures'!$D$8:$D$86,0))</f>
        <v>0</v>
      </c>
      <c r="AF1283" s="114">
        <f>AE1283-INDEX('EE Measures'!AU$8:AU$86,MATCH($A1283,'EE Measures'!$D$8:$D$86,0))</f>
        <v>0</v>
      </c>
      <c r="AG1283" s="114">
        <f>AF1283-INDEX('EE Measures'!AV$8:AV$86,MATCH($A1283,'EE Measures'!$D$8:$D$86,0))</f>
        <v>0.82167137791101763</v>
      </c>
      <c r="AH1283" s="114">
        <f>AG1283-INDEX('EE Measures'!AW$8:AW$86,MATCH($A1283,'EE Measures'!$D$8:$D$86,0))</f>
        <v>1.6433427558220353</v>
      </c>
      <c r="AI1283" s="114">
        <f>AH1283-INDEX('EE Measures'!AX$8:AX$86,MATCH($A1283,'EE Measures'!$D$8:$D$86,0))</f>
        <v>2.4650141337330531</v>
      </c>
      <c r="AJ1283" s="114">
        <f>AI1283-INDEX('EE Measures'!AY$8:AY$86,MATCH($A1283,'EE Measures'!$D$8:$D$86,0))</f>
        <v>3.2866855116440705</v>
      </c>
      <c r="AK1283" s="114">
        <f>AJ1283-INDEX('EE Measures'!AZ$8:AZ$86,MATCH($A1283,'EE Measures'!$D$8:$D$86,0))</f>
        <v>4.1083568895550879</v>
      </c>
      <c r="AL1283" s="114">
        <f>AK1283-INDEX('EE Measures'!BA$8:BA$86,MATCH($A1283,'EE Measures'!$D$8:$D$86,0))</f>
        <v>4.9300282674661053</v>
      </c>
      <c r="AM1283" s="184"/>
      <c r="AN1283" s="184"/>
      <c r="AO1283" s="184"/>
      <c r="AP1283" s="184"/>
      <c r="AQ1283" s="184"/>
      <c r="AR1283" s="184"/>
      <c r="AS1283" s="184"/>
      <c r="AT1283" s="184"/>
      <c r="AU1283" s="184"/>
      <c r="AV1283" s="184"/>
      <c r="AW1283" s="184"/>
      <c r="AX1283" s="184"/>
      <c r="AY1283" s="184"/>
      <c r="AZ1283" s="184"/>
      <c r="BA1283" s="184"/>
      <c r="BB1283" s="184"/>
      <c r="BC1283" s="184"/>
      <c r="BD1283" s="184"/>
      <c r="BE1283" s="184"/>
      <c r="BF1283" s="184"/>
    </row>
    <row r="1284" spans="1:58" x14ac:dyDescent="0.3">
      <c r="A1284" s="184" t="str">
        <f>'EE Measures'!D76</f>
        <v>nT14</v>
      </c>
      <c r="B1284" s="184" t="s">
        <v>892</v>
      </c>
      <c r="C1284" s="184" t="s">
        <v>917</v>
      </c>
      <c r="D1284" s="184" t="s">
        <v>900</v>
      </c>
      <c r="E1284" s="511">
        <f>INDEX('EE Measures'!IF:IF,MATCH($A1284,'EE Measures'!$D:$D,0))</f>
        <v>0</v>
      </c>
      <c r="F1284" s="511">
        <f>INDEX('EE Measures'!IG:IG,MATCH($A1284,'EE Measures'!$D:$D,0))</f>
        <v>0</v>
      </c>
      <c r="G1284" s="511">
        <f>INDEX('EE Measures'!IH:IH,MATCH($A1284,'EE Measures'!$D:$D,0))</f>
        <v>0</v>
      </c>
      <c r="H1284" s="511">
        <f>INDEX('EE Measures'!II:II,MATCH($A1284,'EE Measures'!$D:$D,0))</f>
        <v>0</v>
      </c>
      <c r="I1284" s="511">
        <f>INDEX('EE Measures'!IJ:IJ,MATCH($A1284,'EE Measures'!$D:$D,0))</f>
        <v>0</v>
      </c>
      <c r="J1284" s="511">
        <f>INDEX('EE Measures'!IK:IK,MATCH($A1284,'EE Measures'!$D:$D,0))</f>
        <v>0</v>
      </c>
      <c r="K1284" s="511">
        <f>INDEX('EE Measures'!IL:IL,MATCH($A1284,'EE Measures'!$D:$D,0))</f>
        <v>0</v>
      </c>
      <c r="L1284" s="124"/>
      <c r="M1284" s="179" t="str">
        <f>INDEX('EE Measures'!$E$42:$E$86,MATCH($A1284,'EE Measures'!$D$42:$D$86,0))</f>
        <v>Promoting the use of electricity in buses</v>
      </c>
      <c r="N1284" s="365" t="s">
        <v>77</v>
      </c>
      <c r="O1284" s="355"/>
      <c r="P1284" s="355"/>
      <c r="Q1284" s="355"/>
      <c r="R1284" s="355"/>
      <c r="S1284" s="355"/>
      <c r="T1284" s="355"/>
      <c r="U1284" s="355"/>
      <c r="V1284" s="355"/>
      <c r="W1284" s="355"/>
      <c r="X1284" s="355"/>
      <c r="Y1284" s="394"/>
      <c r="Z1284" s="184"/>
      <c r="AA1284" s="184"/>
      <c r="AB1284" s="356"/>
      <c r="AC1284" s="146">
        <f>-INDEX('EE Measures'!AR$8:AR$86,MATCH($A1284,'EE Measures'!$D$8:$D$86,0))</f>
        <v>0</v>
      </c>
      <c r="AD1284" s="146">
        <f>-INDEX('EE Measures'!AS$8:AS$86,MATCH($A1284,'EE Measures'!$D$8:$D$86,0))</f>
        <v>0</v>
      </c>
      <c r="AE1284" s="114">
        <f>AD1284-INDEX('EE Measures'!AT$8:AT$86,MATCH($A1284,'EE Measures'!$D$8:$D$86,0))</f>
        <v>-0.46285714285714291</v>
      </c>
      <c r="AF1284" s="114">
        <f>AE1284-INDEX('EE Measures'!AU$8:AU$86,MATCH($A1284,'EE Measures'!$D$8:$D$86,0))</f>
        <v>-0.46285714285714291</v>
      </c>
      <c r="AG1284" s="114">
        <f>AF1284-INDEX('EE Measures'!AV$8:AV$86,MATCH($A1284,'EE Measures'!$D$8:$D$86,0))</f>
        <v>-0.46285714285714291</v>
      </c>
      <c r="AH1284" s="114">
        <f>AG1284-INDEX('EE Measures'!AW$8:AW$86,MATCH($A1284,'EE Measures'!$D$8:$D$86,0))</f>
        <v>-0.46285714285714291</v>
      </c>
      <c r="AI1284" s="114">
        <f>AH1284-INDEX('EE Measures'!AX$8:AX$86,MATCH($A1284,'EE Measures'!$D$8:$D$86,0))</f>
        <v>-0.46285714285714291</v>
      </c>
      <c r="AJ1284" s="114">
        <f>AI1284-INDEX('EE Measures'!AY$8:AY$86,MATCH($A1284,'EE Measures'!$D$8:$D$86,0))</f>
        <v>-0.46285714285714291</v>
      </c>
      <c r="AK1284" s="114">
        <f>AJ1284-INDEX('EE Measures'!AZ$8:AZ$86,MATCH($A1284,'EE Measures'!$D$8:$D$86,0))</f>
        <v>-0.46285714285714291</v>
      </c>
      <c r="AL1284" s="114">
        <f>AK1284-INDEX('EE Measures'!BA$8:BA$86,MATCH($A1284,'EE Measures'!$D$8:$D$86,0))</f>
        <v>-0.46285714285714291</v>
      </c>
      <c r="AM1284" s="184"/>
      <c r="AN1284" s="184"/>
      <c r="AO1284" s="184"/>
      <c r="AP1284" s="184"/>
      <c r="AQ1284" s="184"/>
      <c r="AR1284" s="184"/>
      <c r="AS1284" s="184"/>
      <c r="AT1284" s="184"/>
      <c r="AU1284" s="184"/>
      <c r="AV1284" s="184"/>
      <c r="AW1284" s="184"/>
      <c r="AX1284" s="184"/>
      <c r="AY1284" s="184"/>
      <c r="AZ1284" s="184"/>
      <c r="BA1284" s="184"/>
      <c r="BB1284" s="184"/>
      <c r="BC1284" s="184"/>
      <c r="BD1284" s="184"/>
      <c r="BE1284" s="184"/>
      <c r="BF1284" s="184"/>
    </row>
    <row r="1285" spans="1:58" x14ac:dyDescent="0.3">
      <c r="A1285" s="184" t="str">
        <f>'EE Measures'!D77</f>
        <v>nT15</v>
      </c>
      <c r="B1285" s="184" t="s">
        <v>892</v>
      </c>
      <c r="C1285" s="184" t="s">
        <v>917</v>
      </c>
      <c r="D1285" s="184" t="s">
        <v>900</v>
      </c>
      <c r="E1285" s="511">
        <f>INDEX('EE Measures'!IF:IF,MATCH($A1285,'EE Measures'!$D:$D,0))</f>
        <v>0</v>
      </c>
      <c r="F1285" s="511">
        <f>INDEX('EE Measures'!IG:IG,MATCH($A1285,'EE Measures'!$D:$D,0))</f>
        <v>0.4</v>
      </c>
      <c r="G1285" s="511">
        <f>INDEX('EE Measures'!IH:IH,MATCH($A1285,'EE Measures'!$D:$D,0))</f>
        <v>0.4</v>
      </c>
      <c r="H1285" s="511">
        <f>INDEX('EE Measures'!II:II,MATCH($A1285,'EE Measures'!$D:$D,0))</f>
        <v>0.4</v>
      </c>
      <c r="I1285" s="511">
        <f>INDEX('EE Measures'!IJ:IJ,MATCH($A1285,'EE Measures'!$D:$D,0))</f>
        <v>1</v>
      </c>
      <c r="J1285" s="511">
        <f>INDEX('EE Measures'!IK:IK,MATCH($A1285,'EE Measures'!$D:$D,0))</f>
        <v>1</v>
      </c>
      <c r="K1285" s="511">
        <f>INDEX('EE Measures'!IL:IL,MATCH($A1285,'EE Measures'!$D:$D,0))</f>
        <v>1</v>
      </c>
      <c r="L1285" s="124"/>
      <c r="M1285" s="179" t="str">
        <f>INDEX('EE Measures'!$E$42:$E$86,MATCH($A1285,'EE Measures'!$D$42:$D$86,0))</f>
        <v>Acquisition of additional passenger trains</v>
      </c>
      <c r="N1285" s="365" t="s">
        <v>77</v>
      </c>
      <c r="O1285" s="355"/>
      <c r="P1285" s="355"/>
      <c r="Q1285" s="355"/>
      <c r="R1285" s="355"/>
      <c r="S1285" s="355"/>
      <c r="T1285" s="355"/>
      <c r="U1285" s="355"/>
      <c r="V1285" s="355"/>
      <c r="W1285" s="355"/>
      <c r="X1285" s="355"/>
      <c r="Y1285" s="394"/>
      <c r="Z1285" s="184"/>
      <c r="AA1285" s="184"/>
      <c r="AB1285" s="356"/>
      <c r="AC1285" s="146">
        <f>-INDEX('EE Measures'!AR$8:AR$86,MATCH($A1285,'EE Measures'!$D$8:$D$86,0))</f>
        <v>0</v>
      </c>
      <c r="AD1285" s="146">
        <f>-INDEX('EE Measures'!AS$8:AS$86,MATCH($A1285,'EE Measures'!$D$8:$D$86,0))</f>
        <v>-10.802469135802498</v>
      </c>
      <c r="AE1285" s="114">
        <f>AD1285-INDEX('EE Measures'!AT$8:AT$86,MATCH($A1285,'EE Measures'!$D$8:$D$86,0))</f>
        <v>-21.604938271604993</v>
      </c>
      <c r="AF1285" s="114">
        <f>AE1285-INDEX('EE Measures'!AU$8:AU$86,MATCH($A1285,'EE Measures'!$D$8:$D$86,0))</f>
        <v>-32.40740740740749</v>
      </c>
      <c r="AG1285" s="114">
        <f>AF1285-INDEX('EE Measures'!AV$8:AV$86,MATCH($A1285,'EE Measures'!$D$8:$D$86,0))</f>
        <v>-32.40740740740749</v>
      </c>
      <c r="AH1285" s="114">
        <f>AG1285-INDEX('EE Measures'!AW$8:AW$86,MATCH($A1285,'EE Measures'!$D$8:$D$86,0))</f>
        <v>-32.40740740740749</v>
      </c>
      <c r="AI1285" s="114">
        <f>AH1285-INDEX('EE Measures'!AX$8:AX$86,MATCH($A1285,'EE Measures'!$D$8:$D$86,0))</f>
        <v>-32.40740740740749</v>
      </c>
      <c r="AJ1285" s="114">
        <f>AI1285-INDEX('EE Measures'!AY$8:AY$86,MATCH($A1285,'EE Measures'!$D$8:$D$86,0))</f>
        <v>-32.40740740740749</v>
      </c>
      <c r="AK1285" s="114">
        <f>AJ1285-INDEX('EE Measures'!AZ$8:AZ$86,MATCH($A1285,'EE Measures'!$D$8:$D$86,0))</f>
        <v>-32.40740740740749</v>
      </c>
      <c r="AL1285" s="114">
        <f>AK1285-INDEX('EE Measures'!BA$8:BA$86,MATCH($A1285,'EE Measures'!$D$8:$D$86,0))</f>
        <v>-32.40740740740749</v>
      </c>
      <c r="AM1285" s="184"/>
      <c r="AN1285" s="184"/>
      <c r="AO1285" s="184"/>
      <c r="AP1285" s="184"/>
      <c r="AQ1285" s="184"/>
      <c r="AR1285" s="184"/>
      <c r="AS1285" s="184"/>
      <c r="AT1285" s="184"/>
      <c r="AU1285" s="184"/>
      <c r="AV1285" s="184"/>
      <c r="AW1285" s="184"/>
      <c r="AX1285" s="184"/>
      <c r="AY1285" s="184"/>
      <c r="AZ1285" s="184"/>
      <c r="BA1285" s="184"/>
      <c r="BB1285" s="184"/>
      <c r="BC1285" s="184"/>
      <c r="BD1285" s="184"/>
      <c r="BE1285" s="184"/>
      <c r="BF1285" s="184"/>
    </row>
    <row r="1286" spans="1:58" x14ac:dyDescent="0.3">
      <c r="A1286" s="184" t="str">
        <f>'EE Measures'!D78</f>
        <v>nT16</v>
      </c>
      <c r="B1286" s="184" t="s">
        <v>892</v>
      </c>
      <c r="C1286" s="184" t="s">
        <v>917</v>
      </c>
      <c r="D1286" s="184" t="s">
        <v>900</v>
      </c>
      <c r="E1286" s="511">
        <f>INDEX('EE Measures'!IF:IF,MATCH($A1286,'EE Measures'!$D:$D,0))</f>
        <v>0</v>
      </c>
      <c r="F1286" s="511">
        <f>INDEX('EE Measures'!IG:IG,MATCH($A1286,'EE Measures'!$D:$D,0))</f>
        <v>0.4</v>
      </c>
      <c r="G1286" s="511">
        <f>INDEX('EE Measures'!IH:IH,MATCH($A1286,'EE Measures'!$D:$D,0))</f>
        <v>0.4</v>
      </c>
      <c r="H1286" s="511">
        <f>INDEX('EE Measures'!II:II,MATCH($A1286,'EE Measures'!$D:$D,0))</f>
        <v>0.4</v>
      </c>
      <c r="I1286" s="511">
        <f>INDEX('EE Measures'!IJ:IJ,MATCH($A1286,'EE Measures'!$D:$D,0))</f>
        <v>1</v>
      </c>
      <c r="J1286" s="511">
        <f>INDEX('EE Measures'!IK:IK,MATCH($A1286,'EE Measures'!$D:$D,0))</f>
        <v>1</v>
      </c>
      <c r="K1286" s="511">
        <f>INDEX('EE Measures'!IL:IL,MATCH($A1286,'EE Measures'!$D:$D,0))</f>
        <v>1</v>
      </c>
      <c r="L1286" s="124"/>
      <c r="M1286" s="179" t="str">
        <f>INDEX('EE Measures'!$E$42:$E$86,MATCH($A1286,'EE Measures'!$D$42:$D$86,0))</f>
        <v>New tram lines in Tallinn</v>
      </c>
      <c r="N1286" s="365" t="s">
        <v>77</v>
      </c>
      <c r="O1286" s="355"/>
      <c r="P1286" s="355"/>
      <c r="Q1286" s="355"/>
      <c r="R1286" s="355"/>
      <c r="S1286" s="355"/>
      <c r="T1286" s="355"/>
      <c r="U1286" s="355"/>
      <c r="V1286" s="355"/>
      <c r="W1286" s="355"/>
      <c r="X1286" s="355"/>
      <c r="Y1286" s="394"/>
      <c r="Z1286" s="184"/>
      <c r="AA1286" s="184"/>
      <c r="AB1286" s="356"/>
      <c r="AC1286" s="146">
        <f>-INDEX('EE Measures'!AR$8:AR$86,MATCH($A1286,'EE Measures'!$D$8:$D$86,0))</f>
        <v>0</v>
      </c>
      <c r="AD1286" s="146">
        <f>-INDEX('EE Measures'!AS$8:AS$86,MATCH($A1286,'EE Measures'!$D$8:$D$86,0))</f>
        <v>0</v>
      </c>
      <c r="AE1286" s="114">
        <f>AD1286-INDEX('EE Measures'!AT$8:AT$86,MATCH($A1286,'EE Measures'!$D$8:$D$86,0))</f>
        <v>0</v>
      </c>
      <c r="AF1286" s="114">
        <f>AE1286-INDEX('EE Measures'!AU$8:AU$86,MATCH($A1286,'EE Measures'!$D$8:$D$86,0))</f>
        <v>0</v>
      </c>
      <c r="AG1286" s="114">
        <f>AF1286-INDEX('EE Measures'!AV$8:AV$86,MATCH($A1286,'EE Measures'!$D$8:$D$86,0))</f>
        <v>-59.878</v>
      </c>
      <c r="AH1286" s="114">
        <f>AG1286-INDEX('EE Measures'!AW$8:AW$86,MATCH($A1286,'EE Measures'!$D$8:$D$86,0))</f>
        <v>-59.878</v>
      </c>
      <c r="AI1286" s="114">
        <f>AH1286-INDEX('EE Measures'!AX$8:AX$86,MATCH($A1286,'EE Measures'!$D$8:$D$86,0))</f>
        <v>-59.878</v>
      </c>
      <c r="AJ1286" s="114">
        <f>AI1286-INDEX('EE Measures'!AY$8:AY$86,MATCH($A1286,'EE Measures'!$D$8:$D$86,0))</f>
        <v>-59.878</v>
      </c>
      <c r="AK1286" s="114">
        <f>AJ1286-INDEX('EE Measures'!AZ$8:AZ$86,MATCH($A1286,'EE Measures'!$D$8:$D$86,0))</f>
        <v>-59.878</v>
      </c>
      <c r="AL1286" s="114">
        <f>AK1286-INDEX('EE Measures'!BA$8:BA$86,MATCH($A1286,'EE Measures'!$D$8:$D$86,0))</f>
        <v>-59.878</v>
      </c>
      <c r="AM1286" s="184"/>
      <c r="AN1286" s="184"/>
      <c r="AO1286" s="184"/>
      <c r="AP1286" s="184"/>
      <c r="AQ1286" s="184"/>
      <c r="AR1286" s="184"/>
      <c r="AS1286" s="184"/>
      <c r="AT1286" s="184"/>
      <c r="AU1286" s="184"/>
      <c r="AV1286" s="184"/>
      <c r="AW1286" s="184"/>
      <c r="AX1286" s="184"/>
      <c r="AY1286" s="184"/>
      <c r="AZ1286" s="184"/>
      <c r="BA1286" s="184"/>
      <c r="BB1286" s="184"/>
      <c r="BC1286" s="184"/>
      <c r="BD1286" s="184"/>
      <c r="BE1286" s="184"/>
      <c r="BF1286" s="184"/>
    </row>
    <row r="1287" spans="1:58" x14ac:dyDescent="0.3">
      <c r="A1287" s="184" t="str">
        <f>'EE Measures'!D79</f>
        <v>nT17</v>
      </c>
      <c r="B1287" s="184" t="s">
        <v>892</v>
      </c>
      <c r="C1287" s="184" t="s">
        <v>917</v>
      </c>
      <c r="D1287" s="184" t="s">
        <v>900</v>
      </c>
      <c r="E1287" s="511">
        <f>INDEX('EE Measures'!IF:IF,MATCH($A1287,'EE Measures'!$D:$D,0))</f>
        <v>0</v>
      </c>
      <c r="F1287" s="511">
        <f>INDEX('EE Measures'!IG:IG,MATCH($A1287,'EE Measures'!$D:$D,0))</f>
        <v>0.4</v>
      </c>
      <c r="G1287" s="511">
        <f>INDEX('EE Measures'!IH:IH,MATCH($A1287,'EE Measures'!$D:$D,0))</f>
        <v>0.4</v>
      </c>
      <c r="H1287" s="511">
        <f>INDEX('EE Measures'!II:II,MATCH($A1287,'EE Measures'!$D:$D,0))</f>
        <v>0.4</v>
      </c>
      <c r="I1287" s="511">
        <f>INDEX('EE Measures'!IJ:IJ,MATCH($A1287,'EE Measures'!$D:$D,0))</f>
        <v>1</v>
      </c>
      <c r="J1287" s="511">
        <f>INDEX('EE Measures'!IK:IK,MATCH($A1287,'EE Measures'!$D:$D,0))</f>
        <v>1</v>
      </c>
      <c r="K1287" s="511">
        <f>INDEX('EE Measures'!IL:IL,MATCH($A1287,'EE Measures'!$D:$D,0))</f>
        <v>1</v>
      </c>
      <c r="L1287" s="124"/>
      <c r="M1287" s="179" t="str">
        <f>INDEX('EE Measures'!$E$42:$E$86,MATCH($A1287,'EE Measures'!$D$42:$D$86,0))</f>
        <v>Subsidy for micromobility usage instead of personal vehicle</v>
      </c>
      <c r="N1287" s="365" t="s">
        <v>77</v>
      </c>
      <c r="O1287" s="355"/>
      <c r="P1287" s="355"/>
      <c r="Q1287" s="355"/>
      <c r="R1287" s="355"/>
      <c r="S1287" s="355"/>
      <c r="T1287" s="355"/>
      <c r="U1287" s="355"/>
      <c r="V1287" s="355"/>
      <c r="W1287" s="355"/>
      <c r="X1287" s="355"/>
      <c r="Y1287" s="394"/>
      <c r="Z1287" s="184"/>
      <c r="AA1287" s="184"/>
      <c r="AB1287" s="356"/>
      <c r="AC1287" s="146">
        <f>-INDEX('EE Measures'!AR$8:AR$86,MATCH($A1287,'EE Measures'!$D$8:$D$86,0))</f>
        <v>0</v>
      </c>
      <c r="AD1287" s="146">
        <f>-INDEX('EE Measures'!AS$8:AS$86,MATCH($A1287,'EE Measures'!$D$8:$D$86,0))</f>
        <v>0</v>
      </c>
      <c r="AE1287" s="114">
        <f>AD1287-INDEX('EE Measures'!AT$8:AT$86,MATCH($A1287,'EE Measures'!$D$8:$D$86,0))</f>
        <v>0</v>
      </c>
      <c r="AF1287" s="114">
        <f>AE1287-INDEX('EE Measures'!AU$8:AU$86,MATCH($A1287,'EE Measures'!$D$8:$D$86,0))</f>
        <v>0</v>
      </c>
      <c r="AG1287" s="114">
        <f>AF1287-INDEX('EE Measures'!AV$8:AV$86,MATCH($A1287,'EE Measures'!$D$8:$D$86,0))</f>
        <v>-23.329459244952506</v>
      </c>
      <c r="AH1287" s="114">
        <f>AG1287-INDEX('EE Measures'!AW$8:AW$86,MATCH($A1287,'EE Measures'!$D$8:$D$86,0))</f>
        <v>-34.994188867428761</v>
      </c>
      <c r="AI1287" s="114">
        <f>AH1287-INDEX('EE Measures'!AX$8:AX$86,MATCH($A1287,'EE Measures'!$D$8:$D$86,0))</f>
        <v>-46.658918489905012</v>
      </c>
      <c r="AJ1287" s="114">
        <f>AI1287-INDEX('EE Measures'!AY$8:AY$86,MATCH($A1287,'EE Measures'!$D$8:$D$86,0))</f>
        <v>-58.323648112381264</v>
      </c>
      <c r="AK1287" s="114">
        <f>AJ1287-INDEX('EE Measures'!AZ$8:AZ$86,MATCH($A1287,'EE Measures'!$D$8:$D$86,0))</f>
        <v>-69.988377734857522</v>
      </c>
      <c r="AL1287" s="114">
        <f>AK1287-INDEX('EE Measures'!BA$8:BA$86,MATCH($A1287,'EE Measures'!$D$8:$D$86,0))</f>
        <v>-81.653107357333781</v>
      </c>
      <c r="AM1287" s="184"/>
      <c r="AN1287" s="184"/>
      <c r="AO1287" s="184"/>
      <c r="AP1287" s="184"/>
      <c r="AQ1287" s="184"/>
      <c r="AR1287" s="184"/>
      <c r="AS1287" s="184"/>
      <c r="AT1287" s="184"/>
      <c r="AU1287" s="184"/>
      <c r="AV1287" s="184"/>
      <c r="AW1287" s="184"/>
      <c r="AX1287" s="184"/>
      <c r="AY1287" s="184"/>
      <c r="AZ1287" s="184"/>
      <c r="BA1287" s="184"/>
      <c r="BB1287" s="184"/>
      <c r="BC1287" s="184"/>
      <c r="BD1287" s="184"/>
      <c r="BE1287" s="184"/>
      <c r="BF1287" s="184"/>
    </row>
    <row r="1288" spans="1:58" x14ac:dyDescent="0.3">
      <c r="A1288" s="184" t="str">
        <f>'EE Measures'!D80</f>
        <v>nT18</v>
      </c>
      <c r="B1288" s="184" t="s">
        <v>892</v>
      </c>
      <c r="C1288" s="184" t="s">
        <v>917</v>
      </c>
      <c r="D1288" s="184" t="s">
        <v>900</v>
      </c>
      <c r="E1288" s="511">
        <f>INDEX('EE Measures'!IF:IF,MATCH($A1288,'EE Measures'!$D:$D,0))</f>
        <v>0</v>
      </c>
      <c r="F1288" s="511">
        <f>INDEX('EE Measures'!IG:IG,MATCH($A1288,'EE Measures'!$D:$D,0))</f>
        <v>0.4</v>
      </c>
      <c r="G1288" s="511">
        <f>INDEX('EE Measures'!IH:IH,MATCH($A1288,'EE Measures'!$D:$D,0))</f>
        <v>0.4</v>
      </c>
      <c r="H1288" s="511">
        <f>INDEX('EE Measures'!II:II,MATCH($A1288,'EE Measures'!$D:$D,0))</f>
        <v>0.4</v>
      </c>
      <c r="I1288" s="511">
        <f>INDEX('EE Measures'!IJ:IJ,MATCH($A1288,'EE Measures'!$D:$D,0))</f>
        <v>1</v>
      </c>
      <c r="J1288" s="511">
        <f>INDEX('EE Measures'!IK:IK,MATCH($A1288,'EE Measures'!$D:$D,0))</f>
        <v>1</v>
      </c>
      <c r="K1288" s="511">
        <f>INDEX('EE Measures'!IL:IL,MATCH($A1288,'EE Measures'!$D:$D,0))</f>
        <v>1</v>
      </c>
      <c r="L1288" s="124"/>
      <c r="M1288" s="179" t="str">
        <f>INDEX('EE Measures'!$E$42:$E$86,MATCH($A1288,'EE Measures'!$D$42:$D$86,0))</f>
        <v>All Tallinn and Tartu taxis run on electricity</v>
      </c>
      <c r="N1288" s="365" t="s">
        <v>77</v>
      </c>
      <c r="O1288" s="355"/>
      <c r="P1288" s="355"/>
      <c r="Q1288" s="355"/>
      <c r="R1288" s="355"/>
      <c r="S1288" s="355"/>
      <c r="T1288" s="355"/>
      <c r="U1288" s="355"/>
      <c r="V1288" s="355"/>
      <c r="W1288" s="355"/>
      <c r="X1288" s="355"/>
      <c r="Y1288" s="394"/>
      <c r="Z1288" s="184"/>
      <c r="AA1288" s="184"/>
      <c r="AB1288" s="356"/>
      <c r="AC1288" s="146">
        <f>-INDEX('EE Measures'!AR$8:AR$86,MATCH($A1288,'EE Measures'!$D$8:$D$86,0))</f>
        <v>0</v>
      </c>
      <c r="AD1288" s="146">
        <f>-INDEX('EE Measures'!AS$8:AS$86,MATCH($A1288,'EE Measures'!$D$8:$D$86,0))</f>
        <v>0</v>
      </c>
      <c r="AE1288" s="114">
        <f>AD1288-INDEX('EE Measures'!AT$8:AT$86,MATCH($A1288,'EE Measures'!$D$8:$D$86,0))</f>
        <v>0</v>
      </c>
      <c r="AF1288" s="114">
        <f>AE1288-INDEX('EE Measures'!AU$8:AU$86,MATCH($A1288,'EE Measures'!$D$8:$D$86,0))</f>
        <v>0</v>
      </c>
      <c r="AG1288" s="114">
        <f>AF1288-INDEX('EE Measures'!AV$8:AV$86,MATCH($A1288,'EE Measures'!$D$8:$D$86,0))</f>
        <v>-0.80069200859679068</v>
      </c>
      <c r="AH1288" s="114">
        <f>AG1288-INDEX('EE Measures'!AW$8:AW$86,MATCH($A1288,'EE Measures'!$D$8:$D$86,0))</f>
        <v>-1.6013840171935814</v>
      </c>
      <c r="AI1288" s="114">
        <f>AH1288-INDEX('EE Measures'!AX$8:AX$86,MATCH($A1288,'EE Measures'!$D$8:$D$86,0))</f>
        <v>-2.4020760257903722</v>
      </c>
      <c r="AJ1288" s="114">
        <f>AI1288-INDEX('EE Measures'!AY$8:AY$86,MATCH($A1288,'EE Measures'!$D$8:$D$86,0))</f>
        <v>-3.2027680343871627</v>
      </c>
      <c r="AK1288" s="114">
        <f>AJ1288-INDEX('EE Measures'!AZ$8:AZ$86,MATCH($A1288,'EE Measures'!$D$8:$D$86,0))</f>
        <v>-4.0034600429839537</v>
      </c>
      <c r="AL1288" s="114">
        <f>AK1288-INDEX('EE Measures'!BA$8:BA$86,MATCH($A1288,'EE Measures'!$D$8:$D$86,0))</f>
        <v>-4.8041520515807443</v>
      </c>
      <c r="AM1288" s="184"/>
      <c r="AN1288" s="184"/>
      <c r="AO1288" s="184"/>
      <c r="AP1288" s="184"/>
      <c r="AQ1288" s="184"/>
      <c r="AR1288" s="184"/>
      <c r="AS1288" s="184"/>
      <c r="AT1288" s="184"/>
      <c r="AU1288" s="184"/>
      <c r="AV1288" s="184"/>
      <c r="AW1288" s="184"/>
      <c r="AX1288" s="184"/>
      <c r="AY1288" s="184"/>
      <c r="AZ1288" s="184"/>
      <c r="BA1288" s="184"/>
      <c r="BB1288" s="184"/>
      <c r="BC1288" s="184"/>
      <c r="BD1288" s="184"/>
      <c r="BE1288" s="184"/>
      <c r="BF1288" s="184"/>
    </row>
    <row r="1289" spans="1:58" x14ac:dyDescent="0.3">
      <c r="A1289" s="184" t="str">
        <f>'EE Measures'!D81</f>
        <v>nT19</v>
      </c>
      <c r="B1289" s="184" t="s">
        <v>892</v>
      </c>
      <c r="C1289" s="184" t="s">
        <v>917</v>
      </c>
      <c r="D1289" s="184" t="s">
        <v>900</v>
      </c>
      <c r="E1289" s="511">
        <f>INDEX('EE Measures'!IF:IF,MATCH($A1289,'EE Measures'!$D:$D,0))</f>
        <v>0</v>
      </c>
      <c r="F1289" s="511">
        <f>INDEX('EE Measures'!IG:IG,MATCH($A1289,'EE Measures'!$D:$D,0))</f>
        <v>0.4</v>
      </c>
      <c r="G1289" s="511">
        <f>INDEX('EE Measures'!IH:IH,MATCH($A1289,'EE Measures'!$D:$D,0))</f>
        <v>0.4</v>
      </c>
      <c r="H1289" s="511">
        <f>INDEX('EE Measures'!II:II,MATCH($A1289,'EE Measures'!$D:$D,0))</f>
        <v>0.4</v>
      </c>
      <c r="I1289" s="511">
        <f>INDEX('EE Measures'!IJ:IJ,MATCH($A1289,'EE Measures'!$D:$D,0))</f>
        <v>1</v>
      </c>
      <c r="J1289" s="511">
        <f>INDEX('EE Measures'!IK:IK,MATCH($A1289,'EE Measures'!$D:$D,0))</f>
        <v>1</v>
      </c>
      <c r="K1289" s="511">
        <f>INDEX('EE Measures'!IL:IL,MATCH($A1289,'EE Measures'!$D:$D,0))</f>
        <v>1</v>
      </c>
      <c r="L1289" s="124"/>
      <c r="M1289" s="179" t="str">
        <f>INDEX('EE Measures'!$E$42:$E$86,MATCH($A1289,'EE Measures'!$D$42:$D$86,0))</f>
        <v>Tallinn and Tartu congestion charge</v>
      </c>
      <c r="N1289" s="365" t="s">
        <v>77</v>
      </c>
      <c r="O1289" s="355"/>
      <c r="P1289" s="355"/>
      <c r="Q1289" s="355"/>
      <c r="R1289" s="355"/>
      <c r="S1289" s="355"/>
      <c r="T1289" s="355"/>
      <c r="U1289" s="355"/>
      <c r="V1289" s="355"/>
      <c r="W1289" s="355"/>
      <c r="X1289" s="355"/>
      <c r="Y1289" s="394"/>
      <c r="Z1289" s="184"/>
      <c r="AA1289" s="184"/>
      <c r="AB1289" s="356"/>
      <c r="AC1289" s="146">
        <f>-INDEX('EE Measures'!AR$8:AR$86,MATCH($A1289,'EE Measures'!$D$8:$D$86,0))</f>
        <v>0</v>
      </c>
      <c r="AD1289" s="146">
        <f>-INDEX('EE Measures'!AS$8:AS$86,MATCH($A1289,'EE Measures'!$D$8:$D$86,0))</f>
        <v>0</v>
      </c>
      <c r="AE1289" s="114">
        <f>AD1289-INDEX('EE Measures'!AT$8:AT$86,MATCH($A1289,'EE Measures'!$D$8:$D$86,0))</f>
        <v>0</v>
      </c>
      <c r="AF1289" s="114">
        <f>AE1289-INDEX('EE Measures'!AU$8:AU$86,MATCH($A1289,'EE Measures'!$D$8:$D$86,0))</f>
        <v>0</v>
      </c>
      <c r="AG1289" s="114">
        <f>AF1289-INDEX('EE Measures'!AV$8:AV$86,MATCH($A1289,'EE Measures'!$D$8:$D$86,0))</f>
        <v>0</v>
      </c>
      <c r="AH1289" s="114">
        <f>AG1289-INDEX('EE Measures'!AW$8:AW$86,MATCH($A1289,'EE Measures'!$D$8:$D$86,0))</f>
        <v>0</v>
      </c>
      <c r="AI1289" s="114">
        <f>AH1289-INDEX('EE Measures'!AX$8:AX$86,MATCH($A1289,'EE Measures'!$D$8:$D$86,0))</f>
        <v>0</v>
      </c>
      <c r="AJ1289" s="114">
        <f>AI1289-INDEX('EE Measures'!AY$8:AY$86,MATCH($A1289,'EE Measures'!$D$8:$D$86,0))</f>
        <v>0</v>
      </c>
      <c r="AK1289" s="114">
        <f>AJ1289-INDEX('EE Measures'!AZ$8:AZ$86,MATCH($A1289,'EE Measures'!$D$8:$D$86,0))</f>
        <v>0</v>
      </c>
      <c r="AL1289" s="114">
        <f>AK1289-INDEX('EE Measures'!BA$8:BA$86,MATCH($A1289,'EE Measures'!$D$8:$D$86,0))</f>
        <v>0</v>
      </c>
      <c r="AM1289" s="184"/>
      <c r="AN1289" s="184"/>
      <c r="AO1289" s="184"/>
      <c r="AP1289" s="184"/>
      <c r="AQ1289" s="184"/>
      <c r="AR1289" s="184"/>
      <c r="AS1289" s="184"/>
      <c r="AT1289" s="184"/>
      <c r="AU1289" s="184"/>
      <c r="AV1289" s="184"/>
      <c r="AW1289" s="184"/>
      <c r="AX1289" s="184"/>
      <c r="AY1289" s="184"/>
      <c r="AZ1289" s="184"/>
      <c r="BA1289" s="184"/>
      <c r="BB1289" s="184"/>
      <c r="BC1289" s="184"/>
      <c r="BD1289" s="184"/>
      <c r="BE1289" s="184"/>
      <c r="BF1289" s="184"/>
    </row>
    <row r="1290" spans="1:58" x14ac:dyDescent="0.3">
      <c r="A1290" s="184"/>
      <c r="B1290" s="184"/>
      <c r="C1290" s="184"/>
      <c r="D1290" s="184"/>
      <c r="E1290" s="184"/>
      <c r="F1290" s="184"/>
      <c r="G1290" s="184"/>
      <c r="H1290" s="184"/>
      <c r="I1290" s="184"/>
      <c r="J1290" s="184"/>
      <c r="K1290" s="184"/>
      <c r="L1290" s="124"/>
      <c r="M1290" s="88" t="s">
        <v>914</v>
      </c>
      <c r="N1290" s="365" t="s">
        <v>77</v>
      </c>
      <c r="O1290" s="355"/>
      <c r="P1290" s="355"/>
      <c r="Q1290" s="355"/>
      <c r="R1290" s="355"/>
      <c r="S1290" s="355"/>
      <c r="T1290" s="355"/>
      <c r="U1290" s="355"/>
      <c r="V1290" s="355"/>
      <c r="W1290" s="355"/>
      <c r="X1290" s="355"/>
      <c r="Y1290" s="394"/>
      <c r="Z1290" s="184"/>
      <c r="AA1290" s="184"/>
      <c r="AB1290" s="356"/>
      <c r="AC1290" s="425">
        <f t="shared" ref="AC1290" si="1232">AC1268+SUM(AC1272:AC1289)</f>
        <v>9665.5308323803783</v>
      </c>
      <c r="AD1290" s="425">
        <f t="shared" ref="AD1290:AL1290" si="1233">AD1268+SUM(AD1272:AD1289)</f>
        <v>9795.974644564998</v>
      </c>
      <c r="AE1290" s="425">
        <f t="shared" si="1233"/>
        <v>9874.1017090726546</v>
      </c>
      <c r="AF1290" s="425">
        <f t="shared" si="1233"/>
        <v>9960.4331113629196</v>
      </c>
      <c r="AG1290" s="425">
        <f t="shared" si="1233"/>
        <v>9860.4774412060451</v>
      </c>
      <c r="AH1290" s="425">
        <f t="shared" si="1233"/>
        <v>9856.5237286344709</v>
      </c>
      <c r="AI1290" s="425">
        <f t="shared" si="1233"/>
        <v>9509.5462594218661</v>
      </c>
      <c r="AJ1290" s="425">
        <f t="shared" si="1233"/>
        <v>9509.8897711575955</v>
      </c>
      <c r="AK1290" s="425">
        <f t="shared" si="1233"/>
        <v>9510.9337043689575</v>
      </c>
      <c r="AL1290" s="425">
        <f t="shared" si="1233"/>
        <v>9515.089991228524</v>
      </c>
      <c r="AM1290" s="184"/>
      <c r="AN1290" s="184"/>
      <c r="AO1290" s="184"/>
      <c r="AP1290" s="184"/>
      <c r="AQ1290" s="184"/>
      <c r="AR1290" s="184"/>
      <c r="AS1290" s="184"/>
      <c r="AT1290" s="184"/>
      <c r="AU1290" s="184"/>
      <c r="AV1290" s="184"/>
      <c r="AW1290" s="184"/>
      <c r="AX1290" s="184"/>
      <c r="AY1290" s="184"/>
      <c r="AZ1290" s="184"/>
      <c r="BA1290" s="184"/>
      <c r="BB1290" s="184"/>
      <c r="BC1290" s="184"/>
      <c r="BD1290" s="184"/>
      <c r="BE1290" s="184"/>
      <c r="BF1290" s="184"/>
    </row>
    <row r="1291" spans="1:58" ht="14.25" thickBot="1" x14ac:dyDescent="0.35">
      <c r="A1291" s="184"/>
      <c r="B1291" s="184"/>
      <c r="C1291" s="184"/>
      <c r="D1291" s="184"/>
      <c r="E1291" s="184"/>
      <c r="F1291" s="184"/>
      <c r="G1291" s="184"/>
      <c r="H1291" s="184"/>
      <c r="I1291" s="184"/>
      <c r="J1291" s="184"/>
      <c r="K1291" s="184"/>
      <c r="L1291" s="124"/>
      <c r="M1291" s="72" t="s">
        <v>915</v>
      </c>
      <c r="N1291" s="469" t="s">
        <v>68</v>
      </c>
      <c r="O1291" s="355"/>
      <c r="P1291" s="355"/>
      <c r="Q1291" s="355"/>
      <c r="R1291" s="355"/>
      <c r="S1291" s="355"/>
      <c r="T1291" s="355"/>
      <c r="U1291" s="355"/>
      <c r="V1291" s="355"/>
      <c r="W1291" s="355"/>
      <c r="X1291" s="355"/>
      <c r="Y1291" s="394"/>
      <c r="Z1291" s="184"/>
      <c r="AA1291" s="184"/>
      <c r="AB1291" s="356"/>
      <c r="AC1291" s="428">
        <f>(AC$1260-AC1290)/AC$1260</f>
        <v>5.6890699651561691E-3</v>
      </c>
      <c r="AD1291" s="428">
        <f>(AD$1260-AD1290)/AD$1260</f>
        <v>2.2475991496949776E-3</v>
      </c>
      <c r="AE1291" s="428">
        <f>((AE$1260-AE1290)-(AD$1260-AD1290))/AE$1260</f>
        <v>2.0222774349431135E-3</v>
      </c>
      <c r="AF1291" s="428">
        <f t="shared" ref="AF1291" si="1234">((AF$1260-AF1290)-(AE$1260-AE1290))/AF$1260</f>
        <v>1.2811109542477347E-3</v>
      </c>
      <c r="AG1291" s="428">
        <f t="shared" ref="AG1291" si="1235">((AG$1260-AG1290)-(AF$1260-AF1290))/AG$1260</f>
        <v>1.9782389259613235E-2</v>
      </c>
      <c r="AH1291" s="428">
        <f t="shared" ref="AH1291" si="1236">((AH$1260-AH1290)-(AG$1260-AG1290))/AH$1260</f>
        <v>1.0287975630138418E-2</v>
      </c>
      <c r="AI1291" s="428">
        <f t="shared" ref="AI1291" si="1237">((AI$1260-AI1290)-(AH$1260-AH1290))/AI$1260</f>
        <v>4.3526550830665076E-2</v>
      </c>
      <c r="AJ1291" s="428">
        <f t="shared" ref="AJ1291" si="1238">((AJ$1260-AJ1290)-(AI$1260-AI1290))/AJ$1260</f>
        <v>9.8680300032102913E-3</v>
      </c>
      <c r="AK1291" s="428">
        <f t="shared" ref="AK1291" si="1239">((AK$1260-AK1290)-(AJ$1260-AJ1290))/AK$1260</f>
        <v>9.8018160083711593E-3</v>
      </c>
      <c r="AL1291" s="429">
        <f t="shared" ref="AL1291" si="1240">((AL$1260-AL1290)-(AK$1260-AK1290))/AL$1260</f>
        <v>9.5100505091256539E-3</v>
      </c>
      <c r="AM1291" s="184"/>
      <c r="AN1291" s="184"/>
      <c r="AO1291" s="184"/>
      <c r="AP1291" s="184"/>
      <c r="AQ1291" s="184"/>
      <c r="AR1291" s="184"/>
      <c r="AS1291" s="184"/>
      <c r="AT1291" s="184"/>
      <c r="AU1291" s="184"/>
      <c r="AV1291" s="184"/>
      <c r="AW1291" s="184"/>
      <c r="AX1291" s="184"/>
      <c r="AY1291" s="184"/>
      <c r="AZ1291" s="184"/>
      <c r="BA1291" s="184"/>
      <c r="BB1291" s="184"/>
      <c r="BC1291" s="184"/>
      <c r="BD1291" s="184"/>
      <c r="BE1291" s="184"/>
      <c r="BF1291" s="184"/>
    </row>
    <row r="1292" spans="1:58" ht="14.25" thickBot="1" x14ac:dyDescent="0.35">
      <c r="A1292" s="184"/>
      <c r="B1292" s="184"/>
      <c r="C1292" s="184"/>
      <c r="D1292" s="184"/>
      <c r="E1292" s="184"/>
      <c r="F1292" s="184"/>
      <c r="G1292" s="184"/>
      <c r="H1292" s="184"/>
      <c r="I1292" s="184"/>
      <c r="J1292" s="184"/>
      <c r="K1292" s="184"/>
      <c r="L1292" s="124"/>
      <c r="M1292" s="72" t="s">
        <v>916</v>
      </c>
      <c r="N1292" s="469" t="s">
        <v>68</v>
      </c>
      <c r="O1292" s="355"/>
      <c r="P1292" s="355"/>
      <c r="Q1292" s="355"/>
      <c r="R1292" s="355"/>
      <c r="S1292" s="355"/>
      <c r="T1292" s="355"/>
      <c r="U1292" s="355"/>
      <c r="V1292" s="355"/>
      <c r="W1292" s="355"/>
      <c r="X1292" s="355"/>
      <c r="Y1292" s="394"/>
      <c r="Z1292" s="184"/>
      <c r="AA1292" s="184"/>
      <c r="AB1292" s="356"/>
      <c r="AC1292" s="356"/>
      <c r="AD1292" s="196"/>
      <c r="AE1292" s="196"/>
      <c r="AF1292" s="196"/>
      <c r="AG1292" s="196"/>
      <c r="AH1292" s="196"/>
      <c r="AI1292" s="196"/>
      <c r="AJ1292" s="196"/>
      <c r="AK1292" s="196"/>
      <c r="AL1292" s="459">
        <f>((AL$1260-AL1290)/AL$1260)/9</f>
        <v>1.1668039698545402E-2</v>
      </c>
      <c r="AM1292" s="184"/>
      <c r="AN1292" s="184"/>
      <c r="AO1292" s="184"/>
      <c r="AP1292" s="184"/>
      <c r="AQ1292" s="184"/>
      <c r="AR1292" s="184"/>
      <c r="AS1292" s="184"/>
      <c r="AT1292" s="184"/>
      <c r="AU1292" s="184"/>
      <c r="AV1292" s="184"/>
      <c r="AW1292" s="184"/>
      <c r="AX1292" s="184"/>
      <c r="AY1292" s="184"/>
      <c r="AZ1292" s="184"/>
      <c r="BA1292" s="184"/>
      <c r="BB1292" s="184"/>
      <c r="BC1292" s="184"/>
      <c r="BD1292" s="184"/>
      <c r="BE1292" s="184"/>
      <c r="BF1292" s="184"/>
    </row>
    <row r="1293" spans="1:58" s="144" customFormat="1" x14ac:dyDescent="0.3">
      <c r="L1293" s="106" t="s">
        <v>1333</v>
      </c>
      <c r="M1293" s="106"/>
      <c r="N1293" s="106"/>
      <c r="O1293" s="107"/>
      <c r="P1293" s="107"/>
      <c r="Q1293" s="107"/>
      <c r="R1293" s="107"/>
      <c r="S1293" s="107"/>
      <c r="T1293" s="107"/>
      <c r="U1293" s="107"/>
      <c r="V1293" s="107"/>
      <c r="W1293" s="107"/>
      <c r="X1293" s="107"/>
      <c r="Y1293" s="394"/>
      <c r="Z1293" s="107"/>
      <c r="AA1293" s="107"/>
      <c r="AB1293" s="107"/>
      <c r="AC1293" s="107"/>
    </row>
    <row r="1294" spans="1:58" x14ac:dyDescent="0.3">
      <c r="A1294" s="381"/>
      <c r="B1294" s="381"/>
      <c r="C1294" s="381"/>
      <c r="D1294" s="381"/>
      <c r="E1294" s="381"/>
      <c r="F1294" s="381"/>
      <c r="G1294" s="381"/>
      <c r="H1294" s="381"/>
      <c r="I1294" s="381"/>
      <c r="J1294" s="381"/>
      <c r="K1294" s="381"/>
      <c r="L1294" s="144"/>
      <c r="M1294" s="381"/>
      <c r="N1294" s="381"/>
      <c r="O1294" s="381"/>
      <c r="P1294" s="381"/>
      <c r="Q1294" s="381"/>
      <c r="R1294" s="381"/>
      <c r="S1294" s="381"/>
      <c r="T1294" s="381"/>
      <c r="U1294" s="381"/>
      <c r="V1294" s="381"/>
      <c r="W1294" s="381"/>
      <c r="X1294" s="381"/>
      <c r="Y1294" s="394"/>
      <c r="Z1294" s="381"/>
      <c r="AA1294" s="381"/>
      <c r="AB1294" s="381"/>
      <c r="AC1294" s="381"/>
      <c r="AD1294" s="393" t="s">
        <v>1334</v>
      </c>
      <c r="AE1294" s="389"/>
      <c r="AF1294" s="389"/>
      <c r="AG1294" s="389"/>
      <c r="AH1294" s="389"/>
      <c r="AI1294" s="389"/>
      <c r="AJ1294" s="389"/>
      <c r="AK1294" s="389"/>
      <c r="AL1294" s="389"/>
      <c r="AM1294" s="389"/>
      <c r="AN1294" s="389"/>
      <c r="AO1294" s="389"/>
      <c r="AP1294" s="389"/>
      <c r="AQ1294" s="389"/>
      <c r="AR1294" s="389"/>
      <c r="AS1294" s="389"/>
      <c r="AT1294" s="389"/>
      <c r="AU1294" s="389"/>
      <c r="AV1294" s="389"/>
      <c r="AW1294" s="389"/>
      <c r="AX1294" s="389"/>
      <c r="AY1294" s="389"/>
      <c r="AZ1294" s="389"/>
      <c r="BA1294" s="389"/>
      <c r="BB1294" s="389"/>
      <c r="BC1294" s="389"/>
      <c r="BD1294" s="389"/>
      <c r="BE1294" s="389"/>
      <c r="BF1294" s="389"/>
    </row>
    <row r="1295" spans="1:58" x14ac:dyDescent="0.3">
      <c r="A1295" s="381"/>
      <c r="B1295" s="381"/>
      <c r="C1295" s="381"/>
      <c r="D1295" s="381"/>
      <c r="E1295" s="381"/>
      <c r="F1295" s="381"/>
      <c r="G1295" s="381"/>
      <c r="H1295" s="381"/>
      <c r="I1295" s="381"/>
      <c r="J1295" s="381"/>
      <c r="K1295" s="381"/>
      <c r="L1295" s="144"/>
      <c r="M1295" s="382" t="s">
        <v>54</v>
      </c>
      <c r="N1295" s="382"/>
      <c r="O1295" s="382"/>
      <c r="P1295" s="382"/>
      <c r="Q1295" s="382"/>
      <c r="R1295" s="382"/>
      <c r="S1295" s="382"/>
      <c r="T1295" s="382"/>
      <c r="U1295" s="382"/>
      <c r="V1295" s="382"/>
      <c r="W1295" s="382"/>
      <c r="X1295" s="382"/>
      <c r="Y1295" s="394"/>
      <c r="Z1295" s="381"/>
      <c r="AA1295" s="381"/>
      <c r="AB1295" s="382"/>
      <c r="AC1295" s="382"/>
      <c r="AD1295" s="147">
        <v>0</v>
      </c>
      <c r="AE1295" s="147">
        <v>0</v>
      </c>
      <c r="AF1295" s="147">
        <v>0</v>
      </c>
      <c r="AG1295" s="147">
        <v>0</v>
      </c>
      <c r="AH1295" s="147">
        <v>0</v>
      </c>
      <c r="AI1295" s="147">
        <v>0</v>
      </c>
      <c r="AJ1295" s="147">
        <v>0</v>
      </c>
      <c r="AK1295" s="147">
        <v>0</v>
      </c>
      <c r="AL1295" s="147">
        <v>0</v>
      </c>
      <c r="AM1295" s="147">
        <v>0</v>
      </c>
      <c r="AN1295" s="147">
        <v>0</v>
      </c>
      <c r="AO1295" s="147">
        <v>0</v>
      </c>
      <c r="AP1295" s="147">
        <v>0</v>
      </c>
      <c r="AQ1295" s="147">
        <v>0</v>
      </c>
      <c r="AR1295" s="147">
        <v>0</v>
      </c>
      <c r="AS1295" s="147">
        <v>0</v>
      </c>
      <c r="AT1295" s="147">
        <v>0</v>
      </c>
      <c r="AU1295" s="147">
        <v>0</v>
      </c>
      <c r="AV1295" s="147">
        <v>0</v>
      </c>
      <c r="AW1295" s="147">
        <v>0</v>
      </c>
      <c r="AX1295" s="147">
        <v>0</v>
      </c>
      <c r="AY1295" s="147">
        <v>0</v>
      </c>
      <c r="AZ1295" s="147">
        <v>0</v>
      </c>
      <c r="BA1295" s="147">
        <v>0</v>
      </c>
      <c r="BB1295" s="147">
        <v>0</v>
      </c>
      <c r="BC1295" s="147">
        <v>0</v>
      </c>
      <c r="BD1295" s="147">
        <v>0</v>
      </c>
      <c r="BE1295" s="147">
        <v>0</v>
      </c>
      <c r="BF1295" s="147">
        <v>0</v>
      </c>
    </row>
    <row r="1296" spans="1:58" x14ac:dyDescent="0.3">
      <c r="A1296" s="381"/>
      <c r="B1296" s="381"/>
      <c r="C1296" s="381"/>
      <c r="D1296" s="381"/>
      <c r="E1296" s="381"/>
      <c r="F1296" s="381"/>
      <c r="G1296" s="381"/>
      <c r="H1296" s="381"/>
      <c r="I1296" s="381"/>
      <c r="J1296" s="381"/>
      <c r="K1296" s="381"/>
      <c r="L1296" s="144"/>
      <c r="M1296" s="383" t="s">
        <v>1335</v>
      </c>
      <c r="N1296" s="473" t="s">
        <v>77</v>
      </c>
      <c r="O1296" s="145">
        <v>751.27777777777771</v>
      </c>
      <c r="P1296" s="145">
        <v>926.52777777777771</v>
      </c>
      <c r="Q1296" s="145">
        <v>940.02777777777783</v>
      </c>
      <c r="R1296" s="145">
        <v>928.27777777777783</v>
      </c>
      <c r="S1296" s="145">
        <v>1175.5055555555557</v>
      </c>
      <c r="T1296" s="145">
        <v>1196.8555555555556</v>
      </c>
      <c r="U1296" s="145">
        <v>1127.7777777777778</v>
      </c>
      <c r="V1296" s="145">
        <v>1151.1833333333332</v>
      </c>
      <c r="W1296" s="145">
        <v>1148.6111111111111</v>
      </c>
      <c r="X1296" s="145">
        <v>1064.31</v>
      </c>
      <c r="Y1296" s="394"/>
      <c r="Z1296" s="381"/>
      <c r="AA1296" s="381"/>
      <c r="AB1296" s="145">
        <v>1021.1111111111111</v>
      </c>
      <c r="AC1296" s="145">
        <v>748.33333333333337</v>
      </c>
      <c r="AD1296" s="460">
        <f>AC1296*(1+AD$1295)</f>
        <v>748.33333333333337</v>
      </c>
      <c r="AE1296" s="460">
        <f t="shared" ref="AE1296:BB1296" si="1241">AD1296*(1+AE$1295)</f>
        <v>748.33333333333337</v>
      </c>
      <c r="AF1296" s="460">
        <f t="shared" si="1241"/>
        <v>748.33333333333337</v>
      </c>
      <c r="AG1296" s="460">
        <f t="shared" si="1241"/>
        <v>748.33333333333337</v>
      </c>
      <c r="AH1296" s="460">
        <f t="shared" si="1241"/>
        <v>748.33333333333337</v>
      </c>
      <c r="AI1296" s="460">
        <f t="shared" si="1241"/>
        <v>748.33333333333337</v>
      </c>
      <c r="AJ1296" s="460">
        <f t="shared" si="1241"/>
        <v>748.33333333333337</v>
      </c>
      <c r="AK1296" s="460">
        <f t="shared" si="1241"/>
        <v>748.33333333333337</v>
      </c>
      <c r="AL1296" s="460">
        <f t="shared" si="1241"/>
        <v>748.33333333333337</v>
      </c>
      <c r="AM1296" s="460">
        <f t="shared" si="1241"/>
        <v>748.33333333333337</v>
      </c>
      <c r="AN1296" s="460">
        <f t="shared" si="1241"/>
        <v>748.33333333333337</v>
      </c>
      <c r="AO1296" s="460">
        <f t="shared" si="1241"/>
        <v>748.33333333333337</v>
      </c>
      <c r="AP1296" s="460">
        <f t="shared" si="1241"/>
        <v>748.33333333333337</v>
      </c>
      <c r="AQ1296" s="460">
        <f t="shared" si="1241"/>
        <v>748.33333333333337</v>
      </c>
      <c r="AR1296" s="460">
        <f t="shared" si="1241"/>
        <v>748.33333333333337</v>
      </c>
      <c r="AS1296" s="460">
        <f t="shared" si="1241"/>
        <v>748.33333333333337</v>
      </c>
      <c r="AT1296" s="460">
        <f t="shared" si="1241"/>
        <v>748.33333333333337</v>
      </c>
      <c r="AU1296" s="460">
        <f t="shared" si="1241"/>
        <v>748.33333333333337</v>
      </c>
      <c r="AV1296" s="460">
        <f t="shared" si="1241"/>
        <v>748.33333333333337</v>
      </c>
      <c r="AW1296" s="460">
        <f t="shared" si="1241"/>
        <v>748.33333333333337</v>
      </c>
      <c r="AX1296" s="460">
        <f t="shared" si="1241"/>
        <v>748.33333333333337</v>
      </c>
      <c r="AY1296" s="460">
        <f t="shared" si="1241"/>
        <v>748.33333333333337</v>
      </c>
      <c r="AZ1296" s="460">
        <f t="shared" si="1241"/>
        <v>748.33333333333337</v>
      </c>
      <c r="BA1296" s="460">
        <f t="shared" si="1241"/>
        <v>748.33333333333337</v>
      </c>
      <c r="BB1296" s="460">
        <f t="shared" si="1241"/>
        <v>748.33333333333337</v>
      </c>
      <c r="BC1296" s="460">
        <f t="shared" ref="BC1296:BF1296" si="1242">BB1296*(1+BC$1295)</f>
        <v>748.33333333333337</v>
      </c>
      <c r="BD1296" s="460">
        <f t="shared" si="1242"/>
        <v>748.33333333333337</v>
      </c>
      <c r="BE1296" s="460">
        <f t="shared" si="1242"/>
        <v>748.33333333333337</v>
      </c>
      <c r="BF1296" s="460">
        <f t="shared" si="1242"/>
        <v>748.33333333333337</v>
      </c>
    </row>
    <row r="1297" spans="1:65" x14ac:dyDescent="0.3">
      <c r="A1297" s="381"/>
      <c r="B1297" s="381"/>
      <c r="C1297" s="381"/>
      <c r="D1297" s="381"/>
      <c r="E1297" s="381"/>
      <c r="F1297" s="381"/>
      <c r="G1297" s="381"/>
      <c r="H1297" s="381"/>
      <c r="I1297" s="381"/>
      <c r="J1297" s="381"/>
      <c r="K1297" s="381"/>
      <c r="L1297" s="144"/>
      <c r="M1297" s="384" t="s">
        <v>1336</v>
      </c>
      <c r="N1297" s="473" t="s">
        <v>77</v>
      </c>
      <c r="O1297" s="145">
        <v>0</v>
      </c>
      <c r="P1297" s="145">
        <v>0</v>
      </c>
      <c r="Q1297" s="145">
        <v>12.638888888888889</v>
      </c>
      <c r="R1297" s="145">
        <v>12.638888888888889</v>
      </c>
      <c r="S1297" s="145">
        <v>12.638888888888889</v>
      </c>
      <c r="T1297" s="145">
        <v>25.277777777777779</v>
      </c>
      <c r="U1297" s="145">
        <v>25.277777777777779</v>
      </c>
      <c r="V1297" s="145">
        <v>25.277777777777779</v>
      </c>
      <c r="W1297" s="145">
        <v>12.777777777777777</v>
      </c>
      <c r="X1297" s="145">
        <v>25.277777777777779</v>
      </c>
      <c r="Y1297" s="394"/>
      <c r="Z1297" s="381"/>
      <c r="AA1297" s="381"/>
      <c r="AB1297" s="145">
        <v>29.999999999999996</v>
      </c>
      <c r="AC1297" s="145">
        <v>12.777777777777777</v>
      </c>
      <c r="AD1297" s="381"/>
      <c r="AE1297" s="381"/>
      <c r="AF1297" s="381"/>
      <c r="AG1297" s="381"/>
      <c r="AH1297" s="381"/>
      <c r="AI1297" s="381"/>
      <c r="AJ1297" s="381"/>
      <c r="AK1297" s="381"/>
      <c r="AL1297" s="381"/>
      <c r="AM1297" s="381"/>
      <c r="AN1297" s="381"/>
      <c r="AO1297" s="381"/>
      <c r="AP1297" s="381"/>
      <c r="AQ1297" s="381"/>
      <c r="AR1297" s="381"/>
      <c r="AS1297" s="381"/>
      <c r="AT1297" s="381"/>
      <c r="AU1297" s="381"/>
      <c r="AV1297" s="381"/>
      <c r="AW1297" s="381"/>
      <c r="AX1297" s="381"/>
      <c r="AY1297" s="381"/>
      <c r="AZ1297" s="381"/>
      <c r="BA1297" s="381"/>
      <c r="BB1297" s="381"/>
      <c r="BC1297" s="381"/>
      <c r="BD1297" s="381"/>
      <c r="BE1297" s="381"/>
      <c r="BF1297" s="381"/>
    </row>
    <row r="1298" spans="1:65" x14ac:dyDescent="0.3">
      <c r="A1298" s="381"/>
      <c r="B1298" s="381"/>
      <c r="C1298" s="381"/>
      <c r="D1298" s="381"/>
      <c r="E1298" s="381"/>
      <c r="F1298" s="381"/>
      <c r="G1298" s="381"/>
      <c r="H1298" s="381"/>
      <c r="I1298" s="381"/>
      <c r="J1298" s="381"/>
      <c r="K1298" s="381"/>
      <c r="L1298" s="144"/>
      <c r="M1298" s="384" t="s">
        <v>1337</v>
      </c>
      <c r="N1298" s="473" t="s">
        <v>77</v>
      </c>
      <c r="O1298" s="145">
        <v>740.25</v>
      </c>
      <c r="P1298" s="145">
        <v>904.75000000000011</v>
      </c>
      <c r="Q1298" s="145">
        <v>916.5</v>
      </c>
      <c r="R1298" s="145">
        <v>904.75000000000011</v>
      </c>
      <c r="S1298" s="145">
        <v>1151.9722222222224</v>
      </c>
      <c r="T1298" s="145">
        <v>1128</v>
      </c>
      <c r="U1298" s="145">
        <v>1057.5</v>
      </c>
      <c r="V1298" s="145">
        <v>1093.2222222222219</v>
      </c>
      <c r="W1298" s="145">
        <v>1104.4444444444446</v>
      </c>
      <c r="X1298" s="145">
        <v>1008.5277777777778</v>
      </c>
      <c r="Y1298" s="394"/>
      <c r="Z1298" s="381"/>
      <c r="AA1298" s="381"/>
      <c r="AB1298" s="145">
        <v>969.72222222222217</v>
      </c>
      <c r="AC1298" s="145">
        <v>705</v>
      </c>
      <c r="AD1298" s="381"/>
      <c r="AE1298" s="381"/>
      <c r="AF1298" s="381"/>
      <c r="AG1298" s="381"/>
      <c r="AH1298" s="381"/>
      <c r="AI1298" s="381"/>
      <c r="AJ1298" s="381"/>
      <c r="AK1298" s="381"/>
      <c r="AL1298" s="381"/>
      <c r="AM1298" s="381"/>
      <c r="AN1298" s="381"/>
      <c r="AO1298" s="381"/>
      <c r="AP1298" s="381"/>
      <c r="AQ1298" s="381"/>
      <c r="AR1298" s="381"/>
      <c r="AS1298" s="381"/>
      <c r="AT1298" s="381"/>
      <c r="AU1298" s="381"/>
      <c r="AV1298" s="381"/>
      <c r="AW1298" s="381"/>
      <c r="AX1298" s="381"/>
      <c r="AY1298" s="381"/>
      <c r="AZ1298" s="381"/>
      <c r="BA1298" s="381"/>
      <c r="BB1298" s="381"/>
      <c r="BC1298" s="381"/>
      <c r="BD1298" s="381"/>
      <c r="BE1298" s="381"/>
      <c r="BF1298" s="381"/>
    </row>
    <row r="1299" spans="1:65" x14ac:dyDescent="0.3">
      <c r="A1299" s="381"/>
      <c r="B1299" s="381"/>
      <c r="C1299" s="381"/>
      <c r="D1299" s="381"/>
      <c r="E1299" s="381"/>
      <c r="F1299" s="381"/>
      <c r="G1299" s="381"/>
      <c r="H1299" s="381"/>
      <c r="I1299" s="381"/>
      <c r="J1299" s="381"/>
      <c r="K1299" s="381"/>
      <c r="L1299" s="144"/>
      <c r="M1299" s="384" t="s">
        <v>1338</v>
      </c>
      <c r="N1299" s="473" t="s">
        <v>77</v>
      </c>
      <c r="O1299" s="145">
        <v>11.027777777777779</v>
      </c>
      <c r="P1299" s="145">
        <v>21.777777777777779</v>
      </c>
      <c r="Q1299" s="145">
        <v>10.888888888888889</v>
      </c>
      <c r="R1299" s="145">
        <v>10.888888888888889</v>
      </c>
      <c r="S1299" s="145">
        <v>10.894444444444444</v>
      </c>
      <c r="T1299" s="145">
        <v>43.577777777777776</v>
      </c>
      <c r="U1299" s="145">
        <v>45</v>
      </c>
      <c r="V1299" s="145">
        <v>32.68333333333333</v>
      </c>
      <c r="W1299" s="145">
        <v>31.388888888888889</v>
      </c>
      <c r="X1299" s="145">
        <v>30.504444444444445</v>
      </c>
      <c r="Y1299" s="394"/>
      <c r="Z1299" s="381"/>
      <c r="AA1299" s="381"/>
      <c r="AB1299" s="145">
        <v>21.388888888888889</v>
      </c>
      <c r="AC1299" s="145">
        <v>30.55555555555555</v>
      </c>
      <c r="AD1299" s="381"/>
      <c r="AE1299" s="381"/>
      <c r="AF1299" s="381"/>
      <c r="AG1299" s="381"/>
      <c r="AH1299" s="381"/>
      <c r="AI1299" s="381"/>
      <c r="AJ1299" s="381"/>
      <c r="AK1299" s="381"/>
      <c r="AL1299" s="381"/>
      <c r="AM1299" s="381"/>
      <c r="AN1299" s="381"/>
      <c r="AO1299" s="381"/>
      <c r="AP1299" s="381"/>
      <c r="AQ1299" s="381"/>
      <c r="AR1299" s="381"/>
      <c r="AS1299" s="381"/>
      <c r="AT1299" s="381"/>
      <c r="AU1299" s="381"/>
      <c r="AV1299" s="381"/>
      <c r="AW1299" s="381"/>
      <c r="AX1299" s="381"/>
      <c r="AY1299" s="381"/>
      <c r="AZ1299" s="381"/>
      <c r="BA1299" s="381"/>
      <c r="BB1299" s="381"/>
      <c r="BC1299" s="381"/>
      <c r="BD1299" s="381"/>
      <c r="BE1299" s="381"/>
      <c r="BF1299" s="381"/>
    </row>
    <row r="1300" spans="1:65" x14ac:dyDescent="0.3">
      <c r="A1300" s="381"/>
      <c r="B1300" s="381"/>
      <c r="C1300" s="381"/>
      <c r="D1300" s="381"/>
      <c r="E1300" s="381"/>
      <c r="F1300" s="381"/>
      <c r="G1300" s="381"/>
      <c r="H1300" s="381"/>
      <c r="I1300" s="381"/>
      <c r="J1300" s="381"/>
      <c r="K1300" s="381"/>
      <c r="L1300" s="144"/>
      <c r="M1300" s="383" t="s">
        <v>1339</v>
      </c>
      <c r="N1300" s="473" t="s">
        <v>77</v>
      </c>
      <c r="O1300" s="145">
        <v>97.290383069916956</v>
      </c>
      <c r="P1300" s="145">
        <v>83.588781514873375</v>
      </c>
      <c r="Q1300" s="145">
        <v>95.035475684913749</v>
      </c>
      <c r="R1300" s="145">
        <v>84.846220517938761</v>
      </c>
      <c r="S1300" s="145">
        <v>63.249999999999993</v>
      </c>
      <c r="T1300" s="145">
        <v>70.251011999942392</v>
      </c>
      <c r="U1300" s="145">
        <v>53.888888888888886</v>
      </c>
      <c r="V1300" s="145">
        <v>50.794060179757714</v>
      </c>
      <c r="W1300" s="145">
        <v>50</v>
      </c>
      <c r="X1300" s="145">
        <v>47.56645742061751</v>
      </c>
      <c r="Y1300" s="394"/>
      <c r="Z1300" s="381"/>
      <c r="AA1300" s="381"/>
      <c r="AB1300" s="145">
        <v>41.666666666666664</v>
      </c>
      <c r="AC1300" s="145">
        <v>34.44444444444445</v>
      </c>
      <c r="AD1300" s="460">
        <f>AC1300*(1+AD$1295)</f>
        <v>34.44444444444445</v>
      </c>
      <c r="AE1300" s="460">
        <f t="shared" ref="AE1300:BB1300" si="1243">AD1300*(1+AE$1295)</f>
        <v>34.44444444444445</v>
      </c>
      <c r="AF1300" s="460">
        <f t="shared" si="1243"/>
        <v>34.44444444444445</v>
      </c>
      <c r="AG1300" s="460">
        <f t="shared" si="1243"/>
        <v>34.44444444444445</v>
      </c>
      <c r="AH1300" s="460">
        <f t="shared" si="1243"/>
        <v>34.44444444444445</v>
      </c>
      <c r="AI1300" s="460">
        <f t="shared" si="1243"/>
        <v>34.44444444444445</v>
      </c>
      <c r="AJ1300" s="460">
        <f t="shared" si="1243"/>
        <v>34.44444444444445</v>
      </c>
      <c r="AK1300" s="460">
        <f t="shared" si="1243"/>
        <v>34.44444444444445</v>
      </c>
      <c r="AL1300" s="460">
        <f t="shared" si="1243"/>
        <v>34.44444444444445</v>
      </c>
      <c r="AM1300" s="460">
        <f t="shared" si="1243"/>
        <v>34.44444444444445</v>
      </c>
      <c r="AN1300" s="460">
        <f t="shared" si="1243"/>
        <v>34.44444444444445</v>
      </c>
      <c r="AO1300" s="460">
        <f t="shared" si="1243"/>
        <v>34.44444444444445</v>
      </c>
      <c r="AP1300" s="460">
        <f t="shared" si="1243"/>
        <v>34.44444444444445</v>
      </c>
      <c r="AQ1300" s="460">
        <f t="shared" si="1243"/>
        <v>34.44444444444445</v>
      </c>
      <c r="AR1300" s="460">
        <f t="shared" si="1243"/>
        <v>34.44444444444445</v>
      </c>
      <c r="AS1300" s="460">
        <f t="shared" si="1243"/>
        <v>34.44444444444445</v>
      </c>
      <c r="AT1300" s="460">
        <f t="shared" si="1243"/>
        <v>34.44444444444445</v>
      </c>
      <c r="AU1300" s="460">
        <f t="shared" si="1243"/>
        <v>34.44444444444445</v>
      </c>
      <c r="AV1300" s="460">
        <f t="shared" si="1243"/>
        <v>34.44444444444445</v>
      </c>
      <c r="AW1300" s="460">
        <f t="shared" si="1243"/>
        <v>34.44444444444445</v>
      </c>
      <c r="AX1300" s="460">
        <f t="shared" si="1243"/>
        <v>34.44444444444445</v>
      </c>
      <c r="AY1300" s="460">
        <f t="shared" si="1243"/>
        <v>34.44444444444445</v>
      </c>
      <c r="AZ1300" s="460">
        <f t="shared" si="1243"/>
        <v>34.44444444444445</v>
      </c>
      <c r="BA1300" s="460">
        <f t="shared" si="1243"/>
        <v>34.44444444444445</v>
      </c>
      <c r="BB1300" s="460">
        <f t="shared" si="1243"/>
        <v>34.44444444444445</v>
      </c>
      <c r="BC1300" s="460">
        <f t="shared" ref="BC1300:BF1300" si="1244">BB1300*(1+BC$1295)</f>
        <v>34.44444444444445</v>
      </c>
      <c r="BD1300" s="460">
        <f t="shared" si="1244"/>
        <v>34.44444444444445</v>
      </c>
      <c r="BE1300" s="460">
        <f t="shared" si="1244"/>
        <v>34.44444444444445</v>
      </c>
      <c r="BF1300" s="460">
        <f t="shared" si="1244"/>
        <v>34.44444444444445</v>
      </c>
    </row>
    <row r="1301" spans="1:65" x14ac:dyDescent="0.3">
      <c r="A1301" s="381"/>
      <c r="B1301" s="381"/>
      <c r="C1301" s="381"/>
      <c r="D1301" s="381"/>
      <c r="E1301" s="381"/>
      <c r="F1301" s="381"/>
      <c r="G1301" s="381"/>
      <c r="H1301" s="381"/>
      <c r="I1301" s="381"/>
      <c r="J1301" s="381"/>
      <c r="K1301" s="381"/>
      <c r="L1301" s="144"/>
      <c r="M1301" s="383" t="s">
        <v>1340</v>
      </c>
      <c r="N1301" s="473" t="s">
        <v>77</v>
      </c>
      <c r="O1301" s="145">
        <v>0</v>
      </c>
      <c r="P1301" s="145">
        <v>0</v>
      </c>
      <c r="Q1301" s="145">
        <v>0</v>
      </c>
      <c r="R1301" s="145">
        <v>0</v>
      </c>
      <c r="S1301" s="145">
        <v>0</v>
      </c>
      <c r="T1301" s="145">
        <v>0</v>
      </c>
      <c r="U1301" s="145">
        <v>35.833333333333343</v>
      </c>
      <c r="V1301" s="145">
        <v>12.222222222222221</v>
      </c>
      <c r="W1301" s="145">
        <v>6.1111111111111107</v>
      </c>
      <c r="X1301" s="145">
        <v>6.416666666666667</v>
      </c>
      <c r="Y1301" s="394"/>
      <c r="Z1301" s="381"/>
      <c r="AA1301" s="381"/>
      <c r="AB1301" s="145">
        <v>1.6666666666666665</v>
      </c>
      <c r="AC1301" s="145">
        <v>3.333333333333333</v>
      </c>
      <c r="AD1301" s="460">
        <f>AC1301*(1+AD$1295)</f>
        <v>3.333333333333333</v>
      </c>
      <c r="AE1301" s="460">
        <f t="shared" ref="AE1301:BB1301" si="1245">AD1301*(1+AE$1295)</f>
        <v>3.333333333333333</v>
      </c>
      <c r="AF1301" s="460">
        <f t="shared" si="1245"/>
        <v>3.333333333333333</v>
      </c>
      <c r="AG1301" s="460">
        <f t="shared" si="1245"/>
        <v>3.333333333333333</v>
      </c>
      <c r="AH1301" s="460">
        <f t="shared" si="1245"/>
        <v>3.333333333333333</v>
      </c>
      <c r="AI1301" s="460">
        <f t="shared" si="1245"/>
        <v>3.333333333333333</v>
      </c>
      <c r="AJ1301" s="460">
        <f t="shared" si="1245"/>
        <v>3.333333333333333</v>
      </c>
      <c r="AK1301" s="460">
        <f t="shared" si="1245"/>
        <v>3.333333333333333</v>
      </c>
      <c r="AL1301" s="460">
        <f t="shared" si="1245"/>
        <v>3.333333333333333</v>
      </c>
      <c r="AM1301" s="460">
        <f t="shared" si="1245"/>
        <v>3.333333333333333</v>
      </c>
      <c r="AN1301" s="460">
        <f t="shared" si="1245"/>
        <v>3.333333333333333</v>
      </c>
      <c r="AO1301" s="460">
        <f t="shared" si="1245"/>
        <v>3.333333333333333</v>
      </c>
      <c r="AP1301" s="460">
        <f t="shared" si="1245"/>
        <v>3.333333333333333</v>
      </c>
      <c r="AQ1301" s="460">
        <f t="shared" si="1245"/>
        <v>3.333333333333333</v>
      </c>
      <c r="AR1301" s="460">
        <f t="shared" si="1245"/>
        <v>3.333333333333333</v>
      </c>
      <c r="AS1301" s="460">
        <f t="shared" si="1245"/>
        <v>3.333333333333333</v>
      </c>
      <c r="AT1301" s="460">
        <f t="shared" si="1245"/>
        <v>3.333333333333333</v>
      </c>
      <c r="AU1301" s="460">
        <f t="shared" si="1245"/>
        <v>3.333333333333333</v>
      </c>
      <c r="AV1301" s="460">
        <f t="shared" si="1245"/>
        <v>3.333333333333333</v>
      </c>
      <c r="AW1301" s="460">
        <f t="shared" si="1245"/>
        <v>3.333333333333333</v>
      </c>
      <c r="AX1301" s="460">
        <f t="shared" si="1245"/>
        <v>3.333333333333333</v>
      </c>
      <c r="AY1301" s="460">
        <f t="shared" si="1245"/>
        <v>3.333333333333333</v>
      </c>
      <c r="AZ1301" s="460">
        <f t="shared" si="1245"/>
        <v>3.333333333333333</v>
      </c>
      <c r="BA1301" s="460">
        <f t="shared" si="1245"/>
        <v>3.333333333333333</v>
      </c>
      <c r="BB1301" s="460">
        <f t="shared" si="1245"/>
        <v>3.333333333333333</v>
      </c>
      <c r="BC1301" s="460">
        <f t="shared" ref="BC1301:BF1301" si="1246">BB1301*(1+BC$1295)</f>
        <v>3.333333333333333</v>
      </c>
      <c r="BD1301" s="460">
        <f t="shared" si="1246"/>
        <v>3.333333333333333</v>
      </c>
      <c r="BE1301" s="460">
        <f t="shared" si="1246"/>
        <v>3.333333333333333</v>
      </c>
      <c r="BF1301" s="460">
        <f t="shared" si="1246"/>
        <v>3.333333333333333</v>
      </c>
    </row>
    <row r="1302" spans="1:65" x14ac:dyDescent="0.3">
      <c r="A1302" s="381"/>
      <c r="B1302" s="381"/>
      <c r="C1302" s="381"/>
      <c r="D1302" s="381"/>
      <c r="E1302" s="381"/>
      <c r="F1302" s="381"/>
      <c r="G1302" s="381"/>
      <c r="H1302" s="381"/>
      <c r="I1302" s="381"/>
      <c r="J1302" s="381"/>
      <c r="K1302" s="381"/>
      <c r="L1302" s="144"/>
      <c r="M1302" s="384" t="s">
        <v>971</v>
      </c>
      <c r="N1302" s="473" t="s">
        <v>77</v>
      </c>
      <c r="O1302" s="145">
        <v>0</v>
      </c>
      <c r="P1302" s="145">
        <v>0</v>
      </c>
      <c r="Q1302" s="145">
        <v>0</v>
      </c>
      <c r="R1302" s="145">
        <v>0</v>
      </c>
      <c r="S1302" s="145">
        <v>0</v>
      </c>
      <c r="T1302" s="145">
        <v>0</v>
      </c>
      <c r="U1302" s="145">
        <v>30.277777777777782</v>
      </c>
      <c r="V1302" s="145">
        <v>12.222222222222221</v>
      </c>
      <c r="W1302" s="145">
        <v>6.1111111111111107</v>
      </c>
      <c r="X1302" s="145">
        <v>6.416666666666667</v>
      </c>
      <c r="Y1302" s="394"/>
      <c r="Z1302" s="381"/>
      <c r="AA1302" s="381"/>
      <c r="AB1302" s="145">
        <v>1.6666666666666665</v>
      </c>
      <c r="AC1302" s="145">
        <v>3.333333333333333</v>
      </c>
      <c r="AD1302" s="381"/>
      <c r="AE1302" s="381"/>
      <c r="AF1302" s="381"/>
      <c r="AG1302" s="381"/>
      <c r="AH1302" s="381"/>
      <c r="AI1302" s="381"/>
      <c r="AJ1302" s="381"/>
      <c r="AK1302" s="381"/>
      <c r="AL1302" s="381"/>
      <c r="AM1302" s="381"/>
      <c r="AN1302" s="381"/>
      <c r="AO1302" s="381"/>
      <c r="AP1302" s="381"/>
      <c r="AQ1302" s="381"/>
      <c r="AR1302" s="381"/>
      <c r="AS1302" s="381"/>
      <c r="AT1302" s="381"/>
      <c r="AU1302" s="381"/>
      <c r="AV1302" s="381"/>
      <c r="AW1302" s="381"/>
      <c r="AX1302" s="381"/>
      <c r="AY1302" s="381"/>
      <c r="AZ1302" s="381"/>
      <c r="BA1302" s="381"/>
      <c r="BB1302" s="381"/>
      <c r="BC1302" s="381"/>
      <c r="BD1302" s="381"/>
      <c r="BE1302" s="381"/>
      <c r="BF1302" s="381"/>
    </row>
    <row r="1303" spans="1:65" x14ac:dyDescent="0.3">
      <c r="A1303" s="381"/>
      <c r="B1303" s="381"/>
      <c r="C1303" s="381"/>
      <c r="D1303" s="381"/>
      <c r="E1303" s="381"/>
      <c r="F1303" s="381"/>
      <c r="G1303" s="381"/>
      <c r="H1303" s="381"/>
      <c r="I1303" s="381"/>
      <c r="J1303" s="381"/>
      <c r="K1303" s="381"/>
      <c r="L1303" s="144"/>
      <c r="M1303" s="384" t="s">
        <v>1341</v>
      </c>
      <c r="N1303" s="473" t="s">
        <v>77</v>
      </c>
      <c r="O1303" s="145">
        <v>0</v>
      </c>
      <c r="P1303" s="145">
        <v>0</v>
      </c>
      <c r="Q1303" s="145">
        <v>0</v>
      </c>
      <c r="R1303" s="145">
        <v>0</v>
      </c>
      <c r="S1303" s="145">
        <v>0</v>
      </c>
      <c r="T1303" s="145">
        <v>0</v>
      </c>
      <c r="U1303" s="145">
        <v>0</v>
      </c>
      <c r="V1303" s="145">
        <v>0</v>
      </c>
      <c r="W1303" s="145">
        <v>0</v>
      </c>
      <c r="X1303" s="145">
        <v>0</v>
      </c>
      <c r="Y1303" s="394"/>
      <c r="Z1303" s="381"/>
      <c r="AA1303" s="381"/>
      <c r="AB1303" s="145">
        <v>0</v>
      </c>
      <c r="AC1303" s="145">
        <v>0</v>
      </c>
      <c r="AD1303" s="381"/>
      <c r="AE1303" s="381"/>
      <c r="AF1303" s="381"/>
      <c r="AG1303" s="381"/>
      <c r="AH1303" s="381"/>
      <c r="AI1303" s="381"/>
      <c r="AJ1303" s="381"/>
      <c r="AK1303" s="381"/>
      <c r="AL1303" s="381"/>
      <c r="AM1303" s="381"/>
      <c r="AN1303" s="381"/>
      <c r="AO1303" s="381"/>
      <c r="AP1303" s="381"/>
      <c r="AQ1303" s="381"/>
      <c r="AR1303" s="381"/>
      <c r="AS1303" s="381"/>
      <c r="AT1303" s="381"/>
      <c r="AU1303" s="381"/>
      <c r="AV1303" s="381"/>
      <c r="AW1303" s="381"/>
      <c r="AX1303" s="381"/>
      <c r="AY1303" s="381"/>
      <c r="AZ1303" s="381"/>
      <c r="BA1303" s="381"/>
      <c r="BB1303" s="381"/>
      <c r="BC1303" s="381"/>
      <c r="BD1303" s="381"/>
      <c r="BE1303" s="381"/>
      <c r="BF1303" s="381"/>
    </row>
    <row r="1304" spans="1:65" x14ac:dyDescent="0.3">
      <c r="A1304" s="381"/>
      <c r="B1304" s="381"/>
      <c r="C1304" s="381"/>
      <c r="D1304" s="381"/>
      <c r="E1304" s="381"/>
      <c r="F1304" s="381"/>
      <c r="G1304" s="381"/>
      <c r="H1304" s="381"/>
      <c r="I1304" s="381"/>
      <c r="J1304" s="381"/>
      <c r="K1304" s="381"/>
      <c r="L1304" s="144"/>
      <c r="M1304" s="384" t="s">
        <v>1342</v>
      </c>
      <c r="N1304" s="473" t="s">
        <v>77</v>
      </c>
      <c r="O1304" s="145">
        <v>0</v>
      </c>
      <c r="P1304" s="145">
        <v>0</v>
      </c>
      <c r="Q1304" s="145">
        <v>0</v>
      </c>
      <c r="R1304" s="145">
        <v>0</v>
      </c>
      <c r="S1304" s="145">
        <v>0</v>
      </c>
      <c r="T1304" s="145">
        <v>0</v>
      </c>
      <c r="U1304" s="145">
        <v>5.5555555555555554</v>
      </c>
      <c r="V1304" s="145">
        <v>0</v>
      </c>
      <c r="W1304" s="145">
        <v>0</v>
      </c>
      <c r="X1304" s="145">
        <v>0</v>
      </c>
      <c r="Y1304" s="394"/>
      <c r="Z1304" s="381"/>
      <c r="AA1304" s="381"/>
      <c r="AB1304" s="145">
        <v>0</v>
      </c>
      <c r="AC1304" s="145">
        <v>0</v>
      </c>
      <c r="AD1304" s="381"/>
      <c r="AE1304" s="381"/>
      <c r="AF1304" s="381"/>
      <c r="AG1304" s="381"/>
      <c r="AH1304" s="381"/>
      <c r="AI1304" s="381"/>
      <c r="AJ1304" s="381"/>
      <c r="AK1304" s="381"/>
      <c r="AL1304" s="381"/>
      <c r="AM1304" s="381"/>
      <c r="AN1304" s="381"/>
      <c r="AO1304" s="381"/>
      <c r="AP1304" s="381"/>
      <c r="AQ1304" s="381"/>
      <c r="AR1304" s="381"/>
      <c r="AS1304" s="381"/>
      <c r="AT1304" s="381"/>
      <c r="AU1304" s="381"/>
      <c r="AV1304" s="381"/>
      <c r="AW1304" s="381"/>
      <c r="AX1304" s="381"/>
      <c r="AY1304" s="381"/>
      <c r="AZ1304" s="381"/>
      <c r="BA1304" s="381"/>
      <c r="BB1304" s="381"/>
      <c r="BC1304" s="381"/>
      <c r="BD1304" s="381"/>
      <c r="BE1304" s="381"/>
      <c r="BF1304" s="381"/>
    </row>
    <row r="1305" spans="1:65" x14ac:dyDescent="0.3">
      <c r="A1305" s="381"/>
      <c r="B1305" s="381"/>
      <c r="C1305" s="381"/>
      <c r="D1305" s="381"/>
      <c r="E1305" s="381"/>
      <c r="F1305" s="381"/>
      <c r="G1305" s="381"/>
      <c r="H1305" s="381"/>
      <c r="I1305" s="381"/>
      <c r="J1305" s="381"/>
      <c r="K1305" s="381"/>
      <c r="L1305" s="144"/>
      <c r="M1305" s="383" t="s">
        <v>1343</v>
      </c>
      <c r="N1305" s="473" t="s">
        <v>77</v>
      </c>
      <c r="O1305" s="145">
        <v>186</v>
      </c>
      <c r="P1305" s="145">
        <v>180</v>
      </c>
      <c r="Q1305" s="145">
        <v>210.99999999999997</v>
      </c>
      <c r="R1305" s="145">
        <v>198</v>
      </c>
      <c r="S1305" s="145">
        <v>195</v>
      </c>
      <c r="T1305" s="145">
        <v>197</v>
      </c>
      <c r="U1305" s="145">
        <v>208.88888888888891</v>
      </c>
      <c r="V1305" s="145">
        <v>236</v>
      </c>
      <c r="W1305" s="145">
        <v>160</v>
      </c>
      <c r="X1305" s="145">
        <v>134</v>
      </c>
      <c r="Y1305" s="394"/>
      <c r="Z1305" s="381"/>
      <c r="AA1305" s="381"/>
      <c r="AB1305" s="145">
        <v>135.27777777777777</v>
      </c>
      <c r="AC1305" s="145">
        <v>156.11111111111111</v>
      </c>
      <c r="AD1305" s="460">
        <f>AC1305*(1+AD$1295)</f>
        <v>156.11111111111111</v>
      </c>
      <c r="AE1305" s="460">
        <f t="shared" ref="AE1305:BB1305" si="1247">AD1305*(1+AE$1295)</f>
        <v>156.11111111111111</v>
      </c>
      <c r="AF1305" s="460">
        <f t="shared" si="1247"/>
        <v>156.11111111111111</v>
      </c>
      <c r="AG1305" s="460">
        <f t="shared" si="1247"/>
        <v>156.11111111111111</v>
      </c>
      <c r="AH1305" s="460">
        <f t="shared" si="1247"/>
        <v>156.11111111111111</v>
      </c>
      <c r="AI1305" s="460">
        <f t="shared" si="1247"/>
        <v>156.11111111111111</v>
      </c>
      <c r="AJ1305" s="460">
        <f t="shared" si="1247"/>
        <v>156.11111111111111</v>
      </c>
      <c r="AK1305" s="460">
        <f t="shared" si="1247"/>
        <v>156.11111111111111</v>
      </c>
      <c r="AL1305" s="460">
        <f t="shared" si="1247"/>
        <v>156.11111111111111</v>
      </c>
      <c r="AM1305" s="460">
        <f t="shared" si="1247"/>
        <v>156.11111111111111</v>
      </c>
      <c r="AN1305" s="460">
        <f t="shared" si="1247"/>
        <v>156.11111111111111</v>
      </c>
      <c r="AO1305" s="460">
        <f t="shared" si="1247"/>
        <v>156.11111111111111</v>
      </c>
      <c r="AP1305" s="460">
        <f t="shared" si="1247"/>
        <v>156.11111111111111</v>
      </c>
      <c r="AQ1305" s="460">
        <f t="shared" si="1247"/>
        <v>156.11111111111111</v>
      </c>
      <c r="AR1305" s="460">
        <f t="shared" si="1247"/>
        <v>156.11111111111111</v>
      </c>
      <c r="AS1305" s="460">
        <f t="shared" si="1247"/>
        <v>156.11111111111111</v>
      </c>
      <c r="AT1305" s="460">
        <f t="shared" si="1247"/>
        <v>156.11111111111111</v>
      </c>
      <c r="AU1305" s="460">
        <f t="shared" si="1247"/>
        <v>156.11111111111111</v>
      </c>
      <c r="AV1305" s="460">
        <f t="shared" si="1247"/>
        <v>156.11111111111111</v>
      </c>
      <c r="AW1305" s="460">
        <f t="shared" si="1247"/>
        <v>156.11111111111111</v>
      </c>
      <c r="AX1305" s="460">
        <f t="shared" si="1247"/>
        <v>156.11111111111111</v>
      </c>
      <c r="AY1305" s="460">
        <f t="shared" si="1247"/>
        <v>156.11111111111111</v>
      </c>
      <c r="AZ1305" s="460">
        <f t="shared" si="1247"/>
        <v>156.11111111111111</v>
      </c>
      <c r="BA1305" s="460">
        <f t="shared" si="1247"/>
        <v>156.11111111111111</v>
      </c>
      <c r="BB1305" s="460">
        <f t="shared" si="1247"/>
        <v>156.11111111111111</v>
      </c>
      <c r="BC1305" s="460">
        <f t="shared" ref="BC1305:BF1305" si="1248">BB1305*(1+BC$1295)</f>
        <v>156.11111111111111</v>
      </c>
      <c r="BD1305" s="460">
        <f t="shared" si="1248"/>
        <v>156.11111111111111</v>
      </c>
      <c r="BE1305" s="460">
        <f t="shared" si="1248"/>
        <v>156.11111111111111</v>
      </c>
      <c r="BF1305" s="460">
        <f t="shared" si="1248"/>
        <v>156.11111111111111</v>
      </c>
    </row>
    <row r="1306" spans="1:65" x14ac:dyDescent="0.3">
      <c r="A1306" s="381"/>
      <c r="B1306" s="381"/>
      <c r="C1306" s="381"/>
      <c r="D1306" s="381"/>
      <c r="E1306" s="381"/>
      <c r="F1306" s="381"/>
      <c r="G1306" s="381"/>
      <c r="H1306" s="381"/>
      <c r="I1306" s="381"/>
      <c r="J1306" s="381"/>
      <c r="K1306" s="381"/>
      <c r="L1306" s="144"/>
      <c r="M1306" s="383" t="s">
        <v>1344</v>
      </c>
      <c r="N1306" s="473" t="s">
        <v>77</v>
      </c>
      <c r="O1306" s="145">
        <v>19.444444444444443</v>
      </c>
      <c r="P1306" s="145">
        <v>25.277777777777779</v>
      </c>
      <c r="Q1306" s="145">
        <v>18.888888888888889</v>
      </c>
      <c r="R1306" s="145">
        <v>12.222222222222221</v>
      </c>
      <c r="S1306" s="145">
        <v>13.888888888888889</v>
      </c>
      <c r="T1306" s="145">
        <v>21.388888888888889</v>
      </c>
      <c r="U1306" s="145">
        <v>21.666666666666668</v>
      </c>
      <c r="V1306" s="145">
        <v>20.555555555555554</v>
      </c>
      <c r="W1306" s="145">
        <v>18.888888888888889</v>
      </c>
      <c r="X1306" s="145">
        <v>18.055555555555554</v>
      </c>
      <c r="Y1306" s="394"/>
      <c r="Z1306" s="381"/>
      <c r="AA1306" s="381"/>
      <c r="AB1306" s="145">
        <v>17.222222222222225</v>
      </c>
      <c r="AC1306" s="145">
        <v>19.444444444444443</v>
      </c>
      <c r="AD1306" s="460">
        <f>AC1306*(1+AD$1295)</f>
        <v>19.444444444444443</v>
      </c>
      <c r="AE1306" s="460">
        <f t="shared" ref="AE1306:BB1306" si="1249">AD1306*(1+AE$1295)</f>
        <v>19.444444444444443</v>
      </c>
      <c r="AF1306" s="460">
        <f t="shared" si="1249"/>
        <v>19.444444444444443</v>
      </c>
      <c r="AG1306" s="460">
        <f t="shared" si="1249"/>
        <v>19.444444444444443</v>
      </c>
      <c r="AH1306" s="460">
        <f t="shared" si="1249"/>
        <v>19.444444444444443</v>
      </c>
      <c r="AI1306" s="460">
        <f t="shared" si="1249"/>
        <v>19.444444444444443</v>
      </c>
      <c r="AJ1306" s="460">
        <f t="shared" si="1249"/>
        <v>19.444444444444443</v>
      </c>
      <c r="AK1306" s="460">
        <f t="shared" si="1249"/>
        <v>19.444444444444443</v>
      </c>
      <c r="AL1306" s="460">
        <f t="shared" si="1249"/>
        <v>19.444444444444443</v>
      </c>
      <c r="AM1306" s="460">
        <f t="shared" si="1249"/>
        <v>19.444444444444443</v>
      </c>
      <c r="AN1306" s="460">
        <f t="shared" si="1249"/>
        <v>19.444444444444443</v>
      </c>
      <c r="AO1306" s="460">
        <f t="shared" si="1249"/>
        <v>19.444444444444443</v>
      </c>
      <c r="AP1306" s="460">
        <f t="shared" si="1249"/>
        <v>19.444444444444443</v>
      </c>
      <c r="AQ1306" s="460">
        <f t="shared" si="1249"/>
        <v>19.444444444444443</v>
      </c>
      <c r="AR1306" s="460">
        <f t="shared" si="1249"/>
        <v>19.444444444444443</v>
      </c>
      <c r="AS1306" s="460">
        <f t="shared" si="1249"/>
        <v>19.444444444444443</v>
      </c>
      <c r="AT1306" s="460">
        <f t="shared" si="1249"/>
        <v>19.444444444444443</v>
      </c>
      <c r="AU1306" s="460">
        <f t="shared" si="1249"/>
        <v>19.444444444444443</v>
      </c>
      <c r="AV1306" s="460">
        <f t="shared" si="1249"/>
        <v>19.444444444444443</v>
      </c>
      <c r="AW1306" s="460">
        <f t="shared" si="1249"/>
        <v>19.444444444444443</v>
      </c>
      <c r="AX1306" s="460">
        <f t="shared" si="1249"/>
        <v>19.444444444444443</v>
      </c>
      <c r="AY1306" s="460">
        <f t="shared" si="1249"/>
        <v>19.444444444444443</v>
      </c>
      <c r="AZ1306" s="460">
        <f t="shared" si="1249"/>
        <v>19.444444444444443</v>
      </c>
      <c r="BA1306" s="460">
        <f t="shared" si="1249"/>
        <v>19.444444444444443</v>
      </c>
      <c r="BB1306" s="460">
        <f t="shared" si="1249"/>
        <v>19.444444444444443</v>
      </c>
      <c r="BC1306" s="460">
        <f t="shared" ref="BC1306:BF1306" si="1250">BB1306*(1+BC$1295)</f>
        <v>19.444444444444443</v>
      </c>
      <c r="BD1306" s="460">
        <f t="shared" si="1250"/>
        <v>19.444444444444443</v>
      </c>
      <c r="BE1306" s="460">
        <f t="shared" si="1250"/>
        <v>19.444444444444443</v>
      </c>
      <c r="BF1306" s="460">
        <f t="shared" si="1250"/>
        <v>19.444444444444443</v>
      </c>
    </row>
    <row r="1307" spans="1:65" x14ac:dyDescent="0.3">
      <c r="A1307" s="381"/>
      <c r="B1307" s="381"/>
      <c r="C1307" s="381"/>
      <c r="D1307" s="381"/>
      <c r="E1307" s="381"/>
      <c r="F1307" s="381"/>
      <c r="G1307" s="381"/>
      <c r="H1307" s="381"/>
      <c r="I1307" s="381"/>
      <c r="J1307" s="381"/>
      <c r="K1307" s="381"/>
      <c r="L1307" s="144"/>
      <c r="M1307" s="383" t="s">
        <v>1345</v>
      </c>
      <c r="N1307" s="473" t="s">
        <v>77</v>
      </c>
      <c r="O1307" s="145">
        <v>50.555555555555557</v>
      </c>
      <c r="P1307" s="145">
        <v>45.277777777777779</v>
      </c>
      <c r="Q1307" s="145">
        <v>13.888888888888889</v>
      </c>
      <c r="R1307" s="145">
        <v>49.722222222222221</v>
      </c>
      <c r="S1307" s="145">
        <v>68.617000000000004</v>
      </c>
      <c r="T1307" s="145">
        <v>47.222222222222221</v>
      </c>
      <c r="U1307" s="145">
        <v>60.833333333333321</v>
      </c>
      <c r="V1307" s="145">
        <v>61.666666666666664</v>
      </c>
      <c r="W1307" s="145">
        <v>60.555555555555564</v>
      </c>
      <c r="X1307" s="145">
        <v>47.499999999999993</v>
      </c>
      <c r="Y1307" s="394"/>
      <c r="Z1307" s="381"/>
      <c r="AA1307" s="381"/>
      <c r="AB1307" s="145">
        <v>55.833333333333321</v>
      </c>
      <c r="AC1307" s="145">
        <v>29.166666666666664</v>
      </c>
      <c r="AD1307" s="460">
        <f>AC1307*(1+AD$1295)</f>
        <v>29.166666666666664</v>
      </c>
      <c r="AE1307" s="460">
        <f t="shared" ref="AE1307:BB1307" si="1251">AD1307*(1+AE$1295)</f>
        <v>29.166666666666664</v>
      </c>
      <c r="AF1307" s="460">
        <f t="shared" si="1251"/>
        <v>29.166666666666664</v>
      </c>
      <c r="AG1307" s="460">
        <f t="shared" si="1251"/>
        <v>29.166666666666664</v>
      </c>
      <c r="AH1307" s="460">
        <f t="shared" si="1251"/>
        <v>29.166666666666664</v>
      </c>
      <c r="AI1307" s="460">
        <f t="shared" si="1251"/>
        <v>29.166666666666664</v>
      </c>
      <c r="AJ1307" s="460">
        <f t="shared" si="1251"/>
        <v>29.166666666666664</v>
      </c>
      <c r="AK1307" s="460">
        <f t="shared" si="1251"/>
        <v>29.166666666666664</v>
      </c>
      <c r="AL1307" s="460">
        <f t="shared" si="1251"/>
        <v>29.166666666666664</v>
      </c>
      <c r="AM1307" s="460">
        <f t="shared" si="1251"/>
        <v>29.166666666666664</v>
      </c>
      <c r="AN1307" s="460">
        <f t="shared" si="1251"/>
        <v>29.166666666666664</v>
      </c>
      <c r="AO1307" s="460">
        <f t="shared" si="1251"/>
        <v>29.166666666666664</v>
      </c>
      <c r="AP1307" s="460">
        <f t="shared" si="1251"/>
        <v>29.166666666666664</v>
      </c>
      <c r="AQ1307" s="460">
        <f t="shared" si="1251"/>
        <v>29.166666666666664</v>
      </c>
      <c r="AR1307" s="460">
        <f t="shared" si="1251"/>
        <v>29.166666666666664</v>
      </c>
      <c r="AS1307" s="460">
        <f t="shared" si="1251"/>
        <v>29.166666666666664</v>
      </c>
      <c r="AT1307" s="460">
        <f t="shared" si="1251"/>
        <v>29.166666666666664</v>
      </c>
      <c r="AU1307" s="460">
        <f t="shared" si="1251"/>
        <v>29.166666666666664</v>
      </c>
      <c r="AV1307" s="460">
        <f t="shared" si="1251"/>
        <v>29.166666666666664</v>
      </c>
      <c r="AW1307" s="460">
        <f t="shared" si="1251"/>
        <v>29.166666666666664</v>
      </c>
      <c r="AX1307" s="460">
        <f t="shared" si="1251"/>
        <v>29.166666666666664</v>
      </c>
      <c r="AY1307" s="460">
        <f t="shared" si="1251"/>
        <v>29.166666666666664</v>
      </c>
      <c r="AZ1307" s="460">
        <f t="shared" si="1251"/>
        <v>29.166666666666664</v>
      </c>
      <c r="BA1307" s="460">
        <f t="shared" si="1251"/>
        <v>29.166666666666664</v>
      </c>
      <c r="BB1307" s="460">
        <f t="shared" si="1251"/>
        <v>29.166666666666664</v>
      </c>
      <c r="BC1307" s="460">
        <f t="shared" ref="BC1307:BF1307" si="1252">BB1307*(1+BC$1295)</f>
        <v>29.166666666666664</v>
      </c>
      <c r="BD1307" s="460">
        <f t="shared" si="1252"/>
        <v>29.166666666666664</v>
      </c>
      <c r="BE1307" s="460">
        <f t="shared" si="1252"/>
        <v>29.166666666666664</v>
      </c>
      <c r="BF1307" s="460">
        <f t="shared" si="1252"/>
        <v>29.166666666666664</v>
      </c>
    </row>
    <row r="1308" spans="1:65" x14ac:dyDescent="0.3">
      <c r="A1308" s="381"/>
      <c r="B1308" s="381"/>
      <c r="C1308" s="381"/>
      <c r="D1308" s="381"/>
      <c r="E1308" s="381"/>
      <c r="F1308" s="381"/>
      <c r="G1308" s="381"/>
      <c r="H1308" s="381"/>
      <c r="I1308" s="381"/>
      <c r="J1308" s="381"/>
      <c r="K1308" s="381"/>
      <c r="L1308" s="144"/>
      <c r="M1308" s="385" t="s">
        <v>895</v>
      </c>
      <c r="N1308" s="473" t="s">
        <v>77</v>
      </c>
      <c r="O1308" s="461">
        <f>SUM(O1305:O1307,O1300:O1301,O1296)</f>
        <v>1104.5681608476948</v>
      </c>
      <c r="P1308" s="461">
        <f t="shared" ref="P1308:X1308" si="1253">SUM(P1305:P1307,P1300:P1301,P1296)</f>
        <v>1260.6721148482065</v>
      </c>
      <c r="Q1308" s="461">
        <f t="shared" si="1253"/>
        <v>1278.8410312404694</v>
      </c>
      <c r="R1308" s="461">
        <f t="shared" si="1253"/>
        <v>1273.0684427401611</v>
      </c>
      <c r="S1308" s="461">
        <f t="shared" si="1253"/>
        <v>1516.2614444444446</v>
      </c>
      <c r="T1308" s="461">
        <f t="shared" si="1253"/>
        <v>1532.7176786666091</v>
      </c>
      <c r="U1308" s="461">
        <f t="shared" si="1253"/>
        <v>1508.8888888888891</v>
      </c>
      <c r="V1308" s="461">
        <f t="shared" si="1253"/>
        <v>1532.4218379575354</v>
      </c>
      <c r="W1308" s="461">
        <f t="shared" si="1253"/>
        <v>1444.1666666666665</v>
      </c>
      <c r="X1308" s="461">
        <f t="shared" si="1253"/>
        <v>1317.8486796428397</v>
      </c>
      <c r="Y1308" s="394"/>
      <c r="Z1308" s="381"/>
      <c r="AA1308" s="381"/>
      <c r="AB1308" s="461">
        <f>SUM(AB1305:AB1307,AB1300:AB1301,AB1296)</f>
        <v>1272.7777777777778</v>
      </c>
      <c r="AC1308" s="461">
        <f>SUM(AC1305:AC1307,AC1300:AC1301,AC1296)</f>
        <v>990.83333333333337</v>
      </c>
      <c r="AD1308" s="460"/>
      <c r="AE1308" s="460"/>
      <c r="AF1308" s="460"/>
      <c r="AG1308" s="460"/>
      <c r="AH1308" s="460"/>
      <c r="AI1308" s="460"/>
      <c r="AJ1308" s="460"/>
      <c r="AK1308" s="460"/>
      <c r="AL1308" s="460"/>
      <c r="AM1308" s="460"/>
      <c r="AN1308" s="460"/>
      <c r="AO1308" s="460"/>
      <c r="AP1308" s="460"/>
      <c r="AQ1308" s="460"/>
      <c r="AR1308" s="460"/>
      <c r="AS1308" s="460"/>
      <c r="AT1308" s="460"/>
      <c r="AU1308" s="460"/>
      <c r="AV1308" s="460"/>
      <c r="AW1308" s="460"/>
      <c r="AX1308" s="460"/>
      <c r="AY1308" s="460"/>
      <c r="AZ1308" s="460"/>
      <c r="BA1308" s="460"/>
      <c r="BB1308" s="460"/>
      <c r="BC1308" s="460"/>
      <c r="BD1308" s="460"/>
      <c r="BE1308" s="460"/>
      <c r="BF1308" s="460"/>
    </row>
    <row r="1309" spans="1:65" x14ac:dyDescent="0.3">
      <c r="A1309" s="381"/>
      <c r="B1309" s="381" t="s">
        <v>894</v>
      </c>
      <c r="C1309" s="381" t="s">
        <v>884</v>
      </c>
      <c r="D1309" s="381" t="s">
        <v>885</v>
      </c>
      <c r="E1309" s="381"/>
      <c r="F1309" s="381"/>
      <c r="G1309" s="381"/>
      <c r="H1309" s="381"/>
      <c r="I1309" s="381"/>
      <c r="J1309" s="381"/>
      <c r="K1309" s="381"/>
      <c r="L1309" s="144"/>
      <c r="M1309" s="90" t="s">
        <v>896</v>
      </c>
      <c r="N1309" s="473" t="s">
        <v>77</v>
      </c>
      <c r="O1309" s="461">
        <f>SUM(O1305:O1307,O1300:O1301,O1296)</f>
        <v>1104.5681608476948</v>
      </c>
      <c r="P1309" s="461">
        <f t="shared" ref="P1309:X1309" si="1254">SUM(P1305:P1307,P1300:P1301,P1296)</f>
        <v>1260.6721148482065</v>
      </c>
      <c r="Q1309" s="461">
        <f t="shared" si="1254"/>
        <v>1278.8410312404694</v>
      </c>
      <c r="R1309" s="461">
        <f t="shared" si="1254"/>
        <v>1273.0684427401611</v>
      </c>
      <c r="S1309" s="461">
        <f t="shared" si="1254"/>
        <v>1516.2614444444446</v>
      </c>
      <c r="T1309" s="461">
        <f t="shared" si="1254"/>
        <v>1532.7176786666091</v>
      </c>
      <c r="U1309" s="461">
        <f t="shared" si="1254"/>
        <v>1508.8888888888891</v>
      </c>
      <c r="V1309" s="461">
        <f t="shared" si="1254"/>
        <v>1532.4218379575354</v>
      </c>
      <c r="W1309" s="461">
        <f t="shared" si="1254"/>
        <v>1444.1666666666665</v>
      </c>
      <c r="X1309" s="461">
        <f t="shared" si="1254"/>
        <v>1317.8486796428397</v>
      </c>
      <c r="Y1309" s="394"/>
      <c r="Z1309" s="381"/>
      <c r="AA1309" s="381"/>
      <c r="AB1309" s="461">
        <f>SUM(AB1305:AB1307,AB1300:AB1301,AB1296)</f>
        <v>1272.7777777777778</v>
      </c>
      <c r="AC1309" s="461">
        <f>SUM(AC1305:AC1307,AC1300:AC1301,AC1296)</f>
        <v>990.83333333333337</v>
      </c>
      <c r="AD1309" s="462">
        <f>SUM(AD1296:AD1307)</f>
        <v>990.83333333333337</v>
      </c>
      <c r="AE1309" s="462">
        <f t="shared" ref="AE1309" si="1255">SUM(AE1296:AE1307)</f>
        <v>990.83333333333337</v>
      </c>
      <c r="AF1309" s="462">
        <f t="shared" ref="AF1309" si="1256">SUM(AF1296:AF1307)</f>
        <v>990.83333333333337</v>
      </c>
      <c r="AG1309" s="462">
        <f t="shared" ref="AG1309" si="1257">SUM(AG1296:AG1307)</f>
        <v>990.83333333333337</v>
      </c>
      <c r="AH1309" s="462">
        <f t="shared" ref="AH1309" si="1258">SUM(AH1296:AH1307)</f>
        <v>990.83333333333337</v>
      </c>
      <c r="AI1309" s="462">
        <f t="shared" ref="AI1309" si="1259">SUM(AI1296:AI1307)</f>
        <v>990.83333333333337</v>
      </c>
      <c r="AJ1309" s="462">
        <f t="shared" ref="AJ1309" si="1260">SUM(AJ1296:AJ1307)</f>
        <v>990.83333333333337</v>
      </c>
      <c r="AK1309" s="462">
        <f t="shared" ref="AK1309" si="1261">SUM(AK1296:AK1307)</f>
        <v>990.83333333333337</v>
      </c>
      <c r="AL1309" s="462">
        <f t="shared" ref="AL1309" si="1262">SUM(AL1296:AL1307)</f>
        <v>990.83333333333337</v>
      </c>
      <c r="AM1309" s="462">
        <f t="shared" ref="AM1309" si="1263">SUM(AM1296:AM1307)</f>
        <v>990.83333333333337</v>
      </c>
      <c r="AN1309" s="462">
        <f t="shared" ref="AN1309" si="1264">SUM(AN1296:AN1307)</f>
        <v>990.83333333333337</v>
      </c>
      <c r="AO1309" s="462">
        <f t="shared" ref="AO1309" si="1265">SUM(AO1296:AO1307)</f>
        <v>990.83333333333337</v>
      </c>
      <c r="AP1309" s="462">
        <f t="shared" ref="AP1309" si="1266">SUM(AP1296:AP1307)</f>
        <v>990.83333333333337</v>
      </c>
      <c r="AQ1309" s="462">
        <f t="shared" ref="AQ1309" si="1267">SUM(AQ1296:AQ1307)</f>
        <v>990.83333333333337</v>
      </c>
      <c r="AR1309" s="462">
        <f t="shared" ref="AR1309" si="1268">SUM(AR1296:AR1307)</f>
        <v>990.83333333333337</v>
      </c>
      <c r="AS1309" s="462">
        <f t="shared" ref="AS1309" si="1269">SUM(AS1296:AS1307)</f>
        <v>990.83333333333337</v>
      </c>
      <c r="AT1309" s="462">
        <f t="shared" ref="AT1309" si="1270">SUM(AT1296:AT1307)</f>
        <v>990.83333333333337</v>
      </c>
      <c r="AU1309" s="462">
        <f t="shared" ref="AU1309" si="1271">SUM(AU1296:AU1307)</f>
        <v>990.83333333333337</v>
      </c>
      <c r="AV1309" s="462">
        <f t="shared" ref="AV1309" si="1272">SUM(AV1296:AV1307)</f>
        <v>990.83333333333337</v>
      </c>
      <c r="AW1309" s="462">
        <f t="shared" ref="AW1309" si="1273">SUM(AW1296:AW1307)</f>
        <v>990.83333333333337</v>
      </c>
      <c r="AX1309" s="462">
        <f t="shared" ref="AX1309" si="1274">SUM(AX1296:AX1307)</f>
        <v>990.83333333333337</v>
      </c>
      <c r="AY1309" s="462">
        <f t="shared" ref="AY1309" si="1275">SUM(AY1296:AY1307)</f>
        <v>990.83333333333337</v>
      </c>
      <c r="AZ1309" s="462">
        <f t="shared" ref="AZ1309" si="1276">SUM(AZ1296:AZ1307)</f>
        <v>990.83333333333337</v>
      </c>
      <c r="BA1309" s="462">
        <f t="shared" ref="BA1309" si="1277">SUM(BA1296:BA1307)</f>
        <v>990.83333333333337</v>
      </c>
      <c r="BB1309" s="462">
        <f t="shared" ref="BB1309" si="1278">SUM(BB1296:BB1307)</f>
        <v>990.83333333333337</v>
      </c>
      <c r="BC1309" s="462">
        <f t="shared" ref="BC1309" si="1279">SUM(BC1296:BC1307)</f>
        <v>990.83333333333337</v>
      </c>
      <c r="BD1309" s="462">
        <f t="shared" ref="BD1309" si="1280">SUM(BD1296:BD1307)</f>
        <v>990.83333333333337</v>
      </c>
      <c r="BE1309" s="462">
        <f t="shared" ref="BE1309" si="1281">SUM(BE1296:BE1307)</f>
        <v>990.83333333333337</v>
      </c>
      <c r="BF1309" s="462">
        <f t="shared" ref="BF1309" si="1282">SUM(BF1296:BF1307)</f>
        <v>990.83333333333337</v>
      </c>
      <c r="BG1309" s="108"/>
      <c r="BH1309" s="108"/>
      <c r="BI1309" s="108"/>
      <c r="BJ1309" s="108"/>
      <c r="BK1309" s="108"/>
      <c r="BL1309" s="108"/>
      <c r="BM1309" s="108"/>
    </row>
    <row r="1310" spans="1:65" x14ac:dyDescent="0.3">
      <c r="A1310" s="381"/>
      <c r="B1310" s="381"/>
      <c r="C1310" s="381"/>
      <c r="D1310" s="381"/>
      <c r="E1310" s="381"/>
      <c r="F1310" s="381"/>
      <c r="G1310" s="381"/>
      <c r="H1310" s="381"/>
      <c r="I1310" s="381"/>
      <c r="J1310" s="381"/>
      <c r="K1310" s="381"/>
      <c r="L1310" s="144"/>
      <c r="M1310" s="381"/>
      <c r="N1310" s="381"/>
      <c r="O1310" s="381"/>
      <c r="P1310" s="381"/>
      <c r="Q1310" s="381"/>
      <c r="R1310" s="381"/>
      <c r="S1310" s="381"/>
      <c r="T1310" s="381"/>
      <c r="U1310" s="381"/>
      <c r="V1310" s="381"/>
      <c r="W1310" s="381"/>
      <c r="X1310" s="381"/>
      <c r="Y1310" s="394"/>
      <c r="Z1310" s="381"/>
      <c r="AA1310" s="381"/>
      <c r="AB1310" s="381"/>
      <c r="AC1310" s="381"/>
      <c r="AD1310" s="381"/>
      <c r="AE1310" s="381"/>
      <c r="AF1310" s="381"/>
      <c r="AG1310" s="381"/>
      <c r="AH1310" s="381"/>
      <c r="AI1310" s="381"/>
      <c r="AJ1310" s="381"/>
      <c r="AK1310" s="381"/>
      <c r="AL1310" s="381"/>
      <c r="AM1310" s="381"/>
      <c r="AN1310" s="381"/>
      <c r="AO1310" s="381"/>
      <c r="AP1310" s="381"/>
      <c r="AQ1310" s="381"/>
      <c r="AR1310" s="381"/>
      <c r="AS1310" s="381"/>
      <c r="AT1310" s="381"/>
      <c r="AU1310" s="381"/>
      <c r="AV1310" s="381"/>
      <c r="AW1310" s="381"/>
      <c r="AX1310" s="381"/>
      <c r="AY1310" s="381"/>
      <c r="AZ1310" s="381"/>
      <c r="BA1310" s="381"/>
      <c r="BB1310" s="381"/>
      <c r="BC1310" s="381"/>
      <c r="BD1310" s="381"/>
      <c r="BE1310" s="381"/>
      <c r="BF1310" s="381"/>
    </row>
    <row r="1311" spans="1:65" x14ac:dyDescent="0.3">
      <c r="A1311" s="381"/>
      <c r="B1311" s="381"/>
      <c r="C1311" s="381"/>
      <c r="D1311" s="381"/>
      <c r="E1311" s="381"/>
      <c r="F1311" s="381"/>
      <c r="G1311" s="381"/>
      <c r="H1311" s="381"/>
      <c r="I1311" s="381"/>
      <c r="J1311" s="381"/>
      <c r="K1311" s="381"/>
      <c r="L1311" s="144"/>
      <c r="M1311" s="390" t="s">
        <v>1346</v>
      </c>
      <c r="N1311" s="390"/>
      <c r="O1311" s="391"/>
      <c r="P1311" s="391"/>
      <c r="Q1311" s="391"/>
      <c r="R1311" s="391"/>
      <c r="S1311" s="391"/>
      <c r="T1311" s="391"/>
      <c r="U1311" s="391"/>
      <c r="V1311" s="391"/>
      <c r="W1311" s="391"/>
      <c r="X1311" s="391"/>
      <c r="Y1311" s="397"/>
      <c r="Z1311" s="391"/>
      <c r="AA1311" s="391"/>
      <c r="AB1311" s="391"/>
      <c r="AC1311" s="391"/>
      <c r="AD1311" s="391"/>
      <c r="AE1311" s="391"/>
      <c r="AF1311" s="391"/>
      <c r="AG1311" s="391"/>
      <c r="AH1311" s="391"/>
      <c r="AI1311" s="391"/>
      <c r="AJ1311" s="391"/>
      <c r="AK1311" s="391"/>
      <c r="AL1311" s="391"/>
      <c r="AM1311" s="391"/>
      <c r="AN1311" s="391"/>
      <c r="AO1311" s="391"/>
      <c r="AP1311" s="391"/>
      <c r="AQ1311" s="391"/>
      <c r="AR1311" s="391"/>
      <c r="AS1311" s="391"/>
      <c r="AT1311" s="391"/>
      <c r="AU1311" s="391"/>
      <c r="AV1311" s="391"/>
      <c r="AW1311" s="391"/>
      <c r="AX1311" s="391"/>
      <c r="AY1311" s="391"/>
      <c r="AZ1311" s="391"/>
      <c r="BA1311" s="391"/>
      <c r="BB1311" s="391"/>
      <c r="BC1311" s="391"/>
      <c r="BD1311" s="391"/>
      <c r="BE1311" s="391"/>
      <c r="BF1311" s="391"/>
    </row>
    <row r="1312" spans="1:65" x14ac:dyDescent="0.3">
      <c r="A1312" s="381" t="s">
        <v>672</v>
      </c>
      <c r="B1312" s="381" t="s">
        <v>894</v>
      </c>
      <c r="C1312" s="381" t="s">
        <v>899</v>
      </c>
      <c r="D1312" s="381" t="s">
        <v>900</v>
      </c>
      <c r="E1312" s="511">
        <f>INDEX('EE Measures'!IF:IF,MATCH($A1312,'EE Measures'!$D:$D,0))</f>
        <v>1</v>
      </c>
      <c r="F1312" s="511">
        <f>INDEX('EE Measures'!IG:IG,MATCH($A1312,'EE Measures'!$D:$D,0))</f>
        <v>1</v>
      </c>
      <c r="G1312" s="511">
        <f>INDEX('EE Measures'!IH:IH,MATCH($A1312,'EE Measures'!$D:$D,0))</f>
        <v>1</v>
      </c>
      <c r="H1312" s="511">
        <f>INDEX('EE Measures'!II:II,MATCH($A1312,'EE Measures'!$D:$D,0))</f>
        <v>1</v>
      </c>
      <c r="I1312" s="511">
        <f>INDEX('EE Measures'!IJ:IJ,MATCH($A1312,'EE Measures'!$D:$D,0))</f>
        <v>1</v>
      </c>
      <c r="J1312" s="511">
        <f>INDEX('EE Measures'!IK:IK,MATCH($A1312,'EE Measures'!$D:$D,0))</f>
        <v>1</v>
      </c>
      <c r="K1312" s="511">
        <f>INDEX('EE Measures'!IL:IL,MATCH($A1312,'EE Measures'!$D:$D,0))</f>
        <v>1</v>
      </c>
      <c r="L1312" s="144"/>
      <c r="M1312" s="80" t="str">
        <f>INDEX('EE Measures'!$E$8:$E$40,MATCH(A1312,'EE Measures'!$D$8:$D$40,0))</f>
        <v>Aid for energy and resource-efficient processing of fishery and aquaculture products (2017-on-going)</v>
      </c>
      <c r="N1312" s="473" t="s">
        <v>77</v>
      </c>
      <c r="O1312" s="386"/>
      <c r="P1312" s="386"/>
      <c r="Q1312" s="386"/>
      <c r="R1312" s="386"/>
      <c r="S1312" s="386"/>
      <c r="T1312" s="386"/>
      <c r="U1312" s="386"/>
      <c r="V1312" s="386"/>
      <c r="W1312" s="386"/>
      <c r="X1312" s="386"/>
      <c r="Y1312" s="394"/>
      <c r="Z1312" s="381"/>
      <c r="AA1312" s="381"/>
      <c r="AB1312" s="387"/>
      <c r="AC1312" s="146">
        <f>-INDEX('EE Measures'!AR$8:AR$86,MATCH($A1312,'EE Measures'!$D$8:$D$86,0))</f>
        <v>0</v>
      </c>
      <c r="AD1312" s="146">
        <f>-INDEX('EE Measures'!AS$8:AS$86,MATCH($A1312,'EE Measures'!$D$8:$D$86,0))</f>
        <v>0</v>
      </c>
      <c r="AE1312" s="114">
        <f>AD1312-INDEX('EE Measures'!AT$8:AT$86,MATCH($A1312,'EE Measures'!$D$8:$D$86,0))</f>
        <v>0</v>
      </c>
      <c r="AF1312" s="114">
        <f>AE1312-INDEX('EE Measures'!AU$8:AU$86,MATCH($A1312,'EE Measures'!$D$8:$D$86,0))</f>
        <v>0</v>
      </c>
      <c r="AG1312" s="114">
        <f>AF1312-INDEX('EE Measures'!AV$8:AV$86,MATCH($A1312,'EE Measures'!$D$8:$D$86,0))</f>
        <v>0</v>
      </c>
      <c r="AH1312" s="114">
        <f>AG1312-INDEX('EE Measures'!AW$8:AW$86,MATCH($A1312,'EE Measures'!$D$8:$D$86,0))</f>
        <v>0</v>
      </c>
      <c r="AI1312" s="114">
        <f>AH1312-INDEX('EE Measures'!AX$8:AX$86,MATCH($A1312,'EE Measures'!$D$8:$D$86,0))</f>
        <v>0</v>
      </c>
      <c r="AJ1312" s="114">
        <f>AI1312-INDEX('EE Measures'!AY$8:AY$86,MATCH($A1312,'EE Measures'!$D$8:$D$86,0))</f>
        <v>0</v>
      </c>
      <c r="AK1312" s="114">
        <f>AJ1312-INDEX('EE Measures'!AZ$8:AZ$86,MATCH($A1312,'EE Measures'!$D$8:$D$86,0))</f>
        <v>0</v>
      </c>
      <c r="AL1312" s="114">
        <f>AK1312-INDEX('EE Measures'!BA$8:BA$86,MATCH($A1312,'EE Measures'!$D$8:$D$86,0))</f>
        <v>0</v>
      </c>
      <c r="AM1312" s="381"/>
      <c r="AN1312" s="381"/>
      <c r="AO1312" s="381"/>
      <c r="AP1312" s="381"/>
      <c r="AQ1312" s="381"/>
      <c r="AR1312" s="381"/>
      <c r="AS1312" s="381"/>
      <c r="AT1312" s="381"/>
      <c r="AU1312" s="381"/>
      <c r="AV1312" s="381"/>
      <c r="AW1312" s="381"/>
      <c r="AX1312" s="381"/>
      <c r="AY1312" s="381"/>
      <c r="AZ1312" s="381"/>
      <c r="BA1312" s="381"/>
      <c r="BB1312" s="381"/>
      <c r="BC1312" s="381"/>
      <c r="BD1312" s="381"/>
      <c r="BE1312" s="381"/>
      <c r="BF1312" s="381"/>
    </row>
    <row r="1313" spans="1:58" x14ac:dyDescent="0.3">
      <c r="A1313" s="381" t="s">
        <v>675</v>
      </c>
      <c r="B1313" s="381" t="s">
        <v>894</v>
      </c>
      <c r="C1313" s="381" t="s">
        <v>899</v>
      </c>
      <c r="D1313" s="381" t="s">
        <v>900</v>
      </c>
      <c r="E1313" s="511">
        <f>INDEX('EE Measures'!IF:IF,MATCH($A1313,'EE Measures'!$D:$D,0))</f>
        <v>1</v>
      </c>
      <c r="F1313" s="511">
        <f>INDEX('EE Measures'!IG:IG,MATCH($A1313,'EE Measures'!$D:$D,0))</f>
        <v>1</v>
      </c>
      <c r="G1313" s="511">
        <f>INDEX('EE Measures'!IH:IH,MATCH($A1313,'EE Measures'!$D:$D,0))</f>
        <v>1</v>
      </c>
      <c r="H1313" s="511">
        <f>INDEX('EE Measures'!II:II,MATCH($A1313,'EE Measures'!$D:$D,0))</f>
        <v>1</v>
      </c>
      <c r="I1313" s="511">
        <f>INDEX('EE Measures'!IJ:IJ,MATCH($A1313,'EE Measures'!$D:$D,0))</f>
        <v>1</v>
      </c>
      <c r="J1313" s="511">
        <f>INDEX('EE Measures'!IK:IK,MATCH($A1313,'EE Measures'!$D:$D,0))</f>
        <v>1</v>
      </c>
      <c r="K1313" s="511">
        <f>INDEX('EE Measures'!IL:IL,MATCH($A1313,'EE Measures'!$D:$D,0))</f>
        <v>1</v>
      </c>
      <c r="L1313" s="144"/>
      <c r="M1313" s="80" t="str">
        <f>INDEX('EE Measures'!$E$8:$E$40,MATCH(A1313,'EE Measures'!$D$8:$D$40,0))</f>
        <v>Support for improving the energy efficiency of coastal fishing vessels (2019- on-going)</v>
      </c>
      <c r="N1313" s="473" t="s">
        <v>77</v>
      </c>
      <c r="O1313" s="386"/>
      <c r="P1313" s="386"/>
      <c r="Q1313" s="386"/>
      <c r="R1313" s="386"/>
      <c r="S1313" s="386"/>
      <c r="T1313" s="386"/>
      <c r="U1313" s="386"/>
      <c r="V1313" s="386"/>
      <c r="W1313" s="386"/>
      <c r="X1313" s="386"/>
      <c r="Y1313" s="394"/>
      <c r="Z1313" s="381"/>
      <c r="AA1313" s="381"/>
      <c r="AB1313" s="387"/>
      <c r="AC1313" s="146">
        <f>-INDEX('EE Measures'!AR$8:AR$86,MATCH($A1313,'EE Measures'!$D$8:$D$86,0))</f>
        <v>-0.18819149999999973</v>
      </c>
      <c r="AD1313" s="146">
        <f>-INDEX('EE Measures'!AS$8:AS$86,MATCH($A1313,'EE Measures'!$D$8:$D$86,0))</f>
        <v>0</v>
      </c>
      <c r="AE1313" s="114">
        <f>AD1313-INDEX('EE Measures'!AT$8:AT$86,MATCH($A1313,'EE Measures'!$D$8:$D$86,0))</f>
        <v>0</v>
      </c>
      <c r="AF1313" s="114">
        <f>AE1313-INDEX('EE Measures'!AU$8:AU$86,MATCH($A1313,'EE Measures'!$D$8:$D$86,0))</f>
        <v>0</v>
      </c>
      <c r="AG1313" s="114">
        <f>AF1313-INDEX('EE Measures'!AV$8:AV$86,MATCH($A1313,'EE Measures'!$D$8:$D$86,0))</f>
        <v>0</v>
      </c>
      <c r="AH1313" s="114">
        <f>AG1313-INDEX('EE Measures'!AW$8:AW$86,MATCH($A1313,'EE Measures'!$D$8:$D$86,0))</f>
        <v>0</v>
      </c>
      <c r="AI1313" s="114">
        <f>AH1313-INDEX('EE Measures'!AX$8:AX$86,MATCH($A1313,'EE Measures'!$D$8:$D$86,0))</f>
        <v>0</v>
      </c>
      <c r="AJ1313" s="114">
        <f>AI1313-INDEX('EE Measures'!AY$8:AY$86,MATCH($A1313,'EE Measures'!$D$8:$D$86,0))</f>
        <v>0</v>
      </c>
      <c r="AK1313" s="114">
        <f>AJ1313-INDEX('EE Measures'!AZ$8:AZ$86,MATCH($A1313,'EE Measures'!$D$8:$D$86,0))</f>
        <v>0</v>
      </c>
      <c r="AL1313" s="114">
        <f>AK1313-INDEX('EE Measures'!BA$8:BA$86,MATCH($A1313,'EE Measures'!$D$8:$D$86,0))</f>
        <v>0</v>
      </c>
      <c r="AM1313" s="381"/>
      <c r="AN1313" s="381"/>
      <c r="AO1313" s="381"/>
      <c r="AP1313" s="381"/>
      <c r="AQ1313" s="381"/>
      <c r="AR1313" s="381"/>
      <c r="AS1313" s="381"/>
      <c r="AT1313" s="381"/>
      <c r="AU1313" s="381"/>
      <c r="AV1313" s="381"/>
      <c r="AW1313" s="381"/>
      <c r="AX1313" s="381"/>
      <c r="AY1313" s="381"/>
      <c r="AZ1313" s="381"/>
      <c r="BA1313" s="381"/>
      <c r="BB1313" s="381"/>
      <c r="BC1313" s="381"/>
      <c r="BD1313" s="381"/>
      <c r="BE1313" s="381"/>
      <c r="BF1313" s="381"/>
    </row>
    <row r="1314" spans="1:58" x14ac:dyDescent="0.3">
      <c r="A1314" s="381"/>
      <c r="B1314" s="381"/>
      <c r="C1314" s="381"/>
      <c r="D1314" s="381"/>
      <c r="E1314" s="381"/>
      <c r="F1314" s="381"/>
      <c r="G1314" s="381"/>
      <c r="H1314" s="381"/>
      <c r="I1314" s="381"/>
      <c r="J1314" s="381"/>
      <c r="K1314" s="381"/>
      <c r="L1314" s="144"/>
      <c r="M1314" s="85" t="s">
        <v>914</v>
      </c>
      <c r="N1314" s="473" t="s">
        <v>77</v>
      </c>
      <c r="O1314" s="386"/>
      <c r="P1314" s="386"/>
      <c r="Q1314" s="386"/>
      <c r="R1314" s="386"/>
      <c r="S1314" s="386"/>
      <c r="T1314" s="386"/>
      <c r="U1314" s="386"/>
      <c r="V1314" s="386"/>
      <c r="W1314" s="386"/>
      <c r="X1314" s="386"/>
      <c r="Y1314" s="394"/>
      <c r="Z1314" s="381"/>
      <c r="AA1314" s="381"/>
      <c r="AB1314" s="387"/>
      <c r="AC1314" s="425">
        <f>AC1309+SUM(AC1312:AC1313)</f>
        <v>990.64514183333335</v>
      </c>
      <c r="AD1314" s="425">
        <f>AD1309+SUM(AD1312:AD1313)</f>
        <v>990.83333333333337</v>
      </c>
      <c r="AE1314" s="425">
        <f t="shared" ref="AE1314:AL1314" si="1283">AE1309+SUM(AE1312:AE1313)</f>
        <v>990.83333333333337</v>
      </c>
      <c r="AF1314" s="425">
        <f t="shared" si="1283"/>
        <v>990.83333333333337</v>
      </c>
      <c r="AG1314" s="425">
        <f t="shared" si="1283"/>
        <v>990.83333333333337</v>
      </c>
      <c r="AH1314" s="425">
        <f t="shared" si="1283"/>
        <v>990.83333333333337</v>
      </c>
      <c r="AI1314" s="425">
        <f t="shared" si="1283"/>
        <v>990.83333333333337</v>
      </c>
      <c r="AJ1314" s="425">
        <f t="shared" si="1283"/>
        <v>990.83333333333337</v>
      </c>
      <c r="AK1314" s="425">
        <f t="shared" si="1283"/>
        <v>990.83333333333337</v>
      </c>
      <c r="AL1314" s="425">
        <f t="shared" si="1283"/>
        <v>990.83333333333337</v>
      </c>
      <c r="AM1314" s="381"/>
      <c r="AN1314" s="381"/>
      <c r="AO1314" s="381"/>
      <c r="AP1314" s="381"/>
      <c r="AQ1314" s="381"/>
      <c r="AR1314" s="381"/>
      <c r="AS1314" s="381"/>
      <c r="AT1314" s="381"/>
      <c r="AU1314" s="381"/>
      <c r="AV1314" s="381"/>
      <c r="AW1314" s="381"/>
      <c r="AX1314" s="381"/>
      <c r="AY1314" s="381"/>
      <c r="AZ1314" s="381"/>
      <c r="BA1314" s="381"/>
      <c r="BB1314" s="381"/>
      <c r="BC1314" s="381"/>
      <c r="BD1314" s="381"/>
      <c r="BE1314" s="381"/>
      <c r="BF1314" s="381"/>
    </row>
    <row r="1315" spans="1:58" ht="14.25" thickBot="1" x14ac:dyDescent="0.35">
      <c r="A1315" s="381"/>
      <c r="B1315" s="381"/>
      <c r="C1315" s="381"/>
      <c r="D1315" s="381"/>
      <c r="E1315" s="381"/>
      <c r="F1315" s="381"/>
      <c r="G1315" s="381"/>
      <c r="H1315" s="381"/>
      <c r="I1315" s="381"/>
      <c r="J1315" s="381"/>
      <c r="K1315" s="381"/>
      <c r="L1315" s="144"/>
      <c r="M1315" s="72" t="s">
        <v>915</v>
      </c>
      <c r="N1315" s="392" t="s">
        <v>68</v>
      </c>
      <c r="O1315" s="386"/>
      <c r="P1315" s="386"/>
      <c r="Q1315" s="386"/>
      <c r="R1315" s="386"/>
      <c r="S1315" s="386"/>
      <c r="T1315" s="386"/>
      <c r="U1315" s="386"/>
      <c r="V1315" s="386"/>
      <c r="W1315" s="386"/>
      <c r="X1315" s="386"/>
      <c r="Y1315" s="394"/>
      <c r="Z1315" s="381"/>
      <c r="AA1315" s="381"/>
      <c r="AB1315" s="387"/>
      <c r="AC1315" s="428">
        <f>(AC$1309-AC1314)/AC$1309</f>
        <v>1.8993254835998277E-4</v>
      </c>
      <c r="AD1315" s="428">
        <f>(AD$1309-AD1314)/AD$1309</f>
        <v>0</v>
      </c>
      <c r="AE1315" s="428">
        <f t="shared" ref="AE1315:AL1315" si="1284">((AE$1309-AE1314)-(AD$1309-AD1314))/AE$1309</f>
        <v>0</v>
      </c>
      <c r="AF1315" s="428">
        <f t="shared" si="1284"/>
        <v>0</v>
      </c>
      <c r="AG1315" s="428">
        <f t="shared" si="1284"/>
        <v>0</v>
      </c>
      <c r="AH1315" s="428">
        <f t="shared" si="1284"/>
        <v>0</v>
      </c>
      <c r="AI1315" s="428">
        <f t="shared" si="1284"/>
        <v>0</v>
      </c>
      <c r="AJ1315" s="428">
        <f t="shared" si="1284"/>
        <v>0</v>
      </c>
      <c r="AK1315" s="428">
        <f t="shared" si="1284"/>
        <v>0</v>
      </c>
      <c r="AL1315" s="429">
        <f t="shared" si="1284"/>
        <v>0</v>
      </c>
      <c r="AM1315" s="381"/>
      <c r="AN1315" s="381"/>
      <c r="AO1315" s="381"/>
      <c r="AP1315" s="381"/>
      <c r="AQ1315" s="381"/>
      <c r="AR1315" s="381"/>
      <c r="AS1315" s="381"/>
      <c r="AT1315" s="381"/>
      <c r="AU1315" s="381"/>
      <c r="AV1315" s="381"/>
      <c r="AW1315" s="381"/>
      <c r="AX1315" s="381"/>
      <c r="AY1315" s="381"/>
      <c r="AZ1315" s="381"/>
      <c r="BA1315" s="381"/>
      <c r="BB1315" s="381"/>
      <c r="BC1315" s="381"/>
      <c r="BD1315" s="381"/>
      <c r="BE1315" s="381"/>
      <c r="BF1315" s="381"/>
    </row>
    <row r="1316" spans="1:58" ht="14.25" thickBot="1" x14ac:dyDescent="0.35">
      <c r="A1316" s="381"/>
      <c r="B1316" s="381"/>
      <c r="C1316" s="381"/>
      <c r="D1316" s="381"/>
      <c r="E1316" s="381"/>
      <c r="F1316" s="381"/>
      <c r="G1316" s="381"/>
      <c r="H1316" s="381"/>
      <c r="I1316" s="381"/>
      <c r="J1316" s="381"/>
      <c r="K1316" s="381"/>
      <c r="L1316" s="144"/>
      <c r="M1316" s="72" t="s">
        <v>916</v>
      </c>
      <c r="N1316" s="392" t="s">
        <v>68</v>
      </c>
      <c r="O1316" s="386"/>
      <c r="P1316" s="386"/>
      <c r="Q1316" s="386"/>
      <c r="R1316" s="386"/>
      <c r="S1316" s="386"/>
      <c r="T1316" s="386"/>
      <c r="U1316" s="386"/>
      <c r="V1316" s="386"/>
      <c r="W1316" s="386"/>
      <c r="X1316" s="386"/>
      <c r="Y1316" s="394"/>
      <c r="Z1316" s="381"/>
      <c r="AA1316" s="381"/>
      <c r="AB1316" s="387"/>
      <c r="AC1316" s="430"/>
      <c r="AD1316" s="430"/>
      <c r="AE1316" s="430"/>
      <c r="AF1316" s="430"/>
      <c r="AG1316" s="430"/>
      <c r="AH1316" s="430"/>
      <c r="AI1316" s="430"/>
      <c r="AJ1316" s="430"/>
      <c r="AK1316" s="430"/>
      <c r="AL1316" s="431">
        <f>((AL$1309-AL1314)/AL$1309)/9</f>
        <v>0</v>
      </c>
      <c r="AM1316" s="381"/>
      <c r="AN1316" s="381"/>
      <c r="AO1316" s="381"/>
      <c r="AP1316" s="381"/>
      <c r="AQ1316" s="381"/>
      <c r="AR1316" s="381"/>
      <c r="AS1316" s="381"/>
      <c r="AT1316" s="381"/>
      <c r="AU1316" s="381"/>
      <c r="AV1316" s="381"/>
      <c r="AW1316" s="381"/>
      <c r="AX1316" s="381"/>
      <c r="AY1316" s="381"/>
      <c r="AZ1316" s="381"/>
      <c r="BA1316" s="381"/>
      <c r="BB1316" s="381"/>
      <c r="BC1316" s="381"/>
      <c r="BD1316" s="381"/>
      <c r="BE1316" s="381"/>
      <c r="BF1316" s="381"/>
    </row>
    <row r="1317" spans="1:58" x14ac:dyDescent="0.3">
      <c r="A1317" s="381"/>
      <c r="B1317" s="381"/>
      <c r="C1317" s="381"/>
      <c r="D1317" s="381"/>
      <c r="E1317" s="381"/>
      <c r="F1317" s="381"/>
      <c r="G1317" s="381"/>
      <c r="H1317" s="381"/>
      <c r="I1317" s="381"/>
      <c r="J1317" s="381"/>
      <c r="K1317" s="381"/>
      <c r="L1317" s="144"/>
      <c r="M1317" s="388" t="s">
        <v>1131</v>
      </c>
      <c r="N1317" s="388"/>
      <c r="O1317" s="389"/>
      <c r="P1317" s="389"/>
      <c r="Q1317" s="389"/>
      <c r="R1317" s="389"/>
      <c r="S1317" s="389"/>
      <c r="T1317" s="389"/>
      <c r="U1317" s="389"/>
      <c r="V1317" s="389"/>
      <c r="W1317" s="389"/>
      <c r="X1317" s="389"/>
      <c r="Y1317" s="394"/>
      <c r="Z1317" s="389"/>
      <c r="AA1317" s="389"/>
      <c r="AB1317" s="389"/>
      <c r="AC1317" s="389"/>
      <c r="AD1317" s="389"/>
      <c r="AE1317" s="389"/>
      <c r="AF1317" s="389"/>
      <c r="AG1317" s="389"/>
      <c r="AH1317" s="389"/>
      <c r="AI1317" s="389"/>
      <c r="AJ1317" s="389"/>
      <c r="AK1317" s="389"/>
      <c r="AL1317" s="389"/>
      <c r="AM1317" s="389"/>
      <c r="AN1317" s="389"/>
      <c r="AO1317" s="389"/>
      <c r="AP1317" s="389"/>
      <c r="AQ1317" s="389"/>
      <c r="AR1317" s="389"/>
      <c r="AS1317" s="389"/>
      <c r="AT1317" s="389"/>
      <c r="AU1317" s="389"/>
      <c r="AV1317" s="389"/>
      <c r="AW1317" s="389"/>
      <c r="AX1317" s="389"/>
      <c r="AY1317" s="389"/>
      <c r="AZ1317" s="389"/>
      <c r="BA1317" s="389"/>
      <c r="BB1317" s="389"/>
      <c r="BC1317" s="389"/>
      <c r="BD1317" s="389"/>
      <c r="BE1317" s="389"/>
      <c r="BF1317" s="389"/>
    </row>
    <row r="1318" spans="1:58" x14ac:dyDescent="0.3">
      <c r="A1318" s="381" t="str">
        <f>'EE Measures'!D84</f>
        <v>nA1</v>
      </c>
      <c r="B1318" s="381" t="s">
        <v>894</v>
      </c>
      <c r="C1318" s="381" t="s">
        <v>917</v>
      </c>
      <c r="D1318" s="381" t="s">
        <v>900</v>
      </c>
      <c r="E1318" s="511">
        <f>INDEX('EE Measures'!IF:IF,MATCH($A1318,'EE Measures'!$D:$D,0))</f>
        <v>0</v>
      </c>
      <c r="F1318" s="511">
        <f>INDEX('EE Measures'!IG:IG,MATCH($A1318,'EE Measures'!$D:$D,0))</f>
        <v>1</v>
      </c>
      <c r="G1318" s="511">
        <f>INDEX('EE Measures'!IH:IH,MATCH($A1318,'EE Measures'!$D:$D,0))</f>
        <v>1</v>
      </c>
      <c r="H1318" s="511">
        <f>INDEX('EE Measures'!II:II,MATCH($A1318,'EE Measures'!$D:$D,0))</f>
        <v>1</v>
      </c>
      <c r="I1318" s="511">
        <f>INDEX('EE Measures'!IJ:IJ,MATCH($A1318,'EE Measures'!$D:$D,0))</f>
        <v>1</v>
      </c>
      <c r="J1318" s="511">
        <f>INDEX('EE Measures'!IK:IK,MATCH($A1318,'EE Measures'!$D:$D,0))</f>
        <v>1</v>
      </c>
      <c r="K1318" s="511">
        <f>INDEX('EE Measures'!IL:IL,MATCH($A1318,'EE Measures'!$D:$D,0))</f>
        <v>1</v>
      </c>
      <c r="L1318" s="144"/>
      <c r="M1318" s="179" t="str">
        <f>INDEX('EE Measures'!$E$42:$E$86,MATCH($A1318,'EE Measures'!$D$42:$D$86,0))</f>
        <v>Audits in large agricultural holdings</v>
      </c>
      <c r="N1318" s="473" t="s">
        <v>77</v>
      </c>
      <c r="O1318" s="386"/>
      <c r="P1318" s="386"/>
      <c r="Q1318" s="386"/>
      <c r="R1318" s="386"/>
      <c r="S1318" s="386"/>
      <c r="T1318" s="386"/>
      <c r="U1318" s="386"/>
      <c r="V1318" s="386"/>
      <c r="W1318" s="386"/>
      <c r="X1318" s="386"/>
      <c r="Y1318" s="394"/>
      <c r="Z1318" s="381"/>
      <c r="AA1318" s="381"/>
      <c r="AB1318" s="387"/>
      <c r="AC1318" s="146">
        <f>-INDEX('EE Measures'!AR$8:AR$86,MATCH($A1318,'EE Measures'!$D$8:$D$86,0))</f>
        <v>0</v>
      </c>
      <c r="AD1318" s="146">
        <f>-INDEX('EE Measures'!AS$8:AS$86,MATCH($A1318,'EE Measures'!$D$8:$D$86,0))</f>
        <v>0</v>
      </c>
      <c r="AE1318" s="114">
        <f>AD1318-INDEX('EE Measures'!AT$8:AT$86,MATCH($A1318,'EE Measures'!$D$8:$D$86,0))</f>
        <v>0</v>
      </c>
      <c r="AF1318" s="114">
        <f>AE1318-INDEX('EE Measures'!AU$8:AU$86,MATCH($A1318,'EE Measures'!$D$8:$D$86,0))</f>
        <v>0</v>
      </c>
      <c r="AG1318" s="114">
        <f>AF1318-INDEX('EE Measures'!AV$8:AV$86,MATCH($A1318,'EE Measures'!$D$8:$D$86,0))</f>
        <v>0</v>
      </c>
      <c r="AH1318" s="114">
        <f>AG1318-INDEX('EE Measures'!AW$8:AW$86,MATCH($A1318,'EE Measures'!$D$8:$D$86,0))</f>
        <v>0</v>
      </c>
      <c r="AI1318" s="114">
        <f>AH1318-INDEX('EE Measures'!AX$8:AX$86,MATCH($A1318,'EE Measures'!$D$8:$D$86,0))</f>
        <v>0</v>
      </c>
      <c r="AJ1318" s="114">
        <f>AI1318-INDEX('EE Measures'!AY$8:AY$86,MATCH($A1318,'EE Measures'!$D$8:$D$86,0))</f>
        <v>0</v>
      </c>
      <c r="AK1318" s="114">
        <f>AJ1318-INDEX('EE Measures'!AZ$8:AZ$86,MATCH($A1318,'EE Measures'!$D$8:$D$86,0))</f>
        <v>0</v>
      </c>
      <c r="AL1318" s="114">
        <f>AK1318-INDEX('EE Measures'!BA$8:BA$86,MATCH($A1318,'EE Measures'!$D$8:$D$86,0))</f>
        <v>0</v>
      </c>
      <c r="AM1318" s="381"/>
      <c r="AN1318" s="381"/>
      <c r="AO1318" s="381"/>
      <c r="AP1318" s="381"/>
      <c r="AQ1318" s="381"/>
      <c r="AR1318" s="381"/>
      <c r="AS1318" s="381"/>
      <c r="AT1318" s="381"/>
      <c r="AU1318" s="381"/>
      <c r="AV1318" s="381"/>
      <c r="AW1318" s="381"/>
      <c r="AX1318" s="381"/>
      <c r="AY1318" s="381"/>
      <c r="AZ1318" s="381"/>
      <c r="BA1318" s="381"/>
      <c r="BB1318" s="381"/>
      <c r="BC1318" s="381"/>
      <c r="BD1318" s="381"/>
      <c r="BE1318" s="381"/>
      <c r="BF1318" s="381"/>
    </row>
    <row r="1319" spans="1:58" x14ac:dyDescent="0.3">
      <c r="A1319" s="381" t="str">
        <f>'EE Measures'!D85</f>
        <v>nA2</v>
      </c>
      <c r="B1319" s="381" t="s">
        <v>894</v>
      </c>
      <c r="C1319" s="381" t="s">
        <v>917</v>
      </c>
      <c r="D1319" s="381" t="s">
        <v>900</v>
      </c>
      <c r="E1319" s="511">
        <f>INDEX('EE Measures'!IF:IF,MATCH($A1319,'EE Measures'!$D:$D,0))</f>
        <v>0</v>
      </c>
      <c r="F1319" s="511">
        <f>INDEX('EE Measures'!IG:IG,MATCH($A1319,'EE Measures'!$D:$D,0))</f>
        <v>1</v>
      </c>
      <c r="G1319" s="511">
        <f>INDEX('EE Measures'!IH:IH,MATCH($A1319,'EE Measures'!$D:$D,0))</f>
        <v>1</v>
      </c>
      <c r="H1319" s="511">
        <f>INDEX('EE Measures'!II:II,MATCH($A1319,'EE Measures'!$D:$D,0))</f>
        <v>1</v>
      </c>
      <c r="I1319" s="511">
        <f>INDEX('EE Measures'!IJ:IJ,MATCH($A1319,'EE Measures'!$D:$D,0))</f>
        <v>1</v>
      </c>
      <c r="J1319" s="511">
        <f>INDEX('EE Measures'!IK:IK,MATCH($A1319,'EE Measures'!$D:$D,0))</f>
        <v>1</v>
      </c>
      <c r="K1319" s="511">
        <f>INDEX('EE Measures'!IL:IL,MATCH($A1319,'EE Measures'!$D:$D,0))</f>
        <v>1</v>
      </c>
      <c r="L1319" s="144"/>
      <c r="M1319" s="179" t="str">
        <f>INDEX('EE Measures'!$E$42:$E$86,MATCH($A1319,'EE Measures'!$D$42:$D$86,0))</f>
        <v>Energy efficiency measures in the fisheries sector</v>
      </c>
      <c r="N1319" s="473" t="s">
        <v>77</v>
      </c>
      <c r="O1319" s="386"/>
      <c r="P1319" s="386"/>
      <c r="Q1319" s="386"/>
      <c r="R1319" s="386"/>
      <c r="S1319" s="386"/>
      <c r="T1319" s="386"/>
      <c r="U1319" s="386"/>
      <c r="V1319" s="386"/>
      <c r="W1319" s="386"/>
      <c r="X1319" s="386"/>
      <c r="Y1319" s="394"/>
      <c r="Z1319" s="381"/>
      <c r="AA1319" s="381"/>
      <c r="AB1319" s="387"/>
      <c r="AC1319" s="146">
        <f>-INDEX('EE Measures'!AR$8:AR$86,MATCH($A1319,'EE Measures'!$D$8:$D$86,0))</f>
        <v>0</v>
      </c>
      <c r="AD1319" s="146">
        <f>-INDEX('EE Measures'!AS$8:AS$86,MATCH($A1319,'EE Measures'!$D$8:$D$86,0))</f>
        <v>0</v>
      </c>
      <c r="AE1319" s="114">
        <f>AD1319-INDEX('EE Measures'!AT$8:AT$86,MATCH($A1319,'EE Measures'!$D$8:$D$86,0))</f>
        <v>0</v>
      </c>
      <c r="AF1319" s="114">
        <f>AE1319-INDEX('EE Measures'!AU$8:AU$86,MATCH($A1319,'EE Measures'!$D$8:$D$86,0))</f>
        <v>0</v>
      </c>
      <c r="AG1319" s="114">
        <f>AF1319-INDEX('EE Measures'!AV$8:AV$86,MATCH($A1319,'EE Measures'!$D$8:$D$86,0))</f>
        <v>0</v>
      </c>
      <c r="AH1319" s="114">
        <f>AG1319-INDEX('EE Measures'!AW$8:AW$86,MATCH($A1319,'EE Measures'!$D$8:$D$86,0))</f>
        <v>0</v>
      </c>
      <c r="AI1319" s="114">
        <f>AH1319-INDEX('EE Measures'!AX$8:AX$86,MATCH($A1319,'EE Measures'!$D$8:$D$86,0))</f>
        <v>-6.8000000000000007</v>
      </c>
      <c r="AJ1319" s="114">
        <f>AI1319-INDEX('EE Measures'!AY$8:AY$86,MATCH($A1319,'EE Measures'!$D$8:$D$86,0))</f>
        <v>-13.600000000000001</v>
      </c>
      <c r="AK1319" s="114">
        <f>AJ1319-INDEX('EE Measures'!AZ$8:AZ$86,MATCH($A1319,'EE Measures'!$D$8:$D$86,0))</f>
        <v>-20.400000000000002</v>
      </c>
      <c r="AL1319" s="114">
        <f>AK1319-INDEX('EE Measures'!BA$8:BA$86,MATCH($A1319,'EE Measures'!$D$8:$D$86,0))</f>
        <v>-27.200000000000003</v>
      </c>
      <c r="AM1319" s="381"/>
      <c r="AN1319" s="381"/>
      <c r="AO1319" s="381"/>
      <c r="AP1319" s="381"/>
      <c r="AQ1319" s="381"/>
      <c r="AR1319" s="381"/>
      <c r="AS1319" s="381"/>
      <c r="AT1319" s="381"/>
      <c r="AU1319" s="381"/>
      <c r="AV1319" s="381"/>
      <c r="AW1319" s="381"/>
      <c r="AX1319" s="381"/>
      <c r="AY1319" s="381"/>
      <c r="AZ1319" s="381"/>
      <c r="BA1319" s="381"/>
      <c r="BB1319" s="381"/>
      <c r="BC1319" s="381"/>
      <c r="BD1319" s="381"/>
      <c r="BE1319" s="381"/>
      <c r="BF1319" s="381"/>
    </row>
    <row r="1320" spans="1:58" x14ac:dyDescent="0.3">
      <c r="A1320" s="381"/>
      <c r="B1320" s="381"/>
      <c r="C1320" s="381"/>
      <c r="D1320" s="381"/>
      <c r="E1320" s="381"/>
      <c r="F1320" s="381"/>
      <c r="G1320" s="381"/>
      <c r="H1320" s="381"/>
      <c r="I1320" s="381"/>
      <c r="J1320" s="381"/>
      <c r="K1320" s="381"/>
      <c r="L1320" s="144"/>
      <c r="M1320" s="88" t="s">
        <v>914</v>
      </c>
      <c r="N1320" s="473" t="s">
        <v>77</v>
      </c>
      <c r="O1320" s="381"/>
      <c r="P1320" s="381"/>
      <c r="Q1320" s="381"/>
      <c r="R1320" s="381"/>
      <c r="S1320" s="381"/>
      <c r="T1320" s="381"/>
      <c r="U1320" s="381"/>
      <c r="V1320" s="381"/>
      <c r="W1320" s="381"/>
      <c r="X1320" s="381"/>
      <c r="Y1320" s="394"/>
      <c r="Z1320" s="381"/>
      <c r="AA1320" s="381"/>
      <c r="AB1320" s="381"/>
      <c r="AC1320" s="425">
        <f t="shared" ref="AC1320" si="1285">AC1314+SUM(AC1318:AC1319)</f>
        <v>990.64514183333335</v>
      </c>
      <c r="AD1320" s="425">
        <f t="shared" ref="AD1320:AL1320" si="1286">AD1314+SUM(AD1318:AD1319)</f>
        <v>990.83333333333337</v>
      </c>
      <c r="AE1320" s="425">
        <f t="shared" si="1286"/>
        <v>990.83333333333337</v>
      </c>
      <c r="AF1320" s="425">
        <f t="shared" si="1286"/>
        <v>990.83333333333337</v>
      </c>
      <c r="AG1320" s="425">
        <f t="shared" si="1286"/>
        <v>990.83333333333337</v>
      </c>
      <c r="AH1320" s="425">
        <f t="shared" si="1286"/>
        <v>990.83333333333337</v>
      </c>
      <c r="AI1320" s="425">
        <f t="shared" si="1286"/>
        <v>984.03333333333342</v>
      </c>
      <c r="AJ1320" s="425">
        <f t="shared" si="1286"/>
        <v>977.23333333333335</v>
      </c>
      <c r="AK1320" s="425">
        <f t="shared" si="1286"/>
        <v>970.43333333333339</v>
      </c>
      <c r="AL1320" s="425">
        <f t="shared" si="1286"/>
        <v>963.63333333333333</v>
      </c>
      <c r="AM1320" s="381"/>
      <c r="AN1320" s="381"/>
      <c r="AO1320" s="381"/>
      <c r="AP1320" s="381"/>
      <c r="AQ1320" s="381"/>
      <c r="AR1320" s="381"/>
      <c r="AS1320" s="381"/>
      <c r="AT1320" s="381"/>
      <c r="AU1320" s="381"/>
      <c r="AV1320" s="381"/>
      <c r="AW1320" s="381"/>
      <c r="AX1320" s="381"/>
      <c r="AY1320" s="381"/>
      <c r="AZ1320" s="381"/>
      <c r="BA1320" s="381"/>
      <c r="BB1320" s="381"/>
      <c r="BC1320" s="381"/>
      <c r="BD1320" s="381"/>
      <c r="BE1320" s="381"/>
      <c r="BF1320" s="381"/>
    </row>
    <row r="1321" spans="1:58" ht="14.25" thickBot="1" x14ac:dyDescent="0.35">
      <c r="A1321" s="381"/>
      <c r="B1321" s="381"/>
      <c r="C1321" s="381"/>
      <c r="D1321" s="381"/>
      <c r="E1321" s="381"/>
      <c r="F1321" s="381"/>
      <c r="G1321" s="381"/>
      <c r="H1321" s="381"/>
      <c r="I1321" s="381"/>
      <c r="J1321" s="381"/>
      <c r="K1321" s="381"/>
      <c r="L1321" s="144"/>
      <c r="M1321" s="72" t="s">
        <v>915</v>
      </c>
      <c r="N1321" s="392" t="s">
        <v>68</v>
      </c>
      <c r="O1321" s="381"/>
      <c r="P1321" s="381"/>
      <c r="Q1321" s="381"/>
      <c r="R1321" s="381"/>
      <c r="S1321" s="381"/>
      <c r="T1321" s="381"/>
      <c r="U1321" s="381"/>
      <c r="V1321" s="381"/>
      <c r="W1321" s="381"/>
      <c r="X1321" s="381"/>
      <c r="Y1321" s="394"/>
      <c r="Z1321" s="381"/>
      <c r="AA1321" s="381"/>
      <c r="AB1321" s="381"/>
      <c r="AC1321" s="428">
        <f>(AC$1309-AC1320)/AC$1309</f>
        <v>1.8993254835998277E-4</v>
      </c>
      <c r="AD1321" s="428">
        <f>(AD$1309-AD1320)/AD$1309</f>
        <v>0</v>
      </c>
      <c r="AE1321" s="428">
        <f t="shared" ref="AE1321:AL1321" si="1287">((AE$1309-AE1320)-(AD$1309-AD1320))/AE$1309</f>
        <v>0</v>
      </c>
      <c r="AF1321" s="428">
        <f t="shared" si="1287"/>
        <v>0</v>
      </c>
      <c r="AG1321" s="428">
        <f t="shared" si="1287"/>
        <v>0</v>
      </c>
      <c r="AH1321" s="428">
        <f t="shared" si="1287"/>
        <v>0</v>
      </c>
      <c r="AI1321" s="428">
        <f t="shared" si="1287"/>
        <v>6.8629100084103825E-3</v>
      </c>
      <c r="AJ1321" s="428">
        <f t="shared" si="1287"/>
        <v>6.8629100084104978E-3</v>
      </c>
      <c r="AK1321" s="428">
        <f t="shared" si="1287"/>
        <v>6.8629100084103825E-3</v>
      </c>
      <c r="AL1321" s="429">
        <f t="shared" si="1287"/>
        <v>6.8629100084104978E-3</v>
      </c>
      <c r="AM1321" s="381"/>
      <c r="AN1321" s="381"/>
      <c r="AO1321" s="381"/>
      <c r="AP1321" s="381"/>
      <c r="AQ1321" s="381"/>
      <c r="AR1321" s="381"/>
      <c r="AS1321" s="381"/>
      <c r="AT1321" s="381"/>
      <c r="AU1321" s="381"/>
      <c r="AV1321" s="381"/>
      <c r="AW1321" s="381"/>
      <c r="AX1321" s="381"/>
      <c r="AY1321" s="381"/>
      <c r="AZ1321" s="381"/>
      <c r="BA1321" s="381"/>
      <c r="BB1321" s="381"/>
      <c r="BC1321" s="381"/>
      <c r="BD1321" s="381"/>
      <c r="BE1321" s="381"/>
      <c r="BF1321" s="381"/>
    </row>
    <row r="1322" spans="1:58" ht="14.25" thickBot="1" x14ac:dyDescent="0.35">
      <c r="A1322" s="381"/>
      <c r="B1322" s="381"/>
      <c r="C1322" s="381"/>
      <c r="D1322" s="381"/>
      <c r="E1322" s="381"/>
      <c r="F1322" s="381"/>
      <c r="G1322" s="381"/>
      <c r="H1322" s="381"/>
      <c r="I1322" s="381"/>
      <c r="J1322" s="381"/>
      <c r="K1322" s="381"/>
      <c r="L1322" s="144"/>
      <c r="M1322" s="72" t="s">
        <v>916</v>
      </c>
      <c r="N1322" s="392" t="s">
        <v>68</v>
      </c>
      <c r="O1322" s="381"/>
      <c r="P1322" s="381"/>
      <c r="Q1322" s="381"/>
      <c r="R1322" s="381"/>
      <c r="S1322" s="381"/>
      <c r="T1322" s="381"/>
      <c r="U1322" s="381"/>
      <c r="V1322" s="381"/>
      <c r="W1322" s="381"/>
      <c r="X1322" s="381"/>
      <c r="Y1322" s="394"/>
      <c r="Z1322" s="381"/>
      <c r="AA1322" s="381"/>
      <c r="AB1322" s="381"/>
      <c r="AC1322" s="430"/>
      <c r="AD1322" s="430"/>
      <c r="AE1322" s="430"/>
      <c r="AF1322" s="430"/>
      <c r="AG1322" s="430"/>
      <c r="AH1322" s="430"/>
      <c r="AI1322" s="430"/>
      <c r="AJ1322" s="430"/>
      <c r="AK1322" s="430"/>
      <c r="AL1322" s="431">
        <f>((AL$1309-AL1320)/AL$1309)/9</f>
        <v>3.0501822259601952E-3</v>
      </c>
      <c r="AM1322" s="381"/>
      <c r="AN1322" s="381"/>
      <c r="AO1322" s="381"/>
      <c r="AP1322" s="381"/>
      <c r="AQ1322" s="381"/>
      <c r="AR1322" s="381"/>
      <c r="AS1322" s="381"/>
      <c r="AT1322" s="381"/>
      <c r="AU1322" s="381"/>
      <c r="AV1322" s="381"/>
      <c r="AW1322" s="381"/>
      <c r="AX1322" s="381"/>
      <c r="AY1322" s="381"/>
      <c r="AZ1322" s="381"/>
      <c r="BA1322" s="381"/>
      <c r="BB1322" s="381"/>
      <c r="BC1322" s="381"/>
      <c r="BD1322" s="381"/>
      <c r="BE1322" s="381"/>
      <c r="BF1322" s="381"/>
    </row>
  </sheetData>
  <mergeCells count="7">
    <mergeCell ref="B1:N1"/>
    <mergeCell ref="Z1144:AA1144"/>
    <mergeCell ref="Z13:AA13"/>
    <mergeCell ref="Z6:AA10"/>
    <mergeCell ref="Z49:AA53"/>
    <mergeCell ref="Z76:AA80"/>
    <mergeCell ref="Z817:AA817"/>
  </mergeCells>
  <phoneticPr fontId="0" type="noConversion"/>
  <conditionalFormatting sqref="O6:X10 O276:X288 AB276:AC288 O292:X307 AB292:AC307 O311:X318 AB311:AC318 O330:X345 AB330:AC345 O349:X364 AB349:AC364 O369:X384 AB369:AC384 O388:X403 AB388:AC403 O407:X422 AB407:AC422 O426:X441 AB426:AC441 O445:X460 AB445:AC460 O464:X479 AB464:AC479 O483:X498 AB483:AC498 O502:X517 AB502:AC517 O524:X539 AB524:AC539 O547:X562 AB547:AC562 O569:X584 AB569:AC584 AD817:BF829 AB818:AC821 O947:X950 AB947:AC950 O953:X958 AB953:AC958 O962:X968 AB962:AC968 O971:X977 AB971:AC977 O981:X982 AB981:AC982 O988:X994 AB988:AC994 AB1002:AC1004 O1004:X1004 O1010:X1016 AB1010:AC1016 O1020:X1026 AB1020:AC1026 O1034:X1037 AB1034:AC1037 O1040:X1042 AB1040:AC1042 O1046:X1049 AB1046:AC1049 O1052:X1054 AB1052:AC1054 O1060:X1063 AB1060:AC1063 O1069:X1076 AB1069:AC1076 O1083:X1091 AB1083:AC1091 O1094:X1098 AB1094:AC1098 O1103:X1105 AB1103:AC1105 O1112:X1121 AB1112:AC1121 O1125:X1128 AB1125:AC1128 O1132:X1134 AB1132:AC1134 O1138:X1143 AB1138:AC1143">
    <cfRule type="containsBlanks" dxfId="20" priority="100">
      <formula>LEN(TRIM(O6))=0</formula>
    </cfRule>
  </conditionalFormatting>
  <conditionalFormatting sqref="Z283:AA283">
    <cfRule type="expression" dxfId="19" priority="681">
      <formula>AND($AX283&lt;&gt;"",ISBLANK($Q283:$AT283))</formula>
    </cfRule>
    <cfRule type="expression" dxfId="18" priority="682">
      <formula>AND(COUNT(Y283:XFA283)&lt;&gt;0,(Z283)="")</formula>
    </cfRule>
  </conditionalFormatting>
  <conditionalFormatting sqref="AB998:AC1000">
    <cfRule type="containsBlanks" dxfId="17" priority="224">
      <formula>LEN(TRIM(AB998))=0</formula>
    </cfRule>
  </conditionalFormatting>
  <conditionalFormatting sqref="AC1168">
    <cfRule type="containsBlanks" dxfId="16" priority="116">
      <formula>LEN(TRIM(AC1168))=0</formula>
    </cfRule>
  </conditionalFormatting>
  <conditionalFormatting sqref="AD588:BF593">
    <cfRule type="containsBlanks" dxfId="15" priority="29">
      <formula>LEN(TRIM(AD588))=0</formula>
    </cfRule>
  </conditionalFormatting>
  <conditionalFormatting sqref="AD595:BF597">
    <cfRule type="containsBlanks" dxfId="14" priority="28">
      <formula>LEN(TRIM(AD595))=0</formula>
    </cfRule>
  </conditionalFormatting>
  <conditionalFormatting sqref="AD599:BF600">
    <cfRule type="containsBlanks" dxfId="13" priority="26">
      <formula>LEN(TRIM(AD599))=0</formula>
    </cfRule>
  </conditionalFormatting>
  <conditionalFormatting sqref="AD605:BF607">
    <cfRule type="containsBlanks" dxfId="12" priority="23">
      <formula>LEN(TRIM(AD605))=0</formula>
    </cfRule>
  </conditionalFormatting>
  <conditionalFormatting sqref="AD644:BF644">
    <cfRule type="containsBlanks" dxfId="11" priority="287">
      <formula>LEN(TRIM(AD644))=0</formula>
    </cfRule>
  </conditionalFormatting>
  <conditionalFormatting sqref="AD647:BF647">
    <cfRule type="containsBlanks" dxfId="10" priority="22">
      <formula>LEN(TRIM(AD647))=0</formula>
    </cfRule>
  </conditionalFormatting>
  <conditionalFormatting sqref="AD650:BF650">
    <cfRule type="containsBlanks" dxfId="9" priority="21">
      <formula>LEN(TRIM(AD650))=0</formula>
    </cfRule>
  </conditionalFormatting>
  <conditionalFormatting sqref="AD653:BF653">
    <cfRule type="containsBlanks" dxfId="8" priority="20">
      <formula>LEN(TRIM(AD653))=0</formula>
    </cfRule>
  </conditionalFormatting>
  <conditionalFormatting sqref="AD835:BF849">
    <cfRule type="containsBlanks" dxfId="7" priority="11">
      <formula>LEN(TRIM(AD835))=0</formula>
    </cfRule>
  </conditionalFormatting>
  <conditionalFormatting sqref="AD869:BF873 AD875:BF878 AD880:BF883 AD885:BF888">
    <cfRule type="containsBlanks" dxfId="6" priority="9">
      <formula>LEN(TRIM(AD869))=0</formula>
    </cfRule>
  </conditionalFormatting>
  <conditionalFormatting sqref="AD891:BF895">
    <cfRule type="containsBlanks" dxfId="5" priority="7">
      <formula>LEN(TRIM(AD891))=0</formula>
    </cfRule>
  </conditionalFormatting>
  <conditionalFormatting sqref="AD897:BF900">
    <cfRule type="containsBlanks" dxfId="4" priority="6">
      <formula>LEN(TRIM(AD897))=0</formula>
    </cfRule>
  </conditionalFormatting>
  <conditionalFormatting sqref="AD902:BF905">
    <cfRule type="containsBlanks" dxfId="3" priority="3">
      <formula>LEN(TRIM(AD902))=0</formula>
    </cfRule>
  </conditionalFormatting>
  <conditionalFormatting sqref="AD907:BF910">
    <cfRule type="containsBlanks" dxfId="2" priority="2">
      <formula>LEN(TRIM(AD907))=0</formula>
    </cfRule>
  </conditionalFormatting>
  <dataValidations count="3">
    <dataValidation type="decimal" operator="greaterThanOrEqual" allowBlank="1" showInputMessage="1" showErrorMessage="1" error="The value must be positive" sqref="AD588:BF600 O1312:X1316 O891:O910 O865:P867 O1260:X1292 V681 N683:N694 AB684:AC694 V667 AB670:AC680 AB668:AC668 N669:N680 V683 V685 V687 V689 V691 V693 Q890:X910 Q865:X888 O869:O888 P868:P888 X667:X696 O667:U696 V695:W696 O953:Q960 O639:X643 O1318:X1319 O697:X704 O916:X942 O706:X721 O605:X607 O817:X824 AB588:AC602 O588:X602 AB953:AC957 R953:X957 AB947:AC950 O947:X950 AB605:BF607 AB817:BF824" xr:uid="{E7838F05-304D-41C5-83B4-2D2CD417E8CF}">
      <formula1>0</formula1>
    </dataValidation>
    <dataValidation type="custom" operator="lessThanOrEqual" showInputMessage="1" showErrorMessage="1" error="Invalid source name. _x000a__x000a_The source must contain a maximum of 20 characters and the following special characters are forbidden: _x000a_- slash  &quot;/&quot;_x000a_- ampersand &quot;&amp;&quot;_x000a_- semicolon  &quot;;&quot;_x000a_- single quote  &quot;'&quot;_x000a_- equal sign  &quot;=&quot;_x000a_- space  &quot; &quot;" sqref="Z554:AC561 Z391:AC391 O1230:T1232 Z283:AC283 Z293:AC295 Z297:AC298 Z300:AC307 Z312:AC314 Z316:AC317 Z331:AC333 Z335:AC336 Z338:AC345 Z350:AC352 Z354:AC355 Z357:AC364 Z370:AC372 Z374:AC375 Z377:AC384 Z319:AC326 Z393:AC394 Z396:AC403 Z408:AC410 Z412:AC413 Z415:AC422 Z427:AC429 Z431:AC432 Z434:AC441 Z446:AC448 Z450:AC451 Z453:AC460 Z465:AC467 Z469:AC470 Z472:AC479 Z484:AC486 Z488:AC489 Z491:AC498 Z502:AC504 Z506:AC507 Z509:AC516 Z524:AC526 Z528:AC529 Z531:AC538 Z547:AC552" xr:uid="{FA677489-A55E-45ED-8E1B-6B7D99E097FE}">
      <formula1>AND(LEN(O283)&lt;21,ISERROR(SEARCH("&amp;",O283))=TRUE,ISERROR(SEARCH(" ",O283))=TRUE,ISERROR(SEARCH("/",O283))=TRUE,ISERROR(SEARCH(";",O283))=TRUE,ISERROR(SEARCH("=",O283))=TRUE,ISERROR(SEARCH("'",O283))=TRUE)</formula1>
    </dataValidation>
    <dataValidation type="decimal" operator="greaterThan" allowBlank="1" showInputMessage="1" showErrorMessage="1" error="The value must be positive" sqref="O608:X609 AB608:AC609" xr:uid="{00D02148-73DB-4C64-99AE-3E0F48BFB8F1}">
      <formula1>0</formula1>
    </dataValidation>
  </dataValidations>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A980A2-695D-4B19-8E04-BD900DAD0478}">
  <sheetPr codeName="Sheet15">
    <tabColor theme="8"/>
  </sheetPr>
  <dimension ref="A1:CD46"/>
  <sheetViews>
    <sheetView zoomScale="85" zoomScaleNormal="85" workbookViewId="0">
      <selection activeCell="D26" sqref="D26"/>
    </sheetView>
  </sheetViews>
  <sheetFormatPr defaultColWidth="9" defaultRowHeight="13.5" x14ac:dyDescent="0.3"/>
  <cols>
    <col min="1" max="2" width="9" style="1338"/>
    <col min="3" max="3" width="46.1640625" style="1338" customWidth="1"/>
    <col min="4" max="4" width="27" style="1338" customWidth="1"/>
    <col min="5" max="5" width="9" style="1338" customWidth="1"/>
    <col min="6" max="6" width="17.1640625" style="1338" customWidth="1"/>
    <col min="7" max="8" width="9" style="1338" customWidth="1"/>
    <col min="9" max="9" width="13.6640625" style="1338" customWidth="1"/>
    <col min="10" max="10" width="12.6640625" style="1338" customWidth="1"/>
    <col min="11" max="11" width="14.1640625" style="1338" customWidth="1"/>
    <col min="12" max="12" width="24.1640625" style="1338" customWidth="1"/>
    <col min="13" max="28" width="10.1640625" style="1338" customWidth="1"/>
    <col min="29" max="29" width="9" style="1338" customWidth="1"/>
    <col min="30" max="30" width="7.1640625" style="1338" bestFit="1" customWidth="1"/>
    <col min="31" max="35" width="6.1640625" style="1338" bestFit="1" customWidth="1"/>
    <col min="36" max="40" width="6.1640625" style="1338" customWidth="1"/>
    <col min="41" max="44" width="6.1640625" style="1338" bestFit="1" customWidth="1"/>
    <col min="45" max="45" width="7.6640625" style="1338" customWidth="1"/>
    <col min="46" max="46" width="6.1640625" style="1338" bestFit="1" customWidth="1"/>
    <col min="47" max="53" width="6.1640625" style="1338" customWidth="1"/>
    <col min="54" max="77" width="9" style="1338"/>
    <col min="78" max="78" width="11.1640625" style="1338" customWidth="1"/>
    <col min="79" max="79" width="48.6640625" style="1338" customWidth="1"/>
    <col min="80" max="80" width="22" style="1338" customWidth="1"/>
    <col min="81" max="81" width="18.6640625" style="1338" bestFit="1" customWidth="1"/>
    <col min="82" max="82" width="123.1640625" style="1338" customWidth="1"/>
    <col min="83" max="16384" width="9" style="1338"/>
  </cols>
  <sheetData>
    <row r="1" spans="1:82" x14ac:dyDescent="0.3">
      <c r="A1" s="1337"/>
      <c r="B1" s="1337"/>
      <c r="C1" s="1337"/>
      <c r="D1" s="1337"/>
      <c r="E1" s="1337"/>
      <c r="F1" s="1337"/>
      <c r="G1" s="1337"/>
      <c r="H1" s="1337"/>
      <c r="I1" s="1337"/>
      <c r="J1" s="1337"/>
      <c r="K1" s="1337"/>
      <c r="L1" s="1337"/>
      <c r="M1" s="1337"/>
      <c r="N1" s="1337"/>
      <c r="O1" s="1337"/>
      <c r="P1" s="1337"/>
      <c r="Q1" s="1337"/>
      <c r="R1" s="1337"/>
      <c r="S1" s="1337"/>
      <c r="T1" s="1337"/>
      <c r="U1" s="1337"/>
      <c r="V1" s="1337"/>
      <c r="W1" s="1337"/>
      <c r="X1" s="1337"/>
      <c r="Y1" s="1337"/>
      <c r="Z1" s="1337"/>
      <c r="AA1" s="1337"/>
      <c r="AB1" s="1337"/>
      <c r="AC1" s="1337"/>
      <c r="AD1" s="1337"/>
      <c r="AE1" s="1337"/>
      <c r="AF1" s="1337"/>
      <c r="AG1" s="1337"/>
      <c r="AH1" s="1337"/>
      <c r="AI1" s="1337"/>
      <c r="AJ1" s="1337"/>
      <c r="AK1" s="1337"/>
      <c r="AL1" s="1337"/>
      <c r="AM1" s="1337"/>
      <c r="AN1" s="1337"/>
      <c r="AO1" s="1337"/>
      <c r="AP1" s="1337"/>
      <c r="AQ1" s="1337"/>
      <c r="AR1" s="1337"/>
      <c r="AS1" s="1337"/>
      <c r="AT1" s="1337"/>
      <c r="AU1" s="1337"/>
      <c r="AV1" s="1337"/>
      <c r="AW1" s="1337"/>
      <c r="AX1" s="1337"/>
      <c r="AY1" s="1337"/>
      <c r="AZ1" s="1337"/>
      <c r="BA1" s="1337"/>
      <c r="BB1" s="1337"/>
      <c r="BC1" s="1337"/>
      <c r="BD1" s="1337"/>
      <c r="BE1" s="1337"/>
      <c r="BF1" s="1337"/>
      <c r="BG1" s="1337"/>
      <c r="BH1" s="1337"/>
      <c r="BI1" s="1337"/>
      <c r="BJ1" s="1337"/>
      <c r="BK1" s="1337"/>
      <c r="BL1" s="1337"/>
      <c r="BM1" s="1337"/>
      <c r="BN1" s="1337"/>
      <c r="BO1" s="1337"/>
      <c r="BP1" s="1337"/>
      <c r="BQ1" s="1337"/>
      <c r="BR1" s="1337"/>
      <c r="BS1" s="1337"/>
      <c r="BT1" s="1337"/>
      <c r="BU1" s="1337"/>
      <c r="BV1" s="1337"/>
      <c r="BW1" s="1337"/>
    </row>
    <row r="2" spans="1:82" ht="84" customHeight="1" x14ac:dyDescent="0.3">
      <c r="A2" s="1337"/>
      <c r="B2" s="1337"/>
      <c r="C2" s="1337"/>
      <c r="D2" s="1337" t="s">
        <v>513</v>
      </c>
      <c r="E2" s="1337" t="s">
        <v>1347</v>
      </c>
      <c r="F2" s="1337" t="s">
        <v>1348</v>
      </c>
      <c r="G2" s="1337" t="s">
        <v>1349</v>
      </c>
      <c r="H2" s="1337" t="s">
        <v>1350</v>
      </c>
      <c r="I2" s="1337" t="s">
        <v>1351</v>
      </c>
      <c r="J2" s="1337" t="s">
        <v>1352</v>
      </c>
      <c r="K2" s="1337" t="s">
        <v>1353</v>
      </c>
      <c r="L2" s="1337" t="s">
        <v>1354</v>
      </c>
      <c r="M2" s="1337" t="s">
        <v>1355</v>
      </c>
      <c r="N2" s="1337" t="s">
        <v>1356</v>
      </c>
      <c r="O2" s="1337" t="s">
        <v>1357</v>
      </c>
      <c r="P2" s="1337" t="s">
        <v>1358</v>
      </c>
      <c r="Q2" s="1337" t="s">
        <v>1359</v>
      </c>
      <c r="R2" s="1337" t="s">
        <v>1360</v>
      </c>
      <c r="S2" s="1337" t="s">
        <v>1361</v>
      </c>
      <c r="T2" s="1337" t="s">
        <v>1362</v>
      </c>
      <c r="U2" s="1337" t="s">
        <v>1363</v>
      </c>
      <c r="V2" s="1337" t="s">
        <v>1364</v>
      </c>
      <c r="W2" s="1337" t="s">
        <v>1365</v>
      </c>
      <c r="X2" s="1337" t="s">
        <v>1366</v>
      </c>
      <c r="Y2" s="1337" t="s">
        <v>1367</v>
      </c>
      <c r="Z2" s="1337" t="s">
        <v>1368</v>
      </c>
      <c r="AA2" s="1337" t="s">
        <v>1369</v>
      </c>
      <c r="AB2" s="1337" t="s">
        <v>1370</v>
      </c>
      <c r="AC2" s="1337" t="s">
        <v>1371</v>
      </c>
      <c r="AD2" s="2132" t="s">
        <v>1372</v>
      </c>
      <c r="AE2" s="2132"/>
      <c r="AF2" s="2132"/>
      <c r="AG2" s="2132"/>
      <c r="AH2" s="2132"/>
      <c r="AI2" s="2132"/>
      <c r="AJ2" s="1404"/>
      <c r="AK2" s="1404"/>
      <c r="AL2" s="1404"/>
      <c r="AM2" s="1404"/>
      <c r="AN2" s="1404"/>
      <c r="AO2" s="2132" t="s">
        <v>1373</v>
      </c>
      <c r="AP2" s="2132"/>
      <c r="AQ2" s="2132"/>
      <c r="AR2" s="2132"/>
      <c r="AS2" s="2132"/>
      <c r="AT2" s="2132"/>
      <c r="AU2" s="1404"/>
      <c r="AV2" s="1404"/>
      <c r="AW2" s="1404"/>
      <c r="AX2" s="1404"/>
      <c r="AY2" s="1404"/>
      <c r="AZ2" s="1404" t="s">
        <v>1374</v>
      </c>
      <c r="BA2" s="1404" t="s">
        <v>1375</v>
      </c>
      <c r="BB2" s="2132" t="s">
        <v>1376</v>
      </c>
      <c r="BC2" s="2132"/>
      <c r="BD2" s="2132"/>
      <c r="BE2" s="2132"/>
      <c r="BF2" s="2132"/>
      <c r="BG2" s="2132"/>
      <c r="BH2" s="1404"/>
      <c r="BI2" s="1404"/>
      <c r="BJ2" s="1404"/>
      <c r="BK2" s="1404"/>
      <c r="BL2" s="1404"/>
      <c r="BM2" s="2132" t="s">
        <v>1377</v>
      </c>
      <c r="BN2" s="2132"/>
      <c r="BO2" s="2132"/>
      <c r="BP2" s="2132"/>
      <c r="BQ2" s="2132"/>
      <c r="BR2" s="2132"/>
      <c r="BS2" s="1404"/>
      <c r="BT2" s="1404"/>
      <c r="BU2" s="1404"/>
      <c r="BV2" s="1404"/>
      <c r="BW2" s="1404"/>
    </row>
    <row r="3" spans="1:82" x14ac:dyDescent="0.3">
      <c r="A3" s="1337"/>
      <c r="B3" s="1337"/>
      <c r="C3" s="1337"/>
      <c r="D3" s="1337"/>
      <c r="E3" s="1337"/>
      <c r="F3" s="1337"/>
      <c r="G3" s="1337"/>
      <c r="H3" s="1337"/>
      <c r="I3" s="1337"/>
      <c r="J3" s="1337"/>
      <c r="K3" s="1337"/>
      <c r="L3" s="1337"/>
      <c r="M3" s="1337"/>
      <c r="N3" s="1337"/>
      <c r="O3" s="1337"/>
      <c r="P3" s="1337"/>
      <c r="Q3" s="1337"/>
      <c r="R3" s="1337"/>
      <c r="S3" s="1337"/>
      <c r="T3" s="1337"/>
      <c r="U3" s="1337"/>
      <c r="V3" s="1337"/>
      <c r="W3" s="1337"/>
      <c r="X3" s="1337"/>
      <c r="Y3" s="1337"/>
      <c r="Z3" s="1337"/>
      <c r="AA3" s="1337"/>
      <c r="AB3" s="1337"/>
      <c r="AC3" s="1337" t="s">
        <v>549</v>
      </c>
      <c r="AD3" s="1337">
        <v>2025</v>
      </c>
      <c r="AE3" s="1337">
        <v>2026</v>
      </c>
      <c r="AF3" s="1337">
        <v>2027</v>
      </c>
      <c r="AG3" s="1337">
        <v>2028</v>
      </c>
      <c r="AH3" s="1337">
        <v>2029</v>
      </c>
      <c r="AI3" s="1337">
        <v>2030</v>
      </c>
      <c r="AJ3" s="1337">
        <v>2031</v>
      </c>
      <c r="AK3" s="1337">
        <v>2032</v>
      </c>
      <c r="AL3" s="1337">
        <v>2033</v>
      </c>
      <c r="AM3" s="1337">
        <v>2034</v>
      </c>
      <c r="AN3" s="1337">
        <v>2035</v>
      </c>
      <c r="AO3" s="1337">
        <v>2025</v>
      </c>
      <c r="AP3" s="1337">
        <v>2026</v>
      </c>
      <c r="AQ3" s="1337">
        <v>2027</v>
      </c>
      <c r="AR3" s="1337">
        <v>2028</v>
      </c>
      <c r="AS3" s="1337">
        <v>2029</v>
      </c>
      <c r="AT3" s="1337">
        <v>2030</v>
      </c>
      <c r="AU3" s="1337">
        <v>2031</v>
      </c>
      <c r="AV3" s="1337">
        <v>2032</v>
      </c>
      <c r="AW3" s="1337">
        <v>2033</v>
      </c>
      <c r="AX3" s="1337">
        <v>2034</v>
      </c>
      <c r="AY3" s="1337">
        <v>2035</v>
      </c>
      <c r="AZ3" s="1337"/>
      <c r="BA3" s="1337"/>
      <c r="BB3" s="1337">
        <v>2025</v>
      </c>
      <c r="BC3" s="1337">
        <v>2026</v>
      </c>
      <c r="BD3" s="1337">
        <v>2027</v>
      </c>
      <c r="BE3" s="1337">
        <v>2028</v>
      </c>
      <c r="BF3" s="1337">
        <v>2029</v>
      </c>
      <c r="BG3" s="1337">
        <v>2030</v>
      </c>
      <c r="BH3" s="1337">
        <v>2031</v>
      </c>
      <c r="BI3" s="1337">
        <v>2032</v>
      </c>
      <c r="BJ3" s="1337">
        <v>2033</v>
      </c>
      <c r="BK3" s="1337">
        <v>2034</v>
      </c>
      <c r="BL3" s="1337">
        <v>2035</v>
      </c>
      <c r="BM3" s="1337">
        <v>2025</v>
      </c>
      <c r="BN3" s="1337">
        <v>2026</v>
      </c>
      <c r="BO3" s="1337">
        <v>2027</v>
      </c>
      <c r="BP3" s="1337">
        <v>2028</v>
      </c>
      <c r="BQ3" s="1337">
        <v>2029</v>
      </c>
      <c r="BR3" s="1337">
        <v>2030</v>
      </c>
      <c r="BS3" s="1337">
        <v>2031</v>
      </c>
      <c r="BT3" s="1337">
        <v>2032</v>
      </c>
      <c r="BU3" s="1337">
        <v>2033</v>
      </c>
      <c r="BV3" s="1337">
        <v>2034</v>
      </c>
      <c r="BW3" s="1337">
        <v>2035</v>
      </c>
      <c r="CA3" s="1338" t="s">
        <v>717</v>
      </c>
    </row>
    <row r="4" spans="1:82" x14ac:dyDescent="0.3">
      <c r="A4" s="1338" t="s">
        <v>125</v>
      </c>
      <c r="B4" s="1338" t="s">
        <v>717</v>
      </c>
      <c r="C4" s="1338" t="s">
        <v>718</v>
      </c>
      <c r="D4" s="1338" t="s">
        <v>1378</v>
      </c>
      <c r="E4" s="502">
        <v>0</v>
      </c>
      <c r="F4" s="502">
        <v>0</v>
      </c>
      <c r="G4" s="1231">
        <v>0</v>
      </c>
      <c r="H4" s="1339">
        <f t="shared" ref="H4:H19" si="0">F4/SUM(BM4:BR4)</f>
        <v>0</v>
      </c>
      <c r="I4" s="1340">
        <f>I9*0.6</f>
        <v>270</v>
      </c>
      <c r="J4" s="502">
        <v>64</v>
      </c>
      <c r="K4" s="502">
        <v>5</v>
      </c>
      <c r="L4" s="1398">
        <f t="shared" ref="L4:L19" si="1">BM4/I4</f>
        <v>1.40625</v>
      </c>
      <c r="M4" s="502"/>
      <c r="N4" s="502"/>
      <c r="O4" s="502"/>
      <c r="P4" s="502"/>
      <c r="Q4" s="502"/>
      <c r="R4" s="502"/>
      <c r="S4" s="502"/>
      <c r="T4" s="502"/>
      <c r="U4" s="502"/>
      <c r="V4" s="502"/>
      <c r="W4" s="502"/>
      <c r="X4" s="502"/>
      <c r="Y4" s="502"/>
      <c r="Z4" s="502"/>
      <c r="AA4" s="502"/>
      <c r="AB4" s="502"/>
      <c r="AC4" s="1341">
        <f>(SUM(BM4:BR4)*1000000)/(SUM(BB4:BG4)*1000)</f>
        <v>3662.2548596559627</v>
      </c>
      <c r="AD4" s="502">
        <v>90</v>
      </c>
      <c r="AE4" s="502">
        <v>90</v>
      </c>
      <c r="AF4" s="502">
        <v>90</v>
      </c>
      <c r="AG4" s="502">
        <v>90</v>
      </c>
      <c r="AH4" s="502">
        <v>90</v>
      </c>
      <c r="AI4" s="502">
        <v>90</v>
      </c>
      <c r="AJ4" s="502">
        <v>90</v>
      </c>
      <c r="AK4" s="502">
        <v>90</v>
      </c>
      <c r="AL4" s="502">
        <v>90</v>
      </c>
      <c r="AM4" s="502">
        <v>90</v>
      </c>
      <c r="AN4" s="502">
        <v>90</v>
      </c>
      <c r="AO4" s="502">
        <v>19</v>
      </c>
      <c r="AP4" s="502">
        <v>19</v>
      </c>
      <c r="AQ4" s="502">
        <v>19</v>
      </c>
      <c r="AR4" s="502">
        <v>19</v>
      </c>
      <c r="AS4" s="502">
        <v>19</v>
      </c>
      <c r="AT4" s="502">
        <v>19</v>
      </c>
      <c r="AU4" s="502">
        <v>19</v>
      </c>
      <c r="AV4" s="502">
        <v>19</v>
      </c>
      <c r="AW4" s="502">
        <v>19</v>
      </c>
      <c r="AX4" s="502">
        <v>19</v>
      </c>
      <c r="AY4" s="502">
        <v>19</v>
      </c>
      <c r="AZ4" s="1435">
        <f>MIN(AD4/BB4,1)</f>
        <v>0.82568807339449546</v>
      </c>
      <c r="BA4" s="1435">
        <f>MAX(1-AZ4,0)</f>
        <v>0.17431192660550454</v>
      </c>
      <c r="BB4" s="1342">
        <f t="shared" ref="BB4:BB19" si="2">AD4+AO4</f>
        <v>109</v>
      </c>
      <c r="BC4" s="1342">
        <f t="shared" ref="BC4:BC19" si="3">AE4+AP4</f>
        <v>109</v>
      </c>
      <c r="BD4" s="1342">
        <f t="shared" ref="BD4:BD19" si="4">AF4+AQ4</f>
        <v>109</v>
      </c>
      <c r="BE4" s="1342">
        <f t="shared" ref="BE4:BE19" si="5">AG4+AR4</f>
        <v>109</v>
      </c>
      <c r="BF4" s="1342">
        <f t="shared" ref="BF4:BF19" si="6">AH4+AS4</f>
        <v>109</v>
      </c>
      <c r="BG4" s="1342">
        <f t="shared" ref="BG4:BG19" si="7">AI4+AT4</f>
        <v>109</v>
      </c>
      <c r="BH4" s="1342">
        <f t="shared" ref="BH4:BH19" si="8">AJ4+AU4</f>
        <v>109</v>
      </c>
      <c r="BI4" s="1342">
        <f t="shared" ref="BI4:BI19" si="9">AK4+AV4</f>
        <v>109</v>
      </c>
      <c r="BJ4" s="1342">
        <f t="shared" ref="BJ4:BJ19" si="10">AL4+AW4</f>
        <v>109</v>
      </c>
      <c r="BK4" s="1342">
        <f t="shared" ref="BK4:BK19" si="11">AM4+AX4</f>
        <v>109</v>
      </c>
      <c r="BL4" s="1342">
        <f t="shared" ref="BL4:BL19" si="12">AN4+AY4</f>
        <v>109</v>
      </c>
      <c r="BM4" s="1343">
        <f t="shared" ref="BM4:BM11" si="13">(I4/SUM(J4))*SUM(AD4)</f>
        <v>379.6875</v>
      </c>
      <c r="BN4" s="1344">
        <f>IF($G4=1,BM4,BM4*1.02)</f>
        <v>387.28125</v>
      </c>
      <c r="BO4" s="1344">
        <f t="shared" ref="BO4:BR4" si="14">IF($G4=1,BN4,BN4*1.02)</f>
        <v>395.02687500000002</v>
      </c>
      <c r="BP4" s="1344">
        <f t="shared" si="14"/>
        <v>402.9274125</v>
      </c>
      <c r="BQ4" s="1344">
        <f t="shared" si="14"/>
        <v>410.98596075</v>
      </c>
      <c r="BR4" s="1344">
        <f t="shared" si="14"/>
        <v>419.205679965</v>
      </c>
      <c r="BS4" s="1344">
        <f t="shared" ref="BS4:BS12" si="15">IF($G4=1,BR4,BR4*1.02)</f>
        <v>427.58979356430001</v>
      </c>
      <c r="BT4" s="1344">
        <f t="shared" ref="BT4:BT12" si="16">IF($G4=1,BS4,BS4*1.02)</f>
        <v>436.14158943558601</v>
      </c>
      <c r="BU4" s="1344">
        <f t="shared" ref="BU4:BU12" si="17">IF($G4=1,BT4,BT4*1.02)</f>
        <v>444.86442122429776</v>
      </c>
      <c r="BV4" s="1344">
        <f t="shared" ref="BV4:BV12" si="18">IF($G4=1,BU4,BU4*1.02)</f>
        <v>453.76170964878372</v>
      </c>
      <c r="BW4" s="1344">
        <f t="shared" ref="BW4:BW12" si="19">IF($G4=1,BV4,BV4*1.02)</f>
        <v>462.83694384175942</v>
      </c>
      <c r="CA4" s="1338" t="s">
        <v>1379</v>
      </c>
      <c r="CB4" s="1338">
        <f>_xlfn.XLOOKUP($CA$3,$B$4:$B$46,$BB$4:$BB$46)</f>
        <v>109</v>
      </c>
      <c r="CC4" s="1338" t="s">
        <v>1380</v>
      </c>
      <c r="CD4" s="1345" t="str">
        <f>"Energy savings target: ~"&amp;TEXT(CB4,"0.0")&amp;"GWh  ("&amp;TEXT(CB5,"0.0")&amp;" GWh heat and "&amp;TEXT(CB6,"0.0")&amp;" electricity) in 2025;"</f>
        <v>Energy savings target: ~10.9GWh  (9.0 GWh heat and 1.9 electricity) in 2025;</v>
      </c>
    </row>
    <row r="5" spans="1:82" x14ac:dyDescent="0.3">
      <c r="B5" s="1338" t="s">
        <v>723</v>
      </c>
      <c r="C5" s="1338" t="s">
        <v>1381</v>
      </c>
      <c r="D5" s="1338" t="s">
        <v>1382</v>
      </c>
      <c r="E5" s="502">
        <v>0</v>
      </c>
      <c r="F5" s="502">
        <v>0</v>
      </c>
      <c r="G5" s="1231">
        <v>0</v>
      </c>
      <c r="H5" s="1339">
        <f t="shared" si="0"/>
        <v>0</v>
      </c>
      <c r="I5" s="502">
        <v>360</v>
      </c>
      <c r="J5" s="502">
        <v>64</v>
      </c>
      <c r="K5" s="502">
        <v>-5</v>
      </c>
      <c r="L5" s="1401">
        <f t="shared" si="1"/>
        <v>0.9375</v>
      </c>
      <c r="M5" s="502"/>
      <c r="N5" s="502"/>
      <c r="O5" s="502"/>
      <c r="P5" s="502"/>
      <c r="Q5" s="502"/>
      <c r="R5" s="502"/>
      <c r="S5" s="502"/>
      <c r="T5" s="502"/>
      <c r="U5" s="502"/>
      <c r="V5" s="502"/>
      <c r="W5" s="502"/>
      <c r="X5" s="502"/>
      <c r="Y5" s="502"/>
      <c r="Z5" s="502"/>
      <c r="AA5" s="502"/>
      <c r="AB5" s="502"/>
      <c r="AC5" s="1341">
        <f t="shared" ref="AC5:AC15" si="20">(SUM(BM5:BR5)*1000000)/(SUM(BB5:BG5)*1000)</f>
        <v>6415.038267661017</v>
      </c>
      <c r="AD5" s="502">
        <v>60</v>
      </c>
      <c r="AE5" s="502">
        <v>60</v>
      </c>
      <c r="AF5" s="502">
        <v>60</v>
      </c>
      <c r="AG5" s="502">
        <v>60</v>
      </c>
      <c r="AH5" s="502">
        <v>60</v>
      </c>
      <c r="AI5" s="502">
        <v>60</v>
      </c>
      <c r="AJ5" s="502">
        <v>60</v>
      </c>
      <c r="AK5" s="502">
        <v>60</v>
      </c>
      <c r="AL5" s="502">
        <v>60</v>
      </c>
      <c r="AM5" s="502">
        <v>60</v>
      </c>
      <c r="AN5" s="502">
        <v>60</v>
      </c>
      <c r="AO5" s="502">
        <v>-4.6875</v>
      </c>
      <c r="AP5" s="502">
        <v>-4.6875</v>
      </c>
      <c r="AQ5" s="502">
        <v>-4.6875</v>
      </c>
      <c r="AR5" s="502">
        <v>-4.6875</v>
      </c>
      <c r="AS5" s="502">
        <v>-4.6875</v>
      </c>
      <c r="AT5" s="502">
        <v>-4.6874999999999991</v>
      </c>
      <c r="AU5" s="502">
        <v>-4.6874999999999991</v>
      </c>
      <c r="AV5" s="502">
        <v>-4.6874999999999991</v>
      </c>
      <c r="AW5" s="502">
        <v>-4.6874999999999991</v>
      </c>
      <c r="AX5" s="502">
        <v>-4.6874999999999991</v>
      </c>
      <c r="AY5" s="502">
        <v>-4.6874999999999991</v>
      </c>
      <c r="AZ5" s="1435">
        <f t="shared" ref="AZ5:AZ19" si="21">MIN(AD5/BB5,1)</f>
        <v>1</v>
      </c>
      <c r="BA5" s="1435">
        <f t="shared" ref="BA5:BA19" si="22">MAX(1-AZ5,0)</f>
        <v>0</v>
      </c>
      <c r="BB5" s="1342">
        <f t="shared" si="2"/>
        <v>55.3125</v>
      </c>
      <c r="BC5" s="1342">
        <f t="shared" si="3"/>
        <v>55.3125</v>
      </c>
      <c r="BD5" s="1342">
        <f t="shared" si="4"/>
        <v>55.3125</v>
      </c>
      <c r="BE5" s="1342">
        <f t="shared" si="5"/>
        <v>55.3125</v>
      </c>
      <c r="BF5" s="1342">
        <f t="shared" si="6"/>
        <v>55.3125</v>
      </c>
      <c r="BG5" s="1342">
        <f t="shared" si="7"/>
        <v>55.3125</v>
      </c>
      <c r="BH5" s="1342">
        <f t="shared" si="8"/>
        <v>55.3125</v>
      </c>
      <c r="BI5" s="1342">
        <f t="shared" si="9"/>
        <v>55.3125</v>
      </c>
      <c r="BJ5" s="1342">
        <f t="shared" si="10"/>
        <v>55.3125</v>
      </c>
      <c r="BK5" s="1342">
        <f t="shared" si="11"/>
        <v>55.3125</v>
      </c>
      <c r="BL5" s="1342">
        <f t="shared" si="12"/>
        <v>55.3125</v>
      </c>
      <c r="BM5" s="1343">
        <f t="shared" si="13"/>
        <v>337.5</v>
      </c>
      <c r="BN5" s="1344">
        <f t="shared" ref="BN5:BR12" si="23">IF($G5=1,BM5,BM5*1.02)</f>
        <v>344.25</v>
      </c>
      <c r="BO5" s="1344">
        <f t="shared" si="23"/>
        <v>351.13499999999999</v>
      </c>
      <c r="BP5" s="1344">
        <f t="shared" si="23"/>
        <v>358.15769999999998</v>
      </c>
      <c r="BQ5" s="1344">
        <f t="shared" si="23"/>
        <v>365.320854</v>
      </c>
      <c r="BR5" s="1344">
        <f t="shared" si="23"/>
        <v>372.62727108000001</v>
      </c>
      <c r="BS5" s="1344">
        <f t="shared" si="15"/>
        <v>380.07981650160002</v>
      </c>
      <c r="BT5" s="1344">
        <f t="shared" si="16"/>
        <v>387.68141283163203</v>
      </c>
      <c r="BU5" s="1344">
        <f t="shared" si="17"/>
        <v>395.43504108826465</v>
      </c>
      <c r="BV5" s="1344">
        <f t="shared" si="18"/>
        <v>403.34374191002996</v>
      </c>
      <c r="BW5" s="1344">
        <f t="shared" si="19"/>
        <v>411.41061674823055</v>
      </c>
      <c r="CB5" s="1338">
        <f>_xlfn.XLOOKUP($CA$3,$B$4:$B$46,$AD$4:$AD$46)</f>
        <v>90</v>
      </c>
      <c r="CC5" s="1338" t="s">
        <v>1383</v>
      </c>
      <c r="CD5" s="1345"/>
    </row>
    <row r="6" spans="1:82" x14ac:dyDescent="0.3">
      <c r="B6" s="1338" t="s">
        <v>729</v>
      </c>
      <c r="C6" s="1338" t="s">
        <v>730</v>
      </c>
      <c r="D6" s="1338" t="s">
        <v>1384</v>
      </c>
      <c r="E6" s="502">
        <v>0</v>
      </c>
      <c r="F6" s="502">
        <v>0</v>
      </c>
      <c r="G6" s="1231">
        <v>0</v>
      </c>
      <c r="H6" s="1339">
        <f t="shared" si="0"/>
        <v>0</v>
      </c>
      <c r="I6" s="502">
        <v>360</v>
      </c>
      <c r="J6" s="502">
        <v>64</v>
      </c>
      <c r="K6" s="502">
        <v>-5</v>
      </c>
      <c r="L6" s="1398">
        <f t="shared" si="1"/>
        <v>3.078125</v>
      </c>
      <c r="M6" s="502"/>
      <c r="N6" s="502"/>
      <c r="O6" s="502"/>
      <c r="P6" s="502"/>
      <c r="Q6" s="502"/>
      <c r="R6" s="502"/>
      <c r="S6" s="502"/>
      <c r="T6" s="502"/>
      <c r="U6" s="502"/>
      <c r="V6" s="502"/>
      <c r="W6" s="502"/>
      <c r="X6" s="502"/>
      <c r="Y6" s="502"/>
      <c r="Z6" s="502"/>
      <c r="AA6" s="502"/>
      <c r="AB6" s="502"/>
      <c r="AC6" s="1341">
        <f t="shared" si="20"/>
        <v>6415.0382676610161</v>
      </c>
      <c r="AD6" s="502">
        <v>197</v>
      </c>
      <c r="AE6" s="502">
        <v>197</v>
      </c>
      <c r="AF6" s="502">
        <v>197</v>
      </c>
      <c r="AG6" s="502">
        <v>197</v>
      </c>
      <c r="AH6" s="502">
        <v>197</v>
      </c>
      <c r="AI6" s="502">
        <v>197</v>
      </c>
      <c r="AJ6" s="502">
        <v>197</v>
      </c>
      <c r="AK6" s="502">
        <v>197</v>
      </c>
      <c r="AL6" s="502">
        <v>197</v>
      </c>
      <c r="AM6" s="502">
        <v>197</v>
      </c>
      <c r="AN6" s="502">
        <v>197</v>
      </c>
      <c r="AO6" s="502">
        <v>-15.390625</v>
      </c>
      <c r="AP6" s="502">
        <v>-15.390625</v>
      </c>
      <c r="AQ6" s="502">
        <v>-15.390624999999998</v>
      </c>
      <c r="AR6" s="502">
        <v>-15.390625000000002</v>
      </c>
      <c r="AS6" s="502">
        <v>-15.390625</v>
      </c>
      <c r="AT6" s="502">
        <v>-15.390625</v>
      </c>
      <c r="AU6" s="502">
        <v>-15.390625</v>
      </c>
      <c r="AV6" s="502">
        <v>-15.390625</v>
      </c>
      <c r="AW6" s="502">
        <v>-15.390625</v>
      </c>
      <c r="AX6" s="502">
        <v>-15.390625</v>
      </c>
      <c r="AY6" s="502">
        <v>-15.390625</v>
      </c>
      <c r="AZ6" s="1435">
        <f t="shared" si="21"/>
        <v>1</v>
      </c>
      <c r="BA6" s="1435">
        <f t="shared" si="22"/>
        <v>0</v>
      </c>
      <c r="BB6" s="1342">
        <f t="shared" si="2"/>
        <v>181.609375</v>
      </c>
      <c r="BC6" s="1342">
        <f t="shared" si="3"/>
        <v>181.609375</v>
      </c>
      <c r="BD6" s="1342">
        <f t="shared" si="4"/>
        <v>181.609375</v>
      </c>
      <c r="BE6" s="1342">
        <f t="shared" si="5"/>
        <v>181.609375</v>
      </c>
      <c r="BF6" s="1342">
        <f t="shared" si="6"/>
        <v>181.609375</v>
      </c>
      <c r="BG6" s="1342">
        <f t="shared" si="7"/>
        <v>181.609375</v>
      </c>
      <c r="BH6" s="1342">
        <f t="shared" si="8"/>
        <v>181.609375</v>
      </c>
      <c r="BI6" s="1342">
        <f t="shared" si="9"/>
        <v>181.609375</v>
      </c>
      <c r="BJ6" s="1342">
        <f t="shared" si="10"/>
        <v>181.609375</v>
      </c>
      <c r="BK6" s="1342">
        <f t="shared" si="11"/>
        <v>181.609375</v>
      </c>
      <c r="BL6" s="1342">
        <f t="shared" si="12"/>
        <v>181.609375</v>
      </c>
      <c r="BM6" s="1343">
        <f t="shared" si="13"/>
        <v>1108.125</v>
      </c>
      <c r="BN6" s="1344">
        <f t="shared" si="23"/>
        <v>1130.2874999999999</v>
      </c>
      <c r="BO6" s="1344">
        <f t="shared" si="23"/>
        <v>1152.8932499999999</v>
      </c>
      <c r="BP6" s="1344">
        <f t="shared" si="23"/>
        <v>1175.9511149999998</v>
      </c>
      <c r="BQ6" s="1344">
        <f t="shared" si="23"/>
        <v>1199.4701372999998</v>
      </c>
      <c r="BR6" s="1344">
        <f t="shared" si="23"/>
        <v>1223.4595400459998</v>
      </c>
      <c r="BS6" s="1344">
        <f t="shared" si="15"/>
        <v>1247.9287308469197</v>
      </c>
      <c r="BT6" s="1344">
        <f t="shared" si="16"/>
        <v>1272.8873054638582</v>
      </c>
      <c r="BU6" s="1344">
        <f t="shared" si="17"/>
        <v>1298.3450515731354</v>
      </c>
      <c r="BV6" s="1344">
        <f t="shared" si="18"/>
        <v>1324.3119526045982</v>
      </c>
      <c r="BW6" s="1344">
        <f t="shared" si="19"/>
        <v>1350.7981916566903</v>
      </c>
      <c r="CB6" s="1338">
        <f>_xlfn.XLOOKUP($CA$3,$B$4:$B$46,$AO$4:$AO$46)</f>
        <v>19</v>
      </c>
      <c r="CC6" s="1338" t="s">
        <v>1385</v>
      </c>
      <c r="CD6" s="1345"/>
    </row>
    <row r="7" spans="1:82" x14ac:dyDescent="0.3">
      <c r="B7" s="1338" t="s">
        <v>731</v>
      </c>
      <c r="C7" s="1338" t="s">
        <v>732</v>
      </c>
      <c r="D7" s="1338" t="s">
        <v>1386</v>
      </c>
      <c r="E7" s="502">
        <v>10</v>
      </c>
      <c r="F7" s="502">
        <v>60</v>
      </c>
      <c r="G7" s="1231">
        <v>0.3</v>
      </c>
      <c r="H7" s="1339">
        <f t="shared" si="0"/>
        <v>0.2853464622033644</v>
      </c>
      <c r="I7" s="502">
        <v>150</v>
      </c>
      <c r="J7" s="502">
        <v>34</v>
      </c>
      <c r="K7" s="502">
        <v>2</v>
      </c>
      <c r="L7" s="1398">
        <f t="shared" si="1"/>
        <v>0.22222222222222224</v>
      </c>
      <c r="M7" s="502"/>
      <c r="N7" s="502"/>
      <c r="O7" s="502"/>
      <c r="P7" s="502"/>
      <c r="Q7" s="502"/>
      <c r="R7" s="502"/>
      <c r="S7" s="502"/>
      <c r="T7" s="502"/>
      <c r="U7" s="502"/>
      <c r="V7" s="502"/>
      <c r="W7" s="502"/>
      <c r="X7" s="502"/>
      <c r="Y7" s="502"/>
      <c r="Z7" s="502"/>
      <c r="AA7" s="502"/>
      <c r="AB7" s="502"/>
      <c r="AC7" s="1341">
        <f t="shared" si="20"/>
        <v>4600.3366800000022</v>
      </c>
      <c r="AD7" s="502">
        <v>7.5555555555555554</v>
      </c>
      <c r="AE7" s="502">
        <v>7.4074074074074074</v>
      </c>
      <c r="AF7" s="502">
        <v>7.2621641249092219</v>
      </c>
      <c r="AG7" s="502">
        <v>7.1197687499110023</v>
      </c>
      <c r="AH7" s="502">
        <v>6.9801654410892171</v>
      </c>
      <c r="AI7" s="502">
        <v>6.8432994520482513</v>
      </c>
      <c r="AJ7" s="502">
        <v>6.7091171098512268</v>
      </c>
      <c r="AK7" s="502">
        <v>6.5775657939717904</v>
      </c>
      <c r="AL7" s="502">
        <v>6.4485939156586181</v>
      </c>
      <c r="AM7" s="502">
        <v>6.3221508977045282</v>
      </c>
      <c r="AN7" s="502">
        <v>6.1691072139170702</v>
      </c>
      <c r="AO7" s="502">
        <v>0.44444444444444442</v>
      </c>
      <c r="AP7" s="502">
        <v>0.4357298474945534</v>
      </c>
      <c r="AQ7" s="502">
        <v>0.42718612499466013</v>
      </c>
      <c r="AR7" s="502">
        <v>0.41880992646535309</v>
      </c>
      <c r="AS7" s="502">
        <v>0.41059796712289515</v>
      </c>
      <c r="AT7" s="502">
        <v>0.40254702659107361</v>
      </c>
      <c r="AU7" s="502">
        <v>0.39465394763830747</v>
      </c>
      <c r="AV7" s="502">
        <v>0.38691563493951708</v>
      </c>
      <c r="AW7" s="502">
        <v>0.37932905386227167</v>
      </c>
      <c r="AX7" s="502">
        <v>0.37189122927673696</v>
      </c>
      <c r="AY7" s="502">
        <v>0.36288865964218098</v>
      </c>
      <c r="AZ7" s="1435">
        <f t="shared" si="21"/>
        <v>0.94444444444444442</v>
      </c>
      <c r="BA7" s="1435">
        <f t="shared" si="22"/>
        <v>5.555555555555558E-2</v>
      </c>
      <c r="BB7" s="1342">
        <f t="shared" si="2"/>
        <v>8</v>
      </c>
      <c r="BC7" s="1342">
        <f t="shared" si="3"/>
        <v>7.8431372549019605</v>
      </c>
      <c r="BD7" s="1342">
        <f t="shared" si="4"/>
        <v>7.6893502499038817</v>
      </c>
      <c r="BE7" s="1342">
        <f t="shared" si="5"/>
        <v>7.5385786763763551</v>
      </c>
      <c r="BF7" s="1342">
        <f t="shared" si="6"/>
        <v>7.3907634082121119</v>
      </c>
      <c r="BG7" s="1342">
        <f t="shared" si="7"/>
        <v>7.2458464786393249</v>
      </c>
      <c r="BH7" s="1342">
        <f t="shared" si="8"/>
        <v>7.1037710574895341</v>
      </c>
      <c r="BI7" s="1342">
        <f t="shared" si="9"/>
        <v>6.9644814289113075</v>
      </c>
      <c r="BJ7" s="1342">
        <f t="shared" si="10"/>
        <v>6.8279229695208894</v>
      </c>
      <c r="BK7" s="1342">
        <f t="shared" si="11"/>
        <v>6.6940421269812651</v>
      </c>
      <c r="BL7" s="1342">
        <f t="shared" si="12"/>
        <v>6.5319958735592509</v>
      </c>
      <c r="BM7" s="1343">
        <f t="shared" si="13"/>
        <v>33.333333333333336</v>
      </c>
      <c r="BN7" s="1344">
        <f t="shared" si="23"/>
        <v>34</v>
      </c>
      <c r="BO7" s="1344">
        <f t="shared" si="23"/>
        <v>34.68</v>
      </c>
      <c r="BP7" s="1344">
        <f t="shared" si="23"/>
        <v>35.373600000000003</v>
      </c>
      <c r="BQ7" s="1344">
        <f t="shared" si="23"/>
        <v>36.081072000000006</v>
      </c>
      <c r="BR7" s="1344">
        <f t="shared" si="23"/>
        <v>36.802693440000006</v>
      </c>
      <c r="BS7" s="1344">
        <f t="shared" si="15"/>
        <v>37.538747308800005</v>
      </c>
      <c r="BT7" s="1344">
        <f t="shared" si="16"/>
        <v>38.289522254976006</v>
      </c>
      <c r="BU7" s="1344">
        <f t="shared" si="17"/>
        <v>39.055312700075525</v>
      </c>
      <c r="BV7" s="1344">
        <f t="shared" si="18"/>
        <v>39.83641895407704</v>
      </c>
      <c r="BW7" s="1344">
        <f t="shared" si="19"/>
        <v>40.633147333158583</v>
      </c>
      <c r="CA7" s="1338" t="s">
        <v>1387</v>
      </c>
      <c r="CB7" s="1338">
        <f>_xlfn.XLOOKUP($CA$3,$B$4:$B$46,$J$4:$J$46)</f>
        <v>64</v>
      </c>
      <c r="CC7" s="1338" t="s">
        <v>1154</v>
      </c>
      <c r="CD7" s="1338" t="str">
        <f>"Calculated savings: "&amp;CB9&amp;" kWh saved per m2 renovated every year, meaning we need to renovate ~"&amp;TEXT(CB10,"0.00")&amp;" million m2 every year. If the average size of dwellings is 100m2, it means "&amp;TEXT(CB11,"0,000")&amp;" dwellings have to be renovated every year. To reach the "&amp;CB9&amp;" kWh savings, all EPC level E, F or G dwellings have to be renovated up to level D;"</f>
        <v>Calculated savings: 69 kWh saved per m2 renovated every year, meaning we need to renovate ~0.02 million m2 every year. If the average size of dwellings is 100m2, it means 15797,101 dwellings have to be renovated every year. To reach the 69 kWh savings, all EPC level E, F or G dwellings have to be renovated up to level D;</v>
      </c>
    </row>
    <row r="8" spans="1:82" x14ac:dyDescent="0.3">
      <c r="B8" s="1338" t="s">
        <v>736</v>
      </c>
      <c r="C8" s="1338" t="s">
        <v>737</v>
      </c>
      <c r="D8" s="1338" t="s">
        <v>1388</v>
      </c>
      <c r="E8" s="502">
        <v>0</v>
      </c>
      <c r="F8" s="502">
        <v>0</v>
      </c>
      <c r="G8" s="1231">
        <v>0</v>
      </c>
      <c r="H8" s="1339">
        <f t="shared" si="0"/>
        <v>0</v>
      </c>
      <c r="I8" s="502">
        <v>150</v>
      </c>
      <c r="J8" s="502">
        <v>34</v>
      </c>
      <c r="K8" s="502">
        <v>2</v>
      </c>
      <c r="L8" s="1398">
        <f t="shared" si="1"/>
        <v>0.2</v>
      </c>
      <c r="M8" s="502"/>
      <c r="N8" s="502"/>
      <c r="O8" s="502"/>
      <c r="P8" s="502"/>
      <c r="Q8" s="502"/>
      <c r="R8" s="502"/>
      <c r="S8" s="502"/>
      <c r="T8" s="502"/>
      <c r="U8" s="502"/>
      <c r="V8" s="502"/>
      <c r="W8" s="502"/>
      <c r="X8" s="502"/>
      <c r="Y8" s="502"/>
      <c r="Z8" s="502"/>
      <c r="AA8" s="502"/>
      <c r="AB8" s="502"/>
      <c r="AC8" s="1341">
        <f t="shared" si="20"/>
        <v>4600.3366800000003</v>
      </c>
      <c r="AD8" s="502">
        <v>6.8000000000000007</v>
      </c>
      <c r="AE8" s="502">
        <v>6.666666666666667</v>
      </c>
      <c r="AF8" s="502">
        <v>6.5359477124183005</v>
      </c>
      <c r="AG8" s="502">
        <v>6.4077918749199014</v>
      </c>
      <c r="AH8" s="502">
        <v>6.2821488969802957</v>
      </c>
      <c r="AI8" s="502">
        <v>6.1589695068434267</v>
      </c>
      <c r="AJ8" s="502">
        <v>6.0382053988661042</v>
      </c>
      <c r="AK8" s="502">
        <v>5.9198092145746113</v>
      </c>
      <c r="AL8" s="502">
        <v>5.8037345240927563</v>
      </c>
      <c r="AM8" s="502">
        <v>5.6899358079340745</v>
      </c>
      <c r="AN8" s="502">
        <v>5.5521964925253702</v>
      </c>
      <c r="AO8" s="502">
        <v>0.4</v>
      </c>
      <c r="AP8" s="502">
        <v>0.39215686274509803</v>
      </c>
      <c r="AQ8" s="502">
        <v>0.38446751249519417</v>
      </c>
      <c r="AR8" s="502">
        <v>0.37692893381881776</v>
      </c>
      <c r="AS8" s="502">
        <v>0.3695381704106056</v>
      </c>
      <c r="AT8" s="502">
        <v>0.36229232393196625</v>
      </c>
      <c r="AU8" s="502">
        <v>0.3551885528744767</v>
      </c>
      <c r="AV8" s="502">
        <v>0.34822407144556539</v>
      </c>
      <c r="AW8" s="502">
        <v>0.34139614847604449</v>
      </c>
      <c r="AX8" s="502">
        <v>0.33470210634906322</v>
      </c>
      <c r="AY8" s="502">
        <v>0.32659979367796299</v>
      </c>
      <c r="AZ8" s="1435">
        <f t="shared" si="21"/>
        <v>0.94444444444444442</v>
      </c>
      <c r="BA8" s="1435">
        <f t="shared" si="22"/>
        <v>5.555555555555558E-2</v>
      </c>
      <c r="BB8" s="1342">
        <f t="shared" si="2"/>
        <v>7.2000000000000011</v>
      </c>
      <c r="BC8" s="1342">
        <f t="shared" si="3"/>
        <v>7.0588235294117654</v>
      </c>
      <c r="BD8" s="1342">
        <f t="shared" si="4"/>
        <v>6.9204152249134943</v>
      </c>
      <c r="BE8" s="1342">
        <f t="shared" si="5"/>
        <v>6.7847208087387187</v>
      </c>
      <c r="BF8" s="1342">
        <f t="shared" si="6"/>
        <v>6.6516870673909017</v>
      </c>
      <c r="BG8" s="1342">
        <f t="shared" si="7"/>
        <v>6.5212618307753933</v>
      </c>
      <c r="BH8" s="1342">
        <f t="shared" si="8"/>
        <v>6.3933939517405811</v>
      </c>
      <c r="BI8" s="1342">
        <f t="shared" si="9"/>
        <v>6.2680332860201764</v>
      </c>
      <c r="BJ8" s="1342">
        <f t="shared" si="10"/>
        <v>6.1451306725688006</v>
      </c>
      <c r="BK8" s="1342">
        <f t="shared" si="11"/>
        <v>6.0246379142831374</v>
      </c>
      <c r="BL8" s="1342">
        <f t="shared" si="12"/>
        <v>5.8787962862033334</v>
      </c>
      <c r="BM8" s="1343">
        <f t="shared" si="13"/>
        <v>30.000000000000004</v>
      </c>
      <c r="BN8" s="1344">
        <f t="shared" si="23"/>
        <v>30.600000000000005</v>
      </c>
      <c r="BO8" s="1344">
        <f t="shared" si="23"/>
        <v>31.212000000000007</v>
      </c>
      <c r="BP8" s="1344">
        <f t="shared" si="23"/>
        <v>31.836240000000007</v>
      </c>
      <c r="BQ8" s="1344">
        <f t="shared" si="23"/>
        <v>32.472964800000007</v>
      </c>
      <c r="BR8" s="1344">
        <f t="shared" si="23"/>
        <v>33.12242409600001</v>
      </c>
      <c r="BS8" s="1344">
        <f t="shared" si="15"/>
        <v>33.784872577920012</v>
      </c>
      <c r="BT8" s="1344">
        <f t="shared" si="16"/>
        <v>34.460570029478411</v>
      </c>
      <c r="BU8" s="1344">
        <f t="shared" si="17"/>
        <v>35.149781430067982</v>
      </c>
      <c r="BV8" s="1344">
        <f t="shared" si="18"/>
        <v>35.852777058669339</v>
      </c>
      <c r="BW8" s="1344">
        <f t="shared" si="19"/>
        <v>36.569832599842726</v>
      </c>
      <c r="CB8" s="1338">
        <f>_xlfn.XLOOKUP($CA$3,$B$4:$B$46,$K$4:$K$46)</f>
        <v>5</v>
      </c>
      <c r="CC8" s="1338" t="s">
        <v>1389</v>
      </c>
      <c r="CD8" s="1345"/>
    </row>
    <row r="9" spans="1:82" x14ac:dyDescent="0.3">
      <c r="B9" s="1338" t="s">
        <v>739</v>
      </c>
      <c r="C9" s="1338" t="s">
        <v>740</v>
      </c>
      <c r="D9" s="1338" t="s">
        <v>1386</v>
      </c>
      <c r="E9" s="502">
        <v>150</v>
      </c>
      <c r="F9" s="502">
        <v>900</v>
      </c>
      <c r="G9" s="1231">
        <v>0.3</v>
      </c>
      <c r="H9" s="1339">
        <f t="shared" si="0"/>
        <v>0.28534646220336446</v>
      </c>
      <c r="I9" s="502">
        <v>450</v>
      </c>
      <c r="J9" s="502">
        <v>102</v>
      </c>
      <c r="K9" s="502">
        <v>6</v>
      </c>
      <c r="L9" s="1398">
        <f t="shared" si="1"/>
        <v>1.1111111111111112</v>
      </c>
      <c r="M9" s="502"/>
      <c r="N9" s="502"/>
      <c r="O9" s="502"/>
      <c r="P9" s="502"/>
      <c r="Q9" s="502"/>
      <c r="R9" s="502"/>
      <c r="S9" s="502"/>
      <c r="T9" s="502"/>
      <c r="U9" s="502"/>
      <c r="V9" s="502"/>
      <c r="W9" s="502"/>
      <c r="X9" s="502"/>
      <c r="Y9" s="502"/>
      <c r="Z9" s="502"/>
      <c r="AA9" s="502"/>
      <c r="AB9" s="502"/>
      <c r="AC9" s="1341">
        <f t="shared" si="20"/>
        <v>4600.3366800000003</v>
      </c>
      <c r="AD9" s="502">
        <v>113.33333333333334</v>
      </c>
      <c r="AE9" s="502">
        <v>111.11111111111113</v>
      </c>
      <c r="AF9" s="502">
        <v>108.93246187363835</v>
      </c>
      <c r="AG9" s="502">
        <v>106.79653124866505</v>
      </c>
      <c r="AH9" s="502">
        <v>104.70248161633825</v>
      </c>
      <c r="AI9" s="502">
        <v>102.64949178072378</v>
      </c>
      <c r="AJ9" s="502">
        <v>100.63675664776842</v>
      </c>
      <c r="AK9" s="502">
        <v>98.663486909576889</v>
      </c>
      <c r="AL9" s="502">
        <v>96.728908734879283</v>
      </c>
      <c r="AM9" s="502">
        <v>94.832263465567934</v>
      </c>
      <c r="AN9" s="502">
        <v>92.536608208756107</v>
      </c>
      <c r="AO9" s="502">
        <v>6.666666666666667</v>
      </c>
      <c r="AP9" s="502">
        <v>6.5359477124183023</v>
      </c>
      <c r="AQ9" s="502">
        <v>6.4077918749199023</v>
      </c>
      <c r="AR9" s="502">
        <v>6.2821488969802974</v>
      </c>
      <c r="AS9" s="502">
        <v>6.1589695068434267</v>
      </c>
      <c r="AT9" s="502">
        <v>6.0382053988661042</v>
      </c>
      <c r="AU9" s="502">
        <v>5.9198092145746131</v>
      </c>
      <c r="AV9" s="502">
        <v>5.803734524092758</v>
      </c>
      <c r="AW9" s="502">
        <v>5.6899358079340754</v>
      </c>
      <c r="AX9" s="502">
        <v>5.5783684391510544</v>
      </c>
      <c r="AY9" s="502">
        <v>5.4433298946327104</v>
      </c>
      <c r="AZ9" s="1435">
        <f t="shared" si="21"/>
        <v>0.94444444444444442</v>
      </c>
      <c r="BA9" s="1435">
        <f t="shared" si="22"/>
        <v>5.555555555555558E-2</v>
      </c>
      <c r="BB9" s="1342">
        <f t="shared" si="2"/>
        <v>120.00000000000001</v>
      </c>
      <c r="BC9" s="1342">
        <f t="shared" si="3"/>
        <v>117.64705882352943</v>
      </c>
      <c r="BD9" s="1342">
        <f t="shared" si="4"/>
        <v>115.34025374855825</v>
      </c>
      <c r="BE9" s="1342">
        <f t="shared" si="5"/>
        <v>113.07868014564535</v>
      </c>
      <c r="BF9" s="1342">
        <f t="shared" si="6"/>
        <v>110.86145112318167</v>
      </c>
      <c r="BG9" s="1342">
        <f t="shared" si="7"/>
        <v>108.68769717958989</v>
      </c>
      <c r="BH9" s="1342">
        <f t="shared" si="8"/>
        <v>106.55656586234304</v>
      </c>
      <c r="BI9" s="1342">
        <f t="shared" si="9"/>
        <v>104.46722143366965</v>
      </c>
      <c r="BJ9" s="1342">
        <f t="shared" si="10"/>
        <v>102.41884454281336</v>
      </c>
      <c r="BK9" s="1342">
        <f t="shared" si="11"/>
        <v>100.41063190471898</v>
      </c>
      <c r="BL9" s="1342">
        <f t="shared" si="12"/>
        <v>97.979938103388818</v>
      </c>
      <c r="BM9" s="1343">
        <f t="shared" si="13"/>
        <v>500.00000000000006</v>
      </c>
      <c r="BN9" s="1344">
        <f t="shared" si="23"/>
        <v>510.00000000000006</v>
      </c>
      <c r="BO9" s="1344">
        <f t="shared" si="23"/>
        <v>520.20000000000005</v>
      </c>
      <c r="BP9" s="1344">
        <f t="shared" si="23"/>
        <v>530.60400000000004</v>
      </c>
      <c r="BQ9" s="1344">
        <f t="shared" si="23"/>
        <v>541.21608000000003</v>
      </c>
      <c r="BR9" s="1344">
        <f t="shared" si="23"/>
        <v>552.0404016</v>
      </c>
      <c r="BS9" s="1344">
        <f t="shared" si="15"/>
        <v>563.08120963199997</v>
      </c>
      <c r="BT9" s="1344">
        <f t="shared" si="16"/>
        <v>574.34283382464002</v>
      </c>
      <c r="BU9" s="1344">
        <f t="shared" si="17"/>
        <v>585.82969050113286</v>
      </c>
      <c r="BV9" s="1344">
        <f t="shared" si="18"/>
        <v>597.54628431115555</v>
      </c>
      <c r="BW9" s="1344">
        <f t="shared" si="19"/>
        <v>609.49720999737872</v>
      </c>
      <c r="CB9" s="1338">
        <f>SUM(CB7:CB8)</f>
        <v>69</v>
      </c>
      <c r="CC9" s="1338" t="s">
        <v>1390</v>
      </c>
      <c r="CD9" s="1345"/>
    </row>
    <row r="10" spans="1:82" x14ac:dyDescent="0.3">
      <c r="B10" s="1338" t="s">
        <v>742</v>
      </c>
      <c r="C10" s="1338" t="s">
        <v>743</v>
      </c>
      <c r="D10" s="1338" t="s">
        <v>1384</v>
      </c>
      <c r="E10" s="502">
        <v>50</v>
      </c>
      <c r="F10" s="502">
        <f>E10/G10</f>
        <v>166.66666666666669</v>
      </c>
      <c r="G10" s="1231">
        <v>0.3</v>
      </c>
      <c r="H10" s="1339">
        <f t="shared" si="0"/>
        <v>0.15852581233520247</v>
      </c>
      <c r="I10" s="502">
        <v>450</v>
      </c>
      <c r="J10" s="502">
        <v>102</v>
      </c>
      <c r="K10" s="502">
        <v>6</v>
      </c>
      <c r="L10" s="1398">
        <f t="shared" si="1"/>
        <v>0.37037037037037041</v>
      </c>
      <c r="M10" s="502"/>
      <c r="N10" s="502"/>
      <c r="O10" s="502"/>
      <c r="P10" s="502"/>
      <c r="Q10" s="502"/>
      <c r="R10" s="502"/>
      <c r="S10" s="502"/>
      <c r="T10" s="502"/>
      <c r="U10" s="502"/>
      <c r="V10" s="502"/>
      <c r="W10" s="502"/>
      <c r="X10" s="502"/>
      <c r="Y10" s="502"/>
      <c r="Z10" s="502"/>
      <c r="AA10" s="502"/>
      <c r="AB10" s="502"/>
      <c r="AC10" s="1341">
        <f t="shared" si="20"/>
        <v>4600.3366800000003</v>
      </c>
      <c r="AD10" s="502">
        <v>37.777777777777779</v>
      </c>
      <c r="AE10" s="502">
        <v>37.037037037037045</v>
      </c>
      <c r="AF10" s="502">
        <v>36.310820624546118</v>
      </c>
      <c r="AG10" s="502">
        <v>35.598843749555016</v>
      </c>
      <c r="AH10" s="502">
        <v>34.900827205446092</v>
      </c>
      <c r="AI10" s="502">
        <v>34.216497260241262</v>
      </c>
      <c r="AJ10" s="502">
        <v>33.545585549256138</v>
      </c>
      <c r="AK10" s="502">
        <v>32.887828969858965</v>
      </c>
      <c r="AL10" s="502">
        <v>32.242969578293092</v>
      </c>
      <c r="AM10" s="502">
        <v>31.610754488522645</v>
      </c>
      <c r="AN10" s="502">
        <v>30.8455360695854</v>
      </c>
      <c r="AO10" s="502">
        <v>2.2222222222222223</v>
      </c>
      <c r="AP10" s="502">
        <v>2.1786492374727673</v>
      </c>
      <c r="AQ10" s="502">
        <v>2.1359306249733008</v>
      </c>
      <c r="AR10" s="502">
        <v>2.0940496323267657</v>
      </c>
      <c r="AS10" s="502">
        <v>2.0529898356144756</v>
      </c>
      <c r="AT10" s="502">
        <v>2.0127351329553687</v>
      </c>
      <c r="AU10" s="502">
        <v>1.9732697381915378</v>
      </c>
      <c r="AV10" s="502">
        <v>1.9345781746975861</v>
      </c>
      <c r="AW10" s="502">
        <v>1.8966452693113585</v>
      </c>
      <c r="AX10" s="502">
        <v>1.8594561463836849</v>
      </c>
      <c r="AY10" s="502">
        <v>1.8144432982109</v>
      </c>
      <c r="AZ10" s="1435">
        <f t="shared" si="21"/>
        <v>0.94444444444444442</v>
      </c>
      <c r="BA10" s="1435">
        <f t="shared" si="22"/>
        <v>5.555555555555558E-2</v>
      </c>
      <c r="BB10" s="1342">
        <f t="shared" si="2"/>
        <v>40</v>
      </c>
      <c r="BC10" s="1342">
        <f t="shared" si="3"/>
        <v>39.215686274509814</v>
      </c>
      <c r="BD10" s="1342">
        <f t="shared" si="4"/>
        <v>38.446751249519416</v>
      </c>
      <c r="BE10" s="1342">
        <f t="shared" si="5"/>
        <v>37.692893381881781</v>
      </c>
      <c r="BF10" s="1342">
        <f t="shared" si="6"/>
        <v>36.953817041060567</v>
      </c>
      <c r="BG10" s="1342">
        <f t="shared" si="7"/>
        <v>36.229232393196632</v>
      </c>
      <c r="BH10" s="1342">
        <f t="shared" si="8"/>
        <v>35.518855287447678</v>
      </c>
      <c r="BI10" s="1342">
        <f t="shared" si="9"/>
        <v>34.82240714455655</v>
      </c>
      <c r="BJ10" s="1342">
        <f t="shared" si="10"/>
        <v>34.139614847604449</v>
      </c>
      <c r="BK10" s="1342">
        <f t="shared" si="11"/>
        <v>33.47021063490633</v>
      </c>
      <c r="BL10" s="1342">
        <f t="shared" si="12"/>
        <v>32.659979367796296</v>
      </c>
      <c r="BM10" s="1343">
        <f t="shared" si="13"/>
        <v>166.66666666666669</v>
      </c>
      <c r="BN10" s="1344">
        <f t="shared" si="23"/>
        <v>170.00000000000003</v>
      </c>
      <c r="BO10" s="1344">
        <f>IF($G10=1,BN10,BN10*1.02)</f>
        <v>173.40000000000003</v>
      </c>
      <c r="BP10" s="1344">
        <f t="shared" si="23"/>
        <v>176.86800000000005</v>
      </c>
      <c r="BQ10" s="1344">
        <f t="shared" si="23"/>
        <v>180.40536000000006</v>
      </c>
      <c r="BR10" s="1344">
        <f t="shared" si="23"/>
        <v>184.01346720000006</v>
      </c>
      <c r="BS10" s="1344">
        <f t="shared" si="15"/>
        <v>187.69373654400007</v>
      </c>
      <c r="BT10" s="1344">
        <f t="shared" si="16"/>
        <v>191.44761127488007</v>
      </c>
      <c r="BU10" s="1344">
        <f t="shared" si="17"/>
        <v>195.27656350037768</v>
      </c>
      <c r="BV10" s="1344">
        <f t="shared" si="18"/>
        <v>199.18209477038522</v>
      </c>
      <c r="BW10" s="1344">
        <f t="shared" si="19"/>
        <v>203.16573666579293</v>
      </c>
      <c r="CB10" s="1346">
        <f>IFERROR(CB4/(CB9/1000000)/1000000,0)</f>
        <v>1.5797101449275364</v>
      </c>
      <c r="CC10" s="1338" t="s">
        <v>1391</v>
      </c>
      <c r="CD10" s="1345"/>
    </row>
    <row r="11" spans="1:82" x14ac:dyDescent="0.3">
      <c r="B11" s="1338" t="s">
        <v>745</v>
      </c>
      <c r="C11" s="1338" t="s">
        <v>746</v>
      </c>
      <c r="D11" s="1338" t="s">
        <v>1384</v>
      </c>
      <c r="E11" s="502">
        <v>50</v>
      </c>
      <c r="F11" s="502">
        <f>E11/G11</f>
        <v>166.66666666666669</v>
      </c>
      <c r="G11" s="1231">
        <v>0.3</v>
      </c>
      <c r="H11" s="1339">
        <f t="shared" si="0"/>
        <v>0.15852581233520247</v>
      </c>
      <c r="I11" s="502">
        <v>450</v>
      </c>
      <c r="J11" s="502">
        <v>102</v>
      </c>
      <c r="K11" s="502">
        <v>6</v>
      </c>
      <c r="L11" s="1398">
        <f t="shared" si="1"/>
        <v>0.37037037037037041</v>
      </c>
      <c r="M11" s="502"/>
      <c r="N11" s="502"/>
      <c r="O11" s="502"/>
      <c r="P11" s="502"/>
      <c r="Q11" s="502"/>
      <c r="R11" s="502"/>
      <c r="S11" s="502"/>
      <c r="T11" s="502"/>
      <c r="U11" s="502"/>
      <c r="V11" s="502"/>
      <c r="W11" s="502"/>
      <c r="X11" s="502"/>
      <c r="Y11" s="502"/>
      <c r="Z11" s="502"/>
      <c r="AA11" s="502"/>
      <c r="AB11" s="502"/>
      <c r="AC11" s="1341">
        <f t="shared" si="20"/>
        <v>4600.3366800000003</v>
      </c>
      <c r="AD11" s="502">
        <v>37.777777777777779</v>
      </c>
      <c r="AE11" s="502">
        <v>37.037037037037045</v>
      </c>
      <c r="AF11" s="502">
        <v>36.310820624546118</v>
      </c>
      <c r="AG11" s="502">
        <v>35.598843749555016</v>
      </c>
      <c r="AH11" s="502">
        <v>34.900827205446092</v>
      </c>
      <c r="AI11" s="502">
        <v>34.216497260241262</v>
      </c>
      <c r="AJ11" s="502">
        <v>33.545585549256138</v>
      </c>
      <c r="AK11" s="502">
        <v>32.887828969858965</v>
      </c>
      <c r="AL11" s="502">
        <v>32.242969578293092</v>
      </c>
      <c r="AM11" s="502">
        <v>31.610754488522645</v>
      </c>
      <c r="AN11" s="502">
        <v>30.8455360695854</v>
      </c>
      <c r="AO11" s="502">
        <v>2.2222222222222223</v>
      </c>
      <c r="AP11" s="502">
        <v>2.1786492374727673</v>
      </c>
      <c r="AQ11" s="502">
        <v>2.1359306249733008</v>
      </c>
      <c r="AR11" s="502">
        <v>2.0940496323267657</v>
      </c>
      <c r="AS11" s="502">
        <v>2.0529898356144756</v>
      </c>
      <c r="AT11" s="502">
        <v>2.0127351329553687</v>
      </c>
      <c r="AU11" s="502">
        <v>1.9732697381915378</v>
      </c>
      <c r="AV11" s="502">
        <v>1.9345781746975861</v>
      </c>
      <c r="AW11" s="502">
        <v>1.8966452693113585</v>
      </c>
      <c r="AX11" s="502">
        <v>1.8594561463836849</v>
      </c>
      <c r="AY11" s="502">
        <v>1.8144432982109</v>
      </c>
      <c r="AZ11" s="1435">
        <f t="shared" si="21"/>
        <v>0.94444444444444442</v>
      </c>
      <c r="BA11" s="1435">
        <f t="shared" si="22"/>
        <v>5.555555555555558E-2</v>
      </c>
      <c r="BB11" s="1342">
        <f t="shared" si="2"/>
        <v>40</v>
      </c>
      <c r="BC11" s="1342">
        <f t="shared" si="3"/>
        <v>39.215686274509814</v>
      </c>
      <c r="BD11" s="1342">
        <f t="shared" si="4"/>
        <v>38.446751249519416</v>
      </c>
      <c r="BE11" s="1342">
        <f t="shared" si="5"/>
        <v>37.692893381881781</v>
      </c>
      <c r="BF11" s="1342">
        <f t="shared" si="6"/>
        <v>36.953817041060567</v>
      </c>
      <c r="BG11" s="1342">
        <f t="shared" si="7"/>
        <v>36.229232393196632</v>
      </c>
      <c r="BH11" s="1342">
        <f t="shared" si="8"/>
        <v>35.518855287447678</v>
      </c>
      <c r="BI11" s="1342">
        <f t="shared" si="9"/>
        <v>34.82240714455655</v>
      </c>
      <c r="BJ11" s="1342">
        <f t="shared" si="10"/>
        <v>34.139614847604449</v>
      </c>
      <c r="BK11" s="1342">
        <f t="shared" si="11"/>
        <v>33.47021063490633</v>
      </c>
      <c r="BL11" s="1342">
        <f t="shared" si="12"/>
        <v>32.659979367796296</v>
      </c>
      <c r="BM11" s="1343">
        <f t="shared" si="13"/>
        <v>166.66666666666669</v>
      </c>
      <c r="BN11" s="1344">
        <f t="shared" si="23"/>
        <v>170.00000000000003</v>
      </c>
      <c r="BO11" s="1344">
        <f>IF($G11=1,BN11,BN11*1.02)</f>
        <v>173.40000000000003</v>
      </c>
      <c r="BP11" s="1344">
        <f t="shared" si="23"/>
        <v>176.86800000000005</v>
      </c>
      <c r="BQ11" s="1344">
        <f t="shared" si="23"/>
        <v>180.40536000000006</v>
      </c>
      <c r="BR11" s="1344">
        <f t="shared" si="23"/>
        <v>184.01346720000006</v>
      </c>
      <c r="BS11" s="1344">
        <f t="shared" si="15"/>
        <v>187.69373654400007</v>
      </c>
      <c r="BT11" s="1344">
        <f t="shared" si="16"/>
        <v>191.44761127488007</v>
      </c>
      <c r="BU11" s="1344">
        <f t="shared" si="17"/>
        <v>195.27656350037768</v>
      </c>
      <c r="BV11" s="1344">
        <f t="shared" si="18"/>
        <v>199.18209477038522</v>
      </c>
      <c r="BW11" s="1344">
        <f t="shared" si="19"/>
        <v>203.16573666579293</v>
      </c>
      <c r="CB11" s="1338">
        <f>CB10/100*1000000</f>
        <v>15797.101449275364</v>
      </c>
      <c r="CC11" s="1338" t="s">
        <v>1392</v>
      </c>
      <c r="CD11" s="1345"/>
    </row>
    <row r="12" spans="1:82" x14ac:dyDescent="0.3">
      <c r="A12" s="1338" t="s">
        <v>414</v>
      </c>
      <c r="B12" s="1338" t="s">
        <v>749</v>
      </c>
      <c r="C12" s="1338" t="s">
        <v>750</v>
      </c>
      <c r="D12" s="1338" t="s">
        <v>1378</v>
      </c>
      <c r="E12" s="502">
        <v>0</v>
      </c>
      <c r="F12" s="502">
        <v>0</v>
      </c>
      <c r="G12" s="1231">
        <v>0</v>
      </c>
      <c r="H12" s="1339">
        <f t="shared" si="0"/>
        <v>0</v>
      </c>
      <c r="I12" s="502">
        <v>100</v>
      </c>
      <c r="J12" s="502">
        <v>23</v>
      </c>
      <c r="K12" s="502">
        <v>19</v>
      </c>
      <c r="L12" s="1398">
        <f t="shared" si="1"/>
        <v>1.5263157894736843</v>
      </c>
      <c r="M12" s="502"/>
      <c r="N12" s="502"/>
      <c r="O12" s="502"/>
      <c r="P12" s="502"/>
      <c r="Q12" s="502"/>
      <c r="R12" s="502"/>
      <c r="S12" s="502"/>
      <c r="T12" s="502"/>
      <c r="U12" s="502"/>
      <c r="V12" s="502"/>
      <c r="W12" s="502"/>
      <c r="X12" s="502"/>
      <c r="Y12" s="502"/>
      <c r="Z12" s="502"/>
      <c r="AA12" s="502"/>
      <c r="AB12" s="502"/>
      <c r="AC12" s="1341">
        <f t="shared" si="20"/>
        <v>2865.5311392982462</v>
      </c>
      <c r="AD12" s="502">
        <v>27</v>
      </c>
      <c r="AE12" s="502">
        <v>27</v>
      </c>
      <c r="AF12" s="502">
        <v>27</v>
      </c>
      <c r="AG12" s="502">
        <v>27</v>
      </c>
      <c r="AH12" s="502">
        <v>27</v>
      </c>
      <c r="AI12" s="502">
        <v>27</v>
      </c>
      <c r="AJ12" s="502">
        <v>27</v>
      </c>
      <c r="AK12" s="502">
        <v>27</v>
      </c>
      <c r="AL12" s="502">
        <v>27</v>
      </c>
      <c r="AM12" s="502">
        <v>27</v>
      </c>
      <c r="AN12" s="502">
        <v>27</v>
      </c>
      <c r="AO12" s="502">
        <v>29</v>
      </c>
      <c r="AP12" s="502">
        <v>29</v>
      </c>
      <c r="AQ12" s="502">
        <v>29</v>
      </c>
      <c r="AR12" s="502">
        <v>29</v>
      </c>
      <c r="AS12" s="502">
        <v>29</v>
      </c>
      <c r="AT12" s="502">
        <v>29</v>
      </c>
      <c r="AU12" s="502">
        <v>29</v>
      </c>
      <c r="AV12" s="502">
        <v>29</v>
      </c>
      <c r="AW12" s="502">
        <v>29</v>
      </c>
      <c r="AX12" s="502">
        <v>29</v>
      </c>
      <c r="AY12" s="502">
        <v>29</v>
      </c>
      <c r="AZ12" s="1435">
        <f t="shared" si="21"/>
        <v>0.48214285714285715</v>
      </c>
      <c r="BA12" s="1435">
        <f t="shared" si="22"/>
        <v>0.51785714285714279</v>
      </c>
      <c r="BB12" s="1342">
        <f t="shared" si="2"/>
        <v>56</v>
      </c>
      <c r="BC12" s="1342">
        <f t="shared" si="3"/>
        <v>56</v>
      </c>
      <c r="BD12" s="1342">
        <f t="shared" si="4"/>
        <v>56</v>
      </c>
      <c r="BE12" s="1342">
        <f t="shared" si="5"/>
        <v>56</v>
      </c>
      <c r="BF12" s="1342">
        <f t="shared" si="6"/>
        <v>56</v>
      </c>
      <c r="BG12" s="1342">
        <f t="shared" si="7"/>
        <v>56</v>
      </c>
      <c r="BH12" s="1342">
        <f t="shared" si="8"/>
        <v>56</v>
      </c>
      <c r="BI12" s="1342">
        <f t="shared" si="9"/>
        <v>56</v>
      </c>
      <c r="BJ12" s="1342">
        <f t="shared" si="10"/>
        <v>56</v>
      </c>
      <c r="BK12" s="1342">
        <f t="shared" si="11"/>
        <v>56</v>
      </c>
      <c r="BL12" s="1342">
        <f t="shared" si="12"/>
        <v>56</v>
      </c>
      <c r="BM12" s="1347">
        <f>(I12/SUM(K12))*SUM(AO12)</f>
        <v>152.63157894736844</v>
      </c>
      <c r="BN12" s="1344">
        <f t="shared" si="23"/>
        <v>155.68421052631581</v>
      </c>
      <c r="BO12" s="1344">
        <f>IF($G12=1,BN12,BN12*1.02)</f>
        <v>158.79789473684212</v>
      </c>
      <c r="BP12" s="1344">
        <f t="shared" si="23"/>
        <v>161.97385263157898</v>
      </c>
      <c r="BQ12" s="1344">
        <f t="shared" si="23"/>
        <v>165.21332968421055</v>
      </c>
      <c r="BR12" s="1344">
        <f t="shared" si="23"/>
        <v>168.51759627789477</v>
      </c>
      <c r="BS12" s="1344">
        <f t="shared" si="15"/>
        <v>171.88794820345268</v>
      </c>
      <c r="BT12" s="1344">
        <f t="shared" si="16"/>
        <v>175.32570716752173</v>
      </c>
      <c r="BU12" s="1344">
        <f t="shared" si="17"/>
        <v>178.83222131087217</v>
      </c>
      <c r="BV12" s="1344">
        <f t="shared" si="18"/>
        <v>182.40886573708963</v>
      </c>
      <c r="BW12" s="1344">
        <f t="shared" si="19"/>
        <v>186.05704305183141</v>
      </c>
      <c r="CA12" s="1338" t="s">
        <v>1393</v>
      </c>
      <c r="CB12" s="1338">
        <f>_xlfn.XLOOKUP($CA$3,$B$4:$B$46,$I$4:$I$46)</f>
        <v>270</v>
      </c>
      <c r="CC12" s="1338" t="s">
        <v>1394</v>
      </c>
      <c r="CD12" s="1345" t="str">
        <f>"Investment cost: "&amp;CB12&amp;" EUR/m2 (incl. VAT, with 2% inflation), or EUR "&amp;TEXT(CB13,"0.0")&amp;" million per year;"</f>
        <v>Investment cost: 270 EUR/m2 (incl. VAT, with 2% inflation), or EUR 42.7 million per year;</v>
      </c>
    </row>
    <row r="13" spans="1:82" x14ac:dyDescent="0.3">
      <c r="B13" s="1338" t="s">
        <v>752</v>
      </c>
      <c r="C13" s="1338" t="s">
        <v>753</v>
      </c>
      <c r="D13" s="1338" t="s">
        <v>1395</v>
      </c>
      <c r="E13" s="502">
        <v>15</v>
      </c>
      <c r="F13" s="502">
        <v>94.621814448000009</v>
      </c>
      <c r="G13" s="1231">
        <v>1</v>
      </c>
      <c r="H13" s="1339">
        <f t="shared" si="0"/>
        <v>1</v>
      </c>
      <c r="I13" s="502">
        <v>750</v>
      </c>
      <c r="J13" s="502">
        <v>85</v>
      </c>
      <c r="K13" s="502">
        <v>5</v>
      </c>
      <c r="L13" s="1398">
        <f t="shared" si="1"/>
        <v>0.02</v>
      </c>
      <c r="M13" s="502"/>
      <c r="N13" s="502"/>
      <c r="O13" s="502"/>
      <c r="P13" s="502"/>
      <c r="Q13" s="502"/>
      <c r="R13" s="502"/>
      <c r="S13" s="502"/>
      <c r="T13" s="502"/>
      <c r="U13" s="502"/>
      <c r="V13" s="502"/>
      <c r="W13" s="502"/>
      <c r="X13" s="502"/>
      <c r="Y13" s="502"/>
      <c r="Z13" s="502"/>
      <c r="AA13" s="502"/>
      <c r="AB13" s="502"/>
      <c r="AC13" s="1341">
        <f t="shared" si="20"/>
        <v>8761.2791155555569</v>
      </c>
      <c r="AD13" s="502">
        <v>1.7</v>
      </c>
      <c r="AE13" s="502">
        <v>1.7</v>
      </c>
      <c r="AF13" s="502">
        <v>1.7</v>
      </c>
      <c r="AG13" s="502">
        <v>1.7</v>
      </c>
      <c r="AH13" s="502">
        <v>1.7</v>
      </c>
      <c r="AI13" s="502">
        <v>1.7000000000000004</v>
      </c>
      <c r="AJ13" s="502">
        <v>1.7000000000000004</v>
      </c>
      <c r="AK13" s="502">
        <v>1.7000000000000004</v>
      </c>
      <c r="AL13" s="502">
        <v>1.7000000000000004</v>
      </c>
      <c r="AM13" s="502">
        <v>1.7000000000000004</v>
      </c>
      <c r="AN13" s="502">
        <v>1.7000000000000004</v>
      </c>
      <c r="AO13" s="502">
        <v>0.1</v>
      </c>
      <c r="AP13" s="502">
        <v>0.1</v>
      </c>
      <c r="AQ13" s="502">
        <v>0.1</v>
      </c>
      <c r="AR13" s="502">
        <v>0.1</v>
      </c>
      <c r="AS13" s="502">
        <v>0.1</v>
      </c>
      <c r="AT13" s="502">
        <v>0.10000000000000002</v>
      </c>
      <c r="AU13" s="502">
        <v>0.10000000000000002</v>
      </c>
      <c r="AV13" s="502">
        <v>0.10000000000000002</v>
      </c>
      <c r="AW13" s="502">
        <v>0.10000000000000002</v>
      </c>
      <c r="AX13" s="502">
        <v>0.10000000000000002</v>
      </c>
      <c r="AY13" s="502">
        <v>0.10000000000000002</v>
      </c>
      <c r="AZ13" s="1435">
        <f t="shared" si="21"/>
        <v>0.94444444444444442</v>
      </c>
      <c r="BA13" s="1435">
        <f t="shared" si="22"/>
        <v>5.555555555555558E-2</v>
      </c>
      <c r="BB13" s="1342">
        <f t="shared" si="2"/>
        <v>1.8</v>
      </c>
      <c r="BC13" s="1342">
        <f t="shared" si="3"/>
        <v>1.8</v>
      </c>
      <c r="BD13" s="1342">
        <f t="shared" si="4"/>
        <v>1.8</v>
      </c>
      <c r="BE13" s="1342">
        <f t="shared" si="5"/>
        <v>1.8</v>
      </c>
      <c r="BF13" s="1342">
        <f t="shared" si="6"/>
        <v>1.8</v>
      </c>
      <c r="BG13" s="1342">
        <f t="shared" si="7"/>
        <v>1.8000000000000005</v>
      </c>
      <c r="BH13" s="1342">
        <f t="shared" si="8"/>
        <v>1.8000000000000005</v>
      </c>
      <c r="BI13" s="1342">
        <f t="shared" si="9"/>
        <v>1.8000000000000005</v>
      </c>
      <c r="BJ13" s="1342">
        <f t="shared" si="10"/>
        <v>1.8000000000000005</v>
      </c>
      <c r="BK13" s="1342">
        <f t="shared" si="11"/>
        <v>1.8000000000000005</v>
      </c>
      <c r="BL13" s="1342">
        <f t="shared" si="12"/>
        <v>1.8000000000000005</v>
      </c>
      <c r="BM13" s="1343">
        <f>(I13/SUM(J13))*SUM(AD13)</f>
        <v>15</v>
      </c>
      <c r="BN13" s="1348">
        <f>BM13*1.02</f>
        <v>15.3</v>
      </c>
      <c r="BO13" s="1348">
        <f>BN13*1.02</f>
        <v>15.606000000000002</v>
      </c>
      <c r="BP13" s="1348">
        <f t="shared" ref="BP13:BR13" si="24">BO13*1.02</f>
        <v>15.918120000000002</v>
      </c>
      <c r="BQ13" s="1348">
        <f t="shared" si="24"/>
        <v>16.236482400000003</v>
      </c>
      <c r="BR13" s="1348">
        <f t="shared" si="24"/>
        <v>16.561212048000005</v>
      </c>
      <c r="BS13" s="1348">
        <f t="shared" ref="BS13" si="25">BR13*1.02</f>
        <v>16.892436288960006</v>
      </c>
      <c r="BT13" s="1348">
        <f t="shared" ref="BT13" si="26">BS13*1.02</f>
        <v>17.230285014739206</v>
      </c>
      <c r="BU13" s="1348">
        <f t="shared" ref="BU13" si="27">BT13*1.02</f>
        <v>17.574890715033991</v>
      </c>
      <c r="BV13" s="1348">
        <f t="shared" ref="BV13" si="28">BU13*1.02</f>
        <v>17.92638852933467</v>
      </c>
      <c r="BW13" s="1348">
        <f t="shared" ref="BW13" si="29">BV13*1.02</f>
        <v>18.284916299921363</v>
      </c>
      <c r="CB13" s="1338">
        <f>CB12*CB10</f>
        <v>426.52173913043481</v>
      </c>
      <c r="CC13" s="1338" t="s">
        <v>1396</v>
      </c>
      <c r="CD13" s="1345"/>
    </row>
    <row r="14" spans="1:82" ht="12" customHeight="1" x14ac:dyDescent="0.3">
      <c r="B14" s="1338" t="s">
        <v>758</v>
      </c>
      <c r="C14" s="1338" t="s">
        <v>759</v>
      </c>
      <c r="D14" s="1338" t="s">
        <v>1397</v>
      </c>
      <c r="E14" s="502">
        <v>66</v>
      </c>
      <c r="F14" s="502">
        <v>416.33598357120007</v>
      </c>
      <c r="G14" s="1231">
        <v>0.6</v>
      </c>
      <c r="H14" s="1339">
        <f t="shared" si="0"/>
        <v>1</v>
      </c>
      <c r="I14" s="502">
        <v>750</v>
      </c>
      <c r="J14" s="502">
        <v>85</v>
      </c>
      <c r="K14" s="502">
        <v>5</v>
      </c>
      <c r="L14" s="1398">
        <f t="shared" si="1"/>
        <v>8.7999999999999995E-2</v>
      </c>
      <c r="M14" s="502"/>
      <c r="N14" s="502"/>
      <c r="O14" s="502"/>
      <c r="P14" s="502"/>
      <c r="Q14" s="502"/>
      <c r="R14" s="502"/>
      <c r="S14" s="502"/>
      <c r="T14" s="502"/>
      <c r="U14" s="502"/>
      <c r="V14" s="502"/>
      <c r="W14" s="502"/>
      <c r="X14" s="502"/>
      <c r="Y14" s="502"/>
      <c r="Z14" s="502"/>
      <c r="AA14" s="502"/>
      <c r="AB14" s="502"/>
      <c r="AC14" s="1341">
        <f t="shared" si="20"/>
        <v>8761.2791155555569</v>
      </c>
      <c r="AD14" s="502">
        <v>7.4799999999999995</v>
      </c>
      <c r="AE14" s="502">
        <v>7.48</v>
      </c>
      <c r="AF14" s="502">
        <v>7.48</v>
      </c>
      <c r="AG14" s="502">
        <v>7.48</v>
      </c>
      <c r="AH14" s="502">
        <v>7.48</v>
      </c>
      <c r="AI14" s="502">
        <v>7.4800000000000022</v>
      </c>
      <c r="AJ14" s="502">
        <v>7.4800000000000022</v>
      </c>
      <c r="AK14" s="502">
        <v>7.4800000000000022</v>
      </c>
      <c r="AL14" s="502">
        <v>7.4800000000000022</v>
      </c>
      <c r="AM14" s="502">
        <v>7.4800000000000022</v>
      </c>
      <c r="AN14" s="502">
        <v>7.4800000000000022</v>
      </c>
      <c r="AO14" s="502">
        <v>0.43999999999999995</v>
      </c>
      <c r="AP14" s="502">
        <v>0.44000000000000006</v>
      </c>
      <c r="AQ14" s="502">
        <v>0.44000000000000006</v>
      </c>
      <c r="AR14" s="502">
        <v>0.44000000000000006</v>
      </c>
      <c r="AS14" s="502">
        <v>0.44000000000000006</v>
      </c>
      <c r="AT14" s="502">
        <v>0.44000000000000011</v>
      </c>
      <c r="AU14" s="502">
        <v>0.44000000000000011</v>
      </c>
      <c r="AV14" s="502">
        <v>0.44000000000000011</v>
      </c>
      <c r="AW14" s="502">
        <v>0.44000000000000011</v>
      </c>
      <c r="AX14" s="502">
        <v>0.44000000000000011</v>
      </c>
      <c r="AY14" s="502">
        <v>0.44000000000000011</v>
      </c>
      <c r="AZ14" s="1435">
        <f t="shared" si="21"/>
        <v>0.94444444444444442</v>
      </c>
      <c r="BA14" s="1435">
        <f t="shared" si="22"/>
        <v>5.555555555555558E-2</v>
      </c>
      <c r="BB14" s="1342">
        <f t="shared" si="2"/>
        <v>7.92</v>
      </c>
      <c r="BC14" s="1342">
        <f t="shared" si="3"/>
        <v>7.9200000000000008</v>
      </c>
      <c r="BD14" s="1342">
        <f t="shared" si="4"/>
        <v>7.9200000000000008</v>
      </c>
      <c r="BE14" s="1342">
        <f t="shared" si="5"/>
        <v>7.9200000000000008</v>
      </c>
      <c r="BF14" s="1342">
        <f t="shared" si="6"/>
        <v>7.9200000000000008</v>
      </c>
      <c r="BG14" s="1342">
        <f t="shared" si="7"/>
        <v>7.9200000000000026</v>
      </c>
      <c r="BH14" s="1342">
        <f t="shared" si="8"/>
        <v>7.9200000000000026</v>
      </c>
      <c r="BI14" s="1342">
        <f t="shared" si="9"/>
        <v>7.9200000000000026</v>
      </c>
      <c r="BJ14" s="1342">
        <f t="shared" si="10"/>
        <v>7.9200000000000026</v>
      </c>
      <c r="BK14" s="1342">
        <f t="shared" si="11"/>
        <v>7.9200000000000026</v>
      </c>
      <c r="BL14" s="1342">
        <f t="shared" si="12"/>
        <v>7.9200000000000026</v>
      </c>
      <c r="BM14" s="1343">
        <f>(I14/SUM(J14))*SUM(AD14)</f>
        <v>66</v>
      </c>
      <c r="BN14" s="1344">
        <f t="shared" ref="BN14:BR19" si="30">IF($G14=1,BM14,BM14*1.02)</f>
        <v>67.320000000000007</v>
      </c>
      <c r="BO14" s="1344">
        <f>IF($G14=1,BN14,BN14*1.02)</f>
        <v>68.66640000000001</v>
      </c>
      <c r="BP14" s="1344">
        <f t="shared" si="30"/>
        <v>70.039728000000011</v>
      </c>
      <c r="BQ14" s="1344">
        <f t="shared" si="30"/>
        <v>71.440522560000019</v>
      </c>
      <c r="BR14" s="1344">
        <f t="shared" si="30"/>
        <v>72.869333011200027</v>
      </c>
      <c r="BS14" s="1344">
        <f t="shared" ref="BS14:BS19" si="31">IF($G14=1,BR14,BR14*1.02)</f>
        <v>74.32671967142403</v>
      </c>
      <c r="BT14" s="1344">
        <f t="shared" ref="BT14:BT19" si="32">IF($G14=1,BS14,BS14*1.02)</f>
        <v>75.813254064852515</v>
      </c>
      <c r="BU14" s="1344">
        <f t="shared" ref="BU14:BU19" si="33">IF($G14=1,BT14,BT14*1.02)</f>
        <v>77.329519146149565</v>
      </c>
      <c r="BV14" s="1344">
        <f t="shared" ref="BV14:BV19" si="34">IF($G14=1,BU14,BU14*1.02)</f>
        <v>78.876109529072551</v>
      </c>
      <c r="BW14" s="1344">
        <f t="shared" ref="BW14:BW19" si="35">IF($G14=1,BV14,BV14*1.02)</f>
        <v>80.453631719653998</v>
      </c>
      <c r="CA14" s="1338" t="s">
        <v>1398</v>
      </c>
      <c r="CB14" s="2133" t="str">
        <f>_xlfn.XLOOKUP($CA$3,$B$4:$B$46,$D$4:$D$46)</f>
        <v>Energy provider (billed to end user)</v>
      </c>
      <c r="CC14" s="2133"/>
      <c r="CD14" s="2133"/>
    </row>
    <row r="15" spans="1:82" x14ac:dyDescent="0.3">
      <c r="B15" s="1338" t="s">
        <v>763</v>
      </c>
      <c r="C15" s="1338" t="s">
        <v>764</v>
      </c>
      <c r="D15" s="1338" t="s">
        <v>1399</v>
      </c>
      <c r="E15" s="502">
        <v>100</v>
      </c>
      <c r="F15" s="502">
        <v>600</v>
      </c>
      <c r="G15" s="1231">
        <v>0.3</v>
      </c>
      <c r="H15" s="1339">
        <f t="shared" si="0"/>
        <v>1.9023097480224291</v>
      </c>
      <c r="I15" s="502">
        <v>125</v>
      </c>
      <c r="J15" s="502">
        <v>29</v>
      </c>
      <c r="K15" s="502">
        <v>25</v>
      </c>
      <c r="L15" s="1398">
        <f t="shared" si="1"/>
        <v>0.40000000000000008</v>
      </c>
      <c r="M15" s="502"/>
      <c r="N15" s="502"/>
      <c r="O15" s="502"/>
      <c r="P15" s="502"/>
      <c r="Q15" s="502"/>
      <c r="R15" s="502"/>
      <c r="S15" s="502"/>
      <c r="T15" s="502"/>
      <c r="U15" s="502"/>
      <c r="V15" s="502"/>
      <c r="W15" s="502"/>
      <c r="X15" s="502"/>
      <c r="Y15" s="502"/>
      <c r="Z15" s="502"/>
      <c r="AA15" s="502"/>
      <c r="AB15" s="502"/>
      <c r="AC15" s="1341">
        <f t="shared" si="20"/>
        <v>2555.7426000000009</v>
      </c>
      <c r="AD15" s="502">
        <v>11.600000000000001</v>
      </c>
      <c r="AE15" s="502">
        <v>11.372549019607844</v>
      </c>
      <c r="AF15" s="502">
        <v>11.149557862360629</v>
      </c>
      <c r="AG15" s="502">
        <v>10.930939080745715</v>
      </c>
      <c r="AH15" s="502">
        <v>10.716606941907564</v>
      </c>
      <c r="AI15" s="502">
        <v>10.506477394027025</v>
      </c>
      <c r="AJ15" s="502">
        <v>10.300468033359827</v>
      </c>
      <c r="AK15" s="502">
        <v>10.0984980719214</v>
      </c>
      <c r="AL15" s="502">
        <v>9.9004883058052933</v>
      </c>
      <c r="AM15" s="502">
        <v>9.7063610841228343</v>
      </c>
      <c r="AN15" s="502">
        <v>9.4713940166609305</v>
      </c>
      <c r="AO15" s="502">
        <v>10</v>
      </c>
      <c r="AP15" s="502">
        <v>9.8039215686274517</v>
      </c>
      <c r="AQ15" s="502">
        <v>9.6116878123798521</v>
      </c>
      <c r="AR15" s="502">
        <v>9.4232233454704435</v>
      </c>
      <c r="AS15" s="502">
        <v>9.2384542602651418</v>
      </c>
      <c r="AT15" s="502">
        <v>9.0573080982991598</v>
      </c>
      <c r="AU15" s="502">
        <v>8.8797138218619196</v>
      </c>
      <c r="AV15" s="502">
        <v>8.7056017861391375</v>
      </c>
      <c r="AW15" s="502">
        <v>8.5349037119011157</v>
      </c>
      <c r="AX15" s="502">
        <v>8.3675526587265825</v>
      </c>
      <c r="AY15" s="502">
        <v>8.3675526587265825</v>
      </c>
      <c r="AZ15" s="1435">
        <f t="shared" si="21"/>
        <v>0.53703703703703709</v>
      </c>
      <c r="BA15" s="1435">
        <f t="shared" si="22"/>
        <v>0.46296296296296291</v>
      </c>
      <c r="BB15" s="1342">
        <f t="shared" si="2"/>
        <v>21.6</v>
      </c>
      <c r="BC15" s="1342">
        <f t="shared" si="3"/>
        <v>21.176470588235297</v>
      </c>
      <c r="BD15" s="1342">
        <f t="shared" si="4"/>
        <v>20.761245674740479</v>
      </c>
      <c r="BE15" s="1342">
        <f t="shared" si="5"/>
        <v>20.354162426216156</v>
      </c>
      <c r="BF15" s="1342">
        <f t="shared" si="6"/>
        <v>19.955061202172708</v>
      </c>
      <c r="BG15" s="1342">
        <f t="shared" si="7"/>
        <v>19.563785492326183</v>
      </c>
      <c r="BH15" s="1342">
        <f t="shared" si="8"/>
        <v>19.180181855221747</v>
      </c>
      <c r="BI15" s="1342">
        <f t="shared" si="9"/>
        <v>18.804099858060539</v>
      </c>
      <c r="BJ15" s="1342">
        <f t="shared" si="10"/>
        <v>18.435392017706409</v>
      </c>
      <c r="BK15" s="1342">
        <f t="shared" si="11"/>
        <v>18.073913742849417</v>
      </c>
      <c r="BL15" s="1342">
        <f t="shared" si="12"/>
        <v>17.838946675387511</v>
      </c>
      <c r="BM15" s="1347">
        <f>(I15/SUM(J15,K15))*SUM(BB15)</f>
        <v>50.000000000000007</v>
      </c>
      <c r="BN15" s="1344">
        <f t="shared" si="30"/>
        <v>51.000000000000007</v>
      </c>
      <c r="BO15" s="1344">
        <f>IF($G15=1,BN15,BN15*1.02)</f>
        <v>52.02000000000001</v>
      </c>
      <c r="BP15" s="1344">
        <f t="shared" si="30"/>
        <v>53.060400000000008</v>
      </c>
      <c r="BQ15" s="1344">
        <f t="shared" si="30"/>
        <v>54.121608000000009</v>
      </c>
      <c r="BR15" s="1344">
        <f t="shared" si="30"/>
        <v>55.204040160000012</v>
      </c>
      <c r="BS15" s="1344">
        <f t="shared" si="31"/>
        <v>56.308120963200011</v>
      </c>
      <c r="BT15" s="1344">
        <f t="shared" si="32"/>
        <v>57.43428338246401</v>
      </c>
      <c r="BU15" s="1344">
        <f t="shared" si="33"/>
        <v>58.582969050113292</v>
      </c>
      <c r="BV15" s="1344">
        <f t="shared" si="34"/>
        <v>59.754628431115556</v>
      </c>
      <c r="BW15" s="1344">
        <f t="shared" si="35"/>
        <v>60.94972099973787</v>
      </c>
      <c r="CB15" s="1349">
        <f>_xlfn.XLOOKUP($CA$3,$B$4:$B$46,$G$4:$G$46)</f>
        <v>0</v>
      </c>
      <c r="CC15" s="1338" t="s">
        <v>1400</v>
      </c>
      <c r="CD15" s="1345">
        <f>CB13*0.32</f>
        <v>136.48695652173913</v>
      </c>
    </row>
    <row r="16" spans="1:82" x14ac:dyDescent="0.3">
      <c r="B16" s="1338" t="s">
        <v>769</v>
      </c>
      <c r="C16" s="1338" t="s">
        <v>770</v>
      </c>
      <c r="D16" s="1338" t="s">
        <v>1401</v>
      </c>
      <c r="E16" s="502">
        <v>0</v>
      </c>
      <c r="F16" s="502">
        <v>0</v>
      </c>
      <c r="G16" s="1231">
        <v>0</v>
      </c>
      <c r="H16" s="1339">
        <f t="shared" si="0"/>
        <v>0</v>
      </c>
      <c r="I16" s="502">
        <v>125</v>
      </c>
      <c r="J16" s="502">
        <v>29</v>
      </c>
      <c r="K16" s="502">
        <v>25</v>
      </c>
      <c r="L16" s="1398">
        <f t="shared" si="1"/>
        <v>8.0000000000000016E-2</v>
      </c>
      <c r="M16" s="502"/>
      <c r="N16" s="502"/>
      <c r="O16" s="502"/>
      <c r="P16" s="502"/>
      <c r="Q16" s="502"/>
      <c r="R16" s="502"/>
      <c r="S16" s="502"/>
      <c r="T16" s="502"/>
      <c r="U16" s="502"/>
      <c r="V16" s="502"/>
      <c r="W16" s="502"/>
      <c r="X16" s="502"/>
      <c r="Y16" s="502"/>
      <c r="Z16" s="502"/>
      <c r="AA16" s="502"/>
      <c r="AB16" s="502"/>
      <c r="AC16" s="1341">
        <f>(SUM(BM16:BR16)*1000000)/(SUM(BB16:BG16)*1000)</f>
        <v>2555.7426000000009</v>
      </c>
      <c r="AD16" s="502">
        <v>2.3199999999999998</v>
      </c>
      <c r="AE16" s="502">
        <v>2.2745098039215685</v>
      </c>
      <c r="AF16" s="502">
        <v>2.2299115724721261</v>
      </c>
      <c r="AG16" s="502">
        <v>2.1861878161491428</v>
      </c>
      <c r="AH16" s="502">
        <v>2.1433213883815125</v>
      </c>
      <c r="AI16" s="502">
        <v>2.101295478805405</v>
      </c>
      <c r="AJ16" s="502">
        <v>2.0600936066719657</v>
      </c>
      <c r="AK16" s="502">
        <v>2.0196996143842796</v>
      </c>
      <c r="AL16" s="502">
        <v>1.9800976611610586</v>
      </c>
      <c r="AM16" s="502">
        <v>1.9412722168245671</v>
      </c>
      <c r="AN16" s="502">
        <v>1.9412722168245671</v>
      </c>
      <c r="AO16" s="502">
        <v>2</v>
      </c>
      <c r="AP16" s="502">
        <v>1.9607843137254901</v>
      </c>
      <c r="AQ16" s="502">
        <v>1.9223375624759707</v>
      </c>
      <c r="AR16" s="502">
        <v>1.8846446690940888</v>
      </c>
      <c r="AS16" s="502">
        <v>1.8476908520530282</v>
      </c>
      <c r="AT16" s="502">
        <v>1.8114616196598317</v>
      </c>
      <c r="AU16" s="502">
        <v>1.7759427643723842</v>
      </c>
      <c r="AV16" s="502">
        <v>1.7411203572278273</v>
      </c>
      <c r="AW16" s="502">
        <v>1.7069807423802228</v>
      </c>
      <c r="AX16" s="502">
        <v>1.6735105317453165</v>
      </c>
      <c r="AY16" s="502">
        <v>1.6329989683898101</v>
      </c>
      <c r="AZ16" s="1435">
        <f t="shared" si="21"/>
        <v>0.53703703703703698</v>
      </c>
      <c r="BA16" s="1435">
        <f t="shared" si="22"/>
        <v>0.46296296296296302</v>
      </c>
      <c r="BB16" s="1342">
        <f t="shared" si="2"/>
        <v>4.32</v>
      </c>
      <c r="BC16" s="1342">
        <f t="shared" si="3"/>
        <v>4.2352941176470589</v>
      </c>
      <c r="BD16" s="1342">
        <f t="shared" si="4"/>
        <v>4.1522491349480966</v>
      </c>
      <c r="BE16" s="1342">
        <f t="shared" si="5"/>
        <v>4.0708324852432316</v>
      </c>
      <c r="BF16" s="1342">
        <f t="shared" si="6"/>
        <v>3.9910122404345407</v>
      </c>
      <c r="BG16" s="1342">
        <f t="shared" si="7"/>
        <v>3.9127570984652369</v>
      </c>
      <c r="BH16" s="1342">
        <f t="shared" si="8"/>
        <v>3.8360363710443499</v>
      </c>
      <c r="BI16" s="1342">
        <f t="shared" si="9"/>
        <v>3.7608199716121069</v>
      </c>
      <c r="BJ16" s="1342">
        <f t="shared" si="10"/>
        <v>3.6870784035412814</v>
      </c>
      <c r="BK16" s="1342">
        <f t="shared" si="11"/>
        <v>3.6147827485698834</v>
      </c>
      <c r="BL16" s="1342">
        <f t="shared" si="12"/>
        <v>3.5742711852143771</v>
      </c>
      <c r="BM16" s="1347">
        <f>(I16/SUM(J16,K16))*SUM(BB16)</f>
        <v>10.000000000000002</v>
      </c>
      <c r="BN16" s="1344">
        <f t="shared" si="30"/>
        <v>10.200000000000003</v>
      </c>
      <c r="BO16" s="1344">
        <f t="shared" si="30"/>
        <v>10.404000000000003</v>
      </c>
      <c r="BP16" s="1344">
        <f t="shared" si="30"/>
        <v>10.612080000000004</v>
      </c>
      <c r="BQ16" s="1344">
        <f t="shared" si="30"/>
        <v>10.824321600000005</v>
      </c>
      <c r="BR16" s="1344">
        <f t="shared" si="30"/>
        <v>11.040808032000005</v>
      </c>
      <c r="BS16" s="1344">
        <f t="shared" si="31"/>
        <v>11.261624192640005</v>
      </c>
      <c r="BT16" s="1344">
        <f t="shared" si="32"/>
        <v>11.486856676492804</v>
      </c>
      <c r="BU16" s="1344">
        <f t="shared" si="33"/>
        <v>11.71659381002266</v>
      </c>
      <c r="BV16" s="1344">
        <f t="shared" si="34"/>
        <v>11.950925686223114</v>
      </c>
      <c r="BW16" s="1344">
        <f t="shared" si="35"/>
        <v>12.189944199947575</v>
      </c>
    </row>
    <row r="17" spans="1:80" x14ac:dyDescent="0.3">
      <c r="B17" s="1338" t="s">
        <v>772</v>
      </c>
      <c r="C17" s="1338" t="s">
        <v>773</v>
      </c>
      <c r="D17" s="1338" t="s">
        <v>1402</v>
      </c>
      <c r="E17" s="502">
        <v>50</v>
      </c>
      <c r="F17" s="502">
        <f>E17/G17</f>
        <v>166.66666666666669</v>
      </c>
      <c r="G17" s="1231">
        <v>0.3</v>
      </c>
      <c r="H17" s="1339">
        <f t="shared" si="0"/>
        <v>0.15852581233520247</v>
      </c>
      <c r="I17" s="502">
        <v>125</v>
      </c>
      <c r="J17" s="502">
        <v>29</v>
      </c>
      <c r="K17" s="502">
        <v>25</v>
      </c>
      <c r="L17" s="1398">
        <f t="shared" si="1"/>
        <v>1.3333333333333335</v>
      </c>
      <c r="M17" s="502"/>
      <c r="N17" s="502"/>
      <c r="O17" s="502"/>
      <c r="P17" s="502"/>
      <c r="Q17" s="502"/>
      <c r="R17" s="502"/>
      <c r="S17" s="502"/>
      <c r="T17" s="502"/>
      <c r="U17" s="502"/>
      <c r="V17" s="502"/>
      <c r="W17" s="502"/>
      <c r="X17" s="502"/>
      <c r="Y17" s="502"/>
      <c r="Z17" s="502"/>
      <c r="AA17" s="502"/>
      <c r="AB17" s="502"/>
      <c r="AC17" s="1341">
        <f>(SUM(BM17:BR17)*1000000)/(SUM(BB17:BG17)*1000)</f>
        <v>8519.1419999999998</v>
      </c>
      <c r="AD17" s="502">
        <v>11.600000000000001</v>
      </c>
      <c r="AE17" s="502">
        <v>11.372549019607844</v>
      </c>
      <c r="AF17" s="502">
        <v>11.149557862360629</v>
      </c>
      <c r="AG17" s="502">
        <v>10.930939080745715</v>
      </c>
      <c r="AH17" s="502">
        <v>10.716606941907564</v>
      </c>
      <c r="AI17" s="502">
        <v>10.506477394027025</v>
      </c>
      <c r="AJ17" s="502">
        <v>10.300468033359827</v>
      </c>
      <c r="AK17" s="502">
        <v>10.0984980719214</v>
      </c>
      <c r="AL17" s="502">
        <v>9.9004883058052933</v>
      </c>
      <c r="AM17" s="502">
        <v>9.7063610841228343</v>
      </c>
      <c r="AN17" s="502">
        <v>9.7063610841228343</v>
      </c>
      <c r="AO17" s="502">
        <v>10</v>
      </c>
      <c r="AP17" s="502">
        <v>9.8039215686274517</v>
      </c>
      <c r="AQ17" s="502">
        <v>9.6116878123798521</v>
      </c>
      <c r="AR17" s="502">
        <v>9.4232233454704435</v>
      </c>
      <c r="AS17" s="502">
        <v>9.2384542602651418</v>
      </c>
      <c r="AT17" s="502">
        <v>9.0573080982991598</v>
      </c>
      <c r="AU17" s="502">
        <v>8.8797138218619196</v>
      </c>
      <c r="AV17" s="502">
        <v>8.7056017861391375</v>
      </c>
      <c r="AW17" s="502">
        <v>8.5349037119011157</v>
      </c>
      <c r="AX17" s="502">
        <v>8.3675526587265825</v>
      </c>
      <c r="AY17" s="502">
        <v>8.3675526587265825</v>
      </c>
      <c r="AZ17" s="1435">
        <f t="shared" si="21"/>
        <v>0.53703703703703709</v>
      </c>
      <c r="BA17" s="1435">
        <f t="shared" si="22"/>
        <v>0.46296296296296291</v>
      </c>
      <c r="BB17" s="1342">
        <f t="shared" si="2"/>
        <v>21.6</v>
      </c>
      <c r="BC17" s="1342">
        <f t="shared" si="3"/>
        <v>21.176470588235297</v>
      </c>
      <c r="BD17" s="1342">
        <f t="shared" si="4"/>
        <v>20.761245674740479</v>
      </c>
      <c r="BE17" s="1342">
        <f t="shared" si="5"/>
        <v>20.354162426216156</v>
      </c>
      <c r="BF17" s="1342">
        <f t="shared" si="6"/>
        <v>19.955061202172708</v>
      </c>
      <c r="BG17" s="1342">
        <f t="shared" si="7"/>
        <v>19.563785492326183</v>
      </c>
      <c r="BH17" s="1342">
        <f t="shared" si="8"/>
        <v>19.180181855221747</v>
      </c>
      <c r="BI17" s="1342">
        <f t="shared" si="9"/>
        <v>18.804099858060539</v>
      </c>
      <c r="BJ17" s="1342">
        <f t="shared" si="10"/>
        <v>18.435392017706409</v>
      </c>
      <c r="BK17" s="1342">
        <f t="shared" si="11"/>
        <v>18.073913742849417</v>
      </c>
      <c r="BL17" s="1342">
        <f t="shared" si="12"/>
        <v>18.073913742849417</v>
      </c>
      <c r="BM17" s="1347">
        <f>F17</f>
        <v>166.66666666666669</v>
      </c>
      <c r="BN17" s="1344">
        <f t="shared" si="30"/>
        <v>170.00000000000003</v>
      </c>
      <c r="BO17" s="1344">
        <f t="shared" si="30"/>
        <v>173.40000000000003</v>
      </c>
      <c r="BP17" s="1344">
        <f t="shared" si="30"/>
        <v>176.86800000000005</v>
      </c>
      <c r="BQ17" s="1344">
        <f t="shared" si="30"/>
        <v>180.40536000000006</v>
      </c>
      <c r="BR17" s="1344">
        <f t="shared" si="30"/>
        <v>184.01346720000006</v>
      </c>
      <c r="BS17" s="1344">
        <f t="shared" si="31"/>
        <v>187.69373654400007</v>
      </c>
      <c r="BT17" s="1344">
        <f t="shared" si="32"/>
        <v>191.44761127488007</v>
      </c>
      <c r="BU17" s="1344">
        <f t="shared" si="33"/>
        <v>195.27656350037768</v>
      </c>
      <c r="BV17" s="1344">
        <f t="shared" si="34"/>
        <v>199.18209477038522</v>
      </c>
      <c r="BW17" s="1344">
        <f t="shared" si="35"/>
        <v>203.16573666579293</v>
      </c>
      <c r="CB17" s="1338">
        <f>CB13*0.2</f>
        <v>85.304347826086968</v>
      </c>
    </row>
    <row r="18" spans="1:80" x14ac:dyDescent="0.3">
      <c r="B18" s="1338" t="s">
        <v>775</v>
      </c>
      <c r="C18" s="1338" t="s">
        <v>743</v>
      </c>
      <c r="D18" s="1338" t="s">
        <v>1402</v>
      </c>
      <c r="E18" s="502">
        <v>50</v>
      </c>
      <c r="F18" s="502">
        <f>E18/G18</f>
        <v>166.66666666666669</v>
      </c>
      <c r="G18" s="1231">
        <v>0.3</v>
      </c>
      <c r="H18" s="1339">
        <f t="shared" si="0"/>
        <v>0.15852581233520247</v>
      </c>
      <c r="I18" s="502">
        <v>125</v>
      </c>
      <c r="J18" s="502">
        <v>29</v>
      </c>
      <c r="K18" s="502">
        <v>25</v>
      </c>
      <c r="L18" s="1398">
        <f t="shared" si="1"/>
        <v>1.3333333333333335</v>
      </c>
      <c r="M18" s="502"/>
      <c r="N18" s="502"/>
      <c r="O18" s="502"/>
      <c r="P18" s="502"/>
      <c r="Q18" s="502"/>
      <c r="R18" s="502"/>
      <c r="S18" s="502"/>
      <c r="T18" s="502"/>
      <c r="U18" s="502"/>
      <c r="V18" s="502"/>
      <c r="W18" s="502"/>
      <c r="X18" s="502"/>
      <c r="Y18" s="502"/>
      <c r="Z18" s="502"/>
      <c r="AA18" s="502"/>
      <c r="AB18" s="502"/>
      <c r="AC18" s="1341">
        <f>(SUM(BM18:BR18)*1000000)/(SUM(BB18:BG18)*1000)</f>
        <v>8519.1419999999998</v>
      </c>
      <c r="AD18" s="502">
        <v>11.600000000000001</v>
      </c>
      <c r="AE18" s="502">
        <v>11.372549019607844</v>
      </c>
      <c r="AF18" s="502">
        <v>11.149557862360629</v>
      </c>
      <c r="AG18" s="502">
        <v>10.930939080745715</v>
      </c>
      <c r="AH18" s="502">
        <v>10.716606941907564</v>
      </c>
      <c r="AI18" s="502">
        <v>10.506477394027025</v>
      </c>
      <c r="AJ18" s="502">
        <v>10.300468033359827</v>
      </c>
      <c r="AK18" s="502">
        <v>10.0984980719214</v>
      </c>
      <c r="AL18" s="502">
        <v>9.9004883058052933</v>
      </c>
      <c r="AM18" s="502">
        <v>9.7063610841228343</v>
      </c>
      <c r="AN18" s="502">
        <v>9.7063610841228343</v>
      </c>
      <c r="AO18" s="502">
        <v>10</v>
      </c>
      <c r="AP18" s="502">
        <v>9.8039215686274517</v>
      </c>
      <c r="AQ18" s="502">
        <v>9.6116878123798521</v>
      </c>
      <c r="AR18" s="502">
        <v>9.4232233454704435</v>
      </c>
      <c r="AS18" s="502">
        <v>9.2384542602651418</v>
      </c>
      <c r="AT18" s="502">
        <v>9.0573080982991598</v>
      </c>
      <c r="AU18" s="502">
        <v>8.8797138218619196</v>
      </c>
      <c r="AV18" s="502">
        <v>8.7056017861391375</v>
      </c>
      <c r="AW18" s="502">
        <v>8.5349037119011157</v>
      </c>
      <c r="AX18" s="502">
        <v>8.3675526587265825</v>
      </c>
      <c r="AY18" s="502">
        <v>8.3675526587265825</v>
      </c>
      <c r="AZ18" s="1435">
        <f t="shared" si="21"/>
        <v>0.53703703703703709</v>
      </c>
      <c r="BA18" s="1435">
        <f t="shared" si="22"/>
        <v>0.46296296296296291</v>
      </c>
      <c r="BB18" s="1342">
        <f t="shared" si="2"/>
        <v>21.6</v>
      </c>
      <c r="BC18" s="1342">
        <f t="shared" si="3"/>
        <v>21.176470588235297</v>
      </c>
      <c r="BD18" s="1342">
        <f t="shared" si="4"/>
        <v>20.761245674740479</v>
      </c>
      <c r="BE18" s="1342">
        <f t="shared" si="5"/>
        <v>20.354162426216156</v>
      </c>
      <c r="BF18" s="1342">
        <f t="shared" si="6"/>
        <v>19.955061202172708</v>
      </c>
      <c r="BG18" s="1342">
        <f t="shared" si="7"/>
        <v>19.563785492326183</v>
      </c>
      <c r="BH18" s="1342">
        <f t="shared" si="8"/>
        <v>19.180181855221747</v>
      </c>
      <c r="BI18" s="1342">
        <f t="shared" si="9"/>
        <v>18.804099858060539</v>
      </c>
      <c r="BJ18" s="1342">
        <f t="shared" si="10"/>
        <v>18.435392017706409</v>
      </c>
      <c r="BK18" s="1342">
        <f t="shared" si="11"/>
        <v>18.073913742849417</v>
      </c>
      <c r="BL18" s="1342">
        <f t="shared" si="12"/>
        <v>18.073913742849417</v>
      </c>
      <c r="BM18" s="1347">
        <f>F18</f>
        <v>166.66666666666669</v>
      </c>
      <c r="BN18" s="1344">
        <f t="shared" si="30"/>
        <v>170.00000000000003</v>
      </c>
      <c r="BO18" s="1344">
        <f t="shared" si="30"/>
        <v>173.40000000000003</v>
      </c>
      <c r="BP18" s="1344">
        <f t="shared" si="30"/>
        <v>176.86800000000005</v>
      </c>
      <c r="BQ18" s="1344">
        <f t="shared" si="30"/>
        <v>180.40536000000006</v>
      </c>
      <c r="BR18" s="1344">
        <f t="shared" si="30"/>
        <v>184.01346720000006</v>
      </c>
      <c r="BS18" s="1344">
        <f t="shared" si="31"/>
        <v>187.69373654400007</v>
      </c>
      <c r="BT18" s="1344">
        <f t="shared" si="32"/>
        <v>191.44761127488007</v>
      </c>
      <c r="BU18" s="1344">
        <f t="shared" si="33"/>
        <v>195.27656350037768</v>
      </c>
      <c r="BV18" s="1344">
        <f t="shared" si="34"/>
        <v>199.18209477038522</v>
      </c>
      <c r="BW18" s="1344">
        <f t="shared" si="35"/>
        <v>203.16573666579293</v>
      </c>
      <c r="CB18" s="1350">
        <f>CB17/5.4</f>
        <v>15.797101449275363</v>
      </c>
    </row>
    <row r="19" spans="1:80" x14ac:dyDescent="0.3">
      <c r="B19" s="1338" t="s">
        <v>776</v>
      </c>
      <c r="C19" s="1338" t="s">
        <v>777</v>
      </c>
      <c r="D19" s="1338" t="s">
        <v>1402</v>
      </c>
      <c r="E19" s="502">
        <v>0</v>
      </c>
      <c r="F19" s="502">
        <v>0</v>
      </c>
      <c r="G19" s="1231">
        <v>0</v>
      </c>
      <c r="H19" s="1339">
        <f t="shared" si="0"/>
        <v>0</v>
      </c>
      <c r="I19" s="502">
        <v>125</v>
      </c>
      <c r="J19" s="502">
        <v>29</v>
      </c>
      <c r="K19" s="502">
        <v>25</v>
      </c>
      <c r="L19" s="1398">
        <f t="shared" si="1"/>
        <v>0.55925925925925923</v>
      </c>
      <c r="M19" s="502"/>
      <c r="N19" s="502"/>
      <c r="O19" s="502"/>
      <c r="P19" s="502"/>
      <c r="Q19" s="502"/>
      <c r="R19" s="502"/>
      <c r="S19" s="502"/>
      <c r="T19" s="502"/>
      <c r="U19" s="502"/>
      <c r="V19" s="502"/>
      <c r="W19" s="502"/>
      <c r="X19" s="502"/>
      <c r="Y19" s="502"/>
      <c r="Z19" s="502"/>
      <c r="AA19" s="502"/>
      <c r="AB19" s="502"/>
      <c r="AC19" s="1341">
        <f>(SUM(BM19:BR19)*1000000)/(SUM(BB19:BG19)*1000)</f>
        <v>2433.6886432098768</v>
      </c>
      <c r="AD19" s="502">
        <v>16.2</v>
      </c>
      <c r="AE19" s="502">
        <v>16.2</v>
      </c>
      <c r="AF19" s="502">
        <v>16.2</v>
      </c>
      <c r="AG19" s="502">
        <v>16.2</v>
      </c>
      <c r="AH19" s="502">
        <v>16.2</v>
      </c>
      <c r="AI19" s="502">
        <v>16.2</v>
      </c>
      <c r="AJ19" s="502">
        <v>16.2</v>
      </c>
      <c r="AK19" s="502">
        <v>16.2</v>
      </c>
      <c r="AL19" s="502">
        <v>16.2</v>
      </c>
      <c r="AM19" s="502">
        <v>16.2</v>
      </c>
      <c r="AN19" s="502">
        <v>16.2</v>
      </c>
      <c r="AO19" s="502">
        <v>14</v>
      </c>
      <c r="AP19" s="502">
        <v>14</v>
      </c>
      <c r="AQ19" s="502">
        <v>14</v>
      </c>
      <c r="AR19" s="502">
        <v>14</v>
      </c>
      <c r="AS19" s="502">
        <v>14</v>
      </c>
      <c r="AT19" s="502">
        <v>14</v>
      </c>
      <c r="AU19" s="502">
        <v>14</v>
      </c>
      <c r="AV19" s="502">
        <v>14</v>
      </c>
      <c r="AW19" s="502">
        <v>14</v>
      </c>
      <c r="AX19" s="502">
        <v>14</v>
      </c>
      <c r="AY19" s="502">
        <v>14</v>
      </c>
      <c r="AZ19" s="1435">
        <f t="shared" si="21"/>
        <v>0.53642384105960261</v>
      </c>
      <c r="BA19" s="1435">
        <f t="shared" si="22"/>
        <v>0.46357615894039739</v>
      </c>
      <c r="BB19" s="1342">
        <f t="shared" si="2"/>
        <v>30.2</v>
      </c>
      <c r="BC19" s="1342">
        <f t="shared" si="3"/>
        <v>30.2</v>
      </c>
      <c r="BD19" s="1342">
        <f t="shared" si="4"/>
        <v>30.2</v>
      </c>
      <c r="BE19" s="1342">
        <f t="shared" si="5"/>
        <v>30.2</v>
      </c>
      <c r="BF19" s="1342">
        <f t="shared" si="6"/>
        <v>30.2</v>
      </c>
      <c r="BG19" s="1342">
        <f t="shared" si="7"/>
        <v>30.2</v>
      </c>
      <c r="BH19" s="1342">
        <f t="shared" si="8"/>
        <v>30.2</v>
      </c>
      <c r="BI19" s="1342">
        <f t="shared" si="9"/>
        <v>30.2</v>
      </c>
      <c r="BJ19" s="1342">
        <f t="shared" si="10"/>
        <v>30.2</v>
      </c>
      <c r="BK19" s="1342">
        <f t="shared" si="11"/>
        <v>30.2</v>
      </c>
      <c r="BL19" s="1342">
        <f t="shared" si="12"/>
        <v>30.2</v>
      </c>
      <c r="BM19" s="1347">
        <f>(I19/SUM(J19,K19))*SUM(BB19)</f>
        <v>69.907407407407405</v>
      </c>
      <c r="BN19" s="1344">
        <f t="shared" si="30"/>
        <v>71.305555555555557</v>
      </c>
      <c r="BO19" s="1344">
        <f t="shared" si="30"/>
        <v>72.731666666666669</v>
      </c>
      <c r="BP19" s="1344">
        <f t="shared" si="30"/>
        <v>74.186300000000003</v>
      </c>
      <c r="BQ19" s="1344">
        <f t="shared" si="30"/>
        <v>75.670026000000007</v>
      </c>
      <c r="BR19" s="1344">
        <f t="shared" si="30"/>
        <v>77.183426520000012</v>
      </c>
      <c r="BS19" s="1344">
        <f t="shared" si="31"/>
        <v>78.72709505040001</v>
      </c>
      <c r="BT19" s="1344">
        <f t="shared" si="32"/>
        <v>80.301636951408014</v>
      </c>
      <c r="BU19" s="1344">
        <f t="shared" si="33"/>
        <v>81.90766969043618</v>
      </c>
      <c r="BV19" s="1344">
        <f t="shared" si="34"/>
        <v>83.545823084244901</v>
      </c>
      <c r="BW19" s="1344">
        <f t="shared" si="35"/>
        <v>85.216739545929798</v>
      </c>
    </row>
    <row r="20" spans="1:80" x14ac:dyDescent="0.3">
      <c r="A20" s="1338" t="s">
        <v>1403</v>
      </c>
      <c r="B20" s="1338" t="s">
        <v>779</v>
      </c>
      <c r="C20" s="1338" t="s">
        <v>780</v>
      </c>
      <c r="D20" s="1338" t="s">
        <v>50</v>
      </c>
      <c r="E20" s="502">
        <v>0</v>
      </c>
      <c r="F20" s="502">
        <v>0</v>
      </c>
      <c r="G20" s="1230">
        <v>0</v>
      </c>
      <c r="H20" s="1351">
        <v>0</v>
      </c>
      <c r="I20" s="1352"/>
      <c r="J20" s="1352"/>
      <c r="K20" s="1352"/>
      <c r="L20" s="1352"/>
      <c r="M20" s="1352"/>
      <c r="N20" s="1352"/>
      <c r="O20" s="1352"/>
      <c r="P20" s="1352"/>
      <c r="Q20" s="1352"/>
      <c r="R20" s="1352"/>
      <c r="S20" s="1352"/>
      <c r="T20" s="1352"/>
      <c r="U20" s="1352"/>
      <c r="V20" s="1352"/>
      <c r="W20" s="1352"/>
      <c r="X20" s="1352"/>
      <c r="Y20" s="1352"/>
      <c r="Z20" s="1352"/>
      <c r="AA20" s="1352"/>
      <c r="AB20" s="1352"/>
      <c r="AC20" s="502">
        <f>AC21</f>
        <v>406.70248239540081</v>
      </c>
      <c r="AD20" s="1352"/>
      <c r="AE20" s="1352"/>
      <c r="AF20" s="1352"/>
      <c r="AG20" s="1352"/>
      <c r="AH20" s="1352"/>
      <c r="AI20" s="1352"/>
      <c r="AJ20" s="1352"/>
      <c r="AK20" s="1352"/>
      <c r="AL20" s="1352"/>
      <c r="AM20" s="1352"/>
      <c r="AN20" s="1352"/>
      <c r="AO20" s="1352"/>
      <c r="AP20" s="1352"/>
      <c r="AQ20" s="1352"/>
      <c r="AR20" s="1352"/>
      <c r="AS20" s="1352"/>
      <c r="AT20" s="1352"/>
      <c r="AU20" s="1352"/>
      <c r="AV20" s="1352"/>
      <c r="AW20" s="1352"/>
      <c r="AX20" s="1352"/>
      <c r="AY20" s="1352"/>
      <c r="AZ20" s="1352"/>
      <c r="BA20" s="1352"/>
      <c r="BB20" s="528">
        <f>0.001*'Pathway Analysis'!K$10*0.3</f>
        <v>1.5003688449621662</v>
      </c>
      <c r="BC20" s="528">
        <f>(0.001+0.0036)*'Pathway Analysis'!L$10*0.5</f>
        <v>11.675370228547255</v>
      </c>
      <c r="BD20" s="528">
        <f>(0.001+0.0072)*'Pathway Analysis'!M$10*0.6</f>
        <v>25.349766890138813</v>
      </c>
      <c r="BE20" s="528">
        <f>(0.001+0.0108)*'Pathway Analysis'!N$10*0.7</f>
        <v>43.197136306958299</v>
      </c>
      <c r="BF20" s="528">
        <f>(0.001+0.0144)*'Pathway Analysis'!O$10*0.8</f>
        <v>65.396071439618908</v>
      </c>
      <c r="BG20" s="528">
        <f>0.019*'Pathway Analysis'!P$10*0.8</f>
        <v>81.893716734613633</v>
      </c>
      <c r="BH20" s="1005">
        <v>83.128799999999998</v>
      </c>
      <c r="BI20" s="1005">
        <v>84.375200000000007</v>
      </c>
      <c r="BJ20" s="1005">
        <v>85.636799999999994</v>
      </c>
      <c r="BK20" s="1005">
        <v>86.913600000000002</v>
      </c>
      <c r="BL20" s="1005">
        <v>88.220799999999997</v>
      </c>
      <c r="BM20" s="1353">
        <f>(BB20*$AC$20)/1000</f>
        <v>0.61020373375483328</v>
      </c>
      <c r="BN20" s="1353">
        <f t="shared" ref="BN20:BW21" si="36">(BC20*$AC$20)/1000</f>
        <v>4.7484020548355268</v>
      </c>
      <c r="BO20" s="1353">
        <f t="shared" si="36"/>
        <v>10.309813122364195</v>
      </c>
      <c r="BP20" s="1353">
        <f t="shared" si="36"/>
        <v>17.568382568412435</v>
      </c>
      <c r="BQ20" s="1353">
        <f t="shared" si="36"/>
        <v>26.596744593399979</v>
      </c>
      <c r="BR20" s="1353">
        <f t="shared" si="36"/>
        <v>33.306377888553143</v>
      </c>
      <c r="BS20" s="1353">
        <f t="shared" si="36"/>
        <v>33.808689318550798</v>
      </c>
      <c r="BT20" s="1353">
        <f t="shared" si="36"/>
        <v>34.315603292608422</v>
      </c>
      <c r="BU20" s="1353">
        <f t="shared" si="36"/>
        <v>34.828699144398456</v>
      </c>
      <c r="BV20" s="1353">
        <f t="shared" si="36"/>
        <v>35.347976873920913</v>
      </c>
      <c r="BW20" s="1353">
        <f t="shared" si="36"/>
        <v>35.879618358908175</v>
      </c>
      <c r="BX20" s="1350"/>
      <c r="BY20" s="1350"/>
      <c r="CA20" s="1354">
        <f>1.4/0.3</f>
        <v>4.666666666666667</v>
      </c>
    </row>
    <row r="21" spans="1:80" x14ac:dyDescent="0.3">
      <c r="B21" s="1338" t="s">
        <v>782</v>
      </c>
      <c r="C21" s="1338" t="s">
        <v>1404</v>
      </c>
      <c r="D21" s="1338" t="s">
        <v>1405</v>
      </c>
      <c r="E21" s="502">
        <f>F21/6</f>
        <v>3.9380000000000002</v>
      </c>
      <c r="F21" s="502">
        <v>23.628</v>
      </c>
      <c r="G21" s="1231">
        <v>0.4</v>
      </c>
      <c r="H21" s="1339">
        <v>0.4</v>
      </c>
      <c r="I21" s="1352"/>
      <c r="J21" s="1352"/>
      <c r="K21" s="1352"/>
      <c r="L21" s="1352"/>
      <c r="M21" s="1352"/>
      <c r="N21" s="1352"/>
      <c r="O21" s="1352"/>
      <c r="P21" s="1352"/>
      <c r="Q21" s="1352"/>
      <c r="R21" s="1352"/>
      <c r="S21" s="1352"/>
      <c r="T21" s="1352"/>
      <c r="U21" s="1352"/>
      <c r="V21" s="1352"/>
      <c r="W21" s="1352"/>
      <c r="X21" s="1352"/>
      <c r="Y21" s="1352"/>
      <c r="Z21" s="1352"/>
      <c r="AA21" s="1352"/>
      <c r="AB21" s="1352"/>
      <c r="AC21" s="502">
        <v>406.70248239540081</v>
      </c>
      <c r="AD21" s="1355"/>
      <c r="AE21" s="1352"/>
      <c r="AF21" s="1352"/>
      <c r="AG21" s="1352"/>
      <c r="AH21" s="1352"/>
      <c r="AI21" s="1352"/>
      <c r="AJ21" s="1352"/>
      <c r="AK21" s="1352"/>
      <c r="AL21" s="1352"/>
      <c r="AM21" s="1352"/>
      <c r="AN21" s="1352"/>
      <c r="AO21" s="1352"/>
      <c r="AP21" s="1352"/>
      <c r="AQ21" s="1352"/>
      <c r="AR21" s="1352"/>
      <c r="AS21" s="1352"/>
      <c r="AT21" s="1352"/>
      <c r="AU21" s="1352"/>
      <c r="AV21" s="1352"/>
      <c r="AW21" s="1352"/>
      <c r="AX21" s="1352"/>
      <c r="AY21" s="1352"/>
      <c r="AZ21" s="1352"/>
      <c r="BA21" s="1352"/>
      <c r="BB21" s="1005">
        <v>40.66854940885171</v>
      </c>
      <c r="BC21" s="1005">
        <v>17.432890889284074</v>
      </c>
      <c r="BD21" s="1005">
        <v>0</v>
      </c>
      <c r="BE21" s="1005">
        <v>0</v>
      </c>
      <c r="BF21" s="1005">
        <v>0</v>
      </c>
      <c r="BG21" s="1005">
        <v>0</v>
      </c>
      <c r="BH21" s="1423">
        <v>0</v>
      </c>
      <c r="BI21" s="1423">
        <v>0</v>
      </c>
      <c r="BJ21" s="1423">
        <v>0</v>
      </c>
      <c r="BK21" s="1423">
        <v>0</v>
      </c>
      <c r="BL21" s="1423">
        <v>0</v>
      </c>
      <c r="BM21" s="1353">
        <f>(BB21*$AC$20)/1000</f>
        <v>16.54</v>
      </c>
      <c r="BN21" s="1353">
        <f t="shared" si="36"/>
        <v>7.089999999999999</v>
      </c>
      <c r="BO21" s="1353">
        <f t="shared" si="36"/>
        <v>0</v>
      </c>
      <c r="BP21" s="1353">
        <f t="shared" si="36"/>
        <v>0</v>
      </c>
      <c r="BQ21" s="1353">
        <f t="shared" si="36"/>
        <v>0</v>
      </c>
      <c r="BR21" s="1353">
        <f t="shared" si="36"/>
        <v>0</v>
      </c>
      <c r="BS21" s="1353">
        <f t="shared" si="36"/>
        <v>0</v>
      </c>
      <c r="BT21" s="1353">
        <f t="shared" si="36"/>
        <v>0</v>
      </c>
      <c r="BU21" s="1353">
        <f t="shared" si="36"/>
        <v>0</v>
      </c>
      <c r="BV21" s="1353">
        <f t="shared" si="36"/>
        <v>0</v>
      </c>
      <c r="BW21" s="1353">
        <f t="shared" si="36"/>
        <v>0</v>
      </c>
      <c r="BX21" s="1350"/>
      <c r="BY21" s="1350"/>
      <c r="CA21" s="1349"/>
    </row>
    <row r="22" spans="1:80" x14ac:dyDescent="0.3">
      <c r="B22" s="1338" t="s">
        <v>786</v>
      </c>
      <c r="C22" s="1338" t="s">
        <v>1406</v>
      </c>
      <c r="D22" s="1338" t="s">
        <v>1407</v>
      </c>
      <c r="E22" s="502">
        <f>F22/6</f>
        <v>1.6666666666666667</v>
      </c>
      <c r="F22" s="502">
        <v>10</v>
      </c>
      <c r="G22" s="1231">
        <v>0.2</v>
      </c>
      <c r="H22" s="1339">
        <v>0.2</v>
      </c>
      <c r="I22" s="1352"/>
      <c r="J22" s="1352"/>
      <c r="K22" s="1352"/>
      <c r="L22" s="1352"/>
      <c r="M22" s="1352"/>
      <c r="N22" s="1352"/>
      <c r="O22" s="1352"/>
      <c r="P22" s="1352"/>
      <c r="Q22" s="1352"/>
      <c r="R22" s="1352"/>
      <c r="S22" s="1352"/>
      <c r="T22" s="1352"/>
      <c r="U22" s="1352"/>
      <c r="V22" s="1352"/>
      <c r="W22" s="1352"/>
      <c r="X22" s="1352"/>
      <c r="Y22" s="1352"/>
      <c r="Z22" s="1352"/>
      <c r="AA22" s="1352"/>
      <c r="AB22" s="1352"/>
      <c r="AC22" s="1341">
        <f>AC21</f>
        <v>406.70248239540081</v>
      </c>
      <c r="AD22" s="1352"/>
      <c r="AE22" s="1352"/>
      <c r="AF22" s="1352"/>
      <c r="AG22" s="1352"/>
      <c r="AH22" s="1352"/>
      <c r="AI22" s="1352"/>
      <c r="AJ22" s="1352"/>
      <c r="AK22" s="1352"/>
      <c r="AL22" s="1352"/>
      <c r="AM22" s="1352"/>
      <c r="AN22" s="1352"/>
      <c r="AO22" s="1352"/>
      <c r="AP22" s="1352"/>
      <c r="AQ22" s="1352"/>
      <c r="AR22" s="1352"/>
      <c r="AS22" s="1352"/>
      <c r="AT22" s="1352"/>
      <c r="AU22" s="1352"/>
      <c r="AV22" s="1352"/>
      <c r="AW22" s="1352"/>
      <c r="AX22" s="1352"/>
      <c r="AY22" s="1352"/>
      <c r="AZ22" s="1352"/>
      <c r="BA22" s="1352"/>
      <c r="BB22" s="1005">
        <v>4.0984153000000001</v>
      </c>
      <c r="BC22" s="1005">
        <v>4.0984153000000001</v>
      </c>
      <c r="BD22" s="1005">
        <v>4.0984153000000001</v>
      </c>
      <c r="BE22" s="1005">
        <v>4.0984153000000001</v>
      </c>
      <c r="BF22" s="1005">
        <v>4.0984153000000001</v>
      </c>
      <c r="BG22" s="1005">
        <v>4.0984153000000001</v>
      </c>
      <c r="BH22" s="1005">
        <v>4.0984153000000001</v>
      </c>
      <c r="BI22" s="1005">
        <v>4.0984153000000001</v>
      </c>
      <c r="BJ22" s="1005">
        <v>4.0984153000000001</v>
      </c>
      <c r="BK22" s="1005">
        <v>4.0984153000000001</v>
      </c>
      <c r="BL22" s="1005">
        <v>4.0984153000000001</v>
      </c>
      <c r="BM22" s="1353">
        <f>(BB22*$AC$22)/1000</f>
        <v>1.6668356763972914</v>
      </c>
      <c r="BN22" s="1353">
        <f t="shared" ref="BN22:BW22" si="37">(BC22*$AC$22)/1000</f>
        <v>1.6668356763972914</v>
      </c>
      <c r="BO22" s="1353">
        <f t="shared" si="37"/>
        <v>1.6668356763972914</v>
      </c>
      <c r="BP22" s="1353">
        <f t="shared" si="37"/>
        <v>1.6668356763972914</v>
      </c>
      <c r="BQ22" s="1353">
        <f t="shared" si="37"/>
        <v>1.6668356763972914</v>
      </c>
      <c r="BR22" s="1353">
        <f t="shared" si="37"/>
        <v>1.6668356763972914</v>
      </c>
      <c r="BS22" s="1353">
        <f t="shared" si="37"/>
        <v>1.6668356763972914</v>
      </c>
      <c r="BT22" s="1353">
        <f t="shared" si="37"/>
        <v>1.6668356763972914</v>
      </c>
      <c r="BU22" s="1353">
        <f t="shared" si="37"/>
        <v>1.6668356763972914</v>
      </c>
      <c r="BV22" s="1353">
        <f t="shared" si="37"/>
        <v>1.6668356763972914</v>
      </c>
      <c r="BW22" s="1353">
        <f t="shared" si="37"/>
        <v>1.6668356763972914</v>
      </c>
      <c r="BX22" s="1350"/>
      <c r="BY22" s="1350"/>
      <c r="CA22" s="1357"/>
    </row>
    <row r="23" spans="1:80" x14ac:dyDescent="0.3">
      <c r="B23" s="1338" t="s">
        <v>789</v>
      </c>
      <c r="C23" s="1338" t="s">
        <v>790</v>
      </c>
      <c r="D23" s="1338" t="s">
        <v>1408</v>
      </c>
      <c r="E23" s="502">
        <v>1.4</v>
      </c>
      <c r="F23" s="502">
        <v>8.4</v>
      </c>
      <c r="G23" s="1231">
        <v>0.4</v>
      </c>
      <c r="H23" s="1339">
        <v>0.3</v>
      </c>
      <c r="I23" s="1352"/>
      <c r="J23" s="1352"/>
      <c r="K23" s="1352"/>
      <c r="L23" s="1352"/>
      <c r="M23" s="1352"/>
      <c r="N23" s="1352"/>
      <c r="O23" s="1352"/>
      <c r="P23" s="1352"/>
      <c r="Q23" s="1352"/>
      <c r="R23" s="1352"/>
      <c r="S23" s="1352"/>
      <c r="T23" s="1352"/>
      <c r="U23" s="1352"/>
      <c r="V23" s="1352"/>
      <c r="W23" s="1352"/>
      <c r="X23" s="1352"/>
      <c r="Y23" s="1352"/>
      <c r="Z23" s="1352"/>
      <c r="AA23" s="1352"/>
      <c r="AB23" s="1352"/>
      <c r="AC23" s="1341">
        <v>406.70248239540081</v>
      </c>
      <c r="AD23" s="1352"/>
      <c r="AE23" s="1352"/>
      <c r="AF23" s="1352"/>
      <c r="AG23" s="1352"/>
      <c r="AH23" s="1352"/>
      <c r="AI23" s="1352"/>
      <c r="AJ23" s="1352"/>
      <c r="AK23" s="1352"/>
      <c r="AL23" s="1352"/>
      <c r="AM23" s="1352"/>
      <c r="AN23" s="1352"/>
      <c r="AO23" s="1352"/>
      <c r="AP23" s="1352"/>
      <c r="AQ23" s="1352"/>
      <c r="AR23" s="1352"/>
      <c r="AS23" s="1352"/>
      <c r="AT23" s="1352"/>
      <c r="AU23" s="1352"/>
      <c r="AV23" s="1352"/>
      <c r="AW23" s="1352"/>
      <c r="AX23" s="1352"/>
      <c r="AY23" s="1352"/>
      <c r="AZ23" s="1352"/>
      <c r="BA23" s="1352"/>
      <c r="BB23" s="1005">
        <v>3.4423197806766863</v>
      </c>
      <c r="BC23" s="1005">
        <v>3.4423197806766863</v>
      </c>
      <c r="BD23" s="1005">
        <v>3.4423197806766863</v>
      </c>
      <c r="BE23" s="1005">
        <v>3.4423197806766863</v>
      </c>
      <c r="BF23" s="1005">
        <v>3.4423197806766863</v>
      </c>
      <c r="BG23" s="1005">
        <v>3.4423197806766863</v>
      </c>
      <c r="BH23" s="1005">
        <v>3.4423197806766863</v>
      </c>
      <c r="BI23" s="1005">
        <v>3.4423197806766863</v>
      </c>
      <c r="BJ23" s="1005">
        <v>3.4423197806766863</v>
      </c>
      <c r="BK23" s="1005">
        <v>3.4423197806766863</v>
      </c>
      <c r="BL23" s="1005">
        <v>3.4423197806766863</v>
      </c>
      <c r="BM23" s="1353">
        <f t="shared" ref="BM23:BM26" si="38">(BB23*$AC$22)/1000</f>
        <v>1.4</v>
      </c>
      <c r="BN23" s="1353">
        <f t="shared" ref="BN23:BN26" si="39">(BC23*$AC$22)/1000</f>
        <v>1.4</v>
      </c>
      <c r="BO23" s="1353">
        <f t="shared" ref="BO23:BO26" si="40">(BD23*$AC$22)/1000</f>
        <v>1.4</v>
      </c>
      <c r="BP23" s="1353">
        <f t="shared" ref="BP23:BP26" si="41">(BE23*$AC$22)/1000</f>
        <v>1.4</v>
      </c>
      <c r="BQ23" s="1353">
        <f t="shared" ref="BQ23:BQ26" si="42">(BF23*$AC$22)/1000</f>
        <v>1.4</v>
      </c>
      <c r="BR23" s="1353">
        <f t="shared" ref="BR23:BR26" si="43">(BG23*$AC$22)/1000</f>
        <v>1.4</v>
      </c>
      <c r="BS23" s="1353">
        <f t="shared" ref="BS23:BS26" si="44">(BH23*$AC$22)/1000</f>
        <v>1.4</v>
      </c>
      <c r="BT23" s="1353">
        <f t="shared" ref="BT23:BT26" si="45">(BI23*$AC$22)/1000</f>
        <v>1.4</v>
      </c>
      <c r="BU23" s="1353">
        <f t="shared" ref="BU23:BU26" si="46">(BJ23*$AC$22)/1000</f>
        <v>1.4</v>
      </c>
      <c r="BV23" s="1353">
        <f t="shared" ref="BV23:BV26" si="47">(BK23*$AC$22)/1000</f>
        <v>1.4</v>
      </c>
      <c r="BW23" s="1353">
        <f t="shared" ref="BW23:BW26" si="48">(BL23*$AC$22)/1000</f>
        <v>1.4</v>
      </c>
      <c r="BX23" s="1350"/>
      <c r="BY23" s="1350"/>
    </row>
    <row r="24" spans="1:80" x14ac:dyDescent="0.3">
      <c r="B24" s="1338" t="s">
        <v>792</v>
      </c>
      <c r="C24" s="1338" t="s">
        <v>793</v>
      </c>
      <c r="D24" s="1338" t="s">
        <v>1408</v>
      </c>
      <c r="E24" s="502">
        <f>F24/6</f>
        <v>5.75</v>
      </c>
      <c r="F24" s="502">
        <v>34.5</v>
      </c>
      <c r="G24" s="1231">
        <v>0.4</v>
      </c>
      <c r="H24" s="1339">
        <v>0.4</v>
      </c>
      <c r="I24" s="1358"/>
      <c r="J24" s="1352"/>
      <c r="K24" s="1352"/>
      <c r="L24" s="1352"/>
      <c r="M24" s="1352"/>
      <c r="N24" s="1352"/>
      <c r="O24" s="1352"/>
      <c r="P24" s="1352"/>
      <c r="Q24" s="1352"/>
      <c r="R24" s="1352"/>
      <c r="S24" s="1352"/>
      <c r="T24" s="1352"/>
      <c r="U24" s="1352"/>
      <c r="V24" s="1352"/>
      <c r="W24" s="1352"/>
      <c r="X24" s="1352"/>
      <c r="Y24" s="1352"/>
      <c r="Z24" s="1352"/>
      <c r="AA24" s="1352"/>
      <c r="AB24" s="1352"/>
      <c r="AC24" s="1341">
        <f>AC21</f>
        <v>406.70248239540081</v>
      </c>
      <c r="AD24" s="1358"/>
      <c r="AE24" s="1359"/>
      <c r="AF24" s="1352"/>
      <c r="AG24" s="1352"/>
      <c r="AH24" s="1352"/>
      <c r="AI24" s="1352"/>
      <c r="AJ24" s="1352"/>
      <c r="AK24" s="1352"/>
      <c r="AL24" s="1352"/>
      <c r="AM24" s="1352"/>
      <c r="AN24" s="1352"/>
      <c r="AO24" s="1352"/>
      <c r="AP24" s="1352"/>
      <c r="AQ24" s="1352"/>
      <c r="AR24" s="1352"/>
      <c r="AS24" s="1358"/>
      <c r="AT24" s="1352"/>
      <c r="AU24" s="1352"/>
      <c r="AV24" s="1352"/>
      <c r="AW24" s="1352"/>
      <c r="AX24" s="1352"/>
      <c r="AY24" s="1352"/>
      <c r="AZ24" s="1352"/>
      <c r="BA24" s="1352"/>
      <c r="BB24" s="1005">
        <f t="shared" ref="BB24:BL24" si="49">$E$24/($AC$24/1000)</f>
        <v>14.138099099207819</v>
      </c>
      <c r="BC24" s="1005">
        <f>$E$24/($AC$24/1000)</f>
        <v>14.138099099207819</v>
      </c>
      <c r="BD24" s="1005">
        <f t="shared" si="49"/>
        <v>14.138099099207819</v>
      </c>
      <c r="BE24" s="1005">
        <f t="shared" si="49"/>
        <v>14.138099099207819</v>
      </c>
      <c r="BF24" s="1005">
        <f t="shared" si="49"/>
        <v>14.138099099207819</v>
      </c>
      <c r="BG24" s="1005">
        <f t="shared" si="49"/>
        <v>14.138099099207819</v>
      </c>
      <c r="BH24" s="1005">
        <f t="shared" si="49"/>
        <v>14.138099099207819</v>
      </c>
      <c r="BI24" s="1005">
        <f t="shared" si="49"/>
        <v>14.138099099207819</v>
      </c>
      <c r="BJ24" s="1005">
        <f t="shared" si="49"/>
        <v>14.138099099207819</v>
      </c>
      <c r="BK24" s="1005">
        <f t="shared" si="49"/>
        <v>14.138099099207819</v>
      </c>
      <c r="BL24" s="1005">
        <f t="shared" si="49"/>
        <v>14.138099099207819</v>
      </c>
      <c r="BM24" s="1353">
        <f t="shared" si="38"/>
        <v>5.75</v>
      </c>
      <c r="BN24" s="1353">
        <f t="shared" si="39"/>
        <v>5.75</v>
      </c>
      <c r="BO24" s="1353">
        <f t="shared" si="40"/>
        <v>5.75</v>
      </c>
      <c r="BP24" s="1353">
        <f t="shared" si="41"/>
        <v>5.75</v>
      </c>
      <c r="BQ24" s="1353">
        <f t="shared" si="42"/>
        <v>5.75</v>
      </c>
      <c r="BR24" s="1353">
        <f t="shared" si="43"/>
        <v>5.75</v>
      </c>
      <c r="BS24" s="1353">
        <f t="shared" si="44"/>
        <v>5.75</v>
      </c>
      <c r="BT24" s="1353">
        <f t="shared" si="45"/>
        <v>5.75</v>
      </c>
      <c r="BU24" s="1353">
        <f t="shared" si="46"/>
        <v>5.75</v>
      </c>
      <c r="BV24" s="1353">
        <f t="shared" si="47"/>
        <v>5.75</v>
      </c>
      <c r="BW24" s="1353">
        <f t="shared" si="48"/>
        <v>5.75</v>
      </c>
      <c r="BX24" s="1350"/>
      <c r="BY24" s="1350"/>
      <c r="CA24" s="1346"/>
    </row>
    <row r="25" spans="1:80" x14ac:dyDescent="0.3">
      <c r="B25" s="1338" t="s">
        <v>795</v>
      </c>
      <c r="C25" s="1338" t="s">
        <v>796</v>
      </c>
      <c r="D25" s="1338" t="s">
        <v>598</v>
      </c>
      <c r="E25" s="502">
        <f>F25/6</f>
        <v>0.71416666666666673</v>
      </c>
      <c r="F25" s="502">
        <v>4.2850000000000001</v>
      </c>
      <c r="G25" s="1231">
        <v>1</v>
      </c>
      <c r="H25" s="1339">
        <v>1</v>
      </c>
      <c r="I25" s="1352"/>
      <c r="J25" s="1352"/>
      <c r="K25" s="1352"/>
      <c r="L25" s="1352"/>
      <c r="M25" s="1352"/>
      <c r="N25" s="1352"/>
      <c r="O25" s="1352"/>
      <c r="P25" s="1352"/>
      <c r="Q25" s="1352"/>
      <c r="R25" s="1352"/>
      <c r="S25" s="1352"/>
      <c r="T25" s="1352"/>
      <c r="U25" s="1352"/>
      <c r="V25" s="1352"/>
      <c r="W25" s="1352"/>
      <c r="X25" s="1352"/>
      <c r="Y25" s="1352"/>
      <c r="Z25" s="1352"/>
      <c r="AA25" s="1352"/>
      <c r="AB25" s="1352"/>
      <c r="AC25" s="1341">
        <v>687.76</v>
      </c>
      <c r="AD25" s="1358"/>
      <c r="AE25" s="1359"/>
      <c r="AF25" s="1352"/>
      <c r="AG25" s="1352"/>
      <c r="AH25" s="1352"/>
      <c r="AI25" s="1352"/>
      <c r="AJ25" s="1352"/>
      <c r="AK25" s="1352"/>
      <c r="AL25" s="1352"/>
      <c r="AM25" s="1352"/>
      <c r="AN25" s="1352"/>
      <c r="AO25" s="1352"/>
      <c r="AP25" s="1352"/>
      <c r="AQ25" s="1352"/>
      <c r="AR25" s="1352"/>
      <c r="AS25" s="1352"/>
      <c r="AT25" s="1352"/>
      <c r="AU25" s="1352"/>
      <c r="AV25" s="1352"/>
      <c r="AW25" s="1352"/>
      <c r="AX25" s="1352"/>
      <c r="AY25" s="1352"/>
      <c r="AZ25" s="1352"/>
      <c r="BA25" s="1352"/>
      <c r="BB25" s="1005">
        <f t="shared" ref="BB25:BL25" si="50">$E$25/($AC$25/1000)</f>
        <v>1.0383951766119965</v>
      </c>
      <c r="BC25" s="1005">
        <f t="shared" si="50"/>
        <v>1.0383951766119965</v>
      </c>
      <c r="BD25" s="1005">
        <f t="shared" si="50"/>
        <v>1.0383951766119965</v>
      </c>
      <c r="BE25" s="1005">
        <f t="shared" si="50"/>
        <v>1.0383951766119965</v>
      </c>
      <c r="BF25" s="1005">
        <f t="shared" si="50"/>
        <v>1.0383951766119965</v>
      </c>
      <c r="BG25" s="1005">
        <f t="shared" si="50"/>
        <v>1.0383951766119965</v>
      </c>
      <c r="BH25" s="1005">
        <f t="shared" si="50"/>
        <v>1.0383951766119965</v>
      </c>
      <c r="BI25" s="1005">
        <f t="shared" si="50"/>
        <v>1.0383951766119965</v>
      </c>
      <c r="BJ25" s="1005">
        <f t="shared" si="50"/>
        <v>1.0383951766119965</v>
      </c>
      <c r="BK25" s="1005">
        <f t="shared" si="50"/>
        <v>1.0383951766119965</v>
      </c>
      <c r="BL25" s="1005">
        <f t="shared" si="50"/>
        <v>1.0383951766119965</v>
      </c>
      <c r="BM25" s="1353">
        <f t="shared" si="38"/>
        <v>0.42231789603550962</v>
      </c>
      <c r="BN25" s="1353">
        <f t="shared" si="39"/>
        <v>0.42231789603550962</v>
      </c>
      <c r="BO25" s="1353">
        <f t="shared" si="40"/>
        <v>0.42231789603550962</v>
      </c>
      <c r="BP25" s="1353">
        <f t="shared" si="41"/>
        <v>0.42231789603550962</v>
      </c>
      <c r="BQ25" s="1353">
        <f t="shared" si="42"/>
        <v>0.42231789603550962</v>
      </c>
      <c r="BR25" s="1353">
        <f t="shared" si="43"/>
        <v>0.42231789603550962</v>
      </c>
      <c r="BS25" s="1353">
        <f t="shared" si="44"/>
        <v>0.42231789603550962</v>
      </c>
      <c r="BT25" s="1353">
        <f t="shared" si="45"/>
        <v>0.42231789603550962</v>
      </c>
      <c r="BU25" s="1353">
        <f t="shared" si="46"/>
        <v>0.42231789603550962</v>
      </c>
      <c r="BV25" s="1353">
        <f t="shared" si="47"/>
        <v>0.42231789603550962</v>
      </c>
      <c r="BW25" s="1353">
        <f t="shared" si="48"/>
        <v>0.42231789603550962</v>
      </c>
      <c r="BX25" s="1350"/>
      <c r="BY25" s="1350"/>
      <c r="CA25" s="1346"/>
    </row>
    <row r="26" spans="1:80" x14ac:dyDescent="0.3">
      <c r="B26" s="1338" t="s">
        <v>861</v>
      </c>
      <c r="C26" s="1338" t="s">
        <v>862</v>
      </c>
      <c r="D26" s="1338" t="s">
        <v>1408</v>
      </c>
      <c r="E26" s="502">
        <f>F26/6</f>
        <v>0.90666666666666673</v>
      </c>
      <c r="F26" s="502">
        <v>5.44</v>
      </c>
      <c r="G26" s="1231">
        <v>0.4</v>
      </c>
      <c r="H26" s="1339">
        <v>0.4</v>
      </c>
      <c r="I26" s="1352"/>
      <c r="J26" s="1352"/>
      <c r="K26" s="1352"/>
      <c r="L26" s="1352"/>
      <c r="M26" s="1352"/>
      <c r="N26" s="1352"/>
      <c r="O26" s="1352"/>
      <c r="P26" s="1352"/>
      <c r="Q26" s="1352"/>
      <c r="R26" s="1352"/>
      <c r="S26" s="1352"/>
      <c r="T26" s="1352"/>
      <c r="U26" s="1352"/>
      <c r="V26" s="1352"/>
      <c r="W26" s="1352"/>
      <c r="X26" s="1352"/>
      <c r="Y26" s="1352"/>
      <c r="Z26" s="1352"/>
      <c r="AA26" s="1352"/>
      <c r="AB26" s="1352"/>
      <c r="AC26" s="1341">
        <f>(SUM(BM26:BR26)*1000000)/(SUM(BB26:BG26)*1000)</f>
        <v>406.70248239540086</v>
      </c>
      <c r="AD26" s="1358"/>
      <c r="AE26" s="1359"/>
      <c r="AF26" s="1352"/>
      <c r="AG26" s="1352"/>
      <c r="AH26" s="1352"/>
      <c r="AI26" s="1352"/>
      <c r="AJ26" s="1352"/>
      <c r="AK26" s="1352"/>
      <c r="AL26" s="1352"/>
      <c r="AM26" s="1352"/>
      <c r="AN26" s="1352"/>
      <c r="AO26" s="1352"/>
      <c r="AP26" s="1352"/>
      <c r="AQ26" s="1352"/>
      <c r="AR26" s="1352"/>
      <c r="AS26" s="1352"/>
      <c r="AT26" s="1352"/>
      <c r="AU26" s="1352"/>
      <c r="AV26" s="1352"/>
      <c r="AW26" s="1352"/>
      <c r="AX26" s="1352"/>
      <c r="AY26" s="1352"/>
      <c r="AZ26" s="1352"/>
      <c r="BA26" s="1352"/>
      <c r="BB26" s="1005">
        <v>0</v>
      </c>
      <c r="BC26" s="1005">
        <v>0</v>
      </c>
      <c r="BD26" s="1005">
        <v>6.8000000000000007</v>
      </c>
      <c r="BE26" s="1005">
        <v>6.8000000000000007</v>
      </c>
      <c r="BF26" s="1005">
        <v>6.8000000000000007</v>
      </c>
      <c r="BG26" s="1005">
        <v>6.8000000000000007</v>
      </c>
      <c r="BH26" s="1005">
        <v>0</v>
      </c>
      <c r="BI26" s="1005">
        <v>0</v>
      </c>
      <c r="BJ26" s="1005">
        <v>0</v>
      </c>
      <c r="BK26" s="1005">
        <v>0</v>
      </c>
      <c r="BL26" s="1005">
        <v>0</v>
      </c>
      <c r="BM26" s="1353">
        <f t="shared" si="38"/>
        <v>0</v>
      </c>
      <c r="BN26" s="1353">
        <f t="shared" si="39"/>
        <v>0</v>
      </c>
      <c r="BO26" s="1353">
        <f t="shared" si="40"/>
        <v>2.7655768802887262</v>
      </c>
      <c r="BP26" s="1353">
        <f t="shared" si="41"/>
        <v>2.7655768802887262</v>
      </c>
      <c r="BQ26" s="1353">
        <f t="shared" si="42"/>
        <v>2.7655768802887262</v>
      </c>
      <c r="BR26" s="1353">
        <f t="shared" si="43"/>
        <v>2.7655768802887262</v>
      </c>
      <c r="BS26" s="1353">
        <f t="shared" si="44"/>
        <v>0</v>
      </c>
      <c r="BT26" s="1353">
        <f t="shared" si="45"/>
        <v>0</v>
      </c>
      <c r="BU26" s="1353">
        <f t="shared" si="46"/>
        <v>0</v>
      </c>
      <c r="BV26" s="1353">
        <f t="shared" si="47"/>
        <v>0</v>
      </c>
      <c r="BW26" s="1353">
        <f t="shared" si="48"/>
        <v>0</v>
      </c>
      <c r="BX26" s="1350"/>
      <c r="BY26" s="1350"/>
    </row>
    <row r="27" spans="1:80" x14ac:dyDescent="0.3">
      <c r="A27" s="1338" t="s">
        <v>53</v>
      </c>
      <c r="B27" s="1338" t="s">
        <v>799</v>
      </c>
      <c r="C27" s="1338" t="s">
        <v>800</v>
      </c>
      <c r="D27" s="1338" t="s">
        <v>598</v>
      </c>
      <c r="E27" s="502">
        <v>87.502499999999998</v>
      </c>
      <c r="F27" s="502">
        <v>551.97635458240791</v>
      </c>
      <c r="G27" s="1231">
        <v>1</v>
      </c>
      <c r="H27" s="1339">
        <f t="shared" ref="H27:H34" si="51">F27/SUM(BM27:BR27)</f>
        <v>1</v>
      </c>
      <c r="I27" s="1352"/>
      <c r="J27" s="1352"/>
      <c r="K27" s="1352"/>
      <c r="L27" s="1352"/>
      <c r="M27" s="502">
        <v>771717</v>
      </c>
      <c r="N27" s="502">
        <v>1.5118236348298664E-2</v>
      </c>
      <c r="O27" s="502" t="s">
        <v>1409</v>
      </c>
      <c r="P27" s="502">
        <v>0.33</v>
      </c>
      <c r="Q27" s="502" t="s">
        <v>1409</v>
      </c>
      <c r="R27" s="502">
        <v>11099.70068708024</v>
      </c>
      <c r="S27" s="502" t="s">
        <v>1409</v>
      </c>
      <c r="T27" s="502" t="s">
        <v>1409</v>
      </c>
      <c r="U27" s="502">
        <v>0.25</v>
      </c>
      <c r="V27" s="502" t="s">
        <v>1409</v>
      </c>
      <c r="W27" s="502" t="s">
        <v>1409</v>
      </c>
      <c r="X27" s="502" t="s">
        <v>1409</v>
      </c>
      <c r="Y27" s="502" t="s">
        <v>1409</v>
      </c>
      <c r="Z27" s="502" t="s">
        <v>1409</v>
      </c>
      <c r="AA27" s="502" t="s">
        <v>1409</v>
      </c>
      <c r="AB27" s="502">
        <v>30000</v>
      </c>
      <c r="AC27" s="1341">
        <f t="shared" ref="AC27:AC46" si="52">(SUM(BM27:BR27)*1000000)/(SUM(BB27:BG27)*1000)</f>
        <v>6645.120744485801</v>
      </c>
      <c r="AD27" s="1352"/>
      <c r="AE27" s="1352"/>
      <c r="AF27" s="1352"/>
      <c r="AG27" s="1352"/>
      <c r="AH27" s="1352"/>
      <c r="AI27" s="1352"/>
      <c r="AJ27" s="1352"/>
      <c r="AK27" s="1352"/>
      <c r="AL27" s="1352"/>
      <c r="AM27" s="1352"/>
      <c r="AN27" s="1352"/>
      <c r="AO27" s="1352"/>
      <c r="AP27" s="1352"/>
      <c r="AQ27" s="1352"/>
      <c r="AR27" s="1352"/>
      <c r="AS27" s="1352"/>
      <c r="AT27" s="1352"/>
      <c r="AU27" s="1352"/>
      <c r="AV27" s="1352"/>
      <c r="AW27" s="1352"/>
      <c r="AX27" s="1352"/>
      <c r="AY27" s="1352"/>
      <c r="AZ27" s="1352"/>
      <c r="BA27" s="1352"/>
      <c r="BB27" s="1348">
        <f>$U27*$P27*$R27*$N27</f>
        <v>13.844151616568801</v>
      </c>
      <c r="BC27" s="1348">
        <f>$U27*$P27*$R27*$N27</f>
        <v>13.844151616568801</v>
      </c>
      <c r="BD27" s="1348">
        <f t="shared" ref="BD27:BF27" si="53">$U27*$P27*$R27*$N27</f>
        <v>13.844151616568801</v>
      </c>
      <c r="BE27" s="1348">
        <f t="shared" si="53"/>
        <v>13.844151616568801</v>
      </c>
      <c r="BF27" s="1348">
        <f t="shared" si="53"/>
        <v>13.844151616568801</v>
      </c>
      <c r="BG27" s="1348">
        <f>$U27*$P27*$R27*$N27</f>
        <v>13.844151616568801</v>
      </c>
      <c r="BH27" s="1348">
        <f t="shared" ref="BH27:BL27" si="54">$U27*$P27*$R27*$N27</f>
        <v>13.844151616568801</v>
      </c>
      <c r="BI27" s="1348">
        <f t="shared" si="54"/>
        <v>13.844151616568801</v>
      </c>
      <c r="BJ27" s="1348">
        <f t="shared" si="54"/>
        <v>13.844151616568801</v>
      </c>
      <c r="BK27" s="1348">
        <f t="shared" si="54"/>
        <v>13.844151616568801</v>
      </c>
      <c r="BL27" s="1348">
        <f t="shared" si="54"/>
        <v>13.844151616568801</v>
      </c>
      <c r="BM27" s="1344">
        <f>AB27*M27*N27*U27/1000000</f>
        <v>87.502499999999998</v>
      </c>
      <c r="BN27" s="1344">
        <f>BM27*1.02</f>
        <v>89.252549999999999</v>
      </c>
      <c r="BO27" s="1344">
        <f t="shared" ref="BO27:BR27" si="55">BN27*1.02</f>
        <v>91.037600999999995</v>
      </c>
      <c r="BP27" s="1344">
        <f t="shared" si="55"/>
        <v>92.858353019999996</v>
      </c>
      <c r="BQ27" s="1344">
        <f t="shared" si="55"/>
        <v>94.715520080399997</v>
      </c>
      <c r="BR27" s="1344">
        <f t="shared" si="55"/>
        <v>96.609830482007993</v>
      </c>
      <c r="BS27" s="1344">
        <f t="shared" ref="BS27" si="56">BR27*1.02</f>
        <v>98.542027091648151</v>
      </c>
      <c r="BT27" s="1344">
        <f t="shared" ref="BT27" si="57">BS27*1.02</f>
        <v>100.51286763348112</v>
      </c>
      <c r="BU27" s="1344">
        <f t="shared" ref="BU27" si="58">BT27*1.02</f>
        <v>102.52312498615075</v>
      </c>
      <c r="BV27" s="1344">
        <f t="shared" ref="BV27" si="59">BU27*1.02</f>
        <v>104.57358748587376</v>
      </c>
      <c r="BW27" s="1344">
        <f t="shared" ref="BW27" si="60">BV27*1.02</f>
        <v>106.66505923559123</v>
      </c>
    </row>
    <row r="28" spans="1:80" x14ac:dyDescent="0.3">
      <c r="B28" s="1338" t="s">
        <v>803</v>
      </c>
      <c r="C28" s="1338" t="s">
        <v>804</v>
      </c>
      <c r="D28" s="1338" t="s">
        <v>598</v>
      </c>
      <c r="E28" s="502">
        <v>0.38585849999999999</v>
      </c>
      <c r="F28" s="502">
        <v>2.3151509999999997</v>
      </c>
      <c r="G28" s="1231">
        <v>1</v>
      </c>
      <c r="H28" s="1339">
        <f t="shared" si="51"/>
        <v>1</v>
      </c>
      <c r="I28" s="1352"/>
      <c r="J28" s="1352"/>
      <c r="K28" s="1352"/>
      <c r="L28" s="1352"/>
      <c r="M28" s="502">
        <v>771717</v>
      </c>
      <c r="N28" s="502">
        <v>0.23</v>
      </c>
      <c r="O28" s="502">
        <v>5.0000000000000001E-3</v>
      </c>
      <c r="P28" s="502">
        <v>1</v>
      </c>
      <c r="Q28" s="502">
        <v>0.42036195213997768</v>
      </c>
      <c r="R28" s="502">
        <v>11099.70068708024</v>
      </c>
      <c r="S28" s="502" t="s">
        <v>1409</v>
      </c>
      <c r="T28" s="502" t="s">
        <v>1409</v>
      </c>
      <c r="U28" s="502" t="s">
        <v>1409</v>
      </c>
      <c r="V28" s="502" t="s">
        <v>1409</v>
      </c>
      <c r="W28" s="502" t="s">
        <v>1409</v>
      </c>
      <c r="X28" s="502" t="s">
        <v>1409</v>
      </c>
      <c r="Y28" s="502" t="s">
        <v>1409</v>
      </c>
      <c r="Z28" s="502" t="s">
        <v>1409</v>
      </c>
      <c r="AA28" s="502" t="s">
        <v>1409</v>
      </c>
      <c r="AB28" s="502" t="s">
        <v>1409</v>
      </c>
      <c r="AC28" s="1341">
        <f t="shared" si="52"/>
        <v>66.158155823261652</v>
      </c>
      <c r="AD28" s="1352"/>
      <c r="AE28" s="1352"/>
      <c r="AF28" s="1352"/>
      <c r="AG28" s="1352"/>
      <c r="AH28" s="1352"/>
      <c r="AI28" s="1352"/>
      <c r="AJ28" s="1352"/>
      <c r="AK28" s="1352"/>
      <c r="AL28" s="1352"/>
      <c r="AM28" s="1352"/>
      <c r="AN28" s="1352"/>
      <c r="AO28" s="1352"/>
      <c r="AP28" s="1352"/>
      <c r="AQ28" s="1352"/>
      <c r="AR28" s="1352"/>
      <c r="AS28" s="1352"/>
      <c r="AT28" s="1352"/>
      <c r="AU28" s="1352"/>
      <c r="AV28" s="1352"/>
      <c r="AW28" s="1352"/>
      <c r="AX28" s="1352"/>
      <c r="AY28" s="1352"/>
      <c r="AZ28" s="1352"/>
      <c r="BA28" s="1352"/>
      <c r="BB28" s="1344">
        <f>$Q28*$P28*$R28*$O28</f>
        <v>23.329459244952506</v>
      </c>
      <c r="BC28" s="1344">
        <f>$BB28*0.1</f>
        <v>2.3329459244952506</v>
      </c>
      <c r="BD28" s="1344">
        <f t="shared" ref="BD28:BL28" si="61">$BB28*0.1</f>
        <v>2.3329459244952506</v>
      </c>
      <c r="BE28" s="1344">
        <f t="shared" si="61"/>
        <v>2.3329459244952506</v>
      </c>
      <c r="BF28" s="1344">
        <f t="shared" si="61"/>
        <v>2.3329459244952506</v>
      </c>
      <c r="BG28" s="1344">
        <f t="shared" si="61"/>
        <v>2.3329459244952506</v>
      </c>
      <c r="BH28" s="1344">
        <f t="shared" si="61"/>
        <v>2.3329459244952506</v>
      </c>
      <c r="BI28" s="1344">
        <f t="shared" si="61"/>
        <v>2.3329459244952506</v>
      </c>
      <c r="BJ28" s="1344">
        <f t="shared" si="61"/>
        <v>2.3329459244952506</v>
      </c>
      <c r="BK28" s="1344">
        <f t="shared" si="61"/>
        <v>2.3329459244952506</v>
      </c>
      <c r="BL28" s="1344">
        <f t="shared" si="61"/>
        <v>2.3329459244952506</v>
      </c>
      <c r="BM28" s="1353">
        <f>($M28*$O28)*100/1000000</f>
        <v>0.38585849999999999</v>
      </c>
      <c r="BN28" s="1353">
        <f>($M28*$O28)*100/1000000</f>
        <v>0.38585849999999999</v>
      </c>
      <c r="BO28" s="1353">
        <f t="shared" ref="BO28:BW28" si="62">($M28*$O28)*100/1000000</f>
        <v>0.38585849999999999</v>
      </c>
      <c r="BP28" s="1353">
        <f t="shared" si="62"/>
        <v>0.38585849999999999</v>
      </c>
      <c r="BQ28" s="1353">
        <f t="shared" si="62"/>
        <v>0.38585849999999999</v>
      </c>
      <c r="BR28" s="1353">
        <f t="shared" si="62"/>
        <v>0.38585849999999999</v>
      </c>
      <c r="BS28" s="1353">
        <f t="shared" si="62"/>
        <v>0.38585849999999999</v>
      </c>
      <c r="BT28" s="1353">
        <f t="shared" si="62"/>
        <v>0.38585849999999999</v>
      </c>
      <c r="BU28" s="1353">
        <f t="shared" si="62"/>
        <v>0.38585849999999999</v>
      </c>
      <c r="BV28" s="1353">
        <f t="shared" si="62"/>
        <v>0.38585849999999999</v>
      </c>
      <c r="BW28" s="1353">
        <f t="shared" si="62"/>
        <v>0.38585849999999999</v>
      </c>
    </row>
    <row r="29" spans="1:80" x14ac:dyDescent="0.3">
      <c r="B29" s="1338" t="s">
        <v>805</v>
      </c>
      <c r="C29" s="1338" t="s">
        <v>806</v>
      </c>
      <c r="D29" s="1338" t="s">
        <v>598</v>
      </c>
      <c r="E29" s="502">
        <v>16</v>
      </c>
      <c r="F29" s="502">
        <v>96</v>
      </c>
      <c r="G29" s="1231">
        <v>0.8</v>
      </c>
      <c r="H29" s="1339">
        <f t="shared" si="51"/>
        <v>0.8</v>
      </c>
      <c r="I29" s="1352"/>
      <c r="J29" s="1352"/>
      <c r="K29" s="1352"/>
      <c r="L29" s="1352"/>
      <c r="M29" s="502">
        <v>771717</v>
      </c>
      <c r="N29" s="502">
        <v>0.42036195213997768</v>
      </c>
      <c r="O29" s="502">
        <v>5.0000000000000001E-3</v>
      </c>
      <c r="P29" s="502">
        <v>1</v>
      </c>
      <c r="Q29" s="502">
        <v>0.42036195213997768</v>
      </c>
      <c r="R29" s="502">
        <v>11099.70068708024</v>
      </c>
      <c r="S29" s="502">
        <v>200000</v>
      </c>
      <c r="T29" s="502">
        <v>800</v>
      </c>
      <c r="U29" s="502" t="s">
        <v>1409</v>
      </c>
      <c r="V29" s="502" t="s">
        <v>1409</v>
      </c>
      <c r="W29" s="502" t="s">
        <v>1409</v>
      </c>
      <c r="X29" s="502" t="s">
        <v>1409</v>
      </c>
      <c r="Y29" s="502" t="s">
        <v>1409</v>
      </c>
      <c r="Z29" s="502" t="s">
        <v>1409</v>
      </c>
      <c r="AA29" s="502" t="s">
        <v>1409</v>
      </c>
      <c r="AB29" s="502" t="s">
        <v>1409</v>
      </c>
      <c r="AC29" s="1341">
        <f t="shared" si="52"/>
        <v>857.28519422614306</v>
      </c>
      <c r="AD29" s="1352"/>
      <c r="AE29" s="1352"/>
      <c r="AF29" s="1352"/>
      <c r="AG29" s="1352"/>
      <c r="AH29" s="1352"/>
      <c r="AI29" s="1352"/>
      <c r="AJ29" s="1352"/>
      <c r="AK29" s="1352"/>
      <c r="AL29" s="1352"/>
      <c r="AM29" s="1352"/>
      <c r="AN29" s="1352"/>
      <c r="AO29" s="1352"/>
      <c r="AP29" s="1352"/>
      <c r="AQ29" s="1352"/>
      <c r="AR29" s="1352"/>
      <c r="AS29" s="1352"/>
      <c r="AT29" s="1352"/>
      <c r="AU29" s="1352"/>
      <c r="AV29" s="1352"/>
      <c r="AW29" s="1352"/>
      <c r="AX29" s="1352"/>
      <c r="AY29" s="1352"/>
      <c r="AZ29" s="1352"/>
      <c r="BA29" s="1352"/>
      <c r="BB29" s="1344">
        <f>$Q29*$P29*$R29*$O29</f>
        <v>23.329459244952506</v>
      </c>
      <c r="BC29" s="1344">
        <f>$Q29*$P29*$R29*$O29</f>
        <v>23.329459244952506</v>
      </c>
      <c r="BD29" s="1344">
        <f t="shared" ref="BD29:BL29" si="63">$Q29*$P29*$R29*$O29</f>
        <v>23.329459244952506</v>
      </c>
      <c r="BE29" s="1344">
        <f t="shared" si="63"/>
        <v>23.329459244952506</v>
      </c>
      <c r="BF29" s="1344">
        <f t="shared" si="63"/>
        <v>23.329459244952506</v>
      </c>
      <c r="BG29" s="1344">
        <f t="shared" si="63"/>
        <v>23.329459244952506</v>
      </c>
      <c r="BH29" s="1344">
        <f t="shared" si="63"/>
        <v>23.329459244952506</v>
      </c>
      <c r="BI29" s="1344">
        <f t="shared" si="63"/>
        <v>23.329459244952506</v>
      </c>
      <c r="BJ29" s="1344">
        <f t="shared" si="63"/>
        <v>23.329459244952506</v>
      </c>
      <c r="BK29" s="1344">
        <f t="shared" si="63"/>
        <v>23.329459244952506</v>
      </c>
      <c r="BL29" s="1344">
        <f t="shared" si="63"/>
        <v>23.329459244952506</v>
      </c>
      <c r="BM29" s="1343">
        <f t="shared" ref="BM29:BW29" si="64">$S29*$T29/10/1000000/$G29</f>
        <v>20</v>
      </c>
      <c r="BN29" s="1343">
        <f t="shared" si="64"/>
        <v>20</v>
      </c>
      <c r="BO29" s="1343">
        <f t="shared" si="64"/>
        <v>20</v>
      </c>
      <c r="BP29" s="1343">
        <f t="shared" si="64"/>
        <v>20</v>
      </c>
      <c r="BQ29" s="1343">
        <f t="shared" si="64"/>
        <v>20</v>
      </c>
      <c r="BR29" s="1343">
        <f t="shared" si="64"/>
        <v>20</v>
      </c>
      <c r="BS29" s="1343">
        <f t="shared" si="64"/>
        <v>20</v>
      </c>
      <c r="BT29" s="1343">
        <f t="shared" si="64"/>
        <v>20</v>
      </c>
      <c r="BU29" s="1343">
        <f t="shared" si="64"/>
        <v>20</v>
      </c>
      <c r="BV29" s="1343">
        <f t="shared" si="64"/>
        <v>20</v>
      </c>
      <c r="BW29" s="1343">
        <f t="shared" si="64"/>
        <v>20</v>
      </c>
    </row>
    <row r="30" spans="1:80" x14ac:dyDescent="0.3">
      <c r="B30" s="1338" t="s">
        <v>807</v>
      </c>
      <c r="C30" s="1338" t="s">
        <v>808</v>
      </c>
      <c r="D30" s="1338" t="s">
        <v>1410</v>
      </c>
      <c r="E30" s="502">
        <v>3.36</v>
      </c>
      <c r="F30" s="502">
        <v>20.16</v>
      </c>
      <c r="G30" s="1231">
        <v>0.5</v>
      </c>
      <c r="H30" s="1339">
        <f t="shared" si="51"/>
        <v>0.5</v>
      </c>
      <c r="I30" s="1352"/>
      <c r="J30" s="1352"/>
      <c r="K30" s="1352"/>
      <c r="L30" s="1352"/>
      <c r="M30" s="502">
        <v>771717</v>
      </c>
      <c r="N30" s="502">
        <v>4.7348963415345261E-3</v>
      </c>
      <c r="O30" s="502" t="s">
        <v>1409</v>
      </c>
      <c r="P30" s="502">
        <v>0.34426571812424056</v>
      </c>
      <c r="Q30" s="502">
        <v>0.42036195213997768</v>
      </c>
      <c r="R30" s="502">
        <v>11099.70068708024</v>
      </c>
      <c r="S30" s="502" t="s">
        <v>1409</v>
      </c>
      <c r="T30" s="502" t="s">
        <v>1409</v>
      </c>
      <c r="U30" s="502">
        <v>6.7516978374196762E-2</v>
      </c>
      <c r="V30" s="502">
        <v>2400</v>
      </c>
      <c r="W30" s="502">
        <v>14000</v>
      </c>
      <c r="X30" s="502" t="s">
        <v>1409</v>
      </c>
      <c r="Y30" s="502" t="s">
        <v>1409</v>
      </c>
      <c r="Z30" s="502" t="s">
        <v>1409</v>
      </c>
      <c r="AA30" s="502" t="s">
        <v>1409</v>
      </c>
      <c r="AB30" s="502" t="s">
        <v>1409</v>
      </c>
      <c r="AC30" s="1341">
        <f t="shared" si="52"/>
        <v>5500.9887120872654</v>
      </c>
      <c r="AD30" s="1352"/>
      <c r="AE30" s="1352"/>
      <c r="AF30" s="1352"/>
      <c r="AG30" s="1352"/>
      <c r="AH30" s="1352"/>
      <c r="AI30" s="1352"/>
      <c r="AJ30" s="1352"/>
      <c r="AK30" s="1352"/>
      <c r="AL30" s="1352"/>
      <c r="AM30" s="1352"/>
      <c r="AN30" s="1352"/>
      <c r="AO30" s="1352"/>
      <c r="AP30" s="1352"/>
      <c r="AQ30" s="1352"/>
      <c r="AR30" s="1352"/>
      <c r="AS30" s="1352"/>
      <c r="AT30" s="1352"/>
      <c r="AU30" s="1352"/>
      <c r="AV30" s="1352"/>
      <c r="AW30" s="1352"/>
      <c r="AX30" s="1352"/>
      <c r="AY30" s="1352"/>
      <c r="AZ30" s="1352"/>
      <c r="BA30" s="1352"/>
      <c r="BB30" s="1348">
        <f t="shared" ref="BB30:BC33" si="65">$U30*$P30*$R30*$N30</f>
        <v>1.2215985801305524</v>
      </c>
      <c r="BC30" s="1348">
        <f t="shared" si="65"/>
        <v>1.2215985801305524</v>
      </c>
      <c r="BD30" s="1348">
        <f t="shared" ref="BC30:BL34" si="66">$U30*$P30*$R30*$N30</f>
        <v>1.2215985801305524</v>
      </c>
      <c r="BE30" s="1348">
        <f t="shared" si="66"/>
        <v>1.2215985801305524</v>
      </c>
      <c r="BF30" s="1348">
        <f t="shared" si="66"/>
        <v>1.2215985801305524</v>
      </c>
      <c r="BG30" s="1348">
        <f t="shared" si="66"/>
        <v>1.2215985801305524</v>
      </c>
      <c r="BH30" s="1348">
        <f t="shared" si="66"/>
        <v>1.2215985801305524</v>
      </c>
      <c r="BI30" s="1348">
        <f t="shared" si="66"/>
        <v>1.2215985801305524</v>
      </c>
      <c r="BJ30" s="1348">
        <f t="shared" si="66"/>
        <v>1.2215985801305524</v>
      </c>
      <c r="BK30" s="1348">
        <f t="shared" si="66"/>
        <v>1.2215985801305524</v>
      </c>
      <c r="BL30" s="1348">
        <f t="shared" si="66"/>
        <v>1.2215985801305524</v>
      </c>
      <c r="BM30" s="1343">
        <f t="shared" ref="BM30:BW32" si="67">$V30*$W30/10/1000000/$G30</f>
        <v>6.72</v>
      </c>
      <c r="BN30" s="1343">
        <f t="shared" si="67"/>
        <v>6.72</v>
      </c>
      <c r="BO30" s="1343">
        <f t="shared" si="67"/>
        <v>6.72</v>
      </c>
      <c r="BP30" s="1343">
        <f t="shared" si="67"/>
        <v>6.72</v>
      </c>
      <c r="BQ30" s="1343">
        <f t="shared" si="67"/>
        <v>6.72</v>
      </c>
      <c r="BR30" s="1343">
        <f t="shared" si="67"/>
        <v>6.72</v>
      </c>
      <c r="BS30" s="1343">
        <f t="shared" si="67"/>
        <v>6.72</v>
      </c>
      <c r="BT30" s="1343">
        <f t="shared" si="67"/>
        <v>6.72</v>
      </c>
      <c r="BU30" s="1343">
        <f t="shared" si="67"/>
        <v>6.72</v>
      </c>
      <c r="BV30" s="1343">
        <f t="shared" si="67"/>
        <v>6.72</v>
      </c>
      <c r="BW30" s="1343">
        <f t="shared" si="67"/>
        <v>6.72</v>
      </c>
    </row>
    <row r="31" spans="1:80" x14ac:dyDescent="0.3">
      <c r="B31" s="1338" t="s">
        <v>809</v>
      </c>
      <c r="C31" s="1338" t="s">
        <v>810</v>
      </c>
      <c r="D31" s="1338" t="s">
        <v>1410</v>
      </c>
      <c r="E31" s="502">
        <v>5.4</v>
      </c>
      <c r="F31" s="502">
        <v>32.4</v>
      </c>
      <c r="G31" s="1231">
        <v>0.5</v>
      </c>
      <c r="H31" s="1339">
        <f t="shared" si="51"/>
        <v>0.5</v>
      </c>
      <c r="I31" s="1352"/>
      <c r="J31" s="1352"/>
      <c r="K31" s="1352"/>
      <c r="L31" s="1352"/>
      <c r="M31" s="502">
        <v>771717</v>
      </c>
      <c r="N31" s="502">
        <v>4.9836922084131874E-3</v>
      </c>
      <c r="O31" s="502" t="s">
        <v>1409</v>
      </c>
      <c r="P31" s="502">
        <v>0.43364015927006561</v>
      </c>
      <c r="Q31" s="502" t="s">
        <v>1409</v>
      </c>
      <c r="R31" s="502">
        <v>11099.70068708024</v>
      </c>
      <c r="S31" s="502" t="s">
        <v>1409</v>
      </c>
      <c r="T31" s="502" t="s">
        <v>1409</v>
      </c>
      <c r="U31" s="502">
        <v>6.7516978374196762E-2</v>
      </c>
      <c r="V31" s="502">
        <v>180</v>
      </c>
      <c r="W31" s="502">
        <v>300000</v>
      </c>
      <c r="X31" s="502" t="s">
        <v>1409</v>
      </c>
      <c r="Y31" s="502" t="s">
        <v>1409</v>
      </c>
      <c r="Z31" s="502" t="s">
        <v>1409</v>
      </c>
      <c r="AA31" s="502" t="s">
        <v>1409</v>
      </c>
      <c r="AB31" s="502" t="s">
        <v>1409</v>
      </c>
      <c r="AC31" s="1341">
        <f t="shared" si="52"/>
        <v>6668.3560736290428</v>
      </c>
      <c r="AD31" s="1352"/>
      <c r="AE31" s="1352"/>
      <c r="AF31" s="1352"/>
      <c r="AG31" s="1352"/>
      <c r="AH31" s="1352"/>
      <c r="AI31" s="1352"/>
      <c r="AJ31" s="1352"/>
      <c r="AK31" s="1352"/>
      <c r="AL31" s="1352"/>
      <c r="AM31" s="1352"/>
      <c r="AN31" s="1352"/>
      <c r="AO31" s="1352"/>
      <c r="AP31" s="1352"/>
      <c r="AQ31" s="1352"/>
      <c r="AR31" s="1352"/>
      <c r="AS31" s="1352"/>
      <c r="AT31" s="1352"/>
      <c r="AU31" s="1352"/>
      <c r="AV31" s="1352"/>
      <c r="AW31" s="1352"/>
      <c r="AX31" s="1352"/>
      <c r="AY31" s="1352"/>
      <c r="AZ31" s="1352"/>
      <c r="BA31" s="1352"/>
      <c r="BB31" s="1348">
        <f t="shared" si="65"/>
        <v>1.6195895781135814</v>
      </c>
      <c r="BC31" s="1348">
        <f t="shared" si="65"/>
        <v>1.6195895781135814</v>
      </c>
      <c r="BD31" s="1348">
        <f t="shared" si="66"/>
        <v>1.6195895781135814</v>
      </c>
      <c r="BE31" s="1348">
        <f t="shared" si="66"/>
        <v>1.6195895781135814</v>
      </c>
      <c r="BF31" s="1348">
        <f t="shared" si="66"/>
        <v>1.6195895781135814</v>
      </c>
      <c r="BG31" s="1348">
        <f t="shared" si="66"/>
        <v>1.6195895781135814</v>
      </c>
      <c r="BH31" s="1348">
        <f t="shared" si="66"/>
        <v>1.6195895781135814</v>
      </c>
      <c r="BI31" s="1348">
        <f t="shared" si="66"/>
        <v>1.6195895781135814</v>
      </c>
      <c r="BJ31" s="1348">
        <f t="shared" si="66"/>
        <v>1.6195895781135814</v>
      </c>
      <c r="BK31" s="1348">
        <f t="shared" si="66"/>
        <v>1.6195895781135814</v>
      </c>
      <c r="BL31" s="1348">
        <f t="shared" si="66"/>
        <v>1.6195895781135814</v>
      </c>
      <c r="BM31" s="1343">
        <f t="shared" si="67"/>
        <v>10.8</v>
      </c>
      <c r="BN31" s="1343">
        <f t="shared" si="67"/>
        <v>10.8</v>
      </c>
      <c r="BO31" s="1343">
        <f t="shared" si="67"/>
        <v>10.8</v>
      </c>
      <c r="BP31" s="1343">
        <f t="shared" si="67"/>
        <v>10.8</v>
      </c>
      <c r="BQ31" s="1343">
        <f t="shared" si="67"/>
        <v>10.8</v>
      </c>
      <c r="BR31" s="1343">
        <f t="shared" si="67"/>
        <v>10.8</v>
      </c>
      <c r="BS31" s="1343">
        <f t="shared" si="67"/>
        <v>10.8</v>
      </c>
      <c r="BT31" s="1343">
        <f t="shared" si="67"/>
        <v>10.8</v>
      </c>
      <c r="BU31" s="1343">
        <f t="shared" si="67"/>
        <v>10.8</v>
      </c>
      <c r="BV31" s="1343">
        <f t="shared" si="67"/>
        <v>10.8</v>
      </c>
      <c r="BW31" s="1343">
        <f t="shared" si="67"/>
        <v>10.8</v>
      </c>
    </row>
    <row r="32" spans="1:80" x14ac:dyDescent="0.3">
      <c r="B32" s="1338" t="s">
        <v>811</v>
      </c>
      <c r="C32" s="1338" t="s">
        <v>812</v>
      </c>
      <c r="D32" s="1338" t="s">
        <v>1410</v>
      </c>
      <c r="E32" s="502">
        <v>2.7</v>
      </c>
      <c r="F32" s="502">
        <v>16.2</v>
      </c>
      <c r="G32" s="1231">
        <v>0.5</v>
      </c>
      <c r="H32" s="1339">
        <f t="shared" si="51"/>
        <v>0.5</v>
      </c>
      <c r="I32" s="1352"/>
      <c r="J32" s="1352"/>
      <c r="K32" s="1352"/>
      <c r="L32" s="1352"/>
      <c r="M32" s="502">
        <v>771717</v>
      </c>
      <c r="N32" s="502">
        <v>4.9836922084131874E-3</v>
      </c>
      <c r="O32" s="502" t="s">
        <v>1409</v>
      </c>
      <c r="P32" s="502">
        <v>0.29675286683274205</v>
      </c>
      <c r="Q32" s="502" t="s">
        <v>1409</v>
      </c>
      <c r="R32" s="502">
        <v>11099.70068708024</v>
      </c>
      <c r="S32" s="502" t="s">
        <v>1409</v>
      </c>
      <c r="T32" s="502" t="s">
        <v>1409</v>
      </c>
      <c r="U32" s="502">
        <v>6.7516978374196762E-2</v>
      </c>
      <c r="V32" s="502">
        <v>180</v>
      </c>
      <c r="W32" s="502">
        <v>150000</v>
      </c>
      <c r="X32" s="502" t="s">
        <v>1409</v>
      </c>
      <c r="Y32" s="502" t="s">
        <v>1409</v>
      </c>
      <c r="Z32" s="502" t="s">
        <v>1409</v>
      </c>
      <c r="AA32" s="502" t="s">
        <v>1409</v>
      </c>
      <c r="AB32" s="502" t="s">
        <v>1409</v>
      </c>
      <c r="AC32" s="1341">
        <f t="shared" si="52"/>
        <v>4872.1803780716791</v>
      </c>
      <c r="AD32" s="1352"/>
      <c r="AE32" s="1352"/>
      <c r="AF32" s="1352"/>
      <c r="AG32" s="1352"/>
      <c r="AH32" s="1352"/>
      <c r="AI32" s="1352"/>
      <c r="AJ32" s="1352"/>
      <c r="AK32" s="1352"/>
      <c r="AL32" s="1352"/>
      <c r="AM32" s="1352"/>
      <c r="AN32" s="1352"/>
      <c r="AO32" s="1352"/>
      <c r="AP32" s="1352"/>
      <c r="AQ32" s="1352"/>
      <c r="AR32" s="1352"/>
      <c r="AS32" s="1352"/>
      <c r="AT32" s="1352"/>
      <c r="AU32" s="1352"/>
      <c r="AV32" s="1352"/>
      <c r="AW32" s="1352"/>
      <c r="AX32" s="1352"/>
      <c r="AY32" s="1352"/>
      <c r="AZ32" s="1352"/>
      <c r="BA32" s="1352"/>
      <c r="BB32" s="1348">
        <f t="shared" si="65"/>
        <v>1.1083333499522903</v>
      </c>
      <c r="BC32" s="1348">
        <f t="shared" si="65"/>
        <v>1.1083333499522903</v>
      </c>
      <c r="BD32" s="1348">
        <f t="shared" si="66"/>
        <v>1.1083333499522903</v>
      </c>
      <c r="BE32" s="1348">
        <f t="shared" si="66"/>
        <v>1.1083333499522903</v>
      </c>
      <c r="BF32" s="1348">
        <f t="shared" si="66"/>
        <v>1.1083333499522903</v>
      </c>
      <c r="BG32" s="1348">
        <f t="shared" si="66"/>
        <v>1.1083333499522903</v>
      </c>
      <c r="BH32" s="1348">
        <f t="shared" si="66"/>
        <v>1.1083333499522903</v>
      </c>
      <c r="BI32" s="1348">
        <f t="shared" si="66"/>
        <v>1.1083333499522903</v>
      </c>
      <c r="BJ32" s="1348">
        <f t="shared" si="66"/>
        <v>1.1083333499522903</v>
      </c>
      <c r="BK32" s="1348">
        <f t="shared" si="66"/>
        <v>1.1083333499522903</v>
      </c>
      <c r="BL32" s="1348">
        <f t="shared" si="66"/>
        <v>1.1083333499522903</v>
      </c>
      <c r="BM32" s="1343">
        <f t="shared" si="67"/>
        <v>5.4</v>
      </c>
      <c r="BN32" s="1343">
        <f t="shared" si="67"/>
        <v>5.4</v>
      </c>
      <c r="BO32" s="1343">
        <f t="shared" si="67"/>
        <v>5.4</v>
      </c>
      <c r="BP32" s="1343">
        <f t="shared" si="67"/>
        <v>5.4</v>
      </c>
      <c r="BQ32" s="1343">
        <f t="shared" si="67"/>
        <v>5.4</v>
      </c>
      <c r="BR32" s="1343">
        <f t="shared" si="67"/>
        <v>5.4</v>
      </c>
      <c r="BS32" s="1343">
        <f t="shared" si="67"/>
        <v>5.4</v>
      </c>
      <c r="BT32" s="1343">
        <f t="shared" si="67"/>
        <v>5.4</v>
      </c>
      <c r="BU32" s="1343">
        <f t="shared" si="67"/>
        <v>5.4</v>
      </c>
      <c r="BV32" s="1343">
        <f t="shared" si="67"/>
        <v>5.4</v>
      </c>
      <c r="BW32" s="1343">
        <f t="shared" si="67"/>
        <v>5.4</v>
      </c>
    </row>
    <row r="33" spans="2:75" x14ac:dyDescent="0.3">
      <c r="B33" s="1338" t="s">
        <v>813</v>
      </c>
      <c r="C33" s="1338" t="s">
        <v>814</v>
      </c>
      <c r="D33" s="1338" t="s">
        <v>1411</v>
      </c>
      <c r="E33" s="502">
        <v>0.15</v>
      </c>
      <c r="F33" s="502">
        <v>0.15</v>
      </c>
      <c r="G33" s="1231">
        <v>1</v>
      </c>
      <c r="H33" s="1339">
        <f t="shared" si="51"/>
        <v>1</v>
      </c>
      <c r="I33" s="1352"/>
      <c r="J33" s="1352"/>
      <c r="K33" s="1352"/>
      <c r="L33" s="1352"/>
      <c r="M33" s="502">
        <v>771717</v>
      </c>
      <c r="N33" s="502">
        <v>6.7500000000000004E-2</v>
      </c>
      <c r="O33" s="502" t="s">
        <v>1409</v>
      </c>
      <c r="P33" s="502">
        <v>1E-3</v>
      </c>
      <c r="Q33" s="502" t="s">
        <v>1409</v>
      </c>
      <c r="R33" s="502">
        <v>11099.70068708024</v>
      </c>
      <c r="S33" s="502" t="s">
        <v>1409</v>
      </c>
      <c r="T33" s="502" t="s">
        <v>1409</v>
      </c>
      <c r="U33" s="502">
        <v>6.7516978374196762E-2</v>
      </c>
      <c r="V33" s="502" t="s">
        <v>1409</v>
      </c>
      <c r="W33" s="502" t="s">
        <v>1409</v>
      </c>
      <c r="X33" s="502">
        <v>192</v>
      </c>
      <c r="Y33" s="502">
        <v>1595</v>
      </c>
      <c r="Z33" s="502">
        <v>0.2</v>
      </c>
      <c r="AA33" s="502">
        <v>0.15</v>
      </c>
      <c r="AB33" s="502" t="s">
        <v>1409</v>
      </c>
      <c r="AC33" s="1341">
        <f t="shared" si="52"/>
        <v>494.2105022833091</v>
      </c>
      <c r="AD33" s="1352"/>
      <c r="AE33" s="1352"/>
      <c r="AF33" s="1352"/>
      <c r="AG33" s="1352"/>
      <c r="AH33" s="1352"/>
      <c r="AI33" s="1352"/>
      <c r="AJ33" s="1352"/>
      <c r="AK33" s="1352"/>
      <c r="AL33" s="1352"/>
      <c r="AM33" s="1352"/>
      <c r="AN33" s="1352"/>
      <c r="AO33" s="1352"/>
      <c r="AP33" s="1352"/>
      <c r="AQ33" s="1352"/>
      <c r="AR33" s="1352"/>
      <c r="AS33" s="1352"/>
      <c r="AT33" s="1352"/>
      <c r="AU33" s="1352"/>
      <c r="AV33" s="1352"/>
      <c r="AW33" s="1352"/>
      <c r="AX33" s="1352"/>
      <c r="AY33" s="1352"/>
      <c r="AZ33" s="1352"/>
      <c r="BA33" s="1352"/>
      <c r="BB33" s="1348">
        <f t="shared" si="65"/>
        <v>5.0585731959351614E-2</v>
      </c>
      <c r="BC33" s="1348">
        <f t="shared" si="65"/>
        <v>5.0585731959351614E-2</v>
      </c>
      <c r="BD33" s="1348">
        <f t="shared" si="66"/>
        <v>5.0585731959351614E-2</v>
      </c>
      <c r="BE33" s="1348">
        <f t="shared" si="66"/>
        <v>5.0585731959351614E-2</v>
      </c>
      <c r="BF33" s="1348">
        <f t="shared" si="66"/>
        <v>5.0585731959351614E-2</v>
      </c>
      <c r="BG33" s="1348">
        <f t="shared" si="66"/>
        <v>5.0585731959351614E-2</v>
      </c>
      <c r="BH33" s="1348">
        <f t="shared" si="66"/>
        <v>5.0585731959351614E-2</v>
      </c>
      <c r="BI33" s="1348">
        <f t="shared" si="66"/>
        <v>5.0585731959351614E-2</v>
      </c>
      <c r="BJ33" s="1348">
        <f t="shared" si="66"/>
        <v>5.0585731959351614E-2</v>
      </c>
      <c r="BK33" s="1348">
        <f t="shared" si="66"/>
        <v>5.0585731959351614E-2</v>
      </c>
      <c r="BL33" s="1348">
        <f t="shared" si="66"/>
        <v>5.0585731959351614E-2</v>
      </c>
      <c r="BM33" s="1360">
        <v>0.15</v>
      </c>
      <c r="BN33" s="1360">
        <v>0</v>
      </c>
      <c r="BO33" s="1360">
        <v>0</v>
      </c>
      <c r="BP33" s="1360">
        <v>0</v>
      </c>
      <c r="BQ33" s="1360">
        <v>0</v>
      </c>
      <c r="BR33" s="1360">
        <v>0</v>
      </c>
      <c r="BS33" s="1360">
        <v>0</v>
      </c>
      <c r="BT33" s="1360">
        <v>0</v>
      </c>
      <c r="BU33" s="1360">
        <v>0</v>
      </c>
      <c r="BV33" s="1360">
        <v>0</v>
      </c>
      <c r="BW33" s="1360">
        <v>0</v>
      </c>
    </row>
    <row r="34" spans="2:75" x14ac:dyDescent="0.3">
      <c r="B34" s="1338" t="s">
        <v>815</v>
      </c>
      <c r="C34" s="1338" t="s">
        <v>816</v>
      </c>
      <c r="D34" s="1338" t="s">
        <v>1411</v>
      </c>
      <c r="E34" s="502">
        <v>0.15</v>
      </c>
      <c r="F34" s="502">
        <v>0.15</v>
      </c>
      <c r="G34" s="1231">
        <v>1</v>
      </c>
      <c r="H34" s="1339">
        <f t="shared" si="51"/>
        <v>1</v>
      </c>
      <c r="I34" s="1352"/>
      <c r="J34" s="1352"/>
      <c r="K34" s="1352"/>
      <c r="L34" s="1352"/>
      <c r="M34" s="502">
        <v>771717</v>
      </c>
      <c r="N34" s="502">
        <v>6.7500000000000004E-2</v>
      </c>
      <c r="O34" s="502" t="s">
        <v>1409</v>
      </c>
      <c r="P34" s="502">
        <v>5.0000000000000001E-3</v>
      </c>
      <c r="Q34" s="502" t="s">
        <v>1409</v>
      </c>
      <c r="R34" s="502">
        <v>11099.70068708024</v>
      </c>
      <c r="S34" s="502" t="s">
        <v>1409</v>
      </c>
      <c r="T34" s="502" t="s">
        <v>1409</v>
      </c>
      <c r="U34" s="502">
        <v>6.7516978374196762E-2</v>
      </c>
      <c r="V34" s="502" t="s">
        <v>1409</v>
      </c>
      <c r="W34" s="502" t="s">
        <v>1409</v>
      </c>
      <c r="X34" s="502">
        <v>60</v>
      </c>
      <c r="Y34" s="502">
        <v>100</v>
      </c>
      <c r="Z34" s="502">
        <v>0.2</v>
      </c>
      <c r="AA34" s="502">
        <v>0.15</v>
      </c>
      <c r="AB34" s="502" t="s">
        <v>1409</v>
      </c>
      <c r="AC34" s="1341">
        <f t="shared" si="52"/>
        <v>98.842100456661782</v>
      </c>
      <c r="AD34" s="1352"/>
      <c r="AE34" s="1352"/>
      <c r="AF34" s="1352"/>
      <c r="AG34" s="1352"/>
      <c r="AH34" s="1352"/>
      <c r="AI34" s="1352"/>
      <c r="AJ34" s="1352"/>
      <c r="AK34" s="1352"/>
      <c r="AL34" s="1352"/>
      <c r="AM34" s="1352"/>
      <c r="AN34" s="1352"/>
      <c r="AO34" s="1352"/>
      <c r="AP34" s="1352"/>
      <c r="AQ34" s="1352"/>
      <c r="AR34" s="1352"/>
      <c r="AS34" s="1352"/>
      <c r="AT34" s="1352"/>
      <c r="AU34" s="1352"/>
      <c r="AV34" s="1352"/>
      <c r="AW34" s="1352"/>
      <c r="AX34" s="1352"/>
      <c r="AY34" s="1352"/>
      <c r="AZ34" s="1352"/>
      <c r="BA34" s="1352"/>
      <c r="BB34" s="1348">
        <f>$U34*$P34*$R34*$N34</f>
        <v>0.2529286597967581</v>
      </c>
      <c r="BC34" s="1348">
        <f t="shared" si="66"/>
        <v>0.2529286597967581</v>
      </c>
      <c r="BD34" s="1348">
        <f t="shared" si="66"/>
        <v>0.2529286597967581</v>
      </c>
      <c r="BE34" s="1348">
        <f t="shared" si="66"/>
        <v>0.2529286597967581</v>
      </c>
      <c r="BF34" s="1348">
        <f t="shared" si="66"/>
        <v>0.2529286597967581</v>
      </c>
      <c r="BG34" s="1348">
        <f t="shared" si="66"/>
        <v>0.2529286597967581</v>
      </c>
      <c r="BH34" s="1348">
        <f t="shared" si="66"/>
        <v>0.2529286597967581</v>
      </c>
      <c r="BI34" s="1348">
        <f t="shared" si="66"/>
        <v>0.2529286597967581</v>
      </c>
      <c r="BJ34" s="1348">
        <f t="shared" si="66"/>
        <v>0.2529286597967581</v>
      </c>
      <c r="BK34" s="1348">
        <f t="shared" si="66"/>
        <v>0.2529286597967581</v>
      </c>
      <c r="BL34" s="1348">
        <f t="shared" si="66"/>
        <v>0.2529286597967581</v>
      </c>
      <c r="BM34" s="1360">
        <v>0.15</v>
      </c>
      <c r="BN34" s="1360">
        <v>0</v>
      </c>
      <c r="BO34" s="1360">
        <v>0</v>
      </c>
      <c r="BP34" s="1360">
        <v>0</v>
      </c>
      <c r="BQ34" s="1360">
        <v>0</v>
      </c>
      <c r="BR34" s="1360">
        <v>0</v>
      </c>
      <c r="BS34" s="1360">
        <v>0</v>
      </c>
      <c r="BT34" s="1360">
        <v>0</v>
      </c>
      <c r="BU34" s="1360">
        <v>0</v>
      </c>
      <c r="BV34" s="1360">
        <v>0</v>
      </c>
      <c r="BW34" s="1360">
        <v>0</v>
      </c>
    </row>
    <row r="35" spans="2:75" x14ac:dyDescent="0.3">
      <c r="B35" s="1338" t="s">
        <v>817</v>
      </c>
      <c r="C35" s="1338" t="s">
        <v>818</v>
      </c>
      <c r="D35" s="1338" t="s">
        <v>598</v>
      </c>
      <c r="E35" s="1352"/>
      <c r="F35" s="1361"/>
      <c r="G35" s="1361"/>
      <c r="H35" s="1362"/>
      <c r="I35" s="1352"/>
      <c r="J35" s="1352"/>
      <c r="K35" s="1352"/>
      <c r="L35" s="1352"/>
      <c r="M35" s="502" t="s">
        <v>1409</v>
      </c>
      <c r="N35" s="502" t="s">
        <v>1409</v>
      </c>
      <c r="O35" s="502" t="s">
        <v>1409</v>
      </c>
      <c r="P35" s="502" t="s">
        <v>1409</v>
      </c>
      <c r="Q35" s="502" t="s">
        <v>1409</v>
      </c>
      <c r="R35" s="502" t="s">
        <v>1409</v>
      </c>
      <c r="S35" s="502" t="s">
        <v>1409</v>
      </c>
      <c r="T35" s="502" t="s">
        <v>1409</v>
      </c>
      <c r="U35" s="502" t="s">
        <v>1409</v>
      </c>
      <c r="V35" s="502" t="s">
        <v>1409</v>
      </c>
      <c r="W35" s="502" t="s">
        <v>1409</v>
      </c>
      <c r="X35" s="502" t="s">
        <v>1409</v>
      </c>
      <c r="Y35" s="502" t="s">
        <v>1409</v>
      </c>
      <c r="Z35" s="502" t="s">
        <v>1409</v>
      </c>
      <c r="AA35" s="502" t="s">
        <v>1409</v>
      </c>
      <c r="AB35" s="502" t="s">
        <v>1409</v>
      </c>
      <c r="AC35" s="1363"/>
      <c r="AD35" s="1352"/>
      <c r="AE35" s="1352"/>
      <c r="AF35" s="1352"/>
      <c r="AG35" s="1352"/>
      <c r="AH35" s="1352"/>
      <c r="AI35" s="1352"/>
      <c r="AJ35" s="1352"/>
      <c r="AK35" s="1352"/>
      <c r="AL35" s="1352"/>
      <c r="AM35" s="1352"/>
      <c r="AN35" s="1352"/>
      <c r="AO35" s="1352"/>
      <c r="AP35" s="1352"/>
      <c r="AQ35" s="1352"/>
      <c r="AR35" s="1352"/>
      <c r="AS35" s="1352"/>
      <c r="AT35" s="1352"/>
      <c r="AU35" s="1352"/>
      <c r="AV35" s="1352"/>
      <c r="AW35" s="1352"/>
      <c r="AX35" s="1352"/>
      <c r="AY35" s="1352"/>
      <c r="AZ35" s="1352"/>
      <c r="BA35" s="1352"/>
      <c r="BB35" s="1364"/>
      <c r="BC35" s="1364"/>
      <c r="BD35" s="1364"/>
      <c r="BE35" s="1364"/>
      <c r="BF35" s="1364"/>
      <c r="BG35" s="1364"/>
      <c r="BH35" s="1364"/>
      <c r="BI35" s="1364"/>
      <c r="BJ35" s="1364"/>
      <c r="BK35" s="1364"/>
      <c r="BL35" s="1364"/>
      <c r="BM35" s="1365"/>
      <c r="BN35" s="1365"/>
      <c r="BO35" s="1365"/>
      <c r="BP35" s="1365"/>
      <c r="BQ35" s="1365"/>
      <c r="BR35" s="1365"/>
      <c r="BS35" s="1365"/>
      <c r="BT35" s="1365"/>
      <c r="BU35" s="1365"/>
      <c r="BV35" s="1365"/>
      <c r="BW35" s="1365"/>
    </row>
    <row r="36" spans="2:75" x14ac:dyDescent="0.3">
      <c r="B36" s="1338" t="s">
        <v>822</v>
      </c>
      <c r="C36" s="1338" t="s">
        <v>823</v>
      </c>
      <c r="D36" s="1338" t="s">
        <v>598</v>
      </c>
      <c r="E36" s="1352"/>
      <c r="F36" s="1361"/>
      <c r="G36" s="1361"/>
      <c r="H36" s="1362"/>
      <c r="I36" s="1352"/>
      <c r="J36" s="1352"/>
      <c r="K36" s="1352"/>
      <c r="L36" s="1352"/>
      <c r="M36" s="502" t="s">
        <v>1409</v>
      </c>
      <c r="N36" s="502" t="s">
        <v>1409</v>
      </c>
      <c r="O36" s="502" t="s">
        <v>1409</v>
      </c>
      <c r="P36" s="502" t="s">
        <v>1409</v>
      </c>
      <c r="Q36" s="502" t="s">
        <v>1409</v>
      </c>
      <c r="R36" s="502" t="s">
        <v>1409</v>
      </c>
      <c r="S36" s="502" t="s">
        <v>1409</v>
      </c>
      <c r="T36" s="502" t="s">
        <v>1409</v>
      </c>
      <c r="U36" s="502" t="s">
        <v>1409</v>
      </c>
      <c r="V36" s="502" t="s">
        <v>1409</v>
      </c>
      <c r="W36" s="502" t="s">
        <v>1409</v>
      </c>
      <c r="X36" s="502" t="s">
        <v>1409</v>
      </c>
      <c r="Y36" s="502" t="s">
        <v>1409</v>
      </c>
      <c r="Z36" s="502" t="s">
        <v>1409</v>
      </c>
      <c r="AA36" s="502" t="s">
        <v>1409</v>
      </c>
      <c r="AB36" s="502" t="s">
        <v>1409</v>
      </c>
      <c r="AC36" s="1363"/>
      <c r="AD36" s="1352"/>
      <c r="AE36" s="1352"/>
      <c r="AF36" s="1352"/>
      <c r="AG36" s="1352"/>
      <c r="AH36" s="1352"/>
      <c r="AI36" s="1352"/>
      <c r="AJ36" s="1352"/>
      <c r="AK36" s="1352"/>
      <c r="AL36" s="1352"/>
      <c r="AM36" s="1352"/>
      <c r="AN36" s="1352"/>
      <c r="AO36" s="1352"/>
      <c r="AP36" s="1352"/>
      <c r="AQ36" s="1352"/>
      <c r="AR36" s="1352"/>
      <c r="AS36" s="1352"/>
      <c r="AT36" s="1352"/>
      <c r="AU36" s="1352"/>
      <c r="AV36" s="1352"/>
      <c r="AW36" s="1352"/>
      <c r="AX36" s="1352"/>
      <c r="AY36" s="1352"/>
      <c r="AZ36" s="1352"/>
      <c r="BA36" s="1352"/>
      <c r="BB36" s="1364"/>
      <c r="BC36" s="1364"/>
      <c r="BD36" s="1364"/>
      <c r="BE36" s="1364"/>
      <c r="BF36" s="1364"/>
      <c r="BG36" s="1364"/>
      <c r="BH36" s="1364"/>
      <c r="BI36" s="1364"/>
      <c r="BJ36" s="1364"/>
      <c r="BK36" s="1364"/>
      <c r="BL36" s="1364"/>
      <c r="BM36" s="1365"/>
      <c r="BN36" s="1365"/>
      <c r="BO36" s="1365"/>
      <c r="BP36" s="1365"/>
      <c r="BQ36" s="1365"/>
      <c r="BR36" s="1365"/>
      <c r="BS36" s="1365"/>
      <c r="BT36" s="1365"/>
      <c r="BU36" s="1365"/>
      <c r="BV36" s="1365"/>
      <c r="BW36" s="1365"/>
    </row>
    <row r="37" spans="2:75" x14ac:dyDescent="0.3">
      <c r="B37" s="1338" t="s">
        <v>826</v>
      </c>
      <c r="C37" s="1338" t="s">
        <v>827</v>
      </c>
      <c r="D37" s="1338" t="s">
        <v>598</v>
      </c>
      <c r="E37" s="1352"/>
      <c r="F37" s="1361"/>
      <c r="G37" s="1361"/>
      <c r="H37" s="1362"/>
      <c r="I37" s="1352"/>
      <c r="J37" s="1352"/>
      <c r="K37" s="1352"/>
      <c r="L37" s="1352"/>
      <c r="M37" s="502" t="s">
        <v>1409</v>
      </c>
      <c r="N37" s="502" t="s">
        <v>1409</v>
      </c>
      <c r="O37" s="502" t="s">
        <v>1409</v>
      </c>
      <c r="P37" s="502" t="s">
        <v>1409</v>
      </c>
      <c r="Q37" s="502" t="s">
        <v>1409</v>
      </c>
      <c r="R37" s="502" t="s">
        <v>1409</v>
      </c>
      <c r="S37" s="502" t="s">
        <v>1409</v>
      </c>
      <c r="T37" s="502" t="s">
        <v>1409</v>
      </c>
      <c r="U37" s="502" t="s">
        <v>1409</v>
      </c>
      <c r="V37" s="502" t="s">
        <v>1409</v>
      </c>
      <c r="W37" s="502" t="s">
        <v>1409</v>
      </c>
      <c r="X37" s="502" t="s">
        <v>1409</v>
      </c>
      <c r="Y37" s="502" t="s">
        <v>1409</v>
      </c>
      <c r="Z37" s="502" t="s">
        <v>1409</v>
      </c>
      <c r="AA37" s="502" t="s">
        <v>1409</v>
      </c>
      <c r="AB37" s="502" t="s">
        <v>1409</v>
      </c>
      <c r="AC37" s="1363"/>
      <c r="AD37" s="1352"/>
      <c r="AE37" s="1352"/>
      <c r="AF37" s="1352"/>
      <c r="AG37" s="1352"/>
      <c r="AH37" s="1352"/>
      <c r="AI37" s="1352"/>
      <c r="AJ37" s="1352"/>
      <c r="AK37" s="1352"/>
      <c r="AL37" s="1352"/>
      <c r="AM37" s="1352"/>
      <c r="AN37" s="1352"/>
      <c r="AO37" s="1352"/>
      <c r="AP37" s="1352"/>
      <c r="AQ37" s="1352"/>
      <c r="AR37" s="1352"/>
      <c r="AS37" s="1352"/>
      <c r="AT37" s="1352"/>
      <c r="AU37" s="1352"/>
      <c r="AV37" s="1352"/>
      <c r="AW37" s="1352"/>
      <c r="AX37" s="1352"/>
      <c r="AY37" s="1352"/>
      <c r="AZ37" s="1352"/>
      <c r="BA37" s="1352"/>
      <c r="BB37" s="1364"/>
      <c r="BC37" s="1364"/>
      <c r="BD37" s="1364"/>
      <c r="BE37" s="1364"/>
      <c r="BF37" s="1364"/>
      <c r="BG37" s="1364"/>
      <c r="BH37" s="1364"/>
      <c r="BI37" s="1364"/>
      <c r="BJ37" s="1364"/>
      <c r="BK37" s="1364"/>
      <c r="BL37" s="1364"/>
      <c r="BM37" s="1365"/>
      <c r="BN37" s="1365"/>
      <c r="BO37" s="1365"/>
      <c r="BP37" s="1365"/>
      <c r="BQ37" s="1365"/>
      <c r="BR37" s="1365"/>
      <c r="BS37" s="1365"/>
      <c r="BT37" s="1365"/>
      <c r="BU37" s="1365"/>
      <c r="BV37" s="1365"/>
      <c r="BW37" s="1365"/>
    </row>
    <row r="38" spans="2:75" x14ac:dyDescent="0.3">
      <c r="B38" s="1338" t="s">
        <v>830</v>
      </c>
      <c r="C38" s="1338" t="s">
        <v>831</v>
      </c>
      <c r="D38" s="1338" t="s">
        <v>598</v>
      </c>
      <c r="E38" s="502">
        <v>0</v>
      </c>
      <c r="F38" s="502">
        <v>0</v>
      </c>
      <c r="G38" s="1231">
        <v>0.5</v>
      </c>
      <c r="H38" s="1349"/>
      <c r="I38" s="1352"/>
      <c r="J38" s="1352"/>
      <c r="K38" s="1352"/>
      <c r="L38" s="1352"/>
      <c r="M38" s="502">
        <v>771717</v>
      </c>
      <c r="N38" s="502">
        <v>4.9836922084131874E-3</v>
      </c>
      <c r="O38" s="502" t="s">
        <v>1409</v>
      </c>
      <c r="P38" s="502">
        <v>-0.22</v>
      </c>
      <c r="Q38" s="502" t="s">
        <v>1409</v>
      </c>
      <c r="R38" s="502">
        <v>11099.70068708024</v>
      </c>
      <c r="S38" s="502" t="s">
        <v>1409</v>
      </c>
      <c r="T38" s="502" t="s">
        <v>1409</v>
      </c>
      <c r="U38" s="502">
        <v>6.7516978374196762E-2</v>
      </c>
      <c r="V38" s="502" t="s">
        <v>1409</v>
      </c>
      <c r="W38" s="502" t="s">
        <v>1409</v>
      </c>
      <c r="X38" s="502" t="s">
        <v>1409</v>
      </c>
      <c r="Y38" s="502" t="s">
        <v>1409</v>
      </c>
      <c r="Z38" s="502" t="s">
        <v>1409</v>
      </c>
      <c r="AA38" s="502" t="s">
        <v>1409</v>
      </c>
      <c r="AB38" s="502" t="s">
        <v>1409</v>
      </c>
      <c r="AC38" s="1341">
        <f t="shared" si="52"/>
        <v>0</v>
      </c>
      <c r="AD38" s="1352"/>
      <c r="AE38" s="1352"/>
      <c r="AF38" s="1352"/>
      <c r="AG38" s="1352"/>
      <c r="AH38" s="1352"/>
      <c r="AI38" s="1352"/>
      <c r="AJ38" s="1352"/>
      <c r="AK38" s="1352"/>
      <c r="AL38" s="1352"/>
      <c r="AM38" s="1352"/>
      <c r="AN38" s="1352"/>
      <c r="AO38" s="1352"/>
      <c r="AP38" s="1352"/>
      <c r="AQ38" s="1352"/>
      <c r="AR38" s="1352"/>
      <c r="AS38" s="1352"/>
      <c r="AT38" s="1352"/>
      <c r="AU38" s="1352"/>
      <c r="AV38" s="1352"/>
      <c r="AW38" s="1352"/>
      <c r="AX38" s="1352"/>
      <c r="AY38" s="1352"/>
      <c r="AZ38" s="1352"/>
      <c r="BA38" s="1352"/>
      <c r="BB38" s="1348">
        <f>$U38*$P38*$R38*$N38</f>
        <v>-0.82167137791101763</v>
      </c>
      <c r="BC38" s="1348">
        <f t="shared" ref="BC38:BL38" si="68">$U38*$P38*$R38*$N38</f>
        <v>-0.82167137791101763</v>
      </c>
      <c r="BD38" s="1348">
        <f t="shared" si="68"/>
        <v>-0.82167137791101763</v>
      </c>
      <c r="BE38" s="1348">
        <f t="shared" si="68"/>
        <v>-0.82167137791101763</v>
      </c>
      <c r="BF38" s="1348">
        <f t="shared" si="68"/>
        <v>-0.82167137791101763</v>
      </c>
      <c r="BG38" s="1348">
        <f t="shared" si="68"/>
        <v>-0.82167137791101763</v>
      </c>
      <c r="BH38" s="1348">
        <f t="shared" si="68"/>
        <v>-0.82167137791101763</v>
      </c>
      <c r="BI38" s="1348">
        <f t="shared" si="68"/>
        <v>-0.82167137791101763</v>
      </c>
      <c r="BJ38" s="1348">
        <f t="shared" si="68"/>
        <v>-0.82167137791101763</v>
      </c>
      <c r="BK38" s="1348">
        <f t="shared" si="68"/>
        <v>-0.82167137791101763</v>
      </c>
      <c r="BL38" s="1348">
        <f t="shared" si="68"/>
        <v>-0.82167137791101763</v>
      </c>
      <c r="BM38" s="1360">
        <v>0</v>
      </c>
      <c r="BN38" s="1360">
        <v>0</v>
      </c>
      <c r="BO38" s="1360">
        <v>0</v>
      </c>
      <c r="BP38" s="1360">
        <v>0</v>
      </c>
      <c r="BQ38" s="1360">
        <v>0</v>
      </c>
      <c r="BR38" s="1360">
        <v>0</v>
      </c>
      <c r="BS38" s="1360">
        <v>0</v>
      </c>
      <c r="BT38" s="1360">
        <v>0</v>
      </c>
      <c r="BU38" s="1360">
        <v>0</v>
      </c>
      <c r="BV38" s="1360">
        <v>0</v>
      </c>
      <c r="BW38" s="1360">
        <v>0</v>
      </c>
    </row>
    <row r="39" spans="2:75" x14ac:dyDescent="0.3">
      <c r="B39" s="1338" t="s">
        <v>834</v>
      </c>
      <c r="C39" s="1338" t="s">
        <v>835</v>
      </c>
      <c r="D39" s="1338" t="s">
        <v>598</v>
      </c>
      <c r="E39" s="1352"/>
      <c r="F39" s="1361"/>
      <c r="G39" s="1361"/>
      <c r="H39" s="1362"/>
      <c r="I39" s="1352"/>
      <c r="J39" s="1352"/>
      <c r="K39" s="1352"/>
      <c r="L39" s="1352"/>
      <c r="M39" s="502" t="s">
        <v>1409</v>
      </c>
      <c r="N39" s="502" t="s">
        <v>1409</v>
      </c>
      <c r="O39" s="502" t="s">
        <v>1409</v>
      </c>
      <c r="P39" s="502" t="s">
        <v>1409</v>
      </c>
      <c r="Q39" s="502" t="s">
        <v>1409</v>
      </c>
      <c r="R39" s="502" t="s">
        <v>1409</v>
      </c>
      <c r="S39" s="502" t="s">
        <v>1409</v>
      </c>
      <c r="T39" s="502" t="s">
        <v>1409</v>
      </c>
      <c r="U39" s="502" t="s">
        <v>1409</v>
      </c>
      <c r="V39" s="502" t="s">
        <v>1409</v>
      </c>
      <c r="W39" s="502" t="s">
        <v>1409</v>
      </c>
      <c r="X39" s="502" t="s">
        <v>1409</v>
      </c>
      <c r="Y39" s="502" t="s">
        <v>1409</v>
      </c>
      <c r="Z39" s="502" t="s">
        <v>1409</v>
      </c>
      <c r="AA39" s="502" t="s">
        <v>1409</v>
      </c>
      <c r="AB39" s="502" t="s">
        <v>1409</v>
      </c>
      <c r="AC39" s="1363"/>
      <c r="AD39" s="1352"/>
      <c r="AE39" s="1352"/>
      <c r="AF39" s="1352"/>
      <c r="AG39" s="1352"/>
      <c r="AH39" s="1352"/>
      <c r="AI39" s="1352"/>
      <c r="AJ39" s="1352"/>
      <c r="AK39" s="1352"/>
      <c r="AL39" s="1352"/>
      <c r="AM39" s="1352"/>
      <c r="AN39" s="1352"/>
      <c r="AO39" s="1352"/>
      <c r="AP39" s="1352"/>
      <c r="AQ39" s="1352"/>
      <c r="AR39" s="1352"/>
      <c r="AS39" s="1352"/>
      <c r="AT39" s="1352"/>
      <c r="AU39" s="1352"/>
      <c r="AV39" s="1352"/>
      <c r="AW39" s="1352"/>
      <c r="AX39" s="1352"/>
      <c r="AY39" s="1352"/>
      <c r="AZ39" s="1352"/>
      <c r="BA39" s="1352"/>
      <c r="BB39" s="1364"/>
      <c r="BC39" s="1364"/>
      <c r="BD39" s="1364"/>
      <c r="BE39" s="1364"/>
      <c r="BF39" s="1364"/>
      <c r="BG39" s="1364"/>
      <c r="BH39" s="1364"/>
      <c r="BI39" s="1364"/>
      <c r="BJ39" s="1364"/>
      <c r="BK39" s="1364"/>
      <c r="BL39" s="1364"/>
      <c r="BM39" s="1365"/>
      <c r="BN39" s="1365"/>
      <c r="BO39" s="1365"/>
      <c r="BP39" s="1365"/>
      <c r="BQ39" s="1365"/>
      <c r="BR39" s="1365"/>
      <c r="BS39" s="1365"/>
      <c r="BT39" s="1365"/>
      <c r="BU39" s="1365"/>
      <c r="BV39" s="1365"/>
      <c r="BW39" s="1365"/>
    </row>
    <row r="40" spans="2:75" x14ac:dyDescent="0.3">
      <c r="B40" s="1338" t="s">
        <v>838</v>
      </c>
      <c r="C40" s="1338" t="s">
        <v>839</v>
      </c>
      <c r="D40" s="1338" t="s">
        <v>598</v>
      </c>
      <c r="E40" s="1352"/>
      <c r="F40" s="1361"/>
      <c r="G40" s="1361"/>
      <c r="H40" s="1362"/>
      <c r="I40" s="1352"/>
      <c r="J40" s="1352"/>
      <c r="K40" s="1352"/>
      <c r="L40" s="1352"/>
      <c r="M40" s="502" t="s">
        <v>1409</v>
      </c>
      <c r="N40" s="502" t="s">
        <v>1409</v>
      </c>
      <c r="O40" s="502" t="s">
        <v>1409</v>
      </c>
      <c r="P40" s="502" t="s">
        <v>1409</v>
      </c>
      <c r="Q40" s="502" t="s">
        <v>1409</v>
      </c>
      <c r="R40" s="502" t="s">
        <v>1409</v>
      </c>
      <c r="S40" s="502" t="s">
        <v>1409</v>
      </c>
      <c r="T40" s="502" t="s">
        <v>1409</v>
      </c>
      <c r="U40" s="502" t="s">
        <v>1409</v>
      </c>
      <c r="V40" s="502" t="s">
        <v>1409</v>
      </c>
      <c r="W40" s="502" t="s">
        <v>1409</v>
      </c>
      <c r="X40" s="502" t="s">
        <v>1409</v>
      </c>
      <c r="Y40" s="502" t="s">
        <v>1409</v>
      </c>
      <c r="Z40" s="502" t="s">
        <v>1409</v>
      </c>
      <c r="AA40" s="502" t="s">
        <v>1409</v>
      </c>
      <c r="AB40" s="502" t="s">
        <v>1409</v>
      </c>
      <c r="AC40" s="1363"/>
      <c r="AD40" s="1352"/>
      <c r="AE40" s="1352"/>
      <c r="AF40" s="1352"/>
      <c r="AG40" s="1352"/>
      <c r="AH40" s="1352"/>
      <c r="AI40" s="1352"/>
      <c r="AJ40" s="1352"/>
      <c r="AK40" s="1352"/>
      <c r="AL40" s="1352"/>
      <c r="AM40" s="1352"/>
      <c r="AN40" s="1352"/>
      <c r="AO40" s="1352"/>
      <c r="AP40" s="1352"/>
      <c r="AQ40" s="1352"/>
      <c r="AR40" s="1352"/>
      <c r="AS40" s="1352"/>
      <c r="AT40" s="1352"/>
      <c r="AU40" s="1352"/>
      <c r="AV40" s="1352"/>
      <c r="AW40" s="1352"/>
      <c r="AX40" s="1352"/>
      <c r="AY40" s="1352"/>
      <c r="AZ40" s="1352"/>
      <c r="BA40" s="1352"/>
      <c r="BB40" s="1364"/>
      <c r="BC40" s="1364"/>
      <c r="BD40" s="1364"/>
      <c r="BE40" s="1364"/>
      <c r="BF40" s="1364"/>
      <c r="BG40" s="1364"/>
      <c r="BH40" s="1364"/>
      <c r="BI40" s="1364"/>
      <c r="BJ40" s="1364"/>
      <c r="BK40" s="1364"/>
      <c r="BL40" s="1364"/>
      <c r="BM40" s="1365"/>
      <c r="BN40" s="1365"/>
      <c r="BO40" s="1365"/>
      <c r="BP40" s="1365"/>
      <c r="BQ40" s="1365"/>
      <c r="BR40" s="1365"/>
      <c r="BS40" s="1365"/>
      <c r="BT40" s="1365"/>
      <c r="BU40" s="1365"/>
      <c r="BV40" s="1365"/>
      <c r="BW40" s="1365"/>
    </row>
    <row r="41" spans="2:75" x14ac:dyDescent="0.3">
      <c r="B41" s="1338" t="s">
        <v>842</v>
      </c>
      <c r="C41" s="1338" t="s">
        <v>843</v>
      </c>
      <c r="D41" s="1338" t="s">
        <v>598</v>
      </c>
      <c r="E41" s="1352"/>
      <c r="F41" s="1361"/>
      <c r="G41" s="1361"/>
      <c r="H41" s="1362"/>
      <c r="I41" s="1352"/>
      <c r="J41" s="1352"/>
      <c r="K41" s="1352"/>
      <c r="L41" s="1352"/>
      <c r="M41" s="502" t="s">
        <v>1409</v>
      </c>
      <c r="N41" s="502" t="s">
        <v>1409</v>
      </c>
      <c r="O41" s="502" t="s">
        <v>1409</v>
      </c>
      <c r="P41" s="502" t="s">
        <v>1409</v>
      </c>
      <c r="Q41" s="502" t="s">
        <v>1409</v>
      </c>
      <c r="R41" s="502" t="s">
        <v>1409</v>
      </c>
      <c r="S41" s="502" t="s">
        <v>1409</v>
      </c>
      <c r="T41" s="502" t="s">
        <v>1409</v>
      </c>
      <c r="U41" s="502" t="s">
        <v>1409</v>
      </c>
      <c r="V41" s="502" t="s">
        <v>1409</v>
      </c>
      <c r="W41" s="502" t="s">
        <v>1409</v>
      </c>
      <c r="X41" s="502" t="s">
        <v>1409</v>
      </c>
      <c r="Y41" s="502" t="s">
        <v>1409</v>
      </c>
      <c r="Z41" s="502" t="s">
        <v>1409</v>
      </c>
      <c r="AA41" s="502" t="s">
        <v>1409</v>
      </c>
      <c r="AB41" s="502" t="s">
        <v>1409</v>
      </c>
      <c r="AC41" s="1363"/>
      <c r="AD41" s="1352"/>
      <c r="AE41" s="1352"/>
      <c r="AF41" s="1352"/>
      <c r="AG41" s="1352"/>
      <c r="AH41" s="1352"/>
      <c r="AI41" s="1352"/>
      <c r="AJ41" s="1352"/>
      <c r="AK41" s="1352"/>
      <c r="AL41" s="1352"/>
      <c r="AM41" s="1352"/>
      <c r="AN41" s="1352"/>
      <c r="AO41" s="1352"/>
      <c r="AP41" s="1352"/>
      <c r="AQ41" s="1352"/>
      <c r="AR41" s="1352"/>
      <c r="AS41" s="1352"/>
      <c r="AT41" s="1352"/>
      <c r="AU41" s="1352"/>
      <c r="AV41" s="1352"/>
      <c r="AW41" s="1352"/>
      <c r="AX41" s="1352"/>
      <c r="AY41" s="1352"/>
      <c r="AZ41" s="1352"/>
      <c r="BA41" s="1352"/>
      <c r="BB41" s="1364"/>
      <c r="BC41" s="1364"/>
      <c r="BD41" s="1364"/>
      <c r="BE41" s="1364"/>
      <c r="BF41" s="1364"/>
      <c r="BG41" s="1364"/>
      <c r="BH41" s="1364"/>
      <c r="BI41" s="1364"/>
      <c r="BJ41" s="1364"/>
      <c r="BK41" s="1364"/>
      <c r="BL41" s="1364"/>
      <c r="BM41" s="1365"/>
      <c r="BN41" s="1365"/>
      <c r="BO41" s="1365"/>
      <c r="BP41" s="1365"/>
      <c r="BQ41" s="1365"/>
      <c r="BR41" s="1365"/>
      <c r="BS41" s="1365"/>
      <c r="BT41" s="1365"/>
      <c r="BU41" s="1365"/>
      <c r="BV41" s="1365"/>
      <c r="BW41" s="1365"/>
    </row>
    <row r="42" spans="2:75" x14ac:dyDescent="0.3">
      <c r="B42" s="1338" t="s">
        <v>846</v>
      </c>
      <c r="C42" s="1338" t="s">
        <v>847</v>
      </c>
      <c r="D42" s="1338" t="s">
        <v>598</v>
      </c>
      <c r="E42" s="502">
        <v>0.38585849999999999</v>
      </c>
      <c r="F42" s="502">
        <v>2.3151509999999997</v>
      </c>
      <c r="G42" s="1231">
        <v>1</v>
      </c>
      <c r="H42" s="1339">
        <f>F42/SUM(BM42:BR42)</f>
        <v>1</v>
      </c>
      <c r="I42" s="1352"/>
      <c r="J42" s="1352"/>
      <c r="K42" s="1352"/>
      <c r="L42" s="1352"/>
      <c r="M42" s="502">
        <v>771717</v>
      </c>
      <c r="N42" s="1231">
        <v>0.35</v>
      </c>
      <c r="O42" s="1366">
        <v>5.0000000000000001E-3</v>
      </c>
      <c r="P42" s="1231">
        <v>1</v>
      </c>
      <c r="Q42" s="1231">
        <v>0.42036195213997768</v>
      </c>
      <c r="R42" s="502">
        <v>11099.70068708024</v>
      </c>
      <c r="S42" s="502" t="s">
        <v>1409</v>
      </c>
      <c r="T42" s="502" t="s">
        <v>1409</v>
      </c>
      <c r="U42" s="502" t="s">
        <v>1409</v>
      </c>
      <c r="V42" s="502" t="s">
        <v>1409</v>
      </c>
      <c r="W42" s="502" t="s">
        <v>1409</v>
      </c>
      <c r="X42" s="502" t="s">
        <v>1409</v>
      </c>
      <c r="Y42" s="502" t="s">
        <v>1409</v>
      </c>
      <c r="Z42" s="502" t="s">
        <v>1409</v>
      </c>
      <c r="AA42" s="502" t="s">
        <v>1409</v>
      </c>
      <c r="AB42" s="502" t="s">
        <v>1409</v>
      </c>
      <c r="AC42" s="1341">
        <f t="shared" si="52"/>
        <v>28.353495352826414</v>
      </c>
      <c r="AD42" s="1352"/>
      <c r="AE42" s="1352"/>
      <c r="AF42" s="1352"/>
      <c r="AG42" s="1352"/>
      <c r="AH42" s="1352"/>
      <c r="AI42" s="1352"/>
      <c r="AJ42" s="1352"/>
      <c r="AK42" s="1352"/>
      <c r="AL42" s="1352"/>
      <c r="AM42" s="1352"/>
      <c r="AN42" s="1352"/>
      <c r="AO42" s="1352"/>
      <c r="AP42" s="1352"/>
      <c r="AQ42" s="1352"/>
      <c r="AR42" s="1352"/>
      <c r="AS42" s="1352"/>
      <c r="AT42" s="1352"/>
      <c r="AU42" s="1352"/>
      <c r="AV42" s="1352"/>
      <c r="AW42" s="1352"/>
      <c r="AX42" s="1352"/>
      <c r="AY42" s="1352"/>
      <c r="AZ42" s="1352"/>
      <c r="BA42" s="1352"/>
      <c r="BB42" s="502">
        <v>23.329459244952506</v>
      </c>
      <c r="BC42" s="502">
        <v>11.664729622476255</v>
      </c>
      <c r="BD42" s="502">
        <v>11.664729622476251</v>
      </c>
      <c r="BE42" s="502">
        <v>11.664729622476251</v>
      </c>
      <c r="BF42" s="502">
        <v>11.664729622476258</v>
      </c>
      <c r="BG42" s="502">
        <v>11.664729622476258</v>
      </c>
      <c r="BH42" s="502">
        <v>11.664729622476258</v>
      </c>
      <c r="BI42" s="502">
        <v>11.664729622476258</v>
      </c>
      <c r="BJ42" s="502">
        <v>11.664729622476258</v>
      </c>
      <c r="BK42" s="502">
        <v>11.664729622476258</v>
      </c>
      <c r="BL42" s="502">
        <v>11.664729622476258</v>
      </c>
      <c r="BM42" s="1367">
        <f>($M42*$O42*100)/1000000</f>
        <v>0.38585849999999999</v>
      </c>
      <c r="BN42" s="1367">
        <f t="shared" ref="BN42:BW42" si="69">($M42*$O42*100)/1000000</f>
        <v>0.38585849999999999</v>
      </c>
      <c r="BO42" s="1367">
        <f t="shared" si="69"/>
        <v>0.38585849999999999</v>
      </c>
      <c r="BP42" s="1367">
        <f t="shared" si="69"/>
        <v>0.38585849999999999</v>
      </c>
      <c r="BQ42" s="1367">
        <f t="shared" si="69"/>
        <v>0.38585849999999999</v>
      </c>
      <c r="BR42" s="1367">
        <f t="shared" si="69"/>
        <v>0.38585849999999999</v>
      </c>
      <c r="BS42" s="1367">
        <f t="shared" si="69"/>
        <v>0.38585849999999999</v>
      </c>
      <c r="BT42" s="1367">
        <f t="shared" si="69"/>
        <v>0.38585849999999999</v>
      </c>
      <c r="BU42" s="1367">
        <f t="shared" si="69"/>
        <v>0.38585849999999999</v>
      </c>
      <c r="BV42" s="1367">
        <f t="shared" si="69"/>
        <v>0.38585849999999999</v>
      </c>
      <c r="BW42" s="1367">
        <f t="shared" si="69"/>
        <v>0.38585849999999999</v>
      </c>
    </row>
    <row r="43" spans="2:75" x14ac:dyDescent="0.3">
      <c r="B43" s="1338" t="s">
        <v>848</v>
      </c>
      <c r="C43" s="1338" t="s">
        <v>849</v>
      </c>
      <c r="D43" s="1338" t="s">
        <v>1412</v>
      </c>
      <c r="E43" s="502">
        <v>0</v>
      </c>
      <c r="F43" s="502">
        <v>0</v>
      </c>
      <c r="G43" s="1231">
        <v>0.5</v>
      </c>
      <c r="H43" s="1339">
        <f>F43/SUM(BM43:BR43)</f>
        <v>0</v>
      </c>
      <c r="I43" s="1352"/>
      <c r="J43" s="1352"/>
      <c r="K43" s="1352"/>
      <c r="L43" s="1352"/>
      <c r="M43" s="502">
        <v>771717</v>
      </c>
      <c r="N43" s="1368">
        <v>3.1034692769499701E-3</v>
      </c>
      <c r="O43" s="1231" t="s">
        <v>1409</v>
      </c>
      <c r="P43" s="1231">
        <v>0.34426571812424056</v>
      </c>
      <c r="Q43" s="1231">
        <v>1</v>
      </c>
      <c r="R43" s="502">
        <v>11099.70068708024</v>
      </c>
      <c r="S43" s="502" t="s">
        <v>1409</v>
      </c>
      <c r="T43" s="502" t="s">
        <v>1409</v>
      </c>
      <c r="U43" s="502" t="s">
        <v>1409</v>
      </c>
      <c r="V43" s="502" t="s">
        <v>1409</v>
      </c>
      <c r="W43" s="502" t="s">
        <v>1409</v>
      </c>
      <c r="X43" s="502" t="s">
        <v>1409</v>
      </c>
      <c r="Y43" s="502" t="s">
        <v>1409</v>
      </c>
      <c r="Z43" s="502" t="s">
        <v>1409</v>
      </c>
      <c r="AA43" s="502" t="s">
        <v>1409</v>
      </c>
      <c r="AB43" s="502" t="s">
        <v>1409</v>
      </c>
      <c r="AC43" s="1341">
        <f t="shared" si="52"/>
        <v>299.11626121974507</v>
      </c>
      <c r="AD43" s="1352"/>
      <c r="AE43" s="1352"/>
      <c r="AF43" s="1352"/>
      <c r="AG43" s="1352"/>
      <c r="AH43" s="1352"/>
      <c r="AI43" s="1352"/>
      <c r="AJ43" s="1352"/>
      <c r="AK43" s="1352"/>
      <c r="AL43" s="1352"/>
      <c r="AM43" s="1352"/>
      <c r="AN43" s="1352"/>
      <c r="AO43" s="1352"/>
      <c r="AP43" s="1352"/>
      <c r="AQ43" s="1352"/>
      <c r="AR43" s="1352"/>
      <c r="AS43" s="1352"/>
      <c r="AT43" s="1352"/>
      <c r="AU43" s="1352"/>
      <c r="AV43" s="1352"/>
      <c r="AW43" s="1352"/>
      <c r="AX43" s="1352"/>
      <c r="AY43" s="1352"/>
      <c r="AZ43" s="1352"/>
      <c r="BA43" s="1352"/>
      <c r="BB43" s="1005">
        <v>0.80069200859679068</v>
      </c>
      <c r="BC43" s="1005">
        <v>0.80069200859679068</v>
      </c>
      <c r="BD43" s="1005">
        <v>0.80069200859679079</v>
      </c>
      <c r="BE43" s="1005">
        <v>0.80069200859679057</v>
      </c>
      <c r="BF43" s="1005">
        <v>0.80069200859679102</v>
      </c>
      <c r="BG43" s="1005">
        <v>0.80069200859679057</v>
      </c>
      <c r="BH43" s="1005">
        <v>0.80069200859679057</v>
      </c>
      <c r="BI43" s="1005">
        <v>0.80069200859679057</v>
      </c>
      <c r="BJ43" s="1005">
        <v>0.80069200859679057</v>
      </c>
      <c r="BK43" s="1005">
        <v>0.80069200859679057</v>
      </c>
      <c r="BL43" s="1005">
        <v>0.80069200859679057</v>
      </c>
      <c r="BM43" s="1367">
        <f>($M43*$N43*100)/1000000</f>
        <v>0.23949999999999999</v>
      </c>
      <c r="BN43" s="1367">
        <f t="shared" ref="BN43:BW43" si="70">($M43*$N43*100)/1000000</f>
        <v>0.23949999999999999</v>
      </c>
      <c r="BO43" s="1367">
        <f t="shared" si="70"/>
        <v>0.23949999999999999</v>
      </c>
      <c r="BP43" s="1367">
        <f t="shared" si="70"/>
        <v>0.23949999999999999</v>
      </c>
      <c r="BQ43" s="1367">
        <f t="shared" si="70"/>
        <v>0.23949999999999999</v>
      </c>
      <c r="BR43" s="1367">
        <f t="shared" si="70"/>
        <v>0.23949999999999999</v>
      </c>
      <c r="BS43" s="1367">
        <f t="shared" si="70"/>
        <v>0.23949999999999999</v>
      </c>
      <c r="BT43" s="1367">
        <f t="shared" si="70"/>
        <v>0.23949999999999999</v>
      </c>
      <c r="BU43" s="1367">
        <f t="shared" si="70"/>
        <v>0.23949999999999999</v>
      </c>
      <c r="BV43" s="1367">
        <f t="shared" si="70"/>
        <v>0.23949999999999999</v>
      </c>
      <c r="BW43" s="1367">
        <f t="shared" si="70"/>
        <v>0.23949999999999999</v>
      </c>
    </row>
    <row r="44" spans="2:75" x14ac:dyDescent="0.3">
      <c r="B44" s="1338" t="s">
        <v>850</v>
      </c>
      <c r="C44" s="1338" t="s">
        <v>851</v>
      </c>
      <c r="D44" s="1338" t="s">
        <v>1413</v>
      </c>
      <c r="E44" s="502">
        <v>0.1</v>
      </c>
      <c r="F44" s="502">
        <v>0.6</v>
      </c>
      <c r="G44" s="1231">
        <v>1</v>
      </c>
      <c r="H44" s="1339">
        <f>F44/SUM(BM44:BR44)</f>
        <v>1</v>
      </c>
      <c r="I44" s="1352"/>
      <c r="J44" s="1352"/>
      <c r="K44" s="1352"/>
      <c r="L44" s="1352"/>
      <c r="M44" s="502"/>
      <c r="N44" s="1368">
        <v>0</v>
      </c>
      <c r="O44" s="1231" t="s">
        <v>1409</v>
      </c>
      <c r="P44" s="1231">
        <v>0</v>
      </c>
      <c r="Q44" s="1231" t="s">
        <v>1409</v>
      </c>
      <c r="R44" s="502">
        <v>11099.70068708024</v>
      </c>
      <c r="S44" s="502" t="s">
        <v>1409</v>
      </c>
      <c r="T44" s="502" t="s">
        <v>1409</v>
      </c>
      <c r="U44" s="502">
        <v>6.7516978374196762E-2</v>
      </c>
      <c r="V44" s="502" t="s">
        <v>1409</v>
      </c>
      <c r="W44" s="502" t="s">
        <v>1409</v>
      </c>
      <c r="X44" s="502" t="s">
        <v>1409</v>
      </c>
      <c r="Y44" s="502" t="s">
        <v>1409</v>
      </c>
      <c r="Z44" s="502" t="s">
        <v>1409</v>
      </c>
      <c r="AA44" s="502" t="s">
        <v>1409</v>
      </c>
      <c r="AB44" s="502" t="s">
        <v>1409</v>
      </c>
      <c r="AC44" s="1341"/>
      <c r="AD44" s="1352"/>
      <c r="AE44" s="1352"/>
      <c r="AF44" s="1352"/>
      <c r="AG44" s="1352"/>
      <c r="AH44" s="1352"/>
      <c r="AI44" s="1352"/>
      <c r="AJ44" s="1352"/>
      <c r="AK44" s="1352"/>
      <c r="AL44" s="1352"/>
      <c r="AM44" s="1352"/>
      <c r="AN44" s="1352"/>
      <c r="AO44" s="1352"/>
      <c r="AP44" s="1352"/>
      <c r="AQ44" s="1352"/>
      <c r="AR44" s="1352"/>
      <c r="AS44" s="1352"/>
      <c r="AT44" s="1352"/>
      <c r="AU44" s="1352"/>
      <c r="AV44" s="1352"/>
      <c r="AW44" s="1352"/>
      <c r="AX44" s="1352"/>
      <c r="AY44" s="1352"/>
      <c r="AZ44" s="1352"/>
      <c r="BA44" s="1352"/>
      <c r="BB44" s="1356">
        <f>$U44*$P44*$R44*$N44</f>
        <v>0</v>
      </c>
      <c r="BC44" s="1356">
        <f t="shared" ref="BC44:BL45" si="71">$U44*$P44*$R44*$N44</f>
        <v>0</v>
      </c>
      <c r="BD44" s="1356">
        <f t="shared" si="71"/>
        <v>0</v>
      </c>
      <c r="BE44" s="1356">
        <f t="shared" si="71"/>
        <v>0</v>
      </c>
      <c r="BF44" s="1356">
        <f t="shared" si="71"/>
        <v>0</v>
      </c>
      <c r="BG44" s="1356">
        <f t="shared" si="71"/>
        <v>0</v>
      </c>
      <c r="BH44" s="1356">
        <f t="shared" si="71"/>
        <v>0</v>
      </c>
      <c r="BI44" s="1356">
        <f t="shared" si="71"/>
        <v>0</v>
      </c>
      <c r="BJ44" s="1356">
        <f t="shared" si="71"/>
        <v>0</v>
      </c>
      <c r="BK44" s="1356">
        <f t="shared" si="71"/>
        <v>0</v>
      </c>
      <c r="BL44" s="1356">
        <f t="shared" si="71"/>
        <v>0</v>
      </c>
      <c r="BM44" s="1369">
        <v>0.1</v>
      </c>
      <c r="BN44" s="1369">
        <v>0.1</v>
      </c>
      <c r="BO44" s="1369">
        <v>0.1</v>
      </c>
      <c r="BP44" s="1369">
        <v>0.1</v>
      </c>
      <c r="BQ44" s="1369">
        <v>0.1</v>
      </c>
      <c r="BR44" s="1369">
        <v>0.1</v>
      </c>
      <c r="BS44" s="1369">
        <v>0.1</v>
      </c>
      <c r="BT44" s="1369">
        <v>0.1</v>
      </c>
      <c r="BU44" s="1369">
        <v>0.1</v>
      </c>
      <c r="BV44" s="1369">
        <v>0.1</v>
      </c>
      <c r="BW44" s="1369">
        <v>0.1</v>
      </c>
    </row>
    <row r="45" spans="2:75" x14ac:dyDescent="0.3">
      <c r="B45" s="1338" t="s">
        <v>852</v>
      </c>
      <c r="C45" s="1338" t="s">
        <v>853</v>
      </c>
      <c r="D45" s="1338" t="s">
        <v>598</v>
      </c>
      <c r="E45" s="502">
        <v>0</v>
      </c>
      <c r="F45" s="502">
        <v>0</v>
      </c>
      <c r="G45" s="1231">
        <v>0.5</v>
      </c>
      <c r="H45" s="1339" t="e">
        <f>F45/SUM(BM45:BR45)</f>
        <v>#DIV/0!</v>
      </c>
      <c r="I45" s="1352"/>
      <c r="J45" s="1352"/>
      <c r="K45" s="1352"/>
      <c r="L45" s="1352"/>
      <c r="M45" s="502">
        <v>771717</v>
      </c>
      <c r="N45" s="1368">
        <v>6.731483173235785E-3</v>
      </c>
      <c r="O45" s="1231" t="s">
        <v>1409</v>
      </c>
      <c r="P45" s="1231">
        <v>-0.22</v>
      </c>
      <c r="Q45" s="1231" t="s">
        <v>1409</v>
      </c>
      <c r="R45" s="502">
        <v>11099.70068708024</v>
      </c>
      <c r="S45" s="502" t="s">
        <v>1409</v>
      </c>
      <c r="T45" s="502" t="s">
        <v>1409</v>
      </c>
      <c r="U45" s="502">
        <v>6.7516978374196762E-2</v>
      </c>
      <c r="V45" s="502" t="s">
        <v>1409</v>
      </c>
      <c r="W45" s="502" t="s">
        <v>1409</v>
      </c>
      <c r="X45" s="502" t="s">
        <v>1409</v>
      </c>
      <c r="Y45" s="502" t="s">
        <v>1409</v>
      </c>
      <c r="Z45" s="502" t="s">
        <v>1409</v>
      </c>
      <c r="AA45" s="502" t="s">
        <v>1409</v>
      </c>
      <c r="AB45" s="502" t="s">
        <v>1409</v>
      </c>
      <c r="AC45" s="1341">
        <f t="shared" si="52"/>
        <v>0</v>
      </c>
      <c r="AD45" s="1352"/>
      <c r="AE45" s="1352"/>
      <c r="AF45" s="1352"/>
      <c r="AG45" s="1352"/>
      <c r="AH45" s="1352"/>
      <c r="AI45" s="1352"/>
      <c r="AJ45" s="1352"/>
      <c r="AK45" s="1352"/>
      <c r="AL45" s="1352"/>
      <c r="AM45" s="1352"/>
      <c r="AN45" s="1352"/>
      <c r="AO45" s="1352"/>
      <c r="AP45" s="1352"/>
      <c r="AQ45" s="1352"/>
      <c r="AR45" s="1352"/>
      <c r="AS45" s="1352"/>
      <c r="AT45" s="1352"/>
      <c r="AU45" s="1352"/>
      <c r="AV45" s="1352"/>
      <c r="AW45" s="1352"/>
      <c r="AX45" s="1352"/>
      <c r="AY45" s="1352"/>
      <c r="AZ45" s="1352"/>
      <c r="BA45" s="1352"/>
      <c r="BB45" s="1348">
        <f>$U45*$P45*$R45*$N45</f>
        <v>-1.1098331965606227</v>
      </c>
      <c r="BC45" s="1348">
        <f t="shared" si="71"/>
        <v>-1.1098331965606227</v>
      </c>
      <c r="BD45" s="1348">
        <f t="shared" si="71"/>
        <v>-1.1098331965606227</v>
      </c>
      <c r="BE45" s="1348">
        <f t="shared" si="71"/>
        <v>-1.1098331965606227</v>
      </c>
      <c r="BF45" s="1348">
        <f t="shared" si="71"/>
        <v>-1.1098331965606227</v>
      </c>
      <c r="BG45" s="1348">
        <f t="shared" si="71"/>
        <v>-1.1098331965606227</v>
      </c>
      <c r="BH45" s="1348">
        <f t="shared" si="71"/>
        <v>-1.1098331965606227</v>
      </c>
      <c r="BI45" s="1348">
        <f t="shared" si="71"/>
        <v>-1.1098331965606227</v>
      </c>
      <c r="BJ45" s="1348">
        <f t="shared" si="71"/>
        <v>-1.1098331965606227</v>
      </c>
      <c r="BK45" s="1348">
        <f t="shared" si="71"/>
        <v>-1.1098331965606227</v>
      </c>
      <c r="BL45" s="1348">
        <f t="shared" si="71"/>
        <v>-1.1098331965606227</v>
      </c>
      <c r="BM45" s="1360">
        <v>0</v>
      </c>
      <c r="BN45" s="1370">
        <v>0</v>
      </c>
      <c r="BO45" s="1370">
        <v>0</v>
      </c>
      <c r="BP45" s="1370">
        <v>0</v>
      </c>
      <c r="BQ45" s="1370">
        <v>0</v>
      </c>
      <c r="BR45" s="1370">
        <v>0</v>
      </c>
      <c r="BS45" s="1370">
        <v>0</v>
      </c>
      <c r="BT45" s="1370">
        <v>0</v>
      </c>
      <c r="BU45" s="1370">
        <v>0</v>
      </c>
      <c r="BV45" s="1370">
        <v>0</v>
      </c>
      <c r="BW45" s="1370">
        <v>0</v>
      </c>
    </row>
    <row r="46" spans="2:75" x14ac:dyDescent="0.3">
      <c r="B46" s="1338" t="s">
        <v>854</v>
      </c>
      <c r="C46" s="1338" t="s">
        <v>855</v>
      </c>
      <c r="D46" s="1338" t="s">
        <v>598</v>
      </c>
      <c r="E46" s="502">
        <v>43.288832679612945</v>
      </c>
      <c r="F46" s="502">
        <v>909.06548627187181</v>
      </c>
      <c r="G46" s="1231">
        <v>1</v>
      </c>
      <c r="H46" s="1339">
        <f>F46/SUM(BM46:BR46)</f>
        <v>1</v>
      </c>
      <c r="I46" s="1352"/>
      <c r="J46" s="1352"/>
      <c r="K46" s="1352"/>
      <c r="L46" s="1352"/>
      <c r="M46" s="502">
        <v>771717</v>
      </c>
      <c r="N46" s="1231">
        <v>1</v>
      </c>
      <c r="O46" s="1231" t="s">
        <v>1409</v>
      </c>
      <c r="P46" s="1231" t="s">
        <v>1409</v>
      </c>
      <c r="Q46" s="1231" t="s">
        <v>1409</v>
      </c>
      <c r="R46" s="502">
        <v>11099.70068708024</v>
      </c>
      <c r="S46" s="502" t="s">
        <v>1409</v>
      </c>
      <c r="T46" s="502" t="s">
        <v>1409</v>
      </c>
      <c r="U46" s="502" t="s">
        <v>1409</v>
      </c>
      <c r="V46" s="502" t="s">
        <v>1409</v>
      </c>
      <c r="W46" s="502" t="s">
        <v>1409</v>
      </c>
      <c r="X46" s="502" t="s">
        <v>1409</v>
      </c>
      <c r="Y46" s="502" t="s">
        <v>1409</v>
      </c>
      <c r="Z46" s="502" t="s">
        <v>1409</v>
      </c>
      <c r="AA46" s="502" t="s">
        <v>1409</v>
      </c>
      <c r="AB46" s="502" t="s">
        <v>1409</v>
      </c>
      <c r="AC46" s="1341">
        <f t="shared" si="52"/>
        <v>2275</v>
      </c>
      <c r="AD46" s="1352"/>
      <c r="AE46" s="1352"/>
      <c r="AF46" s="1352"/>
      <c r="AG46" s="1352"/>
      <c r="AH46" s="1352"/>
      <c r="AI46" s="1352"/>
      <c r="AJ46" s="1352"/>
      <c r="AK46" s="1352"/>
      <c r="AL46" s="1352"/>
      <c r="AM46" s="1352"/>
      <c r="AN46" s="1352"/>
      <c r="AO46" s="1352"/>
      <c r="AP46" s="1352"/>
      <c r="AQ46" s="1352"/>
      <c r="AR46" s="1352"/>
      <c r="AS46" s="1352"/>
      <c r="AT46" s="1352"/>
      <c r="AU46" s="1352"/>
      <c r="AV46" s="1352"/>
      <c r="AW46" s="1352"/>
      <c r="AX46" s="1352"/>
      <c r="AY46" s="1352"/>
      <c r="AZ46" s="1352"/>
      <c r="BA46" s="1352"/>
      <c r="BB46" s="502">
        <v>66.598204122481462</v>
      </c>
      <c r="BC46" s="502">
        <v>66.598204122481462</v>
      </c>
      <c r="BD46" s="502">
        <v>66.598204122481462</v>
      </c>
      <c r="BE46" s="502">
        <v>66.598204122481462</v>
      </c>
      <c r="BF46" s="502">
        <v>66.598204122481434</v>
      </c>
      <c r="BG46" s="502">
        <v>66.598204122481434</v>
      </c>
      <c r="BH46" s="502">
        <v>66.598204122481434</v>
      </c>
      <c r="BI46" s="502">
        <v>66.598204122481434</v>
      </c>
      <c r="BJ46" s="502">
        <v>66.598204122481434</v>
      </c>
      <c r="BK46" s="502">
        <v>66.598204122481434</v>
      </c>
      <c r="BL46" s="502">
        <v>66.598204122481434</v>
      </c>
      <c r="BM46" s="1360">
        <v>43.288832679612945</v>
      </c>
      <c r="BN46" s="1360">
        <v>86.57766535922589</v>
      </c>
      <c r="BO46" s="1360">
        <v>129.86649803883884</v>
      </c>
      <c r="BP46" s="1360">
        <v>173.15533071845178</v>
      </c>
      <c r="BQ46" s="1360">
        <v>216.44416339806472</v>
      </c>
      <c r="BR46" s="1360">
        <v>259.73299607767768</v>
      </c>
      <c r="BS46" s="1360">
        <v>259.73299607767768</v>
      </c>
      <c r="BT46" s="1360">
        <v>259.73299607767768</v>
      </c>
      <c r="BU46" s="1360">
        <v>259.73299607767768</v>
      </c>
      <c r="BV46" s="1360">
        <v>259.73299607767768</v>
      </c>
      <c r="BW46" s="1360">
        <v>259.73299607767768</v>
      </c>
    </row>
  </sheetData>
  <mergeCells count="5">
    <mergeCell ref="AD2:AI2"/>
    <mergeCell ref="AO2:AT2"/>
    <mergeCell ref="BB2:BG2"/>
    <mergeCell ref="BM2:BR2"/>
    <mergeCell ref="CB14:CD14"/>
  </mergeCells>
  <dataValidations disablePrompts="1" count="1">
    <dataValidation type="list" allowBlank="1" showInputMessage="1" showErrorMessage="1" sqref="CA3" xr:uid="{F78BB077-CE45-4395-8198-5AB7E1873B0B}">
      <formula1>$B$4:$B$46</formula1>
    </dataValidation>
  </dataValidations>
  <pageMargins left="0.7" right="0.7" top="0.75" bottom="0.75" header="0.3" footer="0.3"/>
  <pageSetup orientation="portrait"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78179B7-FA40-4756-900E-91F518F1E61B}">
  <sheetPr codeName="Sheet13"/>
  <dimension ref="C2:J84"/>
  <sheetViews>
    <sheetView workbookViewId="0"/>
  </sheetViews>
  <sheetFormatPr defaultColWidth="9.1640625" defaultRowHeight="13.5" x14ac:dyDescent="0.3"/>
  <cols>
    <col min="4" max="4" width="84.1640625" customWidth="1"/>
    <col min="5" max="5" width="9" customWidth="1"/>
    <col min="12" max="12" width="9" customWidth="1"/>
  </cols>
  <sheetData>
    <row r="2" spans="3:10" ht="24.6" customHeight="1" x14ac:dyDescent="0.3">
      <c r="C2" s="914"/>
      <c r="D2" s="915"/>
      <c r="E2" s="915" t="s">
        <v>13</v>
      </c>
      <c r="F2" s="915" t="s">
        <v>35</v>
      </c>
      <c r="G2" s="915" t="s">
        <v>36</v>
      </c>
      <c r="H2" s="915" t="s">
        <v>296</v>
      </c>
      <c r="I2" s="915" t="s">
        <v>38</v>
      </c>
      <c r="J2" s="916" t="s">
        <v>39</v>
      </c>
    </row>
    <row r="3" spans="3:10" x14ac:dyDescent="0.3">
      <c r="C3" s="2134" t="s">
        <v>125</v>
      </c>
      <c r="D3" s="2135"/>
      <c r="E3" s="2135"/>
      <c r="F3" s="2135"/>
      <c r="G3" s="2135"/>
      <c r="H3" s="2135"/>
      <c r="I3" s="2135"/>
      <c r="J3" s="2136"/>
    </row>
    <row r="4" spans="3:10" ht="12.6" customHeight="1" x14ac:dyDescent="0.3">
      <c r="C4" s="917" t="s">
        <v>558</v>
      </c>
      <c r="D4" s="918" t="s">
        <v>559</v>
      </c>
      <c r="E4" s="919" t="s">
        <v>1414</v>
      </c>
      <c r="F4" s="919" t="s">
        <v>1414</v>
      </c>
      <c r="G4" s="919" t="s">
        <v>1414</v>
      </c>
      <c r="H4" s="919" t="s">
        <v>1414</v>
      </c>
      <c r="I4" s="919" t="s">
        <v>1414</v>
      </c>
      <c r="J4" s="920" t="s">
        <v>1414</v>
      </c>
    </row>
    <row r="5" spans="3:10" ht="12.6" customHeight="1" x14ac:dyDescent="0.3">
      <c r="C5" s="917" t="s">
        <v>569</v>
      </c>
      <c r="D5" s="918" t="s">
        <v>570</v>
      </c>
      <c r="E5" s="919" t="s">
        <v>1414</v>
      </c>
      <c r="F5" s="919" t="s">
        <v>1414</v>
      </c>
      <c r="G5" s="919" t="s">
        <v>1414</v>
      </c>
      <c r="H5" s="919" t="s">
        <v>1414</v>
      </c>
      <c r="I5" s="919" t="s">
        <v>1414</v>
      </c>
      <c r="J5" s="920" t="s">
        <v>1414</v>
      </c>
    </row>
    <row r="6" spans="3:10" ht="12.6" customHeight="1" x14ac:dyDescent="0.3">
      <c r="C6" s="917" t="s">
        <v>574</v>
      </c>
      <c r="D6" s="918" t="s">
        <v>575</v>
      </c>
      <c r="E6" s="919" t="s">
        <v>1414</v>
      </c>
      <c r="F6" s="919" t="s">
        <v>1414</v>
      </c>
      <c r="G6" s="919" t="s">
        <v>1414</v>
      </c>
      <c r="H6" s="919" t="s">
        <v>1414</v>
      </c>
      <c r="I6" s="919" t="s">
        <v>1414</v>
      </c>
      <c r="J6" s="920" t="s">
        <v>1414</v>
      </c>
    </row>
    <row r="7" spans="3:10" ht="12.6" customHeight="1" x14ac:dyDescent="0.3">
      <c r="C7" s="917" t="s">
        <v>580</v>
      </c>
      <c r="D7" s="918" t="s">
        <v>581</v>
      </c>
      <c r="E7" s="919" t="s">
        <v>1414</v>
      </c>
      <c r="F7" s="919" t="s">
        <v>1414</v>
      </c>
      <c r="G7" s="919" t="s">
        <v>1414</v>
      </c>
      <c r="H7" s="919" t="s">
        <v>1414</v>
      </c>
      <c r="I7" s="919" t="s">
        <v>1414</v>
      </c>
      <c r="J7" s="920" t="s">
        <v>1414</v>
      </c>
    </row>
    <row r="8" spans="3:10" ht="12.6" customHeight="1" x14ac:dyDescent="0.3">
      <c r="C8" s="921" t="s">
        <v>717</v>
      </c>
      <c r="D8" s="922" t="s">
        <v>718</v>
      </c>
      <c r="E8" s="923"/>
      <c r="F8" s="923" t="s">
        <v>1414</v>
      </c>
      <c r="G8" s="923"/>
      <c r="H8" s="923"/>
      <c r="I8" s="923"/>
      <c r="J8" s="924"/>
    </row>
    <row r="9" spans="3:10" ht="12.6" customHeight="1" x14ac:dyDescent="0.3">
      <c r="C9" s="921" t="s">
        <v>723</v>
      </c>
      <c r="D9" s="922" t="s">
        <v>724</v>
      </c>
      <c r="E9" s="923"/>
      <c r="F9" s="923" t="s">
        <v>1414</v>
      </c>
      <c r="G9" s="923" t="s">
        <v>1414</v>
      </c>
      <c r="H9" s="923"/>
      <c r="I9" s="923" t="s">
        <v>1414</v>
      </c>
      <c r="J9" s="924" t="s">
        <v>1414</v>
      </c>
    </row>
    <row r="10" spans="3:10" ht="12.6" customHeight="1" x14ac:dyDescent="0.3">
      <c r="C10" s="921" t="s">
        <v>729</v>
      </c>
      <c r="D10" s="922" t="s">
        <v>730</v>
      </c>
      <c r="E10" s="923"/>
      <c r="F10" s="923"/>
      <c r="G10" s="923"/>
      <c r="H10" s="923" t="s">
        <v>1414</v>
      </c>
      <c r="I10" s="923"/>
      <c r="J10" s="924"/>
    </row>
    <row r="11" spans="3:10" ht="12.6" customHeight="1" x14ac:dyDescent="0.3">
      <c r="C11" s="921" t="s">
        <v>731</v>
      </c>
      <c r="D11" s="922" t="s">
        <v>732</v>
      </c>
      <c r="E11" s="923"/>
      <c r="F11" s="923" t="s">
        <v>1415</v>
      </c>
      <c r="G11" s="923" t="s">
        <v>1415</v>
      </c>
      <c r="H11" s="923" t="s">
        <v>1414</v>
      </c>
      <c r="I11" s="923" t="s">
        <v>1415</v>
      </c>
      <c r="J11" s="924" t="s">
        <v>1414</v>
      </c>
    </row>
    <row r="12" spans="3:10" ht="12.6" customHeight="1" x14ac:dyDescent="0.3">
      <c r="C12" s="921" t="s">
        <v>736</v>
      </c>
      <c r="D12" s="922" t="s">
        <v>737</v>
      </c>
      <c r="E12" s="923"/>
      <c r="F12" s="923"/>
      <c r="G12" s="923" t="s">
        <v>1415</v>
      </c>
      <c r="H12" s="923" t="s">
        <v>1414</v>
      </c>
      <c r="I12" s="923" t="s">
        <v>1415</v>
      </c>
      <c r="J12" s="924" t="s">
        <v>1414</v>
      </c>
    </row>
    <row r="13" spans="3:10" ht="12.6" customHeight="1" x14ac:dyDescent="0.3">
      <c r="C13" s="921" t="s">
        <v>739</v>
      </c>
      <c r="D13" s="922" t="s">
        <v>740</v>
      </c>
      <c r="E13" s="923"/>
      <c r="F13" s="923"/>
      <c r="G13" s="923" t="s">
        <v>1415</v>
      </c>
      <c r="H13" s="923" t="s">
        <v>1414</v>
      </c>
      <c r="I13" s="923" t="s">
        <v>1415</v>
      </c>
      <c r="J13" s="924" t="s">
        <v>1415</v>
      </c>
    </row>
    <row r="14" spans="3:10" ht="12.6" customHeight="1" x14ac:dyDescent="0.3">
      <c r="C14" s="921" t="s">
        <v>742</v>
      </c>
      <c r="D14" s="922" t="s">
        <v>743</v>
      </c>
      <c r="E14" s="923"/>
      <c r="F14" s="923"/>
      <c r="G14" s="923"/>
      <c r="H14" s="923" t="s">
        <v>1415</v>
      </c>
      <c r="I14" s="923"/>
      <c r="J14" s="924" t="s">
        <v>1414</v>
      </c>
    </row>
    <row r="15" spans="3:10" x14ac:dyDescent="0.3">
      <c r="C15" s="921" t="s">
        <v>745</v>
      </c>
      <c r="D15" s="922" t="s">
        <v>746</v>
      </c>
      <c r="E15" s="923"/>
      <c r="F15" s="923"/>
      <c r="G15" s="923" t="s">
        <v>1414</v>
      </c>
      <c r="H15" s="923" t="s">
        <v>1415</v>
      </c>
      <c r="I15" s="923" t="s">
        <v>1415</v>
      </c>
      <c r="J15" s="924"/>
    </row>
    <row r="16" spans="3:10" x14ac:dyDescent="0.3">
      <c r="C16" s="2134" t="s">
        <v>52</v>
      </c>
      <c r="D16" s="2135"/>
      <c r="E16" s="2135"/>
      <c r="F16" s="2135"/>
      <c r="G16" s="2135"/>
      <c r="H16" s="2135"/>
      <c r="I16" s="2135"/>
      <c r="J16" s="2136"/>
    </row>
    <row r="17" spans="3:10" x14ac:dyDescent="0.3">
      <c r="C17" s="925" t="s">
        <v>584</v>
      </c>
      <c r="D17" s="918" t="s">
        <v>585</v>
      </c>
      <c r="E17" s="919" t="s">
        <v>1414</v>
      </c>
      <c r="F17" s="919" t="s">
        <v>1414</v>
      </c>
      <c r="G17" s="919" t="s">
        <v>1414</v>
      </c>
      <c r="H17" s="919" t="s">
        <v>1414</v>
      </c>
      <c r="I17" s="919" t="s">
        <v>1414</v>
      </c>
      <c r="J17" s="920" t="s">
        <v>1414</v>
      </c>
    </row>
    <row r="18" spans="3:10" ht="12.6" customHeight="1" x14ac:dyDescent="0.3">
      <c r="C18" s="925" t="s">
        <v>592</v>
      </c>
      <c r="D18" s="918" t="s">
        <v>593</v>
      </c>
      <c r="E18" s="919" t="s">
        <v>1414</v>
      </c>
      <c r="F18" s="919" t="s">
        <v>1414</v>
      </c>
      <c r="G18" s="919" t="s">
        <v>1414</v>
      </c>
      <c r="H18" s="919" t="s">
        <v>1414</v>
      </c>
      <c r="I18" s="919" t="s">
        <v>1414</v>
      </c>
      <c r="J18" s="920" t="s">
        <v>1414</v>
      </c>
    </row>
    <row r="19" spans="3:10" x14ac:dyDescent="0.3">
      <c r="C19" s="925" t="s">
        <v>600</v>
      </c>
      <c r="D19" s="918" t="s">
        <v>601</v>
      </c>
      <c r="E19" s="919" t="s">
        <v>1414</v>
      </c>
      <c r="F19" s="919" t="s">
        <v>1414</v>
      </c>
      <c r="G19" s="919" t="s">
        <v>1414</v>
      </c>
      <c r="H19" s="919" t="s">
        <v>1414</v>
      </c>
      <c r="I19" s="919" t="s">
        <v>1414</v>
      </c>
      <c r="J19" s="920" t="s">
        <v>1414</v>
      </c>
    </row>
    <row r="20" spans="3:10" x14ac:dyDescent="0.3">
      <c r="C20" s="925" t="s">
        <v>608</v>
      </c>
      <c r="D20" s="918" t="s">
        <v>609</v>
      </c>
      <c r="E20" s="919" t="s">
        <v>1414</v>
      </c>
      <c r="F20" s="919" t="s">
        <v>1414</v>
      </c>
      <c r="G20" s="919" t="s">
        <v>1414</v>
      </c>
      <c r="H20" s="919" t="s">
        <v>1414</v>
      </c>
      <c r="I20" s="919" t="s">
        <v>1414</v>
      </c>
      <c r="J20" s="920" t="s">
        <v>1414</v>
      </c>
    </row>
    <row r="21" spans="3:10" x14ac:dyDescent="0.3">
      <c r="C21" s="925" t="s">
        <v>613</v>
      </c>
      <c r="D21" s="918" t="s">
        <v>614</v>
      </c>
      <c r="E21" s="919" t="s">
        <v>1414</v>
      </c>
      <c r="F21" s="919" t="s">
        <v>1414</v>
      </c>
      <c r="G21" s="919" t="s">
        <v>1414</v>
      </c>
      <c r="H21" s="919" t="s">
        <v>1414</v>
      </c>
      <c r="I21" s="919" t="s">
        <v>1414</v>
      </c>
      <c r="J21" s="920" t="s">
        <v>1414</v>
      </c>
    </row>
    <row r="22" spans="3:10" x14ac:dyDescent="0.3">
      <c r="C22" s="925" t="s">
        <v>619</v>
      </c>
      <c r="D22" s="918" t="s">
        <v>620</v>
      </c>
      <c r="E22" s="919" t="s">
        <v>1414</v>
      </c>
      <c r="F22" s="919" t="s">
        <v>1414</v>
      </c>
      <c r="G22" s="919" t="s">
        <v>1414</v>
      </c>
      <c r="H22" s="919" t="s">
        <v>1414</v>
      </c>
      <c r="I22" s="919" t="s">
        <v>1414</v>
      </c>
      <c r="J22" s="920" t="s">
        <v>1414</v>
      </c>
    </row>
    <row r="23" spans="3:10" x14ac:dyDescent="0.3">
      <c r="C23" s="925" t="s">
        <v>625</v>
      </c>
      <c r="D23" s="918" t="s">
        <v>626</v>
      </c>
      <c r="E23" s="919" t="s">
        <v>1414</v>
      </c>
      <c r="F23" s="919" t="s">
        <v>1414</v>
      </c>
      <c r="G23" s="919" t="s">
        <v>1414</v>
      </c>
      <c r="H23" s="919" t="s">
        <v>1414</v>
      </c>
      <c r="I23" s="919" t="s">
        <v>1414</v>
      </c>
      <c r="J23" s="920" t="s">
        <v>1414</v>
      </c>
    </row>
    <row r="24" spans="3:10" x14ac:dyDescent="0.3">
      <c r="C24" s="926" t="s">
        <v>749</v>
      </c>
      <c r="D24" s="922" t="s">
        <v>750</v>
      </c>
      <c r="E24" s="923"/>
      <c r="F24" s="923" t="s">
        <v>1414</v>
      </c>
      <c r="G24" s="923"/>
      <c r="H24" s="923"/>
      <c r="I24" s="923"/>
      <c r="J24" s="927"/>
    </row>
    <row r="25" spans="3:10" x14ac:dyDescent="0.3">
      <c r="C25" s="926" t="s">
        <v>752</v>
      </c>
      <c r="D25" s="922" t="s">
        <v>753</v>
      </c>
      <c r="E25" s="923"/>
      <c r="F25" s="919" t="s">
        <v>1414</v>
      </c>
      <c r="G25" s="919" t="s">
        <v>1414</v>
      </c>
      <c r="H25" s="919" t="s">
        <v>1414</v>
      </c>
      <c r="I25" s="919" t="s">
        <v>1414</v>
      </c>
      <c r="J25" s="920" t="s">
        <v>1414</v>
      </c>
    </row>
    <row r="26" spans="3:10" x14ac:dyDescent="0.3">
      <c r="C26" s="926" t="s">
        <v>758</v>
      </c>
      <c r="D26" s="922" t="s">
        <v>759</v>
      </c>
      <c r="E26" s="923"/>
      <c r="F26" s="919" t="s">
        <v>1414</v>
      </c>
      <c r="G26" s="919" t="s">
        <v>1414</v>
      </c>
      <c r="H26" s="919" t="s">
        <v>1414</v>
      </c>
      <c r="I26" s="919" t="s">
        <v>1414</v>
      </c>
      <c r="J26" s="920" t="s">
        <v>1414</v>
      </c>
    </row>
    <row r="27" spans="3:10" x14ac:dyDescent="0.3">
      <c r="C27" s="926" t="s">
        <v>763</v>
      </c>
      <c r="D27" s="922" t="s">
        <v>764</v>
      </c>
      <c r="E27" s="923"/>
      <c r="F27" s="923" t="s">
        <v>1415</v>
      </c>
      <c r="G27" s="923" t="s">
        <v>1415</v>
      </c>
      <c r="H27" s="923" t="s">
        <v>1414</v>
      </c>
      <c r="I27" s="923" t="s">
        <v>1415</v>
      </c>
      <c r="J27" s="927"/>
    </row>
    <row r="28" spans="3:10" ht="27" x14ac:dyDescent="0.3">
      <c r="C28" s="926" t="s">
        <v>769</v>
      </c>
      <c r="D28" s="928" t="s">
        <v>770</v>
      </c>
      <c r="E28" s="923"/>
      <c r="F28" s="923"/>
      <c r="G28" s="923" t="s">
        <v>1415</v>
      </c>
      <c r="H28" s="923"/>
      <c r="I28" s="923" t="s">
        <v>1415</v>
      </c>
      <c r="J28" s="927"/>
    </row>
    <row r="29" spans="3:10" x14ac:dyDescent="0.3">
      <c r="C29" s="926" t="s">
        <v>772</v>
      </c>
      <c r="D29" s="922" t="s">
        <v>773</v>
      </c>
      <c r="E29" s="923"/>
      <c r="F29" s="923"/>
      <c r="G29" s="923" t="s">
        <v>1415</v>
      </c>
      <c r="H29" s="923" t="s">
        <v>1415</v>
      </c>
      <c r="I29" s="923" t="s">
        <v>1415</v>
      </c>
      <c r="J29" s="927"/>
    </row>
    <row r="30" spans="3:10" x14ac:dyDescent="0.3">
      <c r="C30" s="926" t="s">
        <v>775</v>
      </c>
      <c r="D30" s="922" t="s">
        <v>743</v>
      </c>
      <c r="E30" s="923"/>
      <c r="F30" s="923" t="s">
        <v>1415</v>
      </c>
      <c r="G30" s="923" t="s">
        <v>1415</v>
      </c>
      <c r="H30" s="923" t="s">
        <v>1415</v>
      </c>
      <c r="I30" s="923" t="s">
        <v>1415</v>
      </c>
      <c r="J30" s="927" t="s">
        <v>1414</v>
      </c>
    </row>
    <row r="31" spans="3:10" x14ac:dyDescent="0.3">
      <c r="C31" s="926" t="s">
        <v>776</v>
      </c>
      <c r="D31" s="929" t="s">
        <v>777</v>
      </c>
      <c r="E31" s="923"/>
      <c r="F31" s="923" t="s">
        <v>1415</v>
      </c>
      <c r="G31" s="923" t="s">
        <v>1415</v>
      </c>
      <c r="H31" s="923" t="s">
        <v>1414</v>
      </c>
      <c r="I31" s="923" t="s">
        <v>1415</v>
      </c>
      <c r="J31" s="924" t="s">
        <v>1414</v>
      </c>
    </row>
    <row r="32" spans="3:10" x14ac:dyDescent="0.3">
      <c r="C32" s="2134" t="s">
        <v>50</v>
      </c>
      <c r="D32" s="2135"/>
      <c r="E32" s="2135"/>
      <c r="F32" s="2135"/>
      <c r="G32" s="2135"/>
      <c r="H32" s="2135"/>
      <c r="I32" s="2135"/>
      <c r="J32" s="2136"/>
    </row>
    <row r="33" spans="3:10" x14ac:dyDescent="0.3">
      <c r="C33" s="925" t="s">
        <v>631</v>
      </c>
      <c r="D33" s="918" t="s">
        <v>1416</v>
      </c>
      <c r="E33" s="919" t="s">
        <v>1414</v>
      </c>
      <c r="F33" s="919" t="s">
        <v>1414</v>
      </c>
      <c r="G33" s="919" t="s">
        <v>1414</v>
      </c>
      <c r="H33" s="919" t="s">
        <v>1414</v>
      </c>
      <c r="I33" s="919" t="s">
        <v>1414</v>
      </c>
      <c r="J33" s="920" t="s">
        <v>1414</v>
      </c>
    </row>
    <row r="34" spans="3:10" x14ac:dyDescent="0.3">
      <c r="C34" s="925" t="s">
        <v>639</v>
      </c>
      <c r="D34" s="930" t="s">
        <v>640</v>
      </c>
      <c r="E34" s="919" t="s">
        <v>1414</v>
      </c>
      <c r="F34" s="919" t="s">
        <v>1414</v>
      </c>
      <c r="G34" s="919" t="s">
        <v>1414</v>
      </c>
      <c r="H34" s="919" t="s">
        <v>1414</v>
      </c>
      <c r="I34" s="919" t="s">
        <v>1414</v>
      </c>
      <c r="J34" s="920" t="s">
        <v>1414</v>
      </c>
    </row>
    <row r="35" spans="3:10" x14ac:dyDescent="0.3">
      <c r="C35" s="926" t="s">
        <v>779</v>
      </c>
      <c r="D35" s="931" t="s">
        <v>780</v>
      </c>
      <c r="E35" s="923"/>
      <c r="F35" s="923"/>
      <c r="G35" s="923" t="s">
        <v>1414</v>
      </c>
      <c r="H35" s="932"/>
      <c r="I35" s="932"/>
      <c r="J35" s="927" t="s">
        <v>1414</v>
      </c>
    </row>
    <row r="36" spans="3:10" x14ac:dyDescent="0.3">
      <c r="C36" s="926" t="s">
        <v>782</v>
      </c>
      <c r="D36" s="929" t="s">
        <v>783</v>
      </c>
      <c r="E36" s="923"/>
      <c r="F36" s="923" t="s">
        <v>1414</v>
      </c>
      <c r="G36" s="923" t="s">
        <v>1415</v>
      </c>
      <c r="H36" s="923" t="s">
        <v>1415</v>
      </c>
      <c r="I36" s="923" t="s">
        <v>1415</v>
      </c>
      <c r="J36" s="924" t="s">
        <v>1415</v>
      </c>
    </row>
    <row r="37" spans="3:10" x14ac:dyDescent="0.3">
      <c r="C37" s="926" t="s">
        <v>786</v>
      </c>
      <c r="D37" s="928" t="s">
        <v>1406</v>
      </c>
      <c r="E37" s="923"/>
      <c r="F37" s="923" t="s">
        <v>1414</v>
      </c>
      <c r="G37" s="923" t="s">
        <v>1415</v>
      </c>
      <c r="H37" s="923" t="s">
        <v>1415</v>
      </c>
      <c r="I37" s="923" t="s">
        <v>1415</v>
      </c>
      <c r="J37" s="924" t="s">
        <v>1415</v>
      </c>
    </row>
    <row r="38" spans="3:10" x14ac:dyDescent="0.3">
      <c r="C38" s="926" t="s">
        <v>789</v>
      </c>
      <c r="D38" s="928" t="s">
        <v>790</v>
      </c>
      <c r="E38" s="923"/>
      <c r="F38" s="923" t="s">
        <v>1414</v>
      </c>
      <c r="G38" s="923" t="s">
        <v>1415</v>
      </c>
      <c r="H38" s="923" t="s">
        <v>1415</v>
      </c>
      <c r="I38" s="923" t="s">
        <v>1415</v>
      </c>
      <c r="J38" s="924" t="s">
        <v>1415</v>
      </c>
    </row>
    <row r="39" spans="3:10" x14ac:dyDescent="0.3">
      <c r="C39" s="926" t="s">
        <v>792</v>
      </c>
      <c r="D39" s="928" t="s">
        <v>793</v>
      </c>
      <c r="E39" s="923"/>
      <c r="F39" s="923" t="s">
        <v>1414</v>
      </c>
      <c r="G39" s="923" t="s">
        <v>1415</v>
      </c>
      <c r="H39" s="923" t="s">
        <v>1415</v>
      </c>
      <c r="I39" s="923" t="s">
        <v>1415</v>
      </c>
      <c r="J39" s="924" t="s">
        <v>1415</v>
      </c>
    </row>
    <row r="40" spans="3:10" x14ac:dyDescent="0.3">
      <c r="C40" s="926" t="s">
        <v>795</v>
      </c>
      <c r="D40" s="928" t="s">
        <v>796</v>
      </c>
      <c r="E40" s="923"/>
      <c r="F40" s="923" t="s">
        <v>1414</v>
      </c>
      <c r="G40" s="923" t="s">
        <v>1415</v>
      </c>
      <c r="H40" s="923" t="s">
        <v>1415</v>
      </c>
      <c r="I40" s="923" t="s">
        <v>1415</v>
      </c>
      <c r="J40" s="924" t="s">
        <v>1415</v>
      </c>
    </row>
    <row r="41" spans="3:10" x14ac:dyDescent="0.3">
      <c r="C41" s="2134" t="s">
        <v>53</v>
      </c>
      <c r="D41" s="2135"/>
      <c r="E41" s="2135"/>
      <c r="F41" s="2135"/>
      <c r="G41" s="2135"/>
      <c r="H41" s="2135"/>
      <c r="I41" s="2135"/>
      <c r="J41" s="2136"/>
    </row>
    <row r="42" spans="3:10" x14ac:dyDescent="0.3">
      <c r="C42" s="925" t="s">
        <v>643</v>
      </c>
      <c r="D42" s="933" t="s">
        <v>644</v>
      </c>
      <c r="E42" s="919" t="s">
        <v>1414</v>
      </c>
      <c r="F42" s="919" t="s">
        <v>1414</v>
      </c>
      <c r="G42" s="919" t="s">
        <v>1414</v>
      </c>
      <c r="H42" s="919" t="s">
        <v>1414</v>
      </c>
      <c r="I42" s="919" t="s">
        <v>1414</v>
      </c>
      <c r="J42" s="920" t="s">
        <v>1414</v>
      </c>
    </row>
    <row r="43" spans="3:10" x14ac:dyDescent="0.3">
      <c r="C43" s="925" t="s">
        <v>650</v>
      </c>
      <c r="D43" s="934" t="s">
        <v>651</v>
      </c>
      <c r="E43" s="919" t="s">
        <v>1414</v>
      </c>
      <c r="F43" s="919" t="s">
        <v>1414</v>
      </c>
      <c r="G43" s="919" t="s">
        <v>1414</v>
      </c>
      <c r="H43" s="919" t="s">
        <v>1414</v>
      </c>
      <c r="I43" s="919" t="s">
        <v>1414</v>
      </c>
      <c r="J43" s="920" t="s">
        <v>1414</v>
      </c>
    </row>
    <row r="44" spans="3:10" x14ac:dyDescent="0.3">
      <c r="C44" s="925" t="s">
        <v>657</v>
      </c>
      <c r="D44" s="918" t="s">
        <v>658</v>
      </c>
      <c r="E44" s="919" t="s">
        <v>1414</v>
      </c>
      <c r="F44" s="919" t="s">
        <v>1414</v>
      </c>
      <c r="G44" s="919" t="s">
        <v>1414</v>
      </c>
      <c r="H44" s="919" t="s">
        <v>1414</v>
      </c>
      <c r="I44" s="919" t="s">
        <v>1414</v>
      </c>
      <c r="J44" s="920" t="s">
        <v>1414</v>
      </c>
    </row>
    <row r="45" spans="3:10" x14ac:dyDescent="0.3">
      <c r="C45" s="925" t="s">
        <v>661</v>
      </c>
      <c r="D45" s="918" t="s">
        <v>662</v>
      </c>
      <c r="E45" s="919" t="s">
        <v>1414</v>
      </c>
      <c r="F45" s="919" t="s">
        <v>1414</v>
      </c>
      <c r="G45" s="919" t="s">
        <v>1414</v>
      </c>
      <c r="H45" s="919" t="s">
        <v>1414</v>
      </c>
      <c r="I45" s="919" t="s">
        <v>1414</v>
      </c>
      <c r="J45" s="920" t="s">
        <v>1414</v>
      </c>
    </row>
    <row r="46" spans="3:10" x14ac:dyDescent="0.3">
      <c r="C46" s="925" t="s">
        <v>667</v>
      </c>
      <c r="D46" s="918" t="s">
        <v>668</v>
      </c>
      <c r="E46" s="919" t="s">
        <v>1414</v>
      </c>
      <c r="F46" s="919" t="s">
        <v>1414</v>
      </c>
      <c r="G46" s="919" t="s">
        <v>1414</v>
      </c>
      <c r="H46" s="919" t="s">
        <v>1414</v>
      </c>
      <c r="I46" s="919" t="s">
        <v>1414</v>
      </c>
      <c r="J46" s="920" t="s">
        <v>1414</v>
      </c>
    </row>
    <row r="47" spans="3:10" x14ac:dyDescent="0.3">
      <c r="C47" s="926" t="s">
        <v>799</v>
      </c>
      <c r="D47" s="935" t="s">
        <v>800</v>
      </c>
      <c r="E47" s="923"/>
      <c r="F47" s="923" t="s">
        <v>1415</v>
      </c>
      <c r="G47" s="923" t="s">
        <v>1415</v>
      </c>
      <c r="H47" s="923" t="s">
        <v>1415</v>
      </c>
      <c r="I47" s="923" t="s">
        <v>1415</v>
      </c>
      <c r="J47" s="924" t="s">
        <v>1415</v>
      </c>
    </row>
    <row r="48" spans="3:10" x14ac:dyDescent="0.3">
      <c r="C48" s="926" t="s">
        <v>803</v>
      </c>
      <c r="D48" s="936" t="s">
        <v>804</v>
      </c>
      <c r="E48" s="923"/>
      <c r="F48" s="923" t="s">
        <v>1415</v>
      </c>
      <c r="G48" s="923" t="s">
        <v>1415</v>
      </c>
      <c r="H48" s="923" t="s">
        <v>1415</v>
      </c>
      <c r="I48" s="923" t="s">
        <v>1414</v>
      </c>
      <c r="J48" s="924" t="s">
        <v>1414</v>
      </c>
    </row>
    <row r="49" spans="3:10" x14ac:dyDescent="0.3">
      <c r="C49" s="926" t="s">
        <v>805</v>
      </c>
      <c r="D49" s="936" t="s">
        <v>806</v>
      </c>
      <c r="E49" s="923"/>
      <c r="F49" s="923" t="s">
        <v>1415</v>
      </c>
      <c r="G49" s="923" t="s">
        <v>1415</v>
      </c>
      <c r="H49" s="923" t="s">
        <v>1415</v>
      </c>
      <c r="I49" s="923" t="s">
        <v>1414</v>
      </c>
      <c r="J49" s="924" t="s">
        <v>1414</v>
      </c>
    </row>
    <row r="50" spans="3:10" x14ac:dyDescent="0.3">
      <c r="C50" s="926" t="s">
        <v>807</v>
      </c>
      <c r="D50" s="936" t="s">
        <v>808</v>
      </c>
      <c r="E50" s="923"/>
      <c r="F50" s="923" t="s">
        <v>1415</v>
      </c>
      <c r="G50" s="923" t="s">
        <v>1415</v>
      </c>
      <c r="H50" s="923" t="s">
        <v>1415</v>
      </c>
      <c r="I50" s="923" t="s">
        <v>1414</v>
      </c>
      <c r="J50" s="924" t="s">
        <v>1414</v>
      </c>
    </row>
    <row r="51" spans="3:10" x14ac:dyDescent="0.3">
      <c r="C51" s="926" t="s">
        <v>809</v>
      </c>
      <c r="D51" s="936" t="s">
        <v>810</v>
      </c>
      <c r="E51" s="923"/>
      <c r="F51" s="923" t="s">
        <v>1415</v>
      </c>
      <c r="G51" s="923" t="s">
        <v>1415</v>
      </c>
      <c r="H51" s="923" t="s">
        <v>1415</v>
      </c>
      <c r="I51" s="923" t="s">
        <v>1414</v>
      </c>
      <c r="J51" s="924" t="s">
        <v>1414</v>
      </c>
    </row>
    <row r="52" spans="3:10" x14ac:dyDescent="0.3">
      <c r="C52" s="926" t="s">
        <v>811</v>
      </c>
      <c r="D52" s="937" t="s">
        <v>812</v>
      </c>
      <c r="E52" s="923"/>
      <c r="F52" s="923" t="s">
        <v>1415</v>
      </c>
      <c r="G52" s="923" t="s">
        <v>1415</v>
      </c>
      <c r="H52" s="923" t="s">
        <v>1415</v>
      </c>
      <c r="I52" s="923" t="s">
        <v>1414</v>
      </c>
      <c r="J52" s="924" t="s">
        <v>1414</v>
      </c>
    </row>
    <row r="53" spans="3:10" x14ac:dyDescent="0.3">
      <c r="C53" s="926" t="s">
        <v>813</v>
      </c>
      <c r="D53" s="936" t="s">
        <v>814</v>
      </c>
      <c r="E53" s="923"/>
      <c r="F53" s="923" t="s">
        <v>1415</v>
      </c>
      <c r="G53" s="923" t="s">
        <v>1415</v>
      </c>
      <c r="H53" s="923" t="s">
        <v>1415</v>
      </c>
      <c r="I53" s="923" t="s">
        <v>1414</v>
      </c>
      <c r="J53" s="924" t="s">
        <v>1414</v>
      </c>
    </row>
    <row r="54" spans="3:10" x14ac:dyDescent="0.3">
      <c r="C54" s="926" t="s">
        <v>815</v>
      </c>
      <c r="D54" s="936" t="s">
        <v>816</v>
      </c>
      <c r="E54" s="923"/>
      <c r="F54" s="923" t="s">
        <v>1415</v>
      </c>
      <c r="G54" s="923" t="s">
        <v>1415</v>
      </c>
      <c r="H54" s="923" t="s">
        <v>1415</v>
      </c>
      <c r="I54" s="923" t="s">
        <v>1414</v>
      </c>
      <c r="J54" s="924" t="s">
        <v>1414</v>
      </c>
    </row>
    <row r="55" spans="3:10" x14ac:dyDescent="0.3">
      <c r="C55" s="926" t="s">
        <v>817</v>
      </c>
      <c r="D55" s="938" t="s">
        <v>818</v>
      </c>
      <c r="E55" s="923"/>
      <c r="F55" s="923" t="s">
        <v>1415</v>
      </c>
      <c r="G55" s="923" t="s">
        <v>1415</v>
      </c>
      <c r="H55" s="923" t="s">
        <v>1415</v>
      </c>
      <c r="I55" s="923" t="s">
        <v>1414</v>
      </c>
      <c r="J55" s="924" t="s">
        <v>1414</v>
      </c>
    </row>
    <row r="56" spans="3:10" x14ac:dyDescent="0.3">
      <c r="C56" s="926" t="s">
        <v>822</v>
      </c>
      <c r="D56" s="938" t="s">
        <v>823</v>
      </c>
      <c r="E56" s="923"/>
      <c r="F56" s="923" t="s">
        <v>1415</v>
      </c>
      <c r="G56" s="923" t="s">
        <v>1415</v>
      </c>
      <c r="H56" s="923" t="s">
        <v>1415</v>
      </c>
      <c r="I56" s="923" t="s">
        <v>1414</v>
      </c>
      <c r="J56" s="924" t="s">
        <v>1414</v>
      </c>
    </row>
    <row r="57" spans="3:10" x14ac:dyDescent="0.3">
      <c r="C57" s="926" t="s">
        <v>826</v>
      </c>
      <c r="D57" s="939" t="s">
        <v>827</v>
      </c>
      <c r="E57" s="923"/>
      <c r="F57" s="923" t="s">
        <v>1415</v>
      </c>
      <c r="G57" s="923" t="s">
        <v>1415</v>
      </c>
      <c r="H57" s="923" t="s">
        <v>1415</v>
      </c>
      <c r="I57" s="923" t="s">
        <v>1414</v>
      </c>
      <c r="J57" s="924" t="s">
        <v>1414</v>
      </c>
    </row>
    <row r="58" spans="3:10" x14ac:dyDescent="0.3">
      <c r="C58" s="926" t="s">
        <v>830</v>
      </c>
      <c r="D58" s="938" t="s">
        <v>831</v>
      </c>
      <c r="E58" s="923"/>
      <c r="F58" s="923" t="s">
        <v>1415</v>
      </c>
      <c r="G58" s="923" t="s">
        <v>1415</v>
      </c>
      <c r="H58" s="923" t="s">
        <v>1415</v>
      </c>
      <c r="I58" s="923" t="s">
        <v>1414</v>
      </c>
      <c r="J58" s="924" t="s">
        <v>1414</v>
      </c>
    </row>
    <row r="59" spans="3:10" x14ac:dyDescent="0.3">
      <c r="C59" s="926" t="s">
        <v>834</v>
      </c>
      <c r="D59" s="938" t="s">
        <v>835</v>
      </c>
      <c r="E59" s="923"/>
      <c r="F59" s="923" t="s">
        <v>1415</v>
      </c>
      <c r="G59" s="923" t="s">
        <v>1415</v>
      </c>
      <c r="H59" s="923" t="s">
        <v>1415</v>
      </c>
      <c r="I59" s="923" t="s">
        <v>1414</v>
      </c>
      <c r="J59" s="924" t="s">
        <v>1414</v>
      </c>
    </row>
    <row r="60" spans="3:10" x14ac:dyDescent="0.3">
      <c r="C60" s="926" t="s">
        <v>838</v>
      </c>
      <c r="D60" s="935" t="s">
        <v>839</v>
      </c>
      <c r="E60" s="923"/>
      <c r="F60" s="923" t="s">
        <v>1415</v>
      </c>
      <c r="G60" s="923" t="s">
        <v>1415</v>
      </c>
      <c r="H60" s="923" t="s">
        <v>1415</v>
      </c>
      <c r="I60" s="923" t="s">
        <v>1414</v>
      </c>
      <c r="J60" s="924" t="s">
        <v>1414</v>
      </c>
    </row>
    <row r="61" spans="3:10" x14ac:dyDescent="0.3">
      <c r="C61" s="926" t="s">
        <v>842</v>
      </c>
      <c r="D61" s="935" t="s">
        <v>843</v>
      </c>
      <c r="E61" s="923"/>
      <c r="F61" s="923" t="s">
        <v>1415</v>
      </c>
      <c r="G61" s="923" t="s">
        <v>1415</v>
      </c>
      <c r="H61" s="923" t="s">
        <v>1415</v>
      </c>
      <c r="I61" s="923" t="s">
        <v>1414</v>
      </c>
      <c r="J61" s="924" t="s">
        <v>1414</v>
      </c>
    </row>
    <row r="62" spans="3:10" x14ac:dyDescent="0.3">
      <c r="C62" s="926" t="s">
        <v>846</v>
      </c>
      <c r="D62" s="936" t="s">
        <v>847</v>
      </c>
      <c r="E62" s="923"/>
      <c r="F62" s="923" t="s">
        <v>1415</v>
      </c>
      <c r="G62" s="923" t="s">
        <v>1415</v>
      </c>
      <c r="H62" s="923" t="s">
        <v>1415</v>
      </c>
      <c r="I62" s="923" t="s">
        <v>1414</v>
      </c>
      <c r="J62" s="924" t="s">
        <v>1414</v>
      </c>
    </row>
    <row r="63" spans="3:10" x14ac:dyDescent="0.3">
      <c r="C63" s="926" t="s">
        <v>848</v>
      </c>
      <c r="D63" s="936" t="s">
        <v>849</v>
      </c>
      <c r="E63" s="923"/>
      <c r="F63" s="923" t="s">
        <v>1415</v>
      </c>
      <c r="G63" s="923" t="s">
        <v>1415</v>
      </c>
      <c r="H63" s="923" t="s">
        <v>1415</v>
      </c>
      <c r="I63" s="923" t="s">
        <v>1414</v>
      </c>
      <c r="J63" s="924" t="s">
        <v>1414</v>
      </c>
    </row>
    <row r="64" spans="3:10" x14ac:dyDescent="0.3">
      <c r="C64" s="926" t="s">
        <v>850</v>
      </c>
      <c r="D64" s="936" t="s">
        <v>851</v>
      </c>
      <c r="E64" s="923"/>
      <c r="F64" s="923" t="s">
        <v>1415</v>
      </c>
      <c r="G64" s="923" t="s">
        <v>1415</v>
      </c>
      <c r="H64" s="923" t="s">
        <v>1415</v>
      </c>
      <c r="I64" s="923" t="s">
        <v>1414</v>
      </c>
      <c r="J64" s="924" t="s">
        <v>1414</v>
      </c>
    </row>
    <row r="65" spans="3:10" x14ac:dyDescent="0.3">
      <c r="C65" s="2134" t="s">
        <v>1417</v>
      </c>
      <c r="D65" s="2135"/>
      <c r="E65" s="2135"/>
      <c r="F65" s="2135"/>
      <c r="G65" s="2135"/>
      <c r="H65" s="2135"/>
      <c r="I65" s="2135"/>
      <c r="J65" s="2136"/>
    </row>
    <row r="66" spans="3:10" ht="27" x14ac:dyDescent="0.3">
      <c r="C66" s="925" t="s">
        <v>672</v>
      </c>
      <c r="D66" s="918" t="s">
        <v>673</v>
      </c>
      <c r="E66" s="919" t="s">
        <v>1414</v>
      </c>
      <c r="F66" s="919" t="s">
        <v>1414</v>
      </c>
      <c r="G66" s="919" t="s">
        <v>1414</v>
      </c>
      <c r="H66" s="919" t="s">
        <v>1414</v>
      </c>
      <c r="I66" s="919" t="s">
        <v>1414</v>
      </c>
      <c r="J66" s="920" t="s">
        <v>1414</v>
      </c>
    </row>
    <row r="67" spans="3:10" x14ac:dyDescent="0.3">
      <c r="C67" s="925" t="s">
        <v>675</v>
      </c>
      <c r="D67" s="918" t="s">
        <v>676</v>
      </c>
      <c r="E67" s="919" t="s">
        <v>1414</v>
      </c>
      <c r="F67" s="919" t="s">
        <v>1414</v>
      </c>
      <c r="G67" s="919" t="s">
        <v>1414</v>
      </c>
      <c r="H67" s="919" t="s">
        <v>1414</v>
      </c>
      <c r="I67" s="919" t="s">
        <v>1414</v>
      </c>
      <c r="J67" s="920" t="s">
        <v>1414</v>
      </c>
    </row>
    <row r="68" spans="3:10" x14ac:dyDescent="0.3">
      <c r="C68" s="926" t="s">
        <v>857</v>
      </c>
      <c r="D68" s="938" t="s">
        <v>858</v>
      </c>
      <c r="E68" s="923"/>
      <c r="F68" s="923" t="s">
        <v>1414</v>
      </c>
      <c r="G68" s="923" t="s">
        <v>1414</v>
      </c>
      <c r="H68" s="923" t="s">
        <v>1414</v>
      </c>
      <c r="I68" s="923" t="s">
        <v>1414</v>
      </c>
      <c r="J68" s="927"/>
    </row>
    <row r="69" spans="3:10" x14ac:dyDescent="0.3">
      <c r="C69" s="926" t="s">
        <v>861</v>
      </c>
      <c r="D69" s="922" t="s">
        <v>862</v>
      </c>
      <c r="E69" s="923"/>
      <c r="F69" s="923" t="s">
        <v>1414</v>
      </c>
      <c r="G69" s="923" t="s">
        <v>1414</v>
      </c>
      <c r="H69" s="923" t="s">
        <v>1414</v>
      </c>
      <c r="I69" s="923" t="s">
        <v>1414</v>
      </c>
      <c r="J69" s="927" t="s">
        <v>1414</v>
      </c>
    </row>
    <row r="70" spans="3:10" x14ac:dyDescent="0.3">
      <c r="C70" s="2134" t="s">
        <v>470</v>
      </c>
      <c r="D70" s="2135"/>
      <c r="E70" s="2135"/>
      <c r="F70" s="2135"/>
      <c r="G70" s="2135"/>
      <c r="H70" s="2135"/>
      <c r="I70" s="2135"/>
      <c r="J70" s="2136"/>
    </row>
    <row r="71" spans="3:10" x14ac:dyDescent="0.3">
      <c r="C71" s="925" t="s">
        <v>678</v>
      </c>
      <c r="D71" s="918" t="s">
        <v>679</v>
      </c>
      <c r="E71" s="919" t="s">
        <v>1414</v>
      </c>
      <c r="F71" s="919" t="s">
        <v>1414</v>
      </c>
      <c r="G71" s="919" t="s">
        <v>1414</v>
      </c>
      <c r="H71" s="919" t="s">
        <v>1414</v>
      </c>
      <c r="I71" s="919" t="s">
        <v>1414</v>
      </c>
      <c r="J71" s="920" t="s">
        <v>1414</v>
      </c>
    </row>
    <row r="72" spans="3:10" x14ac:dyDescent="0.3">
      <c r="C72" s="925" t="s">
        <v>681</v>
      </c>
      <c r="D72" s="918" t="s">
        <v>682</v>
      </c>
      <c r="E72" s="919" t="s">
        <v>1414</v>
      </c>
      <c r="F72" s="919" t="s">
        <v>1414</v>
      </c>
      <c r="G72" s="919" t="s">
        <v>1414</v>
      </c>
      <c r="H72" s="919" t="s">
        <v>1414</v>
      </c>
      <c r="I72" s="919" t="s">
        <v>1414</v>
      </c>
      <c r="J72" s="920" t="s">
        <v>1414</v>
      </c>
    </row>
    <row r="73" spans="3:10" x14ac:dyDescent="0.3">
      <c r="C73" s="925" t="s">
        <v>683</v>
      </c>
      <c r="D73" s="918" t="s">
        <v>684</v>
      </c>
      <c r="E73" s="919" t="s">
        <v>1414</v>
      </c>
      <c r="F73" s="919" t="s">
        <v>1414</v>
      </c>
      <c r="G73" s="919" t="s">
        <v>1414</v>
      </c>
      <c r="H73" s="919" t="s">
        <v>1414</v>
      </c>
      <c r="I73" s="919" t="s">
        <v>1414</v>
      </c>
      <c r="J73" s="920" t="s">
        <v>1414</v>
      </c>
    </row>
    <row r="74" spans="3:10" x14ac:dyDescent="0.3">
      <c r="C74" s="925" t="s">
        <v>685</v>
      </c>
      <c r="D74" s="918" t="s">
        <v>686</v>
      </c>
      <c r="E74" s="919" t="s">
        <v>1414</v>
      </c>
      <c r="F74" s="919" t="s">
        <v>1414</v>
      </c>
      <c r="G74" s="919" t="s">
        <v>1414</v>
      </c>
      <c r="H74" s="919" t="s">
        <v>1414</v>
      </c>
      <c r="I74" s="919" t="s">
        <v>1414</v>
      </c>
      <c r="J74" s="920" t="s">
        <v>1414</v>
      </c>
    </row>
    <row r="75" spans="3:10" x14ac:dyDescent="0.3">
      <c r="C75" s="925" t="s">
        <v>687</v>
      </c>
      <c r="D75" s="918" t="s">
        <v>688</v>
      </c>
      <c r="E75" s="919" t="s">
        <v>1414</v>
      </c>
      <c r="F75" s="919" t="s">
        <v>1414</v>
      </c>
      <c r="G75" s="919" t="s">
        <v>1414</v>
      </c>
      <c r="H75" s="919" t="s">
        <v>1414</v>
      </c>
      <c r="I75" s="919" t="s">
        <v>1414</v>
      </c>
      <c r="J75" s="920" t="s">
        <v>1414</v>
      </c>
    </row>
    <row r="76" spans="3:10" x14ac:dyDescent="0.3">
      <c r="C76" s="925" t="s">
        <v>689</v>
      </c>
      <c r="D76" s="918" t="s">
        <v>690</v>
      </c>
      <c r="E76" s="919" t="s">
        <v>1414</v>
      </c>
      <c r="F76" s="919" t="s">
        <v>1414</v>
      </c>
      <c r="G76" s="919" t="s">
        <v>1414</v>
      </c>
      <c r="H76" s="919" t="s">
        <v>1414</v>
      </c>
      <c r="I76" s="919" t="s">
        <v>1414</v>
      </c>
      <c r="J76" s="920" t="s">
        <v>1414</v>
      </c>
    </row>
    <row r="77" spans="3:10" x14ac:dyDescent="0.3">
      <c r="C77" s="925" t="s">
        <v>692</v>
      </c>
      <c r="D77" s="918" t="s">
        <v>693</v>
      </c>
      <c r="E77" s="919" t="s">
        <v>1414</v>
      </c>
      <c r="F77" s="919" t="s">
        <v>1414</v>
      </c>
      <c r="G77" s="919" t="s">
        <v>1414</v>
      </c>
      <c r="H77" s="919" t="s">
        <v>1414</v>
      </c>
      <c r="I77" s="919" t="s">
        <v>1414</v>
      </c>
      <c r="J77" s="920" t="s">
        <v>1414</v>
      </c>
    </row>
    <row r="78" spans="3:10" x14ac:dyDescent="0.3">
      <c r="C78" s="925" t="s">
        <v>694</v>
      </c>
      <c r="D78" s="918" t="s">
        <v>695</v>
      </c>
      <c r="E78" s="919" t="s">
        <v>1414</v>
      </c>
      <c r="F78" s="919" t="s">
        <v>1414</v>
      </c>
      <c r="G78" s="919" t="s">
        <v>1414</v>
      </c>
      <c r="H78" s="919" t="s">
        <v>1414</v>
      </c>
      <c r="I78" s="919" t="s">
        <v>1414</v>
      </c>
      <c r="J78" s="920" t="s">
        <v>1414</v>
      </c>
    </row>
    <row r="79" spans="3:10" x14ac:dyDescent="0.3">
      <c r="C79" s="925" t="s">
        <v>696</v>
      </c>
      <c r="D79" s="918" t="s">
        <v>697</v>
      </c>
      <c r="E79" s="919" t="s">
        <v>1414</v>
      </c>
      <c r="F79" s="919" t="s">
        <v>1414</v>
      </c>
      <c r="G79" s="919" t="s">
        <v>1414</v>
      </c>
      <c r="H79" s="919" t="s">
        <v>1414</v>
      </c>
      <c r="I79" s="919" t="s">
        <v>1414</v>
      </c>
      <c r="J79" s="920" t="s">
        <v>1414</v>
      </c>
    </row>
    <row r="80" spans="3:10" x14ac:dyDescent="0.3">
      <c r="C80" s="925" t="s">
        <v>698</v>
      </c>
      <c r="D80" s="934" t="s">
        <v>699</v>
      </c>
      <c r="E80" s="919" t="s">
        <v>1414</v>
      </c>
      <c r="F80" s="919" t="s">
        <v>1414</v>
      </c>
      <c r="G80" s="919" t="s">
        <v>1414</v>
      </c>
      <c r="H80" s="919" t="s">
        <v>1414</v>
      </c>
      <c r="I80" s="919" t="s">
        <v>1414</v>
      </c>
      <c r="J80" s="920" t="s">
        <v>1414</v>
      </c>
    </row>
    <row r="81" spans="3:10" x14ac:dyDescent="0.3">
      <c r="C81" s="925" t="s">
        <v>704</v>
      </c>
      <c r="D81" s="918" t="s">
        <v>705</v>
      </c>
      <c r="E81" s="919" t="s">
        <v>1414</v>
      </c>
      <c r="F81" s="919" t="s">
        <v>1414</v>
      </c>
      <c r="G81" s="919" t="s">
        <v>1414</v>
      </c>
      <c r="H81" s="919" t="s">
        <v>1414</v>
      </c>
      <c r="I81" s="919" t="s">
        <v>1414</v>
      </c>
      <c r="J81" s="920" t="s">
        <v>1414</v>
      </c>
    </row>
    <row r="82" spans="3:10" x14ac:dyDescent="0.3">
      <c r="C82" s="925" t="s">
        <v>707</v>
      </c>
      <c r="D82" s="930" t="s">
        <v>708</v>
      </c>
      <c r="E82" s="919" t="s">
        <v>1414</v>
      </c>
      <c r="F82" s="919" t="s">
        <v>1414</v>
      </c>
      <c r="G82" s="919" t="s">
        <v>1414</v>
      </c>
      <c r="H82" s="919" t="s">
        <v>1414</v>
      </c>
      <c r="I82" s="919" t="s">
        <v>1414</v>
      </c>
      <c r="J82" s="920" t="s">
        <v>1414</v>
      </c>
    </row>
    <row r="83" spans="3:10" x14ac:dyDescent="0.3">
      <c r="C83" s="925" t="s">
        <v>710</v>
      </c>
      <c r="D83" s="918" t="s">
        <v>711</v>
      </c>
      <c r="E83" s="919" t="s">
        <v>1414</v>
      </c>
      <c r="F83" s="919" t="s">
        <v>1414</v>
      </c>
      <c r="G83" s="919" t="s">
        <v>1414</v>
      </c>
      <c r="H83" s="919" t="s">
        <v>1414</v>
      </c>
      <c r="I83" s="919" t="s">
        <v>1414</v>
      </c>
      <c r="J83" s="920" t="s">
        <v>1414</v>
      </c>
    </row>
    <row r="84" spans="3:10" x14ac:dyDescent="0.3">
      <c r="C84" s="926" t="s">
        <v>864</v>
      </c>
      <c r="D84" s="936" t="s">
        <v>865</v>
      </c>
      <c r="E84" s="923"/>
      <c r="F84" s="923" t="s">
        <v>1414</v>
      </c>
      <c r="G84" s="923" t="s">
        <v>1414</v>
      </c>
      <c r="H84" s="923" t="s">
        <v>1414</v>
      </c>
      <c r="I84" s="923" t="s">
        <v>1414</v>
      </c>
      <c r="J84" s="927" t="s">
        <v>1414</v>
      </c>
    </row>
  </sheetData>
  <mergeCells count="6">
    <mergeCell ref="C41:J41"/>
    <mergeCell ref="C65:J65"/>
    <mergeCell ref="C70:J70"/>
    <mergeCell ref="C3:J3"/>
    <mergeCell ref="C16:J16"/>
    <mergeCell ref="C32:J32"/>
  </mergeCells>
  <conditionalFormatting sqref="E4:J15 E17:J31 E33:J40 E42:J64 E66:J69 E71:J84">
    <cfRule type="cellIs" dxfId="1" priority="1" operator="equal">
      <formula>"P"</formula>
    </cfRule>
    <cfRule type="cellIs" dxfId="0" priority="2" operator="equal">
      <formula>"F"</formula>
    </cfRule>
  </conditionalFormatting>
  <pageMargins left="0.7" right="0.7" top="0.75" bottom="0.75" header="0.3" footer="0.3"/>
  <pageSetup orientation="portrait" r:id="rId1"/>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10CC22-947D-4A2D-AD5B-0B2EB6757412}">
  <sheetPr codeName="Sheet11">
    <tabColor theme="8"/>
  </sheetPr>
  <dimension ref="B1:AO57"/>
  <sheetViews>
    <sheetView topLeftCell="E10" zoomScale="85" zoomScaleNormal="85" workbookViewId="0">
      <selection activeCell="Y26" sqref="Y26"/>
    </sheetView>
  </sheetViews>
  <sheetFormatPr defaultColWidth="9" defaultRowHeight="13.5" x14ac:dyDescent="0.3"/>
  <cols>
    <col min="1" max="1" width="9" style="1040"/>
    <col min="2" max="2" width="17.6640625" style="1040" customWidth="1"/>
    <col min="3" max="3" width="9" style="1040"/>
    <col min="4" max="4" width="51.1640625" style="1040" customWidth="1"/>
    <col min="5" max="6" width="15.1640625" style="1040" customWidth="1"/>
    <col min="7" max="10" width="7.1640625" style="1040" hidden="1" customWidth="1"/>
    <col min="11" max="11" width="9.6640625" style="1040" hidden="1" customWidth="1"/>
    <col min="12" max="19" width="7.1640625" style="1040" hidden="1" customWidth="1"/>
    <col min="20" max="24" width="15.1640625" style="1040" customWidth="1"/>
    <col min="25" max="27" width="16.1640625" style="1040" customWidth="1"/>
    <col min="28" max="31" width="9" style="1040"/>
    <col min="32" max="32" width="46.6640625" style="1040" customWidth="1"/>
    <col min="33" max="33" width="56.1640625" style="1040" customWidth="1"/>
    <col min="34" max="16384" width="9" style="1040"/>
  </cols>
  <sheetData>
    <row r="1" spans="2:34" x14ac:dyDescent="0.3">
      <c r="B1" s="1039" t="s">
        <v>1418</v>
      </c>
      <c r="X1" s="1041"/>
      <c r="Y1" s="1041"/>
      <c r="Z1" s="1041"/>
      <c r="AA1" s="1041"/>
    </row>
    <row r="2" spans="2:34" ht="14.25" thickBot="1" x14ac:dyDescent="0.35">
      <c r="B2" s="1039" t="s">
        <v>1419</v>
      </c>
    </row>
    <row r="3" spans="2:34" ht="41.25" thickBot="1" x14ac:dyDescent="0.35">
      <c r="B3" s="855" t="s">
        <v>49</v>
      </c>
      <c r="C3" s="856" t="s">
        <v>491</v>
      </c>
      <c r="D3" s="856" t="s">
        <v>492</v>
      </c>
      <c r="E3" s="856" t="s">
        <v>1420</v>
      </c>
      <c r="F3" s="856" t="s">
        <v>1421</v>
      </c>
      <c r="G3" s="856">
        <v>2014</v>
      </c>
      <c r="H3" s="856">
        <v>2015</v>
      </c>
      <c r="I3" s="856">
        <v>2016</v>
      </c>
      <c r="J3" s="856">
        <v>2017</v>
      </c>
      <c r="K3" s="856">
        <v>2018</v>
      </c>
      <c r="L3" s="856">
        <v>2019</v>
      </c>
      <c r="M3" s="856">
        <v>2020</v>
      </c>
      <c r="N3" s="856">
        <v>2021</v>
      </c>
      <c r="O3" s="856">
        <v>2022</v>
      </c>
      <c r="P3" s="856">
        <v>2023</v>
      </c>
      <c r="Q3" s="856">
        <v>2024</v>
      </c>
      <c r="R3" s="856">
        <v>2025</v>
      </c>
      <c r="S3" s="856">
        <v>2026</v>
      </c>
      <c r="T3" s="856">
        <v>2027</v>
      </c>
      <c r="U3" s="856" t="s">
        <v>1422</v>
      </c>
      <c r="V3" s="856" t="s">
        <v>1423</v>
      </c>
      <c r="W3" s="856" t="s">
        <v>1424</v>
      </c>
      <c r="X3" s="856" t="s">
        <v>1425</v>
      </c>
      <c r="Y3" s="856" t="s">
        <v>1426</v>
      </c>
      <c r="Z3" s="856"/>
      <c r="AA3" s="856" t="s">
        <v>1427</v>
      </c>
      <c r="AB3" s="856" t="s">
        <v>1428</v>
      </c>
      <c r="AC3" s="856" t="s">
        <v>1429</v>
      </c>
      <c r="AE3" s="856" t="s">
        <v>1430</v>
      </c>
      <c r="AF3" s="857" t="s">
        <v>1431</v>
      </c>
      <c r="AG3" s="857" t="s">
        <v>1432</v>
      </c>
    </row>
    <row r="4" spans="2:34" x14ac:dyDescent="0.3">
      <c r="B4" s="2138" t="s">
        <v>1433</v>
      </c>
      <c r="C4" s="1042" t="s">
        <v>574</v>
      </c>
      <c r="D4" s="1042" t="s">
        <v>1434</v>
      </c>
      <c r="E4" s="1043">
        <v>0.37</v>
      </c>
      <c r="F4" s="1043">
        <v>0.36582000000000003</v>
      </c>
      <c r="G4" s="1043"/>
      <c r="H4" s="1043"/>
      <c r="I4" s="1043"/>
      <c r="J4" s="1043"/>
      <c r="K4" s="1043"/>
      <c r="L4" s="1043"/>
      <c r="M4" s="1043">
        <f>U4</f>
        <v>0.36582000000000003</v>
      </c>
      <c r="N4" s="1044"/>
      <c r="O4" s="1043"/>
      <c r="P4" s="1043"/>
      <c r="Q4" s="1043"/>
      <c r="R4" s="1043"/>
      <c r="S4" s="1043"/>
      <c r="T4" s="1043"/>
      <c r="U4" s="1043">
        <v>0.36582000000000003</v>
      </c>
      <c r="V4" s="1043">
        <v>1</v>
      </c>
      <c r="W4" s="1043">
        <f>2020+1</f>
        <v>2021</v>
      </c>
      <c r="X4" s="1045">
        <v>4.66</v>
      </c>
      <c r="Y4" s="1045">
        <v>10.19</v>
      </c>
      <c r="Z4" s="1121"/>
      <c r="AA4" s="1046">
        <f>IFERROR(X4/Y4,0)</f>
        <v>0.45731108930323849</v>
      </c>
      <c r="AB4" s="1042"/>
      <c r="AC4" s="1047"/>
      <c r="AE4" s="1040" t="s">
        <v>1435</v>
      </c>
      <c r="AF4" s="1048" t="s">
        <v>1436</v>
      </c>
      <c r="AG4" s="1040" t="s">
        <v>1437</v>
      </c>
    </row>
    <row r="5" spans="2:34" ht="41.25" thickBot="1" x14ac:dyDescent="0.35">
      <c r="B5" s="2139"/>
      <c r="C5" s="1049" t="s">
        <v>580</v>
      </c>
      <c r="D5" s="1050" t="s">
        <v>581</v>
      </c>
      <c r="E5" s="1051">
        <v>8.2799999999999994</v>
      </c>
      <c r="F5" s="1051">
        <v>1.937200000000004</v>
      </c>
      <c r="G5" s="1044">
        <f>U5</f>
        <v>0.27674285714285773</v>
      </c>
      <c r="H5" s="1044">
        <f>G5+$U5</f>
        <v>0.55348571428571547</v>
      </c>
      <c r="I5" s="1044">
        <f t="shared" ref="I5:M8" si="0">H5+$U5</f>
        <v>0.8302285714285732</v>
      </c>
      <c r="J5" s="1044">
        <f t="shared" si="0"/>
        <v>1.1069714285714309</v>
      </c>
      <c r="K5" s="1044">
        <f t="shared" si="0"/>
        <v>1.3837142857142886</v>
      </c>
      <c r="L5" s="1044">
        <f t="shared" si="0"/>
        <v>1.6604571428571462</v>
      </c>
      <c r="M5" s="1044">
        <f t="shared" si="0"/>
        <v>1.9372000000000038</v>
      </c>
      <c r="N5" s="1051"/>
      <c r="O5" s="1051"/>
      <c r="P5" s="1051"/>
      <c r="Q5" s="1051"/>
      <c r="R5" s="1051"/>
      <c r="S5" s="1051"/>
      <c r="T5" s="1044"/>
      <c r="U5" s="1052">
        <f>F5/7</f>
        <v>0.27674285714285773</v>
      </c>
      <c r="V5" s="1052">
        <v>7</v>
      </c>
      <c r="W5" s="1052">
        <f>2014+7</f>
        <v>2021</v>
      </c>
      <c r="X5" s="1053">
        <v>0.54164429999999997</v>
      </c>
      <c r="Y5" s="1053">
        <v>1.2283294000000002</v>
      </c>
      <c r="Z5" s="1122"/>
      <c r="AA5" s="1046">
        <f t="shared" ref="AA5:AA28" si="1">IFERROR(X5/Y5,0)</f>
        <v>0.44096013658876831</v>
      </c>
      <c r="AB5" s="1049"/>
      <c r="AC5" s="1054"/>
      <c r="AD5" s="1055"/>
      <c r="AE5" s="1040" t="s">
        <v>1438</v>
      </c>
      <c r="AF5" s="1048" t="s">
        <v>1436</v>
      </c>
      <c r="AG5" s="1040" t="s">
        <v>1439</v>
      </c>
    </row>
    <row r="6" spans="2:34" ht="14.25" thickBot="1" x14ac:dyDescent="0.35">
      <c r="B6" s="1056" t="s">
        <v>414</v>
      </c>
      <c r="C6" s="1057" t="s">
        <v>619</v>
      </c>
      <c r="D6" s="1057" t="s">
        <v>1440</v>
      </c>
      <c r="E6" s="1058">
        <v>10.79</v>
      </c>
      <c r="F6" s="1059">
        <v>6.1858341300000017</v>
      </c>
      <c r="G6" s="1059"/>
      <c r="H6" s="1059"/>
      <c r="I6" s="1059"/>
      <c r="J6" s="1059"/>
      <c r="K6" s="1059">
        <f>U6</f>
        <v>2.0619447100000006</v>
      </c>
      <c r="L6" s="1044">
        <f t="shared" si="0"/>
        <v>4.1238894200000011</v>
      </c>
      <c r="M6" s="1044">
        <f t="shared" si="0"/>
        <v>6.1858341300000017</v>
      </c>
      <c r="N6" s="1059"/>
      <c r="O6" s="1059"/>
      <c r="P6" s="1059"/>
      <c r="Q6" s="1059"/>
      <c r="R6" s="1059"/>
      <c r="S6" s="1059"/>
      <c r="T6" s="1059"/>
      <c r="U6" s="1060">
        <f>F6/3</f>
        <v>2.0619447100000006</v>
      </c>
      <c r="V6" s="1060">
        <v>3</v>
      </c>
      <c r="W6" s="1060">
        <f>2018+3</f>
        <v>2021</v>
      </c>
      <c r="X6" s="1058">
        <v>11.57</v>
      </c>
      <c r="Y6" s="1058">
        <v>19.649999999999999</v>
      </c>
      <c r="Z6" s="1123"/>
      <c r="AA6" s="1046">
        <f t="shared" si="1"/>
        <v>0.58880407124681944</v>
      </c>
      <c r="AB6" s="1061"/>
      <c r="AC6" s="1062"/>
      <c r="AE6" s="1040" t="s">
        <v>1438</v>
      </c>
      <c r="AF6" s="1048" t="s">
        <v>1436</v>
      </c>
    </row>
    <row r="7" spans="2:34" ht="14.25" thickBot="1" x14ac:dyDescent="0.35">
      <c r="B7" s="1063" t="s">
        <v>50</v>
      </c>
      <c r="C7" s="1042" t="s">
        <v>631</v>
      </c>
      <c r="D7" s="1042" t="s">
        <v>1441</v>
      </c>
      <c r="E7" s="1064">
        <v>146.75</v>
      </c>
      <c r="F7" s="1065">
        <v>103.30431999999996</v>
      </c>
      <c r="G7" s="1065"/>
      <c r="H7" s="1065"/>
      <c r="I7" s="1065"/>
      <c r="J7" s="1065"/>
      <c r="K7" s="1059">
        <f>U7</f>
        <v>34.434773333333318</v>
      </c>
      <c r="L7" s="1044">
        <f t="shared" si="0"/>
        <v>68.869546666666636</v>
      </c>
      <c r="M7" s="1044">
        <f t="shared" si="0"/>
        <v>103.30431999999996</v>
      </c>
      <c r="N7" s="1065"/>
      <c r="O7" s="1065"/>
      <c r="P7" s="1065"/>
      <c r="Q7" s="1065"/>
      <c r="R7" s="1065"/>
      <c r="S7" s="1065"/>
      <c r="T7" s="1065"/>
      <c r="U7" s="1066">
        <f>F7/3</f>
        <v>34.434773333333318</v>
      </c>
      <c r="V7" s="1067">
        <v>3</v>
      </c>
      <c r="W7" s="1067">
        <f>2018+V7</f>
        <v>2021</v>
      </c>
      <c r="X7" s="1068">
        <v>59.48</v>
      </c>
      <c r="Y7" s="1069"/>
      <c r="Z7" s="1097"/>
      <c r="AA7" s="1046">
        <f t="shared" si="1"/>
        <v>0</v>
      </c>
      <c r="AB7" s="1069"/>
      <c r="AC7" s="1047"/>
      <c r="AD7" s="1055"/>
      <c r="AF7" s="1048" t="s">
        <v>1436</v>
      </c>
    </row>
    <row r="8" spans="2:34" ht="14.25" thickBot="1" x14ac:dyDescent="0.35">
      <c r="B8" s="1070"/>
      <c r="C8" s="1071" t="s">
        <v>639</v>
      </c>
      <c r="D8" s="1071" t="s">
        <v>640</v>
      </c>
      <c r="E8" s="1072">
        <v>57.41</v>
      </c>
      <c r="F8" s="1072">
        <v>36.600000000000044</v>
      </c>
      <c r="G8" s="1072"/>
      <c r="H8" s="1072"/>
      <c r="I8" s="1072"/>
      <c r="J8" s="1072"/>
      <c r="K8" s="1059">
        <f>U8</f>
        <v>12.200000000000015</v>
      </c>
      <c r="L8" s="1044">
        <f t="shared" si="0"/>
        <v>24.400000000000031</v>
      </c>
      <c r="M8" s="1044">
        <f t="shared" si="0"/>
        <v>36.600000000000044</v>
      </c>
      <c r="N8" s="1072"/>
      <c r="O8" s="1072"/>
      <c r="P8" s="1072"/>
      <c r="Q8" s="1072"/>
      <c r="R8" s="1072"/>
      <c r="S8" s="1072"/>
      <c r="T8" s="1072"/>
      <c r="U8" s="1073">
        <f>F8/3</f>
        <v>12.200000000000015</v>
      </c>
      <c r="V8" s="1074">
        <v>3</v>
      </c>
      <c r="W8" s="1067">
        <f>2018+V8</f>
        <v>2021</v>
      </c>
      <c r="X8" s="1075">
        <v>0</v>
      </c>
      <c r="Y8" s="1075">
        <v>0</v>
      </c>
      <c r="Z8" s="1124"/>
      <c r="AA8" s="1046">
        <f t="shared" si="1"/>
        <v>0</v>
      </c>
      <c r="AB8" s="1076"/>
      <c r="AC8" s="1077"/>
      <c r="AD8" s="1055"/>
      <c r="AF8" s="1048" t="s">
        <v>1436</v>
      </c>
      <c r="AG8" s="1040" t="s">
        <v>1442</v>
      </c>
    </row>
    <row r="9" spans="2:34" x14ac:dyDescent="0.3">
      <c r="B9" s="2138" t="s">
        <v>53</v>
      </c>
      <c r="C9" s="1078" t="s">
        <v>643</v>
      </c>
      <c r="D9" s="1078" t="s">
        <v>1443</v>
      </c>
      <c r="E9" s="1064">
        <v>116.83</v>
      </c>
      <c r="F9" s="1065">
        <v>17.466464048794755</v>
      </c>
      <c r="G9" s="1065"/>
      <c r="H9" s="1065"/>
      <c r="I9" s="1065"/>
      <c r="J9" s="1065"/>
      <c r="K9" s="1065"/>
      <c r="L9" s="1065"/>
      <c r="M9" s="1065"/>
      <c r="N9" s="1065"/>
      <c r="O9" s="1065"/>
      <c r="P9" s="1065"/>
      <c r="Q9" s="1065"/>
      <c r="R9" s="1065"/>
      <c r="S9" s="1065"/>
      <c r="T9" s="1065"/>
      <c r="U9" s="1079">
        <f>F9/7</f>
        <v>2.4952091498278222</v>
      </c>
      <c r="V9" s="1079">
        <v>7</v>
      </c>
      <c r="W9" s="1079">
        <f>2014+V9</f>
        <v>2021</v>
      </c>
      <c r="X9" s="1042">
        <v>0</v>
      </c>
      <c r="Y9" s="1042">
        <v>0</v>
      </c>
      <c r="Z9" s="1096"/>
      <c r="AA9" s="1046">
        <f t="shared" si="1"/>
        <v>0</v>
      </c>
      <c r="AB9" s="1069"/>
      <c r="AC9" s="1047"/>
      <c r="AD9" s="1055"/>
      <c r="AF9" s="1048" t="s">
        <v>1436</v>
      </c>
    </row>
    <row r="10" spans="2:34" ht="14.25" thickBot="1" x14ac:dyDescent="0.35">
      <c r="B10" s="2139"/>
      <c r="C10" s="1080" t="s">
        <v>650</v>
      </c>
      <c r="D10" s="1080" t="s">
        <v>1444</v>
      </c>
      <c r="E10" s="1045">
        <v>148.49</v>
      </c>
      <c r="F10" s="1081">
        <v>58.958857600000044</v>
      </c>
      <c r="G10" s="1081"/>
      <c r="H10" s="1081"/>
      <c r="I10" s="1081"/>
      <c r="J10" s="1081"/>
      <c r="K10" s="1081"/>
      <c r="L10" s="1081"/>
      <c r="M10" s="1081"/>
      <c r="N10" s="1081"/>
      <c r="O10" s="1081"/>
      <c r="P10" s="1081"/>
      <c r="Q10" s="1081"/>
      <c r="R10" s="1081"/>
      <c r="S10" s="1081"/>
      <c r="T10" s="1081"/>
      <c r="U10" s="1082">
        <f>F10/5</f>
        <v>11.791771520000008</v>
      </c>
      <c r="V10" s="1082">
        <v>5</v>
      </c>
      <c r="W10" s="1082">
        <f>2018+V10</f>
        <v>2023</v>
      </c>
      <c r="X10" s="1083">
        <v>4.0119999999999996</v>
      </c>
      <c r="Y10" s="1083">
        <v>4.0119999999999996</v>
      </c>
      <c r="Z10" s="1096"/>
      <c r="AA10" s="1046">
        <f t="shared" si="1"/>
        <v>1</v>
      </c>
      <c r="AB10" s="1084"/>
      <c r="AC10" s="1085"/>
      <c r="AD10" s="1055"/>
      <c r="AF10" s="1048" t="s">
        <v>1436</v>
      </c>
      <c r="AG10" s="1040" t="s">
        <v>1445</v>
      </c>
    </row>
    <row r="11" spans="2:34" ht="14.25" thickBot="1" x14ac:dyDescent="0.35">
      <c r="B11" s="2139"/>
      <c r="C11" s="1080" t="s">
        <v>657</v>
      </c>
      <c r="D11" s="1080" t="s">
        <v>1446</v>
      </c>
      <c r="E11" s="1045">
        <v>0.47</v>
      </c>
      <c r="F11" s="1081">
        <v>0.18943999999999978</v>
      </c>
      <c r="G11" s="1081"/>
      <c r="H11" s="1081"/>
      <c r="I11" s="1081"/>
      <c r="J11" s="1081"/>
      <c r="K11" s="1059">
        <f>U11</f>
        <v>6.3146666666666587E-2</v>
      </c>
      <c r="L11" s="1044">
        <f t="shared" ref="L11:R15" si="2">K11+$U11</f>
        <v>0.12629333333333317</v>
      </c>
      <c r="M11" s="1044">
        <f t="shared" si="2"/>
        <v>0.18943999999999978</v>
      </c>
      <c r="N11" s="1081"/>
      <c r="O11" s="1081"/>
      <c r="P11" s="1081"/>
      <c r="Q11" s="1081"/>
      <c r="R11" s="1081"/>
      <c r="S11" s="1081"/>
      <c r="T11" s="1081"/>
      <c r="U11" s="1082">
        <f>F11/3</f>
        <v>6.3146666666666587E-2</v>
      </c>
      <c r="V11" s="1082">
        <v>3</v>
      </c>
      <c r="W11" s="1067">
        <f>2018+V11</f>
        <v>2021</v>
      </c>
      <c r="X11" s="1083"/>
      <c r="Y11" s="1083"/>
      <c r="Z11" s="1096"/>
      <c r="AA11" s="1046">
        <f t="shared" si="1"/>
        <v>0</v>
      </c>
      <c r="AB11" s="1084"/>
      <c r="AC11" s="1085"/>
      <c r="AD11" s="1055"/>
      <c r="AF11" s="1048" t="s">
        <v>1436</v>
      </c>
      <c r="AG11" s="1040" t="s">
        <v>1447</v>
      </c>
    </row>
    <row r="12" spans="2:34" ht="27.75" thickBot="1" x14ac:dyDescent="0.35">
      <c r="B12" s="2139"/>
      <c r="C12" s="1080" t="s">
        <v>661</v>
      </c>
      <c r="D12" s="1080" t="s">
        <v>662</v>
      </c>
      <c r="E12" s="1045">
        <v>44.21</v>
      </c>
      <c r="F12" s="1081">
        <v>12.920263170000922</v>
      </c>
      <c r="G12" s="1081"/>
      <c r="H12" s="1081"/>
      <c r="I12" s="1081"/>
      <c r="J12" s="1081"/>
      <c r="K12" s="1059">
        <f>U12</f>
        <v>4.3067543900003074</v>
      </c>
      <c r="L12" s="1044">
        <f t="shared" si="2"/>
        <v>8.6135087800006147</v>
      </c>
      <c r="M12" s="1044">
        <f t="shared" si="2"/>
        <v>12.920263170000922</v>
      </c>
      <c r="N12" s="1081"/>
      <c r="O12" s="1081"/>
      <c r="P12" s="1081"/>
      <c r="Q12" s="1081"/>
      <c r="R12" s="1081"/>
      <c r="S12" s="1081"/>
      <c r="T12" s="1081"/>
      <c r="U12" s="1082">
        <f>F12/3</f>
        <v>4.3067543900003074</v>
      </c>
      <c r="V12" s="1082">
        <v>3</v>
      </c>
      <c r="W12" s="1067">
        <f>2018+V12</f>
        <v>2021</v>
      </c>
      <c r="X12" s="1083">
        <v>0</v>
      </c>
      <c r="Y12" s="1083">
        <v>0</v>
      </c>
      <c r="Z12" s="1096"/>
      <c r="AA12" s="1046">
        <f t="shared" si="1"/>
        <v>0</v>
      </c>
      <c r="AB12" s="1084"/>
      <c r="AC12" s="1085"/>
      <c r="AD12" s="1055"/>
      <c r="AF12" s="1048" t="s">
        <v>1436</v>
      </c>
      <c r="AG12" s="1040" t="s">
        <v>1445</v>
      </c>
    </row>
    <row r="13" spans="2:34" ht="27.75" thickBot="1" x14ac:dyDescent="0.35">
      <c r="B13" s="2139"/>
      <c r="C13" s="1050" t="s">
        <v>667</v>
      </c>
      <c r="D13" s="1050" t="s">
        <v>668</v>
      </c>
      <c r="E13" s="1051">
        <v>13.84</v>
      </c>
      <c r="F13" s="1044">
        <v>1.9039703224392119</v>
      </c>
      <c r="G13" s="1044"/>
      <c r="H13" s="1044"/>
      <c r="I13" s="1044"/>
      <c r="J13" s="1044"/>
      <c r="K13" s="1044"/>
      <c r="L13" s="1044">
        <f>U13</f>
        <v>0.27199576034845885</v>
      </c>
      <c r="M13" s="1044">
        <f t="shared" si="2"/>
        <v>0.5439915206969177</v>
      </c>
      <c r="N13" s="1044">
        <f t="shared" si="2"/>
        <v>0.81598728104537654</v>
      </c>
      <c r="O13" s="1044">
        <f t="shared" si="2"/>
        <v>1.0879830413938354</v>
      </c>
      <c r="P13" s="1044">
        <f t="shared" si="2"/>
        <v>1.3599788017422942</v>
      </c>
      <c r="Q13" s="1044">
        <f t="shared" si="2"/>
        <v>1.6319745620907531</v>
      </c>
      <c r="R13" s="1044">
        <f t="shared" si="2"/>
        <v>1.9039703224392119</v>
      </c>
      <c r="S13" s="1044"/>
      <c r="T13" s="1044"/>
      <c r="U13" s="1086">
        <f>F13/7</f>
        <v>0.27199576034845885</v>
      </c>
      <c r="V13" s="1086">
        <v>7</v>
      </c>
      <c r="W13" s="1086">
        <f>2019+V13</f>
        <v>2026</v>
      </c>
      <c r="X13" s="1049">
        <v>10.5</v>
      </c>
      <c r="Y13" s="1049"/>
      <c r="Z13" s="1125"/>
      <c r="AA13" s="1046">
        <f t="shared" si="1"/>
        <v>0</v>
      </c>
      <c r="AB13" s="1087"/>
      <c r="AC13" s="1054"/>
      <c r="AF13" s="1048" t="s">
        <v>1436</v>
      </c>
      <c r="AG13" s="1040" t="s">
        <v>1445</v>
      </c>
    </row>
    <row r="14" spans="2:34" ht="28.5" customHeight="1" x14ac:dyDescent="0.3">
      <c r="B14" s="2140" t="s">
        <v>535</v>
      </c>
      <c r="C14" s="1078" t="s">
        <v>672</v>
      </c>
      <c r="D14" s="1078" t="s">
        <v>673</v>
      </c>
      <c r="E14" s="1064">
        <v>34.61</v>
      </c>
      <c r="F14" s="1065">
        <v>20.525583999999949</v>
      </c>
      <c r="G14" s="1065"/>
      <c r="H14" s="1065"/>
      <c r="I14" s="1065"/>
      <c r="J14" s="1065"/>
      <c r="K14" s="1065"/>
      <c r="L14" s="1065"/>
      <c r="M14" s="1065"/>
      <c r="N14" s="1065"/>
      <c r="O14" s="1065"/>
      <c r="P14" s="1065"/>
      <c r="Q14" s="1065"/>
      <c r="R14" s="1065"/>
      <c r="S14" s="1065"/>
      <c r="T14" s="1065"/>
      <c r="U14" s="1066">
        <f>F14/3</f>
        <v>6.8418613333333163</v>
      </c>
      <c r="V14" s="1066">
        <v>3</v>
      </c>
      <c r="W14" s="1066">
        <f>2017+V14</f>
        <v>2020</v>
      </c>
      <c r="X14" s="1042"/>
      <c r="Y14" s="1042"/>
      <c r="Z14" s="1096"/>
      <c r="AA14" s="1046">
        <f t="shared" si="1"/>
        <v>0</v>
      </c>
      <c r="AB14" s="1042"/>
      <c r="AC14" s="1047"/>
      <c r="AE14" s="1040" t="s">
        <v>1448</v>
      </c>
      <c r="AF14" s="1048" t="s">
        <v>1436</v>
      </c>
      <c r="AG14" s="1088" t="s">
        <v>1449</v>
      </c>
      <c r="AH14" s="1089"/>
    </row>
    <row r="15" spans="2:34" ht="27.75" thickBot="1" x14ac:dyDescent="0.35">
      <c r="B15" s="2141"/>
      <c r="C15" s="1090" t="s">
        <v>675</v>
      </c>
      <c r="D15" s="1090" t="s">
        <v>676</v>
      </c>
      <c r="E15" s="1072">
        <v>0.56000000000000005</v>
      </c>
      <c r="F15" s="1091">
        <v>0.18819149999999973</v>
      </c>
      <c r="G15" s="1091"/>
      <c r="H15" s="1091"/>
      <c r="I15" s="1091"/>
      <c r="J15" s="1091"/>
      <c r="K15" s="1091"/>
      <c r="L15" s="1091">
        <f>U15</f>
        <v>6.2730499999999911E-2</v>
      </c>
      <c r="M15" s="1044">
        <f t="shared" si="2"/>
        <v>0.12546099999999982</v>
      </c>
      <c r="N15" s="1044">
        <f t="shared" si="2"/>
        <v>0.18819149999999973</v>
      </c>
      <c r="O15" s="1044"/>
      <c r="P15" s="1091"/>
      <c r="Q15" s="1091"/>
      <c r="R15" s="1091"/>
      <c r="S15" s="1091"/>
      <c r="T15" s="1091"/>
      <c r="U15" s="1092">
        <f>F15/3</f>
        <v>6.2730499999999911E-2</v>
      </c>
      <c r="V15" s="1092">
        <v>3</v>
      </c>
      <c r="W15" s="1086">
        <f>2019+V15</f>
        <v>2022</v>
      </c>
      <c r="X15" s="1071"/>
      <c r="Y15" s="1071"/>
      <c r="Z15" s="1125"/>
      <c r="AA15" s="1046">
        <f t="shared" si="1"/>
        <v>0</v>
      </c>
      <c r="AB15" s="1071"/>
      <c r="AC15" s="1077"/>
      <c r="AE15" s="1040" t="s">
        <v>1448</v>
      </c>
      <c r="AF15" s="1048" t="s">
        <v>1436</v>
      </c>
      <c r="AG15" s="1088" t="s">
        <v>1450</v>
      </c>
    </row>
    <row r="16" spans="2:34" x14ac:dyDescent="0.3">
      <c r="B16" s="2139" t="s">
        <v>470</v>
      </c>
      <c r="C16" s="1093" t="s">
        <v>678</v>
      </c>
      <c r="D16" s="1093" t="s">
        <v>679</v>
      </c>
      <c r="E16" s="1094">
        <v>880.02345459323351</v>
      </c>
      <c r="F16" s="1094">
        <v>129.52929598371338</v>
      </c>
      <c r="G16" s="1095"/>
      <c r="H16" s="1095"/>
      <c r="I16" s="1095"/>
      <c r="J16" s="1095"/>
      <c r="K16" s="1095"/>
      <c r="L16" s="1095"/>
      <c r="M16" s="1095"/>
      <c r="N16" s="1095"/>
      <c r="O16" s="1095"/>
      <c r="P16" s="1095"/>
      <c r="Q16" s="1095"/>
      <c r="R16" s="1095"/>
      <c r="S16" s="1095"/>
      <c r="T16" s="1095"/>
      <c r="U16" s="1095">
        <v>129.52929598371338</v>
      </c>
      <c r="V16" s="1095">
        <v>1</v>
      </c>
      <c r="W16" s="1095"/>
      <c r="X16" s="1096">
        <v>0</v>
      </c>
      <c r="Y16" s="1096">
        <v>0</v>
      </c>
      <c r="Z16" s="1096"/>
      <c r="AA16" s="1046">
        <f t="shared" si="1"/>
        <v>0</v>
      </c>
      <c r="AB16" s="1097">
        <v>0</v>
      </c>
      <c r="AC16" s="1098">
        <v>0</v>
      </c>
      <c r="AD16" s="1055"/>
      <c r="AF16" s="1048" t="s">
        <v>1436</v>
      </c>
    </row>
    <row r="17" spans="2:41" x14ac:dyDescent="0.3">
      <c r="B17" s="2139"/>
      <c r="C17" s="1080" t="s">
        <v>681</v>
      </c>
      <c r="D17" s="1093" t="s">
        <v>682</v>
      </c>
      <c r="E17" s="1099">
        <v>745.34603559989193</v>
      </c>
      <c r="F17" s="1099">
        <v>72.562324377431622</v>
      </c>
      <c r="G17" s="1099"/>
      <c r="H17" s="1099"/>
      <c r="I17" s="1099"/>
      <c r="J17" s="1099"/>
      <c r="K17" s="1099"/>
      <c r="L17" s="1099"/>
      <c r="M17" s="1099"/>
      <c r="N17" s="1099"/>
      <c r="O17" s="1099"/>
      <c r="P17" s="1099"/>
      <c r="Q17" s="1099"/>
      <c r="R17" s="1099"/>
      <c r="S17" s="1099"/>
      <c r="T17" s="1099"/>
      <c r="U17" s="1099">
        <v>72.562324377431622</v>
      </c>
      <c r="V17" s="1099">
        <v>1</v>
      </c>
      <c r="W17" s="1099"/>
      <c r="X17" s="1083">
        <v>0</v>
      </c>
      <c r="Y17" s="1083">
        <v>0</v>
      </c>
      <c r="Z17" s="1096"/>
      <c r="AA17" s="1046">
        <f t="shared" si="1"/>
        <v>0</v>
      </c>
      <c r="AB17" s="1097">
        <v>0</v>
      </c>
      <c r="AC17" s="1098">
        <v>0</v>
      </c>
      <c r="AD17" s="1055"/>
      <c r="AF17" s="1048" t="s">
        <v>1436</v>
      </c>
    </row>
    <row r="18" spans="2:41" x14ac:dyDescent="0.3">
      <c r="B18" s="2139"/>
      <c r="C18" s="1093" t="s">
        <v>683</v>
      </c>
      <c r="D18" s="1093" t="s">
        <v>684</v>
      </c>
      <c r="E18" s="1099">
        <v>985.95942456876321</v>
      </c>
      <c r="F18" s="1099">
        <v>146.62967234610383</v>
      </c>
      <c r="G18" s="1099"/>
      <c r="H18" s="1099"/>
      <c r="I18" s="1099"/>
      <c r="J18" s="1099"/>
      <c r="K18" s="1099"/>
      <c r="L18" s="1099"/>
      <c r="M18" s="1099"/>
      <c r="N18" s="1099"/>
      <c r="O18" s="1099"/>
      <c r="P18" s="1099"/>
      <c r="Q18" s="1099"/>
      <c r="R18" s="1099"/>
      <c r="S18" s="1099"/>
      <c r="T18" s="1099"/>
      <c r="U18" s="1099">
        <v>146.62967234610383</v>
      </c>
      <c r="V18" s="1099">
        <v>1</v>
      </c>
      <c r="W18" s="1099"/>
      <c r="X18" s="1083">
        <v>0</v>
      </c>
      <c r="Y18" s="1083">
        <v>0</v>
      </c>
      <c r="Z18" s="1096"/>
      <c r="AA18" s="1046">
        <f t="shared" si="1"/>
        <v>0</v>
      </c>
      <c r="AB18" s="1097">
        <v>0</v>
      </c>
      <c r="AC18" s="1098">
        <v>0</v>
      </c>
      <c r="AD18" s="1055"/>
      <c r="AF18" s="1048" t="s">
        <v>1436</v>
      </c>
    </row>
    <row r="19" spans="2:41" x14ac:dyDescent="0.3">
      <c r="B19" s="2139"/>
      <c r="C19" s="1080" t="s">
        <v>685</v>
      </c>
      <c r="D19" s="1093" t="s">
        <v>686</v>
      </c>
      <c r="E19" s="1099">
        <v>1001.4371430703967</v>
      </c>
      <c r="F19" s="1099">
        <v>177.58535036824921</v>
      </c>
      <c r="G19" s="1099"/>
      <c r="H19" s="1099"/>
      <c r="I19" s="1099"/>
      <c r="J19" s="1099"/>
      <c r="K19" s="1099"/>
      <c r="L19" s="1099"/>
      <c r="M19" s="1099"/>
      <c r="N19" s="1099"/>
      <c r="O19" s="1099"/>
      <c r="P19" s="1099"/>
      <c r="Q19" s="1099"/>
      <c r="R19" s="1099"/>
      <c r="S19" s="1099"/>
      <c r="T19" s="1099"/>
      <c r="U19" s="1099">
        <v>177.58535036824921</v>
      </c>
      <c r="V19" s="1099">
        <v>1</v>
      </c>
      <c r="W19" s="1099"/>
      <c r="X19" s="1083">
        <v>0</v>
      </c>
      <c r="Y19" s="1083">
        <v>0</v>
      </c>
      <c r="Z19" s="1096"/>
      <c r="AA19" s="1046">
        <f t="shared" si="1"/>
        <v>0</v>
      </c>
      <c r="AB19" s="1097">
        <v>0</v>
      </c>
      <c r="AC19" s="1098">
        <v>0</v>
      </c>
      <c r="AD19" s="1055"/>
      <c r="AF19" s="1048" t="s">
        <v>1436</v>
      </c>
      <c r="AJ19" s="1100"/>
    </row>
    <row r="20" spans="2:41" x14ac:dyDescent="0.3">
      <c r="B20" s="2139"/>
      <c r="C20" s="1093" t="s">
        <v>687</v>
      </c>
      <c r="D20" s="1093" t="s">
        <v>688</v>
      </c>
      <c r="E20" s="1099">
        <v>1965.2112823512052</v>
      </c>
      <c r="F20" s="1099">
        <v>201.01134113300392</v>
      </c>
      <c r="G20" s="1099"/>
      <c r="H20" s="1099"/>
      <c r="I20" s="1099"/>
      <c r="J20" s="1099"/>
      <c r="K20" s="1099"/>
      <c r="L20" s="1099"/>
      <c r="M20" s="1099"/>
      <c r="N20" s="1099"/>
      <c r="O20" s="1099"/>
      <c r="P20" s="1099"/>
      <c r="Q20" s="1099"/>
      <c r="R20" s="1099"/>
      <c r="S20" s="1099"/>
      <c r="T20" s="1099"/>
      <c r="U20" s="1099">
        <v>201.01134113300392</v>
      </c>
      <c r="V20" s="1099">
        <v>1</v>
      </c>
      <c r="W20" s="1099"/>
      <c r="X20" s="1083">
        <v>0</v>
      </c>
      <c r="Y20" s="1083">
        <v>0</v>
      </c>
      <c r="Z20" s="1096"/>
      <c r="AA20" s="1046">
        <f t="shared" si="1"/>
        <v>0</v>
      </c>
      <c r="AB20" s="1097">
        <v>0</v>
      </c>
      <c r="AC20" s="1098">
        <v>0</v>
      </c>
      <c r="AD20" s="1055"/>
      <c r="AF20" s="1048" t="s">
        <v>1436</v>
      </c>
    </row>
    <row r="21" spans="2:41" x14ac:dyDescent="0.3">
      <c r="B21" s="2139"/>
      <c r="C21" s="1080" t="s">
        <v>689</v>
      </c>
      <c r="D21" s="1093" t="s">
        <v>690</v>
      </c>
      <c r="E21" s="1101">
        <v>581.3845233333335</v>
      </c>
      <c r="F21" s="1099">
        <v>84.232142857142847</v>
      </c>
      <c r="G21" s="1099"/>
      <c r="H21" s="1099"/>
      <c r="I21" s="1099"/>
      <c r="J21" s="1099"/>
      <c r="K21" s="1099"/>
      <c r="L21" s="1099"/>
      <c r="M21" s="1099"/>
      <c r="N21" s="1099"/>
      <c r="O21" s="1099"/>
      <c r="P21" s="1099"/>
      <c r="Q21" s="1099"/>
      <c r="R21" s="1099"/>
      <c r="S21" s="1099"/>
      <c r="T21" s="1099"/>
      <c r="U21" s="1099">
        <v>84.232142857142847</v>
      </c>
      <c r="V21" s="1099">
        <v>1</v>
      </c>
      <c r="W21" s="1099"/>
      <c r="X21" s="1083">
        <v>0</v>
      </c>
      <c r="Y21" s="1083">
        <v>0</v>
      </c>
      <c r="Z21" s="1096"/>
      <c r="AA21" s="1046">
        <f t="shared" si="1"/>
        <v>0</v>
      </c>
      <c r="AB21" s="1097">
        <v>0</v>
      </c>
      <c r="AC21" s="1098">
        <v>0</v>
      </c>
      <c r="AD21" s="1055"/>
      <c r="AF21" s="1048" t="s">
        <v>1436</v>
      </c>
    </row>
    <row r="22" spans="2:41" x14ac:dyDescent="0.3">
      <c r="B22" s="2139"/>
      <c r="C22" s="1093" t="s">
        <v>692</v>
      </c>
      <c r="D22" s="1093" t="s">
        <v>693</v>
      </c>
      <c r="E22" s="1101">
        <v>1092.500285783651</v>
      </c>
      <c r="F22" s="1099">
        <v>162.96842766641248</v>
      </c>
      <c r="G22" s="1099"/>
      <c r="H22" s="1099"/>
      <c r="I22" s="1099"/>
      <c r="J22" s="1099"/>
      <c r="K22" s="1099"/>
      <c r="L22" s="1099"/>
      <c r="M22" s="1099"/>
      <c r="N22" s="1099"/>
      <c r="O22" s="1099"/>
      <c r="P22" s="1099"/>
      <c r="Q22" s="1099"/>
      <c r="R22" s="1099"/>
      <c r="S22" s="1099"/>
      <c r="T22" s="1099"/>
      <c r="U22" s="1099">
        <v>162.96842766641248</v>
      </c>
      <c r="V22" s="1099">
        <v>1</v>
      </c>
      <c r="W22" s="1099"/>
      <c r="X22" s="1083">
        <v>0</v>
      </c>
      <c r="Y22" s="1083">
        <v>0</v>
      </c>
      <c r="Z22" s="1096"/>
      <c r="AA22" s="1046">
        <f t="shared" si="1"/>
        <v>0</v>
      </c>
      <c r="AB22" s="1097">
        <v>0</v>
      </c>
      <c r="AC22" s="1098">
        <v>0</v>
      </c>
      <c r="AD22" s="1055"/>
      <c r="AF22" s="1048" t="s">
        <v>1436</v>
      </c>
    </row>
    <row r="23" spans="2:41" x14ac:dyDescent="0.3">
      <c r="B23" s="2139"/>
      <c r="C23" s="1102" t="s">
        <v>694</v>
      </c>
      <c r="D23" s="1103" t="s">
        <v>695</v>
      </c>
      <c r="E23" s="1083"/>
      <c r="F23" s="1083"/>
      <c r="G23" s="1083"/>
      <c r="H23" s="1083"/>
      <c r="I23" s="1083"/>
      <c r="J23" s="1083"/>
      <c r="K23" s="1083"/>
      <c r="L23" s="1083"/>
      <c r="M23" s="1083"/>
      <c r="N23" s="1083"/>
      <c r="O23" s="1083"/>
      <c r="P23" s="1083"/>
      <c r="Q23" s="1083"/>
      <c r="R23" s="1083"/>
      <c r="S23" s="1083"/>
      <c r="T23" s="1083"/>
      <c r="U23" s="1083"/>
      <c r="V23" s="1083"/>
      <c r="W23" s="1083"/>
      <c r="X23" s="1083"/>
      <c r="Y23" s="1083"/>
      <c r="Z23" s="1096"/>
      <c r="AA23" s="1046">
        <f t="shared" si="1"/>
        <v>0</v>
      </c>
      <c r="AB23" s="1097"/>
      <c r="AC23" s="1098"/>
      <c r="AD23" s="1089" t="s">
        <v>1451</v>
      </c>
      <c r="AE23" s="1089"/>
      <c r="AF23" s="1089"/>
    </row>
    <row r="24" spans="2:41" x14ac:dyDescent="0.3">
      <c r="B24" s="2139"/>
      <c r="C24" s="1103" t="s">
        <v>696</v>
      </c>
      <c r="D24" s="1103" t="s">
        <v>697</v>
      </c>
      <c r="E24" s="1083"/>
      <c r="F24" s="1083"/>
      <c r="G24" s="1083"/>
      <c r="H24" s="1083"/>
      <c r="I24" s="1083"/>
      <c r="J24" s="1083"/>
      <c r="K24" s="1083"/>
      <c r="L24" s="1083"/>
      <c r="M24" s="1083"/>
      <c r="N24" s="1083"/>
      <c r="O24" s="1083"/>
      <c r="P24" s="1083"/>
      <c r="Q24" s="1083"/>
      <c r="R24" s="1083"/>
      <c r="S24" s="1083"/>
      <c r="T24" s="1083"/>
      <c r="U24" s="1083"/>
      <c r="V24" s="1083"/>
      <c r="W24" s="1083"/>
      <c r="X24" s="1083"/>
      <c r="Y24" s="1083"/>
      <c r="Z24" s="1096"/>
      <c r="AA24" s="1046">
        <f t="shared" si="1"/>
        <v>0</v>
      </c>
      <c r="AB24" s="1097"/>
      <c r="AC24" s="1098"/>
      <c r="AD24" s="1089" t="s">
        <v>1452</v>
      </c>
    </row>
    <row r="25" spans="2:41" x14ac:dyDescent="0.3">
      <c r="B25" s="2139"/>
      <c r="C25" s="1080" t="s">
        <v>698</v>
      </c>
      <c r="D25" s="1093" t="s">
        <v>1453</v>
      </c>
      <c r="E25" s="1045">
        <v>668.86</v>
      </c>
      <c r="F25" s="1081">
        <v>17.466464048794755</v>
      </c>
      <c r="G25" s="1081"/>
      <c r="H25" s="1081"/>
      <c r="I25" s="1081"/>
      <c r="J25" s="1081"/>
      <c r="K25" s="1081"/>
      <c r="L25" s="1081"/>
      <c r="M25" s="1081"/>
      <c r="N25" s="1081"/>
      <c r="O25" s="1081"/>
      <c r="P25" s="1081"/>
      <c r="Q25" s="1081"/>
      <c r="R25" s="1081"/>
      <c r="S25" s="1081"/>
      <c r="T25" s="1081"/>
      <c r="U25" s="1082">
        <f>F25/7</f>
        <v>2.4952091498278222</v>
      </c>
      <c r="V25" s="1082">
        <v>7</v>
      </c>
      <c r="W25" s="1082">
        <f>2014+V25</f>
        <v>2021</v>
      </c>
      <c r="X25" s="1083"/>
      <c r="Y25" s="1083"/>
      <c r="Z25" s="1096"/>
      <c r="AA25" s="1046">
        <f t="shared" si="1"/>
        <v>0</v>
      </c>
      <c r="AB25" s="1084"/>
      <c r="AC25" s="1085"/>
      <c r="AD25" s="1055"/>
      <c r="AF25" s="1048" t="s">
        <v>1436</v>
      </c>
      <c r="AO25" s="1104"/>
    </row>
    <row r="26" spans="2:41" ht="27" x14ac:dyDescent="0.3">
      <c r="B26" s="2139"/>
      <c r="C26" s="1093" t="s">
        <v>704</v>
      </c>
      <c r="D26" s="1093" t="s">
        <v>705</v>
      </c>
      <c r="E26" s="1105">
        <v>1</v>
      </c>
      <c r="F26" s="1106">
        <v>0.99999999999999967</v>
      </c>
      <c r="G26" s="1106"/>
      <c r="H26" s="1106"/>
      <c r="I26" s="1106"/>
      <c r="J26" s="1106"/>
      <c r="K26" s="1106"/>
      <c r="L26" s="1106"/>
      <c r="M26" s="1106"/>
      <c r="N26" s="1106"/>
      <c r="O26" s="1106"/>
      <c r="P26" s="1106"/>
      <c r="Q26" s="1106"/>
      <c r="R26" s="1106"/>
      <c r="S26" s="1106"/>
      <c r="T26" s="1106"/>
      <c r="U26" s="1106">
        <v>0.99999999999999967</v>
      </c>
      <c r="V26" s="1106">
        <v>1</v>
      </c>
      <c r="W26" s="1106">
        <v>2021</v>
      </c>
      <c r="X26" s="1083"/>
      <c r="Y26" s="1083"/>
      <c r="Z26" s="1096"/>
      <c r="AA26" s="1046">
        <f t="shared" si="1"/>
        <v>0</v>
      </c>
      <c r="AB26" s="1084"/>
      <c r="AC26" s="1085"/>
      <c r="AD26" s="1055"/>
      <c r="AF26" s="1048" t="s">
        <v>1436</v>
      </c>
    </row>
    <row r="27" spans="2:41" ht="27" x14ac:dyDescent="0.3">
      <c r="B27" s="2139"/>
      <c r="C27" s="1080" t="s">
        <v>707</v>
      </c>
      <c r="D27" s="1093" t="s">
        <v>1454</v>
      </c>
      <c r="E27" s="1045">
        <v>408.22</v>
      </c>
      <c r="F27" s="1081">
        <v>100.64778029999999</v>
      </c>
      <c r="G27" s="1081"/>
      <c r="H27" s="1081"/>
      <c r="I27" s="1081"/>
      <c r="J27" s="1081"/>
      <c r="K27" s="1081"/>
      <c r="L27" s="1081"/>
      <c r="M27" s="1081"/>
      <c r="N27" s="1081"/>
      <c r="O27" s="1081"/>
      <c r="P27" s="1081"/>
      <c r="Q27" s="1081"/>
      <c r="R27" s="1081"/>
      <c r="S27" s="1081"/>
      <c r="T27" s="1081"/>
      <c r="U27" s="1082">
        <f>F27/7</f>
        <v>14.378254328571428</v>
      </c>
      <c r="V27" s="1082">
        <v>7</v>
      </c>
      <c r="W27" s="1082">
        <f>2021</f>
        <v>2021</v>
      </c>
      <c r="X27" s="1083">
        <v>0</v>
      </c>
      <c r="Y27" s="1083">
        <v>0</v>
      </c>
      <c r="Z27" s="1096"/>
      <c r="AA27" s="1046">
        <f t="shared" si="1"/>
        <v>0</v>
      </c>
      <c r="AB27" s="1084"/>
      <c r="AC27" s="1085"/>
      <c r="AF27" s="1048" t="s">
        <v>1436</v>
      </c>
    </row>
    <row r="28" spans="2:41" ht="14.25" thickBot="1" x14ac:dyDescent="0.35">
      <c r="B28" s="2142"/>
      <c r="C28" s="1090" t="s">
        <v>710</v>
      </c>
      <c r="D28" s="1107" t="s">
        <v>711</v>
      </c>
      <c r="E28" s="1072">
        <v>9.77</v>
      </c>
      <c r="F28" s="1091">
        <v>1.9011809879999988</v>
      </c>
      <c r="G28" s="1108"/>
      <c r="H28" s="1108"/>
      <c r="I28" s="1108"/>
      <c r="J28" s="1108"/>
      <c r="K28" s="1108"/>
      <c r="L28" s="1108"/>
      <c r="M28" s="1108"/>
      <c r="N28" s="1108"/>
      <c r="O28" s="1108"/>
      <c r="P28" s="1108"/>
      <c r="Q28" s="1108"/>
      <c r="R28" s="1108"/>
      <c r="S28" s="1108"/>
      <c r="T28" s="1108"/>
      <c r="U28" s="1109">
        <f>F28/6</f>
        <v>0.3168634979999998</v>
      </c>
      <c r="V28" s="1109">
        <v>6</v>
      </c>
      <c r="W28" s="1109">
        <v>2021</v>
      </c>
      <c r="X28" s="1110">
        <v>3.99</v>
      </c>
      <c r="Y28" s="1110">
        <v>7.22</v>
      </c>
      <c r="Z28" s="1041"/>
      <c r="AA28" s="1046">
        <f t="shared" si="1"/>
        <v>0.55263157894736847</v>
      </c>
      <c r="AB28" s="1075"/>
      <c r="AC28" s="1077"/>
      <c r="AE28" s="1111" t="s">
        <v>1438</v>
      </c>
      <c r="AF28" s="1048" t="s">
        <v>1436</v>
      </c>
    </row>
    <row r="29" spans="2:41" x14ac:dyDescent="0.3">
      <c r="X29" s="1112"/>
      <c r="Y29" s="1112"/>
      <c r="Z29" s="1112"/>
      <c r="AA29" s="1112"/>
      <c r="AB29" s="1113"/>
    </row>
    <row r="30" spans="2:41" ht="14.25" thickBot="1" x14ac:dyDescent="0.35">
      <c r="B30" s="1039" t="s">
        <v>66</v>
      </c>
      <c r="X30" s="1114"/>
      <c r="Y30" s="1114"/>
      <c r="Z30" s="1114"/>
      <c r="AA30" s="1114"/>
    </row>
    <row r="31" spans="2:41" ht="81.75" thickBot="1" x14ac:dyDescent="0.35">
      <c r="B31" s="855" t="s">
        <v>49</v>
      </c>
      <c r="C31" s="856" t="s">
        <v>491</v>
      </c>
      <c r="D31" s="856" t="s">
        <v>492</v>
      </c>
      <c r="E31" s="856" t="s">
        <v>1420</v>
      </c>
      <c r="F31" s="856" t="s">
        <v>1455</v>
      </c>
      <c r="G31" s="856"/>
      <c r="H31" s="856"/>
      <c r="I31" s="856"/>
      <c r="J31" s="856"/>
      <c r="K31" s="856"/>
      <c r="L31" s="856"/>
      <c r="M31" s="856"/>
      <c r="N31" s="856"/>
      <c r="O31" s="856"/>
      <c r="P31" s="856"/>
      <c r="Q31" s="856"/>
      <c r="R31" s="856"/>
      <c r="S31" s="856"/>
      <c r="T31" s="856"/>
      <c r="U31" s="856" t="s">
        <v>1422</v>
      </c>
      <c r="V31" s="856"/>
      <c r="W31" s="856"/>
      <c r="X31" s="856" t="s">
        <v>1425</v>
      </c>
      <c r="Y31" s="856" t="s">
        <v>1426</v>
      </c>
      <c r="Z31" s="856"/>
      <c r="AA31" s="856"/>
      <c r="AB31" s="856" t="s">
        <v>1456</v>
      </c>
      <c r="AC31" s="856" t="s">
        <v>1429</v>
      </c>
    </row>
    <row r="32" spans="2:41" ht="27" x14ac:dyDescent="0.3">
      <c r="B32" s="2138" t="s">
        <v>50</v>
      </c>
      <c r="C32" s="1078" t="s">
        <v>779</v>
      </c>
      <c r="D32" s="1078" t="s">
        <v>780</v>
      </c>
      <c r="E32" s="1064">
        <v>121</v>
      </c>
      <c r="F32" s="1064">
        <v>54</v>
      </c>
      <c r="G32" s="1064"/>
      <c r="H32" s="1064"/>
      <c r="I32" s="1064"/>
      <c r="J32" s="1064"/>
      <c r="K32" s="1064"/>
      <c r="L32" s="1064"/>
      <c r="M32" s="1064"/>
      <c r="N32" s="1064"/>
      <c r="O32" s="1064"/>
      <c r="P32" s="1064"/>
      <c r="Q32" s="1064"/>
      <c r="R32" s="1064"/>
      <c r="S32" s="1064"/>
      <c r="T32" s="1064"/>
      <c r="U32" s="1064">
        <v>5.4</v>
      </c>
      <c r="V32" s="1064"/>
      <c r="W32" s="1064"/>
      <c r="X32" s="1042">
        <v>0</v>
      </c>
      <c r="Y32" s="1042"/>
      <c r="Z32" s="1042"/>
      <c r="AA32" s="1042"/>
      <c r="AB32" s="1042">
        <v>0</v>
      </c>
      <c r="AC32" s="1047"/>
      <c r="AD32" s="1115" t="s">
        <v>1457</v>
      </c>
    </row>
    <row r="33" spans="2:29" ht="27" x14ac:dyDescent="0.3">
      <c r="B33" s="2139"/>
      <c r="C33" s="1080" t="s">
        <v>782</v>
      </c>
      <c r="D33" s="1080" t="s">
        <v>783</v>
      </c>
      <c r="E33" s="1045">
        <v>25.45</v>
      </c>
      <c r="F33" s="1045">
        <v>5.7</v>
      </c>
      <c r="G33" s="1045"/>
      <c r="H33" s="1045"/>
      <c r="I33" s="1045"/>
      <c r="J33" s="1045"/>
      <c r="K33" s="1045"/>
      <c r="L33" s="1045"/>
      <c r="M33" s="1045"/>
      <c r="N33" s="1045"/>
      <c r="O33" s="1045"/>
      <c r="P33" s="1045"/>
      <c r="Q33" s="1045"/>
      <c r="R33" s="1045"/>
      <c r="S33" s="1045"/>
      <c r="T33" s="1045"/>
      <c r="U33" s="1045">
        <v>0.6</v>
      </c>
      <c r="V33" s="1045"/>
      <c r="W33" s="1045"/>
      <c r="X33" s="1045">
        <v>2.2999999999999998</v>
      </c>
      <c r="Y33" s="1045"/>
      <c r="Z33" s="1045"/>
      <c r="AA33" s="1045"/>
      <c r="AB33" s="1045">
        <v>0</v>
      </c>
      <c r="AC33" s="1085"/>
    </row>
    <row r="34" spans="2:29" x14ac:dyDescent="0.3">
      <c r="B34" s="2139"/>
      <c r="C34" s="1080" t="s">
        <v>786</v>
      </c>
      <c r="D34" s="1080" t="s">
        <v>1406</v>
      </c>
      <c r="E34" s="1045">
        <v>1733</v>
      </c>
      <c r="F34" s="1045">
        <v>335</v>
      </c>
      <c r="G34" s="1045"/>
      <c r="H34" s="1045"/>
      <c r="I34" s="1045"/>
      <c r="J34" s="1045"/>
      <c r="K34" s="1045"/>
      <c r="L34" s="1045"/>
      <c r="M34" s="1045"/>
      <c r="N34" s="1045"/>
      <c r="O34" s="1045"/>
      <c r="P34" s="1045"/>
      <c r="Q34" s="1045"/>
      <c r="R34" s="1045"/>
      <c r="S34" s="1045"/>
      <c r="T34" s="1045"/>
      <c r="U34" s="1045">
        <v>35.9</v>
      </c>
      <c r="V34" s="1045"/>
      <c r="W34" s="1045"/>
      <c r="X34" s="1045">
        <v>0</v>
      </c>
      <c r="Y34" s="1045"/>
      <c r="Z34" s="1045"/>
      <c r="AA34" s="1045"/>
      <c r="AB34" s="1045">
        <v>11.32</v>
      </c>
      <c r="AC34" s="1085"/>
    </row>
    <row r="35" spans="2:29" ht="27" x14ac:dyDescent="0.3">
      <c r="B35" s="2139"/>
      <c r="C35" s="1080" t="s">
        <v>789</v>
      </c>
      <c r="D35" s="1080" t="s">
        <v>790</v>
      </c>
      <c r="E35" s="1116">
        <v>189.32758793721777</v>
      </c>
      <c r="F35" s="1116">
        <v>34.423197806766865</v>
      </c>
      <c r="G35" s="1117"/>
      <c r="H35" s="1117"/>
      <c r="I35" s="1117"/>
      <c r="J35" s="1117"/>
      <c r="K35" s="1117"/>
      <c r="L35" s="1117"/>
      <c r="M35" s="1117"/>
      <c r="N35" s="1117"/>
      <c r="O35" s="1117"/>
      <c r="P35" s="1117"/>
      <c r="Q35" s="1117"/>
      <c r="R35" s="1117"/>
      <c r="S35" s="1117"/>
      <c r="T35" s="1117"/>
      <c r="U35" s="1118">
        <v>3.4</v>
      </c>
      <c r="V35" s="1118"/>
      <c r="W35" s="1118"/>
      <c r="X35" s="1045">
        <v>14</v>
      </c>
      <c r="Y35" s="1083"/>
      <c r="Z35" s="1083"/>
      <c r="AA35" s="1083"/>
      <c r="AB35" s="1083">
        <v>0</v>
      </c>
      <c r="AC35" s="1085"/>
    </row>
    <row r="36" spans="2:29" x14ac:dyDescent="0.3">
      <c r="B36" s="2139"/>
      <c r="C36" s="1080" t="s">
        <v>792</v>
      </c>
      <c r="D36" s="1080" t="s">
        <v>793</v>
      </c>
      <c r="E36" s="1116">
        <v>818.16564787154812</v>
      </c>
      <c r="F36" s="1116">
        <v>148.75739052209968</v>
      </c>
      <c r="G36" s="1116"/>
      <c r="H36" s="1116"/>
      <c r="I36" s="1116"/>
      <c r="J36" s="1116"/>
      <c r="K36" s="1116"/>
      <c r="L36" s="1116"/>
      <c r="M36" s="1116"/>
      <c r="N36" s="1116"/>
      <c r="O36" s="1116"/>
      <c r="P36" s="1116"/>
      <c r="Q36" s="1116"/>
      <c r="R36" s="1116"/>
      <c r="S36" s="1116"/>
      <c r="T36" s="1116"/>
      <c r="U36" s="1045">
        <v>14.9</v>
      </c>
      <c r="V36" s="1045"/>
      <c r="W36" s="1045"/>
      <c r="X36" s="1045">
        <v>61</v>
      </c>
      <c r="Y36" s="1083"/>
      <c r="Z36" s="1083"/>
      <c r="AA36" s="1083"/>
      <c r="AB36" s="1083">
        <v>0</v>
      </c>
      <c r="AC36" s="1085"/>
    </row>
    <row r="37" spans="2:29" ht="27.75" thickBot="1" x14ac:dyDescent="0.35">
      <c r="B37" s="2142"/>
      <c r="C37" s="1090" t="s">
        <v>795</v>
      </c>
      <c r="D37" s="1090" t="s">
        <v>796</v>
      </c>
      <c r="E37" s="1116">
        <v>135.23407789482883</v>
      </c>
      <c r="F37" s="1116">
        <v>24.588014162696155</v>
      </c>
      <c r="G37" s="1116"/>
      <c r="H37" s="1116"/>
      <c r="I37" s="1116"/>
      <c r="J37" s="1116"/>
      <c r="K37" s="1116"/>
      <c r="L37" s="1116"/>
      <c r="M37" s="1116"/>
      <c r="N37" s="1116"/>
      <c r="O37" s="1116"/>
      <c r="P37" s="1116"/>
      <c r="Q37" s="1116"/>
      <c r="R37" s="1116"/>
      <c r="S37" s="1116"/>
      <c r="T37" s="1116"/>
      <c r="U37" s="1045">
        <v>2.5</v>
      </c>
      <c r="V37" s="1045"/>
      <c r="W37" s="1045"/>
      <c r="X37" s="1045">
        <v>40</v>
      </c>
      <c r="Y37" s="1071"/>
      <c r="Z37" s="1071"/>
      <c r="AA37" s="1071"/>
      <c r="AB37" s="1071">
        <v>0</v>
      </c>
      <c r="AC37" s="1077"/>
    </row>
    <row r="38" spans="2:29" ht="27" x14ac:dyDescent="0.3">
      <c r="B38" s="2138" t="s">
        <v>53</v>
      </c>
      <c r="C38" s="1078" t="s">
        <v>799</v>
      </c>
      <c r="D38" s="1078" t="s">
        <v>800</v>
      </c>
      <c r="E38" s="1042"/>
      <c r="F38" s="1042"/>
      <c r="G38" s="1042"/>
      <c r="H38" s="1042"/>
      <c r="I38" s="1042"/>
      <c r="J38" s="1042"/>
      <c r="K38" s="1042"/>
      <c r="L38" s="1042"/>
      <c r="M38" s="1042"/>
      <c r="N38" s="1042"/>
      <c r="O38" s="1042"/>
      <c r="P38" s="1042"/>
      <c r="Q38" s="1042"/>
      <c r="R38" s="1042"/>
      <c r="S38" s="1042"/>
      <c r="T38" s="1042"/>
      <c r="U38" s="1042"/>
      <c r="V38" s="1042"/>
      <c r="W38" s="1042"/>
      <c r="X38" s="1042"/>
      <c r="Y38" s="1042"/>
      <c r="Z38" s="1042"/>
      <c r="AA38" s="1042"/>
      <c r="AB38" s="1042"/>
      <c r="AC38" s="1047"/>
    </row>
    <row r="39" spans="2:29" ht="27" x14ac:dyDescent="0.3">
      <c r="B39" s="2139"/>
      <c r="C39" s="1080" t="s">
        <v>803</v>
      </c>
      <c r="D39" s="1080" t="s">
        <v>804</v>
      </c>
      <c r="E39" s="1083"/>
      <c r="F39" s="1083"/>
      <c r="G39" s="1083"/>
      <c r="H39" s="1083"/>
      <c r="I39" s="1083"/>
      <c r="J39" s="1083"/>
      <c r="K39" s="1083"/>
      <c r="L39" s="1083"/>
      <c r="M39" s="1083"/>
      <c r="N39" s="1083"/>
      <c r="O39" s="1083"/>
      <c r="P39" s="1083"/>
      <c r="Q39" s="1083"/>
      <c r="R39" s="1083"/>
      <c r="S39" s="1083"/>
      <c r="T39" s="1083"/>
      <c r="U39" s="1083"/>
      <c r="V39" s="1083"/>
      <c r="W39" s="1083"/>
      <c r="X39" s="1083"/>
      <c r="Y39" s="1083"/>
      <c r="Z39" s="1083"/>
      <c r="AA39" s="1083"/>
      <c r="AB39" s="1083"/>
      <c r="AC39" s="1085"/>
    </row>
    <row r="40" spans="2:29" x14ac:dyDescent="0.3">
      <c r="B40" s="2139"/>
      <c r="C40" s="1080" t="s">
        <v>805</v>
      </c>
      <c r="D40" s="1080" t="s">
        <v>806</v>
      </c>
      <c r="E40" s="1083"/>
      <c r="F40" s="1083"/>
      <c r="G40" s="1083"/>
      <c r="H40" s="1083"/>
      <c r="I40" s="1083"/>
      <c r="J40" s="1083"/>
      <c r="K40" s="1083"/>
      <c r="L40" s="1083"/>
      <c r="M40" s="1083"/>
      <c r="N40" s="1083"/>
      <c r="O40" s="1083"/>
      <c r="P40" s="1083"/>
      <c r="Q40" s="1083"/>
      <c r="R40" s="1083"/>
      <c r="S40" s="1083"/>
      <c r="T40" s="1083"/>
      <c r="U40" s="1083"/>
      <c r="V40" s="1083"/>
      <c r="W40" s="1083"/>
      <c r="X40" s="1083"/>
      <c r="Y40" s="1083"/>
      <c r="Z40" s="1083"/>
      <c r="AA40" s="1083"/>
      <c r="AB40" s="1083"/>
      <c r="AC40" s="1085"/>
    </row>
    <row r="41" spans="2:29" ht="27" x14ac:dyDescent="0.3">
      <c r="B41" s="2139"/>
      <c r="C41" s="1080" t="s">
        <v>807</v>
      </c>
      <c r="D41" s="1080" t="s">
        <v>808</v>
      </c>
      <c r="E41" s="1083"/>
      <c r="F41" s="1083"/>
      <c r="G41" s="1083"/>
      <c r="H41" s="1083"/>
      <c r="I41" s="1083"/>
      <c r="J41" s="1083"/>
      <c r="K41" s="1083"/>
      <c r="L41" s="1083"/>
      <c r="M41" s="1083"/>
      <c r="N41" s="1083"/>
      <c r="O41" s="1083"/>
      <c r="P41" s="1083"/>
      <c r="Q41" s="1083"/>
      <c r="R41" s="1083"/>
      <c r="S41" s="1083"/>
      <c r="T41" s="1083"/>
      <c r="U41" s="1083"/>
      <c r="V41" s="1083"/>
      <c r="W41" s="1083"/>
      <c r="X41" s="1083"/>
      <c r="Y41" s="1083"/>
      <c r="Z41" s="1083"/>
      <c r="AA41" s="1083"/>
      <c r="AB41" s="1083"/>
      <c r="AC41" s="1085"/>
    </row>
    <row r="42" spans="2:29" x14ac:dyDescent="0.3">
      <c r="B42" s="2139"/>
      <c r="C42" s="1080" t="s">
        <v>809</v>
      </c>
      <c r="D42" s="1080" t="s">
        <v>810</v>
      </c>
      <c r="E42" s="1083"/>
      <c r="F42" s="1083"/>
      <c r="G42" s="1083"/>
      <c r="H42" s="1083"/>
      <c r="I42" s="1083"/>
      <c r="J42" s="1083"/>
      <c r="K42" s="1083"/>
      <c r="L42" s="1083"/>
      <c r="M42" s="1083"/>
      <c r="N42" s="1083"/>
      <c r="O42" s="1083"/>
      <c r="P42" s="1083"/>
      <c r="Q42" s="1083"/>
      <c r="R42" s="1083"/>
      <c r="S42" s="1083"/>
      <c r="T42" s="1083"/>
      <c r="U42" s="1083"/>
      <c r="V42" s="1083"/>
      <c r="W42" s="1083"/>
      <c r="X42" s="1083"/>
      <c r="Y42" s="1083"/>
      <c r="Z42" s="1083"/>
      <c r="AA42" s="1083"/>
      <c r="AB42" s="1083"/>
      <c r="AC42" s="1085"/>
    </row>
    <row r="43" spans="2:29" x14ac:dyDescent="0.3">
      <c r="B43" s="2139"/>
      <c r="C43" s="1080" t="s">
        <v>811</v>
      </c>
      <c r="D43" s="1080" t="s">
        <v>812</v>
      </c>
      <c r="E43" s="1083"/>
      <c r="F43" s="1083"/>
      <c r="G43" s="1083"/>
      <c r="H43" s="1083"/>
      <c r="I43" s="1083"/>
      <c r="J43" s="1083"/>
      <c r="K43" s="1083"/>
      <c r="L43" s="1083"/>
      <c r="M43" s="1083"/>
      <c r="N43" s="1083"/>
      <c r="O43" s="1083"/>
      <c r="P43" s="1083"/>
      <c r="Q43" s="1083"/>
      <c r="R43" s="1083"/>
      <c r="S43" s="1083"/>
      <c r="T43" s="1083"/>
      <c r="U43" s="1083"/>
      <c r="V43" s="1083"/>
      <c r="W43" s="1083"/>
      <c r="X43" s="1083"/>
      <c r="Y43" s="1083"/>
      <c r="Z43" s="1083"/>
      <c r="AA43" s="1083"/>
      <c r="AB43" s="1083"/>
      <c r="AC43" s="1085"/>
    </row>
    <row r="44" spans="2:29" x14ac:dyDescent="0.3">
      <c r="B44" s="2139"/>
      <c r="C44" s="1080" t="s">
        <v>817</v>
      </c>
      <c r="D44" s="1080" t="s">
        <v>818</v>
      </c>
      <c r="E44" s="1083"/>
      <c r="F44" s="1083"/>
      <c r="G44" s="1083"/>
      <c r="H44" s="1083"/>
      <c r="I44" s="1083"/>
      <c r="J44" s="1083"/>
      <c r="K44" s="1083"/>
      <c r="L44" s="1083"/>
      <c r="M44" s="1083"/>
      <c r="N44" s="1083"/>
      <c r="O44" s="1083"/>
      <c r="P44" s="1083"/>
      <c r="Q44" s="1083"/>
      <c r="R44" s="1083"/>
      <c r="S44" s="1083"/>
      <c r="T44" s="1083"/>
      <c r="U44" s="1083"/>
      <c r="V44" s="1083"/>
      <c r="W44" s="1083"/>
      <c r="X44" s="1083"/>
      <c r="Y44" s="1083"/>
      <c r="Z44" s="1083"/>
      <c r="AA44" s="1083"/>
      <c r="AB44" s="1083"/>
      <c r="AC44" s="1085"/>
    </row>
    <row r="45" spans="2:29" ht="27" x14ac:dyDescent="0.3">
      <c r="B45" s="2139"/>
      <c r="C45" s="1080" t="s">
        <v>822</v>
      </c>
      <c r="D45" s="1080" t="s">
        <v>1458</v>
      </c>
      <c r="E45" s="1083"/>
      <c r="F45" s="1083"/>
      <c r="G45" s="1083"/>
      <c r="H45" s="1083"/>
      <c r="I45" s="1083"/>
      <c r="J45" s="1083"/>
      <c r="K45" s="1083"/>
      <c r="L45" s="1083"/>
      <c r="M45" s="1083"/>
      <c r="N45" s="1083"/>
      <c r="O45" s="1083"/>
      <c r="P45" s="1083"/>
      <c r="Q45" s="1083"/>
      <c r="R45" s="1083"/>
      <c r="S45" s="1083"/>
      <c r="T45" s="1083"/>
      <c r="U45" s="1083"/>
      <c r="V45" s="1083"/>
      <c r="W45" s="1083"/>
      <c r="X45" s="1083"/>
      <c r="Y45" s="1083"/>
      <c r="Z45" s="1083"/>
      <c r="AA45" s="1083"/>
      <c r="AB45" s="1083"/>
      <c r="AC45" s="1085"/>
    </row>
    <row r="46" spans="2:29" x14ac:dyDescent="0.3">
      <c r="B46" s="2139"/>
      <c r="C46" s="1080" t="s">
        <v>826</v>
      </c>
      <c r="D46" s="1080" t="s">
        <v>827</v>
      </c>
      <c r="E46" s="1083"/>
      <c r="F46" s="1083"/>
      <c r="G46" s="1083"/>
      <c r="H46" s="1083"/>
      <c r="I46" s="1083"/>
      <c r="J46" s="1083"/>
      <c r="K46" s="1083"/>
      <c r="L46" s="1083"/>
      <c r="M46" s="1083"/>
      <c r="N46" s="1083"/>
      <c r="O46" s="1083"/>
      <c r="P46" s="1083"/>
      <c r="Q46" s="1083"/>
      <c r="R46" s="1083"/>
      <c r="S46" s="1083"/>
      <c r="T46" s="1083"/>
      <c r="U46" s="1083"/>
      <c r="V46" s="1083"/>
      <c r="W46" s="1083"/>
      <c r="X46" s="1083"/>
      <c r="Y46" s="1083"/>
      <c r="Z46" s="1083"/>
      <c r="AA46" s="1083"/>
      <c r="AB46" s="1083"/>
      <c r="AC46" s="1085"/>
    </row>
    <row r="47" spans="2:29" x14ac:dyDescent="0.3">
      <c r="B47" s="2139"/>
      <c r="C47" s="1080" t="s">
        <v>830</v>
      </c>
      <c r="D47" s="1080" t="s">
        <v>831</v>
      </c>
      <c r="E47" s="1083"/>
      <c r="F47" s="1083"/>
      <c r="G47" s="1083"/>
      <c r="H47" s="1083"/>
      <c r="I47" s="1083"/>
      <c r="J47" s="1083"/>
      <c r="K47" s="1083"/>
      <c r="L47" s="1083"/>
      <c r="M47" s="1083"/>
      <c r="N47" s="1083"/>
      <c r="O47" s="1083"/>
      <c r="P47" s="1083"/>
      <c r="Q47" s="1083"/>
      <c r="R47" s="1083"/>
      <c r="S47" s="1083"/>
      <c r="T47" s="1083"/>
      <c r="U47" s="1083"/>
      <c r="V47" s="1083"/>
      <c r="W47" s="1083"/>
      <c r="X47" s="1083"/>
      <c r="Y47" s="1083"/>
      <c r="Z47" s="1083"/>
      <c r="AA47" s="1083"/>
      <c r="AB47" s="1083"/>
      <c r="AC47" s="1085"/>
    </row>
    <row r="48" spans="2:29" x14ac:dyDescent="0.3">
      <c r="B48" s="2139"/>
      <c r="C48" s="1080" t="s">
        <v>834</v>
      </c>
      <c r="D48" s="1080" t="s">
        <v>835</v>
      </c>
      <c r="E48" s="1083"/>
      <c r="F48" s="1083"/>
      <c r="G48" s="1083"/>
      <c r="H48" s="1083"/>
      <c r="I48" s="1083"/>
      <c r="J48" s="1083"/>
      <c r="K48" s="1083"/>
      <c r="L48" s="1083"/>
      <c r="M48" s="1083"/>
      <c r="N48" s="1083"/>
      <c r="O48" s="1083"/>
      <c r="P48" s="1083"/>
      <c r="Q48" s="1083"/>
      <c r="R48" s="1083"/>
      <c r="S48" s="1083"/>
      <c r="T48" s="1083"/>
      <c r="U48" s="1083"/>
      <c r="V48" s="1083"/>
      <c r="W48" s="1083"/>
      <c r="X48" s="1083"/>
      <c r="Y48" s="1083"/>
      <c r="Z48" s="1083"/>
      <c r="AA48" s="1083"/>
      <c r="AB48" s="1083"/>
      <c r="AC48" s="1085"/>
    </row>
    <row r="49" spans="2:31" x14ac:dyDescent="0.3">
      <c r="B49" s="2139"/>
      <c r="C49" s="1080" t="s">
        <v>838</v>
      </c>
      <c r="D49" s="1080" t="s">
        <v>839</v>
      </c>
      <c r="E49" s="1083"/>
      <c r="F49" s="1083"/>
      <c r="G49" s="1083"/>
      <c r="H49" s="1083"/>
      <c r="I49" s="1083"/>
      <c r="J49" s="1083"/>
      <c r="K49" s="1083"/>
      <c r="L49" s="1083"/>
      <c r="M49" s="1083"/>
      <c r="N49" s="1083"/>
      <c r="O49" s="1083"/>
      <c r="P49" s="1083"/>
      <c r="Q49" s="1083"/>
      <c r="R49" s="1083"/>
      <c r="S49" s="1083"/>
      <c r="T49" s="1083"/>
      <c r="U49" s="1083"/>
      <c r="V49" s="1083"/>
      <c r="W49" s="1083"/>
      <c r="X49" s="1083"/>
      <c r="Y49" s="1083"/>
      <c r="Z49" s="1083"/>
      <c r="AA49" s="1083"/>
      <c r="AB49" s="1083"/>
      <c r="AC49" s="1085"/>
    </row>
    <row r="50" spans="2:31" x14ac:dyDescent="0.3">
      <c r="B50" s="2139"/>
      <c r="C50" s="1080" t="s">
        <v>842</v>
      </c>
      <c r="D50" s="1080" t="s">
        <v>843</v>
      </c>
      <c r="E50" s="1083"/>
      <c r="F50" s="1083"/>
      <c r="G50" s="1083"/>
      <c r="H50" s="1083"/>
      <c r="I50" s="1083"/>
      <c r="J50" s="1083"/>
      <c r="K50" s="1083"/>
      <c r="L50" s="1083"/>
      <c r="M50" s="1083"/>
      <c r="N50" s="1083"/>
      <c r="O50" s="1083"/>
      <c r="P50" s="1083"/>
      <c r="Q50" s="1083"/>
      <c r="R50" s="1083"/>
      <c r="S50" s="1083"/>
      <c r="T50" s="1083"/>
      <c r="U50" s="1083"/>
      <c r="V50" s="1083"/>
      <c r="W50" s="1083"/>
      <c r="X50" s="1083"/>
      <c r="Y50" s="1083"/>
      <c r="Z50" s="1083"/>
      <c r="AA50" s="1083"/>
      <c r="AB50" s="1083"/>
      <c r="AC50" s="1085"/>
    </row>
    <row r="51" spans="2:31" x14ac:dyDescent="0.3">
      <c r="B51" s="2139"/>
      <c r="C51" s="1080" t="s">
        <v>846</v>
      </c>
      <c r="D51" s="1080" t="s">
        <v>847</v>
      </c>
      <c r="E51" s="1083"/>
      <c r="F51" s="1083"/>
      <c r="G51" s="1083"/>
      <c r="H51" s="1083"/>
      <c r="I51" s="1083"/>
      <c r="J51" s="1083"/>
      <c r="K51" s="1083"/>
      <c r="L51" s="1083"/>
      <c r="M51" s="1083"/>
      <c r="N51" s="1083"/>
      <c r="O51" s="1083"/>
      <c r="P51" s="1083"/>
      <c r="Q51" s="1083"/>
      <c r="R51" s="1083"/>
      <c r="S51" s="1083"/>
      <c r="T51" s="1083"/>
      <c r="U51" s="1083"/>
      <c r="V51" s="1083"/>
      <c r="W51" s="1083"/>
      <c r="X51" s="1083"/>
      <c r="Y51" s="1083"/>
      <c r="Z51" s="1083"/>
      <c r="AA51" s="1083"/>
      <c r="AB51" s="1083"/>
      <c r="AC51" s="1085"/>
    </row>
    <row r="52" spans="2:31" x14ac:dyDescent="0.3">
      <c r="B52" s="2139"/>
      <c r="C52" s="1080" t="s">
        <v>848</v>
      </c>
      <c r="D52" s="1080" t="s">
        <v>849</v>
      </c>
      <c r="E52" s="1083"/>
      <c r="F52" s="1083"/>
      <c r="G52" s="1083"/>
      <c r="H52" s="1083"/>
      <c r="I52" s="1083"/>
      <c r="J52" s="1083"/>
      <c r="K52" s="1083"/>
      <c r="L52" s="1083"/>
      <c r="M52" s="1083"/>
      <c r="N52" s="1083"/>
      <c r="O52" s="1083"/>
      <c r="P52" s="1083"/>
      <c r="Q52" s="1083"/>
      <c r="R52" s="1083"/>
      <c r="S52" s="1083"/>
      <c r="T52" s="1083"/>
      <c r="U52" s="1083"/>
      <c r="V52" s="1083"/>
      <c r="W52" s="1083"/>
      <c r="X52" s="1083"/>
      <c r="Y52" s="1083"/>
      <c r="Z52" s="1083"/>
      <c r="AA52" s="1083"/>
      <c r="AB52" s="1083"/>
      <c r="AC52" s="1085"/>
    </row>
    <row r="53" spans="2:31" ht="14.25" thickBot="1" x14ac:dyDescent="0.35">
      <c r="B53" s="2142"/>
      <c r="C53" s="1090" t="s">
        <v>850</v>
      </c>
      <c r="D53" s="1090" t="s">
        <v>851</v>
      </c>
      <c r="E53" s="1071"/>
      <c r="F53" s="1071"/>
      <c r="G53" s="1071"/>
      <c r="H53" s="1071"/>
      <c r="I53" s="1071"/>
      <c r="J53" s="1071"/>
      <c r="K53" s="1071"/>
      <c r="L53" s="1071"/>
      <c r="M53" s="1071"/>
      <c r="N53" s="1071"/>
      <c r="O53" s="1071"/>
      <c r="P53" s="1071"/>
      <c r="Q53" s="1071"/>
      <c r="R53" s="1071"/>
      <c r="S53" s="1071"/>
      <c r="T53" s="1071"/>
      <c r="U53" s="1071"/>
      <c r="V53" s="1071"/>
      <c r="W53" s="1071"/>
      <c r="X53" s="1071"/>
      <c r="Y53" s="1071"/>
      <c r="Z53" s="1071"/>
      <c r="AA53" s="1071"/>
      <c r="AB53" s="1071"/>
      <c r="AC53" s="1077"/>
    </row>
    <row r="54" spans="2:31" x14ac:dyDescent="0.3">
      <c r="B54" s="2137" t="s">
        <v>535</v>
      </c>
      <c r="C54" s="1119" t="s">
        <v>857</v>
      </c>
      <c r="D54" s="1078" t="s">
        <v>858</v>
      </c>
      <c r="E54" s="1042"/>
      <c r="F54" s="1042"/>
      <c r="G54" s="1042"/>
      <c r="H54" s="1042"/>
      <c r="I54" s="1042"/>
      <c r="J54" s="1042"/>
      <c r="K54" s="1042"/>
      <c r="L54" s="1042"/>
      <c r="M54" s="1042"/>
      <c r="N54" s="1042"/>
      <c r="O54" s="1042"/>
      <c r="P54" s="1042"/>
      <c r="Q54" s="1042"/>
      <c r="R54" s="1042"/>
      <c r="S54" s="1042"/>
      <c r="T54" s="1042"/>
      <c r="U54" s="1042"/>
      <c r="V54" s="1042"/>
      <c r="W54" s="1042"/>
      <c r="X54" s="1042"/>
      <c r="Y54" s="1042"/>
      <c r="Z54" s="1042"/>
      <c r="AA54" s="1042"/>
      <c r="AB54" s="1042"/>
      <c r="AC54" s="1047"/>
    </row>
    <row r="55" spans="2:31" ht="14.25" thickBot="1" x14ac:dyDescent="0.35">
      <c r="B55" s="2137"/>
      <c r="C55" s="1120" t="s">
        <v>861</v>
      </c>
      <c r="D55" s="1090" t="s">
        <v>862</v>
      </c>
      <c r="E55" s="1071"/>
      <c r="F55" s="1071"/>
      <c r="G55" s="1071"/>
      <c r="H55" s="1071"/>
      <c r="I55" s="1071"/>
      <c r="J55" s="1071"/>
      <c r="K55" s="1071"/>
      <c r="L55" s="1071"/>
      <c r="M55" s="1071"/>
      <c r="N55" s="1071"/>
      <c r="O55" s="1071"/>
      <c r="P55" s="1071"/>
      <c r="Q55" s="1071"/>
      <c r="R55" s="1071"/>
      <c r="S55" s="1071"/>
      <c r="T55" s="1071"/>
      <c r="U55" s="1071"/>
      <c r="V55" s="1071"/>
      <c r="W55" s="1071"/>
      <c r="X55" s="1071"/>
      <c r="Y55" s="1071"/>
      <c r="Z55" s="1071"/>
      <c r="AA55" s="1071"/>
      <c r="AB55" s="1071"/>
      <c r="AC55" s="1077"/>
    </row>
    <row r="56" spans="2:31" x14ac:dyDescent="0.3">
      <c r="B56" s="2138" t="s">
        <v>470</v>
      </c>
      <c r="C56" s="1093" t="s">
        <v>864</v>
      </c>
      <c r="D56" s="1093" t="s">
        <v>865</v>
      </c>
      <c r="E56" s="1096"/>
      <c r="F56" s="1096"/>
      <c r="G56" s="1096"/>
      <c r="H56" s="1096"/>
      <c r="I56" s="1096"/>
      <c r="J56" s="1096"/>
      <c r="K56" s="1096"/>
      <c r="L56" s="1096"/>
      <c r="M56" s="1096"/>
      <c r="N56" s="1096"/>
      <c r="O56" s="1096"/>
      <c r="P56" s="1096"/>
      <c r="Q56" s="1096"/>
      <c r="R56" s="1096"/>
      <c r="S56" s="1096"/>
      <c r="T56" s="1096"/>
      <c r="U56" s="1096"/>
      <c r="V56" s="1096"/>
      <c r="W56" s="1096"/>
      <c r="X56" s="1096"/>
      <c r="Y56" s="1096"/>
      <c r="Z56" s="1096"/>
      <c r="AA56" s="1096"/>
      <c r="AB56" s="1096"/>
      <c r="AC56" s="1096"/>
      <c r="AD56" s="1040" t="s">
        <v>1459</v>
      </c>
      <c r="AE56" s="1115" t="s">
        <v>1457</v>
      </c>
    </row>
    <row r="57" spans="2:31" x14ac:dyDescent="0.3">
      <c r="B57" s="2139"/>
      <c r="C57" s="1083"/>
      <c r="D57" s="1083"/>
      <c r="E57" s="1083"/>
      <c r="F57" s="1083"/>
      <c r="G57" s="1083"/>
      <c r="H57" s="1083"/>
      <c r="I57" s="1083"/>
      <c r="J57" s="1083"/>
      <c r="K57" s="1083"/>
      <c r="L57" s="1083"/>
      <c r="M57" s="1083"/>
      <c r="N57" s="1083"/>
      <c r="O57" s="1083"/>
      <c r="P57" s="1083"/>
      <c r="Q57" s="1083"/>
      <c r="R57" s="1083"/>
      <c r="S57" s="1083"/>
      <c r="T57" s="1083"/>
      <c r="U57" s="1083"/>
      <c r="V57" s="1083"/>
      <c r="W57" s="1083"/>
      <c r="X57" s="1083"/>
      <c r="Y57" s="1083"/>
      <c r="Z57" s="1083"/>
      <c r="AA57" s="1083"/>
      <c r="AB57" s="1083"/>
      <c r="AC57" s="1083"/>
    </row>
  </sheetData>
  <mergeCells count="8">
    <mergeCell ref="B54:B55"/>
    <mergeCell ref="B56:B57"/>
    <mergeCell ref="B4:B5"/>
    <mergeCell ref="B9:B13"/>
    <mergeCell ref="B14:B15"/>
    <mergeCell ref="B16:B28"/>
    <mergeCell ref="B32:B37"/>
    <mergeCell ref="B38:B53"/>
  </mergeCell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887D3B914211DA4690539851AF11284A" ma:contentTypeVersion="25" ma:contentTypeDescription="Een nieuw document maken." ma:contentTypeScope="" ma:versionID="a8c625e86ca8cfd92ad507167673581a">
  <xsd:schema xmlns:xsd="http://www.w3.org/2001/XMLSchema" xmlns:xs="http://www.w3.org/2001/XMLSchema" xmlns:p="http://schemas.microsoft.com/office/2006/metadata/properties" xmlns:ns2="25b506d0-762b-47aa-adb6-8b80fc2be8cf" xmlns:ns3="14cfccfe-d05c-4ace-ac9c-889a36918eb7" targetNamespace="http://schemas.microsoft.com/office/2006/metadata/properties" ma:root="true" ma:fieldsID="b6b6204ea92abd15fc35ca5883dda016" ns2:_="" ns3:_="">
    <xsd:import namespace="25b506d0-762b-47aa-adb6-8b80fc2be8cf"/>
    <xsd:import namespace="14cfccfe-d05c-4ace-ac9c-889a36918eb7"/>
    <xsd:element name="properties">
      <xsd:complexType>
        <xsd:sequence>
          <xsd:element name="documentManagement">
            <xsd:complexType>
              <xsd:all>
                <xsd:element ref="ns2:SharedWithUsers" minOccurs="0"/>
                <xsd:element ref="ns2:SharedWithDetails" minOccurs="0"/>
                <xsd:element ref="ns2:LastSharedByUser" minOccurs="0"/>
                <xsd:element ref="ns2:LastSharedByTime" minOccurs="0"/>
                <xsd:element ref="ns3:MediaServiceMetadata" minOccurs="0"/>
                <xsd:element ref="ns3:MediaServiceFastMetadata" minOccurs="0"/>
                <xsd:element ref="ns3:MediaServiceDateTaken" minOccurs="0"/>
                <xsd:element ref="ns3:MediaServiceAutoTags" minOccurs="0"/>
                <xsd:element ref="ns3:MediaServiceLocation" minOccurs="0"/>
                <xsd:element ref="ns3:MediaServiceOCR" minOccurs="0"/>
                <xsd:element ref="ns3:MediaServiceGenerationTime" minOccurs="0"/>
                <xsd:element ref="ns3:MediaServiceEventHashCode" minOccurs="0"/>
                <xsd:element ref="ns3:MediaServiceAutoKeyPoints" minOccurs="0"/>
                <xsd:element ref="ns3:MediaServiceKeyPoints" minOccurs="0"/>
                <xsd:element ref="ns3:Version0" minOccurs="0"/>
                <xsd:element ref="ns3:Version_x003a_Version" minOccurs="0"/>
                <xsd:element ref="ns3:Member" minOccurs="0"/>
                <xsd:element ref="ns3:MediaLengthInSeconds" minOccurs="0"/>
                <xsd:element ref="ns3:lcf76f155ced4ddcb4097134ff3c332f" minOccurs="0"/>
                <xsd:element ref="ns2:TaxCatchAll"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5b506d0-762b-47aa-adb6-8b80fc2be8cf" elementFormDefault="qualified">
    <xsd:import namespace="http://schemas.microsoft.com/office/2006/documentManagement/types"/>
    <xsd:import namespace="http://schemas.microsoft.com/office/infopath/2007/PartnerControls"/>
    <xsd:element name="SharedWithUsers" ma:index="8" nillable="true" ma:displayName="Gedeeld met"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Gedeeld met details" ma:description="" ma:internalName="SharedWithDetails" ma:readOnly="true">
      <xsd:simpleType>
        <xsd:restriction base="dms:Note">
          <xsd:maxLength value="255"/>
        </xsd:restriction>
      </xsd:simpleType>
    </xsd:element>
    <xsd:element name="LastSharedByUser" ma:index="10" nillable="true" ma:displayName="Laatst gedeeld, per gebruiker" ma:description="" ma:internalName="LastSharedByUser" ma:readOnly="true">
      <xsd:simpleType>
        <xsd:restriction base="dms:Note">
          <xsd:maxLength value="255"/>
        </xsd:restriction>
      </xsd:simpleType>
    </xsd:element>
    <xsd:element name="LastSharedByTime" ma:index="11" nillable="true" ma:displayName="Laatst gedeeld, per tijdstip" ma:description="" ma:internalName="LastSharedByTime" ma:readOnly="true">
      <xsd:simpleType>
        <xsd:restriction base="dms:DateTime"/>
      </xsd:simpleType>
    </xsd:element>
    <xsd:element name="TaxCatchAll" ma:index="28" nillable="true" ma:displayName="Taxonomy Catch All Column" ma:hidden="true" ma:list="{3a94f2be-4462-4e83-94ac-4018202ecbfa}" ma:internalName="TaxCatchAll" ma:showField="CatchAllData" ma:web="25b506d0-762b-47aa-adb6-8b80fc2be8c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14cfccfe-d05c-4ace-ac9c-889a36918eb7" elementFormDefault="qualified">
    <xsd:import namespace="http://schemas.microsoft.com/office/2006/documentManagement/types"/>
    <xsd:import namespace="http://schemas.microsoft.com/office/infopath/2007/PartnerControls"/>
    <xsd:element name="MediaServiceMetadata" ma:index="12" nillable="true" ma:displayName="MediaServiceMetadata" ma:description="" ma:hidden="true" ma:internalName="MediaServiceMetadata" ma:readOnly="true">
      <xsd:simpleType>
        <xsd:restriction base="dms:Note"/>
      </xsd:simpleType>
    </xsd:element>
    <xsd:element name="MediaServiceFastMetadata" ma:index="13" nillable="true" ma:displayName="MediaServiceFastMetadata" ma:description="" ma:hidden="true" ma:internalName="MediaServiceFastMetadata" ma:readOnly="true">
      <xsd:simpleType>
        <xsd:restriction base="dms:Note"/>
      </xsd:simpleType>
    </xsd:element>
    <xsd:element name="MediaServiceDateTaken" ma:index="14" nillable="true" ma:displayName="MediaServiceDateTaken" ma:description="" ma:hidden="true" ma:internalName="MediaServiceDateTaken" ma:readOnly="true">
      <xsd:simpleType>
        <xsd:restriction base="dms:Text"/>
      </xsd:simpleType>
    </xsd:element>
    <xsd:element name="MediaServiceAutoTags" ma:index="15" nillable="true" ma:displayName="MediaServiceAutoTags" ma:description="" ma:internalName="MediaServiceAutoTags" ma:readOnly="true">
      <xsd:simpleType>
        <xsd:restriction base="dms:Text"/>
      </xsd:simpleType>
    </xsd:element>
    <xsd:element name="MediaServiceLocation" ma:index="16" nillable="true" ma:displayName="MediaServiceLocation" ma:description="" ma:internalName="MediaServiceLocation" ma:readOnly="true">
      <xsd:simpleType>
        <xsd:restriction base="dms:Text"/>
      </xsd:simpleType>
    </xsd:element>
    <xsd:element name="MediaServiceOCR" ma:index="17" nillable="true" ma:displayName="MediaServiceOCR"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AutoKeyPoints" ma:index="20" nillable="true" ma:displayName="MediaServiceAutoKeyPoints" ma:hidden="true" ma:internalName="MediaServiceAutoKeyPoints" ma:readOnly="true">
      <xsd:simpleType>
        <xsd:restriction base="dms:Note"/>
      </xsd:simpleType>
    </xsd:element>
    <xsd:element name="MediaServiceKeyPoints" ma:index="21" nillable="true" ma:displayName="KeyPoints" ma:internalName="MediaServiceKeyPoints" ma:readOnly="true">
      <xsd:simpleType>
        <xsd:restriction base="dms:Note">
          <xsd:maxLength value="255"/>
        </xsd:restriction>
      </xsd:simpleType>
    </xsd:element>
    <xsd:element name="Version0" ma:index="22" nillable="true" ma:displayName="Version" ma:list="{727145e8-1f71-402e-9ff5-87f3840ee372}" ma:internalName="Version0" ma:showField="Title">
      <xsd:simpleType>
        <xsd:restriction base="dms:Lookup"/>
      </xsd:simpleType>
    </xsd:element>
    <xsd:element name="Version_x003a_Version" ma:index="23" nillable="true" ma:displayName="Version:Version" ma:list="{727145e8-1f71-402e-9ff5-87f3840ee372}" ma:internalName="Version_x003a_Version" ma:readOnly="true" ma:showField="_UIVersionString" ma:web="25b506d0-762b-47aa-adb6-8b80fc2be8cf">
      <xsd:simpleType>
        <xsd:restriction base="dms:Lookup"/>
      </xsd:simpleType>
    </xsd:element>
    <xsd:element name="Member" ma:index="24" nillable="true" ma:displayName="Member" ma:format="Dropdown" ma:list="UserInfo" ma:SharePointGroup="0" ma:internalName="Member">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MediaLengthInSeconds" ma:index="25" nillable="true" ma:displayName="Length (seconds)" ma:internalName="MediaLengthInSeconds" ma:readOnly="true">
      <xsd:simpleType>
        <xsd:restriction base="dms:Unknown"/>
      </xsd:simpleType>
    </xsd:element>
    <xsd:element name="lcf76f155ced4ddcb4097134ff3c332f" ma:index="27" nillable="true" ma:taxonomy="true" ma:internalName="lcf76f155ced4ddcb4097134ff3c332f" ma:taxonomyFieldName="MediaServiceImageTags" ma:displayName="Afbeeldingtags" ma:readOnly="false" ma:fieldId="{5cf76f15-5ced-4ddc-b409-7134ff3c332f}" ma:taxonomyMulti="true" ma:sspId="3d4702b5-1689-4512-8d10-07ea09318903"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9" nillable="true" ma:displayName="MediaServiceObjectDetectorVersions" ma:description="" ma:hidden="true" ma:indexed="true" ma:internalName="MediaServiceObjectDetectorVersions" ma:readOnly="true">
      <xsd:simpleType>
        <xsd:restriction base="dms:Text"/>
      </xsd:simpleType>
    </xsd:element>
    <xsd:element name="MediaServiceSearchProperties" ma:index="30"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oudstype"/>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5b506d0-762b-47aa-adb6-8b80fc2be8cf" xsi:nil="true"/>
    <lcf76f155ced4ddcb4097134ff3c332f xmlns="14cfccfe-d05c-4ace-ac9c-889a36918eb7">
      <Terms xmlns="http://schemas.microsoft.com/office/infopath/2007/PartnerControls"/>
    </lcf76f155ced4ddcb4097134ff3c332f>
    <Version0 xmlns="14cfccfe-d05c-4ace-ac9c-889a36918eb7" xsi:nil="true"/>
    <Member xmlns="14cfccfe-d05c-4ace-ac9c-889a36918eb7">
      <UserInfo>
        <DisplayName/>
        <AccountId xsi:nil="true"/>
        <AccountType/>
      </UserInfo>
    </Member>
    <SharedWithUsers xmlns="25b506d0-762b-47aa-adb6-8b80fc2be8cf">
      <UserInfo>
        <DisplayName>Ling Ying Lee</DisplayName>
        <AccountId>9854</AccountId>
        <AccountType/>
      </UserInfo>
      <UserInfo>
        <DisplayName>Frank Gerard</DisplayName>
        <AccountId>6342</AccountId>
        <AccountType/>
      </UserInfo>
      <UserInfo>
        <DisplayName>Jessica Glicker</DisplayName>
        <AccountId>48337</AccountId>
        <AccountType/>
      </UserInfo>
      <UserInfo>
        <DisplayName>Nora Cheikh</DisplayName>
        <AccountId>19538</AccountId>
        <AccountType/>
      </UserInfo>
    </SharedWithUser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208F8043-DBFF-41E5-BAF6-602FC5D6574F}"/>
</file>

<file path=customXml/itemProps2.xml><?xml version="1.0" encoding="utf-8"?>
<ds:datastoreItem xmlns:ds="http://schemas.openxmlformats.org/officeDocument/2006/customXml" ds:itemID="{D584A352-2614-4D84-84F2-489523D6EC42}">
  <ds:schemaRefs>
    <ds:schemaRef ds:uri="http://schemas.microsoft.com/office/2006/metadata/properties"/>
    <ds:schemaRef ds:uri="http://www.w3.org/XML/1998/namespace"/>
    <ds:schemaRef ds:uri="http://purl.org/dc/dcmitype/"/>
    <ds:schemaRef ds:uri="14cfccfe-d05c-4ace-ac9c-889a36918eb7"/>
    <ds:schemaRef ds:uri="http://schemas.openxmlformats.org/package/2006/metadata/core-properties"/>
    <ds:schemaRef ds:uri="http://purl.org/dc/terms/"/>
    <ds:schemaRef ds:uri="http://schemas.microsoft.com/office/infopath/2007/PartnerControls"/>
    <ds:schemaRef ds:uri="http://purl.org/dc/elements/1.1/"/>
    <ds:schemaRef ds:uri="http://schemas.microsoft.com/office/2006/documentManagement/types"/>
    <ds:schemaRef ds:uri="25b506d0-762b-47aa-adb6-8b80fc2be8cf"/>
  </ds:schemaRefs>
</ds:datastoreItem>
</file>

<file path=customXml/itemProps3.xml><?xml version="1.0" encoding="utf-8"?>
<ds:datastoreItem xmlns:ds="http://schemas.openxmlformats.org/officeDocument/2006/customXml" ds:itemID="{E5452626-9D1D-4ABB-A9FC-A3AB3C22359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16</vt:i4>
      </vt:variant>
      <vt:variant>
        <vt:lpstr>Named Ranges</vt:lpstr>
      </vt:variant>
      <vt:variant>
        <vt:i4>14</vt:i4>
      </vt:variant>
    </vt:vector>
  </HeadingPairs>
  <TitlesOfParts>
    <vt:vector size="30" baseType="lpstr">
      <vt:lpstr>Exec. Sum</vt:lpstr>
      <vt:lpstr>INTRO</vt:lpstr>
      <vt:lpstr>Pathway Comparison</vt:lpstr>
      <vt:lpstr>Pathway Analysis</vt:lpstr>
      <vt:lpstr>EE Measures</vt:lpstr>
      <vt:lpstr>Baseline</vt:lpstr>
      <vt:lpstr>TalTech</vt:lpstr>
      <vt:lpstr>Table</vt:lpstr>
      <vt:lpstr>MKM 2014-20</vt:lpstr>
      <vt:lpstr>KLIM 2021-30</vt:lpstr>
      <vt:lpstr>CF</vt:lpstr>
      <vt:lpstr>Sources</vt:lpstr>
      <vt:lpstr>Charts</vt:lpstr>
      <vt:lpstr>Styles</vt:lpstr>
      <vt:lpstr>Assumptions</vt:lpstr>
      <vt:lpstr>Admin</vt:lpstr>
      <vt:lpstr>'EE Measures'!_ftnref1</vt:lpstr>
      <vt:lpstr>'Pathway Comparison'!_Ref141195673</vt:lpstr>
      <vt:lpstr>'Pathway Comparison'!_Ref141260331</vt:lpstr>
      <vt:lpstr>'Pathway Comparison'!_Ref141269581</vt:lpstr>
      <vt:lpstr>'Pathway Comparison'!_Ref141270668</vt:lpstr>
      <vt:lpstr>'Pathway Comparison'!_Ref141272321</vt:lpstr>
      <vt:lpstr>'Pathway Comparison'!_Ref141272914</vt:lpstr>
      <vt:lpstr>'Pathway Comparison'!_Ref141280059</vt:lpstr>
      <vt:lpstr>'Pathway Comparison'!_Ref145324120</vt:lpstr>
      <vt:lpstr>'Pathway Comparison'!_Ref145337372</vt:lpstr>
      <vt:lpstr>'Pathway Comparison'!_Toc134003956</vt:lpstr>
      <vt:lpstr>Enabling</vt:lpstr>
      <vt:lpstr>Main</vt:lpstr>
      <vt:lpstr>CF!Print_Area</vt:lpstr>
    </vt:vector>
  </TitlesOfParts>
  <Manager/>
  <Company>Econcern NV</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Ling Ying Lee</dc:creator>
  <cp:keywords/>
  <dc:description/>
  <cp:lastModifiedBy>Markus Tamm</cp:lastModifiedBy>
  <cp:revision/>
  <dcterms:created xsi:type="dcterms:W3CDTF">2011-01-19T10:59:21Z</dcterms:created>
  <dcterms:modified xsi:type="dcterms:W3CDTF">2024-02-05T12:36:33Z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0x010100887D3B914211DA4690539851AF11284A</vt:lpwstr>
  </property>
  <property fmtid="{D5CDD505-2E9C-101B-9397-08002B2CF9AE}" pid="3" name="MediaServiceImageTags">
    <vt:lpwstr/>
  </property>
</Properties>
</file>